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comments33.xml" ContentType="application/vnd.openxmlformats-officedocument.spreadsheetml.comments+xml"/>
  <Override PartName="/xl/comments32.xml" ContentType="application/vnd.openxmlformats-officedocument.spreadsheetml.comments+xml"/>
  <Override PartName="/xl/comments31.xml" ContentType="application/vnd.openxmlformats-officedocument.spreadsheetml.comments+xml"/>
  <Override PartName="/xl/comments29.xml" ContentType="application/vnd.openxmlformats-officedocument.spreadsheetml.comments+xml"/>
  <Override PartName="/xl/comments30.xml" ContentType="application/vnd.openxmlformats-officedocument.spreadsheetml.comments+xml"/>
  <Override PartName="/xl/comments28.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34.xml" ContentType="application/vnd.openxmlformats-officedocument.spreadsheetml.comments+xml"/>
  <Override PartName="/xl/comments11.xml" ContentType="application/vnd.openxmlformats-officedocument.spreadsheetml.comments+xml"/>
  <Override PartName="/xl/comments35.xml" ContentType="application/vnd.openxmlformats-officedocument.spreadsheetml.comments+xml"/>
  <Override PartName="/xl/comments24.xml" ContentType="application/vnd.openxmlformats-officedocument.spreadsheetml.comments+xml"/>
  <Override PartName="/xl/drawings/vmlDrawing13.vml" ContentType="application/vnd.openxmlformats-officedocument.vmlDrawing"/>
  <Override PartName="/xl/drawings/vmlDrawing12.vml" ContentType="application/vnd.openxmlformats-officedocument.vmlDrawing"/>
  <Override PartName="/xl/drawings/vmlDrawing11.vml" ContentType="application/vnd.openxmlformats-officedocument.vmlDrawing"/>
  <Override PartName="/xl/drawings/vmlDrawing10.vml" ContentType="application/vnd.openxmlformats-officedocument.vmlDrawing"/>
  <Override PartName="/xl/drawings/vmlDrawing9.vml" ContentType="application/vnd.openxmlformats-officedocument.vmlDrawing"/>
  <Override PartName="/xl/drawings/vmlDrawing8.vml" ContentType="application/vnd.openxmlformats-officedocument.vmlDrawing"/>
  <Override PartName="/xl/drawings/vmlDrawing7.vml" ContentType="application/vnd.openxmlformats-officedocument.vmlDrawing"/>
  <Override PartName="/xl/drawings/vmlDrawing6.vml" ContentType="application/vnd.openxmlformats-officedocument.vmlDrawing"/>
  <Override PartName="/xl/drawings/vmlDrawing5.vml" ContentType="application/vnd.openxmlformats-officedocument.vmlDrawing"/>
  <Override PartName="/xl/drawings/vmlDrawing4.vml" ContentType="application/vnd.openxmlformats-officedocument.vmlDrawing"/>
  <Override PartName="/xl/drawings/vmlDrawing3.vml" ContentType="application/vnd.openxmlformats-officedocument.vmlDrawing"/>
  <Override PartName="/xl/drawings/vmlDrawing2.vml" ContentType="application/vnd.openxmlformats-officedocument.vmlDrawing"/>
  <Override PartName="/xl/drawings/vmlDrawing1.vml" ContentType="application/vnd.openxmlformats-officedocument.vmlDrawing"/>
  <Override PartName="/xl/drawings/vmlDrawing14.vml" ContentType="application/vnd.openxmlformats-officedocument.vmlDrawing"/>
  <Override PartName="/xl/drawings/vmlDrawing15.vml" ContentType="application/vnd.openxmlformats-officedocument.vmlDrawing"/>
  <Override PartName="/xl/drawings/vmlDrawing16.vml" ContentType="application/vnd.openxmlformats-officedocument.vmlDrawing"/>
  <Override PartName="/xl/drawings/vmlDrawing29.vml" ContentType="application/vnd.openxmlformats-officedocument.vmlDrawing"/>
  <Override PartName="/xl/drawings/vmlDrawing17.vml" ContentType="application/vnd.openxmlformats-officedocument.vmlDrawing"/>
  <Override PartName="/xl/drawings/vmlDrawing28.vml" ContentType="application/vnd.openxmlformats-officedocument.vmlDrawing"/>
  <Override PartName="/xl/drawings/vmlDrawing27.vml" ContentType="application/vnd.openxmlformats-officedocument.vmlDrawing"/>
  <Override PartName="/xl/drawings/vmlDrawing26.vml" ContentType="application/vnd.openxmlformats-officedocument.vmlDrawing"/>
  <Override PartName="/xl/drawings/vmlDrawing25.vml" ContentType="application/vnd.openxmlformats-officedocument.vmlDrawing"/>
  <Override PartName="/xl/drawings/vmlDrawing24.vml" ContentType="application/vnd.openxmlformats-officedocument.vmlDrawing"/>
  <Override PartName="/xl/drawings/vmlDrawing23.vml" ContentType="application/vnd.openxmlformats-officedocument.vmlDrawing"/>
  <Override PartName="/xl/drawings/vmlDrawing22.vml" ContentType="application/vnd.openxmlformats-officedocument.vmlDrawing"/>
  <Override PartName="/xl/drawings/vmlDrawing21.vml" ContentType="application/vnd.openxmlformats-officedocument.vmlDrawing"/>
  <Override PartName="/xl/drawings/vmlDrawing19.vml" ContentType="application/vnd.openxmlformats-officedocument.vmlDrawing"/>
  <Override PartName="/xl/drawings/vmlDrawing20.vml" ContentType="application/vnd.openxmlformats-officedocument.vmlDrawing"/>
  <Override PartName="/xl/drawings/vmlDrawing18.vml" ContentType="application/vnd.openxmlformats-officedocument.vmlDrawing"/>
  <Override PartName="/xl/comments12.xml" ContentType="application/vnd.openxmlformats-officedocument.spreadsheetml.comments+xml"/>
  <Override PartName="/xl/comments36.xml" ContentType="application/vnd.openxmlformats-officedocument.spreadsheetml.comments+xml"/>
  <Override PartName="/xl/comments13.xml" ContentType="application/vnd.openxmlformats-officedocument.spreadsheetml.comments+xml"/>
  <Override PartName="/xl/comments37.xml" ContentType="application/vnd.openxmlformats-officedocument.spreadsheetml.comments+xml"/>
  <Override PartName="/xl/comments14.xml" ContentType="application/vnd.openxmlformats-officedocument.spreadsheetml.comments+xml"/>
  <Override PartName="/xl/_rels/workbook.xml.rels" ContentType="application/vnd.openxmlformats-package.relationships+xml"/>
  <Override PartName="/xl/comments38.xml" ContentType="application/vnd.openxmlformats-officedocument.spreadsheetml.comments+xml"/>
  <Override PartName="/xl/sharedStrings.xml" ContentType="application/vnd.openxmlformats-officedocument.spreadsheetml.sharedStrings+xml"/>
  <Override PartName="/xl/comments44.xml" ContentType="application/vnd.openxmlformats-officedocument.spreadsheetml.comments+xml"/>
  <Override PartName="/xl/worksheets/_rels/sheet30.xml.rels" ContentType="application/vnd.openxmlformats-package.relationships+xml"/>
  <Override PartName="/xl/worksheets/_rels/sheet28.xml.rels" ContentType="application/vnd.openxmlformats-package.relationships+xml"/>
  <Override PartName="/xl/worksheets/_rels/sheet31.xml.rels" ContentType="application/vnd.openxmlformats-package.relationships+xml"/>
  <Override PartName="/xl/worksheets/_rels/sheet29.xml.rels" ContentType="application/vnd.openxmlformats-package.relationships+xml"/>
  <Override PartName="/xl/worksheets/_rels/sheet33.xml.rels" ContentType="application/vnd.openxmlformats-package.relationships+xml"/>
  <Override PartName="/xl/worksheets/_rels/sheet34.xml.rels" ContentType="application/vnd.openxmlformats-package.relationships+xml"/>
  <Override PartName="/xl/worksheets/_rels/sheet11.xml.rels" ContentType="application/vnd.openxmlformats-package.relationships+xml"/>
  <Override PartName="/xl/worksheets/_rels/sheet35.xml.rels" ContentType="application/vnd.openxmlformats-package.relationships+xml"/>
  <Override PartName="/xl/worksheets/_rels/sheet36.xml.rels" ContentType="application/vnd.openxmlformats-package.relationships+xml"/>
  <Override PartName="/xl/worksheets/_rels/sheet13.xml.rels" ContentType="application/vnd.openxmlformats-package.relationships+xml"/>
  <Override PartName="/xl/worksheets/_rels/sheet37.xml.rels" ContentType="application/vnd.openxmlformats-package.relationships+xml"/>
  <Override PartName="/xl/worksheets/_rels/sheet14.xml.rels" ContentType="application/vnd.openxmlformats-package.relationships+xml"/>
  <Override PartName="/xl/worksheets/_rels/sheet38.xml.rels" ContentType="application/vnd.openxmlformats-package.relationships+xml"/>
  <Override PartName="/xl/worksheets/_rels/sheet32.xml.rels" ContentType="application/vnd.openxmlformats-package.relationships+xml"/>
  <Override PartName="/xl/worksheets/_rels/sheet44.xml.rels" ContentType="application/vnd.openxmlformats-package.relationships+xml"/>
  <Override PartName="/xl/worksheets/_rels/sheet12.xml.rels" ContentType="application/vnd.openxmlformats-package.relationships+xml"/>
  <Override PartName="/xl/worksheets/_rels/sheet27.xml.rels" ContentType="application/vnd.openxmlformats-package.relationships+xml"/>
  <Override PartName="/xl/worksheets/_rels/sheet15.xml.rels" ContentType="application/vnd.openxmlformats-package.relationships+xml"/>
  <Override PartName="/xl/worksheets/_rels/sheet26.xml.rels" ContentType="application/vnd.openxmlformats-package.relationships+xml"/>
  <Override PartName="/xl/worksheets/_rels/sheet25.xml.rels" ContentType="application/vnd.openxmlformats-package.relationships+xml"/>
  <Override PartName="/xl/worksheets/_rels/sheet24.xml.rels" ContentType="application/vnd.openxmlformats-package.relationships+xml"/>
  <Override PartName="/xl/worksheets/_rels/sheet23.xml.rels" ContentType="application/vnd.openxmlformats-package.relationships+xml"/>
  <Override PartName="/xl/worksheets/_rels/sheet22.xml.rels" ContentType="application/vnd.openxmlformats-package.relationships+xml"/>
  <Override PartName="/xl/worksheets/_rels/sheet21.xml.rels" ContentType="application/vnd.openxmlformats-package.relationships+xml"/>
  <Override PartName="/xl/worksheets/_rels/sheet19.xml.rels" ContentType="application/vnd.openxmlformats-package.relationships+xml"/>
  <Override PartName="/xl/worksheets/_rels/sheet20.xml.rels" ContentType="application/vnd.openxmlformats-package.relationships+xml"/>
  <Override PartName="/xl/worksheets/_rels/sheet18.xml.rels" ContentType="application/vnd.openxmlformats-package.relationships+xml"/>
  <Override PartName="/xl/worksheets/_rels/sheet17.xml.rels" ContentType="application/vnd.openxmlformats-package.relationships+xml"/>
  <Override PartName="/xl/worksheets/_rels/sheet16.xml.rels" ContentType="application/vnd.openxmlformats-package.relationships+xml"/>
  <Override PartName="/xl/worksheets/sheet29.xml" ContentType="application/vnd.openxmlformats-officedocument.spreadsheetml.worksheet+xml"/>
  <Override PartName="/xl/worksheets/sheet28.xml" ContentType="application/vnd.openxmlformats-officedocument.spreadsheetml.worksheet+xml"/>
  <Override PartName="/xl/worksheets/sheet27.xml" ContentType="application/vnd.openxmlformats-officedocument.spreadsheetml.worksheet+xml"/>
  <Override PartName="/xl/worksheets/sheet26.xml" ContentType="application/vnd.openxmlformats-officedocument.spreadsheetml.worksheet+xml"/>
  <Override PartName="/xl/worksheets/sheet25.xml" ContentType="application/vnd.openxmlformats-officedocument.spreadsheetml.worksheet+xml"/>
  <Override PartName="/xl/worksheets/sheet24.xml" ContentType="application/vnd.openxmlformats-officedocument.spreadsheetml.worksheet+xml"/>
  <Override PartName="/xl/worksheets/sheet23.xml" ContentType="application/vnd.openxmlformats-officedocument.spreadsheetml.worksheet+xml"/>
  <Override PartName="/xl/worksheets/sheet22.xml" ContentType="application/vnd.openxmlformats-officedocument.spreadsheetml.worksheet+xml"/>
  <Override PartName="/xl/worksheets/sheet21.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18.xml" ContentType="application/vnd.openxmlformats-officedocument.spreadsheetml.worksheet+xml"/>
  <Override PartName="/xl/worksheets/sheet1.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40.xml" ContentType="application/vnd.openxmlformats-officedocument.spreadsheetml.worksheet+xml"/>
  <Override PartName="/xl/worksheets/sheet39.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3.xml" ContentType="application/vnd.openxmlformats-officedocument.spreadsheetml.worksheet+xml"/>
  <Override PartName="/xl/worksheets/sheet44.xml" ContentType="application/vnd.openxmlformats-officedocument.spreadsheetml.worksheet+xml"/>
  <Override PartName="/xl/worksheets/sheet4.xml" ContentType="application/vnd.openxmlformats-officedocument.spreadsheetml.worksheet+xml"/>
  <Override PartName="/xl/worksheets/sheet45.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34.xml" ContentType="application/vnd.openxmlformats-officedocument.spreadsheetml.worksheet+xml"/>
  <Override PartName="/xl/worksheets/sheet46.xml" ContentType="application/vnd.openxmlformats-officedocument.spreadsheetml.worksheet+xml"/>
  <Override PartName="/xl/worksheets/sheet11.xml" ContentType="application/vnd.openxmlformats-officedocument.spreadsheetml.worksheet+xml"/>
  <Override PartName="/xl/worksheets/sheet6.xml" ContentType="application/vnd.openxmlformats-officedocument.spreadsheetml.worksheet+xml"/>
  <Override PartName="/xl/worksheets/sheet33.xml" ContentType="application/vnd.openxmlformats-officedocument.spreadsheetml.worksheet+xml"/>
  <Override PartName="/xl/worksheets/sheet32.xml" ContentType="application/vnd.openxmlformats-officedocument.spreadsheetml.worksheet+xml"/>
  <Override PartName="/xl/worksheets/sheet31.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30.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comments19.xml" ContentType="application/vnd.openxmlformats-officedocument.spreadsheetml.comments+xml"/>
  <Override PartName="/xl/comments21.xml" ContentType="application/vnd.openxmlformats-officedocument.spreadsheetml.comments+xml"/>
  <Override PartName="/xl/comments15.xml" ContentType="application/vnd.openxmlformats-officedocument.spreadsheetml.comments+xml"/>
  <Override PartName="/xl/theme/theme1.xml" ContentType="application/vnd.openxmlformats-officedocument.theme+xml"/>
  <Override PartName="/xl/comments18.xml" ContentType="application/vnd.openxmlformats-officedocument.spreadsheetml.comments+xml"/>
  <Override PartName="/xl/comments20.xml" ContentType="application/vnd.openxmlformats-officedocument.spreadsheetml.comments+xml"/>
  <Override PartName="/xl/styles.xml" ContentType="application/vnd.openxmlformats-officedocument.spreadsheetml.styles+xml"/>
  <Override PartName="/xl/comments22.xml" ContentType="application/vnd.openxmlformats-officedocument.spreadsheetml.comments+xml"/>
  <Override PartName="/xl/comments23.xml" ContentType="application/vnd.openxmlformats-officedocument.spreadsheetml.comments+xml"/>
  <Override PartName="/xl/workbook.xml" ContentType="application/vnd.openxmlformats-officedocument.spreadsheetml.sheet.main+xml"/>
  <Override PartName="/xl/comments25.xml" ContentType="application/vnd.openxmlformats-officedocument.spreadsheetml.comments+xml"/>
  <Override PartName="/xl/comments26.xml" ContentType="application/vnd.openxmlformats-officedocument.spreadsheetml.comments+xml"/>
  <Override PartName="/xl/comments27.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sheetId="1" state="visible" r:id="rId3"/>
    <sheet name="Sample walkthrough" sheetId="2" state="visible" r:id="rId4"/>
    <sheet name="Tax" sheetId="3" state="visible" r:id="rId5"/>
    <sheet name="Plan inputs" sheetId="4" state="visible" r:id="rId6"/>
    <sheet name="Plan pay &amp; tax" sheetId="5" state="visible" r:id="rId7"/>
    <sheet name="Plan goals" sheetId="6" state="visible" r:id="rId8"/>
    <sheet name="Plan cashflow" sheetId="7" state="visible" r:id="rId9"/>
    <sheet name="Plan results" sheetId="8" state="visible" r:id="rId10"/>
    <sheet name="Plan profile" sheetId="9" state="visible" r:id="rId11"/>
    <sheet name="Plan debt months" sheetId="10" state="visible" r:id="rId12"/>
    <sheet name="C01 Borrowing" sheetId="11" state="visible" r:id="rId13"/>
    <sheet name="C02 Mortgage repayment" sheetId="12" state="visible" r:id="rId14"/>
    <sheet name="C03 Deposit" sheetId="13" state="visible" r:id="rId15"/>
    <sheet name="C04 Mortgage overpayment" sheetId="14" state="visible" r:id="rId16"/>
    <sheet name="C05 Interest rate impact" sheetId="15" state="visible" r:id="rId17"/>
    <sheet name="C06 Term comparison" sheetId="16" state="visible" r:id="rId18"/>
    <sheet name="C07 Rent vs buy" sheetId="17" state="visible" r:id="rId19"/>
    <sheet name="C08 Goal planner" sheetId="18" state="visible" r:id="rId20"/>
    <sheet name="C09 Compound growth" sheetId="19" state="visible" r:id="rId21"/>
    <sheet name="C10 Lump sum growth" sheetId="20" state="visible" r:id="rId22"/>
    <sheet name="C11 Emergency fund" sheetId="21" state="visible" r:id="rId23"/>
    <sheet name="C12 Retirement projection" sheetId="22" state="visible" r:id="rId24"/>
    <sheet name="C13 Contribution impact" sheetId="23" state="visible" r:id="rId25"/>
    <sheet name="C14 AVC impact" sheetId="24" state="visible" r:id="rId26"/>
    <sheet name="C15 Will my money last" sheetId="25" state="visible" r:id="rId27"/>
    <sheet name="C16 Drawdown scenarios" sheetId="26" state="visible" r:id="rId28"/>
    <sheet name="C17 Inflation adjusted return" sheetId="27" state="visible" r:id="rId29"/>
    <sheet name="C18 Regular investing" sheetId="28" state="visible" r:id="rId30"/>
    <sheet name="C19 Fees impact" sheetId="29" state="visible" r:id="rId31"/>
    <sheet name="C20 Risk and return" sheetId="30" state="visible" r:id="rId32"/>
    <sheet name="C21 Life cover" sheetId="31" state="visible" r:id="rId33"/>
    <sheet name="C22 Income protection gap" sheetId="32" state="visible" r:id="rId34"/>
    <sheet name="C23 Mortgage protection" sheetId="33" state="visible" r:id="rId35"/>
    <sheet name="C24 Net worth" sheetId="34" state="visible" r:id="rId36"/>
    <sheet name="C25 Monthly surplus" sheetId="35" state="visible" r:id="rId37"/>
    <sheet name="C26 Budget 50 30 20" sheetId="36" state="visible" r:id="rId38"/>
    <sheet name="C27 Debt repayment" sheetId="37" state="visible" r:id="rId39"/>
    <sheet name="C28 Loan repayment" sheetId="38" state="visible" r:id="rId40"/>
    <sheet name="C29 Investment tax" sheetId="39" state="visible" r:id="rId41"/>
    <sheet name="C30 Sale gift inheritance" sheetId="40" state="visible" r:id="rId42"/>
    <sheet name="Settings" sheetId="41" state="hidden" r:id="rId43"/>
    <sheet name="Assumptions" sheetId="42" state="hidden" r:id="rId44"/>
    <sheet name="Your lists" sheetId="43" state="hidden" r:id="rId45"/>
    <sheet name="Tax engine" sheetId="44" state="hidden" r:id="rId46"/>
    <sheet name="Report spec" sheetId="45" state="hidden" r:id="rId47"/>
    <sheet name="README" sheetId="46" state="hidden" r:id="rId48"/>
  </sheets>
  <definedNames>
    <definedName function="false" hidden="false" name="AS_AccessAge" vbProcedure="false">'Plan pay &amp; tax'!$C$147</definedName>
    <definedName function="false" hidden="false" name="AS_Bands" vbProcedure="false">'Plan pay &amp; tax'!$C$151</definedName>
    <definedName function="false" hidden="false" name="AS_CardRate" vbProcedure="false">'Plan pay &amp; tax'!$C$137</definedName>
    <definedName function="false" hidden="false" name="AS_Cash" vbProcedure="false">'Plan pay &amp; tax'!$C$132</definedName>
    <definedName function="false" hidden="false" name="AS_Cautious" vbProcedure="false">'Plan pay &amp; tax'!$C$129</definedName>
    <definedName function="false" hidden="false" name="AS_DrawFixed" vbProcedure="false">'Plan pay &amp; tax'!$C$150</definedName>
    <definedName function="false" hidden="false" name="AS_DrawRule" vbProcedure="false">'Plan pay &amp; tax'!$C$149</definedName>
    <definedName function="false" hidden="false" name="AS_End" vbProcedure="false">'Plan pay &amp; tax'!$C$139</definedName>
    <definedName function="false" hidden="false" name="AS_Infl" vbProcedure="false">'Plan pay &amp; tax'!$C$130</definedName>
    <definedName function="false" hidden="false" name="AS_Inv" vbProcedure="false">'Plan pay &amp; tax'!$C$133</definedName>
    <definedName function="false" hidden="false" name="AS_InvShare" vbProcedure="false">'Plan pay &amp; tax'!$C$146</definedName>
    <definedName function="false" hidden="false" name="AS_LoanRate" vbProcedure="false">'Plan pay &amp; tax'!$C$138</definedName>
    <definedName function="false" hidden="false" name="AS_LongYrs" vbProcedure="false">'Plan pay &amp; tax'!$C$143</definedName>
    <definedName function="false" hidden="false" name="AS_LumpPct" vbProcedure="false">'Plan pay &amp; tax'!$C$148</definedName>
    <definedName function="false" hidden="false" name="AS_Months" vbProcedure="false">'Plan pay &amp; tax'!$C$142</definedName>
    <definedName function="false" hidden="false" name="AS_MortRate" vbProcedure="false">'Plan pay &amp; tax'!$C$136</definedName>
    <definedName function="false" hidden="false" name="AS_NoAnswer" vbProcedure="false">'Plan pay &amp; tax'!$C$145</definedName>
    <definedName function="false" hidden="false" name="AS_OwnShare" vbProcedure="false">'Plan pay &amp; tax'!$C$154</definedName>
    <definedName function="false" hidden="false" name="AS_Pen" vbProcedure="false">'Plan pay &amp; tax'!$C$134</definedName>
    <definedName function="false" hidden="false" name="AS_PenChgTyp" vbProcedure="false">'Plan pay &amp; tax'!$C$155</definedName>
    <definedName function="false" hidden="false" name="AS_PenRet" vbProcedure="false">'Plan pay &amp; tax'!$C$135</definedName>
    <definedName function="false" hidden="false" name="AS_PSpOwn" vbProcedure="false">'Plan pay &amp; tax'!$C$158</definedName>
    <definedName function="false" hidden="false" name="AS_PSpWeek" vbProcedure="false">'Plan pay &amp; tax'!$C$159</definedName>
    <definedName function="false" hidden="false" name="AS_RetireSpend" vbProcedure="false">'Plan pay &amp; tax'!$C$153</definedName>
    <definedName function="false" hidden="false" name="AS_SaveShare" vbProcedure="false">'Plan pay &amp; tax'!$C$144</definedName>
    <definedName function="false" hidden="false" name="AS_SP" vbProcedure="false">'Plan pay &amp; tax'!$C$160</definedName>
    <definedName function="false" hidden="false" name="AS_SpGrow" vbProcedure="false">'Plan pay &amp; tax'!$C$152</definedName>
    <definedName function="false" hidden="false" name="AS_SpOwn" vbProcedure="false">'Plan pay &amp; tax'!$C$156</definedName>
    <definedName function="false" hidden="false" name="AS_SpWeek" vbProcedure="false">'Plan pay &amp; tax'!$C$157</definedName>
    <definedName function="false" hidden="false" name="AS_TwoSecure" vbProcedure="false">'Plan pay &amp; tax'!$C$141</definedName>
    <definedName function="false" hidden="false" name="AS_Wage" vbProcedure="false">'Plan pay &amp; tax'!$C$131</definedName>
    <definedName function="false" hidden="false" name="AS_Year0" vbProcedure="false">'Plan pay &amp; tax'!$C$140</definedName>
    <definedName function="false" hidden="false" name="Band_Married" vbProcedure="false">Assumptions!$C$12</definedName>
    <definedName function="false" hidden="false" name="Band_Second_Earner_Max" vbProcedure="false">Assumptions!$C$13</definedName>
    <definedName function="false" hidden="false" name="Band_Single" vbProcedure="false">Assumptions!$C$10</definedName>
    <definedName function="false" hidden="false" name="Band_Single_Parent" vbProcedure="false">Assumptions!$C$11</definedName>
    <definedName function="false" hidden="false" name="Cap_Months" vbProcedure="false">Assumptions!$C$98</definedName>
    <definedName function="false" hidden="false" name="Cap_Years" vbProcedure="false">Assumptions!$C$99</definedName>
    <definedName function="false" hidden="false" name="Cards_Owed_Rng" vbProcedure="false">'Your lists'!$D$6:$D$13</definedName>
    <definedName function="false" hidden="false" name="Cards_Owed_Total" vbProcedure="false">'Your lists'!$D$15</definedName>
    <definedName function="false" hidden="false" name="Cards_Pay_Rng" vbProcedure="false">'Your lists'!$E$6:$E$13</definedName>
    <definedName function="false" hidden="false" name="Cards_Pay_Total" vbProcedure="false">'Your lists'!$D$16</definedName>
    <definedName function="false" hidden="false" name="Cards_Rate_Avg" vbProcedure="false">'Your lists'!$D$17</definedName>
    <definedName function="false" hidden="false" name="Card_APR_Cap" vbProcedure="false">Settings!$C$57</definedName>
    <definedName function="false" hidden="false" name="Cat_N1" vbProcedure="false">'Plan results'!$C$239</definedName>
    <definedName function="false" hidden="false" name="Cat_N2" vbProcedure="false">'Plan results'!$C$240</definedName>
    <definedName function="false" hidden="false" name="Cat_N3" vbProcedure="false">'Plan results'!$C$241</definedName>
    <definedName function="false" hidden="false" name="Cat_N4" vbProcedure="false">'Plan results'!$C$242</definedName>
    <definedName function="false" hidden="false" name="Cat_N5" vbProcedure="false">'Plan results'!$C$243</definedName>
    <definedName function="false" hidden="false" name="Cat_N6" vbProcedure="false">'Plan results'!$C$244</definedName>
    <definedName function="false" hidden="false" name="Chap_Avg" vbProcedure="false">'Plan results'!$I$204:$I$213</definedName>
    <definedName function="false" hidden="false" name="Chap_Dec" vbProcedure="false">'Plan results'!$C$204:$C$213</definedName>
    <definedName function="false" hidden="false" name="Chap_Dip" vbProcedure="false">'Plan results'!$H$204:$H$213</definedName>
    <definedName function="false" hidden="false" name="Chap_From" vbProcedure="false">'Plan results'!$D$204:$D$213</definedName>
    <definedName function="false" hidden="false" name="Chap_Short" vbProcedure="false">'Plan results'!$G$204:$G$213</definedName>
    <definedName function="false" hidden="false" name="Chap_Story" vbProcedure="false">'Plan results'!$K$204:$K$213</definedName>
    <definedName function="false" hidden="false" name="Chap_To" vbProcedure="false">'Plan results'!$E$204:$E$213</definedName>
    <definedName function="false" hidden="false" name="Chap_Weather" vbProcedure="false">'Plan results'!$J$204:$J$213</definedName>
    <definedName function="false" hidden="false" name="Chart_DipYears" vbProcedure="false">'Plan results'!$C$194</definedName>
    <definedName function="false" hidden="false" name="Chart_FirstLivingAge" vbProcedure="false">'Plan results'!$C$200</definedName>
    <definedName function="false" hidden="false" name="Chart_FirstShortAge" vbProcedure="false">'Plan results'!$C$196</definedName>
    <definedName function="false" hidden="false" name="Chart_FirstShortAmt" vbProcedure="false">'Plan results'!$C$197</definedName>
    <definedName function="false" hidden="false" name="Chart_FirstShortIdx" vbProcedure="false">'Plan results'!$C$195</definedName>
    <definedName function="false" hidden="false" name="Chart_LivingShortYears" vbProcedure="false">'Plan results'!$C$199</definedName>
    <definedName function="false" hidden="false" name="Chart_ShortYears" vbProcedure="false">'Plan results'!$C$193</definedName>
    <definedName function="false" hidden="false" name="Chart_TotalShort" vbProcedure="false">'Plan results'!$C$198</definedName>
    <definedName function="false" hidden="false" name="CI_Listed_Total" vbProcedure="false">'Your lists'!$D$75</definedName>
    <definedName function="false" hidden="false" name="Cover_Existing_Total" vbProcedure="false">'Your lists'!$D$63</definedName>
    <definedName function="false" hidden="false" name="Cover_Life_Total" vbProcedure="false">'Your lists'!$D$56</definedName>
    <definedName function="false" hidden="false" name="Cover_Work_Total" vbProcedure="false">'Your lists'!$D$62</definedName>
    <definedName function="false" hidden="false" name="Credit_Home_Carer" vbProcedure="false">Assumptions!$C$23</definedName>
    <definedName function="false" hidden="false" name="Credit_PAYE" vbProcedure="false">Assumptions!$C$18</definedName>
    <definedName function="false" hidden="false" name="Credit_PAYE_Cap_Pct" vbProcedure="false">Assumptions!$C$19</definedName>
    <definedName function="false" hidden="false" name="Credit_Personal_Married" vbProcedure="false">Assumptions!$C$17</definedName>
    <definedName function="false" hidden="false" name="Credit_Personal_Single" vbProcedure="false">Assumptions!$C$16</definedName>
    <definedName function="false" hidden="false" name="Credit_Rent_Joint" vbProcedure="false">Assumptions!$C$22</definedName>
    <definedName function="false" hidden="false" name="Credit_Rent_Single" vbProcedure="false">Assumptions!$C$21</definedName>
    <definedName function="false" hidden="false" name="Credit_SPCCC" vbProcedure="false">Assumptions!$C$20</definedName>
    <definedName function="false" hidden="false" name="Debts_Listed_Total" vbProcedure="false">'Your lists'!$D$32</definedName>
    <definedName function="false" hidden="false" name="Debts_Pay_Total" vbProcedure="false">'Your lists'!$D$33</definedName>
    <definedName function="false" hidden="false" name="Deemed_Disposal_Years" vbProcedure="false">Assumptions!$C$75</definedName>
    <definedName function="false" hidden="false" name="DIRT" vbProcedure="false">Assumptions!$C$73</definedName>
    <definedName function="false" hidden="false" name="DOB_AgeToday" vbProcedure="false">'Plan results'!$C$163</definedName>
    <definedName function="false" hidden="false" name="DOB_Msg" vbProcedure="false">'Plan results'!$C$165</definedName>
    <definedName function="false" hidden="false" name="DOB_NextBirthday" vbProcedure="false">'Plan results'!$C$164</definedName>
    <definedName function="false" hidden="false" name="D_cR" vbProcedure="false">'Plan pay &amp; tax'!$C$190</definedName>
    <definedName function="false" hidden="false" name="D_iC" vbProcedure="false">'Plan pay &amp; tax'!$C$197</definedName>
    <definedName function="false" hidden="false" name="D_iL" vbProcedure="false">'Plan pay &amp; tax'!$C$198</definedName>
    <definedName function="false" hidden="false" name="D_lB0" vbProcedure="false">'Plan pay &amp; tax'!$C$192</definedName>
    <definedName function="false" hidden="false" name="D_lp" vbProcedure="false">'Plan pay &amp; tax'!$C$196</definedName>
    <definedName function="false" hidden="false" name="D_lR" vbProcedure="false">'Plan pay &amp; tax'!$C$193</definedName>
    <definedName function="false" hidden="false" name="D_lR0" vbProcedure="false">'Plan pay &amp; tax'!$C$191</definedName>
    <definedName function="false" hidden="false" name="D_okC" vbProcedure="false">'Plan pay &amp; tax'!$C$199</definedName>
    <definedName function="false" hidden="false" name="D_okL" vbProcedure="false">'Plan pay &amp; tax'!$C$200</definedName>
    <definedName function="false" hidden="false" name="Exit_Tax" vbProcedure="false">Assumptions!$C$74</definedName>
    <definedName function="false" hidden="false" name="Expert_Idx" vbProcedure="false">'Plan results'!$C$183</definedName>
    <definedName function="false" hidden="false" name="Expert_Key" vbProcedure="false">'Plan results'!$C$184</definedName>
    <definedName function="false" hidden="false" name="Expert_Type" vbProcedure="false">'Plan results'!$C$185</definedName>
    <definedName function="false" hidden="false" name="Fill_Example" vbProcedure="false">'READ ME'!$B$3</definedName>
    <definedName function="false" hidden="false" name="Fin1_St" vbProcedure="false">'Plan results'!$C$143</definedName>
    <definedName function="false" hidden="false" name="Fin2_St" vbProcedure="false">'Plan results'!$C$144</definedName>
    <definedName function="false" hidden="false" name="Fin3_St" vbProcedure="false">'Plan results'!$C$145</definedName>
    <definedName function="false" hidden="false" name="Fin4_St" vbProcedure="false">'Plan results'!$C$146</definedName>
    <definedName function="false" hidden="false" name="Fin5_St" vbProcedure="false">'Plan results'!$C$147</definedName>
    <definedName function="false" hidden="false" name="Fin6_St" vbProcedure="false">'Plan results'!$C$148</definedName>
    <definedName function="false" hidden="false" name="Findings_Over" vbProcedure="false">'Plan results'!$C$31</definedName>
    <definedName function="false" hidden="false" name="Find_BestIdx" vbProcedure="false">'Plan results'!$C$33</definedName>
    <definedName function="false" hidden="false" name="Find_BestScore" vbProcedure="false">'Plan results'!$C$32</definedName>
    <definedName function="false" hidden="false" name="Find_Decision" vbProcedure="false">'Plan results'!$C$41</definedName>
    <definedName function="false" hidden="false" name="Find_ExtraFor" vbProcedure="false">'Plan results'!$C$37</definedName>
    <definedName function="false" hidden="false" name="Find_ExtraUsed" vbProcedure="false">'Plan results'!$C$38</definedName>
    <definedName function="false" hidden="false" name="Find_Gap" vbProcedure="false">'Plan results'!$C$40</definedName>
    <definedName function="false" hidden="false" name="Find_Strength" vbProcedure="false">'Plan results'!$C$39</definedName>
    <definedName function="false" hidden="false" name="Find_WorstIdx" vbProcedure="false">'Plan results'!$C$34</definedName>
    <definedName function="false" hidden="false" name="Find_WorstName" vbProcedure="false">'Plan results'!$C$36</definedName>
    <definedName function="false" hidden="false" name="Find_WorstPct" vbProcedure="false">'Plan results'!$C$35</definedName>
    <definedName function="false" hidden="false" name="Fin_Done" vbProcedure="false">'Plan results'!$C$149</definedName>
    <definedName function="false" hidden="false" name="Fin_Key" vbProcedure="false">'Plan results'!$Q$101:$Q$139</definedName>
    <definedName function="false" hidden="false" name="Fin_MinOK" vbProcedure="false">'Plan results'!$C$150</definedName>
    <definedName function="false" hidden="false" name="Fin_Quality" vbProcedure="false">'Plan results'!$C$151</definedName>
    <definedName function="false" hidden="false" name="Fin_Sec" vbProcedure="false">'Plan results'!$N$101:$N$139</definedName>
    <definedName function="false" hidden="false" name="Fin_Skipped" vbProcedure="false">'Plan results'!$C$152</definedName>
    <definedName function="false" hidden="false" name="Fnd1_Fin" vbProcedure="false">'Plan results'!$C$89</definedName>
    <definedName function="false" hidden="false" name="Fnd1_S" vbProcedure="false">'Plan results'!$C$51</definedName>
    <definedName function="false" hidden="false" name="Fnd1_St" vbProcedure="false">'Plan results'!$C$50</definedName>
    <definedName function="false" hidden="false" name="Fnd2_Fin" vbProcedure="false">'Plan results'!$C$85</definedName>
    <definedName function="false" hidden="false" name="Fnd2_S" vbProcedure="false">'Plan results'!$C$53</definedName>
    <definedName function="false" hidden="false" name="Fnd2_St" vbProcedure="false">'Plan results'!$C$52</definedName>
    <definedName function="false" hidden="false" name="Fnd3_Fin" vbProcedure="false">'Plan results'!$C$86</definedName>
    <definedName function="false" hidden="false" name="Fnd3_S" vbProcedure="false">'Plan results'!$C$72</definedName>
    <definedName function="false" hidden="false" name="Fnd3_St" vbProcedure="false">'Plan results'!$C$71</definedName>
    <definedName function="false" hidden="false" name="Fnd4_Fin" vbProcedure="false">'Plan results'!$C$87</definedName>
    <definedName function="false" hidden="false" name="Fnd4_S" vbProcedure="false">'Plan results'!$C$78</definedName>
    <definedName function="false" hidden="false" name="Fnd4_St" vbProcedure="false">'Plan results'!$C$77</definedName>
    <definedName function="false" hidden="false" name="Fnd5_Fin" vbProcedure="false">'Plan results'!$C$88</definedName>
    <definedName function="false" hidden="false" name="Fnd5_S" vbProcedure="false">'Plan results'!$C$84</definedName>
    <definedName function="false" hidden="false" name="Fnd5_St" vbProcedure="false">'Plan results'!$C$83</definedName>
    <definedName function="false" hidden="false" name="Fnd_NextD" vbProcedure="false">'Plan results'!$C$95</definedName>
    <definedName function="false" hidden="false" name="Fnd_NextN" vbProcedure="false">'Plan results'!$C$92</definedName>
    <definedName function="false" hidden="false" name="Fnd_NextT" vbProcedure="false">'Plan results'!$C$94</definedName>
    <definedName function="false" hidden="false" name="F_AE" vbProcedure="false">'Plan pay &amp; tax'!$C$218</definedName>
    <definedName function="false" hidden="false" name="F_Age" vbProcedure="false">'Plan pay &amp; tax'!$C$164</definedName>
    <definedName function="false" hidden="false" name="F_CardBal" vbProcedure="false">'Plan pay &amp; tax'!$C$194</definedName>
    <definedName function="false" hidden="false" name="F_CardPayEst" vbProcedure="false">'Plan pay &amp; tax'!$C$203</definedName>
    <definedName function="false" hidden="false" name="F_CardPayM" vbProcedure="false">'Plan pay &amp; tax'!$C$201</definedName>
    <definedName function="false" hidden="false" name="F_Carer" vbProcedure="false">'Plan pay &amp; tax'!$C$221</definedName>
    <definedName function="false" hidden="false" name="F_Cash" vbProcedure="false">'Plan pay &amp; tax'!$C$175</definedName>
    <definedName function="false" hidden="false" name="F_CostsM" vbProcedure="false">'Plan pay &amp; tax'!$C$173</definedName>
    <definedName function="false" hidden="false" name="F_Debt" vbProcedure="false">'Plan pay &amp; tax'!$C$205</definedName>
    <definedName function="false" hidden="false" name="F_DebtPayM" vbProcedure="false">'Plan pay &amp; tax'!$C$206</definedName>
    <definedName function="false" hidden="false" name="F_EssM" vbProcedure="false">'Plan pay &amp; tax'!$C$207</definedName>
    <definedName function="false" hidden="false" name="F_Income" vbProcedure="false">'Plan pay &amp; tax'!$C$168</definedName>
    <definedName function="false" hidden="false" name="F_Invest" vbProcedure="false">'Plan pay &amp; tax'!$C$176</definedName>
    <definedName function="false" hidden="false" name="F_LoanBal" vbProcedure="false">'Plan pay &amp; tax'!$C$195</definedName>
    <definedName function="false" hidden="false" name="F_LoanPayEst" vbProcedure="false">'Plan pay &amp; tax'!$C$204</definedName>
    <definedName function="false" hidden="false" name="F_LoanPayM" vbProcedure="false">'Plan pay &amp; tax'!$C$202</definedName>
    <definedName function="false" hidden="false" name="F_Married" vbProcedure="false">'Plan pay &amp; tax'!$C$167</definedName>
    <definedName function="false" hidden="false" name="F_MortBal" vbProcedure="false">'Plan pay &amp; tax'!$C$181</definedName>
    <definedName function="false" hidden="false" name="F_MortOn" vbProcedure="false">'Plan pay &amp; tax'!$C$178</definedName>
    <definedName function="false" hidden="false" name="F_MortPayEst" vbProcedure="false">'Plan pay &amp; tax'!$C$183</definedName>
    <definedName function="false" hidden="false" name="F_MortPayLow" vbProcedure="false">'Plan pay &amp; tax'!$C$184</definedName>
    <definedName function="false" hidden="false" name="F_MortPayM" vbProcedure="false">'Plan pay &amp; tax'!$C$182</definedName>
    <definedName function="false" hidden="false" name="F_MR" vbProcedure="false">'Plan pay &amp; tax'!$C$179</definedName>
    <definedName function="false" hidden="false" name="F_MStated" vbProcedure="false">'Plan pay &amp; tax'!$C$180</definedName>
    <definedName function="false" hidden="false" name="F_N" vbProcedure="false">'Plan pay &amp; tax'!$C$224</definedName>
    <definedName function="false" hidden="false" name="F_OneOffY" vbProcedure="false">'Plan pay &amp; tax'!$C$174</definedName>
    <definedName function="false" hidden="false" name="F_OtherM" vbProcedure="false">'Plan pay &amp; tax'!$C$172</definedName>
    <definedName function="false" hidden="false" name="F_Own" vbProcedure="false">'Plan pay &amp; tax'!$C$211</definedName>
    <definedName function="false" hidden="false" name="F_PAge" vbProcedure="false">'Plan pay &amp; tax'!$C$170</definedName>
    <definedName function="false" hidden="false" name="F_Partner" vbProcedure="false">'Plan pay &amp; tax'!$C$166</definedName>
    <definedName function="false" hidden="false" name="F_PenG" vbProcedure="false">'Plan pay &amp; tax'!$C$212</definedName>
    <definedName function="false" hidden="false" name="F_PenM" vbProcedure="false">'Plan pay &amp; tax'!$C$210</definedName>
    <definedName function="false" hidden="false" name="F_Pension0" vbProcedure="false">'Plan pay &amp; tax'!$C$222</definedName>
    <definedName function="false" hidden="false" name="F_PIncome" vbProcedure="false">'Plan pay &amp; tax'!$C$169</definedName>
    <definedName function="false" hidden="false" name="F_PRet" vbProcedure="false">'Plan pay &amp; tax'!$C$171</definedName>
    <definedName function="false" hidden="false" name="F_PSpF" vbProcedure="false">'Plan pay &amp; tax'!$C$217</definedName>
    <definedName function="false" hidden="false" name="F_PSpO" vbProcedure="false">'Plan pay &amp; tax'!$C$215</definedName>
    <definedName function="false" hidden="false" name="F_PSpQA" vbProcedure="false">'Plan pay &amp; tax'!$C$216</definedName>
    <definedName function="false" hidden="false" name="F_R" vbProcedure="false">'Plan pay &amp; tax'!$C$165</definedName>
    <definedName function="false" hidden="false" name="F_RentCred" vbProcedure="false">'Plan pay &amp; tax'!$C$219</definedName>
    <definedName function="false" hidden="false" name="F_RentM" vbProcedure="false">'Plan pay &amp; tax'!$C$177</definedName>
    <definedName function="false" hidden="false" name="F_SelfEmp" vbProcedure="false">'Plan pay &amp; tax'!$C$225</definedName>
    <definedName function="false" hidden="false" name="F_Spccc" vbProcedure="false">'Plan pay &amp; tax'!$C$220</definedName>
    <definedName function="false" hidden="false" name="F_SpF" vbProcedure="false">'Plan pay &amp; tax'!$C$214</definedName>
    <definedName function="false" hidden="false" name="F_V" vbProcedure="false">'Plan pay &amp; tax'!$C$223</definedName>
    <definedName function="false" hidden="false" name="F_Work" vbProcedure="false">'Plan pay &amp; tax'!$C$163</definedName>
    <definedName function="false" hidden="false" name="F_YrsSP" vbProcedure="false">'Plan pay &amp; tax'!$C$213</definedName>
    <definedName function="false" hidden="false" name="Gate_Card" vbProcedure="false">'Plan results'!$C$22</definedName>
    <definedName function="false" hidden="false" name="Gate_Count" vbProcedure="false">'Plan results'!$C$19</definedName>
    <definedName function="false" hidden="false" name="Gate_FirstLabel" vbProcedure="false">'Plan results'!$C$23</definedName>
    <definedName function="false" hidden="false" name="Gate_Keys" vbProcedure="false">'Plan results'!$C$20</definedName>
    <definedName function="false" hidden="false" name="Gate_Names" vbProcedure="false">'Plan results'!$C$21</definedName>
    <definedName function="false" hidden="false" name="Gate_Ready" vbProcedure="false">'Plan results'!$C$25</definedName>
    <definedName function="false" hidden="false" name="Gate_Text" vbProcedure="false">'Plan results'!$C$24</definedName>
    <definedName function="false" hidden="false" name="GL_Age" vbProcedure="false">'Plan goals'!$H$24:$H$45</definedName>
    <definedName function="false" hidden="false" name="GL_AgeRaw" vbProcedure="false">'Plan goals'!$F$24:$F$45</definedName>
    <definedName function="false" hidden="false" name="GL_AgeT" vbProcedure="false">'Plan goals'!$I$24:$I$45</definedName>
    <definedName function="false" hidden="false" name="GL_Amount" vbProcedure="false">'Plan goals'!$J$24:$J$45</definedName>
    <definedName function="false" hidden="false" name="GL_Fund" vbProcedure="false">'Plan goals'!$G$24:$G$45</definedName>
    <definedName function="false" hidden="false" name="GL_Key" vbProcedure="false">'Plan goals'!$C$24:$C$45</definedName>
    <definedName function="false" hidden="false" name="GL_Kind" vbProcedure="false">'Plan goals'!$D$24:$D$45</definedName>
    <definedName function="false" hidden="false" name="GL_Name" vbProcedure="false">'Plan goals'!$E$24:$E$45</definedName>
    <definedName function="false" hidden="false" name="GL_Pos" vbProcedure="false">'Plan goals'!$P$24:$P$45</definedName>
    <definedName function="false" hidden="false" name="GL_Prio" vbProcedure="false">'Plan goals'!$L$24:$L$45</definedName>
    <definedName function="false" hidden="false" name="GL_Rank" vbProcedure="false">'Plan goals'!$M$24:$M$45</definedName>
    <definedName function="false" hidden="false" name="GL_Saved" vbProcedure="false">'Plan goals'!$K$24:$K$45</definedName>
    <definedName function="false" hidden="false" name="Goal10_age" vbProcedure="false">'Plan inputs'!$P$120</definedName>
    <definedName function="false" hidden="false" name="Goal10_amount" vbProcedure="false">'Plan inputs'!$Q$120</definedName>
    <definedName function="false" hidden="false" name="Goal10_auto" vbProcedure="false">'Plan inputs'!$U$120</definedName>
    <definedName function="false" hidden="false" name="Goal10_key" vbProcedure="false">'Plan inputs'!$N$120</definedName>
    <definedName function="false" hidden="false" name="Goal10_name" vbProcedure="false">'Plan inputs'!$O$120</definedName>
    <definedName function="false" hidden="false" name="Goal10_prio" vbProcedure="false">'Plan inputs'!$S$120</definedName>
    <definedName function="false" hidden="false" name="Goal10_rank" vbProcedure="false">'Plan inputs'!$T$120</definedName>
    <definedName function="false" hidden="false" name="Goal10_saved" vbProcedure="false">'Plan inputs'!$R$120</definedName>
    <definedName function="false" hidden="false" name="Goal11_age" vbProcedure="false">'Plan inputs'!$P$121</definedName>
    <definedName function="false" hidden="false" name="Goal11_amount" vbProcedure="false">'Plan inputs'!$Q$121</definedName>
    <definedName function="false" hidden="false" name="Goal11_auto" vbProcedure="false">'Plan inputs'!$U$121</definedName>
    <definedName function="false" hidden="false" name="Goal11_key" vbProcedure="false">'Plan inputs'!$N$121</definedName>
    <definedName function="false" hidden="false" name="Goal11_name" vbProcedure="false">'Plan inputs'!$O$121</definedName>
    <definedName function="false" hidden="false" name="Goal11_prio" vbProcedure="false">'Plan inputs'!$S$121</definedName>
    <definedName function="false" hidden="false" name="Goal11_rank" vbProcedure="false">'Plan inputs'!$T$121</definedName>
    <definedName function="false" hidden="false" name="Goal11_saved" vbProcedure="false">'Plan inputs'!$R$121</definedName>
    <definedName function="false" hidden="false" name="Goal12_age" vbProcedure="false">'Plan inputs'!$P$122</definedName>
    <definedName function="false" hidden="false" name="Goal12_amount" vbProcedure="false">'Plan inputs'!$Q$122</definedName>
    <definedName function="false" hidden="false" name="Goal12_auto" vbProcedure="false">'Plan inputs'!$U$122</definedName>
    <definedName function="false" hidden="false" name="Goal12_key" vbProcedure="false">'Plan inputs'!$N$122</definedName>
    <definedName function="false" hidden="false" name="Goal12_name" vbProcedure="false">'Plan inputs'!$O$122</definedName>
    <definedName function="false" hidden="false" name="Goal12_prio" vbProcedure="false">'Plan inputs'!$S$122</definedName>
    <definedName function="false" hidden="false" name="Goal12_rank" vbProcedure="false">'Plan inputs'!$T$122</definedName>
    <definedName function="false" hidden="false" name="Goal12_saved" vbProcedure="false">'Plan inputs'!$R$122</definedName>
    <definedName function="false" hidden="false" name="Goal13_age" vbProcedure="false">'Plan inputs'!$P$123</definedName>
    <definedName function="false" hidden="false" name="Goal13_amount" vbProcedure="false">'Plan inputs'!$Q$123</definedName>
    <definedName function="false" hidden="false" name="Goal13_auto" vbProcedure="false">'Plan inputs'!$U$123</definedName>
    <definedName function="false" hidden="false" name="Goal13_key" vbProcedure="false">'Plan inputs'!$N$123</definedName>
    <definedName function="false" hidden="false" name="Goal13_name" vbProcedure="false">'Plan inputs'!$O$123</definedName>
    <definedName function="false" hidden="false" name="Goal13_prio" vbProcedure="false">'Plan inputs'!$S$123</definedName>
    <definedName function="false" hidden="false" name="Goal13_rank" vbProcedure="false">'Plan inputs'!$T$123</definedName>
    <definedName function="false" hidden="false" name="Goal13_saved" vbProcedure="false">'Plan inputs'!$R$123</definedName>
    <definedName function="false" hidden="false" name="Goal14_age" vbProcedure="false">'Plan inputs'!$P$124</definedName>
    <definedName function="false" hidden="false" name="Goal14_amount" vbProcedure="false">'Plan inputs'!$Q$124</definedName>
    <definedName function="false" hidden="false" name="Goal14_auto" vbProcedure="false">'Plan inputs'!$U$124</definedName>
    <definedName function="false" hidden="false" name="Goal14_key" vbProcedure="false">'Plan inputs'!$N$124</definedName>
    <definedName function="false" hidden="false" name="Goal14_name" vbProcedure="false">'Plan inputs'!$O$124</definedName>
    <definedName function="false" hidden="false" name="Goal14_prio" vbProcedure="false">'Plan inputs'!$S$124</definedName>
    <definedName function="false" hidden="false" name="Goal14_rank" vbProcedure="false">'Plan inputs'!$T$124</definedName>
    <definedName function="false" hidden="false" name="Goal14_saved" vbProcedure="false">'Plan inputs'!$R$124</definedName>
    <definedName function="false" hidden="false" name="Goal15_age" vbProcedure="false">'Plan inputs'!$P$125</definedName>
    <definedName function="false" hidden="false" name="Goal15_amount" vbProcedure="false">'Plan inputs'!$Q$125</definedName>
    <definedName function="false" hidden="false" name="Goal15_auto" vbProcedure="false">'Plan inputs'!$U$125</definedName>
    <definedName function="false" hidden="false" name="Goal15_key" vbProcedure="false">'Plan inputs'!$N$125</definedName>
    <definedName function="false" hidden="false" name="Goal15_name" vbProcedure="false">'Plan inputs'!$O$125</definedName>
    <definedName function="false" hidden="false" name="Goal15_prio" vbProcedure="false">'Plan inputs'!$S$125</definedName>
    <definedName function="false" hidden="false" name="Goal15_rank" vbProcedure="false">'Plan inputs'!$T$125</definedName>
    <definedName function="false" hidden="false" name="Goal15_saved" vbProcedure="false">'Plan inputs'!$R$125</definedName>
    <definedName function="false" hidden="false" name="Goal16_age" vbProcedure="false">'Plan inputs'!$P$126</definedName>
    <definedName function="false" hidden="false" name="Goal16_amount" vbProcedure="false">'Plan inputs'!$Q$126</definedName>
    <definedName function="false" hidden="false" name="Goal16_auto" vbProcedure="false">'Plan inputs'!$U$126</definedName>
    <definedName function="false" hidden="false" name="Goal16_key" vbProcedure="false">'Plan inputs'!$N$126</definedName>
    <definedName function="false" hidden="false" name="Goal16_name" vbProcedure="false">'Plan inputs'!$O$126</definedName>
    <definedName function="false" hidden="false" name="Goal16_prio" vbProcedure="false">'Plan inputs'!$S$126</definedName>
    <definedName function="false" hidden="false" name="Goal16_rank" vbProcedure="false">'Plan inputs'!$T$126</definedName>
    <definedName function="false" hidden="false" name="Goal16_saved" vbProcedure="false">'Plan inputs'!$R$126</definedName>
    <definedName function="false" hidden="false" name="Goal17_age" vbProcedure="false">'Plan inputs'!$P$127</definedName>
    <definedName function="false" hidden="false" name="Goal17_amount" vbProcedure="false">'Plan inputs'!$Q$127</definedName>
    <definedName function="false" hidden="false" name="Goal17_auto" vbProcedure="false">'Plan inputs'!$U$127</definedName>
    <definedName function="false" hidden="false" name="Goal17_key" vbProcedure="false">'Plan inputs'!$N$127</definedName>
    <definedName function="false" hidden="false" name="Goal17_name" vbProcedure="false">'Plan inputs'!$O$127</definedName>
    <definedName function="false" hidden="false" name="Goal17_prio" vbProcedure="false">'Plan inputs'!$S$127</definedName>
    <definedName function="false" hidden="false" name="Goal17_rank" vbProcedure="false">'Plan inputs'!$T$127</definedName>
    <definedName function="false" hidden="false" name="Goal17_saved" vbProcedure="false">'Plan inputs'!$R$127</definedName>
    <definedName function="false" hidden="false" name="Goal18_age" vbProcedure="false">'Plan inputs'!$P$128</definedName>
    <definedName function="false" hidden="false" name="Goal18_amount" vbProcedure="false">'Plan inputs'!$Q$128</definedName>
    <definedName function="false" hidden="false" name="Goal18_auto" vbProcedure="false">'Plan inputs'!$U$128</definedName>
    <definedName function="false" hidden="false" name="Goal18_key" vbProcedure="false">'Plan inputs'!$N$128</definedName>
    <definedName function="false" hidden="false" name="Goal18_name" vbProcedure="false">'Plan inputs'!$O$128</definedName>
    <definedName function="false" hidden="false" name="Goal18_prio" vbProcedure="false">'Plan inputs'!$S$128</definedName>
    <definedName function="false" hidden="false" name="Goal18_rank" vbProcedure="false">'Plan inputs'!$T$128</definedName>
    <definedName function="false" hidden="false" name="Goal18_saved" vbProcedure="false">'Plan inputs'!$R$128</definedName>
    <definedName function="false" hidden="false" name="Goal19_age" vbProcedure="false">'Plan inputs'!$P$129</definedName>
    <definedName function="false" hidden="false" name="Goal19_amount" vbProcedure="false">'Plan inputs'!$Q$129</definedName>
    <definedName function="false" hidden="false" name="Goal19_auto" vbProcedure="false">'Plan inputs'!$U$129</definedName>
    <definedName function="false" hidden="false" name="Goal19_key" vbProcedure="false">'Plan inputs'!$N$129</definedName>
    <definedName function="false" hidden="false" name="Goal19_name" vbProcedure="false">'Plan inputs'!$O$129</definedName>
    <definedName function="false" hidden="false" name="Goal19_prio" vbProcedure="false">'Plan inputs'!$S$129</definedName>
    <definedName function="false" hidden="false" name="Goal19_rank" vbProcedure="false">'Plan inputs'!$T$129</definedName>
    <definedName function="false" hidden="false" name="Goal19_saved" vbProcedure="false">'Plan inputs'!$R$129</definedName>
    <definedName function="false" hidden="false" name="Goal1_age" vbProcedure="false">'Plan inputs'!$P$111</definedName>
    <definedName function="false" hidden="false" name="Goal1_amount" vbProcedure="false">'Plan inputs'!$Q$111</definedName>
    <definedName function="false" hidden="false" name="Goal1_auto" vbProcedure="false">'Plan inputs'!$U$111</definedName>
    <definedName function="false" hidden="false" name="Goal1_key" vbProcedure="false">'Plan inputs'!$N$111</definedName>
    <definedName function="false" hidden="false" name="Goal1_name" vbProcedure="false">'Plan inputs'!$O$111</definedName>
    <definedName function="false" hidden="false" name="Goal1_prio" vbProcedure="false">'Plan inputs'!$S$111</definedName>
    <definedName function="false" hidden="false" name="Goal1_rank" vbProcedure="false">'Plan inputs'!$T$111</definedName>
    <definedName function="false" hidden="false" name="Goal1_saved" vbProcedure="false">'Plan inputs'!$R$111</definedName>
    <definedName function="false" hidden="false" name="Goal20_age" vbProcedure="false">'Plan inputs'!$P$130</definedName>
    <definedName function="false" hidden="false" name="Goal20_amount" vbProcedure="false">'Plan inputs'!$Q$130</definedName>
    <definedName function="false" hidden="false" name="Goal20_auto" vbProcedure="false">'Plan inputs'!$U$130</definedName>
    <definedName function="false" hidden="false" name="Goal20_key" vbProcedure="false">'Plan inputs'!$N$130</definedName>
    <definedName function="false" hidden="false" name="Goal20_name" vbProcedure="false">'Plan inputs'!$O$130</definedName>
    <definedName function="false" hidden="false" name="Goal20_prio" vbProcedure="false">'Plan inputs'!$S$130</definedName>
    <definedName function="false" hidden="false" name="Goal20_rank" vbProcedure="false">'Plan inputs'!$T$130</definedName>
    <definedName function="false" hidden="false" name="Goal20_saved" vbProcedure="false">'Plan inputs'!$R$130</definedName>
    <definedName function="false" hidden="false" name="Goal21_age" vbProcedure="false">'Plan inputs'!$P$131</definedName>
    <definedName function="false" hidden="false" name="Goal21_amount" vbProcedure="false">'Plan inputs'!$Q$131</definedName>
    <definedName function="false" hidden="false" name="Goal21_auto" vbProcedure="false">'Plan inputs'!$U$131</definedName>
    <definedName function="false" hidden="false" name="Goal21_key" vbProcedure="false">'Plan inputs'!$N$131</definedName>
    <definedName function="false" hidden="false" name="Goal21_name" vbProcedure="false">'Plan inputs'!$O$131</definedName>
    <definedName function="false" hidden="false" name="Goal21_prio" vbProcedure="false">'Plan inputs'!$S$131</definedName>
    <definedName function="false" hidden="false" name="Goal21_rank" vbProcedure="false">'Plan inputs'!$T$131</definedName>
    <definedName function="false" hidden="false" name="Goal21_saved" vbProcedure="false">'Plan inputs'!$R$131</definedName>
    <definedName function="false" hidden="false" name="Goal22_age" vbProcedure="false">'Plan inputs'!$P$132</definedName>
    <definedName function="false" hidden="false" name="Goal22_amount" vbProcedure="false">'Plan inputs'!$Q$132</definedName>
    <definedName function="false" hidden="false" name="Goal22_auto" vbProcedure="false">'Plan inputs'!$U$132</definedName>
    <definedName function="false" hidden="false" name="Goal22_key" vbProcedure="false">'Plan inputs'!$N$132</definedName>
    <definedName function="false" hidden="false" name="Goal22_name" vbProcedure="false">'Plan inputs'!$O$132</definedName>
    <definedName function="false" hidden="false" name="Goal22_prio" vbProcedure="false">'Plan inputs'!$S$132</definedName>
    <definedName function="false" hidden="false" name="Goal22_rank" vbProcedure="false">'Plan inputs'!$T$132</definedName>
    <definedName function="false" hidden="false" name="Goal22_saved" vbProcedure="false">'Plan inputs'!$R$132</definedName>
    <definedName function="false" hidden="false" name="Goal2_age" vbProcedure="false">'Plan inputs'!$P$112</definedName>
    <definedName function="false" hidden="false" name="Goal2_amount" vbProcedure="false">'Plan inputs'!$Q$112</definedName>
    <definedName function="false" hidden="false" name="Goal2_auto" vbProcedure="false">'Plan inputs'!$U$112</definedName>
    <definedName function="false" hidden="false" name="Goal2_key" vbProcedure="false">'Plan inputs'!$N$112</definedName>
    <definedName function="false" hidden="false" name="Goal2_name" vbProcedure="false">'Plan inputs'!$O$112</definedName>
    <definedName function="false" hidden="false" name="Goal2_prio" vbProcedure="false">'Plan inputs'!$S$112</definedName>
    <definedName function="false" hidden="false" name="Goal2_rank" vbProcedure="false">'Plan inputs'!$T$112</definedName>
    <definedName function="false" hidden="false" name="Goal2_saved" vbProcedure="false">'Plan inputs'!$R$112</definedName>
    <definedName function="false" hidden="false" name="Goal3_age" vbProcedure="false">'Plan inputs'!$P$113</definedName>
    <definedName function="false" hidden="false" name="Goal3_amount" vbProcedure="false">'Plan inputs'!$Q$113</definedName>
    <definedName function="false" hidden="false" name="Goal3_auto" vbProcedure="false">'Plan inputs'!$U$113</definedName>
    <definedName function="false" hidden="false" name="Goal3_key" vbProcedure="false">'Plan inputs'!$N$113</definedName>
    <definedName function="false" hidden="false" name="Goal3_name" vbProcedure="false">'Plan inputs'!$O$113</definedName>
    <definedName function="false" hidden="false" name="Goal3_prio" vbProcedure="false">'Plan inputs'!$S$113</definedName>
    <definedName function="false" hidden="false" name="Goal3_rank" vbProcedure="false">'Plan inputs'!$T$113</definedName>
    <definedName function="false" hidden="false" name="Goal3_saved" vbProcedure="false">'Plan inputs'!$R$113</definedName>
    <definedName function="false" hidden="false" name="Goal4_age" vbProcedure="false">'Plan inputs'!$P$114</definedName>
    <definedName function="false" hidden="false" name="Goal4_amount" vbProcedure="false">'Plan inputs'!$Q$114</definedName>
    <definedName function="false" hidden="false" name="Goal4_auto" vbProcedure="false">'Plan inputs'!$U$114</definedName>
    <definedName function="false" hidden="false" name="Goal4_key" vbProcedure="false">'Plan inputs'!$N$114</definedName>
    <definedName function="false" hidden="false" name="Goal4_name" vbProcedure="false">'Plan inputs'!$O$114</definedName>
    <definedName function="false" hidden="false" name="Goal4_prio" vbProcedure="false">'Plan inputs'!$S$114</definedName>
    <definedName function="false" hidden="false" name="Goal4_rank" vbProcedure="false">'Plan inputs'!$T$114</definedName>
    <definedName function="false" hidden="false" name="Goal4_saved" vbProcedure="false">'Plan inputs'!$R$114</definedName>
    <definedName function="false" hidden="false" name="Goal5_age" vbProcedure="false">'Plan inputs'!$P$115</definedName>
    <definedName function="false" hidden="false" name="Goal5_amount" vbProcedure="false">'Plan inputs'!$Q$115</definedName>
    <definedName function="false" hidden="false" name="Goal5_auto" vbProcedure="false">'Plan inputs'!$U$115</definedName>
    <definedName function="false" hidden="false" name="Goal5_key" vbProcedure="false">'Plan inputs'!$N$115</definedName>
    <definedName function="false" hidden="false" name="Goal5_name" vbProcedure="false">'Plan inputs'!$O$115</definedName>
    <definedName function="false" hidden="false" name="Goal5_prio" vbProcedure="false">'Plan inputs'!$S$115</definedName>
    <definedName function="false" hidden="false" name="Goal5_rank" vbProcedure="false">'Plan inputs'!$T$115</definedName>
    <definedName function="false" hidden="false" name="Goal5_saved" vbProcedure="false">'Plan inputs'!$R$115</definedName>
    <definedName function="false" hidden="false" name="Goal6_age" vbProcedure="false">'Plan inputs'!$P$116</definedName>
    <definedName function="false" hidden="false" name="Goal6_amount" vbProcedure="false">'Plan inputs'!$Q$116</definedName>
    <definedName function="false" hidden="false" name="Goal6_auto" vbProcedure="false">'Plan inputs'!$U$116</definedName>
    <definedName function="false" hidden="false" name="Goal6_key" vbProcedure="false">'Plan inputs'!$N$116</definedName>
    <definedName function="false" hidden="false" name="Goal6_name" vbProcedure="false">'Plan inputs'!$O$116</definedName>
    <definedName function="false" hidden="false" name="Goal6_prio" vbProcedure="false">'Plan inputs'!$S$116</definedName>
    <definedName function="false" hidden="false" name="Goal6_rank" vbProcedure="false">'Plan inputs'!$T$116</definedName>
    <definedName function="false" hidden="false" name="Goal6_saved" vbProcedure="false">'Plan inputs'!$R$116</definedName>
    <definedName function="false" hidden="false" name="Goal7_age" vbProcedure="false">'Plan inputs'!$P$117</definedName>
    <definedName function="false" hidden="false" name="Goal7_amount" vbProcedure="false">'Plan inputs'!$Q$117</definedName>
    <definedName function="false" hidden="false" name="Goal7_auto" vbProcedure="false">'Plan inputs'!$U$117</definedName>
    <definedName function="false" hidden="false" name="Goal7_key" vbProcedure="false">'Plan inputs'!$N$117</definedName>
    <definedName function="false" hidden="false" name="Goal7_name" vbProcedure="false">'Plan inputs'!$O$117</definedName>
    <definedName function="false" hidden="false" name="Goal7_prio" vbProcedure="false">'Plan inputs'!$S$117</definedName>
    <definedName function="false" hidden="false" name="Goal7_rank" vbProcedure="false">'Plan inputs'!$T$117</definedName>
    <definedName function="false" hidden="false" name="Goal7_saved" vbProcedure="false">'Plan inputs'!$R$117</definedName>
    <definedName function="false" hidden="false" name="Goal8_age" vbProcedure="false">'Plan inputs'!$P$118</definedName>
    <definedName function="false" hidden="false" name="Goal8_amount" vbProcedure="false">'Plan inputs'!$Q$118</definedName>
    <definedName function="false" hidden="false" name="Goal8_auto" vbProcedure="false">'Plan inputs'!$U$118</definedName>
    <definedName function="false" hidden="false" name="Goal8_key" vbProcedure="false">'Plan inputs'!$N$118</definedName>
    <definedName function="false" hidden="false" name="Goal8_name" vbProcedure="false">'Plan inputs'!$O$118</definedName>
    <definedName function="false" hidden="false" name="Goal8_prio" vbProcedure="false">'Plan inputs'!$S$118</definedName>
    <definedName function="false" hidden="false" name="Goal8_rank" vbProcedure="false">'Plan inputs'!$T$118</definedName>
    <definedName function="false" hidden="false" name="Goal8_saved" vbProcedure="false">'Plan inputs'!$R$118</definedName>
    <definedName function="false" hidden="false" name="Goal9_age" vbProcedure="false">'Plan inputs'!$P$119</definedName>
    <definedName function="false" hidden="false" name="Goal9_amount" vbProcedure="false">'Plan inputs'!$Q$119</definedName>
    <definedName function="false" hidden="false" name="Goal9_auto" vbProcedure="false">'Plan inputs'!$U$119</definedName>
    <definedName function="false" hidden="false" name="Goal9_key" vbProcedure="false">'Plan inputs'!$N$119</definedName>
    <definedName function="false" hidden="false" name="Goal9_name" vbProcedure="false">'Plan inputs'!$O$119</definedName>
    <definedName function="false" hidden="false" name="Goal9_prio" vbProcedure="false">'Plan inputs'!$S$119</definedName>
    <definedName function="false" hidden="false" name="Goal9_rank" vbProcedure="false">'Plan inputs'!$T$119</definedName>
    <definedName function="false" hidden="false" name="Goal9_saved" vbProcedure="false">'Plan inputs'!$R$119</definedName>
    <definedName function="false" hidden="false" name="Goal_DefAmt" vbProcedure="false">'Plan goals'!$D$6:$D$20</definedName>
    <definedName function="false" hidden="false" name="Goal_DefYrs" vbProcedure="false">'Plan goals'!$E$6:$E$20</definedName>
    <definedName function="false" hidden="false" name="Goal_Keys" vbProcedure="false">'Plan goals'!$B$6:$B$20</definedName>
    <definedName function="false" hidden="false" name="Goal_Kinds" vbProcedure="false">'Plan goals'!$F$6:$F$20</definedName>
    <definedName function="false" hidden="false" name="Goal_Kind_List" vbProcedure="false">'Plan goals'!$D$24:$D$45</definedName>
    <definedName function="false" hidden="false" name="Goal_RankSet" vbProcedure="false">'Plan goals'!$D$47</definedName>
    <definedName function="false" hidden="false" name="Goal_RowsUsed" vbProcedure="false">'Plan goals'!$D$82</definedName>
    <definedName function="false" hidden="false" name="Goal_Rows_First" vbProcedure="false">'Plan inputs'!$N$111</definedName>
    <definedName function="false" hidden="false" name="Goal_Specs" vbProcedure="false">'Plan goals'!$G$6:$G$20</definedName>
    <definedName function="false" hidden="false" name="Goal_Titles" vbProcedure="false">'Plan goals'!$C$6:$C$20</definedName>
    <definedName function="false" hidden="false" name="Good_Count" vbProcedure="false">'Plan results'!$C$142</definedName>
    <definedName function="false" hidden="false" name="GR" vbProcedure="false">'Plan goals'!$D$79</definedName>
    <definedName function="false" hidden="false" name="GR10_AgeYear" vbProcedure="false">'Plan goals'!$X$119</definedName>
    <definedName function="false" hidden="false" name="GR10_Band" vbProcedure="false">'Plan goals'!$H$119</definedName>
    <definedName function="false" hidden="false" name="GR10_Extra" vbProcedure="false">'Plan goals'!$L$119</definedName>
    <definedName function="false" hidden="false" name="GR10_ExtraUsed" vbProcedure="false">'Plan goals'!$AB$119</definedName>
    <definedName function="false" hidden="false" name="GR10_Line" vbProcedure="false">'Plan goals'!$M$119</definedName>
    <definedName function="false" hidden="false" name="GR10_Months" vbProcedure="false">'Plan goals'!$V$119</definedName>
    <definedName function="false" hidden="false" name="GR10_Pct" vbProcedure="false">'Plan goals'!$G$119</definedName>
    <definedName function="false" hidden="false" name="GR10_PctBefore" vbProcedure="false">'Plan goals'!$Z$119</definedName>
    <definedName function="false" hidden="false" name="GR10_When" vbProcedure="false">'Plan goals'!$U$119</definedName>
    <definedName function="false" hidden="false" name="GR10_WiTxt" vbProcedure="false">'Plan goals'!$AA$119</definedName>
    <definedName function="false" hidden="false" name="GR10_Year" vbProcedure="false">'Plan goals'!$W$119</definedName>
    <definedName function="false" hidden="false" name="GR11_AgeYear" vbProcedure="false">'Plan goals'!$X$120</definedName>
    <definedName function="false" hidden="false" name="GR11_Band" vbProcedure="false">'Plan goals'!$H$120</definedName>
    <definedName function="false" hidden="false" name="GR11_Extra" vbProcedure="false">'Plan goals'!$L$120</definedName>
    <definedName function="false" hidden="false" name="GR11_ExtraUsed" vbProcedure="false">'Plan goals'!$AB$120</definedName>
    <definedName function="false" hidden="false" name="GR11_Line" vbProcedure="false">'Plan goals'!$M$120</definedName>
    <definedName function="false" hidden="false" name="GR11_Months" vbProcedure="false">'Plan goals'!$V$120</definedName>
    <definedName function="false" hidden="false" name="GR11_Pct" vbProcedure="false">'Plan goals'!$G$120</definedName>
    <definedName function="false" hidden="false" name="GR11_PctBefore" vbProcedure="false">'Plan goals'!$Z$120</definedName>
    <definedName function="false" hidden="false" name="GR11_When" vbProcedure="false">'Plan goals'!$U$120</definedName>
    <definedName function="false" hidden="false" name="GR11_WiTxt" vbProcedure="false">'Plan goals'!$AA$120</definedName>
    <definedName function="false" hidden="false" name="GR11_Year" vbProcedure="false">'Plan goals'!$W$120</definedName>
    <definedName function="false" hidden="false" name="GR12_AgeYear" vbProcedure="false">'Plan goals'!$X$121</definedName>
    <definedName function="false" hidden="false" name="GR12_Band" vbProcedure="false">'Plan goals'!$H$121</definedName>
    <definedName function="false" hidden="false" name="GR12_Extra" vbProcedure="false">'Plan goals'!$L$121</definedName>
    <definedName function="false" hidden="false" name="GR12_ExtraUsed" vbProcedure="false">'Plan goals'!$AB$121</definedName>
    <definedName function="false" hidden="false" name="GR12_Line" vbProcedure="false">'Plan goals'!$M$121</definedName>
    <definedName function="false" hidden="false" name="GR12_Months" vbProcedure="false">'Plan goals'!$V$121</definedName>
    <definedName function="false" hidden="false" name="GR12_Pct" vbProcedure="false">'Plan goals'!$G$121</definedName>
    <definedName function="false" hidden="false" name="GR12_PctBefore" vbProcedure="false">'Plan goals'!$Z$121</definedName>
    <definedName function="false" hidden="false" name="GR12_When" vbProcedure="false">'Plan goals'!$U$121</definedName>
    <definedName function="false" hidden="false" name="GR12_WiTxt" vbProcedure="false">'Plan goals'!$AA$121</definedName>
    <definedName function="false" hidden="false" name="GR12_Year" vbProcedure="false">'Plan goals'!$W$121</definedName>
    <definedName function="false" hidden="false" name="GR13_AgeYear" vbProcedure="false">'Plan goals'!$X$122</definedName>
    <definedName function="false" hidden="false" name="GR13_Band" vbProcedure="false">'Plan goals'!$H$122</definedName>
    <definedName function="false" hidden="false" name="GR13_Extra" vbProcedure="false">'Plan goals'!$L$122</definedName>
    <definedName function="false" hidden="false" name="GR13_ExtraUsed" vbProcedure="false">'Plan goals'!$AB$122</definedName>
    <definedName function="false" hidden="false" name="GR13_Line" vbProcedure="false">'Plan goals'!$M$122</definedName>
    <definedName function="false" hidden="false" name="GR13_Months" vbProcedure="false">'Plan goals'!$V$122</definedName>
    <definedName function="false" hidden="false" name="GR13_Pct" vbProcedure="false">'Plan goals'!$G$122</definedName>
    <definedName function="false" hidden="false" name="GR13_PctBefore" vbProcedure="false">'Plan goals'!$Z$122</definedName>
    <definedName function="false" hidden="false" name="GR13_When" vbProcedure="false">'Plan goals'!$U$122</definedName>
    <definedName function="false" hidden="false" name="GR13_WiTxt" vbProcedure="false">'Plan goals'!$AA$122</definedName>
    <definedName function="false" hidden="false" name="GR13_Year" vbProcedure="false">'Plan goals'!$W$122</definedName>
    <definedName function="false" hidden="false" name="GR14_AgeYear" vbProcedure="false">'Plan goals'!$X$123</definedName>
    <definedName function="false" hidden="false" name="GR14_Band" vbProcedure="false">'Plan goals'!$H$123</definedName>
    <definedName function="false" hidden="false" name="GR14_Extra" vbProcedure="false">'Plan goals'!$L$123</definedName>
    <definedName function="false" hidden="false" name="GR14_ExtraUsed" vbProcedure="false">'Plan goals'!$AB$123</definedName>
    <definedName function="false" hidden="false" name="GR14_Line" vbProcedure="false">'Plan goals'!$M$123</definedName>
    <definedName function="false" hidden="false" name="GR14_Months" vbProcedure="false">'Plan goals'!$V$123</definedName>
    <definedName function="false" hidden="false" name="GR14_Pct" vbProcedure="false">'Plan goals'!$G$123</definedName>
    <definedName function="false" hidden="false" name="GR14_PctBefore" vbProcedure="false">'Plan goals'!$Z$123</definedName>
    <definedName function="false" hidden="false" name="GR14_When" vbProcedure="false">'Plan goals'!$U$123</definedName>
    <definedName function="false" hidden="false" name="GR14_WiTxt" vbProcedure="false">'Plan goals'!$AA$123</definedName>
    <definedName function="false" hidden="false" name="GR14_Year" vbProcedure="false">'Plan goals'!$W$123</definedName>
    <definedName function="false" hidden="false" name="GR15_AgeYear" vbProcedure="false">'Plan goals'!$X$124</definedName>
    <definedName function="false" hidden="false" name="GR15_Band" vbProcedure="false">'Plan goals'!$H$124</definedName>
    <definedName function="false" hidden="false" name="GR15_Extra" vbProcedure="false">'Plan goals'!$L$124</definedName>
    <definedName function="false" hidden="false" name="GR15_ExtraUsed" vbProcedure="false">'Plan goals'!$AB$124</definedName>
    <definedName function="false" hidden="false" name="GR15_Line" vbProcedure="false">'Plan goals'!$M$124</definedName>
    <definedName function="false" hidden="false" name="GR15_Months" vbProcedure="false">'Plan goals'!$V$124</definedName>
    <definedName function="false" hidden="false" name="GR15_Pct" vbProcedure="false">'Plan goals'!$G$124</definedName>
    <definedName function="false" hidden="false" name="GR15_PctBefore" vbProcedure="false">'Plan goals'!$Z$124</definedName>
    <definedName function="false" hidden="false" name="GR15_When" vbProcedure="false">'Plan goals'!$U$124</definedName>
    <definedName function="false" hidden="false" name="GR15_WiTxt" vbProcedure="false">'Plan goals'!$AA$124</definedName>
    <definedName function="false" hidden="false" name="GR15_Year" vbProcedure="false">'Plan goals'!$W$124</definedName>
    <definedName function="false" hidden="false" name="GR16_AgeYear" vbProcedure="false">'Plan goals'!$X$125</definedName>
    <definedName function="false" hidden="false" name="GR16_Band" vbProcedure="false">'Plan goals'!$H$125</definedName>
    <definedName function="false" hidden="false" name="GR16_Extra" vbProcedure="false">'Plan goals'!$L$125</definedName>
    <definedName function="false" hidden="false" name="GR16_ExtraUsed" vbProcedure="false">'Plan goals'!$AB$125</definedName>
    <definedName function="false" hidden="false" name="GR16_Line" vbProcedure="false">'Plan goals'!$M$125</definedName>
    <definedName function="false" hidden="false" name="GR16_Months" vbProcedure="false">'Plan goals'!$V$125</definedName>
    <definedName function="false" hidden="false" name="GR16_Pct" vbProcedure="false">'Plan goals'!$G$125</definedName>
    <definedName function="false" hidden="false" name="GR16_PctBefore" vbProcedure="false">'Plan goals'!$Z$125</definedName>
    <definedName function="false" hidden="false" name="GR16_When" vbProcedure="false">'Plan goals'!$U$125</definedName>
    <definedName function="false" hidden="false" name="GR16_WiTxt" vbProcedure="false">'Plan goals'!$AA$125</definedName>
    <definedName function="false" hidden="false" name="GR16_Year" vbProcedure="false">'Plan goals'!$W$125</definedName>
    <definedName function="false" hidden="false" name="GR17_AgeYear" vbProcedure="false">'Plan goals'!$X$126</definedName>
    <definedName function="false" hidden="false" name="GR17_Band" vbProcedure="false">'Plan goals'!$H$126</definedName>
    <definedName function="false" hidden="false" name="GR17_Extra" vbProcedure="false">'Plan goals'!$L$126</definedName>
    <definedName function="false" hidden="false" name="GR17_ExtraUsed" vbProcedure="false">'Plan goals'!$AB$126</definedName>
    <definedName function="false" hidden="false" name="GR17_Line" vbProcedure="false">'Plan goals'!$M$126</definedName>
    <definedName function="false" hidden="false" name="GR17_Months" vbProcedure="false">'Plan goals'!$V$126</definedName>
    <definedName function="false" hidden="false" name="GR17_Pct" vbProcedure="false">'Plan goals'!$G$126</definedName>
    <definedName function="false" hidden="false" name="GR17_PctBefore" vbProcedure="false">'Plan goals'!$Z$126</definedName>
    <definedName function="false" hidden="false" name="GR17_When" vbProcedure="false">'Plan goals'!$U$126</definedName>
    <definedName function="false" hidden="false" name="GR17_WiTxt" vbProcedure="false">'Plan goals'!$AA$126</definedName>
    <definedName function="false" hidden="false" name="GR17_Year" vbProcedure="false">'Plan goals'!$W$126</definedName>
    <definedName function="false" hidden="false" name="GR18_AgeYear" vbProcedure="false">'Plan goals'!$X$127</definedName>
    <definedName function="false" hidden="false" name="GR18_Band" vbProcedure="false">'Plan goals'!$H$127</definedName>
    <definedName function="false" hidden="false" name="GR18_Extra" vbProcedure="false">'Plan goals'!$L$127</definedName>
    <definedName function="false" hidden="false" name="GR18_ExtraUsed" vbProcedure="false">'Plan goals'!$AB$127</definedName>
    <definedName function="false" hidden="false" name="GR18_Line" vbProcedure="false">'Plan goals'!$M$127</definedName>
    <definedName function="false" hidden="false" name="GR18_Months" vbProcedure="false">'Plan goals'!$V$127</definedName>
    <definedName function="false" hidden="false" name="GR18_Pct" vbProcedure="false">'Plan goals'!$G$127</definedName>
    <definedName function="false" hidden="false" name="GR18_PctBefore" vbProcedure="false">'Plan goals'!$Z$127</definedName>
    <definedName function="false" hidden="false" name="GR18_When" vbProcedure="false">'Plan goals'!$U$127</definedName>
    <definedName function="false" hidden="false" name="GR18_WiTxt" vbProcedure="false">'Plan goals'!$AA$127</definedName>
    <definedName function="false" hidden="false" name="GR18_Year" vbProcedure="false">'Plan goals'!$W$127</definedName>
    <definedName function="false" hidden="false" name="GR19_AgeYear" vbProcedure="false">'Plan goals'!$X$128</definedName>
    <definedName function="false" hidden="false" name="GR19_Band" vbProcedure="false">'Plan goals'!$H$128</definedName>
    <definedName function="false" hidden="false" name="GR19_Extra" vbProcedure="false">'Plan goals'!$L$128</definedName>
    <definedName function="false" hidden="false" name="GR19_ExtraUsed" vbProcedure="false">'Plan goals'!$AB$128</definedName>
    <definedName function="false" hidden="false" name="GR19_Line" vbProcedure="false">'Plan goals'!$M$128</definedName>
    <definedName function="false" hidden="false" name="GR19_Months" vbProcedure="false">'Plan goals'!$V$128</definedName>
    <definedName function="false" hidden="false" name="GR19_Pct" vbProcedure="false">'Plan goals'!$G$128</definedName>
    <definedName function="false" hidden="false" name="GR19_PctBefore" vbProcedure="false">'Plan goals'!$Z$128</definedName>
    <definedName function="false" hidden="false" name="GR19_When" vbProcedure="false">'Plan goals'!$U$128</definedName>
    <definedName function="false" hidden="false" name="GR19_WiTxt" vbProcedure="false">'Plan goals'!$AA$128</definedName>
    <definedName function="false" hidden="false" name="GR19_Year" vbProcedure="false">'Plan goals'!$W$128</definedName>
    <definedName function="false" hidden="false" name="GR1_AgeYear" vbProcedure="false">'Plan goals'!$X$110</definedName>
    <definedName function="false" hidden="false" name="GR1_Band" vbProcedure="false">'Plan goals'!$H$110</definedName>
    <definedName function="false" hidden="false" name="GR1_Extra" vbProcedure="false">'Plan goals'!$L$110</definedName>
    <definedName function="false" hidden="false" name="GR1_ExtraUsed" vbProcedure="false">'Plan goals'!$AB$110</definedName>
    <definedName function="false" hidden="false" name="GR1_Line" vbProcedure="false">'Plan goals'!$M$110</definedName>
    <definedName function="false" hidden="false" name="GR1_Months" vbProcedure="false">'Plan goals'!$V$110</definedName>
    <definedName function="false" hidden="false" name="GR1_Pct" vbProcedure="false">'Plan goals'!$G$110</definedName>
    <definedName function="false" hidden="false" name="GR1_PctBefore" vbProcedure="false">'Plan goals'!$Z$110</definedName>
    <definedName function="false" hidden="false" name="GR1_When" vbProcedure="false">'Plan goals'!$U$110</definedName>
    <definedName function="false" hidden="false" name="GR1_WiTxt" vbProcedure="false">'Plan goals'!$AA$110</definedName>
    <definedName function="false" hidden="false" name="GR1_Year" vbProcedure="false">'Plan goals'!$W$110</definedName>
    <definedName function="false" hidden="false" name="GR20_AgeYear" vbProcedure="false">'Plan goals'!$X$129</definedName>
    <definedName function="false" hidden="false" name="GR20_Band" vbProcedure="false">'Plan goals'!$H$129</definedName>
    <definedName function="false" hidden="false" name="GR20_Extra" vbProcedure="false">'Plan goals'!$L$129</definedName>
    <definedName function="false" hidden="false" name="GR20_ExtraUsed" vbProcedure="false">'Plan goals'!$AB$129</definedName>
    <definedName function="false" hidden="false" name="GR20_Line" vbProcedure="false">'Plan goals'!$M$129</definedName>
    <definedName function="false" hidden="false" name="GR20_Months" vbProcedure="false">'Plan goals'!$V$129</definedName>
    <definedName function="false" hidden="false" name="GR20_Pct" vbProcedure="false">'Plan goals'!$G$129</definedName>
    <definedName function="false" hidden="false" name="GR20_PctBefore" vbProcedure="false">'Plan goals'!$Z$129</definedName>
    <definedName function="false" hidden="false" name="GR20_When" vbProcedure="false">'Plan goals'!$U$129</definedName>
    <definedName function="false" hidden="false" name="GR20_WiTxt" vbProcedure="false">'Plan goals'!$AA$129</definedName>
    <definedName function="false" hidden="false" name="GR20_Year" vbProcedure="false">'Plan goals'!$W$129</definedName>
    <definedName function="false" hidden="false" name="GR21_AgeYear" vbProcedure="false">'Plan goals'!$X$130</definedName>
    <definedName function="false" hidden="false" name="GR21_Band" vbProcedure="false">'Plan goals'!$H$130</definedName>
    <definedName function="false" hidden="false" name="GR21_Extra" vbProcedure="false">'Plan goals'!$L$130</definedName>
    <definedName function="false" hidden="false" name="GR21_ExtraUsed" vbProcedure="false">'Plan goals'!$AB$130</definedName>
    <definedName function="false" hidden="false" name="GR21_Line" vbProcedure="false">'Plan goals'!$M$130</definedName>
    <definedName function="false" hidden="false" name="GR21_Months" vbProcedure="false">'Plan goals'!$V$130</definedName>
    <definedName function="false" hidden="false" name="GR21_Pct" vbProcedure="false">'Plan goals'!$G$130</definedName>
    <definedName function="false" hidden="false" name="GR21_PctBefore" vbProcedure="false">'Plan goals'!$Z$130</definedName>
    <definedName function="false" hidden="false" name="GR21_When" vbProcedure="false">'Plan goals'!$U$130</definedName>
    <definedName function="false" hidden="false" name="GR21_WiTxt" vbProcedure="false">'Plan goals'!$AA$130</definedName>
    <definedName function="false" hidden="false" name="GR21_Year" vbProcedure="false">'Plan goals'!$W$130</definedName>
    <definedName function="false" hidden="false" name="GR22_AgeYear" vbProcedure="false">'Plan goals'!$X$131</definedName>
    <definedName function="false" hidden="false" name="GR22_Band" vbProcedure="false">'Plan goals'!$H$131</definedName>
    <definedName function="false" hidden="false" name="GR22_Extra" vbProcedure="false">'Plan goals'!$L$131</definedName>
    <definedName function="false" hidden="false" name="GR22_ExtraUsed" vbProcedure="false">'Plan goals'!$AB$131</definedName>
    <definedName function="false" hidden="false" name="GR22_Line" vbProcedure="false">'Plan goals'!$M$131</definedName>
    <definedName function="false" hidden="false" name="GR22_Months" vbProcedure="false">'Plan goals'!$V$131</definedName>
    <definedName function="false" hidden="false" name="GR22_Pct" vbProcedure="false">'Plan goals'!$G$131</definedName>
    <definedName function="false" hidden="false" name="GR22_PctBefore" vbProcedure="false">'Plan goals'!$Z$131</definedName>
    <definedName function="false" hidden="false" name="GR22_When" vbProcedure="false">'Plan goals'!$U$131</definedName>
    <definedName function="false" hidden="false" name="GR22_WiTxt" vbProcedure="false">'Plan goals'!$AA$131</definedName>
    <definedName function="false" hidden="false" name="GR22_Year" vbProcedure="false">'Plan goals'!$W$131</definedName>
    <definedName function="false" hidden="false" name="GR2_AgeYear" vbProcedure="false">'Plan goals'!$X$111</definedName>
    <definedName function="false" hidden="false" name="GR2_Band" vbProcedure="false">'Plan goals'!$H$111</definedName>
    <definedName function="false" hidden="false" name="GR2_Extra" vbProcedure="false">'Plan goals'!$L$111</definedName>
    <definedName function="false" hidden="false" name="GR2_ExtraUsed" vbProcedure="false">'Plan goals'!$AB$111</definedName>
    <definedName function="false" hidden="false" name="GR2_Line" vbProcedure="false">'Plan goals'!$M$111</definedName>
    <definedName function="false" hidden="false" name="GR2_Months" vbProcedure="false">'Plan goals'!$V$111</definedName>
    <definedName function="false" hidden="false" name="GR2_Pct" vbProcedure="false">'Plan goals'!$G$111</definedName>
    <definedName function="false" hidden="false" name="GR2_PctBefore" vbProcedure="false">'Plan goals'!$Z$111</definedName>
    <definedName function="false" hidden="false" name="GR2_When" vbProcedure="false">'Plan goals'!$U$111</definedName>
    <definedName function="false" hidden="false" name="GR2_WiTxt" vbProcedure="false">'Plan goals'!$AA$111</definedName>
    <definedName function="false" hidden="false" name="GR2_Year" vbProcedure="false">'Plan goals'!$W$111</definedName>
    <definedName function="false" hidden="false" name="GR3_AgeYear" vbProcedure="false">'Plan goals'!$X$112</definedName>
    <definedName function="false" hidden="false" name="GR3_Band" vbProcedure="false">'Plan goals'!$H$112</definedName>
    <definedName function="false" hidden="false" name="GR3_Extra" vbProcedure="false">'Plan goals'!$L$112</definedName>
    <definedName function="false" hidden="false" name="GR3_ExtraUsed" vbProcedure="false">'Plan goals'!$AB$112</definedName>
    <definedName function="false" hidden="false" name="GR3_Line" vbProcedure="false">'Plan goals'!$M$112</definedName>
    <definedName function="false" hidden="false" name="GR3_Months" vbProcedure="false">'Plan goals'!$V$112</definedName>
    <definedName function="false" hidden="false" name="GR3_Pct" vbProcedure="false">'Plan goals'!$G$112</definedName>
    <definedName function="false" hidden="false" name="GR3_PctBefore" vbProcedure="false">'Plan goals'!$Z$112</definedName>
    <definedName function="false" hidden="false" name="GR3_When" vbProcedure="false">'Plan goals'!$U$112</definedName>
    <definedName function="false" hidden="false" name="GR3_WiTxt" vbProcedure="false">'Plan goals'!$AA$112</definedName>
    <definedName function="false" hidden="false" name="GR3_Year" vbProcedure="false">'Plan goals'!$W$112</definedName>
    <definedName function="false" hidden="false" name="GR4_AgeYear" vbProcedure="false">'Plan goals'!$X$113</definedName>
    <definedName function="false" hidden="false" name="GR4_Band" vbProcedure="false">'Plan goals'!$H$113</definedName>
    <definedName function="false" hidden="false" name="GR4_Extra" vbProcedure="false">'Plan goals'!$L$113</definedName>
    <definedName function="false" hidden="false" name="GR4_ExtraUsed" vbProcedure="false">'Plan goals'!$AB$113</definedName>
    <definedName function="false" hidden="false" name="GR4_Line" vbProcedure="false">'Plan goals'!$M$113</definedName>
    <definedName function="false" hidden="false" name="GR4_Months" vbProcedure="false">'Plan goals'!$V$113</definedName>
    <definedName function="false" hidden="false" name="GR4_Pct" vbProcedure="false">'Plan goals'!$G$113</definedName>
    <definedName function="false" hidden="false" name="GR4_PctBefore" vbProcedure="false">'Plan goals'!$Z$113</definedName>
    <definedName function="false" hidden="false" name="GR4_When" vbProcedure="false">'Plan goals'!$U$113</definedName>
    <definedName function="false" hidden="false" name="GR4_WiTxt" vbProcedure="false">'Plan goals'!$AA$113</definedName>
    <definedName function="false" hidden="false" name="GR4_Year" vbProcedure="false">'Plan goals'!$W$113</definedName>
    <definedName function="false" hidden="false" name="GR5_AgeYear" vbProcedure="false">'Plan goals'!$X$114</definedName>
    <definedName function="false" hidden="false" name="GR5_Band" vbProcedure="false">'Plan goals'!$H$114</definedName>
    <definedName function="false" hidden="false" name="GR5_Extra" vbProcedure="false">'Plan goals'!$L$114</definedName>
    <definedName function="false" hidden="false" name="GR5_ExtraUsed" vbProcedure="false">'Plan goals'!$AB$114</definedName>
    <definedName function="false" hidden="false" name="GR5_Line" vbProcedure="false">'Plan goals'!$M$114</definedName>
    <definedName function="false" hidden="false" name="GR5_Months" vbProcedure="false">'Plan goals'!$V$114</definedName>
    <definedName function="false" hidden="false" name="GR5_Pct" vbProcedure="false">'Plan goals'!$G$114</definedName>
    <definedName function="false" hidden="false" name="GR5_PctBefore" vbProcedure="false">'Plan goals'!$Z$114</definedName>
    <definedName function="false" hidden="false" name="GR5_When" vbProcedure="false">'Plan goals'!$U$114</definedName>
    <definedName function="false" hidden="false" name="GR5_WiTxt" vbProcedure="false">'Plan goals'!$AA$114</definedName>
    <definedName function="false" hidden="false" name="GR5_Year" vbProcedure="false">'Plan goals'!$W$114</definedName>
    <definedName function="false" hidden="false" name="GR6_AgeYear" vbProcedure="false">'Plan goals'!$X$115</definedName>
    <definedName function="false" hidden="false" name="GR6_Band" vbProcedure="false">'Plan goals'!$H$115</definedName>
    <definedName function="false" hidden="false" name="GR6_Extra" vbProcedure="false">'Plan goals'!$L$115</definedName>
    <definedName function="false" hidden="false" name="GR6_ExtraUsed" vbProcedure="false">'Plan goals'!$AB$115</definedName>
    <definedName function="false" hidden="false" name="GR6_Line" vbProcedure="false">'Plan goals'!$M$115</definedName>
    <definedName function="false" hidden="false" name="GR6_Months" vbProcedure="false">'Plan goals'!$V$115</definedName>
    <definedName function="false" hidden="false" name="GR6_Pct" vbProcedure="false">'Plan goals'!$G$115</definedName>
    <definedName function="false" hidden="false" name="GR6_PctBefore" vbProcedure="false">'Plan goals'!$Z$115</definedName>
    <definedName function="false" hidden="false" name="GR6_When" vbProcedure="false">'Plan goals'!$U$115</definedName>
    <definedName function="false" hidden="false" name="GR6_WiTxt" vbProcedure="false">'Plan goals'!$AA$115</definedName>
    <definedName function="false" hidden="false" name="GR6_Year" vbProcedure="false">'Plan goals'!$W$115</definedName>
    <definedName function="false" hidden="false" name="GR7_AgeYear" vbProcedure="false">'Plan goals'!$X$116</definedName>
    <definedName function="false" hidden="false" name="GR7_Band" vbProcedure="false">'Plan goals'!$H$116</definedName>
    <definedName function="false" hidden="false" name="GR7_Extra" vbProcedure="false">'Plan goals'!$L$116</definedName>
    <definedName function="false" hidden="false" name="GR7_ExtraUsed" vbProcedure="false">'Plan goals'!$AB$116</definedName>
    <definedName function="false" hidden="false" name="GR7_Line" vbProcedure="false">'Plan goals'!$M$116</definedName>
    <definedName function="false" hidden="false" name="GR7_Months" vbProcedure="false">'Plan goals'!$V$116</definedName>
    <definedName function="false" hidden="false" name="GR7_Pct" vbProcedure="false">'Plan goals'!$G$116</definedName>
    <definedName function="false" hidden="false" name="GR7_PctBefore" vbProcedure="false">'Plan goals'!$Z$116</definedName>
    <definedName function="false" hidden="false" name="GR7_When" vbProcedure="false">'Plan goals'!$U$116</definedName>
    <definedName function="false" hidden="false" name="GR7_WiTxt" vbProcedure="false">'Plan goals'!$AA$116</definedName>
    <definedName function="false" hidden="false" name="GR7_Year" vbProcedure="false">'Plan goals'!$W$116</definedName>
    <definedName function="false" hidden="false" name="GR8_AgeYear" vbProcedure="false">'Plan goals'!$X$117</definedName>
    <definedName function="false" hidden="false" name="GR8_Band" vbProcedure="false">'Plan goals'!$H$117</definedName>
    <definedName function="false" hidden="false" name="GR8_Extra" vbProcedure="false">'Plan goals'!$L$117</definedName>
    <definedName function="false" hidden="false" name="GR8_ExtraUsed" vbProcedure="false">'Plan goals'!$AB$117</definedName>
    <definedName function="false" hidden="false" name="GR8_Line" vbProcedure="false">'Plan goals'!$M$117</definedName>
    <definedName function="false" hidden="false" name="GR8_Months" vbProcedure="false">'Plan goals'!$V$117</definedName>
    <definedName function="false" hidden="false" name="GR8_Pct" vbProcedure="false">'Plan goals'!$G$117</definedName>
    <definedName function="false" hidden="false" name="GR8_PctBefore" vbProcedure="false">'Plan goals'!$Z$117</definedName>
    <definedName function="false" hidden="false" name="GR8_When" vbProcedure="false">'Plan goals'!$U$117</definedName>
    <definedName function="false" hidden="false" name="GR8_WiTxt" vbProcedure="false">'Plan goals'!$AA$117</definedName>
    <definedName function="false" hidden="false" name="GR8_Year" vbProcedure="false">'Plan goals'!$W$117</definedName>
    <definedName function="false" hidden="false" name="GR9_AgeYear" vbProcedure="false">'Plan goals'!$X$118</definedName>
    <definedName function="false" hidden="false" name="GR9_Band" vbProcedure="false">'Plan goals'!$H$118</definedName>
    <definedName function="false" hidden="false" name="GR9_Extra" vbProcedure="false">'Plan goals'!$L$118</definedName>
    <definedName function="false" hidden="false" name="GR9_ExtraUsed" vbProcedure="false">'Plan goals'!$AB$118</definedName>
    <definedName function="false" hidden="false" name="GR9_Line" vbProcedure="false">'Plan goals'!$M$118</definedName>
    <definedName function="false" hidden="false" name="GR9_Months" vbProcedure="false">'Plan goals'!$V$118</definedName>
    <definedName function="false" hidden="false" name="GR9_Pct" vbProcedure="false">'Plan goals'!$G$118</definedName>
    <definedName function="false" hidden="false" name="GR9_PctBefore" vbProcedure="false">'Plan goals'!$Z$118</definedName>
    <definedName function="false" hidden="false" name="GR9_When" vbProcedure="false">'Plan goals'!$U$118</definedName>
    <definedName function="false" hidden="false" name="GR9_WiTxt" vbProcedure="false">'Plan goals'!$AA$118</definedName>
    <definedName function="false" hidden="false" name="GR9_Year" vbProcedure="false">'Plan goals'!$W$118</definedName>
    <definedName function="false" hidden="false" name="GR_AgeT" vbProcedure="false">'Plan goals'!$N$110:$N$131</definedName>
    <definedName function="false" hidden="false" name="GR_Best" vbProcedure="false">'Plan goals'!$O$110:$O$131</definedName>
    <definedName function="false" hidden="false" name="GR_Key" vbProcedure="false">'Plan goals'!$Q$110:$Q$131</definedName>
    <definedName function="false" hidden="false" name="GR_Kind" vbProcedure="false">'Plan goals'!$D$110:$D$131</definedName>
    <definedName function="false" hidden="false" name="GR_Name" vbProcedure="false">'Plan goals'!$C$110:$C$131</definedName>
    <definedName function="false" hidden="false" name="GR_NextKey" vbProcedure="false">'Plan goals'!$Y$110:$Y$131</definedName>
    <definedName function="false" hidden="false" name="GR_Pct" vbProcedure="false">'Plan goals'!$G$110:$G$131</definedName>
    <definedName function="false" hidden="false" name="GR_PctB" vbProcedure="false">'Plan goals'!$T$110:$T$131</definedName>
    <definedName function="false" hidden="false" name="GR_PctN" vbProcedure="false">'Plan goals'!$R$110:$R$131</definedName>
    <definedName function="false" hidden="false" name="GR_Spec" vbProcedure="false">'Plan goals'!$S$110:$S$131</definedName>
    <definedName function="false" hidden="false" name="GR_When" vbProcedure="false">'Plan goals'!$U$110:$U$131</definedName>
    <definedName function="false" hidden="false" name="GR_WiTxt" vbProcedure="false">'Plan goals'!$AA$110:$AA$131</definedName>
    <definedName function="false" hidden="false" name="GR_Worst" vbProcedure="false">'Plan goals'!$P$110:$P$131</definedName>
    <definedName function="false" hidden="false" name="GR_Year" vbProcedure="false">'Plan goals'!$W$110:$W$131</definedName>
    <definedName function="false" hidden="false" name="HasSafety" vbProcedure="false">'Plan goals'!$D$75</definedName>
    <definedName function="false" hidden="false" name="Has_ackKeys" vbProcedure="false">'Plan inputs'!$H$79</definedName>
    <definedName function="false" hidden="false" name="Has_ae" vbProcedure="false">'Plan inputs'!$H$57</definedName>
    <definedName function="false" hidden="false" name="Has_age" vbProcedure="false">'Plan inputs'!$H$6</definedName>
    <definedName function="false" hidden="false" name="Has_assumeSet" vbProcedure="false">'Plan inputs'!$H$13</definedName>
    <definedName function="false" hidden="false" name="Has_a_accessAge" vbProcedure="false">'Plan inputs'!$H$90</definedName>
    <definedName function="false" hidden="false" name="Has_a_bands" vbProcedure="false">'Plan inputs'!$H$87</definedName>
    <definedName function="false" hidden="false" name="Has_a_cardRate" vbProcedure="false">'Plan inputs'!$H$103</definedName>
    <definedName function="false" hidden="false" name="Has_a_cash" vbProcedure="false">'Plan inputs'!$H$83</definedName>
    <definedName function="false" hidden="false" name="Has_a_cashYears" vbProcedure="false">'Plan inputs'!$H$96</definedName>
    <definedName function="false" hidden="false" name="Has_a_drawFixed" vbProcedure="false">'Plan inputs'!$H$94</definedName>
    <definedName function="false" hidden="false" name="Has_a_drawRule" vbProcedure="false">'Plan inputs'!$H$93</definedName>
    <definedName function="false" hidden="false" name="Has_a_inv" vbProcedure="false">'Plan inputs'!$H$82</definedName>
    <definedName function="false" hidden="false" name="Has_a_investShare" vbProcedure="false">'Plan inputs'!$H$97</definedName>
    <definedName function="false" hidden="false" name="Has_a_loanRate" vbProcedure="false">'Plan inputs'!$H$104</definedName>
    <definedName function="false" hidden="false" name="Has_a_lumpSum" vbProcedure="false">'Plan inputs'!$H$92</definedName>
    <definedName function="false" hidden="false" name="Has_a_mortRate" vbProcedure="false">'Plan inputs'!$H$102</definedName>
    <definedName function="false" hidden="false" name="Has_a_noAnswer" vbProcedure="false">'Plan inputs'!$H$99</definedName>
    <definedName function="false" hidden="false" name="Has_a_ownShare" vbProcedure="false">'Plan inputs'!$H$89</definedName>
    <definedName function="false" hidden="false" name="Has_a_pen" vbProcedure="false">'Plan inputs'!$H$84</definedName>
    <definedName function="false" hidden="false" name="Has_a_penChg" vbProcedure="false">'Plan inputs'!$H$108</definedName>
    <definedName function="false" hidden="false" name="Has_a_penRet" vbProcedure="false">'Plan inputs'!$H$85</definedName>
    <definedName function="false" hidden="false" name="Has_a_planEnd" vbProcedure="false">'Plan inputs'!$H$100</definedName>
    <definedName function="false" hidden="false" name="Has_a_pSpWeek" vbProcedure="false">'Plan inputs'!$H$106</definedName>
    <definedName function="false" hidden="false" name="Has_a_retireSpend" vbProcedure="false">'Plan inputs'!$H$91</definedName>
    <definedName function="false" hidden="false" name="Has_a_safetyMonths" vbProcedure="false">'Plan inputs'!$H$95</definedName>
    <definedName function="false" hidden="false" name="Has_a_saveShare" vbProcedure="false">'Plan inputs'!$H$98</definedName>
    <definedName function="false" hidden="false" name="Has_a_spGrow" vbProcedure="false">'Plan inputs'!$H$88</definedName>
    <definedName function="false" hidden="false" name="Has_a_spWeek" vbProcedure="false">'Plan inputs'!$H$105</definedName>
    <definedName function="false" hidden="false" name="Has_a_spYears" vbProcedure="false">'Plan inputs'!$H$107</definedName>
    <definedName function="false" hidden="false" name="Has_a_startYear" vbProcedure="false">'Plan inputs'!$H$101</definedName>
    <definedName function="false" hidden="false" name="Has_a_wage" vbProcedure="false">'Plan inputs'!$H$86</definedName>
    <definedName function="false" hidden="false" name="Has_booked" vbProcedure="false">'Plan inputs'!$H$68</definedName>
    <definedName function="false" hidden="false" name="Has_cardBal" vbProcedure="false">'Plan inputs'!$H$45</definedName>
    <definedName function="false" hidden="false" name="Has_cardPayM" vbProcedure="false">'Plan inputs'!$H$46</definedName>
    <definedName function="false" hidden="false" name="Has_cardRate" vbProcedure="false">'Plan inputs'!$H$47</definedName>
    <definedName function="false" hidden="false" name="Has_cash" vbProcedure="false">'Plan inputs'!$H$39</definedName>
    <definedName function="false" hidden="false" name="Has_ci" vbProcedure="false">'Plan inputs'!$H$63</definedName>
    <definedName function="false" hidden="false" name="Has_costsM" vbProcedure="false">'Plan inputs'!$H$33</definedName>
    <definedName function="false" hidden="false" name="Has_credCarer" vbProcedure="false">'Plan inputs'!$H$20</definedName>
    <definedName function="false" hidden="false" name="Has_credLone" vbProcedure="false">'Plan inputs'!$H$19</definedName>
    <definedName function="false" hidden="false" name="Has_credRent" vbProcedure="false">'Plan inputs'!$H$18</definedName>
    <definedName function="false" hidden="false" name="Has_debt" vbProcedure="false">'Plan inputs'!$H$51</definedName>
    <definedName function="false" hidden="false" name="Has_debtPayM" vbProcedure="false">'Plan inputs'!$H$52</definedName>
    <definedName function="false" hidden="false" name="Has_deps" vbProcedure="false">'Plan inputs'!$H$9</definedName>
    <definedName function="false" hidden="false" name="Has_health" vbProcedure="false">'Plan inputs'!$H$65</definedName>
    <definedName function="false" hidden="false" name="Has_home" vbProcedure="false">'Plan inputs'!$H$37</definedName>
    <definedName function="false" hidden="false" name="Has_homeValue" vbProcedure="false">'Plan inputs'!$H$38</definedName>
    <definedName function="false" hidden="false" name="Has_income" vbProcedure="false">'Plan inputs'!$H$29</definedName>
    <definedName function="false" hidden="false" name="Has_infl" vbProcedure="false">'Plan inputs'!$H$12</definedName>
    <definedName function="false" hidden="false" name="Has_invest" vbProcedure="false">'Plan inputs'!$H$40</definedName>
    <definedName function="false" hidden="false" name="Has_ip" vbProcedure="false">'Plan inputs'!$H$62</definedName>
    <definedName function="false" hidden="false" name="Has_life" vbProcedure="false">'Plan inputs'!$H$61</definedName>
    <definedName function="false" hidden="false" name="Has_loanBal" vbProcedure="false">'Plan inputs'!$H$48</definedName>
    <definedName function="false" hidden="false" name="Has_loanPayM" vbProcedure="false">'Plan inputs'!$H$49</definedName>
    <definedName function="false" hidden="false" name="Has_loanRate" vbProcedure="false">'Plan inputs'!$H$50</definedName>
    <definedName function="false" hidden="false" name="Has_lookKeys" vbProcedure="false">'Plan inputs'!$H$78</definedName>
    <definedName function="false" hidden="false" name="Has_married" vbProcedure="false">'Plan inputs'!$H$8</definedName>
    <definedName function="false" hidden="false" name="Has_mortBal" vbProcedure="false">'Plan inputs'!$H$41</definedName>
    <definedName function="false" hidden="false" name="Has_mortPayM" vbProcedure="false">'Plan inputs'!$H$43</definedName>
    <definedName function="false" hidden="false" name="Has_mortRate" vbProcedure="false">'Plan inputs'!$H$42</definedName>
    <definedName function="false" hidden="false" name="Has_mortYears" vbProcedure="false">'Plan inputs'!$H$44</definedName>
    <definedName function="false" hidden="false" name="Has_name" vbProcedure="false">'Plan inputs'!$H$5</definedName>
    <definedName function="false" hidden="false" name="Has_oneOffY" vbProcedure="false">'Plan inputs'!$H$34</definedName>
    <definedName function="false" hidden="false" name="Has_otherM" vbProcedure="false">'Plan inputs'!$H$32</definedName>
    <definedName function="false" hidden="false" name="Has_pAge" vbProcedure="false">'Plan inputs'!$H$31</definedName>
    <definedName function="false" hidden="false" name="Has_partner" vbProcedure="false">'Plan inputs'!$H$7</definedName>
    <definedName function="false" hidden="false" name="Has_penChg" vbProcedure="false">'Plan inputs'!$H$56</definedName>
    <definedName function="false" hidden="false" name="Has_penExtra" vbProcedure="false">'Plan inputs'!$H$17</definedName>
    <definedName function="false" hidden="false" name="Has_pension" vbProcedure="false">'Plan inputs'!$H$53</definedName>
    <definedName function="false" hidden="false" name="Has_pensionM" vbProcedure="false">'Plan inputs'!$H$54</definedName>
    <definedName function="false" hidden="false" name="Has_pensionOwnM" vbProcedure="false">'Plan inputs'!$H$55</definedName>
    <definedName function="false" hidden="false" name="Has_pIncome" vbProcedure="false">'Plan inputs'!$H$30</definedName>
    <definedName function="false" hidden="false" name="Has_prefSet" vbProcedure="false">'Plan inputs'!$H$71</definedName>
    <definedName function="false" hidden="false" name="Has_pRet" vbProcedure="false">'Plan inputs'!$H$11</definedName>
    <definedName function="false" hidden="false" name="Has_propValue" vbProcedure="false">'Plan inputs'!$H$35</definedName>
    <definedName function="false" hidden="false" name="Has_pSp" vbProcedure="false">'Plan inputs'!$H$60</definedName>
    <definedName function="false" hidden="false" name="Has_q6" vbProcedure="false">'Plan inputs'!$H$14</definedName>
    <definedName function="false" hidden="false" name="Has_rechecked" vbProcedure="false">'Plan inputs'!$H$70</definedName>
    <definedName function="false" hidden="false" name="Has_rentM" vbProcedure="false">'Plan inputs'!$H$36</definedName>
    <definedName function="false" hidden="false" name="Has_retireAge" vbProcedure="false">'Plan inputs'!$H$10</definedName>
    <definedName function="false" hidden="false" name="Has_saved1" vbProcedure="false">'Plan inputs'!$H$72</definedName>
    <definedName function="false" hidden="false" name="Has_saved2" vbProcedure="false">'Plan inputs'!$H$73</definedName>
    <definedName function="false" hidden="false" name="Has_saved3" vbProcedure="false">'Plan inputs'!$H$74</definedName>
    <definedName function="false" hidden="false" name="Has_saved4" vbProcedure="false">'Plan inputs'!$H$75</definedName>
    <definedName function="false" hidden="false" name="Has_saved5" vbProcedure="false">'Plan inputs'!$H$76</definedName>
    <definedName function="false" hidden="false" name="Has_saved6" vbProcedure="false">'Plan inputs'!$H$77</definedName>
    <definedName function="false" hidden="false" name="Has_saveM" vbProcedure="false">'Plan inputs'!$H$15</definedName>
    <definedName function="false" hidden="false" name="Has_saveUp" vbProcedure="false">'Plan inputs'!$H$16</definedName>
    <definedName function="false" hidden="false" name="Has_slot" vbProcedure="false">'Plan inputs'!$H$69</definedName>
    <definedName function="false" hidden="false" name="Has_sp" vbProcedure="false">'Plan inputs'!$H$58</definedName>
    <definedName function="false" hidden="false" name="Has_spYears" vbProcedure="false">'Plan inputs'!$H$59</definedName>
    <definedName function="false" hidden="false" name="Has_wiGoal" vbProcedure="false">'Plan inputs'!$H$23</definedName>
    <definedName function="false" hidden="false" name="Has_wiL" vbProcedure="false">'Plan inputs'!$H$25</definedName>
    <definedName function="false" hidden="false" name="Has_wiM" vbProcedure="false">'Plan inputs'!$H$24</definedName>
    <definedName function="false" hidden="false" name="Has_work" vbProcedure="false">'Plan inputs'!$H$28</definedName>
    <definedName function="false" hidden="false" name="Has_workCover" vbProcedure="false">'Plan inputs'!$H$64</definedName>
    <definedName function="false" hidden="false" name="Health_Listed_Total" vbProcedure="false">'Your lists'!$D$81</definedName>
    <definedName function="false" hidden="false" name="Home_Avg" vbProcedure="false">'Plan results'!$C$178</definedName>
    <definedName function="false" hidden="false" name="Home_Band" vbProcedure="false">'Plan results'!$C$180</definedName>
    <definedName function="false" hidden="false" name="Home_N" vbProcedure="false">'Plan results'!$C$177</definedName>
    <definedName function="false" hidden="false" name="Home_OnTrack" vbProcedure="false">'Plan results'!$C$179</definedName>
    <definedName function="false" hidden="false" name="Home_Rough" vbProcedure="false">'Plan results'!$C$153</definedName>
    <definedName function="false" hidden="false" name="Illness_Benefit_Week" vbProcedure="false">Assumptions!$C$68</definedName>
    <definedName function="false" hidden="false" name="Init_Buf0" vbProcedure="false">'Plan goals'!$D$76</definedName>
    <definedName function="false" hidden="false" name="Init_Free0" vbProcedure="false">'Plan goals'!$D$77</definedName>
    <definedName function="false" hidden="false" name="Init_Free1" vbProcedure="false">'Plan goals'!$D$78</definedName>
    <definedName function="false" hidden="false" name="In_ackKeys" vbProcedure="false">'Plan inputs'!$G$79</definedName>
    <definedName function="false" hidden="false" name="In_ae" vbProcedure="false">'Plan inputs'!$G$57</definedName>
    <definedName function="false" hidden="false" name="In_age" vbProcedure="false">'Plan inputs'!$G$6</definedName>
    <definedName function="false" hidden="false" name="In_assumeSet" vbProcedure="false">'Plan inputs'!$G$13</definedName>
    <definedName function="false" hidden="false" name="In_a_accessAge" vbProcedure="false">'Plan inputs'!$G$90</definedName>
    <definedName function="false" hidden="false" name="In_a_bands" vbProcedure="false">'Plan inputs'!$G$87</definedName>
    <definedName function="false" hidden="false" name="In_a_cardRate" vbProcedure="false">'Plan inputs'!$G$103</definedName>
    <definedName function="false" hidden="false" name="In_a_cash" vbProcedure="false">'Plan inputs'!$G$83</definedName>
    <definedName function="false" hidden="false" name="In_a_cashYears" vbProcedure="false">'Plan inputs'!$G$96</definedName>
    <definedName function="false" hidden="false" name="In_a_drawFixed" vbProcedure="false">'Plan inputs'!$G$94</definedName>
    <definedName function="false" hidden="false" name="In_a_drawRule" vbProcedure="false">'Plan inputs'!$G$93</definedName>
    <definedName function="false" hidden="false" name="In_a_inv" vbProcedure="false">'Plan inputs'!$G$82</definedName>
    <definedName function="false" hidden="false" name="In_a_investShare" vbProcedure="false">'Plan inputs'!$G$97</definedName>
    <definedName function="false" hidden="false" name="In_a_loanRate" vbProcedure="false">'Plan inputs'!$G$104</definedName>
    <definedName function="false" hidden="false" name="In_a_lumpSum" vbProcedure="false">'Plan inputs'!$G$92</definedName>
    <definedName function="false" hidden="false" name="In_a_mortRate" vbProcedure="false">'Plan inputs'!$G$102</definedName>
    <definedName function="false" hidden="false" name="In_a_noAnswer" vbProcedure="false">'Plan inputs'!$G$99</definedName>
    <definedName function="false" hidden="false" name="In_a_ownShare" vbProcedure="false">'Plan inputs'!$G$89</definedName>
    <definedName function="false" hidden="false" name="In_a_pen" vbProcedure="false">'Plan inputs'!$G$84</definedName>
    <definedName function="false" hidden="false" name="In_a_penChg" vbProcedure="false">'Plan inputs'!$G$108</definedName>
    <definedName function="false" hidden="false" name="In_a_penRet" vbProcedure="false">'Plan inputs'!$G$85</definedName>
    <definedName function="false" hidden="false" name="In_a_planEnd" vbProcedure="false">'Plan inputs'!$G$100</definedName>
    <definedName function="false" hidden="false" name="In_a_pSpWeek" vbProcedure="false">'Plan inputs'!$G$106</definedName>
    <definedName function="false" hidden="false" name="In_a_retireSpend" vbProcedure="false">'Plan inputs'!$G$91</definedName>
    <definedName function="false" hidden="false" name="In_a_safetyMonths" vbProcedure="false">'Plan inputs'!$G$95</definedName>
    <definedName function="false" hidden="false" name="In_a_saveShare" vbProcedure="false">'Plan inputs'!$G$98</definedName>
    <definedName function="false" hidden="false" name="In_a_spGrow" vbProcedure="false">'Plan inputs'!$G$88</definedName>
    <definedName function="false" hidden="false" name="In_a_spWeek" vbProcedure="false">'Plan inputs'!$G$105</definedName>
    <definedName function="false" hidden="false" name="In_a_spYears" vbProcedure="false">'Plan inputs'!$G$107</definedName>
    <definedName function="false" hidden="false" name="In_a_startYear" vbProcedure="false">'Plan inputs'!$G$101</definedName>
    <definedName function="false" hidden="false" name="In_a_wage" vbProcedure="false">'Plan inputs'!$G$86</definedName>
    <definedName function="false" hidden="false" name="In_booked" vbProcedure="false">'Plan inputs'!$G$68</definedName>
    <definedName function="false" hidden="false" name="In_cardBal" vbProcedure="false">'Plan inputs'!$G$45</definedName>
    <definedName function="false" hidden="false" name="In_cardPayM" vbProcedure="false">'Plan inputs'!$G$46</definedName>
    <definedName function="false" hidden="false" name="In_cardRate" vbProcedure="false">'Plan inputs'!$G$47</definedName>
    <definedName function="false" hidden="false" name="In_cash" vbProcedure="false">'Plan inputs'!$G$39</definedName>
    <definedName function="false" hidden="false" name="In_ci" vbProcedure="false">'Plan inputs'!$G$63</definedName>
    <definedName function="false" hidden="false" name="In_costsM" vbProcedure="false">'Plan inputs'!$G$33</definedName>
    <definedName function="false" hidden="false" name="In_credCarer" vbProcedure="false">'Plan inputs'!$G$20</definedName>
    <definedName function="false" hidden="false" name="In_credLone" vbProcedure="false">'Plan inputs'!$G$19</definedName>
    <definedName function="false" hidden="false" name="In_credRent" vbProcedure="false">'Plan inputs'!$G$18</definedName>
    <definedName function="false" hidden="false" name="In_debt" vbProcedure="false">'Plan inputs'!$G$51</definedName>
    <definedName function="false" hidden="false" name="In_debtPayM" vbProcedure="false">'Plan inputs'!$G$52</definedName>
    <definedName function="false" hidden="false" name="In_deps" vbProcedure="false">'Plan inputs'!$G$9</definedName>
    <definedName function="false" hidden="false" name="In_health" vbProcedure="false">'Plan inputs'!$G$65</definedName>
    <definedName function="false" hidden="false" name="In_home" vbProcedure="false">'Plan inputs'!$G$37</definedName>
    <definedName function="false" hidden="false" name="In_homeValue" vbProcedure="false">'Plan inputs'!$G$38</definedName>
    <definedName function="false" hidden="false" name="In_income" vbProcedure="false">'Plan inputs'!$G$29</definedName>
    <definedName function="false" hidden="false" name="In_infl" vbProcedure="false">'Plan inputs'!$G$12</definedName>
    <definedName function="false" hidden="false" name="In_invest" vbProcedure="false">'Plan inputs'!$G$40</definedName>
    <definedName function="false" hidden="false" name="In_ip" vbProcedure="false">'Plan inputs'!$G$62</definedName>
    <definedName function="false" hidden="false" name="In_life" vbProcedure="false">'Plan inputs'!$G$61</definedName>
    <definedName function="false" hidden="false" name="In_loanBal" vbProcedure="false">'Plan inputs'!$G$48</definedName>
    <definedName function="false" hidden="false" name="In_loanPayM" vbProcedure="false">'Plan inputs'!$G$49</definedName>
    <definedName function="false" hidden="false" name="In_loanRate" vbProcedure="false">'Plan inputs'!$G$50</definedName>
    <definedName function="false" hidden="false" name="In_lookKeys" vbProcedure="false">'Plan inputs'!$G$78</definedName>
    <definedName function="false" hidden="false" name="In_married" vbProcedure="false">'Plan inputs'!$G$8</definedName>
    <definedName function="false" hidden="false" name="In_mortBal" vbProcedure="false">'Plan inputs'!$G$41</definedName>
    <definedName function="false" hidden="false" name="In_mortPayM" vbProcedure="false">'Plan inputs'!$G$43</definedName>
    <definedName function="false" hidden="false" name="In_mortRate" vbProcedure="false">'Plan inputs'!$G$42</definedName>
    <definedName function="false" hidden="false" name="In_mortYears" vbProcedure="false">'Plan inputs'!$G$44</definedName>
    <definedName function="false" hidden="false" name="In_name" vbProcedure="false">'Plan inputs'!$G$5</definedName>
    <definedName function="false" hidden="false" name="In_oneOffY" vbProcedure="false">'Plan inputs'!$G$34</definedName>
    <definedName function="false" hidden="false" name="In_otherM" vbProcedure="false">'Plan inputs'!$G$32</definedName>
    <definedName function="false" hidden="false" name="In_pAge" vbProcedure="false">'Plan inputs'!$G$31</definedName>
    <definedName function="false" hidden="false" name="In_partner" vbProcedure="false">'Plan inputs'!$G$7</definedName>
    <definedName function="false" hidden="false" name="In_penChg" vbProcedure="false">'Plan inputs'!$G$56</definedName>
    <definedName function="false" hidden="false" name="In_penExtra" vbProcedure="false">'Plan inputs'!$G$17</definedName>
    <definedName function="false" hidden="false" name="In_pension" vbProcedure="false">'Plan inputs'!$G$53</definedName>
    <definedName function="false" hidden="false" name="In_pensionM" vbProcedure="false">'Plan inputs'!$G$54</definedName>
    <definedName function="false" hidden="false" name="In_pensionOwnM" vbProcedure="false">'Plan inputs'!$G$55</definedName>
    <definedName function="false" hidden="false" name="In_pIncome" vbProcedure="false">'Plan inputs'!$G$30</definedName>
    <definedName function="false" hidden="false" name="In_prefSet" vbProcedure="false">'Plan inputs'!$G$71</definedName>
    <definedName function="false" hidden="false" name="In_pRet" vbProcedure="false">'Plan inputs'!$G$11</definedName>
    <definedName function="false" hidden="false" name="In_propValue" vbProcedure="false">'Plan inputs'!$G$35</definedName>
    <definedName function="false" hidden="false" name="In_pSp" vbProcedure="false">'Plan inputs'!$G$60</definedName>
    <definedName function="false" hidden="false" name="In_q6" vbProcedure="false">'Plan inputs'!$G$14</definedName>
    <definedName function="false" hidden="false" name="In_rechecked" vbProcedure="false">'Plan inputs'!$G$70</definedName>
    <definedName function="false" hidden="false" name="In_rentM" vbProcedure="false">'Plan inputs'!$G$36</definedName>
    <definedName function="false" hidden="false" name="In_retireAge" vbProcedure="false">'Plan inputs'!$G$10</definedName>
    <definedName function="false" hidden="false" name="In_saved1" vbProcedure="false">'Plan inputs'!$G$72</definedName>
    <definedName function="false" hidden="false" name="In_saved2" vbProcedure="false">'Plan inputs'!$G$73</definedName>
    <definedName function="false" hidden="false" name="In_saved3" vbProcedure="false">'Plan inputs'!$G$74</definedName>
    <definedName function="false" hidden="false" name="In_saved4" vbProcedure="false">'Plan inputs'!$G$75</definedName>
    <definedName function="false" hidden="false" name="In_saved5" vbProcedure="false">'Plan inputs'!$G$76</definedName>
    <definedName function="false" hidden="false" name="In_saved6" vbProcedure="false">'Plan inputs'!$G$77</definedName>
    <definedName function="false" hidden="false" name="In_saveM" vbProcedure="false">'Plan inputs'!$G$15</definedName>
    <definedName function="false" hidden="false" name="In_saveUp" vbProcedure="false">'Plan inputs'!$G$16</definedName>
    <definedName function="false" hidden="false" name="In_slot" vbProcedure="false">'Plan inputs'!$G$69</definedName>
    <definedName function="false" hidden="false" name="In_sp" vbProcedure="false">'Plan inputs'!$G$58</definedName>
    <definedName function="false" hidden="false" name="In_spYears" vbProcedure="false">'Plan inputs'!$G$59</definedName>
    <definedName function="false" hidden="false" name="In_wiGoal" vbProcedure="false">'Plan inputs'!$G$23</definedName>
    <definedName function="false" hidden="false" name="In_wiL" vbProcedure="false">'Plan inputs'!$G$25</definedName>
    <definedName function="false" hidden="false" name="In_wiM" vbProcedure="false">'Plan inputs'!$G$24</definedName>
    <definedName function="false" hidden="false" name="In_work" vbProcedure="false">'Plan inputs'!$G$28</definedName>
    <definedName function="false" hidden="false" name="In_workCover" vbProcedure="false">'Plan inputs'!$G$64</definedName>
    <definedName function="false" hidden="false" name="IP_Listed_Total" vbProcedure="false">'Your lists'!$D$69</definedName>
    <definedName function="false" hidden="false" name="IP_Max_Pct" vbProcedure="false">Assumptions!$C$69</definedName>
    <definedName function="false" hidden="false" name="L3_CardM" vbProcedure="false">'Plan results'!$C$54</definedName>
    <definedName function="false" hidden="false" name="L3_CardS" vbProcedure="false">'Plan results'!$C$58</definedName>
    <definedName function="false" hidden="false" name="L3_CardSt" vbProcedure="false">'Plan results'!$C$57</definedName>
    <definedName function="false" hidden="false" name="L3_CoverLife" vbProcedure="false">'Plan results'!$C$64</definedName>
    <definedName function="false" hidden="false" name="L3_CoverWork" vbProcedure="false">'Plan results'!$C$63</definedName>
    <definedName function="false" hidden="false" name="L3_Debt" vbProcedure="false">'Plan results'!$C$56</definedName>
    <definedName function="false" hidden="false" name="L3_IpS" vbProcedure="false">'Plan results'!$C$69</definedName>
    <definedName function="false" hidden="false" name="L3_IpSt" vbProcedure="false">'Plan results'!$C$68</definedName>
    <definedName function="false" hidden="false" name="L3_Kind" vbProcedure="false">'Plan results'!$C$93</definedName>
    <definedName function="false" hidden="false" name="L3_LifeS" vbProcedure="false">'Plan results'!$C$67</definedName>
    <definedName function="false" hidden="false" name="L3_LifeSt" vbProcedure="false">'Plan results'!$C$66</definedName>
    <definedName function="false" hidden="false" name="L3_LoanM" vbProcedure="false">'Plan results'!$C$55</definedName>
    <definedName function="false" hidden="false" name="L3_LoanS" vbProcedure="false">'Plan results'!$C$60</definedName>
    <definedName function="false" hidden="false" name="L3_LoanSt" vbProcedure="false">'Plan results'!$C$59</definedName>
    <definedName function="false" hidden="false" name="L3_NeedLife" vbProcedure="false">'Plan results'!$C$65</definedName>
    <definedName function="false" hidden="false" name="L3_NoDebtS" vbProcedure="false">'Plan results'!$C$62</definedName>
    <definedName function="false" hidden="false" name="L3_NoDebtSt" vbProcedure="false">'Plan results'!$C$61</definedName>
    <definedName function="false" hidden="false" name="L3_Rank" vbProcedure="false">'Plan results'!$C$70</definedName>
    <definedName function="false" hidden="false" name="L4_Low" vbProcedure="false">'Plan results'!$C$75</definedName>
    <definedName function="false" hidden="false" name="L4_N" vbProcedure="false">'Plan results'!$C$73</definedName>
    <definedName function="false" hidden="false" name="L4_On" vbProcedure="false">'Plan results'!$C$74</definedName>
    <definedName function="false" hidden="false" name="L4_PenOn" vbProcedure="false">'Plan results'!$C$76</definedName>
    <definedName function="false" hidden="false" name="L5_FirstIdx" vbProcedure="false">'Plan results'!$C$81</definedName>
    <definedName function="false" hidden="false" name="L5_Inv" vbProcedure="false">'Plan results'!$C$82</definedName>
    <definedName function="false" hidden="false" name="L5_N" vbProcedure="false">'Plan results'!$C$79</definedName>
    <definedName function="false" hidden="false" name="L5_OnIdx" vbProcedure="false">'Plan results'!$C$80</definedName>
    <definedName function="false" hidden="false" name="Life_Levy" vbProcedure="false">Assumptions!$C$76</definedName>
    <definedName function="false" hidden="false" name="Loans_Owed_Rng" vbProcedure="false">'Your lists'!$D$21:$D$28</definedName>
    <definedName function="false" hidden="false" name="Loans_Owed_Total" vbProcedure="false">'Your lists'!$D$30</definedName>
    <definedName function="false" hidden="false" name="Loans_Pay_Rng" vbProcedure="false">'Your lists'!$E$21:$E$28</definedName>
    <definedName function="false" hidden="false" name="Loans_Pay_Total" vbProcedure="false">'Your lists'!$D$31</definedName>
    <definedName function="false" hidden="false" name="Loans_Rate_Avg" vbProcedure="false">'Your lists'!$D$34</definedName>
    <definedName function="false" hidden="false" name="Look_Count" vbProcedure="false">'Plan results'!$C$141</definedName>
    <definedName function="false" hidden="false" name="LTI_FTB" vbProcedure="false">Assumptions!$C$79</definedName>
    <definedName function="false" hidden="false" name="LTI_SSB" vbProcedure="false">Assumptions!$C$80</definedName>
    <definedName function="false" hidden="false" name="LTV_Max" vbProcedure="false">Assumptions!$C$81</definedName>
    <definedName function="false" hidden="false" name="Lump_Sum_Cap" vbProcedure="false">Assumptions!$C$55</definedName>
    <definedName function="false" hidden="false" name="Lump_Sum_Max_Pct" vbProcedure="false">Assumptions!$C$53</definedName>
    <definedName function="false" hidden="false" name="Lump_Sum_Rate" vbProcedure="false">Assumptions!$C$56</definedName>
    <definedName function="false" hidden="false" name="Lump_Sum_Tax_Free" vbProcedure="false">Assumptions!$C$54</definedName>
    <definedName function="false" hidden="false" name="M2_Bal" vbProcedure="false">'Plan pay &amp; tax'!$C$187</definedName>
    <definedName function="false" hidden="false" name="M2_Pay" vbProcedure="false">'Plan pay &amp; tax'!$C$188</definedName>
    <definedName function="false" hidden="false" name="M2_Rate" vbProcedure="false">'Plan pay &amp; tax'!$C$189</definedName>
    <definedName function="false" hidden="false" name="Max_Money_Input" vbProcedure="false">Assumptions!$C$128</definedName>
    <definedName function="false" hidden="false" name="Min_Deposit_Pct" vbProcedure="false">Assumptions!$C$82</definedName>
    <definedName function="false" hidden="false" name="Missing_Count" vbProcedure="false">'Plan results'!$C$140</definedName>
    <definedName function="false" hidden="false" name="Mort2_Bal" vbProcedure="false">'Your lists'!$D$90</definedName>
    <definedName function="false" hidden="false" name="Mort2_NeedsRate" vbProcedure="false">'Your lists'!$D$94</definedName>
    <definedName function="false" hidden="false" name="Mort2_NeedsTerm" vbProcedure="false">'Your lists'!$D$93</definedName>
    <definedName function="false" hidden="false" name="Mort2_Owed_Rng" vbProcedure="false">'Your lists'!$D$86:$D$89</definedName>
    <definedName function="false" hidden="false" name="Mort2_Pay" vbProcedure="false">'Your lists'!$D$91</definedName>
    <definedName function="false" hidden="false" name="Mort2_Rate" vbProcedure="false">'Your lists'!$D$92</definedName>
    <definedName function="false" hidden="false" name="Mort2_Rate_Rng" vbProcedure="false">'Your lists'!$G$86:$G$89</definedName>
    <definedName function="false" hidden="false" name="MP_Year_1" vbProcedure="false">Assumptions!$C$100</definedName>
    <definedName function="false" hidden="false" name="MP_Year_2" vbProcedure="false">Assumptions!$C$101</definedName>
    <definedName function="false" hidden="false" name="MP_Year_3" vbProcedure="false">Assumptions!$C$102</definedName>
    <definedName function="false" hidden="false" name="Next_B" vbProcedure="false">'Plan results'!$C$223</definedName>
    <definedName function="false" hidden="false" name="Next_D" vbProcedure="false">'Plan results'!$C$222</definedName>
    <definedName function="false" hidden="false" name="Next_N" vbProcedure="false">'Plan results'!$C$220</definedName>
    <definedName function="false" hidden="false" name="Next_T" vbProcedure="false">'Plan results'!$C$221</definedName>
    <definedName function="false" hidden="false" name="Next_WIdx" vbProcedure="false">'Plan results'!$C$216</definedName>
    <definedName function="false" hidden="false" name="Next_WName" vbProcedure="false">'Plan results'!$C$218</definedName>
    <definedName function="false" hidden="false" name="Next_WPct" vbProcedure="false">'Plan results'!$C$217</definedName>
    <definedName function="false" hidden="false" name="Nudge_Show" vbProcedure="false">'Plan results'!$C$188</definedName>
    <definedName function="false" hidden="false" name="Nudge_X" vbProcedure="false">'Plan results'!$C$187</definedName>
    <definedName function="false" hidden="false" name="One_In_20_Z" vbProcedure="false">Assumptions!$C$103</definedName>
    <definedName function="false" hidden="false" name="Partner_Name" vbProcedure="false">Settings!$C$4</definedName>
    <definedName function="false" hidden="false" name="PA_12" vbProcedure="false">'Plan profile'!$D$11</definedName>
    <definedName function="false" hidden="false" name="PA_12_Typed" vbProcedure="false">'Plan profile'!$C$11</definedName>
    <definedName function="false" hidden="false" name="PA_2" vbProcedure="false">'Plan profile'!$D$5</definedName>
    <definedName function="false" hidden="false" name="PA_2_Typed" vbProcedure="false">'Plan profile'!$C$5</definedName>
    <definedName function="false" hidden="false" name="PA_4" vbProcedure="false">'Plan profile'!$D$6</definedName>
    <definedName function="false" hidden="false" name="PA_4_Typed" vbProcedure="false">'Plan profile'!$C$6</definedName>
    <definedName function="false" hidden="false" name="PA_6" vbProcedure="false">'Plan profile'!$D$7</definedName>
    <definedName function="false" hidden="false" name="PA_6_Typed" vbProcedure="false">'Plan profile'!$C$7</definedName>
    <definedName function="false" hidden="false" name="PA_7" vbProcedure="false">'Plan profile'!$D$8</definedName>
    <definedName function="false" hidden="false" name="PA_7_Typed" vbProcedure="false">'Plan profile'!$C$8</definedName>
    <definedName function="false" hidden="false" name="PA_8" vbProcedure="false">'Plan profile'!$D$9</definedName>
    <definedName function="false" hidden="false" name="PA_8_Typed" vbProcedure="false">'Plan profile'!$C$9</definedName>
    <definedName function="false" hidden="false" name="PA_9" vbProcedure="false">'Plan profile'!$D$10</definedName>
    <definedName function="false" hidden="false" name="PA_9_Typed" vbProcedure="false">'Plan profile'!$C$10</definedName>
    <definedName function="false" hidden="false" name="PA_chipShares" vbProcedure="false">'Plan profile'!$D$19</definedName>
    <definedName function="false" hidden="false" name="PA_chipShares_Typed" vbProcedure="false">'Plan profile'!$C$19</definedName>
    <definedName function="false" hidden="false" name="PA_chipsN" vbProcedure="false">'Plan profile'!$D$18</definedName>
    <definedName function="false" hidden="false" name="PA_chipsN_Typed" vbProcedure="false">'Plan profile'!$C$18</definedName>
    <definedName function="false" hidden="false" name="PA_chipsSafe" vbProcedure="false">'Plan profile'!$D$20</definedName>
    <definedName function="false" hidden="false" name="PA_chipsSafe_Typed" vbProcedure="false">'Plan profile'!$C$20</definedName>
    <definedName function="false" hidden="false" name="PA_u10" vbProcedure="false">'Plan profile'!$D$14</definedName>
    <definedName function="false" hidden="false" name="PA_u10_Typed" vbProcedure="false">'Plan profile'!$C$14</definedName>
    <definedName function="false" hidden="false" name="PA_u11" vbProcedure="false">'Plan profile'!$D$15</definedName>
    <definedName function="false" hidden="false" name="PA_u11_Typed" vbProcedure="false">'Plan profile'!$C$15</definedName>
    <definedName function="false" hidden="false" name="PA_u12" vbProcedure="false">'Plan profile'!$D$16</definedName>
    <definedName function="false" hidden="false" name="PA_u12_Typed" vbProcedure="false">'Plan profile'!$C$16</definedName>
    <definedName function="false" hidden="false" name="PA_u14" vbProcedure="false">'Plan profile'!$D$17</definedName>
    <definedName function="false" hidden="false" name="PA_u14_Typed" vbProcedure="false">'Plan profile'!$C$17</definedName>
    <definedName function="false" hidden="false" name="PA_u4" vbProcedure="false">'Plan profile'!$D$12</definedName>
    <definedName function="false" hidden="false" name="PA_u4_Typed" vbProcedure="false">'Plan profile'!$C$12</definedName>
    <definedName function="false" hidden="false" name="PA_u9" vbProcedure="false">'Plan profile'!$D$13</definedName>
    <definedName function="false" hidden="false" name="PA_u9_Typed" vbProcedure="false">'Plan profile'!$C$13</definedName>
    <definedName function="false" hidden="false" name="PDOB_AgeToday" vbProcedure="false">'Plan results'!$C$166</definedName>
    <definedName function="false" hidden="false" name="PDOB_Msg" vbProcedure="false">'Plan results'!$C$167</definedName>
    <definedName function="false" hidden="false" name="Pension_Earliest_Age" vbProcedure="false">Assumptions!$C$59</definedName>
    <definedName function="false" hidden="false" name="Pens_Monthly_Rng" vbProcedure="false">'Your lists'!$E$37:$E$44</definedName>
    <definedName function="false" hidden="false" name="Pens_Monthly_Total" vbProcedure="false">'Your lists'!$D$47</definedName>
    <definedName function="false" hidden="false" name="Pens_OwnGiven" vbProcedure="false">'Your lists'!$D$49</definedName>
    <definedName function="false" hidden="false" name="Pens_Own_Rng" vbProcedure="false">'Your lists'!$F$37:$F$44</definedName>
    <definedName function="false" hidden="false" name="Pens_Own_Total" vbProcedure="false">'Your lists'!$D$48</definedName>
    <definedName function="false" hidden="false" name="Pens_Value_Rng" vbProcedure="false">'Your lists'!$D$37:$D$44</definedName>
    <definedName function="false" hidden="false" name="Pens_Value_Total" vbProcedure="false">'Your lists'!$D$46</definedName>
    <definedName function="false" hidden="false" name="Plan_mPath" vbProcedure="false">'Plan debt months'!$DG$8:$DG$97</definedName>
    <definedName function="false" hidden="false" name="Plan_ShortLivingYears" vbProcedure="false">'Plan results'!$C$9</definedName>
    <definedName function="false" hidden="false" name="Plan_YearsShort" vbProcedure="false">'Plan results'!$C$8</definedName>
    <definedName function="false" hidden="false" name="PRet_Note" vbProcedure="false">'Plan results'!$C$162</definedName>
    <definedName function="false" hidden="false" name="Prof_Banner" vbProcedure="false">'Plan profile'!$C$131</definedName>
    <definedName function="false" hidden="false" name="Prof_C" vbProcedure="false">'Plan profile'!$C$112</definedName>
    <definedName function="false" hidden="false" name="Prof_CapHi" vbProcedure="false">'Plan profile'!$C$129</definedName>
    <definedName function="false" hidden="false" name="Prof_CapLo" vbProcedure="false">'Plan profile'!$C$128</definedName>
    <definedName function="false" hidden="false" name="Prof_Comfort" vbProcedure="false">'Plan profile'!$C$118</definedName>
    <definedName function="false" hidden="false" name="Prof_CompHi" vbProcedure="false">'Plan profile'!$C$123</definedName>
    <definedName function="false" hidden="false" name="Prof_CompLo" vbProcedure="false">'Plan profile'!$C$124</definedName>
    <definedName function="false" hidden="false" name="Prof_Cushion" vbProcedure="false">'Plan profile'!$C$119</definedName>
    <definedName function="false" hidden="false" name="Prof_DiscCount" vbProcedure="false">'Plan profile'!$C$78</definedName>
    <definedName function="false" hidden="false" name="Prof_DiscEnough" vbProcedure="false">'Plan profile'!$C$85</definedName>
    <definedName function="false" hidden="false" name="Prof_First" vbProcedure="false">'Plan profile'!$C$99</definedName>
    <definedName function="false" hidden="false" name="Prof_Full" vbProcedure="false">'Plan profile'!$C$106</definedName>
    <definedName function="false" hidden="false" name="Prof_H" vbProcedure="false">'Plan profile'!$C$113</definedName>
    <definedName function="false" hidden="false" name="Prof_KE" vbProcedure="false">'Plan profile'!$C$114</definedName>
    <definedName function="false" hidden="false" name="Prof_Key" vbProcedure="false">'Plan profile'!$B$23:$B$75</definedName>
    <definedName function="false" hidden="false" name="Prof_L2" vbProcedure="false">'Plan profile'!$C$96</definedName>
    <definedName function="false" hidden="false" name="Prof_Label" vbProcedure="false">'Plan profile'!$C$116</definedName>
    <definedName function="false" hidden="false" name="Prof_Level" vbProcedure="false">'Plan profile'!$C$115</definedName>
    <definedName function="false" hidden="false" name="Prof_Limit" vbProcedure="false">'Plan profile'!$C$117</definedName>
    <definedName function="false" hidden="false" name="Prof_LossLo" vbProcedure="false">'Plan profile'!$C$127</definedName>
    <definedName function="false" hidden="false" name="Prof_MisKey" vbProcedure="false">'Plan profile'!$C$130</definedName>
    <definedName function="false" hidden="false" name="Prof_NeedsProfile" vbProcedure="false">'Plan results'!$C$219</definedName>
    <definedName function="false" hidden="false" name="Prof_OtherAge" vbProcedure="false">'Plan profile'!$C$108</definedName>
    <definedName function="false" hidden="false" name="Prof_Personality" vbProcedure="false">'Plan profile'!$C$101</definedName>
    <definedName function="false" hidden="false" name="Prof_PotAge" vbProcedure="false">'Plan profile'!$C$107</definedName>
    <definedName function="false" hidden="false" name="Prof_Provisional" vbProcedure="false">'Plan profile'!$C$120</definedName>
    <definedName function="false" hidden="false" name="Prof_Q4L" vbProcedure="false">'Plan profile'!$C$98</definedName>
    <definedName function="false" hidden="false" name="Prof_Q4N" vbProcedure="false">'Plan profile'!$C$97</definedName>
    <definedName function="false" hidden="false" name="Prof_q6" vbProcedure="false">'Plan profile'!$C$102</definedName>
    <definedName function="false" hidden="false" name="Prof_q7" vbProcedure="false">'Plan profile'!$C$103</definedName>
    <definedName function="false" hidden="false" name="Prof_q8" vbProcedure="false">'Plan profile'!$C$104</definedName>
    <definedName function="false" hidden="false" name="Prof_q9" vbProcedure="false">'Plan profile'!$C$105</definedName>
    <definedName function="false" hidden="false" name="Prof_SA" vbProcedure="false">'Plan profile'!$C$86</definedName>
    <definedName function="false" hidden="false" name="Prof_SB" vbProcedure="false">'Plan profile'!$C$87</definedName>
    <definedName function="false" hidden="false" name="Prof_SC" vbProcedure="false">'Plan profile'!$C$89</definedName>
    <definedName function="false" hidden="false" name="Prof_SE" vbProcedure="false">'Plan profile'!$C$88</definedName>
    <definedName function="false" hidden="false" name="Prof_ShortT" vbProcedure="false">'Plan profile'!$C$126</definedName>
    <definedName function="false" hidden="false" name="Prof_SuggestU9" vbProcedure="false">'Plan profile'!$C$109</definedName>
    <definedName function="false" hidden="false" name="Prof_T" vbProcedure="false">'Plan profile'!$C$111</definedName>
    <definedName function="false" hidden="false" name="Prof_TA" vbProcedure="false">'Plan profile'!$C$91</definedName>
    <definedName function="false" hidden="false" name="Prof_TB" vbProcedure="false">'Plan profile'!$C$92</definedName>
    <definedName function="false" hidden="false" name="Prof_TC" vbProcedure="false">'Plan profile'!$C$94</definedName>
    <definedName function="false" hidden="false" name="Prof_TE" vbProcedure="false">'Plan profile'!$C$93</definedName>
    <definedName function="false" hidden="false" name="Prof_TermsAppetite" vbProcedure="false">'Plan profile'!$C$134</definedName>
    <definedName function="false" hidden="false" name="Prof_TermsBehaviour" vbProcedure="false">'Plan profile'!$C$133</definedName>
    <definedName function="false" hidden="false" name="Prof_TermsCapacity" vbProcedure="false">'Plan profile'!$C$135</definedName>
    <definedName function="false" hidden="false" name="Prof_TermsMindset" vbProcedure="false">'Plan profile'!$C$132</definedName>
    <definedName function="false" hidden="false" name="Prof_Thin" vbProcedure="false">'Plan profile'!$C$125</definedName>
    <definedName function="false" hidden="false" name="Prof_TiedN" vbProcedure="false">'Plan profile'!$C$95</definedName>
    <definedName function="false" hidden="false" name="Prof_Top" vbProcedure="false">'Plan profile'!$C$90</definedName>
    <definedName function="false" hidden="false" name="Prof_TypeKey" vbProcedure="false">'Plan profile'!$C$100</definedName>
    <definedName function="false" hidden="false" name="Prof_UmCount" vbProcedure="false">'Plan profile'!$C$79</definedName>
    <definedName function="false" hidden="false" name="Prof_UmLeft" vbProcedure="false">'Plan profile'!$C$83</definedName>
    <definedName function="false" hidden="false" name="Prof_UmLeftTxt" vbProcedure="false">'Plan profile'!$C$84</definedName>
    <definedName function="false" hidden="false" name="Prof_UmSec1" vbProcedure="false">'Plan profile'!$C$80</definedName>
    <definedName function="false" hidden="false" name="Prof_UmSec2" vbProcedure="false">'Plan profile'!$C$81</definedName>
    <definedName function="false" hidden="false" name="Prof_UmSec3" vbProcedure="false">'Plan profile'!$C$82</definedName>
    <definedName function="false" hidden="false" name="Prof_Wait" vbProcedure="false">'Plan profile'!$C$110</definedName>
    <definedName function="false" hidden="false" name="Prof_WantHi" vbProcedure="false">'Plan profile'!$C$121</definedName>
    <definedName function="false" hidden="false" name="Prof_WantLo" vbProcedure="false">'Plan profile'!$C$122</definedName>
    <definedName function="false" hidden="false" name="PRSI_Credit_Max" vbProcedure="false">Assumptions!$C$40</definedName>
    <definedName function="false" hidden="false" name="PRSI_Credit_Taper" vbProcedure="false">Assumptions!$C$42</definedName>
    <definedName function="false" hidden="false" name="PRSI_Credit_Top" vbProcedure="false">Assumptions!$C$41</definedName>
    <definedName function="false" hidden="false" name="PRSI_Free_Week" vbProcedure="false">Assumptions!$C$39</definedName>
    <definedName function="false" hidden="false" name="PRSI_Rate" vbProcedure="false">Assumptions!$C$37</definedName>
    <definedName function="false" hidden="false" name="PRSI_Rate_2026_Blend" vbProcedure="false">Assumptions!$C$38</definedName>
    <definedName function="false" hidden="false" name="PR_AEageMax" vbProcedure="false">'Plan pay &amp; tax'!$C$90</definedName>
    <definedName function="false" hidden="false" name="PR_AEageMin" vbProcedure="false">'Plan pay &amp; tax'!$C$89</definedName>
    <definedName function="false" hidden="false" name="PR_AEcap" vbProcedure="false">'Plan pay &amp; tax'!$C$92</definedName>
    <definedName function="false" hidden="false" name="PR_AEearnMin" vbProcedure="false">'Plan pay &amp; tax'!$C$91</definedName>
    <definedName function="false" hidden="false" name="PR_AEee" vbProcedure="false">'Plan pay &amp; tax'!$C$93</definedName>
    <definedName function="false" hidden="false" name="PR_AEer" vbProcedure="false">'Plan pay &amp; tax'!$C$94</definedName>
    <definedName function="false" hidden="false" name="PR_AEst" vbProcedure="false">'Plan pay &amp; tax'!$C$95</definedName>
    <definedName function="false" hidden="false" name="PR_AgeCr" vbProcedure="false">'Plan pay &amp; tax'!$C$21</definedName>
    <definedName function="false" hidden="false" name="PR_AgeCrAge" vbProcedure="false">'Plan pay &amp; tax'!$C$20</definedName>
    <definedName function="false" hidden="false" name="PR_AgeEx" vbProcedure="false">'Plan pay &amp; tax'!$C$22</definedName>
    <definedName function="false" hidden="false" name="PR_AgeExM" vbProcedure="false">'Plan pay &amp; tax'!$C$23</definedName>
    <definedName function="false" hidden="false" name="PR_AgeMarg" vbProcedure="false">'Plan pay &amp; tax'!$C$24</definedName>
    <definedName function="false" hidden="false" name="PR_ARF61" vbProcedure="false">'Plan pay &amp; tax'!$C$76</definedName>
    <definedName function="false" hidden="false" name="PR_ARF71" vbProcedure="false">'Plan pay &amp; tax'!$C$77</definedName>
    <definedName function="false" hidden="false" name="PR_ARFage1" vbProcedure="false">'Plan pay &amp; tax'!$C$101</definedName>
    <definedName function="false" hidden="false" name="PR_ARFage2" vbProcedure="false">'Plan pay &amp; tax'!$C$102</definedName>
    <definedName function="false" hidden="false" name="PR_ARFbig" vbProcedure="false">'Plan pay &amp; tax'!$C$79</definedName>
    <definedName function="false" hidden="false" name="PR_ARFbigRate" vbProcedure="false">'Plan pay &amp; tax'!$C$78</definedName>
    <definedName function="false" hidden="false" name="PR_BalDone" vbProcedure="false">'Plan pay &amp; tax'!$C$110</definedName>
    <definedName function="false" hidden="false" name="PR_Band" vbProcedure="false">'Plan pay &amp; tax'!$C$4</definedName>
    <definedName function="false" hidden="false" name="PR_BandM" vbProcedure="false">'Plan pay &amp; tax'!$C$6</definedName>
    <definedName function="false" hidden="false" name="PR_BandSPCCC" vbProcedure="false">'Plan pay &amp; tax'!$C$5</definedName>
    <definedName function="false" hidden="false" name="PR_Earliest" vbProcedure="false">'Plan pay &amp; tax'!$C$80</definedName>
    <definedName function="false" hidden="false" name="PR_EarnCap" vbProcedure="false">'Plan pay &amp; tax'!$C$66</definedName>
    <definedName function="false" hidden="false" name="PR_FbCard" vbProcedure="false">'Plan pay &amp; tax'!$C$113</definedName>
    <definedName function="false" hidden="false" name="PR_FbDrawFixed" vbProcedure="false">'Plan pay &amp; tax'!$C$114</definedName>
    <definedName function="false" hidden="false" name="PR_FbMortYears" vbProcedure="false">'Plan pay &amp; tax'!$C$116</definedName>
    <definedName function="false" hidden="false" name="PR_FbPenChg" vbProcedure="false">'Plan pay &amp; tax'!$C$117</definedName>
    <definedName function="false" hidden="false" name="PR_FbPlanEnd1" vbProcedure="false">'Plan pay &amp; tax'!$C$120</definedName>
    <definedName function="false" hidden="false" name="PR_FbPlanEnd2" vbProcedure="false">'Plan pay &amp; tax'!$C$121</definedName>
    <definedName function="false" hidden="false" name="PR_FbRetireAge" vbProcedure="false">'Plan pay &amp; tax'!$C$115</definedName>
    <definedName function="false" hidden="false" name="PR_FbSpOther" vbProcedure="false">'Plan pay &amp; tax'!$C$119</definedName>
    <definedName function="false" hidden="false" name="PR_FbSpPartly" vbProcedure="false">'Plan pay &amp; tax'!$C$118</definedName>
    <definedName function="false" hidden="false" name="PR_GoalMaxAge" vbProcedure="false">'Plan pay &amp; tax'!$C$106</definedName>
    <definedName function="false" hidden="false" name="PR_Good" vbProcedure="false">'Plan pay &amp; tax'!$C$124</definedName>
    <definedName function="false" hidden="false" name="PR_HCLimit" vbProcedure="false">'Plan pay &amp; tax'!$C$19</definedName>
    <definedName function="false" hidden="false" name="PR_HomeCarer" vbProcedure="false">'Plan pay &amp; tax'!$C$18</definedName>
    <definedName function="false" hidden="false" name="PR_LowPct" vbProcedure="false">'Plan pay &amp; tax'!$C$108</definedName>
    <definedName function="false" hidden="false" name="PR_LScap" vbProcedure="false">'Plan pay &amp; tax'!$C$69</definedName>
    <definedName function="false" hidden="false" name="PR_LSfree" vbProcedure="false">'Plan pay &amp; tax'!$C$68</definedName>
    <definedName function="false" hidden="false" name="PR_LSmax" vbProcedure="false">'Plan pay &amp; tax'!$C$67</definedName>
    <definedName function="false" hidden="false" name="PR_LSrate" vbProcedure="false">'Plan pay &amp; tax'!$C$70</definedName>
    <definedName function="false" hidden="false" name="PR_MinShort" vbProcedure="false">'Plan pay &amp; tax'!$C$111</definedName>
    <definedName function="false" hidden="false" name="PR_Nudge" vbProcedure="false">'Plan pay &amp; tax'!$C$125</definedName>
    <definedName function="false" hidden="false" name="PR_NudgeStep" vbProcedure="false">'Plan pay &amp; tax'!$C$109</definedName>
    <definedName function="false" hidden="false" name="PR_Over80" vbProcedure="false">'Plan pay &amp; tax'!$C$84</definedName>
    <definedName function="false" hidden="false" name="PR_Over80Age" vbProcedure="false">'Plan pay &amp; tax'!$C$103</definedName>
    <definedName function="false" hidden="false" name="PR_PAYE" vbProcedure="false">'Plan pay &amp; tax'!$C$12</definedName>
    <definedName function="false" hidden="false" name="PR_PAYEcap" vbProcedure="false">'Plan pay &amp; tax'!$C$13</definedName>
    <definedName function="false" hidden="false" name="PR_PctCap" vbProcedure="false">'Plan pay &amp; tax'!$C$107</definedName>
    <definedName function="false" hidden="false" name="PR_Personal" vbProcedure="false">'Plan pay &amp; tax'!$C$10</definedName>
    <definedName function="false" hidden="false" name="PR_PersonalM" vbProcedure="false">'Plan pay &amp; tax'!$C$11</definedName>
    <definedName function="false" hidden="false" name="PR_PRSIcreditMax" vbProcedure="false">'Plan pay &amp; tax'!$C$48</definedName>
    <definedName function="false" hidden="false" name="PR_PRSIcreditTo" vbProcedure="false">'Plan pay &amp; tax'!$C$49</definedName>
    <definedName function="false" hidden="false" name="PR_PRSIend" vbProcedure="false">'Plan pay &amp; tax'!$C$51</definedName>
    <definedName function="false" hidden="false" name="PR_PRSIfree" vbProcedure="false">'Plan pay &amp; tax'!$C$47</definedName>
    <definedName function="false" hidden="false" name="PR_PRSIr0" vbProcedure="false">'Plan pay &amp; tax'!$C$40</definedName>
    <definedName function="false" hidden="false" name="PR_PRSIr1" vbProcedure="false">'Plan pay &amp; tax'!$C$41</definedName>
    <definedName function="false" hidden="false" name="PR_PRSIr2" vbProcedure="false">'Plan pay &amp; tax'!$C$42</definedName>
    <definedName function="false" hidden="false" name="PR_PRSIr3" vbProcedure="false">'Plan pay &amp; tax'!$C$43</definedName>
    <definedName function="false" hidden="false" name="PR_PRSIsMin" vbProcedure="false">'Plan pay &amp; tax'!$C$53</definedName>
    <definedName function="false" hidden="false" name="PR_PRSIsMinInc" vbProcedure="false">'Plan pay &amp; tax'!$C$52</definedName>
    <definedName function="false" hidden="false" name="PR_PRSIt1" vbProcedure="false">'Plan pay &amp; tax'!$C$44</definedName>
    <definedName function="false" hidden="false" name="PR_PRSIt2" vbProcedure="false">'Plan pay &amp; tax'!$C$45</definedName>
    <definedName function="false" hidden="false" name="PR_PRSIt3" vbProcedure="false">'Plan pay &amp; tax'!$C$46</definedName>
    <definedName function="false" hidden="false" name="PR_PRSItaper" vbProcedure="false">'Plan pay &amp; tax'!$C$50</definedName>
    <definedName function="false" hidden="false" name="PR_PRSIunearned" vbProcedure="false">'Plan pay &amp; tax'!$C$54</definedName>
    <definedName function="false" hidden="false" name="PR_QA66" vbProcedure="false">'Plan pay &amp; tax'!$C$85</definedName>
    <definedName function="false" hidden="false" name="PR_QAunder" vbProcedure="false">'Plan pay &amp; tax'!$C$86</definedName>
    <definedName function="false" hidden="false" name="PR_r1" vbProcedure="false">'Plan pay &amp; tax'!$C$8</definedName>
    <definedName function="false" hidden="false" name="PR_r2" vbProcedure="false">'Plan pay &amp; tax'!$C$9</definedName>
    <definedName function="false" hidden="false" name="PR_RelA1" vbProcedure="false">'Plan pay &amp; tax'!$C$55</definedName>
    <definedName function="false" hidden="false" name="PR_RelA2" vbProcedure="false">'Plan pay &amp; tax'!$C$57</definedName>
    <definedName function="false" hidden="false" name="PR_RelA3" vbProcedure="false">'Plan pay &amp; tax'!$C$59</definedName>
    <definedName function="false" hidden="false" name="PR_RelA4" vbProcedure="false">'Plan pay &amp; tax'!$C$61</definedName>
    <definedName function="false" hidden="false" name="PR_RelA5" vbProcedure="false">'Plan pay &amp; tax'!$C$63</definedName>
    <definedName function="false" hidden="false" name="PR_RelP1" vbProcedure="false">'Plan pay &amp; tax'!$C$56</definedName>
    <definedName function="false" hidden="false" name="PR_RelP2" vbProcedure="false">'Plan pay &amp; tax'!$C$58</definedName>
    <definedName function="false" hidden="false" name="PR_RelP3" vbProcedure="false">'Plan pay &amp; tax'!$C$60</definedName>
    <definedName function="false" hidden="false" name="PR_RelP4" vbProcedure="false">'Plan pay &amp; tax'!$C$62</definedName>
    <definedName function="false" hidden="false" name="PR_RelP5" vbProcedure="false">'Plan pay &amp; tax'!$C$64</definedName>
    <definedName function="false" hidden="false" name="PR_RelP6" vbProcedure="false">'Plan pay &amp; tax'!$C$65</definedName>
    <definedName function="false" hidden="false" name="PR_Rent" vbProcedure="false">'Plan pay &amp; tax'!$C$14</definedName>
    <definedName function="false" hidden="false" name="PR_RentJoint" vbProcedure="false">'Plan pay &amp; tax'!$C$15</definedName>
    <definedName function="false" hidden="false" name="PR_RentLast" vbProcedure="false">'Plan pay &amp; tax'!$C$16</definedName>
    <definedName function="false" hidden="false" name="PR_SaveB1" vbProcedure="false">'Plan pay &amp; tax'!$C$96</definedName>
    <definedName function="false" hidden="false" name="PR_SaveB2" vbProcedure="false">'Plan pay &amp; tax'!$C$97</definedName>
    <definedName function="false" hidden="false" name="PR_SaveB3" vbProcedure="false">'Plan pay &amp; tax'!$C$98</definedName>
    <definedName function="false" hidden="false" name="PR_SaveB4" vbProcedure="false">'Plan pay &amp; tax'!$C$99</definedName>
    <definedName function="false" hidden="false" name="PR_SFT2026" vbProcedure="false">'Plan pay &amp; tax'!$C$71</definedName>
    <definedName function="false" hidden="false" name="PR_SFT2027" vbProcedure="false">'Plan pay &amp; tax'!$C$72</definedName>
    <definedName function="false" hidden="false" name="PR_SFT2028" vbProcedure="false">'Plan pay &amp; tax'!$C$73</definedName>
    <definedName function="false" hidden="false" name="PR_SFT2029" vbProcedure="false">'Plan pay &amp; tax'!$C$74</definedName>
    <definedName function="false" hidden="false" name="PR_SFTfrom" vbProcedure="false">'Plan pay &amp; tax'!$C$104</definedName>
    <definedName function="false" hidden="false" name="PR_SFTrate" vbProcedure="false">'Plan pay &amp; tax'!$C$75</definedName>
    <definedName function="false" hidden="false" name="PR_SFTto" vbProcedure="false">'Plan pay &amp; tax'!$C$105</definedName>
    <definedName function="false" hidden="false" name="PR_ShareVaries" vbProcedure="false">'Plan pay &amp; tax'!$C$100</definedName>
    <definedName function="false" hidden="false" name="PR_Short1" vbProcedure="false">'Plan pay &amp; tax'!$C$122</definedName>
    <definedName function="false" hidden="false" name="PR_Short2" vbProcedure="false">'Plan pay &amp; tax'!$C$123</definedName>
    <definedName function="false" hidden="false" name="PR_SortBig" vbProcedure="false">'Plan pay &amp; tax'!$C$112</definedName>
    <definedName function="false" hidden="false" name="PR_SPage" vbProcedure="false">'Plan pay &amp; tax'!$C$83</definedName>
    <definedName function="false" hidden="false" name="PR_SPCCC" vbProcedure="false">'Plan pay &amp; tax'!$C$17</definedName>
    <definedName function="false" hidden="false" name="PR_SPfull" vbProcedure="false">'Plan pay &amp; tax'!$C$87</definedName>
    <definedName function="false" hidden="false" name="PR_SPmin" vbProcedure="false">'Plan pay &amp; tax'!$C$88</definedName>
    <definedName function="false" hidden="false" name="PR_SPweek" vbProcedure="false">'Plan pay &amp; tax'!$C$81</definedName>
    <definedName function="false" hidden="false" name="PR_StartSwitch" vbProcedure="false">'Plan pay &amp; tax'!$C$126</definedName>
    <definedName function="false" hidden="false" name="PR_Uplift" vbProcedure="false">'Plan pay &amp; tax'!$C$7</definedName>
    <definedName function="false" hidden="false" name="PR_USCb1" vbProcedure="false">'Plan pay &amp; tax'!$C$26</definedName>
    <definedName function="false" hidden="false" name="PR_USCb2" vbProcedure="false">'Plan pay &amp; tax'!$C$27</definedName>
    <definedName function="false" hidden="false" name="PR_USCb3" vbProcedure="false">'Plan pay &amp; tax'!$C$28</definedName>
    <definedName function="false" hidden="false" name="PR_USCex" vbProcedure="false">'Plan pay &amp; tax'!$C$25</definedName>
    <definedName function="false" hidden="false" name="PR_USCr1" vbProcedure="false">'Plan pay &amp; tax'!$C$29</definedName>
    <definedName function="false" hidden="false" name="PR_USCr2" vbProcedure="false">'Plan pay &amp; tax'!$C$30</definedName>
    <definedName function="false" hidden="false" name="PR_USCr3" vbProcedure="false">'Plan pay &amp; tax'!$C$31</definedName>
    <definedName function="false" hidden="false" name="PR_USCr4" vbProcedure="false">'Plan pay &amp; tax'!$C$32</definedName>
    <definedName function="false" hidden="false" name="PR_USCredAge" vbProcedure="false">'Plan pay &amp; tax'!$C$33</definedName>
    <definedName function="false" hidden="false" name="PR_USCredB1" vbProcedure="false">'Plan pay &amp; tax'!$C$35</definedName>
    <definedName function="false" hidden="false" name="PR_USCredMax" vbProcedure="false">'Plan pay &amp; tax'!$C$34</definedName>
    <definedName function="false" hidden="false" name="PR_USCredR1" vbProcedure="false">'Plan pay &amp; tax'!$C$36</definedName>
    <definedName function="false" hidden="false" name="PR_USCredR2" vbProcedure="false">'Plan pay &amp; tax'!$C$37</definedName>
    <definedName function="false" hidden="false" name="PR_USCse" vbProcedure="false">'Plan pay &amp; tax'!$C$38</definedName>
    <definedName function="false" hidden="false" name="PR_USCseOver" vbProcedure="false">'Plan pay &amp; tax'!$C$39</definedName>
    <definedName function="false" hidden="false" name="PR_Weeks" vbProcedure="false">'Plan pay &amp; tax'!$C$82</definedName>
    <definedName function="false" hidden="false" name="Rate_Higher" vbProcedure="false">Assumptions!$C$15</definedName>
    <definedName function="false" hidden="false" name="Rate_Standard" vbProcedure="false">Assumptions!$C$14</definedName>
    <definedName function="false" hidden="false" name="Reader_Confidence_Min" vbProcedure="false">Assumptions!$C$95</definedName>
    <definedName function="false" hidden="false" name="Relief_Age_From" vbProcedure="false">Assumptions!$C$46:$C$51</definedName>
    <definedName function="false" hidden="false" name="Relief_Age_Pct" vbProcedure="false">Assumptions!$D$46:$D$51</definedName>
    <definedName function="false" hidden="false" name="Relief_Earnings_Cap" vbProcedure="false">Assumptions!$C$52</definedName>
    <definedName function="false" hidden="false" name="Rep_AfterReliefM" vbProcedure="false">'Report spec'!$D$48</definedName>
    <definedName function="false" hidden="false" name="Rep_GrossMoreM" vbProcedure="false">'Report spec'!$D$49</definedName>
    <definedName function="false" hidden="false" name="Rep_GrossMoreM2" vbProcedure="false">'Report spec'!$D$50</definedName>
    <definedName function="false" hidden="false" name="Rep_LimitM" vbProcedure="false">'Report spec'!$D$47</definedName>
    <definedName function="false" hidden="false" name="Rep_MoreM" vbProcedure="false">'Report spec'!$D$44</definedName>
    <definedName function="false" hidden="false" name="Rep_MoreM2" vbProcedure="false">'Report spec'!$D$45</definedName>
    <definedName function="false" hidden="false" name="Rep_SharePct" vbProcedure="false">'Report spec'!$D$41</definedName>
    <definedName function="false" hidden="false" name="Rep_Step" vbProcedure="false">'Report spec'!$D$42</definedName>
    <definedName function="false" hidden="false" name="Rep_TakeHomeM" vbProcedure="false">'Report spec'!$D$43</definedName>
    <definedName function="false" hidden="false" name="Rep_TaxRate" vbProcedure="false">'Report spec'!$D$46</definedName>
    <definedName function="false" hidden="false" name="Req_Count" vbProcedure="false">'Plan results'!$C$26</definedName>
    <definedName function="false" hidden="false" name="Req_Got" vbProcedure="false">'Plan results'!$C$28</definedName>
    <definedName function="false" hidden="false" name="Req_Heading" vbProcedure="false">'Plan results'!$C$27</definedName>
    <definedName function="false" hidden="false" name="Retire_Help" vbProcedure="false">'Plan results'!$C$159</definedName>
    <definedName function="false" hidden="false" name="Retire_Max" vbProcedure="false">'Plan results'!$C$158</definedName>
    <definedName function="false" hidden="false" name="Retire_Min" vbProcedure="false">'Plan results'!$C$157</definedName>
    <definedName function="false" hidden="false" name="Retire_Note" vbProcedure="false">'Plan results'!$C$161</definedName>
    <definedName function="false" hidden="false" name="Retire_RangeText" vbProcedure="false">'Plan results'!$C$160</definedName>
    <definedName function="false" hidden="false" name="Ret_IncomeMonth" vbProcedure="false">'Plan results'!$C$46</definedName>
    <definedName function="false" hidden="false" name="Ret_LumpNet" vbProcedure="false">'Plan results'!$C$47</definedName>
    <definedName function="false" hidden="false" name="Ret_PotNominal" vbProcedure="false">'Plan results'!$C$45</definedName>
    <definedName function="false" hidden="false" name="Ret_Year" vbProcedure="false">'Plan results'!$C$44</definedName>
    <definedName function="false" hidden="false" name="RG_Amount" vbProcedure="false">'Plan goals'!$D$50</definedName>
    <definedName function="false" hidden="false" name="RG_Exists" vbProcedure="false">'Plan goals'!$D$48</definedName>
    <definedName function="false" hidden="false" name="RG_Row" vbProcedure="false">'Plan goals'!$D$49</definedName>
    <definedName function="false" hidden="false" name="Risk_Names" vbProcedure="false">Assumptions!$C$104:$C$106</definedName>
    <definedName function="false" hidden="false" name="Road_FirstShortAge" vbProcedure="false">'Plan results'!$C$201</definedName>
    <definedName function="false" hidden="false" name="Road_ShortYears" vbProcedure="false">'Plan results'!$C$202</definedName>
    <definedName function="false" hidden="false" name="Rough_Show" vbProcedure="false">'Plan results'!$C$154</definedName>
    <definedName function="false" hidden="false" name="Rules_Year" vbProcedure="false">Assumptions!$C$125</definedName>
    <definedName function="false" hidden="false" name="Rules_Year_Next" vbProcedure="false">Assumptions!$C$126</definedName>
    <definedName function="false" hidden="false" name="Save_AutoM" vbProcedure="false">'Plan results'!$C$7</definedName>
    <definedName function="false" hidden="false" name="Save_SaveM" vbProcedure="false">'Plan results'!$C$6</definedName>
    <definedName function="false" hidden="false" name="Save_SaveM_Base" vbProcedure="false">'Plan results'!$C$186</definedName>
    <definedName function="false" hidden="false" name="Save_SurplusM" vbProcedure="false">'Plan results'!$C$5</definedName>
    <definedName function="false" hidden="false" name="Scheme_Earliest_Age" vbProcedure="false">Assumptions!$C$127</definedName>
    <definedName function="false" hidden="false" name="SD_Band_1" vbProcedure="false">Assumptions!$C$85</definedName>
    <definedName function="false" hidden="false" name="SD_Band_2" vbProcedure="false">Assumptions!$C$87</definedName>
    <definedName function="false" hidden="false" name="SD_Rate_1" vbProcedure="false">Assumptions!$C$84</definedName>
    <definedName function="false" hidden="false" name="SD_Rate_2" vbProcedure="false">Assumptions!$C$86</definedName>
    <definedName function="false" hidden="false" name="SD_Rate_3" vbProcedure="false">Assumptions!$C$88</definedName>
    <definedName function="false" hidden="false" name="Set_accessAge" vbProcedure="false">Settings!$C$59</definedName>
    <definedName function="false" hidden="false" name="Set_accessAge_Label" vbProcedure="false">Settings!$G$59</definedName>
    <definedName function="false" hidden="false" name="Set_bands" vbProcedure="false">Settings!$C$39</definedName>
    <definedName function="false" hidden="false" name="Set_bands_Label" vbProcedure="false">Settings!$G$39</definedName>
    <definedName function="false" hidden="false" name="Set_budget" vbProcedure="false">Settings!$C$37</definedName>
    <definedName function="false" hidden="false" name="Set_budget_1" vbProcedure="false">Settings!$C$37</definedName>
    <definedName function="false" hidden="false" name="Set_budget_2" vbProcedure="false">Settings!$D$37</definedName>
    <definedName function="false" hidden="false" name="Set_budget_3" vbProcedure="false">Settings!$E$37</definedName>
    <definedName function="false" hidden="false" name="Set_budget_Label" vbProcedure="false">Settings!$G$37</definedName>
    <definedName function="false" hidden="false" name="Set_buyFees" vbProcedure="false">Settings!$C$50</definedName>
    <definedName function="false" hidden="false" name="Set_buyFees_Label" vbProcedure="false">Settings!$G$50</definedName>
    <definedName function="false" hidden="false" name="Set_buyFees_Published" vbProcedure="false">Settings!$G$50</definedName>
    <definedName function="false" hidden="false" name="Set_cardRate" vbProcedure="false">Settings!$C$48</definedName>
    <definedName function="false" hidden="false" name="Set_cardRate_Label" vbProcedure="false">Settings!$G$48</definedName>
    <definedName function="false" hidden="false" name="Set_cardRate_Published" vbProcedure="false">Settings!$G$48</definedName>
    <definedName function="false" hidden="false" name="Set_cash" vbProcedure="false">Settings!$C$10</definedName>
    <definedName function="false" hidden="false" name="Set_cashYears" vbProcedure="false">Settings!$C$27</definedName>
    <definedName function="false" hidden="false" name="Set_cashYears_Label" vbProcedure="false">Settings!$G$27</definedName>
    <definedName function="false" hidden="false" name="Set_cash_Cautious" vbProcedure="false">Settings!$F$10</definedName>
    <definedName function="false" hidden="false" name="Set_cash_Label" vbProcedure="false">Settings!$G$10</definedName>
    <definedName function="false" hidden="false" name="Set_ddTiming" vbProcedure="false">Settings!$C$42</definedName>
    <definedName function="false" hidden="false" name="Set_ddTiming_Label" vbProcedure="false">Settings!$G$42</definedName>
    <definedName function="false" hidden="false" name="Set_depRate" vbProcedure="false">Settings!$C$49</definedName>
    <definedName function="false" hidden="false" name="Set_depRate_Label" vbProcedure="false">Settings!$G$49</definedName>
    <definedName function="false" hidden="false" name="Set_depRate_Published" vbProcedure="false">Settings!$G$49</definedName>
    <definedName function="false" hidden="false" name="Set_drawRule" vbProcedure="false">Settings!$C$41</definedName>
    <definedName function="false" hidden="false" name="Set_drawRule_Label" vbProcedure="false">Settings!$G$41</definedName>
    <definedName function="false" hidden="false" name="Set_fundChg" vbProcedure="false">Settings!$C$51</definedName>
    <definedName function="false" hidden="false" name="Set_fundChg_Label" vbProcedure="false">Settings!$G$51</definedName>
    <definedName function="false" hidden="false" name="Set_fundChg_Published" vbProcedure="false">Settings!$G$51</definedName>
    <definedName function="false" hidden="false" name="Set_g_lifeMen65" vbProcedure="false">Settings!$C$53</definedName>
    <definedName function="false" hidden="false" name="Set_g_lifeMen65_Label" vbProcedure="false">Settings!$G$53</definedName>
    <definedName function="false" hidden="false" name="Set_g_lifeWomen65" vbProcedure="false">Settings!$C$54</definedName>
    <definedName function="false" hidden="false" name="Set_g_lifeWomen65_Label" vbProcedure="false">Settings!$G$54</definedName>
    <definedName function="false" hidden="false" name="Set_houseGrow" vbProcedure="false">Settings!$C$17</definedName>
    <definedName function="false" hidden="false" name="Set_houseGrow_Label" vbProcedure="false">Settings!$G$17</definedName>
    <definedName function="false" hidden="false" name="Set_infl" vbProcedure="false">Settings!$C$8</definedName>
    <definedName function="false" hidden="false" name="Set_inflNow" vbProcedure="false">Settings!$C$56</definedName>
    <definedName function="false" hidden="false" name="Set_infl_Label" vbProcedure="false">Settings!$G$8</definedName>
    <definedName function="false" hidden="false" name="Set_inv" vbProcedure="false">Settings!$C$11</definedName>
    <definedName function="false" hidden="false" name="Set_investShare" vbProcedure="false">Settings!$C$28</definedName>
    <definedName function="false" hidden="false" name="Set_investShare_Label" vbProcedure="false">Settings!$G$28</definedName>
    <definedName function="false" hidden="false" name="Set_invGross" vbProcedure="false">Settings!$C$12</definedName>
    <definedName function="false" hidden="false" name="Set_invGross_Label" vbProcedure="false">Settings!$G$12</definedName>
    <definedName function="false" hidden="false" name="Set_inv_Cautious" vbProcedure="false">Settings!$F$11</definedName>
    <definedName function="false" hidden="false" name="Set_inv_Label" vbProcedure="false">Settings!$G$11</definedName>
    <definedName function="false" hidden="false" name="Set_lifeShare" vbProcedure="false">Settings!$C$32</definedName>
    <definedName function="false" hidden="false" name="Set_lifeShare_Label" vbProcedure="false">Settings!$G$32</definedName>
    <definedName function="false" hidden="false" name="Set_lifeYears" vbProcedure="false">Settings!$C$33</definedName>
    <definedName function="false" hidden="false" name="Set_lifeYears_Label" vbProcedure="false">Settings!$G$33</definedName>
    <definedName function="false" hidden="false" name="Set_loanRate" vbProcedure="false">Settings!$C$47</definedName>
    <definedName function="false" hidden="false" name="Set_loanRate_Label" vbProcedure="false">Settings!$G$47</definedName>
    <definedName function="false" hidden="false" name="Set_loanRate_Published" vbProcedure="false">Settings!$G$47</definedName>
    <definedName function="false" hidden="false" name="Set_lumpSum" vbProcedure="false">Settings!$C$23</definedName>
    <definedName function="false" hidden="false" name="Set_lumpSum_Label" vbProcedure="false">Settings!$G$23</definedName>
    <definedName function="false" hidden="false" name="Set_mortRate" vbProcedure="false">Settings!$C$46</definedName>
    <definedName function="false" hidden="false" name="Set_mortRate_Label" vbProcedure="false">Settings!$G$46</definedName>
    <definedName function="false" hidden="false" name="Set_mortRate_Published" vbProcedure="false">Settings!$G$46</definedName>
    <definedName function="false" hidden="false" name="Set_noAnswer" vbProcedure="false">Settings!$C$30</definedName>
    <definedName function="false" hidden="false" name="Set_noAnswer_Label" vbProcedure="false">Settings!$G$30</definedName>
    <definedName function="false" hidden="false" name="Set_ownShare" vbProcedure="false">Settings!$C$20</definedName>
    <definedName function="false" hidden="false" name="Set_ownShare_Label" vbProcedure="false">Settings!$G$20</definedName>
    <definedName function="false" hidden="false" name="Set_pen" vbProcedure="false">Settings!$C$13</definedName>
    <definedName function="false" hidden="false" name="Set_penRet" vbProcedure="false">Settings!$C$14</definedName>
    <definedName function="false" hidden="false" name="Set_penRet_Cautious" vbProcedure="false">Settings!$F$14</definedName>
    <definedName function="false" hidden="false" name="Set_penRet_Label" vbProcedure="false">Settings!$G$14</definedName>
    <definedName function="false" hidden="false" name="Set_pen_Cautious" vbProcedure="false">Settings!$F$13</definedName>
    <definedName function="false" hidden="false" name="Set_pen_Label" vbProcedure="false">Settings!$G$13</definedName>
    <definedName function="false" hidden="false" name="Set_rentRise" vbProcedure="false">Settings!$C$16</definedName>
    <definedName function="false" hidden="false" name="Set_rentRise_Label" vbProcedure="false">Settings!$G$16</definedName>
    <definedName function="false" hidden="false" name="Set_retireMult" vbProcedure="false">Settings!$C$21</definedName>
    <definedName function="false" hidden="false" name="Set_retireMult_Label" vbProcedure="false">Settings!$G$21</definedName>
    <definedName function="false" hidden="false" name="Set_retireSpend" vbProcedure="false">Settings!$C$22</definedName>
    <definedName function="false" hidden="false" name="Set_retireSpend_Label" vbProcedure="false">Settings!$G$22</definedName>
    <definedName function="false" hidden="false" name="Set_riskMu" vbProcedure="false">Settings!$C$35</definedName>
    <definedName function="false" hidden="false" name="Set_riskMu_1" vbProcedure="false">Settings!$C$35</definedName>
    <definedName function="false" hidden="false" name="Set_riskMu_2" vbProcedure="false">Settings!$D$35</definedName>
    <definedName function="false" hidden="false" name="Set_riskMu_3" vbProcedure="false">Settings!$E$35</definedName>
    <definedName function="false" hidden="false" name="Set_riskMu_Label" vbProcedure="false">Settings!$G$35</definedName>
    <definedName function="false" hidden="false" name="Set_riskVol" vbProcedure="false">Settings!$C$36</definedName>
    <definedName function="false" hidden="false" name="Set_riskVol_1" vbProcedure="false">Settings!$C$36</definedName>
    <definedName function="false" hidden="false" name="Set_riskVol_2" vbProcedure="false">Settings!$D$36</definedName>
    <definedName function="false" hidden="false" name="Set_riskVol_3" vbProcedure="false">Settings!$E$36</definedName>
    <definedName function="false" hidden="false" name="Set_riskVol_Label" vbProcedure="false">Settings!$G$36</definedName>
    <definedName function="false" hidden="false" name="Set_safetyMonths" vbProcedure="false">Settings!$C$25</definedName>
    <definedName function="false" hidden="false" name="Set_safetyMonthsTwo" vbProcedure="false">Settings!$C$26</definedName>
    <definedName function="false" hidden="false" name="Set_safetyMonthsTwo_Label" vbProcedure="false">Settings!$G$26</definedName>
    <definedName function="false" hidden="false" name="Set_safetyMonths_Label" vbProcedure="false">Settings!$G$25</definedName>
    <definedName function="false" hidden="false" name="Set_saveShare" vbProcedure="false">Settings!$C$29</definedName>
    <definedName function="false" hidden="false" name="Set_saveShare_Label" vbProcedure="false">Settings!$G$29</definedName>
    <definedName function="false" hidden="false" name="Set_spGrow" vbProcedure="false">Settings!$C$40</definedName>
    <definedName function="false" hidden="false" name="Set_spGrow_Label" vbProcedure="false">Settings!$G$40</definedName>
    <definedName function="false" hidden="false" name="Set_style" vbProcedure="false">Settings!$C$44</definedName>
    <definedName function="false" hidden="false" name="Set_style_Label" vbProcedure="false">Settings!$G$44</definedName>
    <definedName function="false" hidden="false" name="Set_upkeep" vbProcedure="false">Settings!$C$18</definedName>
    <definedName function="false" hidden="false" name="Set_upkeep_Label" vbProcedure="false">Settings!$G$18</definedName>
    <definedName function="false" hidden="false" name="Set_wage" vbProcedure="false">Settings!$C$9</definedName>
    <definedName function="false" hidden="false" name="Set_wage_Cautious" vbProcedure="false">Settings!$F$9</definedName>
    <definedName function="false" hidden="false" name="Set_wage_Label" vbProcedure="false">Settings!$G$9</definedName>
    <definedName function="false" hidden="false" name="Set_waitYears" vbProcedure="false">Settings!$C$43</definedName>
    <definedName function="false" hidden="false" name="Set_waitYears_Label" vbProcedure="false">Settings!$G$43</definedName>
    <definedName function="false" hidden="false" name="SFT_2026" vbProcedure="false">Assumptions!$C$57</definedName>
    <definedName function="false" hidden="false" name="SFT_Tax" vbProcedure="false">Assumptions!$C$58</definedName>
    <definedName function="false" hidden="false" name="Shares_For_Balanced" vbProcedure="false">Assumptions!$C$93</definedName>
    <definedName function="false" hidden="false" name="Shares_For_Growth" vbProcedure="false">Assumptions!$C$92</definedName>
    <definedName function="false" hidden="false" name="Slip_Count" vbProcedure="false">'Plan results'!$C$96</definedName>
    <definedName function="false" hidden="false" name="Slip_Names" vbProcedure="false">'Plan results'!$C$97</definedName>
    <definedName function="false" hidden="false" name="Slot10_Age" vbProcedure="false">'Plan goals'!$G$63</definedName>
    <definedName function="false" hidden="false" name="Slot10_Amount" vbProcedure="false">'Plan goals'!$H$63</definedName>
    <definedName function="false" hidden="false" name="Slot10_AvgM" vbProcedure="false">'Plan goals'!$M$96</definedName>
    <definedName function="false" hidden="false" name="Slot10_BufPot" vbProcedure="false">'Plan goals'!$O$63</definedName>
    <definedName function="false" hidden="false" name="Slot10_Cost" vbProcedure="false">'Plan goals'!$L$63</definedName>
    <definedName function="false" hidden="false" name="Slot10_IsMfree" vbProcedure="false">'Plan goals'!$P$63</definedName>
    <definedName function="false" hidden="false" name="Slot10_IsWG" vbProcedure="false">'Plan goals'!$Q$63</definedName>
    <definedName function="false" hidden="false" name="Slot10_Key" vbProcedure="false">'Plan goals'!$E$63</definedName>
    <definedName function="false" hidden="false" name="Slot10_Kind" vbProcedure="false">'Plan goals'!$F$63</definedName>
    <definedName function="false" hidden="false" name="Slot10_N" vbProcedure="false">'Plan goals'!$J$63</definedName>
    <definedName function="false" hidden="false" name="Slot10_NeedM" vbProcedure="false">'Plan goals'!$K$96</definedName>
    <definedName function="false" hidden="false" name="Slot10_NowM" vbProcedure="false">'Plan goals'!$L$96</definedName>
    <definedName function="false" hidden="false" name="Slot10_On" vbProcedure="false">'Plan goals'!$D$63</definedName>
    <definedName function="false" hidden="false" name="Slot10_Paid" vbProcedure="false">'Plan goals'!$C$96</definedName>
    <definedName function="false" hidden="false" name="Slot10_Pct" vbProcedure="false">'Plan goals'!$E$96</definedName>
    <definedName function="false" hidden="false" name="Slot10_PctLow" vbProcedure="false">'Plan goals'!$F$96</definedName>
    <definedName function="false" hidden="false" name="Slot10_Pot0" vbProcedure="false">'Plan goals'!$X$63</definedName>
    <definedName function="false" hidden="false" name="Slot10_PotFree" vbProcedure="false">'Plan goals'!$N$63</definedName>
    <definedName function="false" hidden="false" name="Slot10_Rate" vbProcedure="false">'Plan goals'!$K$63</definedName>
    <definedName function="false" hidden="false" name="Slot10_Saved" vbProcedure="false">'Plan goals'!$I$63</definedName>
    <definedName function="false" hidden="false" name="Slot10_SpendLike" vbProcedure="false">'Plan goals'!$M$63</definedName>
    <definedName function="false" hidden="false" name="Slot11_Age" vbProcedure="false">'Plan goals'!$G$64</definedName>
    <definedName function="false" hidden="false" name="Slot11_Amount" vbProcedure="false">'Plan goals'!$H$64</definedName>
    <definedName function="false" hidden="false" name="Slot11_AvgM" vbProcedure="false">'Plan goals'!$M$97</definedName>
    <definedName function="false" hidden="false" name="Slot11_BufPot" vbProcedure="false">'Plan goals'!$O$64</definedName>
    <definedName function="false" hidden="false" name="Slot11_Cost" vbProcedure="false">'Plan goals'!$L$64</definedName>
    <definedName function="false" hidden="false" name="Slot11_IsMfree" vbProcedure="false">'Plan goals'!$P$64</definedName>
    <definedName function="false" hidden="false" name="Slot11_IsWG" vbProcedure="false">'Plan goals'!$Q$64</definedName>
    <definedName function="false" hidden="false" name="Slot11_Key" vbProcedure="false">'Plan goals'!$E$64</definedName>
    <definedName function="false" hidden="false" name="Slot11_Kind" vbProcedure="false">'Plan goals'!$F$64</definedName>
    <definedName function="false" hidden="false" name="Slot11_N" vbProcedure="false">'Plan goals'!$J$64</definedName>
    <definedName function="false" hidden="false" name="Slot11_NeedM" vbProcedure="false">'Plan goals'!$K$97</definedName>
    <definedName function="false" hidden="false" name="Slot11_NowM" vbProcedure="false">'Plan goals'!$L$97</definedName>
    <definedName function="false" hidden="false" name="Slot11_On" vbProcedure="false">'Plan goals'!$D$64</definedName>
    <definedName function="false" hidden="false" name="Slot11_Paid" vbProcedure="false">'Plan goals'!$C$97</definedName>
    <definedName function="false" hidden="false" name="Slot11_Pct" vbProcedure="false">'Plan goals'!$E$97</definedName>
    <definedName function="false" hidden="false" name="Slot11_PctLow" vbProcedure="false">'Plan goals'!$F$97</definedName>
    <definedName function="false" hidden="false" name="Slot11_Pot0" vbProcedure="false">'Plan goals'!$X$64</definedName>
    <definedName function="false" hidden="false" name="Slot11_PotFree" vbProcedure="false">'Plan goals'!$N$64</definedName>
    <definedName function="false" hidden="false" name="Slot11_Rate" vbProcedure="false">'Plan goals'!$K$64</definedName>
    <definedName function="false" hidden="false" name="Slot11_Saved" vbProcedure="false">'Plan goals'!$I$64</definedName>
    <definedName function="false" hidden="false" name="Slot11_SpendLike" vbProcedure="false">'Plan goals'!$M$64</definedName>
    <definedName function="false" hidden="false" name="Slot12_Age" vbProcedure="false">'Plan goals'!$G$65</definedName>
    <definedName function="false" hidden="false" name="Slot12_Amount" vbProcedure="false">'Plan goals'!$H$65</definedName>
    <definedName function="false" hidden="false" name="Slot12_AvgM" vbProcedure="false">'Plan goals'!$M$98</definedName>
    <definedName function="false" hidden="false" name="Slot12_BufPot" vbProcedure="false">'Plan goals'!$O$65</definedName>
    <definedName function="false" hidden="false" name="Slot12_Cost" vbProcedure="false">'Plan goals'!$L$65</definedName>
    <definedName function="false" hidden="false" name="Slot12_IsMfree" vbProcedure="false">'Plan goals'!$P$65</definedName>
    <definedName function="false" hidden="false" name="Slot12_IsWG" vbProcedure="false">'Plan goals'!$Q$65</definedName>
    <definedName function="false" hidden="false" name="Slot12_Key" vbProcedure="false">'Plan goals'!$E$65</definedName>
    <definedName function="false" hidden="false" name="Slot12_Kind" vbProcedure="false">'Plan goals'!$F$65</definedName>
    <definedName function="false" hidden="false" name="Slot12_N" vbProcedure="false">'Plan goals'!$J$65</definedName>
    <definedName function="false" hidden="false" name="Slot12_NeedM" vbProcedure="false">'Plan goals'!$K$98</definedName>
    <definedName function="false" hidden="false" name="Slot12_NowM" vbProcedure="false">'Plan goals'!$L$98</definedName>
    <definedName function="false" hidden="false" name="Slot12_On" vbProcedure="false">'Plan goals'!$D$65</definedName>
    <definedName function="false" hidden="false" name="Slot12_Paid" vbProcedure="false">'Plan goals'!$C$98</definedName>
    <definedName function="false" hidden="false" name="Slot12_Pct" vbProcedure="false">'Plan goals'!$E$98</definedName>
    <definedName function="false" hidden="false" name="Slot12_PctLow" vbProcedure="false">'Plan goals'!$F$98</definedName>
    <definedName function="false" hidden="false" name="Slot12_Pot0" vbProcedure="false">'Plan goals'!$X$65</definedName>
    <definedName function="false" hidden="false" name="Slot12_PotFree" vbProcedure="false">'Plan goals'!$N$65</definedName>
    <definedName function="false" hidden="false" name="Slot12_Rate" vbProcedure="false">'Plan goals'!$K$65</definedName>
    <definedName function="false" hidden="false" name="Slot12_Saved" vbProcedure="false">'Plan goals'!$I$65</definedName>
    <definedName function="false" hidden="false" name="Slot12_SpendLike" vbProcedure="false">'Plan goals'!$M$65</definedName>
    <definedName function="false" hidden="false" name="Slot13_Age" vbProcedure="false">'Plan goals'!$G$66</definedName>
    <definedName function="false" hidden="false" name="Slot13_Amount" vbProcedure="false">'Plan goals'!$H$66</definedName>
    <definedName function="false" hidden="false" name="Slot13_AvgM" vbProcedure="false">'Plan goals'!$M$99</definedName>
    <definedName function="false" hidden="false" name="Slot13_BufPot" vbProcedure="false">'Plan goals'!$O$66</definedName>
    <definedName function="false" hidden="false" name="Slot13_Cost" vbProcedure="false">'Plan goals'!$L$66</definedName>
    <definedName function="false" hidden="false" name="Slot13_IsMfree" vbProcedure="false">'Plan goals'!$P$66</definedName>
    <definedName function="false" hidden="false" name="Slot13_IsWG" vbProcedure="false">'Plan goals'!$Q$66</definedName>
    <definedName function="false" hidden="false" name="Slot13_Key" vbProcedure="false">'Plan goals'!$E$66</definedName>
    <definedName function="false" hidden="false" name="Slot13_Kind" vbProcedure="false">'Plan goals'!$F$66</definedName>
    <definedName function="false" hidden="false" name="Slot13_N" vbProcedure="false">'Plan goals'!$J$66</definedName>
    <definedName function="false" hidden="false" name="Slot13_NeedM" vbProcedure="false">'Plan goals'!$K$99</definedName>
    <definedName function="false" hidden="false" name="Slot13_NowM" vbProcedure="false">'Plan goals'!$L$99</definedName>
    <definedName function="false" hidden="false" name="Slot13_On" vbProcedure="false">'Plan goals'!$D$66</definedName>
    <definedName function="false" hidden="false" name="Slot13_Paid" vbProcedure="false">'Plan goals'!$C$99</definedName>
    <definedName function="false" hidden="false" name="Slot13_Pct" vbProcedure="false">'Plan goals'!$E$99</definedName>
    <definedName function="false" hidden="false" name="Slot13_PctLow" vbProcedure="false">'Plan goals'!$F$99</definedName>
    <definedName function="false" hidden="false" name="Slot13_Pot0" vbProcedure="false">'Plan goals'!$X$66</definedName>
    <definedName function="false" hidden="false" name="Slot13_PotFree" vbProcedure="false">'Plan goals'!$N$66</definedName>
    <definedName function="false" hidden="false" name="Slot13_Rate" vbProcedure="false">'Plan goals'!$K$66</definedName>
    <definedName function="false" hidden="false" name="Slot13_Saved" vbProcedure="false">'Plan goals'!$I$66</definedName>
    <definedName function="false" hidden="false" name="Slot13_SpendLike" vbProcedure="false">'Plan goals'!$M$66</definedName>
    <definedName function="false" hidden="false" name="Slot14_Age" vbProcedure="false">'Plan goals'!$G$67</definedName>
    <definedName function="false" hidden="false" name="Slot14_Amount" vbProcedure="false">'Plan goals'!$H$67</definedName>
    <definedName function="false" hidden="false" name="Slot14_AvgM" vbProcedure="false">'Plan goals'!$M$100</definedName>
    <definedName function="false" hidden="false" name="Slot14_BufPot" vbProcedure="false">'Plan goals'!$O$67</definedName>
    <definedName function="false" hidden="false" name="Slot14_Cost" vbProcedure="false">'Plan goals'!$L$67</definedName>
    <definedName function="false" hidden="false" name="Slot14_IsMfree" vbProcedure="false">'Plan goals'!$P$67</definedName>
    <definedName function="false" hidden="false" name="Slot14_IsWG" vbProcedure="false">'Plan goals'!$Q$67</definedName>
    <definedName function="false" hidden="false" name="Slot14_Key" vbProcedure="false">'Plan goals'!$E$67</definedName>
    <definedName function="false" hidden="false" name="Slot14_Kind" vbProcedure="false">'Plan goals'!$F$67</definedName>
    <definedName function="false" hidden="false" name="Slot14_N" vbProcedure="false">'Plan goals'!$J$67</definedName>
    <definedName function="false" hidden="false" name="Slot14_NeedM" vbProcedure="false">'Plan goals'!$K$100</definedName>
    <definedName function="false" hidden="false" name="Slot14_NowM" vbProcedure="false">'Plan goals'!$L$100</definedName>
    <definedName function="false" hidden="false" name="Slot14_On" vbProcedure="false">'Plan goals'!$D$67</definedName>
    <definedName function="false" hidden="false" name="Slot14_Paid" vbProcedure="false">'Plan goals'!$C$100</definedName>
    <definedName function="false" hidden="false" name="Slot14_Pct" vbProcedure="false">'Plan goals'!$E$100</definedName>
    <definedName function="false" hidden="false" name="Slot14_PctLow" vbProcedure="false">'Plan goals'!$F$100</definedName>
    <definedName function="false" hidden="false" name="Slot14_Pot0" vbProcedure="false">'Plan goals'!$X$67</definedName>
    <definedName function="false" hidden="false" name="Slot14_PotFree" vbProcedure="false">'Plan goals'!$N$67</definedName>
    <definedName function="false" hidden="false" name="Slot14_Rate" vbProcedure="false">'Plan goals'!$K$67</definedName>
    <definedName function="false" hidden="false" name="Slot14_Saved" vbProcedure="false">'Plan goals'!$I$67</definedName>
    <definedName function="false" hidden="false" name="Slot14_SpendLike" vbProcedure="false">'Plan goals'!$M$67</definedName>
    <definedName function="false" hidden="false" name="Slot15_Age" vbProcedure="false">'Plan goals'!$G$68</definedName>
    <definedName function="false" hidden="false" name="Slot15_Amount" vbProcedure="false">'Plan goals'!$H$68</definedName>
    <definedName function="false" hidden="false" name="Slot15_AvgM" vbProcedure="false">'Plan goals'!$M$101</definedName>
    <definedName function="false" hidden="false" name="Slot15_BufPot" vbProcedure="false">'Plan goals'!$O$68</definedName>
    <definedName function="false" hidden="false" name="Slot15_Cost" vbProcedure="false">'Plan goals'!$L$68</definedName>
    <definedName function="false" hidden="false" name="Slot15_IsMfree" vbProcedure="false">'Plan goals'!$P$68</definedName>
    <definedName function="false" hidden="false" name="Slot15_IsWG" vbProcedure="false">'Plan goals'!$Q$68</definedName>
    <definedName function="false" hidden="false" name="Slot15_Key" vbProcedure="false">'Plan goals'!$E$68</definedName>
    <definedName function="false" hidden="false" name="Slot15_Kind" vbProcedure="false">'Plan goals'!$F$68</definedName>
    <definedName function="false" hidden="false" name="Slot15_N" vbProcedure="false">'Plan goals'!$J$68</definedName>
    <definedName function="false" hidden="false" name="Slot15_NeedM" vbProcedure="false">'Plan goals'!$K$101</definedName>
    <definedName function="false" hidden="false" name="Slot15_NowM" vbProcedure="false">'Plan goals'!$L$101</definedName>
    <definedName function="false" hidden="false" name="Slot15_On" vbProcedure="false">'Plan goals'!$D$68</definedName>
    <definedName function="false" hidden="false" name="Slot15_Paid" vbProcedure="false">'Plan goals'!$C$101</definedName>
    <definedName function="false" hidden="false" name="Slot15_Pct" vbProcedure="false">'Plan goals'!$E$101</definedName>
    <definedName function="false" hidden="false" name="Slot15_PctLow" vbProcedure="false">'Plan goals'!$F$101</definedName>
    <definedName function="false" hidden="false" name="Slot15_Pot0" vbProcedure="false">'Plan goals'!$X$68</definedName>
    <definedName function="false" hidden="false" name="Slot15_PotFree" vbProcedure="false">'Plan goals'!$N$68</definedName>
    <definedName function="false" hidden="false" name="Slot15_Rate" vbProcedure="false">'Plan goals'!$K$68</definedName>
    <definedName function="false" hidden="false" name="Slot15_Saved" vbProcedure="false">'Plan goals'!$I$68</definedName>
    <definedName function="false" hidden="false" name="Slot15_SpendLike" vbProcedure="false">'Plan goals'!$M$68</definedName>
    <definedName function="false" hidden="false" name="Slot16_Age" vbProcedure="false">'Plan goals'!$G$69</definedName>
    <definedName function="false" hidden="false" name="Slot16_Amount" vbProcedure="false">'Plan goals'!$H$69</definedName>
    <definedName function="false" hidden="false" name="Slot16_AvgM" vbProcedure="false">'Plan goals'!$M$102</definedName>
    <definedName function="false" hidden="false" name="Slot16_BufPot" vbProcedure="false">'Plan goals'!$O$69</definedName>
    <definedName function="false" hidden="false" name="Slot16_Cost" vbProcedure="false">'Plan goals'!$L$69</definedName>
    <definedName function="false" hidden="false" name="Slot16_IsMfree" vbProcedure="false">'Plan goals'!$P$69</definedName>
    <definedName function="false" hidden="false" name="Slot16_IsWG" vbProcedure="false">'Plan goals'!$Q$69</definedName>
    <definedName function="false" hidden="false" name="Slot16_Key" vbProcedure="false">'Plan goals'!$E$69</definedName>
    <definedName function="false" hidden="false" name="Slot16_Kind" vbProcedure="false">'Plan goals'!$F$69</definedName>
    <definedName function="false" hidden="false" name="Slot16_N" vbProcedure="false">'Plan goals'!$J$69</definedName>
    <definedName function="false" hidden="false" name="Slot16_NeedM" vbProcedure="false">'Plan goals'!$K$102</definedName>
    <definedName function="false" hidden="false" name="Slot16_NowM" vbProcedure="false">'Plan goals'!$L$102</definedName>
    <definedName function="false" hidden="false" name="Slot16_On" vbProcedure="false">'Plan goals'!$D$69</definedName>
    <definedName function="false" hidden="false" name="Slot16_Paid" vbProcedure="false">'Plan goals'!$C$102</definedName>
    <definedName function="false" hidden="false" name="Slot16_Pct" vbProcedure="false">'Plan goals'!$E$102</definedName>
    <definedName function="false" hidden="false" name="Slot16_PctLow" vbProcedure="false">'Plan goals'!$F$102</definedName>
    <definedName function="false" hidden="false" name="Slot16_Pot0" vbProcedure="false">'Plan goals'!$X$69</definedName>
    <definedName function="false" hidden="false" name="Slot16_PotFree" vbProcedure="false">'Plan goals'!$N$69</definedName>
    <definedName function="false" hidden="false" name="Slot16_Rate" vbProcedure="false">'Plan goals'!$K$69</definedName>
    <definedName function="false" hidden="false" name="Slot16_Saved" vbProcedure="false">'Plan goals'!$I$69</definedName>
    <definedName function="false" hidden="false" name="Slot16_SpendLike" vbProcedure="false">'Plan goals'!$M$69</definedName>
    <definedName function="false" hidden="false" name="Slot17_Age" vbProcedure="false">'Plan goals'!$G$70</definedName>
    <definedName function="false" hidden="false" name="Slot17_Amount" vbProcedure="false">'Plan goals'!$H$70</definedName>
    <definedName function="false" hidden="false" name="Slot17_AvgM" vbProcedure="false">'Plan goals'!$M$103</definedName>
    <definedName function="false" hidden="false" name="Slot17_BufPot" vbProcedure="false">'Plan goals'!$O$70</definedName>
    <definedName function="false" hidden="false" name="Slot17_Cost" vbProcedure="false">'Plan goals'!$L$70</definedName>
    <definedName function="false" hidden="false" name="Slot17_IsMfree" vbProcedure="false">'Plan goals'!$P$70</definedName>
    <definedName function="false" hidden="false" name="Slot17_IsWG" vbProcedure="false">'Plan goals'!$Q$70</definedName>
    <definedName function="false" hidden="false" name="Slot17_Key" vbProcedure="false">'Plan goals'!$E$70</definedName>
    <definedName function="false" hidden="false" name="Slot17_Kind" vbProcedure="false">'Plan goals'!$F$70</definedName>
    <definedName function="false" hidden="false" name="Slot17_N" vbProcedure="false">'Plan goals'!$J$70</definedName>
    <definedName function="false" hidden="false" name="Slot17_NeedM" vbProcedure="false">'Plan goals'!$K$103</definedName>
    <definedName function="false" hidden="false" name="Slot17_NowM" vbProcedure="false">'Plan goals'!$L$103</definedName>
    <definedName function="false" hidden="false" name="Slot17_On" vbProcedure="false">'Plan goals'!$D$70</definedName>
    <definedName function="false" hidden="false" name="Slot17_Paid" vbProcedure="false">'Plan goals'!$C$103</definedName>
    <definedName function="false" hidden="false" name="Slot17_Pct" vbProcedure="false">'Plan goals'!$E$103</definedName>
    <definedName function="false" hidden="false" name="Slot17_PctLow" vbProcedure="false">'Plan goals'!$F$103</definedName>
    <definedName function="false" hidden="false" name="Slot17_Pot0" vbProcedure="false">'Plan goals'!$X$70</definedName>
    <definedName function="false" hidden="false" name="Slot17_PotFree" vbProcedure="false">'Plan goals'!$N$70</definedName>
    <definedName function="false" hidden="false" name="Slot17_Rate" vbProcedure="false">'Plan goals'!$K$70</definedName>
    <definedName function="false" hidden="false" name="Slot17_Saved" vbProcedure="false">'Plan goals'!$I$70</definedName>
    <definedName function="false" hidden="false" name="Slot17_SpendLike" vbProcedure="false">'Plan goals'!$M$70</definedName>
    <definedName function="false" hidden="false" name="Slot18_Age" vbProcedure="false">'Plan goals'!$G$71</definedName>
    <definedName function="false" hidden="false" name="Slot18_Amount" vbProcedure="false">'Plan goals'!$H$71</definedName>
    <definedName function="false" hidden="false" name="Slot18_AvgM" vbProcedure="false">'Plan goals'!$M$104</definedName>
    <definedName function="false" hidden="false" name="Slot18_BufPot" vbProcedure="false">'Plan goals'!$O$71</definedName>
    <definedName function="false" hidden="false" name="Slot18_Cost" vbProcedure="false">'Plan goals'!$L$71</definedName>
    <definedName function="false" hidden="false" name="Slot18_IsMfree" vbProcedure="false">'Plan goals'!$P$71</definedName>
    <definedName function="false" hidden="false" name="Slot18_IsWG" vbProcedure="false">'Plan goals'!$Q$71</definedName>
    <definedName function="false" hidden="false" name="Slot18_Key" vbProcedure="false">'Plan goals'!$E$71</definedName>
    <definedName function="false" hidden="false" name="Slot18_Kind" vbProcedure="false">'Plan goals'!$F$71</definedName>
    <definedName function="false" hidden="false" name="Slot18_N" vbProcedure="false">'Plan goals'!$J$71</definedName>
    <definedName function="false" hidden="false" name="Slot18_NeedM" vbProcedure="false">'Plan goals'!$K$104</definedName>
    <definedName function="false" hidden="false" name="Slot18_NowM" vbProcedure="false">'Plan goals'!$L$104</definedName>
    <definedName function="false" hidden="false" name="Slot18_On" vbProcedure="false">'Plan goals'!$D$71</definedName>
    <definedName function="false" hidden="false" name="Slot18_Paid" vbProcedure="false">'Plan goals'!$C$104</definedName>
    <definedName function="false" hidden="false" name="Slot18_Pct" vbProcedure="false">'Plan goals'!$E$104</definedName>
    <definedName function="false" hidden="false" name="Slot18_PctLow" vbProcedure="false">'Plan goals'!$F$104</definedName>
    <definedName function="false" hidden="false" name="Slot18_Pot0" vbProcedure="false">'Plan goals'!$X$71</definedName>
    <definedName function="false" hidden="false" name="Slot18_PotFree" vbProcedure="false">'Plan goals'!$N$71</definedName>
    <definedName function="false" hidden="false" name="Slot18_Rate" vbProcedure="false">'Plan goals'!$K$71</definedName>
    <definedName function="false" hidden="false" name="Slot18_Saved" vbProcedure="false">'Plan goals'!$I$71</definedName>
    <definedName function="false" hidden="false" name="Slot18_SpendLike" vbProcedure="false">'Plan goals'!$M$71</definedName>
    <definedName function="false" hidden="false" name="Slot19_Age" vbProcedure="false">'Plan goals'!$G$72</definedName>
    <definedName function="false" hidden="false" name="Slot19_Amount" vbProcedure="false">'Plan goals'!$H$72</definedName>
    <definedName function="false" hidden="false" name="Slot19_AvgM" vbProcedure="false">'Plan goals'!$M$105</definedName>
    <definedName function="false" hidden="false" name="Slot19_BufPot" vbProcedure="false">'Plan goals'!$O$72</definedName>
    <definedName function="false" hidden="false" name="Slot19_Cost" vbProcedure="false">'Plan goals'!$L$72</definedName>
    <definedName function="false" hidden="false" name="Slot19_IsMfree" vbProcedure="false">'Plan goals'!$P$72</definedName>
    <definedName function="false" hidden="false" name="Slot19_IsWG" vbProcedure="false">'Plan goals'!$Q$72</definedName>
    <definedName function="false" hidden="false" name="Slot19_Key" vbProcedure="false">'Plan goals'!$E$72</definedName>
    <definedName function="false" hidden="false" name="Slot19_Kind" vbProcedure="false">'Plan goals'!$F$72</definedName>
    <definedName function="false" hidden="false" name="Slot19_N" vbProcedure="false">'Plan goals'!$J$72</definedName>
    <definedName function="false" hidden="false" name="Slot19_NeedM" vbProcedure="false">'Plan goals'!$K$105</definedName>
    <definedName function="false" hidden="false" name="Slot19_NowM" vbProcedure="false">'Plan goals'!$L$105</definedName>
    <definedName function="false" hidden="false" name="Slot19_On" vbProcedure="false">'Plan goals'!$D$72</definedName>
    <definedName function="false" hidden="false" name="Slot19_Paid" vbProcedure="false">'Plan goals'!$C$105</definedName>
    <definedName function="false" hidden="false" name="Slot19_Pct" vbProcedure="false">'Plan goals'!$E$105</definedName>
    <definedName function="false" hidden="false" name="Slot19_PctLow" vbProcedure="false">'Plan goals'!$F$105</definedName>
    <definedName function="false" hidden="false" name="Slot19_Pot0" vbProcedure="false">'Plan goals'!$X$72</definedName>
    <definedName function="false" hidden="false" name="Slot19_PotFree" vbProcedure="false">'Plan goals'!$N$72</definedName>
    <definedName function="false" hidden="false" name="Slot19_Rate" vbProcedure="false">'Plan goals'!$K$72</definedName>
    <definedName function="false" hidden="false" name="Slot19_Saved" vbProcedure="false">'Plan goals'!$I$72</definedName>
    <definedName function="false" hidden="false" name="Slot19_SpendLike" vbProcedure="false">'Plan goals'!$M$72</definedName>
    <definedName function="false" hidden="false" name="Slot1_Age" vbProcedure="false">'Plan goals'!$G$54</definedName>
    <definedName function="false" hidden="false" name="Slot1_Amount" vbProcedure="false">'Plan goals'!$H$54</definedName>
    <definedName function="false" hidden="false" name="Slot1_AvgM" vbProcedure="false">'Plan goals'!$M$87</definedName>
    <definedName function="false" hidden="false" name="Slot1_BufPot" vbProcedure="false">'Plan goals'!$O$54</definedName>
    <definedName function="false" hidden="false" name="Slot1_Cost" vbProcedure="false">'Plan goals'!$L$54</definedName>
    <definedName function="false" hidden="false" name="Slot1_IsMfree" vbProcedure="false">'Plan goals'!$P$54</definedName>
    <definedName function="false" hidden="false" name="Slot1_IsWG" vbProcedure="false">'Plan goals'!$Q$54</definedName>
    <definedName function="false" hidden="false" name="Slot1_Key" vbProcedure="false">'Plan goals'!$E$54</definedName>
    <definedName function="false" hidden="false" name="Slot1_Kind" vbProcedure="false">'Plan goals'!$F$54</definedName>
    <definedName function="false" hidden="false" name="Slot1_N" vbProcedure="false">'Plan goals'!$J$54</definedName>
    <definedName function="false" hidden="false" name="Slot1_NeedM" vbProcedure="false">'Plan goals'!$K$87</definedName>
    <definedName function="false" hidden="false" name="Slot1_NowM" vbProcedure="false">'Plan goals'!$L$87</definedName>
    <definedName function="false" hidden="false" name="Slot1_On" vbProcedure="false">'Plan goals'!$D$54</definedName>
    <definedName function="false" hidden="false" name="Slot1_Paid" vbProcedure="false">'Plan goals'!$C$87</definedName>
    <definedName function="false" hidden="false" name="Slot1_Pct" vbProcedure="false">'Plan goals'!$E$87</definedName>
    <definedName function="false" hidden="false" name="Slot1_PctLow" vbProcedure="false">'Plan goals'!$F$87</definedName>
    <definedName function="false" hidden="false" name="Slot1_Pot0" vbProcedure="false">'Plan goals'!$X$54</definedName>
    <definedName function="false" hidden="false" name="Slot1_PotFree" vbProcedure="false">'Plan goals'!$N$54</definedName>
    <definedName function="false" hidden="false" name="Slot1_Rate" vbProcedure="false">'Plan goals'!$K$54</definedName>
    <definedName function="false" hidden="false" name="Slot1_Saved" vbProcedure="false">'Plan goals'!$I$54</definedName>
    <definedName function="false" hidden="false" name="Slot1_SpendLike" vbProcedure="false">'Plan goals'!$M$54</definedName>
    <definedName function="false" hidden="false" name="Slot20_Age" vbProcedure="false">'Plan goals'!$G$73</definedName>
    <definedName function="false" hidden="false" name="Slot20_Amount" vbProcedure="false">'Plan goals'!$H$73</definedName>
    <definedName function="false" hidden="false" name="Slot20_AvgM" vbProcedure="false">'Plan goals'!$M$106</definedName>
    <definedName function="false" hidden="false" name="Slot20_BufPot" vbProcedure="false">'Plan goals'!$O$73</definedName>
    <definedName function="false" hidden="false" name="Slot20_Cost" vbProcedure="false">'Plan goals'!$L$73</definedName>
    <definedName function="false" hidden="false" name="Slot20_IsMfree" vbProcedure="false">'Plan goals'!$P$73</definedName>
    <definedName function="false" hidden="false" name="Slot20_IsWG" vbProcedure="false">'Plan goals'!$Q$73</definedName>
    <definedName function="false" hidden="false" name="Slot20_Key" vbProcedure="false">'Plan goals'!$E$73</definedName>
    <definedName function="false" hidden="false" name="Slot20_Kind" vbProcedure="false">'Plan goals'!$F$73</definedName>
    <definedName function="false" hidden="false" name="Slot20_N" vbProcedure="false">'Plan goals'!$J$73</definedName>
    <definedName function="false" hidden="false" name="Slot20_NeedM" vbProcedure="false">'Plan goals'!$K$106</definedName>
    <definedName function="false" hidden="false" name="Slot20_NowM" vbProcedure="false">'Plan goals'!$L$106</definedName>
    <definedName function="false" hidden="false" name="Slot20_On" vbProcedure="false">'Plan goals'!$D$73</definedName>
    <definedName function="false" hidden="false" name="Slot20_Paid" vbProcedure="false">'Plan goals'!$C$106</definedName>
    <definedName function="false" hidden="false" name="Slot20_Pct" vbProcedure="false">'Plan goals'!$E$106</definedName>
    <definedName function="false" hidden="false" name="Slot20_PctLow" vbProcedure="false">'Plan goals'!$F$106</definedName>
    <definedName function="false" hidden="false" name="Slot20_Pot0" vbProcedure="false">'Plan goals'!$X$73</definedName>
    <definedName function="false" hidden="false" name="Slot20_PotFree" vbProcedure="false">'Plan goals'!$N$73</definedName>
    <definedName function="false" hidden="false" name="Slot20_Rate" vbProcedure="false">'Plan goals'!$K$73</definedName>
    <definedName function="false" hidden="false" name="Slot20_Saved" vbProcedure="false">'Plan goals'!$I$73</definedName>
    <definedName function="false" hidden="false" name="Slot20_SpendLike" vbProcedure="false">'Plan goals'!$M$73</definedName>
    <definedName function="false" hidden="false" name="Slot2_Age" vbProcedure="false">'Plan goals'!$G$55</definedName>
    <definedName function="false" hidden="false" name="Slot2_Amount" vbProcedure="false">'Plan goals'!$H$55</definedName>
    <definedName function="false" hidden="false" name="Slot2_AvgM" vbProcedure="false">'Plan goals'!$M$88</definedName>
    <definedName function="false" hidden="false" name="Slot2_BufPot" vbProcedure="false">'Plan goals'!$O$55</definedName>
    <definedName function="false" hidden="false" name="Slot2_Cost" vbProcedure="false">'Plan goals'!$L$55</definedName>
    <definedName function="false" hidden="false" name="Slot2_IsMfree" vbProcedure="false">'Plan goals'!$P$55</definedName>
    <definedName function="false" hidden="false" name="Slot2_IsWG" vbProcedure="false">'Plan goals'!$Q$55</definedName>
    <definedName function="false" hidden="false" name="Slot2_Key" vbProcedure="false">'Plan goals'!$E$55</definedName>
    <definedName function="false" hidden="false" name="Slot2_Kind" vbProcedure="false">'Plan goals'!$F$55</definedName>
    <definedName function="false" hidden="false" name="Slot2_N" vbProcedure="false">'Plan goals'!$J$55</definedName>
    <definedName function="false" hidden="false" name="Slot2_NeedM" vbProcedure="false">'Plan goals'!$K$88</definedName>
    <definedName function="false" hidden="false" name="Slot2_NowM" vbProcedure="false">'Plan goals'!$L$88</definedName>
    <definedName function="false" hidden="false" name="Slot2_On" vbProcedure="false">'Plan goals'!$D$55</definedName>
    <definedName function="false" hidden="false" name="Slot2_Paid" vbProcedure="false">'Plan goals'!$C$88</definedName>
    <definedName function="false" hidden="false" name="Slot2_Pct" vbProcedure="false">'Plan goals'!$E$88</definedName>
    <definedName function="false" hidden="false" name="Slot2_PctLow" vbProcedure="false">'Plan goals'!$F$88</definedName>
    <definedName function="false" hidden="false" name="Slot2_Pot0" vbProcedure="false">'Plan goals'!$X$55</definedName>
    <definedName function="false" hidden="false" name="Slot2_PotFree" vbProcedure="false">'Plan goals'!$N$55</definedName>
    <definedName function="false" hidden="false" name="Slot2_Rate" vbProcedure="false">'Plan goals'!$K$55</definedName>
    <definedName function="false" hidden="false" name="Slot2_Saved" vbProcedure="false">'Plan goals'!$I$55</definedName>
    <definedName function="false" hidden="false" name="Slot2_SpendLike" vbProcedure="false">'Plan goals'!$M$55</definedName>
    <definedName function="false" hidden="false" name="Slot3_Age" vbProcedure="false">'Plan goals'!$G$56</definedName>
    <definedName function="false" hidden="false" name="Slot3_Amount" vbProcedure="false">'Plan goals'!$H$56</definedName>
    <definedName function="false" hidden="false" name="Slot3_AvgM" vbProcedure="false">'Plan goals'!$M$89</definedName>
    <definedName function="false" hidden="false" name="Slot3_BufPot" vbProcedure="false">'Plan goals'!$O$56</definedName>
    <definedName function="false" hidden="false" name="Slot3_Cost" vbProcedure="false">'Plan goals'!$L$56</definedName>
    <definedName function="false" hidden="false" name="Slot3_IsMfree" vbProcedure="false">'Plan goals'!$P$56</definedName>
    <definedName function="false" hidden="false" name="Slot3_IsWG" vbProcedure="false">'Plan goals'!$Q$56</definedName>
    <definedName function="false" hidden="false" name="Slot3_Key" vbProcedure="false">'Plan goals'!$E$56</definedName>
    <definedName function="false" hidden="false" name="Slot3_Kind" vbProcedure="false">'Plan goals'!$F$56</definedName>
    <definedName function="false" hidden="false" name="Slot3_N" vbProcedure="false">'Plan goals'!$J$56</definedName>
    <definedName function="false" hidden="false" name="Slot3_NeedM" vbProcedure="false">'Plan goals'!$K$89</definedName>
    <definedName function="false" hidden="false" name="Slot3_NowM" vbProcedure="false">'Plan goals'!$L$89</definedName>
    <definedName function="false" hidden="false" name="Slot3_On" vbProcedure="false">'Plan goals'!$D$56</definedName>
    <definedName function="false" hidden="false" name="Slot3_Paid" vbProcedure="false">'Plan goals'!$C$89</definedName>
    <definedName function="false" hidden="false" name="Slot3_Pct" vbProcedure="false">'Plan goals'!$E$89</definedName>
    <definedName function="false" hidden="false" name="Slot3_PctLow" vbProcedure="false">'Plan goals'!$F$89</definedName>
    <definedName function="false" hidden="false" name="Slot3_Pot0" vbProcedure="false">'Plan goals'!$X$56</definedName>
    <definedName function="false" hidden="false" name="Slot3_PotFree" vbProcedure="false">'Plan goals'!$N$56</definedName>
    <definedName function="false" hidden="false" name="Slot3_Rate" vbProcedure="false">'Plan goals'!$K$56</definedName>
    <definedName function="false" hidden="false" name="Slot3_Saved" vbProcedure="false">'Plan goals'!$I$56</definedName>
    <definedName function="false" hidden="false" name="Slot3_SpendLike" vbProcedure="false">'Plan goals'!$M$56</definedName>
    <definedName function="false" hidden="false" name="Slot4_Age" vbProcedure="false">'Plan goals'!$G$57</definedName>
    <definedName function="false" hidden="false" name="Slot4_Amount" vbProcedure="false">'Plan goals'!$H$57</definedName>
    <definedName function="false" hidden="false" name="Slot4_AvgM" vbProcedure="false">'Plan goals'!$M$90</definedName>
    <definedName function="false" hidden="false" name="Slot4_BufPot" vbProcedure="false">'Plan goals'!$O$57</definedName>
    <definedName function="false" hidden="false" name="Slot4_Cost" vbProcedure="false">'Plan goals'!$L$57</definedName>
    <definedName function="false" hidden="false" name="Slot4_IsMfree" vbProcedure="false">'Plan goals'!$P$57</definedName>
    <definedName function="false" hidden="false" name="Slot4_IsWG" vbProcedure="false">'Plan goals'!$Q$57</definedName>
    <definedName function="false" hidden="false" name="Slot4_Key" vbProcedure="false">'Plan goals'!$E$57</definedName>
    <definedName function="false" hidden="false" name="Slot4_Kind" vbProcedure="false">'Plan goals'!$F$57</definedName>
    <definedName function="false" hidden="false" name="Slot4_N" vbProcedure="false">'Plan goals'!$J$57</definedName>
    <definedName function="false" hidden="false" name="Slot4_NeedM" vbProcedure="false">'Plan goals'!$K$90</definedName>
    <definedName function="false" hidden="false" name="Slot4_NowM" vbProcedure="false">'Plan goals'!$L$90</definedName>
    <definedName function="false" hidden="false" name="Slot4_On" vbProcedure="false">'Plan goals'!$D$57</definedName>
    <definedName function="false" hidden="false" name="Slot4_Paid" vbProcedure="false">'Plan goals'!$C$90</definedName>
    <definedName function="false" hidden="false" name="Slot4_Pct" vbProcedure="false">'Plan goals'!$E$90</definedName>
    <definedName function="false" hidden="false" name="Slot4_PctLow" vbProcedure="false">'Plan goals'!$F$90</definedName>
    <definedName function="false" hidden="false" name="Slot4_Pot0" vbProcedure="false">'Plan goals'!$X$57</definedName>
    <definedName function="false" hidden="false" name="Slot4_PotFree" vbProcedure="false">'Plan goals'!$N$57</definedName>
    <definedName function="false" hidden="false" name="Slot4_Rate" vbProcedure="false">'Plan goals'!$K$57</definedName>
    <definedName function="false" hidden="false" name="Slot4_Saved" vbProcedure="false">'Plan goals'!$I$57</definedName>
    <definedName function="false" hidden="false" name="Slot4_SpendLike" vbProcedure="false">'Plan goals'!$M$57</definedName>
    <definedName function="false" hidden="false" name="Slot5_Age" vbProcedure="false">'Plan goals'!$G$58</definedName>
    <definedName function="false" hidden="false" name="Slot5_Amount" vbProcedure="false">'Plan goals'!$H$58</definedName>
    <definedName function="false" hidden="false" name="Slot5_AvgM" vbProcedure="false">'Plan goals'!$M$91</definedName>
    <definedName function="false" hidden="false" name="Slot5_BufPot" vbProcedure="false">'Plan goals'!$O$58</definedName>
    <definedName function="false" hidden="false" name="Slot5_Cost" vbProcedure="false">'Plan goals'!$L$58</definedName>
    <definedName function="false" hidden="false" name="Slot5_IsMfree" vbProcedure="false">'Plan goals'!$P$58</definedName>
    <definedName function="false" hidden="false" name="Slot5_IsWG" vbProcedure="false">'Plan goals'!$Q$58</definedName>
    <definedName function="false" hidden="false" name="Slot5_Key" vbProcedure="false">'Plan goals'!$E$58</definedName>
    <definedName function="false" hidden="false" name="Slot5_Kind" vbProcedure="false">'Plan goals'!$F$58</definedName>
    <definedName function="false" hidden="false" name="Slot5_N" vbProcedure="false">'Plan goals'!$J$58</definedName>
    <definedName function="false" hidden="false" name="Slot5_NeedM" vbProcedure="false">'Plan goals'!$K$91</definedName>
    <definedName function="false" hidden="false" name="Slot5_NowM" vbProcedure="false">'Plan goals'!$L$91</definedName>
    <definedName function="false" hidden="false" name="Slot5_On" vbProcedure="false">'Plan goals'!$D$58</definedName>
    <definedName function="false" hidden="false" name="Slot5_Paid" vbProcedure="false">'Plan goals'!$C$91</definedName>
    <definedName function="false" hidden="false" name="Slot5_Pct" vbProcedure="false">'Plan goals'!$E$91</definedName>
    <definedName function="false" hidden="false" name="Slot5_PctLow" vbProcedure="false">'Plan goals'!$F$91</definedName>
    <definedName function="false" hidden="false" name="Slot5_Pot0" vbProcedure="false">'Plan goals'!$X$58</definedName>
    <definedName function="false" hidden="false" name="Slot5_PotFree" vbProcedure="false">'Plan goals'!$N$58</definedName>
    <definedName function="false" hidden="false" name="Slot5_Rate" vbProcedure="false">'Plan goals'!$K$58</definedName>
    <definedName function="false" hidden="false" name="Slot5_Saved" vbProcedure="false">'Plan goals'!$I$58</definedName>
    <definedName function="false" hidden="false" name="Slot5_SpendLike" vbProcedure="false">'Plan goals'!$M$58</definedName>
    <definedName function="false" hidden="false" name="Slot6_Age" vbProcedure="false">'Plan goals'!$G$59</definedName>
    <definedName function="false" hidden="false" name="Slot6_Amount" vbProcedure="false">'Plan goals'!$H$59</definedName>
    <definedName function="false" hidden="false" name="Slot6_AvgM" vbProcedure="false">'Plan goals'!$M$92</definedName>
    <definedName function="false" hidden="false" name="Slot6_BufPot" vbProcedure="false">'Plan goals'!$O$59</definedName>
    <definedName function="false" hidden="false" name="Slot6_Cost" vbProcedure="false">'Plan goals'!$L$59</definedName>
    <definedName function="false" hidden="false" name="Slot6_IsMfree" vbProcedure="false">'Plan goals'!$P$59</definedName>
    <definedName function="false" hidden="false" name="Slot6_IsWG" vbProcedure="false">'Plan goals'!$Q$59</definedName>
    <definedName function="false" hidden="false" name="Slot6_Key" vbProcedure="false">'Plan goals'!$E$59</definedName>
    <definedName function="false" hidden="false" name="Slot6_Kind" vbProcedure="false">'Plan goals'!$F$59</definedName>
    <definedName function="false" hidden="false" name="Slot6_N" vbProcedure="false">'Plan goals'!$J$59</definedName>
    <definedName function="false" hidden="false" name="Slot6_NeedM" vbProcedure="false">'Plan goals'!$K$92</definedName>
    <definedName function="false" hidden="false" name="Slot6_NowM" vbProcedure="false">'Plan goals'!$L$92</definedName>
    <definedName function="false" hidden="false" name="Slot6_On" vbProcedure="false">'Plan goals'!$D$59</definedName>
    <definedName function="false" hidden="false" name="Slot6_Paid" vbProcedure="false">'Plan goals'!$C$92</definedName>
    <definedName function="false" hidden="false" name="Slot6_Pct" vbProcedure="false">'Plan goals'!$E$92</definedName>
    <definedName function="false" hidden="false" name="Slot6_PctLow" vbProcedure="false">'Plan goals'!$F$92</definedName>
    <definedName function="false" hidden="false" name="Slot6_Pot0" vbProcedure="false">'Plan goals'!$X$59</definedName>
    <definedName function="false" hidden="false" name="Slot6_PotFree" vbProcedure="false">'Plan goals'!$N$59</definedName>
    <definedName function="false" hidden="false" name="Slot6_Rate" vbProcedure="false">'Plan goals'!$K$59</definedName>
    <definedName function="false" hidden="false" name="Slot6_Saved" vbProcedure="false">'Plan goals'!$I$59</definedName>
    <definedName function="false" hidden="false" name="Slot6_SpendLike" vbProcedure="false">'Plan goals'!$M$59</definedName>
    <definedName function="false" hidden="false" name="Slot7_Age" vbProcedure="false">'Plan goals'!$G$60</definedName>
    <definedName function="false" hidden="false" name="Slot7_Amount" vbProcedure="false">'Plan goals'!$H$60</definedName>
    <definedName function="false" hidden="false" name="Slot7_AvgM" vbProcedure="false">'Plan goals'!$M$93</definedName>
    <definedName function="false" hidden="false" name="Slot7_BufPot" vbProcedure="false">'Plan goals'!$O$60</definedName>
    <definedName function="false" hidden="false" name="Slot7_Cost" vbProcedure="false">'Plan goals'!$L$60</definedName>
    <definedName function="false" hidden="false" name="Slot7_IsMfree" vbProcedure="false">'Plan goals'!$P$60</definedName>
    <definedName function="false" hidden="false" name="Slot7_IsWG" vbProcedure="false">'Plan goals'!$Q$60</definedName>
    <definedName function="false" hidden="false" name="Slot7_Key" vbProcedure="false">'Plan goals'!$E$60</definedName>
    <definedName function="false" hidden="false" name="Slot7_Kind" vbProcedure="false">'Plan goals'!$F$60</definedName>
    <definedName function="false" hidden="false" name="Slot7_N" vbProcedure="false">'Plan goals'!$J$60</definedName>
    <definedName function="false" hidden="false" name="Slot7_NeedM" vbProcedure="false">'Plan goals'!$K$93</definedName>
    <definedName function="false" hidden="false" name="Slot7_NowM" vbProcedure="false">'Plan goals'!$L$93</definedName>
    <definedName function="false" hidden="false" name="Slot7_On" vbProcedure="false">'Plan goals'!$D$60</definedName>
    <definedName function="false" hidden="false" name="Slot7_Paid" vbProcedure="false">'Plan goals'!$C$93</definedName>
    <definedName function="false" hidden="false" name="Slot7_Pct" vbProcedure="false">'Plan goals'!$E$93</definedName>
    <definedName function="false" hidden="false" name="Slot7_PctLow" vbProcedure="false">'Plan goals'!$F$93</definedName>
    <definedName function="false" hidden="false" name="Slot7_Pot0" vbProcedure="false">'Plan goals'!$X$60</definedName>
    <definedName function="false" hidden="false" name="Slot7_PotFree" vbProcedure="false">'Plan goals'!$N$60</definedName>
    <definedName function="false" hidden="false" name="Slot7_Rate" vbProcedure="false">'Plan goals'!$K$60</definedName>
    <definedName function="false" hidden="false" name="Slot7_Saved" vbProcedure="false">'Plan goals'!$I$60</definedName>
    <definedName function="false" hidden="false" name="Slot7_SpendLike" vbProcedure="false">'Plan goals'!$M$60</definedName>
    <definedName function="false" hidden="false" name="Slot8_Age" vbProcedure="false">'Plan goals'!$G$61</definedName>
    <definedName function="false" hidden="false" name="Slot8_Amount" vbProcedure="false">'Plan goals'!$H$61</definedName>
    <definedName function="false" hidden="false" name="Slot8_AvgM" vbProcedure="false">'Plan goals'!$M$94</definedName>
    <definedName function="false" hidden="false" name="Slot8_BufPot" vbProcedure="false">'Plan goals'!$O$61</definedName>
    <definedName function="false" hidden="false" name="Slot8_Cost" vbProcedure="false">'Plan goals'!$L$61</definedName>
    <definedName function="false" hidden="false" name="Slot8_IsMfree" vbProcedure="false">'Plan goals'!$P$61</definedName>
    <definedName function="false" hidden="false" name="Slot8_IsWG" vbProcedure="false">'Plan goals'!$Q$61</definedName>
    <definedName function="false" hidden="false" name="Slot8_Key" vbProcedure="false">'Plan goals'!$E$61</definedName>
    <definedName function="false" hidden="false" name="Slot8_Kind" vbProcedure="false">'Plan goals'!$F$61</definedName>
    <definedName function="false" hidden="false" name="Slot8_N" vbProcedure="false">'Plan goals'!$J$61</definedName>
    <definedName function="false" hidden="false" name="Slot8_NeedM" vbProcedure="false">'Plan goals'!$K$94</definedName>
    <definedName function="false" hidden="false" name="Slot8_NowM" vbProcedure="false">'Plan goals'!$L$94</definedName>
    <definedName function="false" hidden="false" name="Slot8_On" vbProcedure="false">'Plan goals'!$D$61</definedName>
    <definedName function="false" hidden="false" name="Slot8_Paid" vbProcedure="false">'Plan goals'!$C$94</definedName>
    <definedName function="false" hidden="false" name="Slot8_Pct" vbProcedure="false">'Plan goals'!$E$94</definedName>
    <definedName function="false" hidden="false" name="Slot8_PctLow" vbProcedure="false">'Plan goals'!$F$94</definedName>
    <definedName function="false" hidden="false" name="Slot8_Pot0" vbProcedure="false">'Plan goals'!$X$61</definedName>
    <definedName function="false" hidden="false" name="Slot8_PotFree" vbProcedure="false">'Plan goals'!$N$61</definedName>
    <definedName function="false" hidden="false" name="Slot8_Rate" vbProcedure="false">'Plan goals'!$K$61</definedName>
    <definedName function="false" hidden="false" name="Slot8_Saved" vbProcedure="false">'Plan goals'!$I$61</definedName>
    <definedName function="false" hidden="false" name="Slot8_SpendLike" vbProcedure="false">'Plan goals'!$M$61</definedName>
    <definedName function="false" hidden="false" name="Slot9_Age" vbProcedure="false">'Plan goals'!$G$62</definedName>
    <definedName function="false" hidden="false" name="Slot9_Amount" vbProcedure="false">'Plan goals'!$H$62</definedName>
    <definedName function="false" hidden="false" name="Slot9_AvgM" vbProcedure="false">'Plan goals'!$M$95</definedName>
    <definedName function="false" hidden="false" name="Slot9_BufPot" vbProcedure="false">'Plan goals'!$O$62</definedName>
    <definedName function="false" hidden="false" name="Slot9_Cost" vbProcedure="false">'Plan goals'!$L$62</definedName>
    <definedName function="false" hidden="false" name="Slot9_IsMfree" vbProcedure="false">'Plan goals'!$P$62</definedName>
    <definedName function="false" hidden="false" name="Slot9_IsWG" vbProcedure="false">'Plan goals'!$Q$62</definedName>
    <definedName function="false" hidden="false" name="Slot9_Key" vbProcedure="false">'Plan goals'!$E$62</definedName>
    <definedName function="false" hidden="false" name="Slot9_Kind" vbProcedure="false">'Plan goals'!$F$62</definedName>
    <definedName function="false" hidden="false" name="Slot9_N" vbProcedure="false">'Plan goals'!$J$62</definedName>
    <definedName function="false" hidden="false" name="Slot9_NeedM" vbProcedure="false">'Plan goals'!$K$95</definedName>
    <definedName function="false" hidden="false" name="Slot9_NowM" vbProcedure="false">'Plan goals'!$L$95</definedName>
    <definedName function="false" hidden="false" name="Slot9_On" vbProcedure="false">'Plan goals'!$D$62</definedName>
    <definedName function="false" hidden="false" name="Slot9_Paid" vbProcedure="false">'Plan goals'!$C$95</definedName>
    <definedName function="false" hidden="false" name="Slot9_Pct" vbProcedure="false">'Plan goals'!$E$95</definedName>
    <definedName function="false" hidden="false" name="Slot9_PctLow" vbProcedure="false">'Plan goals'!$F$95</definedName>
    <definedName function="false" hidden="false" name="Slot9_Pot0" vbProcedure="false">'Plan goals'!$X$62</definedName>
    <definedName function="false" hidden="false" name="Slot9_PotFree" vbProcedure="false">'Plan goals'!$N$62</definedName>
    <definedName function="false" hidden="false" name="Slot9_Rate" vbProcedure="false">'Plan goals'!$K$62</definedName>
    <definedName function="false" hidden="false" name="Slot9_Saved" vbProcedure="false">'Plan goals'!$I$62</definedName>
    <definedName function="false" hidden="false" name="Slot9_SpendLike" vbProcedure="false">'Plan goals'!$M$62</definedName>
    <definedName function="false" hidden="false" name="Slots_Funded" vbProcedure="false">'Plan goals'!$D$80</definedName>
    <definedName function="false" hidden="false" name="Slots_TooMany" vbProcedure="false">'Plan goals'!$D$81</definedName>
    <definedName function="false" hidden="false" name="Statement_Max_Age_Days" vbProcedure="false">Assumptions!$C$94</definedName>
    <definedName function="false" hidden="false" name="State_Pension_Age" vbProcedure="false">Assumptions!$C$65</definedName>
    <definedName function="false" hidden="false" name="State_Pension_Week" vbProcedure="false">Assumptions!$C$63</definedName>
    <definedName function="false" hidden="false" name="State_Pension_Year" vbProcedure="false">Assumptions!$C$64</definedName>
    <definedName function="false" hidden="false" name="Suggest_Buying_Fees" vbProcedure="false">Settings!$M$50</definedName>
    <definedName function="false" hidden="false" name="Suggest_Buying_Fees_Label" vbProcedure="false">Settings!$L$50</definedName>
    <definedName function="false" hidden="false" name="Suggest_Card_APR" vbProcedure="false">Settings!$M$48</definedName>
    <definedName function="false" hidden="false" name="Suggest_Card_APR_Label" vbProcedure="false">Settings!$L$48</definedName>
    <definedName function="false" hidden="false" name="Suggest_Deposit_Rate" vbProcedure="false">Settings!$M$49</definedName>
    <definedName function="false" hidden="false" name="Suggest_Deposit_Rate_Label" vbProcedure="false">Settings!$L$49</definedName>
    <definedName function="false" hidden="false" name="Suggest_Fund_Charges" vbProcedure="false">Settings!$M$51</definedName>
    <definedName function="false" hidden="false" name="Suggest_Fund_Charges_Label" vbProcedure="false">Settings!$L$51</definedName>
    <definedName function="false" hidden="false" name="Suggest_Loan_APR" vbProcedure="false">Settings!$M$47</definedName>
    <definedName function="false" hidden="false" name="Suggest_Loan_APR_Label" vbProcedure="false">Settings!$L$47</definedName>
    <definedName function="false" hidden="false" name="Suggest_Mortgage_Rate" vbProcedure="false">Settings!$M$46</definedName>
    <definedName function="false" hidden="false" name="Suggest_Mortgage_Rate_Label" vbProcedure="false">Settings!$L$46</definedName>
    <definedName function="false" hidden="false" name="Survivor_Pension_Week" vbProcedure="false">Assumptions!$C$66</definedName>
    <definedName function="false" hidden="false" name="Survivor_Pension_Week_66" vbProcedure="false">Assumptions!$C$67</definedName>
    <definedName function="false" hidden="false" name="TE_Band" vbProcedure="false">'Tax engine'!$C$15</definedName>
    <definedName function="false" hidden="false" name="TE_Checks" vbProcedure="false">'Tax engine'!$Q$46</definedName>
    <definedName function="false" hidden="false" name="TE_Credits" vbProcedure="false">'Tax engine'!$C$18</definedName>
    <definedName function="false" hidden="false" name="TE_Earner_2" vbProcedure="false">'Tax engine'!$C$14</definedName>
    <definedName function="false" hidden="false" name="TE_Gross_1" vbProcedure="false">'Tax engine'!$G$6</definedName>
    <definedName function="false" hidden="false" name="TE_Gross_1_Entry" vbProcedure="false">'Tax engine'!$C$6</definedName>
    <definedName function="false" hidden="false" name="TE_Gross_2" vbProcedure="false">'Tax engine'!$G$7</definedName>
    <definedName function="false" hidden="false" name="TE_Gross_2_Entry" vbProcedure="false">'Tax engine'!$C$7</definedName>
    <definedName function="false" hidden="false" name="TE_Home_Carer" vbProcedure="false">'Tax engine'!$G$9</definedName>
    <definedName function="false" hidden="false" name="TE_Home_Carer_Entry" vbProcedure="false">'Tax engine'!$C$9</definedName>
    <definedName function="false" hidden="false" name="TE_Income_Tax" vbProcedure="false">'Tax engine'!$C$19</definedName>
    <definedName function="false" hidden="false" name="TE_Marginal_Rate" vbProcedure="false">'Tax engine'!$C$24</definedName>
    <definedName function="false" hidden="false" name="TE_Need" vbProcedure="false">'Tax engine'!$C$25</definedName>
    <definedName function="false" hidden="false" name="TE_PRSI" vbProcedure="false">'Tax engine'!$C$21</definedName>
    <definedName function="false" hidden="false" name="TE_PRSI_Basis" vbProcedure="false">'Tax engine'!$G$10</definedName>
    <definedName function="false" hidden="false" name="TE_PRSI_Basis_Entry" vbProcedure="false">'Tax engine'!$C$10</definedName>
    <definedName function="false" hidden="false" name="TE_PRSI_Rate_Used" vbProcedure="false">'Tax engine'!$C$13</definedName>
    <definedName function="false" hidden="false" name="TE_Rent_Credit" vbProcedure="false">'Tax engine'!$G$8</definedName>
    <definedName function="false" hidden="false" name="TE_Rent_Credit_Entry" vbProcedure="false">'Tax engine'!$C$8</definedName>
    <definedName function="false" hidden="false" name="TE_Status" vbProcedure="false">'Tax engine'!$G$5</definedName>
    <definedName function="false" hidden="false" name="TE_Status_Entry" vbProcedure="false">'Tax engine'!$C$5</definedName>
    <definedName function="false" hidden="false" name="TE_Take_Home" vbProcedure="false">'Tax engine'!$C$22</definedName>
    <definedName function="false" hidden="false" name="TE_Take_Home_Month" vbProcedure="false">'Tax engine'!$C$23</definedName>
    <definedName function="false" hidden="false" name="TE_Taxable" vbProcedure="false">'Tax engine'!$C$16</definedName>
    <definedName function="false" hidden="false" name="TE_Tax_Before_Credits" vbProcedure="false">'Tax engine'!$C$17</definedName>
    <definedName function="false" hidden="false" name="TE_USC" vbProcedure="false">'Tax engine'!$C$20</definedName>
    <definedName function="false" hidden="false" name="Tools_All" vbProcedure="false">'Plan results'!$C$181</definedName>
    <definedName function="false" hidden="false" name="Tools_List" vbProcedure="false">'Plan results'!$C$182</definedName>
    <definedName function="false" hidden="false" name="USC_Band_1" vbProcedure="false">Assumptions!$C$27</definedName>
    <definedName function="false" hidden="false" name="USC_Band_2" vbProcedure="false">Assumptions!$C$28</definedName>
    <definedName function="false" hidden="false" name="USC_Band_3" vbProcedure="false">Assumptions!$C$29</definedName>
    <definedName function="false" hidden="false" name="USC_Exempt" vbProcedure="false">Assumptions!$C$26</definedName>
    <definedName function="false" hidden="false" name="USC_Rate_1" vbProcedure="false">Assumptions!$C$30</definedName>
    <definedName function="false" hidden="false" name="USC_Rate_2" vbProcedure="false">Assumptions!$C$31</definedName>
    <definedName function="false" hidden="false" name="USC_Rate_3" vbProcedure="false">Assumptions!$C$32</definedName>
    <definedName function="false" hidden="false" name="USC_Rate_4" vbProcedure="false">Assumptions!$C$33</definedName>
    <definedName function="false" hidden="false" name="Use_cardRate" vbProcedure="false">'Plan results'!$C$174</definedName>
    <definedName function="false" hidden="false" name="Use_loanRate" vbProcedure="false">'Plan results'!$C$173</definedName>
    <definedName function="false" hidden="false" name="Use_mort2" vbProcedure="false">'Plan results'!$C$169</definedName>
    <definedName function="false" hidden="false" name="Use_mortRate" vbProcedure="false">'Plan results'!$C$172</definedName>
    <definedName function="false" hidden="false" name="Use_mortYears" vbProcedure="false">'Plan results'!$C$168</definedName>
    <definedName function="false" hidden="false" name="Use_pAge" vbProcedure="false">'Plan results'!$C$170</definedName>
    <definedName function="false" hidden="false" name="Use_work" vbProcedure="false">'Plan results'!$C$171</definedName>
    <definedName function="false" hidden="false" name="Vid_investment_Idx" vbProcedure="false">'Plan results'!$C$235</definedName>
    <definedName function="false" hidden="false" name="Vid_investment_Pct" vbProcedure="false">'Plan results'!$C$236</definedName>
    <definedName function="false" hidden="false" name="Vid_mortgage_Idx" vbProcedure="false">'Plan results'!$C$229</definedName>
    <definedName function="false" hidden="false" name="Vid_mortgage_Pct" vbProcedure="false">'Plan results'!$C$230</definedName>
    <definedName function="false" hidden="false" name="Vid_pension_Idx" vbProcedure="false">'Plan results'!$C$231</definedName>
    <definedName function="false" hidden="false" name="Vid_pension_Pct" vbProcedure="false">'Plan results'!$C$232</definedName>
    <definedName function="false" hidden="false" name="Vid_planner_Idx" vbProcedure="false">'Plan results'!$C$237</definedName>
    <definedName function="false" hidden="false" name="Vid_planner_Pct" vbProcedure="false">'Plan results'!$C$238</definedName>
    <definedName function="false" hidden="false" name="Vid_protection_Idx" vbProcedure="false">'Plan results'!$C$233</definedName>
    <definedName function="false" hidden="false" name="Vid_protection_Pct" vbProcedure="false">'Plan results'!$C$234</definedName>
    <definedName function="false" hidden="false" name="Warn_Goals" vbProcedure="false">'Plan goals'!$D$83</definedName>
    <definedName function="false" hidden="false" name="Weeks_Per_Year" vbProcedure="false">Assumptions!$C$70</definedName>
    <definedName function="false" hidden="false" name="WI_L" vbProcedure="false">'Plan pay &amp; tax'!$C$228</definedName>
    <definedName function="false" hidden="false" name="WI_M" vbProcedure="false">'Plan pay &amp; tax'!$C$227</definedName>
    <definedName function="false" hidden="false" name="Wi_Over" vbProcedure="false">'Plan results'!$C$190</definedName>
    <definedName function="false" hidden="false" name="WI_Retire" vbProcedure="false">'Plan pay &amp; tax'!$C$226</definedName>
    <definedName function="false" hidden="false" name="Wi_Text" vbProcedure="false">'Plan results'!$C$226</definedName>
    <definedName function="false" hidden="false" name="Wi_Total" vbProcedure="false">'Plan results'!$C$189</definedName>
    <definedName function="false" hidden="false" localSheetId="10" name="Borrow_By_Income" vbProcedure="false">'C01 Borrowing'!$C$21</definedName>
    <definedName function="false" hidden="false" localSheetId="10" name="Buying_Fees" vbProcedure="false">'C01 Borrowing'!$G$12</definedName>
    <definedName function="false" hidden="false" localSheetId="10" name="Buying_Fees_Entry" vbProcedure="false">'C01 Borrowing'!$C$12</definedName>
    <definedName function="false" hidden="false" localSheetId="10" name="Cash_At_Band_1" vbProcedure="false">'C01 Borrowing'!$C$25</definedName>
    <definedName function="false" hidden="false" localSheetId="10" name="Cash_At_Band_2" vbProcedure="false">'C01 Borrowing'!$C$26</definedName>
    <definedName function="false" hidden="false" localSheetId="10" name="Cash_For_Price" vbProcedure="false">'C01 Borrowing'!$C$24</definedName>
    <definedName function="false" hidden="false" localSheetId="10" name="Deposit" vbProcedure="false">'C01 Borrowing'!$G$8</definedName>
    <definedName function="false" hidden="false" localSheetId="10" name="Deposit_Entry" vbProcedure="false">'C01 Borrowing'!$C$8</definedName>
    <definedName function="false" hidden="false" localSheetId="10" name="Extra_Deposit" vbProcedure="false">'C01 Borrowing'!$G$14</definedName>
    <definedName function="false" hidden="false" localSheetId="10" name="Extra_Deposit_Entry" vbProcedure="false">'C01 Borrowing'!$C$14</definedName>
    <definedName function="false" hidden="false" localSheetId="10" name="First_Time_Buyer" vbProcedure="false">'C01 Borrowing'!$G$9</definedName>
    <definedName function="false" hidden="false" localSheetId="10" name="First_Time_Buyer_Entry" vbProcedure="false">'C01 Borrowing'!$C$9</definedName>
    <definedName function="false" hidden="false" localSheetId="10" name="Home_Goal_Years" vbProcedure="false">'C01 Borrowing'!$G$13</definedName>
    <definedName function="false" hidden="false" localSheetId="10" name="Home_Goal_Years_Entry" vbProcedure="false">'C01 Borrowing'!$C$13</definedName>
    <definedName function="false" hidden="false" localSheetId="10" name="Home_Price" vbProcedure="false">'C01 Borrowing'!$C$17</definedName>
    <definedName function="false" hidden="false" localSheetId="10" name="Income" vbProcedure="false">'C01 Borrowing'!$G$6</definedName>
    <definedName function="false" hidden="false" localSheetId="10" name="Income_Cash" vbProcedure="false">'C01 Borrowing'!$C$28</definedName>
    <definedName function="false" hidden="false" localSheetId="10" name="Income_Entry" vbProcedure="false">'C01 Borrowing'!$C$6</definedName>
    <definedName function="false" hidden="false" localSheetId="10" name="Income_Multiple" vbProcedure="false">'C01 Borrowing'!$C$22</definedName>
    <definedName function="false" hidden="false" localSheetId="10" name="Interest_Rate" vbProcedure="false">'C01 Borrowing'!$G$10</definedName>
    <definedName function="false" hidden="false" localSheetId="10" name="Interest_Rate_Entry" vbProcedure="false">'C01 Borrowing'!$C$10</definedName>
    <definedName function="false" hidden="false" localSheetId="10" name="Limit_Set_By" vbProcedure="false">'C01 Borrowing'!$C$30</definedName>
    <definedName function="false" hidden="false" localSheetId="10" name="Max_Loan" vbProcedure="false">'C01 Borrowing'!$C$18</definedName>
    <definedName function="false" hidden="false" localSheetId="10" name="Monthly_Repayment" vbProcedure="false">'C01 Borrowing'!$C$19</definedName>
    <definedName function="false" hidden="false" localSheetId="10" name="Need_1" vbProcedure="false">'C01 Borrowing'!$C$49</definedName>
    <definedName function="false" hidden="false" localSheetId="10" name="Need_2" vbProcedure="false">'C01 Borrowing'!$C$50</definedName>
    <definedName function="false" hidden="false" localSheetId="10" name="Need_3" vbProcedure="false">'C01 Borrowing'!$C$51</definedName>
    <definedName function="false" hidden="false" localSheetId="10" name="Need_4" vbProcedure="false">'C01 Borrowing'!$C$52</definedName>
    <definedName function="false" hidden="false" localSheetId="10" name="Need_5" vbProcedure="false">'C01 Borrowing'!$C$53</definedName>
    <definedName function="false" hidden="false" localSheetId="10" name="Need_6" vbProcedure="false">'C01 Borrowing'!$C$54</definedName>
    <definedName function="false" hidden="false" localSheetId="10" name="Need_7" vbProcedure="false">'C01 Borrowing'!$C$55</definedName>
    <definedName function="false" hidden="false" localSheetId="10" name="Partner_Income" vbProcedure="false">'C01 Borrowing'!$G$7</definedName>
    <definedName function="false" hidden="false" localSheetId="10" name="Partner_Income_Entry" vbProcedure="false">'C01 Borrowing'!$C$7</definedName>
    <definedName function="false" hidden="false" localSheetId="10" name="Plan_Goal_Amount" vbProcedure="false">'C01 Borrowing'!$C$44</definedName>
    <definedName function="false" hidden="false" localSheetId="10" name="Plan_Goal_Kind" vbProcedure="false">'C01 Borrowing'!$C$43</definedName>
    <definedName function="false" hidden="false" localSheetId="10" name="Plan_Goal_Saved" vbProcedure="false">'C01 Borrowing'!$C$45</definedName>
    <definedName function="false" hidden="false" localSheetId="10" name="Plan_Goal_Years" vbProcedure="false">'C01 Borrowing'!$C$46</definedName>
    <definedName function="false" hidden="false" localSheetId="10" name="Price_By_Deposit" vbProcedure="false">'C01 Borrowing'!$C$27</definedName>
    <definedName function="false" hidden="false" localSheetId="10" name="Price_By_Income" vbProcedure="false">'C01 Borrowing'!$C$29</definedName>
    <definedName function="false" hidden="false" localSheetId="10" name="Stamp_Duty" vbProcedure="false">'C01 Borrowing'!$C$20</definedName>
    <definedName function="false" hidden="false" localSheetId="10" name="Term_Years" vbProcedure="false">'C01 Borrowing'!$G$11</definedName>
    <definedName function="false" hidden="false" localSheetId="10" name="Term_Years_Entry" vbProcedure="false">'C01 Borrowing'!$C$11</definedName>
    <definedName function="false" hidden="false" localSheetId="10" name="Total_Deposit" vbProcedure="false">'C01 Borrowing'!$C$23</definedName>
    <definedName function="false" hidden="false" localSheetId="11" name="Actual_Repayment" vbProcedure="false">'C02 Mortgage repayment'!$G$17</definedName>
    <definedName function="false" hidden="false" localSheetId="11" name="Actual_Repayment_Entry" vbProcedure="false">'C02 Mortgage repayment'!$C$17</definedName>
    <definedName function="false" hidden="false" localSheetId="11" name="Change_Per_Year" vbProcedure="false">'C02 Mortgage repayment'!$C$38</definedName>
    <definedName function="false" hidden="false" localSheetId="11" name="Final_Payment" vbProcedure="false">'C02 Mortgage repayment'!$C$35</definedName>
    <definedName function="false" hidden="false" localSheetId="11" name="Formula_Repayment" vbProcedure="false">'C02 Mortgage repayment'!$C$34</definedName>
    <definedName function="false" hidden="false" localSheetId="11" name="Home_Goal_Years" vbProcedure="false">'C02 Mortgage repayment'!$G$18</definedName>
    <definedName function="false" hidden="false" localSheetId="11" name="Home_Goal_Years_Entry" vbProcedure="false">'C02 Mortgage repayment'!$C$18</definedName>
    <definedName function="false" hidden="false" localSheetId="11" name="Interest_Rate" vbProcedure="false">'C02 Mortgage repayment'!$G$15</definedName>
    <definedName function="false" hidden="false" localSheetId="11" name="Interest_Rate_Entry" vbProcedure="false">'C02 Mortgage repayment'!$C$15</definedName>
    <definedName function="false" hidden="false" localSheetId="11" name="Loan_Amount" vbProcedure="false">'C02 Mortgage repayment'!$G$14</definedName>
    <definedName function="false" hidden="false" localSheetId="11" name="Loan_Amount_Entry" vbProcedure="false">'C02 Mortgage repayment'!$C$14</definedName>
    <definedName function="false" hidden="false" localSheetId="11" name="Monthly_Rate" vbProcedure="false">'C02 Mortgage repayment'!$C$33</definedName>
    <definedName function="false" hidden="false" localSheetId="11" name="Monthly_Repayment" vbProcedure="false">'C02 Mortgage repayment'!$C$29</definedName>
    <definedName function="false" hidden="false" localSheetId="11" name="Months_To_Pay" vbProcedure="false">'C02 Mortgage repayment'!$C$30</definedName>
    <definedName function="false" hidden="false" localSheetId="11" name="Need_1" vbProcedure="false">'C02 Mortgage repayment'!$C$57</definedName>
    <definedName function="false" hidden="false" localSheetId="11" name="Need_2" vbProcedure="false">'C02 Mortgage repayment'!$C$58</definedName>
    <definedName function="false" hidden="false" localSheetId="11" name="Need_3" vbProcedure="false">'C02 Mortgage repayment'!$C$59</definedName>
    <definedName function="false" hidden="false" localSheetId="11" name="Need_4" vbProcedure="false">'C02 Mortgage repayment'!$C$60</definedName>
    <definedName function="false" hidden="false" localSheetId="11" name="Need_5" vbProcedure="false">'C02 Mortgage repayment'!$C$61</definedName>
    <definedName function="false" hidden="false" localSheetId="11" name="New_Rate" vbProcedure="false">'C02 Mortgage repayment'!$C$36</definedName>
    <definedName function="false" hidden="false" localSheetId="11" name="Plan_Goal_Amount" vbProcedure="false">'C02 Mortgage repayment'!$C$52</definedName>
    <definedName function="false" hidden="false" localSheetId="11" name="Plan_Goal_Kind" vbProcedure="false">'C02 Mortgage repayment'!$C$51</definedName>
    <definedName function="false" hidden="false" localSheetId="11" name="Plan_Goal_Years" vbProcedure="false">'C02 Mortgage repayment'!$C$53</definedName>
    <definedName function="false" hidden="false" localSheetId="11" name="Rate_Change" vbProcedure="false">'C02 Mortgage repayment'!$G$19</definedName>
    <definedName function="false" hidden="false" localSheetId="11" name="Rate_Change_Entry" vbProcedure="false">'C02 Mortgage repayment'!$C$19</definedName>
    <definedName function="false" hidden="false" localSheetId="11" name="Repayment_If_Changed" vbProcedure="false">'C02 Mortgage repayment'!$C$37</definedName>
    <definedName function="false" hidden="false" localSheetId="11" name="Statement_Check" vbProcedure="false">'C02 Mortgage repayment'!$C$26</definedName>
    <definedName function="false" hidden="false" localSheetId="11" name="Stmt_Balance" vbProcedure="false">'C02 Mortgage repayment'!$C$7</definedName>
    <definedName function="false" hidden="false" localSheetId="11" name="Stmt_Rate" vbProcedure="false">'C02 Mortgage repayment'!$C$8</definedName>
    <definedName function="false" hidden="false" localSheetId="11" name="Stmt_Repayment" vbProcedure="false">'C02 Mortgage repayment'!$C$10</definedName>
    <definedName function="false" hidden="false" localSheetId="11" name="Stmt_Statement_Date" vbProcedure="false">'C02 Mortgage repayment'!$C$11</definedName>
    <definedName function="false" hidden="false" localSheetId="11" name="Stmt_Term" vbProcedure="false">'C02 Mortgage repayment'!$C$9</definedName>
    <definedName function="false" hidden="false" localSheetId="11" name="Term_Years" vbProcedure="false">'C02 Mortgage repayment'!$G$16</definedName>
    <definedName function="false" hidden="false" localSheetId="11" name="Term_Years_Entry" vbProcedure="false">'C02 Mortgage repayment'!$C$16</definedName>
    <definedName function="false" hidden="false" localSheetId="11" name="Total_Interest" vbProcedure="false">'C02 Mortgage repayment'!$C$31</definedName>
    <definedName function="false" hidden="false" localSheetId="11" name="Total_Repaid" vbProcedure="false">'C02 Mortgage repayment'!$C$32</definedName>
    <definedName function="false" hidden="false" localSheetId="11" name="Used_Actual_Repayment" vbProcedure="false">'C02 Mortgage repayment'!$C$25</definedName>
    <definedName function="false" hidden="false" localSheetId="11" name="Used_Interest_Rate" vbProcedure="false">'C02 Mortgage repayment'!$C$23</definedName>
    <definedName function="false" hidden="false" localSheetId="11" name="Used_Loan_Amount" vbProcedure="false">'C02 Mortgage repayment'!$C$22</definedName>
    <definedName function="false" hidden="false" localSheetId="11" name="Used_Term_Years" vbProcedure="false">'C02 Mortgage repayment'!$C$24</definedName>
    <definedName function="false" hidden="false" localSheetId="12" name="Buying_Fees" vbProcedure="false">'C03 Deposit'!$G$8</definedName>
    <definedName function="false" hidden="false" localSheetId="12" name="Buying_Fees_Entry" vbProcedure="false">'C03 Deposit'!$C$8</definedName>
    <definedName function="false" hidden="false" localSheetId="12" name="Deposit_Needed" vbProcedure="false">'C03 Deposit'!$C$17</definedName>
    <definedName function="false" hidden="false" localSheetId="12" name="Deposit_Pct" vbProcedure="false">'C03 Deposit'!$G$7</definedName>
    <definedName function="false" hidden="false" localSheetId="12" name="Deposit_Pct_Entry" vbProcedure="false">'C03 Deposit'!$C$7</definedName>
    <definedName function="false" hidden="false" localSheetId="12" name="Extra_Saving" vbProcedure="false">'C03 Deposit'!$G$11</definedName>
    <definedName function="false" hidden="false" localSheetId="12" name="Extra_Saving_Entry" vbProcedure="false">'C03 Deposit'!$C$11</definedName>
    <definedName function="false" hidden="false" localSheetId="12" name="Home_Price" vbProcedure="false">'C03 Deposit'!$G$6</definedName>
    <definedName function="false" hidden="false" localSheetId="12" name="Home_Price_Entry" vbProcedure="false">'C03 Deposit'!$C$6</definedName>
    <definedName function="false" hidden="false" localSheetId="12" name="Monthly_Saving" vbProcedure="false">'C03 Deposit'!$G$10</definedName>
    <definedName function="false" hidden="false" localSheetId="12" name="Monthly_Saving_Entry" vbProcedure="false">'C03 Deposit'!$C$10</definedName>
    <definedName function="false" hidden="false" localSheetId="12" name="Months_To_Deposit" vbProcedure="false">'C03 Deposit'!$C$14</definedName>
    <definedName function="false" hidden="false" localSheetId="12" name="Need_1" vbProcedure="false">'C03 Deposit'!$C$35</definedName>
    <definedName function="false" hidden="false" localSheetId="12" name="Need_2" vbProcedure="false">'C03 Deposit'!$C$36</definedName>
    <definedName function="false" hidden="false" localSheetId="12" name="Need_3" vbProcedure="false">'C03 Deposit'!$C$37</definedName>
    <definedName function="false" hidden="false" localSheetId="12" name="Need_4" vbProcedure="false">'C03 Deposit'!$C$38</definedName>
    <definedName function="false" hidden="false" localSheetId="12" name="Need_5" vbProcedure="false">'C03 Deposit'!$C$39</definedName>
    <definedName function="false" hidden="false" localSheetId="12" name="Need_6" vbProcedure="false">'C03 Deposit'!$C$40</definedName>
    <definedName function="false" hidden="false" localSheetId="12" name="Plan_Goal_Amount" vbProcedure="false">'C03 Deposit'!$C$30</definedName>
    <definedName function="false" hidden="false" localSheetId="12" name="Plan_Goal_Kind" vbProcedure="false">'C03 Deposit'!$C$29</definedName>
    <definedName function="false" hidden="false" localSheetId="12" name="Plan_Goal_Saved" vbProcedure="false">'C03 Deposit'!$C$31</definedName>
    <definedName function="false" hidden="false" localSheetId="12" name="Plan_Goal_Years" vbProcedure="false">'C03 Deposit'!$C$32</definedName>
    <definedName function="false" hidden="false" localSheetId="12" name="Saved" vbProcedure="false">'C03 Deposit'!$G$9</definedName>
    <definedName function="false" hidden="false" localSheetId="12" name="Saved_Entry" vbProcedure="false">'C03 Deposit'!$C$9</definedName>
    <definedName function="false" hidden="false" localSheetId="12" name="Stamp_Duty" vbProcedure="false">'C03 Deposit'!$C$18</definedName>
    <definedName function="false" hidden="false" localSheetId="12" name="Still_To_Save" vbProcedure="false">'C03 Deposit'!$C$16</definedName>
    <definedName function="false" hidden="false" localSheetId="12" name="Total_Needed" vbProcedure="false">'C03 Deposit'!$C$15</definedName>
    <definedName function="false" hidden="false" localSheetId="13" name="Actual_Repayment" vbProcedure="false">'C04 Mortgage overpayment'!$G$18</definedName>
    <definedName function="false" hidden="false" localSheetId="13" name="Actual_Repayment_Entry" vbProcedure="false">'C04 Mortgage overpayment'!$C$18</definedName>
    <definedName function="false" hidden="false" localSheetId="13" name="Extra_Payment" vbProcedure="false">'C04 Mortgage overpayment'!$G$17</definedName>
    <definedName function="false" hidden="false" localSheetId="13" name="Extra_Payment_Entry" vbProcedure="false">'C04 Mortgage overpayment'!$C$17</definedName>
    <definedName function="false" hidden="false" localSheetId="13" name="Interest_Now" vbProcedure="false">'C04 Mortgage overpayment'!$C$37</definedName>
    <definedName function="false" hidden="false" localSheetId="13" name="Interest_Rate" vbProcedure="false">'C04 Mortgage overpayment'!$G$15</definedName>
    <definedName function="false" hidden="false" localSheetId="13" name="Interest_Rate_Entry" vbProcedure="false">'C04 Mortgage overpayment'!$C$15</definedName>
    <definedName function="false" hidden="false" localSheetId="13" name="Interest_Saved" vbProcedure="false">'C04 Mortgage overpayment'!$C$29</definedName>
    <definedName function="false" hidden="false" localSheetId="13" name="Interest_With_Extra" vbProcedure="false">'C04 Mortgage overpayment'!$C$38</definedName>
    <definedName function="false" hidden="false" localSheetId="13" name="Last_Payment_Now" vbProcedure="false">'C04 Mortgage overpayment'!$C$35</definedName>
    <definedName function="false" hidden="false" localSheetId="13" name="Last_Payment_With_Extra" vbProcedure="false">'C04 Mortgage overpayment'!$C$36</definedName>
    <definedName function="false" hidden="false" localSheetId="13" name="Monthly_Rate" vbProcedure="false">'C04 Mortgage overpayment'!$C$32</definedName>
    <definedName function="false" hidden="false" localSheetId="13" name="Months_Now" vbProcedure="false">'C04 Mortgage overpayment'!$C$30</definedName>
    <definedName function="false" hidden="false" localSheetId="13" name="Months_Sooner" vbProcedure="false">'C04 Mortgage overpayment'!$C$28</definedName>
    <definedName function="false" hidden="false" localSheetId="13" name="Months_With_Extra" vbProcedure="false">'C04 Mortgage overpayment'!$C$31</definedName>
    <definedName function="false" hidden="false" localSheetId="13" name="Mortgage_Balance" vbProcedure="false">'C04 Mortgage overpayment'!$G$14</definedName>
    <definedName function="false" hidden="false" localSheetId="13" name="Mortgage_Balance_Entry" vbProcedure="false">'C04 Mortgage overpayment'!$C$14</definedName>
    <definedName function="false" hidden="false" localSheetId="13" name="Need_1" vbProcedure="false">'C04 Mortgage overpayment'!$C$56</definedName>
    <definedName function="false" hidden="false" localSheetId="13" name="Need_2" vbProcedure="false">'C04 Mortgage overpayment'!$C$57</definedName>
    <definedName function="false" hidden="false" localSheetId="13" name="Need_3" vbProcedure="false">'C04 Mortgage overpayment'!$C$58</definedName>
    <definedName function="false" hidden="false" localSheetId="13" name="Plan_Goal_Kind" vbProcedure="false">'C04 Mortgage overpayment'!$C$51</definedName>
    <definedName function="false" hidden="false" localSheetId="13" name="Plan_Goal_Years" vbProcedure="false">'C04 Mortgage overpayment'!$C$52</definedName>
    <definedName function="false" hidden="false" localSheetId="13" name="Repayment_Now" vbProcedure="false">'C04 Mortgage overpayment'!$C$33</definedName>
    <definedName function="false" hidden="false" localSheetId="13" name="Repayment_With_Extra" vbProcedure="false">'C04 Mortgage overpayment'!$C$34</definedName>
    <definedName function="false" hidden="false" localSheetId="13" name="Statement_Check" vbProcedure="false">'C04 Mortgage overpayment'!$C$25</definedName>
    <definedName function="false" hidden="false" localSheetId="13" name="Stmt_Balance" vbProcedure="false">'C04 Mortgage overpayment'!$C$7</definedName>
    <definedName function="false" hidden="false" localSheetId="13" name="Stmt_Rate" vbProcedure="false">'C04 Mortgage overpayment'!$C$8</definedName>
    <definedName function="false" hidden="false" localSheetId="13" name="Stmt_Repayment" vbProcedure="false">'C04 Mortgage overpayment'!$C$10</definedName>
    <definedName function="false" hidden="false" localSheetId="13" name="Stmt_Statement_Date" vbProcedure="false">'C04 Mortgage overpayment'!$C$11</definedName>
    <definedName function="false" hidden="false" localSheetId="13" name="Stmt_Term" vbProcedure="false">'C04 Mortgage overpayment'!$C$9</definedName>
    <definedName function="false" hidden="false" localSheetId="13" name="Used_Actual_Repayment" vbProcedure="false">'C04 Mortgage overpayment'!$C$24</definedName>
    <definedName function="false" hidden="false" localSheetId="13" name="Used_Interest_Rate" vbProcedure="false">'C04 Mortgage overpayment'!$C$22</definedName>
    <definedName function="false" hidden="false" localSheetId="13" name="Used_Mortgage_Balance" vbProcedure="false">'C04 Mortgage overpayment'!$C$21</definedName>
    <definedName function="false" hidden="false" localSheetId="13" name="Used_Years_Left" vbProcedure="false">'C04 Mortgage overpayment'!$C$23</definedName>
    <definedName function="false" hidden="false" localSheetId="13" name="Years_Left" vbProcedure="false">'C04 Mortgage overpayment'!$G$16</definedName>
    <definedName function="false" hidden="false" localSheetId="13" name="Years_Left_Entry" vbProcedure="false">'C04 Mortgage overpayment'!$C$16</definedName>
    <definedName function="false" hidden="false" localSheetId="14" name="Actual_Repayment" vbProcedure="false">'C05 Interest rate impact'!$G$18</definedName>
    <definedName function="false" hidden="false" localSheetId="14" name="Actual_Repayment_Entry" vbProcedure="false">'C05 Interest rate impact'!$C$18</definedName>
    <definedName function="false" hidden="false" localSheetId="14" name="Current_Rate" vbProcedure="false">'C05 Interest rate impact'!$G$15</definedName>
    <definedName function="false" hidden="false" localSheetId="14" name="Current_Rate_Entry" vbProcedure="false">'C05 Interest rate impact'!$C$15</definedName>
    <definedName function="false" hidden="false" localSheetId="14" name="Formula_Now" vbProcedure="false">'C05 Interest rate impact'!$C$32</definedName>
    <definedName function="false" hidden="false" localSheetId="14" name="Monthly_Change" vbProcedure="false">'C05 Interest rate impact'!$C$28</definedName>
    <definedName function="false" hidden="false" localSheetId="14" name="Mortgage_Balance" vbProcedure="false">'C05 Interest rate impact'!$G$14</definedName>
    <definedName function="false" hidden="false" localSheetId="14" name="Mortgage_Balance_Entry" vbProcedure="false">'C05 Interest rate impact'!$C$14</definedName>
    <definedName function="false" hidden="false" localSheetId="14" name="Need_1" vbProcedure="false">'C05 Interest rate impact'!$C$46</definedName>
    <definedName function="false" hidden="false" localSheetId="14" name="Need_2" vbProcedure="false">'C05 Interest rate impact'!$C$47</definedName>
    <definedName function="false" hidden="false" localSheetId="14" name="Need_3" vbProcedure="false">'C05 Interest rate impact'!$C$48</definedName>
    <definedName function="false" hidden="false" localSheetId="14" name="Need_4" vbProcedure="false">'C05 Interest rate impact'!$C$49</definedName>
    <definedName function="false" hidden="false" localSheetId="14" name="New_Rate" vbProcedure="false">'C05 Interest rate impact'!$C$33</definedName>
    <definedName function="false" hidden="false" localSheetId="14" name="Plan_Goal_Kind" vbProcedure="false">'C05 Interest rate impact'!$C$43</definedName>
    <definedName function="false" hidden="false" localSheetId="14" name="Rate_Change" vbProcedure="false">'C05 Interest rate impact'!$G$17</definedName>
    <definedName function="false" hidden="false" localSheetId="14" name="Rate_Change_Entry" vbProcedure="false">'C05 Interest rate impact'!$C$17</definedName>
    <definedName function="false" hidden="false" localSheetId="14" name="Repayment_After" vbProcedure="false">'C05 Interest rate impact'!$C$30</definedName>
    <definedName function="false" hidden="false" localSheetId="14" name="Repayment_Now" vbProcedure="false">'C05 Interest rate impact'!$C$29</definedName>
    <definedName function="false" hidden="false" localSheetId="14" name="Statement_Check" vbProcedure="false">'C05 Interest rate impact'!$C$25</definedName>
    <definedName function="false" hidden="false" localSheetId="14" name="Stmt_Balance" vbProcedure="false">'C05 Interest rate impact'!$C$7</definedName>
    <definedName function="false" hidden="false" localSheetId="14" name="Stmt_Rate" vbProcedure="false">'C05 Interest rate impact'!$C$8</definedName>
    <definedName function="false" hidden="false" localSheetId="14" name="Stmt_Repayment" vbProcedure="false">'C05 Interest rate impact'!$C$10</definedName>
    <definedName function="false" hidden="false" localSheetId="14" name="Stmt_Statement_Date" vbProcedure="false">'C05 Interest rate impact'!$C$11</definedName>
    <definedName function="false" hidden="false" localSheetId="14" name="Stmt_Term" vbProcedure="false">'C05 Interest rate impact'!$C$9</definedName>
    <definedName function="false" hidden="false" localSheetId="14" name="Used_Actual_Repayment" vbProcedure="false">'C05 Interest rate impact'!$C$24</definedName>
    <definedName function="false" hidden="false" localSheetId="14" name="Used_Current_Rate" vbProcedure="false">'C05 Interest rate impact'!$C$22</definedName>
    <definedName function="false" hidden="false" localSheetId="14" name="Used_Mortgage_Balance" vbProcedure="false">'C05 Interest rate impact'!$C$21</definedName>
    <definedName function="false" hidden="false" localSheetId="14" name="Used_Years_Left" vbProcedure="false">'C05 Interest rate impact'!$C$23</definedName>
    <definedName function="false" hidden="false" localSheetId="14" name="Yearly_Change" vbProcedure="false">'C05 Interest rate impact'!$C$31</definedName>
    <definedName function="false" hidden="false" localSheetId="14" name="Years_Left" vbProcedure="false">'C05 Interest rate impact'!$G$16</definedName>
    <definedName function="false" hidden="false" localSheetId="14" name="Years_Left_Entry" vbProcedure="false">'C05 Interest rate impact'!$C$16</definedName>
    <definedName function="false" hidden="false" localSheetId="15" name="Interest_A" vbProcedure="false">'C06 Term comparison'!$C$28</definedName>
    <definedName function="false" hidden="false" localSheetId="15" name="Interest_B" vbProcedure="false">'C06 Term comparison'!$C$29</definedName>
    <definedName function="false" hidden="false" localSheetId="15" name="Interest_Difference" vbProcedure="false">'C06 Term comparison'!$C$25</definedName>
    <definedName function="false" hidden="false" localSheetId="15" name="Interest_Rate" vbProcedure="false">'C06 Term comparison'!$G$14</definedName>
    <definedName function="false" hidden="false" localSheetId="15" name="Interest_Rate_Entry" vbProcedure="false">'C06 Term comparison'!$C$14</definedName>
    <definedName function="false" hidden="false" localSheetId="15" name="Loan_Amount" vbProcedure="false">'C06 Term comparison'!$G$13</definedName>
    <definedName function="false" hidden="false" localSheetId="15" name="Loan_Amount_Entry" vbProcedure="false">'C06 Term comparison'!$C$13</definedName>
    <definedName function="false" hidden="false" localSheetId="15" name="Monthly_A" vbProcedure="false">'C06 Term comparison'!$C$26</definedName>
    <definedName function="false" hidden="false" localSheetId="15" name="Monthly_B" vbProcedure="false">'C06 Term comparison'!$C$27</definedName>
    <definedName function="false" hidden="false" localSheetId="15" name="Need_1" vbProcedure="false">'C06 Term comparison'!$C$42</definedName>
    <definedName function="false" hidden="false" localSheetId="15" name="Need_2" vbProcedure="false">'C06 Term comparison'!$C$43</definedName>
    <definedName function="false" hidden="false" localSheetId="15" name="Need_3" vbProcedure="false">'C06 Term comparison'!$C$44</definedName>
    <definedName function="false" hidden="false" localSheetId="15" name="Plan_Goal_Kind" vbProcedure="false">'C06 Term comparison'!$C$39</definedName>
    <definedName function="false" hidden="false" localSheetId="15" name="Statement_Check" vbProcedure="false">'C06 Term comparison'!$C$22</definedName>
    <definedName function="false" hidden="false" localSheetId="15" name="Stmt_Balance" vbProcedure="false">'C06 Term comparison'!$C$7</definedName>
    <definedName function="false" hidden="false" localSheetId="15" name="Stmt_Rate" vbProcedure="false">'C06 Term comparison'!$C$8</definedName>
    <definedName function="false" hidden="false" localSheetId="15" name="Stmt_Statement_Date" vbProcedure="false">'C06 Term comparison'!$C$10</definedName>
    <definedName function="false" hidden="false" localSheetId="15" name="Stmt_Term" vbProcedure="false">'C06 Term comparison'!$C$9</definedName>
    <definedName function="false" hidden="false" localSheetId="15" name="Term_A" vbProcedure="false">'C06 Term comparison'!$G$15</definedName>
    <definedName function="false" hidden="false" localSheetId="15" name="Term_A_Entry" vbProcedure="false">'C06 Term comparison'!$C$15</definedName>
    <definedName function="false" hidden="false" localSheetId="15" name="Term_B" vbProcedure="false">'C06 Term comparison'!$G$16</definedName>
    <definedName function="false" hidden="false" localSheetId="15" name="Term_B_Entry" vbProcedure="false">'C06 Term comparison'!$C$16</definedName>
    <definedName function="false" hidden="false" localSheetId="15" name="Used_Interest_Rate" vbProcedure="false">'C06 Term comparison'!$C$20</definedName>
    <definedName function="false" hidden="false" localSheetId="15" name="Used_Loan_Amount" vbProcedure="false">'C06 Term comparison'!$C$19</definedName>
    <definedName function="false" hidden="false" localSheetId="15" name="Used_Term_A" vbProcedure="false">'C06 Term comparison'!$C$21</definedName>
    <definedName function="false" hidden="false" localSheetId="16" name="Balance_After" vbProcedure="false">'C07 Rent vs buy'!$C$26</definedName>
    <definedName function="false" hidden="false" localSheetId="16" name="Buying_Costs" vbProcedure="false">'C07 Rent vs buy'!$C$22</definedName>
    <definedName function="false" hidden="false" localSheetId="16" name="Buying_Fees" vbProcedure="false">'C07 Rent vs buy'!$G$15</definedName>
    <definedName function="false" hidden="false" localSheetId="16" name="Buying_Fees_Entry" vbProcedure="false">'C07 Rent vs buy'!$C$15</definedName>
    <definedName function="false" hidden="false" localSheetId="16" name="Deposit" vbProcedure="false">'C07 Rent vs buy'!$G$8</definedName>
    <definedName function="false" hidden="false" localSheetId="16" name="Deposit_Entry" vbProcedure="false">'C07 Rent vs buy'!$C$8</definedName>
    <definedName function="false" hidden="false" localSheetId="16" name="Deposit_Used" vbProcedure="false">'C07 Rent vs buy'!$C$18</definedName>
    <definedName function="false" hidden="false" localSheetId="16" name="Home_Equity" vbProcedure="false">'C07 Rent vs buy'!$C$20</definedName>
    <definedName function="false" hidden="false" localSheetId="16" name="Home_Goal_Years" vbProcedure="false">'C07 Rent vs buy'!$G$17</definedName>
    <definedName function="false" hidden="false" localSheetId="16" name="Home_Goal_Years_Entry" vbProcedure="false">'C07 Rent vs buy'!$C$17</definedName>
    <definedName function="false" hidden="false" localSheetId="16" name="Home_Price" vbProcedure="false">'C07 Rent vs buy'!$G$7</definedName>
    <definedName function="false" hidden="false" localSheetId="16" name="Home_Price_Entry" vbProcedure="false">'C07 Rent vs buy'!$C$7</definedName>
    <definedName function="false" hidden="false" localSheetId="16" name="Home_Value" vbProcedure="false">'C07 Rent vs buy'!$C$23</definedName>
    <definedName function="false" hidden="false" localSheetId="16" name="House_Growth" vbProcedure="false">'C07 Rent vs buy'!$G$12</definedName>
    <definedName function="false" hidden="false" localSheetId="16" name="House_Growth_Entry" vbProcedure="false">'C07 Rent vs buy'!$C$12</definedName>
    <definedName function="false" hidden="false" localSheetId="16" name="Interest_Paid" vbProcedure="false">'C07 Rent vs buy'!$C$27</definedName>
    <definedName function="false" hidden="false" localSheetId="16" name="Loan" vbProcedure="false">'C07 Rent vs buy'!$C$24</definedName>
    <definedName function="false" hidden="false" localSheetId="16" name="Monthly_Rent" vbProcedure="false">'C07 Rent vs buy'!$G$6</definedName>
    <definedName function="false" hidden="false" localSheetId="16" name="Monthly_Rent_Entry" vbProcedure="false">'C07 Rent vs buy'!$C$6</definedName>
    <definedName function="false" hidden="false" localSheetId="16" name="Monthly_Repayment" vbProcedure="false">'C07 Rent vs buy'!$C$25</definedName>
    <definedName function="false" hidden="false" localSheetId="16" name="Mortgage_Rate" vbProcedure="false">'C07 Rent vs buy'!$G$9</definedName>
    <definedName function="false" hidden="false" localSheetId="16" name="Mortgage_Rate_Entry" vbProcedure="false">'C07 Rent vs buy'!$C$9</definedName>
    <definedName function="false" hidden="false" localSheetId="16" name="Need_1" vbProcedure="false">'C07 Rent vs buy'!$C$46</definedName>
    <definedName function="false" hidden="false" localSheetId="16" name="Need_10" vbProcedure="false">'C07 Rent vs buy'!$C$55</definedName>
    <definedName function="false" hidden="false" localSheetId="16" name="Need_11" vbProcedure="false">'C07 Rent vs buy'!$C$56</definedName>
    <definedName function="false" hidden="false" localSheetId="16" name="Need_12" vbProcedure="false">'C07 Rent vs buy'!$C$57</definedName>
    <definedName function="false" hidden="false" localSheetId="16" name="Need_2" vbProcedure="false">'C07 Rent vs buy'!$C$47</definedName>
    <definedName function="false" hidden="false" localSheetId="16" name="Need_3" vbProcedure="false">'C07 Rent vs buy'!$C$48</definedName>
    <definedName function="false" hidden="false" localSheetId="16" name="Need_4" vbProcedure="false">'C07 Rent vs buy'!$C$49</definedName>
    <definedName function="false" hidden="false" localSheetId="16" name="Need_5" vbProcedure="false">'C07 Rent vs buy'!$C$50</definedName>
    <definedName function="false" hidden="false" localSheetId="16" name="Need_6" vbProcedure="false">'C07 Rent vs buy'!$C$51</definedName>
    <definedName function="false" hidden="false" localSheetId="16" name="Need_7" vbProcedure="false">'C07 Rent vs buy'!$C$52</definedName>
    <definedName function="false" hidden="false" localSheetId="16" name="Need_8" vbProcedure="false">'C07 Rent vs buy'!$C$53</definedName>
    <definedName function="false" hidden="false" localSheetId="16" name="Need_9" vbProcedure="false">'C07 Rent vs buy'!$C$54</definedName>
    <definedName function="false" hidden="false" localSheetId="16" name="Opportunity_Cost" vbProcedure="false">'C07 Rent vs buy'!$C$30</definedName>
    <definedName function="false" hidden="false" localSheetId="16" name="Opp_Rate" vbProcedure="false">'C07 Rent vs buy'!$G$16</definedName>
    <definedName function="false" hidden="false" localSheetId="16" name="Opp_Rate_Entry" vbProcedure="false">'C07 Rent vs buy'!$C$16</definedName>
    <definedName function="false" hidden="false" localSheetId="16" name="Plan_Goal_Amount" vbProcedure="false">'C07 Rent vs buy'!$C$42</definedName>
    <definedName function="false" hidden="false" localSheetId="16" name="Plan_Goal_Kind" vbProcedure="false">'C07 Rent vs buy'!$C$41</definedName>
    <definedName function="false" hidden="false" localSheetId="16" name="Plan_Goal_Years" vbProcedure="false">'C07 Rent vs buy'!$C$43</definedName>
    <definedName function="false" hidden="false" localSheetId="16" name="RentBuy_Term" vbProcedure="false">'C07 Rent vs buy'!$G$10</definedName>
    <definedName function="false" hidden="false" localSheetId="16" name="RentBuy_Term_Entry" vbProcedure="false">'C07 Rent vs buy'!$C$10</definedName>
    <definedName function="false" hidden="false" localSheetId="16" name="Rent_Growth" vbProcedure="false">'C07 Rent vs buy'!$G$13</definedName>
    <definedName function="false" hidden="false" localSheetId="16" name="Rent_Growth_Entry" vbProcedure="false">'C07 Rent vs buy'!$C$13</definedName>
    <definedName function="false" hidden="false" localSheetId="16" name="Rent_Paid" vbProcedure="false">'C07 Rent vs buy'!$C$21</definedName>
    <definedName function="false" hidden="false" localSheetId="16" name="Stamp_Duty" vbProcedure="false">'C07 Rent vs buy'!$C$29</definedName>
    <definedName function="false" hidden="false" localSheetId="16" name="Upkeep" vbProcedure="false">'C07 Rent vs buy'!$C$28</definedName>
    <definedName function="false" hidden="false" localSheetId="16" name="Upkeep_Rate" vbProcedure="false">'C07 Rent vs buy'!$G$14</definedName>
    <definedName function="false" hidden="false" localSheetId="16" name="Upkeep_Rate_Entry" vbProcedure="false">'C07 Rent vs buy'!$C$14</definedName>
    <definedName function="false" hidden="false" localSheetId="16" name="Years" vbProcedure="false">'C07 Rent vs buy'!$G$11</definedName>
    <definedName function="false" hidden="false" localSheetId="16" name="Years_Entry" vbProcedure="false">'C07 Rent vs buy'!$C$11</definedName>
    <definedName function="false" hidden="false" localSheetId="17" name="Future_Cost" vbProcedure="false">'C08 Goal planner'!$C$17</definedName>
    <definedName function="false" hidden="false" localSheetId="17" name="Goal_Amount" vbProcedure="false">'C08 Goal planner'!$G$10</definedName>
    <definedName function="false" hidden="false" localSheetId="17" name="Goal_Amount_Entry" vbProcedure="false">'C08 Goal planner'!$C$10</definedName>
    <definedName function="false" hidden="false" localSheetId="17" name="Growth_Rate" vbProcedure="false">'C08 Goal planner'!$G$13</definedName>
    <definedName function="false" hidden="false" localSheetId="17" name="Growth_Rate_Entry" vbProcedure="false">'C08 Goal planner'!$C$13</definedName>
    <definedName function="false" hidden="false" localSheetId="17" name="Inflation_Choice" vbProcedure="false">'C08 Goal planner'!$G$6</definedName>
    <definedName function="false" hidden="false" localSheetId="17" name="Inflation_Choice_Entry" vbProcedure="false">'C08 Goal planner'!$C$6</definedName>
    <definedName function="false" hidden="false" localSheetId="17" name="Monthly_Growth" vbProcedure="false">'C08 Goal planner'!$C$20</definedName>
    <definedName function="false" hidden="false" localSheetId="17" name="Monthly_Saving" vbProcedure="false">'C08 Goal planner'!$C$16</definedName>
    <definedName function="false" hidden="false" localSheetId="17" name="Need_1" vbProcedure="false">'C08 Goal planner'!$C$39</definedName>
    <definedName function="false" hidden="false" localSheetId="17" name="Need_2" vbProcedure="false">'C08 Goal planner'!$C$40</definedName>
    <definedName function="false" hidden="false" localSheetId="17" name="Need_3" vbProcedure="false">'C08 Goal planner'!$C$41</definedName>
    <definedName function="false" hidden="false" localSheetId="17" name="Need_4" vbProcedure="false">'C08 Goal planner'!$C$42</definedName>
    <definedName function="false" hidden="false" localSheetId="17" name="Need_5" vbProcedure="false">'C08 Goal planner'!$C$43</definedName>
    <definedName function="false" hidden="false" localSheetId="17" name="Need_6" vbProcedure="false">'C08 Goal planner'!$C$44</definedName>
    <definedName function="false" hidden="false" localSheetId="17" name="Need_7" vbProcedure="false">'C08 Goal planner'!$C$45</definedName>
    <definedName function="false" hidden="false" localSheetId="17" name="Plan_Goal_Amount" vbProcedure="false">'C08 Goal planner'!$C$33</definedName>
    <definedName function="false" hidden="false" localSheetId="17" name="Plan_Goal_Kind" vbProcedure="false">'C08 Goal planner'!$C$32</definedName>
    <definedName function="false" hidden="false" localSheetId="17" name="Plan_Goal_Saved" vbProcedure="false">'C08 Goal planner'!$C$34</definedName>
    <definedName function="false" hidden="false" localSheetId="17" name="Plan_Goal_Years" vbProcedure="false">'C08 Goal planner'!$C$35</definedName>
    <definedName function="false" hidden="false" localSheetId="17" name="Plan_Inflation" vbProcedure="false">'C08 Goal planner'!$C$36</definedName>
    <definedName function="false" hidden="false" localSheetId="17" name="Saved" vbProcedure="false">'C08 Goal planner'!$G$12</definedName>
    <definedName function="false" hidden="false" localSheetId="17" name="Saved_Entry" vbProcedure="false">'C08 Goal planner'!$C$12</definedName>
    <definedName function="false" hidden="false" localSheetId="17" name="Saved_Grows_To" vbProcedure="false">'C08 Goal planner'!$C$18</definedName>
    <definedName function="false" hidden="false" localSheetId="17" name="Still_Needed" vbProcedure="false">'C08 Goal planner'!$C$19</definedName>
    <definedName function="false" hidden="false" localSheetId="17" name="Years" vbProcedure="false">'C08 Goal planner'!$G$11</definedName>
    <definedName function="false" hidden="false" localSheetId="17" name="Years_Entry" vbProcedure="false">'C08 Goal planner'!$C$11</definedName>
    <definedName function="false" hidden="false" localSheetId="18" name="Grows_To" vbProcedure="false">'C09 Compound growth'!$C$16</definedName>
    <definedName function="false" hidden="false" localSheetId="18" name="Growth_Earned" vbProcedure="false">'C09 Compound growth'!$C$19</definedName>
    <definedName function="false" hidden="false" localSheetId="18" name="Growth_Rate" vbProcedure="false">'C09 Compound growth'!$G$12</definedName>
    <definedName function="false" hidden="false" localSheetId="18" name="Growth_Rate_Entry" vbProcedure="false">'C09 Compound growth'!$C$12</definedName>
    <definedName function="false" hidden="false" localSheetId="18" name="Inflation_Choice" vbProcedure="false">'C09 Compound growth'!$G$6</definedName>
    <definedName function="false" hidden="false" localSheetId="18" name="Inflation_Choice_Entry" vbProcedure="false">'C09 Compound growth'!$C$6</definedName>
    <definedName function="false" hidden="false" localSheetId="18" name="Monthly_Addition" vbProcedure="false">'C09 Compound growth'!$G$11</definedName>
    <definedName function="false" hidden="false" localSheetId="18" name="Monthly_Addition_Entry" vbProcedure="false">'C09 Compound growth'!$C$11</definedName>
    <definedName function="false" hidden="false" localSheetId="18" name="Monthly_Growth" vbProcedure="false">'C09 Compound growth'!$C$20</definedName>
    <definedName function="false" hidden="false" localSheetId="18" name="Need_1" vbProcedure="false">'C09 Compound growth'!$C$38</definedName>
    <definedName function="false" hidden="false" localSheetId="18" name="Need_2" vbProcedure="false">'C09 Compound growth'!$C$39</definedName>
    <definedName function="false" hidden="false" localSheetId="18" name="Need_3" vbProcedure="false">'C09 Compound growth'!$C$40</definedName>
    <definedName function="false" hidden="false" localSheetId="18" name="Need_4" vbProcedure="false">'C09 Compound growth'!$C$41</definedName>
    <definedName function="false" hidden="false" localSheetId="18" name="Need_5" vbProcedure="false">'C09 Compound growth'!$C$42</definedName>
    <definedName function="false" hidden="false" localSheetId="18" name="Paid_In" vbProcedure="false">'C09 Compound growth'!$C$18</definedName>
    <definedName function="false" hidden="false" localSheetId="18" name="Plan_Goal_Amount" vbProcedure="false">'C09 Compound growth'!$C$32</definedName>
    <definedName function="false" hidden="false" localSheetId="18" name="Plan_Goal_Kind" vbProcedure="false">'C09 Compound growth'!$C$31</definedName>
    <definedName function="false" hidden="false" localSheetId="18" name="Plan_Goal_Years" vbProcedure="false">'C09 Compound growth'!$C$33</definedName>
    <definedName function="false" hidden="false" localSheetId="18" name="Plan_Inflation" vbProcedure="false">'C09 Compound growth'!$C$34</definedName>
    <definedName function="false" hidden="false" localSheetId="18" name="Starting_Amount" vbProcedure="false">'C09 Compound growth'!$G$10</definedName>
    <definedName function="false" hidden="false" localSheetId="18" name="Starting_Amount_Entry" vbProcedure="false">'C09 Compound growth'!$C$10</definedName>
    <definedName function="false" hidden="false" localSheetId="18" name="Value_Today" vbProcedure="false">'C09 Compound growth'!$C$17</definedName>
    <definedName function="false" hidden="false" localSheetId="18" name="Years" vbProcedure="false">'C09 Compound growth'!$G$13</definedName>
    <definedName function="false" hidden="false" localSheetId="18" name="Years_Entry" vbProcedure="false">'C09 Compound growth'!$C$13</definedName>
    <definedName function="false" hidden="false" localSheetId="19" name="Adjust_For_Inflation" vbProcedure="false">'C10 Lump sum growth'!$G$21</definedName>
    <definedName function="false" hidden="false" localSheetId="19" name="Adjust_For_Inflation_Entry" vbProcedure="false">'C10 Lump sum growth'!$C$21</definedName>
    <definedName function="false" hidden="false" localSheetId="19" name="Amount" vbProcedure="false">'C10 Lump sum growth'!$G$16</definedName>
    <definedName function="false" hidden="false" localSheetId="19" name="Amount_Entry" vbProcedure="false">'C10 Lump sum growth'!$C$16</definedName>
    <definedName function="false" hidden="false" localSheetId="19" name="Cost_Of_Waiting" vbProcedure="false">'C10 Lump sum growth'!$C$34</definedName>
    <definedName function="false" hidden="false" localSheetId="19" name="Fees_Cost" vbProcedure="false">'C10 Lump sum growth'!$C$35</definedName>
    <definedName function="false" hidden="false" localSheetId="19" name="Grows_To" vbProcedure="false">'C10 Lump sum growth'!$C$31</definedName>
    <definedName function="false" hidden="false" localSheetId="19" name="Growth_After_Fees" vbProcedure="false">'C10 Lump sum growth'!$C$36</definedName>
    <definedName function="false" hidden="false" localSheetId="19" name="Growth_Rate" vbProcedure="false">'C10 Lump sum growth'!$G$17</definedName>
    <definedName function="false" hidden="false" localSheetId="19" name="Growth_Rate_Entry" vbProcedure="false">'C10 Lump sum growth'!$C$17</definedName>
    <definedName function="false" hidden="false" localSheetId="19" name="Headline" vbProcedure="false">'C10 Lump sum growth'!$C$30</definedName>
    <definedName function="false" hidden="false" localSheetId="19" name="Inflation_Choice" vbProcedure="false">'C10 Lump sum growth'!$G$6</definedName>
    <definedName function="false" hidden="false" localSheetId="19" name="Inflation_Choice_Entry" vbProcedure="false">'C10 Lump sum growth'!$C$6</definedName>
    <definedName function="false" hidden="false" localSheetId="19" name="Need_1" vbProcedure="false">'C10 Lump sum growth'!$C$56</definedName>
    <definedName function="false" hidden="false" localSheetId="19" name="Need_2" vbProcedure="false">'C10 Lump sum growth'!$C$57</definedName>
    <definedName function="false" hidden="false" localSheetId="19" name="Need_3" vbProcedure="false">'C10 Lump sum growth'!$C$58</definedName>
    <definedName function="false" hidden="false" localSheetId="19" name="Need_4" vbProcedure="false">'C10 Lump sum growth'!$C$59</definedName>
    <definedName function="false" hidden="false" localSheetId="19" name="Need_5" vbProcedure="false">'C10 Lump sum growth'!$C$60</definedName>
    <definedName function="false" hidden="false" localSheetId="19" name="Need_6" vbProcedure="false">'C10 Lump sum growth'!$C$61</definedName>
    <definedName function="false" hidden="false" localSheetId="19" name="Plan_Goal_Amount" vbProcedure="false">'C10 Lump sum growth'!$C$50</definedName>
    <definedName function="false" hidden="false" localSheetId="19" name="Plan_Goal_Kind" vbProcedure="false">'C10 Lump sum growth'!$C$49</definedName>
    <definedName function="false" hidden="false" localSheetId="19" name="Plan_Goal_Years" vbProcedure="false">'C10 Lump sum growth'!$C$51</definedName>
    <definedName function="false" hidden="false" localSheetId="19" name="Plan_Inflation" vbProcedure="false">'C10 Lump sum growth'!$C$52</definedName>
    <definedName function="false" hidden="false" localSheetId="19" name="Real_Return" vbProcedure="false">'C10 Lump sum growth'!$C$37</definedName>
    <definedName function="false" hidden="false" localSheetId="19" name="Statement_Check" vbProcedure="false">'C10 Lump sum growth'!$C$27</definedName>
    <definedName function="false" hidden="false" localSheetId="19" name="Statement_Uploaded" vbProcedure="false">'C10 Lump sum growth'!$C$24</definedName>
    <definedName function="false" hidden="false" localSheetId="19" name="Stmt_Charges" vbProcedure="false">'C10 Lump sum growth'!$C$12</definedName>
    <definedName function="false" hidden="false" localSheetId="19" name="Stmt_Statement_Date" vbProcedure="false">'C10 Lump sum growth'!$C$13</definedName>
    <definedName function="false" hidden="false" localSheetId="19" name="Stmt_Total_Value" vbProcedure="false">'C10 Lump sum growth'!$C$11</definedName>
    <definedName function="false" hidden="false" localSheetId="19" name="Used_Amount" vbProcedure="false">'C10 Lump sum growth'!$C$25</definedName>
    <definedName function="false" hidden="false" localSheetId="19" name="Used_Yearly_Fees" vbProcedure="false">'C10 Lump sum growth'!$C$26</definedName>
    <definedName function="false" hidden="false" localSheetId="19" name="Value_Start_Later" vbProcedure="false">'C10 Lump sum growth'!$C$33</definedName>
    <definedName function="false" hidden="false" localSheetId="19" name="Value_Today" vbProcedure="false">'C10 Lump sum growth'!$C$32</definedName>
    <definedName function="false" hidden="false" localSheetId="19" name="Wait_Years" vbProcedure="false">'C10 Lump sum growth'!$G$20</definedName>
    <definedName function="false" hidden="false" localSheetId="19" name="Wait_Years_Entry" vbProcedure="false">'C10 Lump sum growth'!$C$20</definedName>
    <definedName function="false" hidden="false" localSheetId="19" name="Yearly_Fees" vbProcedure="false">'C10 Lump sum growth'!$G$19</definedName>
    <definedName function="false" hidden="false" localSheetId="19" name="Yearly_Fees_Entry" vbProcedure="false">'C10 Lump sum growth'!$C$19</definedName>
    <definedName function="false" hidden="false" localSheetId="19" name="Years" vbProcedure="false">'C10 Lump sum growth'!$G$18</definedName>
    <definedName function="false" hidden="false" localSheetId="19" name="Years_Entry" vbProcedure="false">'C10 Lump sum growth'!$C$18</definedName>
    <definedName function="false" hidden="false" localSheetId="20" name="Essential_Spending" vbProcedure="false">'C11 Emergency fund'!$G$6</definedName>
    <definedName function="false" hidden="false" localSheetId="20" name="Essential_Spending_Entry" vbProcedure="false">'C11 Emergency fund'!$C$6</definedName>
    <definedName function="false" hidden="false" localSheetId="20" name="Months_Covered" vbProcedure="false">'C11 Emergency fund'!$C$12</definedName>
    <definedName function="false" hidden="false" localSheetId="20" name="Months_Wanted" vbProcedure="false">'C11 Emergency fund'!$G$7</definedName>
    <definedName function="false" hidden="false" localSheetId="20" name="Months_Wanted_Entry" vbProcedure="false">'C11 Emergency fund'!$C$7</definedName>
    <definedName function="false" hidden="false" localSheetId="20" name="Need_1" vbProcedure="false">'C11 Emergency fund'!$C$28</definedName>
    <definedName function="false" hidden="false" localSheetId="20" name="Need_2" vbProcedure="false">'C11 Emergency fund'!$C$29</definedName>
    <definedName function="false" hidden="false" localSheetId="20" name="Need_3" vbProcedure="false">'C11 Emergency fund'!$C$30</definedName>
    <definedName function="false" hidden="false" localSheetId="20" name="Need_4" vbProcedure="false">'C11 Emergency fund'!$C$31</definedName>
    <definedName function="false" hidden="false" localSheetId="20" name="Need_5" vbProcedure="false">'C11 Emergency fund'!$C$32</definedName>
    <definedName function="false" hidden="false" localSheetId="20" name="Plan_Goal_Amount" vbProcedure="false">'C11 Emergency fund'!$C$23</definedName>
    <definedName function="false" hidden="false" localSheetId="20" name="Plan_Goal_Kind" vbProcedure="false">'C11 Emergency fund'!$C$22</definedName>
    <definedName function="false" hidden="false" localSheetId="20" name="Plan_Goal_Saved" vbProcedure="false">'C11 Emergency fund'!$C$24</definedName>
    <definedName function="false" hidden="false" localSheetId="20" name="Plan_Goal_Years" vbProcedure="false">'C11 Emergency fund'!$C$25</definedName>
    <definedName function="false" hidden="false" localSheetId="20" name="Safety_Goal_Years" vbProcedure="false">'C11 Emergency fund'!$G$8</definedName>
    <definedName function="false" hidden="false" localSheetId="20" name="Safety_Goal_Years_Entry" vbProcedure="false">'C11 Emergency fund'!$C$8</definedName>
    <definedName function="false" hidden="false" localSheetId="20" name="Savings" vbProcedure="false">'C11 Emergency fund'!$G$9</definedName>
    <definedName function="false" hidden="false" localSheetId="20" name="Savings_Entry" vbProcedure="false">'C11 Emergency fund'!$C$9</definedName>
    <definedName function="false" hidden="false" localSheetId="20" name="Still_To_Build" vbProcedure="false">'C11 Emergency fund'!$C$14</definedName>
    <definedName function="false" hidden="false" localSheetId="20" name="Target" vbProcedure="false">'C11 Emergency fund'!$C$13</definedName>
    <definedName function="false" hidden="false" localSheetId="21" name="Access_Age" vbProcedure="false">'C12 Retirement projection'!$G$35</definedName>
    <definedName function="false" hidden="false" localSheetId="21" name="Access_Age_Entry" vbProcedure="false">'C12 Retirement projection'!$C$35</definedName>
    <definedName function="false" hidden="false" localSheetId="21" name="Age" vbProcedure="false">'C12 Retirement projection'!$G$21</definedName>
    <definedName function="false" hidden="false" localSheetId="21" name="Age_Entry" vbProcedure="false">'C12 Retirement projection'!$C$21</definedName>
    <definedName function="false" hidden="false" localSheetId="21" name="Bridge_Years" vbProcedure="false">'C12 Retirement projection'!$C$49</definedName>
    <definedName function="false" hidden="false" localSheetId="21" name="Calculated_Fund" vbProcedure="false">'C12 Retirement projection'!$C$47</definedName>
    <definedName function="false" hidden="false" localSheetId="21" name="Contribution" vbProcedure="false">'C12 Retirement projection'!$C$56</definedName>
    <definedName function="false" hidden="false" localSheetId="21" name="Contributions_Grow_To" vbProcedure="false">'C12 Retirement projection'!$C$57</definedName>
    <definedName function="false" hidden="false" localSheetId="21" name="Desired_Income" vbProcedure="false">'C12 Retirement projection'!$G$25</definedName>
    <definedName function="false" hidden="false" localSheetId="21" name="Desired_Income_Entry" vbProcedure="false">'C12 Retirement projection'!$C$25</definedName>
    <definedName function="false" hidden="false" localSheetId="21" name="Early_Warning" vbProcedure="false">'C12 Retirement projection'!$C$53</definedName>
    <definedName function="false" hidden="false" localSheetId="21" name="Fund_Today" vbProcedure="false">'C12 Retirement projection'!$C$46</definedName>
    <definedName function="false" hidden="false" localSheetId="21" name="Gap_Today" vbProcedure="false">'C12 Retirement projection'!$C$44</definedName>
    <definedName function="false" hidden="false" localSheetId="21" name="Growth_Rate" vbProcedure="false">'C12 Retirement projection'!$G$27</definedName>
    <definedName function="false" hidden="false" localSheetId="21" name="Growth_Rate_Entry" vbProcedure="false">'C12 Retirement projection'!$C$27</definedName>
    <definedName function="false" hidden="false" localSheetId="21" name="Inflation_Choice" vbProcedure="false">'C12 Retirement projection'!$G$6</definedName>
    <definedName function="false" hidden="false" localSheetId="21" name="Inflation_Choice_Entry" vbProcedure="false">'C12 Retirement projection'!$C$6</definedName>
    <definedName function="false" hidden="false" localSheetId="21" name="Lump_Sum" vbProcedure="false">'C12 Retirement projection'!$C$50</definedName>
    <definedName function="false" hidden="false" localSheetId="21" name="Lump_Sum_Net" vbProcedure="false">'C12 Retirement projection'!$C$52</definedName>
    <definedName function="false" hidden="false" localSheetId="21" name="Lump_Sum_Pct" vbProcedure="false">'C12 Retirement projection'!$G$31</definedName>
    <definedName function="false" hidden="false" localSheetId="21" name="Lump_Sum_Pct_Entry" vbProcedure="false">'C12 Retirement projection'!$C$31</definedName>
    <definedName function="false" hidden="false" localSheetId="21" name="Lump_Sum_Tax" vbProcedure="false">'C12 Retirement projection'!$C$51</definedName>
    <definedName function="false" hidden="false" localSheetId="21" name="Monthly_Contribution" vbProcedure="false">'C12 Retirement projection'!$G$24</definedName>
    <definedName function="false" hidden="false" localSheetId="21" name="Monthly_Contribution_Entry" vbProcedure="false">'C12 Retirement projection'!$C$24</definedName>
    <definedName function="false" hidden="false" localSheetId="21" name="Need_1" vbProcedure="false">'C12 Retirement projection'!$C$77</definedName>
    <definedName function="false" hidden="false" localSheetId="21" name="Need_2" vbProcedure="false">'C12 Retirement projection'!$C$78</definedName>
    <definedName function="false" hidden="false" localSheetId="21" name="Need_3" vbProcedure="false">'C12 Retirement projection'!$C$79</definedName>
    <definedName function="false" hidden="false" localSheetId="21" name="Need_4" vbProcedure="false">'C12 Retirement projection'!$C$80</definedName>
    <definedName function="false" hidden="false" localSheetId="21" name="Need_5" vbProcedure="false">'C12 Retirement projection'!$C$81</definedName>
    <definedName function="false" hidden="false" localSheetId="21" name="Need_6" vbProcedure="false">'C12 Retirement projection'!$C$82</definedName>
    <definedName function="false" hidden="false" localSheetId="21" name="Need_7" vbProcedure="false">'C12 Retirement projection'!$C$83</definedName>
    <definedName function="false" hidden="false" localSheetId="21" name="Need_8" vbProcedure="false">'C12 Retirement projection'!$C$84</definedName>
    <definedName function="false" hidden="false" localSheetId="21" name="Need_9" vbProcedure="false">'C12 Retirement projection'!$C$85</definedName>
    <definedName function="false" hidden="false" localSheetId="21" name="Other_Income" vbProcedure="false">'C12 Retirement projection'!$G$26</definedName>
    <definedName function="false" hidden="false" localSheetId="21" name="Other_Income_Entry" vbProcedure="false">'C12 Retirement projection'!$C$26</definedName>
    <definedName function="false" hidden="false" localSheetId="21" name="Pension_Today" vbProcedure="false">'C12 Retirement projection'!$G$23</definedName>
    <definedName function="false" hidden="false" localSheetId="21" name="Pension_Today_Entry" vbProcedure="false">'C12 Retirement projection'!$C$23</definedName>
    <definedName function="false" hidden="false" localSheetId="21" name="Plan_Goal_Age" vbProcedure="false">'C12 Retirement projection'!$C$72</definedName>
    <definedName function="false" hidden="false" localSheetId="21" name="Plan_Goal_Income" vbProcedure="false">'C12 Retirement projection'!$C$71</definedName>
    <definedName function="false" hidden="false" localSheetId="21" name="Plan_Goal_Kind" vbProcedure="false">'C12 Retirement projection'!$C$70</definedName>
    <definedName function="false" hidden="false" localSheetId="21" name="Plan_Inflation" vbProcedure="false">'C12 Retirement projection'!$C$73</definedName>
    <definedName function="false" hidden="false" localSheetId="21" name="Projected_Fund" vbProcedure="false">'C12 Retirement projection'!$C$45</definedName>
    <definedName function="false" hidden="false" localSheetId="21" name="Retirement_Age" vbProcedure="false">'C12 Retirement projection'!$G$22</definedName>
    <definedName function="false" hidden="false" localSheetId="21" name="Retirement_Age_Entry" vbProcedure="false">'C12 Retirement projection'!$C$22</definedName>
    <definedName function="false" hidden="false" localSheetId="21" name="Retire_Later" vbProcedure="false">'C12 Retirement projection'!$G$32</definedName>
    <definedName function="false" hidden="false" localSheetId="21" name="Retire_Later_Entry" vbProcedure="false">'C12 Retirement projection'!$C$32</definedName>
    <definedName function="false" hidden="false" localSheetId="21" name="Retire_Multiple" vbProcedure="false">'C12 Retirement projection'!$G$29</definedName>
    <definedName function="false" hidden="false" localSheetId="21" name="Retire_Multiple_Entry" vbProcedure="false">'C12 Retirement projection'!$C$29</definedName>
    <definedName function="false" hidden="false" localSheetId="21" name="Save_More" vbProcedure="false">'C12 Retirement projection'!$G$33</definedName>
    <definedName function="false" hidden="false" localSheetId="21" name="Save_More_Entry" vbProcedure="false">'C12 Retirement projection'!$C$33</definedName>
    <definedName function="false" hidden="false" localSheetId="21" name="SFT_Warning" vbProcedure="false">'C12 Retirement projection'!$C$54</definedName>
    <definedName function="false" hidden="false" localSheetId="21" name="Spend_Less" vbProcedure="false">'C12 Retirement projection'!$G$34</definedName>
    <definedName function="false" hidden="false" localSheetId="21" name="Spend_Less_Entry" vbProcedure="false">'C12 Retirement projection'!$C$34</definedName>
    <definedName function="false" hidden="false" localSheetId="21" name="Statement_Check" vbProcedure="false">'C12 Retirement projection'!$C$41</definedName>
    <definedName function="false" hidden="false" localSheetId="21" name="Stmt_Charges" vbProcedure="false">'C12 Retirement projection'!$C$17</definedName>
    <definedName function="false" hidden="false" localSheetId="21" name="Stmt_Employer_Monthly" vbProcedure="false">'C12 Retirement projection'!$C$13</definedName>
    <definedName function="false" hidden="false" localSheetId="21" name="Stmt_Fund_Value" vbProcedure="false">'C12 Retirement projection'!$C$11</definedName>
    <definedName function="false" hidden="false" localSheetId="21" name="Stmt_NRA" vbProcedure="false">'C12 Retirement projection'!$C$14</definedName>
    <definedName function="false" hidden="false" localSheetId="21" name="Stmt_Projected_Fund" vbProcedure="false">'C12 Retirement projection'!$C$15</definedName>
    <definedName function="false" hidden="false" localSheetId="21" name="Stmt_Projection_Today" vbProcedure="false">'C12 Retirement projection'!$C$16</definedName>
    <definedName function="false" hidden="false" localSheetId="21" name="Stmt_Statement_Date" vbProcedure="false">'C12 Retirement projection'!$C$18</definedName>
    <definedName function="false" hidden="false" localSheetId="21" name="Stmt_You_Monthly" vbProcedure="false">'C12 Retirement projection'!$C$12</definedName>
    <definedName function="false" hidden="false" localSheetId="21" name="Target_Today" vbProcedure="false">'C12 Retirement projection'!$C$48</definedName>
    <definedName function="false" hidden="false" localSheetId="21" name="Typical_Pension_Charges" vbProcedure="false">'C12 Retirement projection'!$G$30</definedName>
    <definedName function="false" hidden="false" localSheetId="21" name="Typical_Pension_Charges_Entry" vbProcedure="false">'C12 Retirement projection'!$C$30</definedName>
    <definedName function="false" hidden="false" localSheetId="21" name="Used_Growth_Rate" vbProcedure="false">'C12 Retirement projection'!$C$39</definedName>
    <definedName function="false" hidden="false" localSheetId="21" name="Used_Monthly_Contribution" vbProcedure="false">'C12 Retirement projection'!$C$38</definedName>
    <definedName function="false" hidden="false" localSheetId="21" name="Used_Pension_Today" vbProcedure="false">'C12 Retirement projection'!$C$37</definedName>
    <definedName function="false" hidden="false" localSheetId="21" name="Use_Statement_Projection" vbProcedure="false">'C12 Retirement projection'!$C$40</definedName>
    <definedName function="false" hidden="false" localSheetId="21" name="Wage" vbProcedure="false">'C12 Retirement projection'!$G$28</definedName>
    <definedName function="false" hidden="false" localSheetId="21" name="Wage_Entry" vbProcedure="false">'C12 Retirement projection'!$C$28</definedName>
    <definedName function="false" hidden="false" localSheetId="21" name="Years_To_Retirement" vbProcedure="false">'C12 Retirement projection'!$C$55</definedName>
    <definedName function="false" hidden="false" localSheetId="22" name="Age" vbProcedure="false">'C13 Contribution impact'!$G$21</definedName>
    <definedName function="false" hidden="false" localSheetId="22" name="Age_Entry" vbProcedure="false">'C13 Contribution impact'!$C$21</definedName>
    <definedName function="false" hidden="false" localSheetId="22" name="Existing_Pension_Year" vbProcedure="false">'C13 Contribution impact'!$G$22</definedName>
    <definedName function="false" hidden="false" localSheetId="22" name="Existing_Pension_Year_Entry" vbProcedure="false">'C13 Contribution impact'!$C$22</definedName>
    <definedName function="false" hidden="false" localSheetId="22" name="Extra_Per_Month" vbProcedure="false">'C13 Contribution impact'!$C$31</definedName>
    <definedName function="false" hidden="false" localSheetId="22" name="Grows_To" vbProcedure="false">'C13 Contribution impact'!$C$29</definedName>
    <definedName function="false" hidden="false" localSheetId="22" name="Growth_Rate" vbProcedure="false">'C13 Contribution impact'!$G$18</definedName>
    <definedName function="false" hidden="false" localSheetId="22" name="Growth_Rate_Entry" vbProcedure="false">'C13 Contribution impact'!$C$18</definedName>
    <definedName function="false" hidden="false" localSheetId="22" name="Increase_Pct" vbProcedure="false">'C13 Contribution impact'!$G$16</definedName>
    <definedName function="false" hidden="false" localSheetId="22" name="Increase_Pct_Entry" vbProcedure="false">'C13 Contribution impact'!$C$16</definedName>
    <definedName function="false" hidden="false" localSheetId="22" name="Inflation_Choice" vbProcedure="false">'C13 Contribution impact'!$G$6</definedName>
    <definedName function="false" hidden="false" localSheetId="22" name="Inflation_Choice_Entry" vbProcedure="false">'C13 Contribution impact'!$C$6</definedName>
    <definedName function="false" hidden="false" localSheetId="22" name="Need_1" vbProcedure="false">'C13 Contribution impact'!$C$51</definedName>
    <definedName function="false" hidden="false" localSheetId="22" name="Need_2" vbProcedure="false">'C13 Contribution impact'!$C$52</definedName>
    <definedName function="false" hidden="false" localSheetId="22" name="Need_3" vbProcedure="false">'C13 Contribution impact'!$C$53</definedName>
    <definedName function="false" hidden="false" localSheetId="22" name="Need_4" vbProcedure="false">'C13 Contribution impact'!$C$54</definedName>
    <definedName function="false" hidden="false" localSheetId="22" name="Need_5" vbProcedure="false">'C13 Contribution impact'!$C$55</definedName>
    <definedName function="false" hidden="false" localSheetId="22" name="Need_6" vbProcedure="false">'C13 Contribution impact'!$C$56</definedName>
    <definedName function="false" hidden="false" localSheetId="22" name="Net_Cost_Per_Month" vbProcedure="false">'C13 Contribution impact'!$C$32</definedName>
    <definedName function="false" hidden="false" localSheetId="22" name="Plan_Goal_Contribution" vbProcedure="false">'C13 Contribution impact'!$C$47</definedName>
    <definedName function="false" hidden="false" localSheetId="22" name="Plan_Goal_Kind" vbProcedure="false">'C13 Contribution impact'!$C$46</definedName>
    <definedName function="false" hidden="false" localSheetId="22" name="Relief_Limit_Year" vbProcedure="false">'C13 Contribution impact'!$C$33</definedName>
    <definedName function="false" hidden="false" localSheetId="22" name="Relief_Per_Month" vbProcedure="false">'C13 Contribution impact'!$C$36</definedName>
    <definedName function="false" hidden="false" localSheetId="22" name="Relief_Room_Year" vbProcedure="false">'C13 Contribution impact'!$C$34</definedName>
    <definedName function="false" hidden="false" localSheetId="22" name="Relieved_Year" vbProcedure="false">'C13 Contribution impact'!$C$35</definedName>
    <definedName function="false" hidden="false" localSheetId="22" name="Salary" vbProcedure="false">'C13 Contribution impact'!$G$15</definedName>
    <definedName function="false" hidden="false" localSheetId="22" name="Salary_Entry" vbProcedure="false">'C13 Contribution impact'!$C$15</definedName>
    <definedName function="false" hidden="false" localSheetId="22" name="Statement_Check" vbProcedure="false">'C13 Contribution impact'!$C$26</definedName>
    <definedName function="false" hidden="false" localSheetId="22" name="Stmt_Charges" vbProcedure="false">'C13 Contribution impact'!$C$11</definedName>
    <definedName function="false" hidden="false" localSheetId="22" name="Stmt_Statement_Date" vbProcedure="false">'C13 Contribution impact'!$C$12</definedName>
    <definedName function="false" hidden="false" localSheetId="22" name="Tax_Rate" vbProcedure="false">'C13 Contribution impact'!$G$20</definedName>
    <definedName function="false" hidden="false" localSheetId="22" name="Tax_Rate_Entry" vbProcedure="false">'C13 Contribution impact'!$C$20</definedName>
    <definedName function="false" hidden="false" localSheetId="22" name="Typical_Pension_Charges" vbProcedure="false">'C13 Contribution impact'!$G$19</definedName>
    <definedName function="false" hidden="false" localSheetId="22" name="Typical_Pension_Charges_Entry" vbProcedure="false">'C13 Contribution impact'!$C$19</definedName>
    <definedName function="false" hidden="false" localSheetId="22" name="Used_Growth_Rate" vbProcedure="false">'C13 Contribution impact'!$C$25</definedName>
    <definedName function="false" hidden="false" localSheetId="22" name="Value_Today" vbProcedure="false">'C13 Contribution impact'!$C$30</definedName>
    <definedName function="false" hidden="false" localSheetId="22" name="Years" vbProcedure="false">'C13 Contribution impact'!$G$17</definedName>
    <definedName function="false" hidden="false" localSheetId="22" name="Years_Entry" vbProcedure="false">'C13 Contribution impact'!$C$17</definedName>
    <definedName function="false" hidden="false" localSheetId="23" name="Age" vbProcedure="false">'C14 AVC impact'!$G$21</definedName>
    <definedName function="false" hidden="false" localSheetId="23" name="Age_Entry" vbProcedure="false">'C14 AVC impact'!$C$21</definedName>
    <definedName function="false" hidden="false" localSheetId="23" name="AVC_Per_Month" vbProcedure="false">'C14 AVC impact'!$G$15</definedName>
    <definedName function="false" hidden="false" localSheetId="23" name="AVC_Per_Month_Entry" vbProcedure="false">'C14 AVC impact'!$C$15</definedName>
    <definedName function="false" hidden="false" localSheetId="23" name="Existing_Pension_Year" vbProcedure="false">'C14 AVC impact'!$G$22</definedName>
    <definedName function="false" hidden="false" localSheetId="23" name="Existing_Pension_Year_Entry" vbProcedure="false">'C14 AVC impact'!$C$22</definedName>
    <definedName function="false" hidden="false" localSheetId="23" name="Grows_To" vbProcedure="false">'C14 AVC impact'!$C$29</definedName>
    <definedName function="false" hidden="false" localSheetId="23" name="Growth_Rate" vbProcedure="false">'C14 AVC impact'!$G$18</definedName>
    <definedName function="false" hidden="false" localSheetId="23" name="Growth_Rate_Entry" vbProcedure="false">'C14 AVC impact'!$C$18</definedName>
    <definedName function="false" hidden="false" localSheetId="23" name="Inflation_Choice" vbProcedure="false">'C14 AVC impact'!$G$6</definedName>
    <definedName function="false" hidden="false" localSheetId="23" name="Inflation_Choice_Entry" vbProcedure="false">'C14 AVC impact'!$C$6</definedName>
    <definedName function="false" hidden="false" localSheetId="23" name="Need_1" vbProcedure="false">'C14 AVC impact'!$C$50</definedName>
    <definedName function="false" hidden="false" localSheetId="23" name="Need_2" vbProcedure="false">'C14 AVC impact'!$C$51</definedName>
    <definedName function="false" hidden="false" localSheetId="23" name="Need_3" vbProcedure="false">'C14 AVC impact'!$C$52</definedName>
    <definedName function="false" hidden="false" localSheetId="23" name="Need_4" vbProcedure="false">'C14 AVC impact'!$C$53</definedName>
    <definedName function="false" hidden="false" localSheetId="23" name="Need_5" vbProcedure="false">'C14 AVC impact'!$C$54</definedName>
    <definedName function="false" hidden="false" localSheetId="23" name="Need_6" vbProcedure="false">'C14 AVC impact'!$C$55</definedName>
    <definedName function="false" hidden="false" localSheetId="23" name="Need_7" vbProcedure="false">'C14 AVC impact'!$C$56</definedName>
    <definedName function="false" hidden="false" localSheetId="23" name="Need_8" vbProcedure="false">'C14 AVC impact'!$C$57</definedName>
    <definedName function="false" hidden="false" localSheetId="23" name="Net_Cost" vbProcedure="false">'C14 AVC impact'!$C$32</definedName>
    <definedName function="false" hidden="false" localSheetId="23" name="Net_Cost_Per_Month" vbProcedure="false">'C14 AVC impact'!$C$33</definedName>
    <definedName function="false" hidden="false" localSheetId="23" name="Paid_In" vbProcedure="false">'C14 AVC impact'!$C$31</definedName>
    <definedName function="false" hidden="false" localSheetId="23" name="Plan_Goal_Contribution" vbProcedure="false">'C14 AVC impact'!$C$47</definedName>
    <definedName function="false" hidden="false" localSheetId="23" name="Plan_Goal_Kind" vbProcedure="false">'C14 AVC impact'!$C$46</definedName>
    <definedName function="false" hidden="false" localSheetId="23" name="Relief_Limit_Year" vbProcedure="false">'C14 AVC impact'!$C$34</definedName>
    <definedName function="false" hidden="false" localSheetId="23" name="Relief_Per_Month" vbProcedure="false">'C14 AVC impact'!$C$37</definedName>
    <definedName function="false" hidden="false" localSheetId="23" name="Relief_Room_Year" vbProcedure="false">'C14 AVC impact'!$C$35</definedName>
    <definedName function="false" hidden="false" localSheetId="23" name="Relieved_Year" vbProcedure="false">'C14 AVC impact'!$C$36</definedName>
    <definedName function="false" hidden="false" localSheetId="23" name="Salary" vbProcedure="false">'C14 AVC impact'!$G$16</definedName>
    <definedName function="false" hidden="false" localSheetId="23" name="Salary_Entry" vbProcedure="false">'C14 AVC impact'!$C$16</definedName>
    <definedName function="false" hidden="false" localSheetId="23" name="Statement_Check" vbProcedure="false">'C14 AVC impact'!$C$26</definedName>
    <definedName function="false" hidden="false" localSheetId="23" name="Stmt_Charges" vbProcedure="false">'C14 AVC impact'!$C$11</definedName>
    <definedName function="false" hidden="false" localSheetId="23" name="Stmt_Statement_Date" vbProcedure="false">'C14 AVC impact'!$C$12</definedName>
    <definedName function="false" hidden="false" localSheetId="23" name="Tax_Rate" vbProcedure="false">'C14 AVC impact'!$G$20</definedName>
    <definedName function="false" hidden="false" localSheetId="23" name="Tax_Rate_Entry" vbProcedure="false">'C14 AVC impact'!$C$20</definedName>
    <definedName function="false" hidden="false" localSheetId="23" name="Typical_Pension_Charges" vbProcedure="false">'C14 AVC impact'!$G$19</definedName>
    <definedName function="false" hidden="false" localSheetId="23" name="Typical_Pension_Charges_Entry" vbProcedure="false">'C14 AVC impact'!$C$19</definedName>
    <definedName function="false" hidden="false" localSheetId="23" name="Used_Growth_Rate" vbProcedure="false">'C14 AVC impact'!$C$25</definedName>
    <definedName function="false" hidden="false" localSheetId="23" name="Value_Today" vbProcedure="false">'C14 AVC impact'!$C$30</definedName>
    <definedName function="false" hidden="false" localSheetId="23" name="Years" vbProcedure="false">'C14 AVC impact'!$G$17</definedName>
    <definedName function="false" hidden="false" localSheetId="23" name="Years_Entry" vbProcedure="false">'C14 AVC impact'!$C$17</definedName>
    <definedName function="false" hidden="false" localSheetId="24" name="Age_At_Start" vbProcedure="false">'C15 Will my money last'!$G$20</definedName>
    <definedName function="false" hidden="false" localSheetId="24" name="Age_At_Start_Entry" vbProcedure="false">'C15 Will my money last'!$C$20</definedName>
    <definedName function="false" hidden="false" localSheetId="24" name="Growth_Rate" vbProcedure="false">'C15 Will my money last'!$G$18</definedName>
    <definedName function="false" hidden="false" localSheetId="24" name="Growth_Rate_Entry" vbProcedure="false">'C15 Will my money last'!$C$18</definedName>
    <definedName function="false" hidden="false" localSheetId="24" name="Inflation_Choice" vbProcedure="false">'C15 Will my money last'!$G$6</definedName>
    <definedName function="false" hidden="false" localSheetId="24" name="Inflation_Choice_Entry" vbProcedure="false">'C15 Will my money last'!$C$6</definedName>
    <definedName function="false" hidden="false" localSheetId="24" name="Lasts_To_Age" vbProcedure="false">'C15 Will my money last'!$C$29</definedName>
    <definedName function="false" hidden="false" localSheetId="24" name="Need_1" vbProcedure="false">'C15 Will my money last'!$C$107</definedName>
    <definedName function="false" hidden="false" localSheetId="24" name="Need_2" vbProcedure="false">'C15 Will my money last'!$C$108</definedName>
    <definedName function="false" hidden="false" localSheetId="24" name="Need_3" vbProcedure="false">'C15 Will my money last'!$C$109</definedName>
    <definedName function="false" hidden="false" localSheetId="24" name="Plan_Goal_Kind" vbProcedure="false">'C15 Will my money last'!$C$104</definedName>
    <definedName function="false" hidden="false" localSheetId="24" name="Plan_To_Age" vbProcedure="false">'C15 Will my money last'!$G$21</definedName>
    <definedName function="false" hidden="false" localSheetId="24" name="Plan_To_Age_Entry" vbProcedure="false">'C15 Will my money last'!$C$21</definedName>
    <definedName function="false" hidden="false" localSheetId="24" name="Retirement_Savings" vbProcedure="false">'C15 Will my money last'!$G$16</definedName>
    <definedName function="false" hidden="false" localSheetId="24" name="Retirement_Savings_Entry" vbProcedure="false">'C15 Will my money last'!$C$16</definedName>
    <definedName function="false" hidden="false" localSheetId="24" name="Statement_Check" vbProcedure="false">'C15 Will my money last'!$C$25</definedName>
    <definedName function="false" hidden="false" localSheetId="24" name="Stmt_Fund_Value" vbProcedure="false">'C15 Will my money last'!$C$12</definedName>
    <definedName function="false" hidden="false" localSheetId="24" name="Stmt_Projected_Fund" vbProcedure="false">'C15 Will my money last'!$C$11</definedName>
    <definedName function="false" hidden="false" localSheetId="24" name="Stmt_Statement_Date" vbProcedure="false">'C15 Will my money last'!$C$13</definedName>
    <definedName function="false" hidden="false" localSheetId="24" name="Used_Retirement_Savings" vbProcedure="false">'C15 Will my money last'!$C$24</definedName>
    <definedName function="false" hidden="false" localSheetId="24" name="Withdrawal_Rate" vbProcedure="false">'C15 Will my money last'!$C$30</definedName>
    <definedName function="false" hidden="false" localSheetId="24" name="Withdrawal_Timing" vbProcedure="false">'C15 Will my money last'!$G$19</definedName>
    <definedName function="false" hidden="false" localSheetId="24" name="Withdrawal_Timing_Entry" vbProcedure="false">'C15 Will my money last'!$C$19</definedName>
    <definedName function="false" hidden="false" localSheetId="24" name="W_end" vbProcedure="false">'C15 Will my money last'!$F$33:$F$92</definedName>
    <definedName function="false" hidden="false" localSheetId="24" name="W_paid" vbProcedure="false">'C15 Will my money last'!$E$33:$E$92</definedName>
    <definedName function="false" hidden="false" localSheetId="24" name="W_start" vbProcedure="false">'C15 Will my money last'!$D$33:$D$92</definedName>
    <definedName function="false" hidden="false" localSheetId="24" name="W_w" vbProcedure="false">'C15 Will my money last'!$C$33:$C$92</definedName>
    <definedName function="false" hidden="false" localSheetId="24" name="W_year" vbProcedure="false">'C15 Will my money last'!$B$33:$B$92</definedName>
    <definedName function="false" hidden="false" localSheetId="24" name="Yearly_Withdrawal" vbProcedure="false">'C15 Will my money last'!$G$17</definedName>
    <definedName function="false" hidden="false" localSheetId="24" name="Yearly_Withdrawal_Entry" vbProcedure="false">'C15 Will my money last'!$C$17</definedName>
    <definedName function="false" hidden="false" localSheetId="24" name="Years_Lasting" vbProcedure="false">'C15 Will my money last'!$C$28</definedName>
    <definedName function="false" hidden="false" localSheetId="25" name="DD_Balanced" vbProcedure="false">'C16 Drawdown scenarios'!$G$19</definedName>
    <definedName function="false" hidden="false" localSheetId="25" name="DD_Balanced_Entry" vbProcedure="false">'C16 Drawdown scenarios'!$C$19</definedName>
    <definedName function="false" hidden="false" localSheetId="25" name="DD_Cautious" vbProcedure="false">'C16 Drawdown scenarios'!$G$18</definedName>
    <definedName function="false" hidden="false" localSheetId="25" name="DD_Cautious_Entry" vbProcedure="false">'C16 Drawdown scenarios'!$C$18</definedName>
    <definedName function="false" hidden="false" localSheetId="25" name="DD_Growth" vbProcedure="false">'C16 Drawdown scenarios'!$G$20</definedName>
    <definedName function="false" hidden="false" localSheetId="25" name="DD_Growth_Entry" vbProcedure="false">'C16 Drawdown scenarios'!$C$20</definedName>
    <definedName function="false" hidden="false" localSheetId="25" name="Inflation_Choice" vbProcedure="false">'C16 Drawdown scenarios'!$G$6</definedName>
    <definedName function="false" hidden="false" localSheetId="25" name="Inflation_Choice_Entry" vbProcedure="false">'C16 Drawdown scenarios'!$C$6</definedName>
    <definedName function="false" hidden="false" localSheetId="25" name="Need_1" vbProcedure="false">'C16 Drawdown scenarios'!$C$106</definedName>
    <definedName function="false" hidden="false" localSheetId="25" name="Plan_Goal_Kind" vbProcedure="false">'C16 Drawdown scenarios'!$C$103</definedName>
    <definedName function="false" hidden="false" localSheetId="25" name="Retirement_Savings" vbProcedure="false">'C16 Drawdown scenarios'!$G$16</definedName>
    <definedName function="false" hidden="false" localSheetId="25" name="Retirement_Savings_Entry" vbProcedure="false">'C16 Drawdown scenarios'!$C$16</definedName>
    <definedName function="false" hidden="false" localSheetId="25" name="Statement_Check" vbProcedure="false">'C16 Drawdown scenarios'!$C$25</definedName>
    <definedName function="false" hidden="false" localSheetId="25" name="Stmt_Fund_Value" vbProcedure="false">'C16 Drawdown scenarios'!$C$12</definedName>
    <definedName function="false" hidden="false" localSheetId="25" name="Stmt_Projected_Fund" vbProcedure="false">'C16 Drawdown scenarios'!$C$11</definedName>
    <definedName function="false" hidden="false" localSheetId="25" name="Stmt_Statement_Date" vbProcedure="false">'C16 Drawdown scenarios'!$C$13</definedName>
    <definedName function="false" hidden="false" localSheetId="25" name="Used_Retirement_Savings" vbProcedure="false">'C16 Drawdown scenarios'!$C$24</definedName>
    <definedName function="false" hidden="false" localSheetId="25" name="Withdrawal_Timing" vbProcedure="false">'C16 Drawdown scenarios'!$G$21</definedName>
    <definedName function="false" hidden="false" localSheetId="25" name="Withdrawal_Timing_Entry" vbProcedure="false">'C16 Drawdown scenarios'!$C$21</definedName>
    <definedName function="false" hidden="false" localSheetId="25" name="W_b_paid" vbProcedure="false">'C16 Drawdown scenarios'!$G$33:$G$92</definedName>
    <definedName function="false" hidden="false" localSheetId="25" name="W_b_start" vbProcedure="false">'C16 Drawdown scenarios'!$F$33:$F$92</definedName>
    <definedName function="false" hidden="false" localSheetId="25" name="W_c_paid" vbProcedure="false">'C16 Drawdown scenarios'!$E$33:$E$92</definedName>
    <definedName function="false" hidden="false" localSheetId="25" name="W_c_start" vbProcedure="false">'C16 Drawdown scenarios'!$D$33:$D$92</definedName>
    <definedName function="false" hidden="false" localSheetId="25" name="W_g_paid" vbProcedure="false">'C16 Drawdown scenarios'!$I$33:$I$92</definedName>
    <definedName function="false" hidden="false" localSheetId="25" name="W_g_start" vbProcedure="false">'C16 Drawdown scenarios'!$H$33:$H$92</definedName>
    <definedName function="false" hidden="false" localSheetId="25" name="W_w" vbProcedure="false">'C16 Drawdown scenarios'!$C$33:$C$92</definedName>
    <definedName function="false" hidden="false" localSheetId="25" name="W_year" vbProcedure="false">'C16 Drawdown scenarios'!$B$33:$B$92</definedName>
    <definedName function="false" hidden="false" localSheetId="25" name="Yearly_Withdrawal" vbProcedure="false">'C16 Drawdown scenarios'!$G$17</definedName>
    <definedName function="false" hidden="false" localSheetId="25" name="Yearly_Withdrawal_Entry" vbProcedure="false">'C16 Drawdown scenarios'!$C$17</definedName>
    <definedName function="false" hidden="false" localSheetId="25" name="Years_Balanced" vbProcedure="false">'C16 Drawdown scenarios'!$C$28</definedName>
    <definedName function="false" hidden="false" localSheetId="25" name="Years_Cautious" vbProcedure="false">'C16 Drawdown scenarios'!$C$29</definedName>
    <definedName function="false" hidden="false" localSheetId="25" name="Years_Growth" vbProcedure="false">'C16 Drawdown scenarios'!$C$30</definedName>
    <definedName function="false" hidden="false" localSheetId="26" name="Amount" vbProcedure="false">'C17 Inflation adjusted return'!$G$15</definedName>
    <definedName function="false" hidden="false" localSheetId="26" name="Amount_Entry" vbProcedure="false">'C17 Inflation adjusted return'!$C$15</definedName>
    <definedName function="false" hidden="false" localSheetId="26" name="Future_Value" vbProcedure="false">'C17 Inflation adjusted return'!$C$25</definedName>
    <definedName function="false" hidden="false" localSheetId="26" name="Inflation_Choice" vbProcedure="false">'C17 Inflation adjusted return'!$G$6</definedName>
    <definedName function="false" hidden="false" localSheetId="26" name="Inflation_Choice_Entry" vbProcedure="false">'C17 Inflation adjusted return'!$C$6</definedName>
    <definedName function="false" hidden="false" localSheetId="26" name="Need_1" vbProcedure="false">'C17 Inflation adjusted return'!$C$39</definedName>
    <definedName function="false" hidden="false" localSheetId="26" name="Need_2" vbProcedure="false">'C17 Inflation adjusted return'!$C$40</definedName>
    <definedName function="false" hidden="false" localSheetId="26" name="Need_3" vbProcedure="false">'C17 Inflation adjusted return'!$C$41</definedName>
    <definedName function="false" hidden="false" localSheetId="26" name="Nominal_Return" vbProcedure="false">'C17 Inflation adjusted return'!$G$16</definedName>
    <definedName function="false" hidden="false" localSheetId="26" name="Nominal_Return_Entry" vbProcedure="false">'C17 Inflation adjusted return'!$C$16</definedName>
    <definedName function="false" hidden="false" localSheetId="26" name="Plan_Goal_Kind" vbProcedure="false">'C17 Inflation adjusted return'!$C$36</definedName>
    <definedName function="false" hidden="false" localSheetId="26" name="Real_Return" vbProcedure="false">'C17 Inflation adjusted return'!$C$26</definedName>
    <definedName function="false" hidden="false" localSheetId="26" name="Statement_Check" vbProcedure="false">'C17 Inflation adjusted return'!$C$21</definedName>
    <definedName function="false" hidden="false" localSheetId="26" name="Stmt_Statement_Date" vbProcedure="false">'C17 Inflation adjusted return'!$C$12</definedName>
    <definedName function="false" hidden="false" localSheetId="26" name="Stmt_Total_Value" vbProcedure="false">'C17 Inflation adjusted return'!$C$11</definedName>
    <definedName function="false" hidden="false" localSheetId="26" name="Used_Amount" vbProcedure="false">'C17 Inflation adjusted return'!$C$20</definedName>
    <definedName function="false" hidden="false" localSheetId="26" name="Value_Today" vbProcedure="false">'C17 Inflation adjusted return'!$C$24</definedName>
    <definedName function="false" hidden="false" localSheetId="26" name="Years" vbProcedure="false">'C17 Inflation adjusted return'!$G$17</definedName>
    <definedName function="false" hidden="false" localSheetId="26" name="Years_Entry" vbProcedure="false">'C17 Inflation adjusted return'!$C$17</definedName>
    <definedName function="false" hidden="false" localSheetId="27" name="Adjust_For_Inflation" vbProcedure="false">'C18 Regular investing'!$G$20</definedName>
    <definedName function="false" hidden="false" localSheetId="27" name="Adjust_For_Inflation_Entry" vbProcedure="false">'C18 Regular investing'!$C$20</definedName>
    <definedName function="false" hidden="false" localSheetId="27" name="Fees_Cost" vbProcedure="false">'C18 Regular investing'!$C$32</definedName>
    <definedName function="false" hidden="false" localSheetId="27" name="Growth_After_Fees" vbProcedure="false">'C18 Regular investing'!$C$35</definedName>
    <definedName function="false" hidden="false" localSheetId="27" name="Growth_Rate" vbProcedure="false">'C18 Regular investing'!$G$18</definedName>
    <definedName function="false" hidden="false" localSheetId="27" name="Growth_Rate_Entry" vbProcedure="false">'C18 Regular investing'!$C$18</definedName>
    <definedName function="false" hidden="false" localSheetId="27" name="Headline" vbProcedure="false">'C18 Regular investing'!$C$29</definedName>
    <definedName function="false" hidden="false" localSheetId="27" name="Inflation_Choice" vbProcedure="false">'C18 Regular investing'!$G$6</definedName>
    <definedName function="false" hidden="false" localSheetId="27" name="Inflation_Choice_Entry" vbProcedure="false">'C18 Regular investing'!$C$6</definedName>
    <definedName function="false" hidden="false" localSheetId="27" name="Monthly_Amount" vbProcedure="false">'C18 Regular investing'!$G$16</definedName>
    <definedName function="false" hidden="false" localSheetId="27" name="Monthly_Amount_Entry" vbProcedure="false">'C18 Regular investing'!$C$16</definedName>
    <definedName function="false" hidden="false" localSheetId="27" name="Need_1" vbProcedure="false">'C18 Regular investing'!$C$53</definedName>
    <definedName function="false" hidden="false" localSheetId="27" name="Need_2" vbProcedure="false">'C18 Regular investing'!$C$54</definedName>
    <definedName function="false" hidden="false" localSheetId="27" name="Need_3" vbProcedure="false">'C18 Regular investing'!$C$55</definedName>
    <definedName function="false" hidden="false" localSheetId="27" name="Need_4" vbProcedure="false">'C18 Regular investing'!$C$56</definedName>
    <definedName function="false" hidden="false" localSheetId="27" name="Need_5" vbProcedure="false">'C18 Regular investing'!$C$57</definedName>
    <definedName function="false" hidden="false" localSheetId="27" name="Need_6" vbProcedure="false">'C18 Regular investing'!$C$58</definedName>
    <definedName function="false" hidden="false" localSheetId="27" name="Need_7" vbProcedure="false">'C18 Regular investing'!$C$59</definedName>
    <definedName function="false" hidden="false" localSheetId="27" name="Paid_In" vbProcedure="false">'C18 Regular investing'!$C$33</definedName>
    <definedName function="false" hidden="false" localSheetId="27" name="Plan_Goal_Amount" vbProcedure="false">'C18 Regular investing'!$C$47</definedName>
    <definedName function="false" hidden="false" localSheetId="27" name="Plan_Goal_Kind" vbProcedure="false">'C18 Regular investing'!$C$46</definedName>
    <definedName function="false" hidden="false" localSheetId="27" name="Plan_Goal_Years" vbProcedure="false">'C18 Regular investing'!$C$48</definedName>
    <definedName function="false" hidden="false" localSheetId="27" name="Plan_Inflation" vbProcedure="false">'C18 Regular investing'!$C$49</definedName>
    <definedName function="false" hidden="false" localSheetId="27" name="Real_Return" vbProcedure="false">'C18 Regular investing'!$C$36</definedName>
    <definedName function="false" hidden="false" localSheetId="27" name="Statement_Check" vbProcedure="false">'C18 Regular investing'!$C$26</definedName>
    <definedName function="false" hidden="false" localSheetId="27" name="Statement_Uploaded" vbProcedure="false">'C18 Regular investing'!$C$23</definedName>
    <definedName function="false" hidden="false" localSheetId="27" name="Stmt_Charges" vbProcedure="false">'C18 Regular investing'!$C$12</definedName>
    <definedName function="false" hidden="false" localSheetId="27" name="Stmt_Monthly_Invested" vbProcedure="false">'C18 Regular investing'!$C$11</definedName>
    <definedName function="false" hidden="false" localSheetId="27" name="Stmt_Statement_Date" vbProcedure="false">'C18 Regular investing'!$C$13</definedName>
    <definedName function="false" hidden="false" localSheetId="27" name="Used_Monthly_Amount" vbProcedure="false">'C18 Regular investing'!$C$24</definedName>
    <definedName function="false" hidden="false" localSheetId="27" name="Used_Yearly_Fees" vbProcedure="false">'C18 Regular investing'!$C$25</definedName>
    <definedName function="false" hidden="false" localSheetId="27" name="Value_After_Fees" vbProcedure="false">'C18 Regular investing'!$C$30</definedName>
    <definedName function="false" hidden="false" localSheetId="27" name="Value_Before_Fees" vbProcedure="false">'C18 Regular investing'!$C$31</definedName>
    <definedName function="false" hidden="false" localSheetId="27" name="Value_Today" vbProcedure="false">'C18 Regular investing'!$C$34</definedName>
    <definedName function="false" hidden="false" localSheetId="27" name="Yearly_Fees" vbProcedure="false">'C18 Regular investing'!$G$19</definedName>
    <definedName function="false" hidden="false" localSheetId="27" name="Yearly_Fees_Entry" vbProcedure="false">'C18 Regular investing'!$C$19</definedName>
    <definedName function="false" hidden="false" localSheetId="27" name="Years" vbProcedure="false">'C18 Regular investing'!$G$17</definedName>
    <definedName function="false" hidden="false" localSheetId="27" name="Years_Entry" vbProcedure="false">'C18 Regular investing'!$C$17</definedName>
    <definedName function="false" hidden="false" localSheetId="28" name="Amount_Invested" vbProcedure="false">'C19 Fees impact'!$G$12</definedName>
    <definedName function="false" hidden="false" localSheetId="28" name="Amount_Invested_Entry" vbProcedure="false">'C19 Fees impact'!$C$12</definedName>
    <definedName function="false" hidden="false" localSheetId="28" name="Difference" vbProcedure="false">'C19 Fees impact'!$C$25</definedName>
    <definedName function="false" hidden="false" localSheetId="28" name="Fee_A" vbProcedure="false">'C19 Fees impact'!$G$15</definedName>
    <definedName function="false" hidden="false" localSheetId="28" name="Fee_A_Entry" vbProcedure="false">'C19 Fees impact'!$C$15</definedName>
    <definedName function="false" hidden="false" localSheetId="28" name="Fee_B" vbProcedure="false">'C19 Fees impact'!$G$16</definedName>
    <definedName function="false" hidden="false" localSheetId="28" name="Fee_B_Entry" vbProcedure="false">'C19 Fees impact'!$C$16</definedName>
    <definedName function="false" hidden="false" localSheetId="28" name="Fee_Gap" vbProcedure="false">'C19 Fees impact'!$C$28</definedName>
    <definedName function="false" hidden="false" localSheetId="28" name="Growth_Rate" vbProcedure="false">'C19 Fees impact'!$G$14</definedName>
    <definedName function="false" hidden="false" localSheetId="28" name="Growth_Rate_Entry" vbProcedure="false">'C19 Fees impact'!$C$14</definedName>
    <definedName function="false" hidden="false" localSheetId="28" name="Need_1" vbProcedure="false">'C19 Fees impact'!$C$39</definedName>
    <definedName function="false" hidden="false" localSheetId="28" name="Need_2" vbProcedure="false">'C19 Fees impact'!$C$40</definedName>
    <definedName function="false" hidden="false" localSheetId="28" name="Need_3" vbProcedure="false">'C19 Fees impact'!$C$41</definedName>
    <definedName function="false" hidden="false" localSheetId="28" name="Need_4" vbProcedure="false">'C19 Fees impact'!$C$42</definedName>
    <definedName function="false" hidden="false" localSheetId="28" name="Plan_Goal_Kind" vbProcedure="false">'C19 Fees impact'!$C$36</definedName>
    <definedName function="false" hidden="false" localSheetId="28" name="Statement_Check" vbProcedure="false">'C19 Fees impact'!$C$22</definedName>
    <definedName function="false" hidden="false" localSheetId="28" name="Statement_Uploaded" vbProcedure="false">'C19 Fees impact'!$C$19</definedName>
    <definedName function="false" hidden="false" localSheetId="28" name="Stmt_Charges" vbProcedure="false">'C19 Fees impact'!$C$8</definedName>
    <definedName function="false" hidden="false" localSheetId="28" name="Stmt_Statement_Date" vbProcedure="false">'C19 Fees impact'!$C$9</definedName>
    <definedName function="false" hidden="false" localSheetId="28" name="Stmt_Total_Value" vbProcedure="false">'C19 Fees impact'!$C$7</definedName>
    <definedName function="false" hidden="false" localSheetId="28" name="Used_Amount_Invested" vbProcedure="false">'C19 Fees impact'!$C$20</definedName>
    <definedName function="false" hidden="false" localSheetId="28" name="Used_Fee_A" vbProcedure="false">'C19 Fees impact'!$C$21</definedName>
    <definedName function="false" hidden="false" localSheetId="28" name="Value_With_Fee_A" vbProcedure="false">'C19 Fees impact'!$C$26</definedName>
    <definedName function="false" hidden="false" localSheetId="28" name="Value_With_Fee_B" vbProcedure="false">'C19 Fees impact'!$C$27</definedName>
    <definedName function="false" hidden="false" localSheetId="28" name="Years" vbProcedure="false">'C19 Fees impact'!$G$13</definedName>
    <definedName function="false" hidden="false" localSheetId="28" name="Years_Entry" vbProcedure="false">'C19 Fees impact'!$C$13</definedName>
    <definedName function="false" hidden="false" localSheetId="29" name="Amount" vbProcedure="false">'C20 Risk and return'!$G$12</definedName>
    <definedName function="false" hidden="false" localSheetId="29" name="Amount_Entry" vbProcedure="false">'C20 Risk and return'!$C$12</definedName>
    <definedName function="false" hidden="false" localSheetId="29" name="Difficult_Year_Fall" vbProcedure="false">'C20 Risk and return'!$C$31</definedName>
    <definedName function="false" hidden="false" localSheetId="29" name="Middle" vbProcedure="false">'C20 Risk and return'!$C$28</definedName>
    <definedName function="false" hidden="false" localSheetId="29" name="Middle_Growth" vbProcedure="false">'C20 Risk and return'!$C$33</definedName>
    <definedName function="false" hidden="false" localSheetId="29" name="Mu_Balanced" vbProcedure="false">'C20 Risk and return'!$G$16</definedName>
    <definedName function="false" hidden="false" localSheetId="29" name="Mu_Balanced_Entry" vbProcedure="false">'C20 Risk and return'!$C$16</definedName>
    <definedName function="false" hidden="false" localSheetId="29" name="Mu_Cautious" vbProcedure="false">'C20 Risk and return'!$G$15</definedName>
    <definedName function="false" hidden="false" localSheetId="29" name="Mu_Cautious_Entry" vbProcedure="false">'C20 Risk and return'!$C$15</definedName>
    <definedName function="false" hidden="false" localSheetId="29" name="Mu_Growth" vbProcedure="false">'C20 Risk and return'!$G$17</definedName>
    <definedName function="false" hidden="false" localSheetId="29" name="Mu_Growth_Entry" vbProcedure="false">'C20 Risk and return'!$C$17</definedName>
    <definedName function="false" hidden="false" localSheetId="29" name="Need_1" vbProcedure="false">'C20 Risk and return'!$C$48</definedName>
    <definedName function="false" hidden="false" localSheetId="29" name="Need_2" vbProcedure="false">'C20 Risk and return'!$C$49</definedName>
    <definedName function="false" hidden="false" localSheetId="29" name="Need_3" vbProcedure="false">'C20 Risk and return'!$C$50</definedName>
    <definedName function="false" hidden="false" localSheetId="29" name="Need_4" vbProcedure="false">'C20 Risk and return'!$C$51</definedName>
    <definedName function="false" hidden="false" localSheetId="29" name="Need_5" vbProcedure="false">'C20 Risk and return'!$C$52</definedName>
    <definedName function="false" hidden="false" localSheetId="29" name="Need_6" vbProcedure="false">'C20 Risk and return'!$C$53</definedName>
    <definedName function="false" hidden="false" localSheetId="29" name="Need_7" vbProcedure="false">'C20 Risk and return'!$C$54</definedName>
    <definedName function="false" hidden="false" localSheetId="29" name="Plan_Goal_Kind" vbProcedure="false">'C20 Risk and return'!$C$45</definedName>
    <definedName function="false" hidden="false" localSheetId="29" name="Spread" vbProcedure="false">'C20 Risk and return'!$C$35</definedName>
    <definedName function="false" hidden="false" localSheetId="29" name="Statement_Check" vbProcedure="false">'C20 Risk and return'!$C$25</definedName>
    <definedName function="false" hidden="false" localSheetId="29" name="Stmt_Shares_Pct" vbProcedure="false">'C20 Risk and return'!$C$8</definedName>
    <definedName function="false" hidden="false" localSheetId="29" name="Stmt_Statement_Date" vbProcedure="false">'C20 Risk and return'!$C$9</definedName>
    <definedName function="false" hidden="false" localSheetId="29" name="Stmt_Total_Value" vbProcedure="false">'C20 Risk and return'!$C$7</definedName>
    <definedName function="false" hidden="false" localSheetId="29" name="Stronger" vbProcedure="false">'C20 Risk and return'!$C$30</definedName>
    <definedName function="false" hidden="false" localSheetId="29" name="Style" vbProcedure="false">'C20 Risk and return'!$G$14</definedName>
    <definedName function="false" hidden="false" localSheetId="29" name="Style_Entry" vbProcedure="false">'C20 Risk and return'!$C$14</definedName>
    <definedName function="false" hidden="false" localSheetId="29" name="Style_Name" vbProcedure="false">'C20 Risk and return'!$C$32</definedName>
    <definedName function="false" hidden="false" localSheetId="29" name="Used_Amount" vbProcedure="false">'C20 Risk and return'!$C$23</definedName>
    <definedName function="false" hidden="false" localSheetId="29" name="Used_Style" vbProcedure="false">'C20 Risk and return'!$C$24</definedName>
    <definedName function="false" hidden="false" localSheetId="29" name="Volatility" vbProcedure="false">'C20 Risk and return'!$C$34</definedName>
    <definedName function="false" hidden="false" localSheetId="29" name="Vol_Balanced" vbProcedure="false">'C20 Risk and return'!$G$19</definedName>
    <definedName function="false" hidden="false" localSheetId="29" name="Vol_Balanced_Entry" vbProcedure="false">'C20 Risk and return'!$C$19</definedName>
    <definedName function="false" hidden="false" localSheetId="29" name="Vol_Cautious" vbProcedure="false">'C20 Risk and return'!$G$18</definedName>
    <definedName function="false" hidden="false" localSheetId="29" name="Vol_Cautious_Entry" vbProcedure="false">'C20 Risk and return'!$C$18</definedName>
    <definedName function="false" hidden="false" localSheetId="29" name="Vol_Growth" vbProcedure="false">'C20 Risk and return'!$G$20</definedName>
    <definedName function="false" hidden="false" localSheetId="29" name="Vol_Growth_Entry" vbProcedure="false">'C20 Risk and return'!$C$20</definedName>
    <definedName function="false" hidden="false" localSheetId="29" name="Weaker" vbProcedure="false">'C20 Risk and return'!$C$29</definedName>
    <definedName function="false" hidden="false" localSheetId="29" name="Years" vbProcedure="false">'C20 Risk and return'!$G$13</definedName>
    <definedName function="false" hidden="false" localSheetId="29" name="Years_Entry" vbProcedure="false">'C20 Risk and return'!$C$13</definedName>
    <definedName function="false" hidden="false" localSheetId="30" name="Already_Have" vbProcedure="false">'C21 Life cover'!$C$29</definedName>
    <definedName function="false" hidden="false" localSheetId="30" name="Cover_Gap" vbProcedure="false">'C21 Life cover'!$C$26</definedName>
    <definedName function="false" hidden="false" localSheetId="30" name="Debts_To_Clear" vbProcedure="false">'C21 Life cover'!$C$28</definedName>
    <definedName function="false" hidden="false" localSheetId="30" name="Existing_Cover" vbProcedure="false">'C21 Life cover'!$G$18</definedName>
    <definedName function="false" hidden="false" localSheetId="30" name="Existing_Cover_Entry" vbProcedure="false">'C21 Life cover'!$C$18</definedName>
    <definedName function="false" hidden="false" localSheetId="30" name="Income_Need" vbProcedure="false">'C21 Life cover'!$C$27</definedName>
    <definedName function="false" hidden="false" localSheetId="30" name="Income_Replacement" vbProcedure="false">'C21 Life cover'!$C$30</definedName>
    <definedName function="false" hidden="false" localSheetId="30" name="Life_Replace" vbProcedure="false">'C21 Life cover'!$G$13</definedName>
    <definedName function="false" hidden="false" localSheetId="30" name="Life_Replace_Entry" vbProcedure="false">'C21 Life cover'!$C$13</definedName>
    <definedName function="false" hidden="false" localSheetId="30" name="Mortgage_Balance" vbProcedure="false">'C21 Life cover'!$G$14</definedName>
    <definedName function="false" hidden="false" localSheetId="30" name="Mortgage_Balance_Entry" vbProcedure="false">'C21 Life cover'!$C$14</definedName>
    <definedName function="false" hidden="false" localSheetId="30" name="Mortgage_Protected" vbProcedure="false">'C21 Life cover'!$G$15</definedName>
    <definedName function="false" hidden="false" localSheetId="30" name="Mortgage_Protected_Entry" vbProcedure="false">'C21 Life cover'!$C$15</definedName>
    <definedName function="false" hidden="false" localSheetId="30" name="Need_1" vbProcedure="false">'C21 Life cover'!$C$46</definedName>
    <definedName function="false" hidden="false" localSheetId="30" name="Need_2" vbProcedure="false">'C21 Life cover'!$C$47</definedName>
    <definedName function="false" hidden="false" localSheetId="30" name="Need_3" vbProcedure="false">'C21 Life cover'!$C$48</definedName>
    <definedName function="false" hidden="false" localSheetId="30" name="Need_4" vbProcedure="false">'C21 Life cover'!$C$49</definedName>
    <definedName function="false" hidden="false" localSheetId="30" name="Need_5" vbProcedure="false">'C21 Life cover'!$C$50</definedName>
    <definedName function="false" hidden="false" localSheetId="30" name="Other_Debts" vbProcedure="false">'C21 Life cover'!$G$16</definedName>
    <definedName function="false" hidden="false" localSheetId="30" name="Other_Debts_Entry" vbProcedure="false">'C21 Life cover'!$C$16</definedName>
    <definedName function="false" hidden="false" localSheetId="30" name="Plan_Goal_Kind" vbProcedure="false">'C21 Life cover'!$C$41</definedName>
    <definedName function="false" hidden="false" localSheetId="30" name="Plan_Goal_Need" vbProcedure="false">'C21 Life cover'!$C$42</definedName>
    <definedName function="false" hidden="false" localSheetId="30" name="Savings" vbProcedure="false">'C21 Life cover'!$G$17</definedName>
    <definedName function="false" hidden="false" localSheetId="30" name="Savings_Entry" vbProcedure="false">'C21 Life cover'!$C$17</definedName>
    <definedName function="false" hidden="false" localSheetId="30" name="Statement_Check" vbProcedure="false">'C21 Life cover'!$C$23</definedName>
    <definedName function="false" hidden="false" localSheetId="30" name="Stmt_Balance" vbProcedure="false">'C21 Life cover'!$C$7</definedName>
    <definedName function="false" hidden="false" localSheetId="30" name="Stmt_Statement_Date" vbProcedure="false">'C21 Life cover'!$C$8</definedName>
    <definedName function="false" hidden="false" localSheetId="30" name="Survivor_Pension" vbProcedure="false">'C21 Life cover'!$G$19</definedName>
    <definedName function="false" hidden="false" localSheetId="30" name="Survivor_Pension_Entry" vbProcedure="false">'C21 Life cover'!$C$19</definedName>
    <definedName function="false" hidden="false" localSheetId="30" name="Used_Mortgage_Balance" vbProcedure="false">'C21 Life cover'!$C$22</definedName>
    <definedName function="false" hidden="false" localSheetId="30" name="Yearly_Income" vbProcedure="false">'C21 Life cover'!$G$11</definedName>
    <definedName function="false" hidden="false" localSheetId="30" name="Yearly_Income_Entry" vbProcedure="false">'C21 Life cover'!$C$11</definedName>
    <definedName function="false" hidden="false" localSheetId="30" name="Years_Support" vbProcedure="false">'C21 Life cover'!$G$12</definedName>
    <definedName function="false" hidden="false" localSheetId="30" name="Years_Support_Entry" vbProcedure="false">'C21 Life cover'!$C$12</definedName>
    <definedName function="false" hidden="false" localSheetId="31" name="Essential_Spending" vbProcedure="false">'C22 Income protection gap'!$G$6</definedName>
    <definedName function="false" hidden="false" localSheetId="31" name="Essential_Spending_Entry" vbProcedure="false">'C22 Income protection gap'!$C$6</definedName>
    <definedName function="false" hidden="false" localSheetId="31" name="Gross_Income" vbProcedure="false">'C22 Income protection gap'!$G$9</definedName>
    <definedName function="false" hidden="false" localSheetId="31" name="Gross_Income_Entry" vbProcedure="false">'C22 Income protection gap'!$C$9</definedName>
    <definedName function="false" hidden="false" localSheetId="31" name="Illness_Benefit" vbProcedure="false">'C22 Income protection gap'!$G$10</definedName>
    <definedName function="false" hidden="false" localSheetId="31" name="Illness_Benefit_Entry" vbProcedure="false">'C22 Income protection gap'!$C$10</definedName>
    <definedName function="false" hidden="false" localSheetId="31" name="Illness_Benefit_Month" vbProcedure="false">'C22 Income protection gap'!$C$16</definedName>
    <definedName function="false" hidden="false" localSheetId="31" name="IP_Max" vbProcedure="false">'C22 Income protection gap'!$C$18</definedName>
    <definedName function="false" hidden="false" localSheetId="31" name="IP_Needed" vbProcedure="false">'C22 Income protection gap'!$C$15</definedName>
    <definedName function="false" hidden="false" localSheetId="31" name="Monthly_Gap" vbProcedure="false">'C22 Income protection gap'!$C$14</definedName>
    <definedName function="false" hidden="false" localSheetId="31" name="Months_Coping" vbProcedure="false">'C22 Income protection gap'!$C$13</definedName>
    <definedName function="false" hidden="false" localSheetId="31" name="Need_1" vbProcedure="false">'C22 Income protection gap'!$C$33</definedName>
    <definedName function="false" hidden="false" localSheetId="31" name="Need_2" vbProcedure="false">'C22 Income protection gap'!$C$34</definedName>
    <definedName function="false" hidden="false" localSheetId="31" name="Need_3" vbProcedure="false">'C22 Income protection gap'!$C$35</definedName>
    <definedName function="false" hidden="false" localSheetId="31" name="Need_4" vbProcedure="false">'C22 Income protection gap'!$C$36</definedName>
    <definedName function="false" hidden="false" localSheetId="31" name="Need_5" vbProcedure="false">'C22 Income protection gap'!$C$37</definedName>
    <definedName function="false" hidden="false" localSheetId="31" name="Need_6" vbProcedure="false">'C22 Income protection gap'!$C$38</definedName>
    <definedName function="false" hidden="false" localSheetId="31" name="Plan_Goal_Kind" vbProcedure="false">'C22 Income protection gap'!$C$29</definedName>
    <definedName function="false" hidden="false" localSheetId="31" name="Plan_Goal_Need" vbProcedure="false">'C22 Income protection gap'!$C$30</definedName>
    <definedName function="false" hidden="false" localSheetId="31" name="Savings" vbProcedure="false">'C22 Income protection gap'!$G$8</definedName>
    <definedName function="false" hidden="false" localSheetId="31" name="Savings_Entry" vbProcedure="false">'C22 Income protection gap'!$C$8</definedName>
    <definedName function="false" hidden="false" localSheetId="31" name="Savings_Months" vbProcedure="false">'C22 Income protection gap'!$C$17</definedName>
    <definedName function="false" hidden="false" localSheetId="31" name="Sick_Pay_Months" vbProcedure="false">'C22 Income protection gap'!$G$7</definedName>
    <definedName function="false" hidden="false" localSheetId="31" name="Sick_Pay_Months_Entry" vbProcedure="false">'C22 Income protection gap'!$C$7</definedName>
    <definedName function="false" hidden="false" localSheetId="32" name="Actual_Repayment" vbProcedure="false">'C23 Mortgage protection'!$G$17</definedName>
    <definedName function="false" hidden="false" localSheetId="32" name="Actual_Repayment_Entry" vbProcedure="false">'C23 Mortgage protection'!$C$17</definedName>
    <definedName function="false" hidden="false" localSheetId="32" name="Balance_Year_1" vbProcedure="false">'C23 Mortgage protection'!$C$29</definedName>
    <definedName function="false" hidden="false" localSheetId="32" name="Balance_Year_2" vbProcedure="false">'C23 Mortgage protection'!$C$30</definedName>
    <definedName function="false" hidden="false" localSheetId="32" name="Balance_Year_3" vbProcedure="false">'C23 Mortgage protection'!$C$31</definedName>
    <definedName function="false" hidden="false" localSheetId="32" name="Cover_Today" vbProcedure="false">'C23 Mortgage protection'!$C$27</definedName>
    <definedName function="false" hidden="false" localSheetId="32" name="Interest_Rate" vbProcedure="false">'C23 Mortgage protection'!$G$15</definedName>
    <definedName function="false" hidden="false" localSheetId="32" name="Interest_Rate_Entry" vbProcedure="false">'C23 Mortgage protection'!$C$15</definedName>
    <definedName function="false" hidden="false" localSheetId="32" name="Monthly_Rate" vbProcedure="false">'C23 Mortgage protection'!$C$32</definedName>
    <definedName function="false" hidden="false" localSheetId="32" name="Mortgage_Balance" vbProcedure="false">'C23 Mortgage protection'!$G$14</definedName>
    <definedName function="false" hidden="false" localSheetId="32" name="Mortgage_Balance_Entry" vbProcedure="false">'C23 Mortgage protection'!$C$14</definedName>
    <definedName function="false" hidden="false" localSheetId="32" name="Need_1" vbProcedure="false">'C23 Mortgage protection'!$C$44</definedName>
    <definedName function="false" hidden="false" localSheetId="32" name="Need_2" vbProcedure="false">'C23 Mortgage protection'!$C$45</definedName>
    <definedName function="false" hidden="false" localSheetId="32" name="Need_3" vbProcedure="false">'C23 Mortgage protection'!$C$46</definedName>
    <definedName function="false" hidden="false" localSheetId="32" name="Plan_Goal_Kind" vbProcedure="false">'C23 Mortgage protection'!$C$41</definedName>
    <definedName function="false" hidden="false" localSheetId="32" name="Repayment" vbProcedure="false">'C23 Mortgage protection'!$C$33</definedName>
    <definedName function="false" hidden="false" localSheetId="32" name="Statement_Check" vbProcedure="false">'C23 Mortgage protection'!$C$24</definedName>
    <definedName function="false" hidden="false" localSheetId="32" name="Stmt_Balance" vbProcedure="false">'C23 Mortgage protection'!$C$7</definedName>
    <definedName function="false" hidden="false" localSheetId="32" name="Stmt_Rate" vbProcedure="false">'C23 Mortgage protection'!$C$8</definedName>
    <definedName function="false" hidden="false" localSheetId="32" name="Stmt_Repayment" vbProcedure="false">'C23 Mortgage protection'!$C$10</definedName>
    <definedName function="false" hidden="false" localSheetId="32" name="Stmt_Statement_Date" vbProcedure="false">'C23 Mortgage protection'!$C$11</definedName>
    <definedName function="false" hidden="false" localSheetId="32" name="Stmt_Term" vbProcedure="false">'C23 Mortgage protection'!$C$9</definedName>
    <definedName function="false" hidden="false" localSheetId="32" name="Used_Actual_Repayment" vbProcedure="false">'C23 Mortgage protection'!$C$23</definedName>
    <definedName function="false" hidden="false" localSheetId="32" name="Used_Interest_Rate" vbProcedure="false">'C23 Mortgage protection'!$C$21</definedName>
    <definedName function="false" hidden="false" localSheetId="32" name="Used_Mortgage_Balance" vbProcedure="false">'C23 Mortgage protection'!$C$20</definedName>
    <definedName function="false" hidden="false" localSheetId="32" name="Used_Years_Left" vbProcedure="false">'C23 Mortgage protection'!$C$22</definedName>
    <definedName function="false" hidden="false" localSheetId="32" name="Warning" vbProcedure="false">'C23 Mortgage protection'!$C$28</definedName>
    <definedName function="false" hidden="false" localSheetId="32" name="Years_Left" vbProcedure="false">'C23 Mortgage protection'!$G$16</definedName>
    <definedName function="false" hidden="false" localSheetId="32" name="Years_Left_Entry" vbProcedure="false">'C23 Mortgage protection'!$C$16</definedName>
    <definedName function="false" hidden="false" localSheetId="33" name="Investments" vbProcedure="false">'C24 Net worth'!$G$14</definedName>
    <definedName function="false" hidden="false" localSheetId="33" name="Investments_Entry" vbProcedure="false">'C24 Net worth'!$C$14</definedName>
    <definedName function="false" hidden="false" localSheetId="33" name="Mortgage" vbProcedure="false">'C24 Net worth'!$G$17</definedName>
    <definedName function="false" hidden="false" localSheetId="33" name="Mortgage_Entry" vbProcedure="false">'C24 Net worth'!$C$17</definedName>
    <definedName function="false" hidden="false" localSheetId="33" name="Need_1" vbProcedure="false">'C24 Net worth'!$C$40</definedName>
    <definedName function="false" hidden="false" localSheetId="33" name="Need_2" vbProcedure="false">'C24 Net worth'!$C$41</definedName>
    <definedName function="false" hidden="false" localSheetId="33" name="Need_3" vbProcedure="false">'C24 Net worth'!$C$42</definedName>
    <definedName function="false" hidden="false" localSheetId="33" name="Net_Worth" vbProcedure="false">'C24 Net worth'!$C$27</definedName>
    <definedName function="false" hidden="false" localSheetId="33" name="Other_Loans" vbProcedure="false">'C24 Net worth'!$G$18</definedName>
    <definedName function="false" hidden="false" localSheetId="33" name="Other_Loans_Entry" vbProcedure="false">'C24 Net worth'!$C$18</definedName>
    <definedName function="false" hidden="false" localSheetId="33" name="Pensions" vbProcedure="false">'C24 Net worth'!$G$15</definedName>
    <definedName function="false" hidden="false" localSheetId="33" name="Pensions_Entry" vbProcedure="false">'C24 Net worth'!$C$15</definedName>
    <definedName function="false" hidden="false" localSheetId="33" name="Plan_Goal_Kind" vbProcedure="false">'C24 Net worth'!$C$37</definedName>
    <definedName function="false" hidden="false" localSheetId="33" name="Property" vbProcedure="false">'C24 Net worth'!$G$16</definedName>
    <definedName function="false" hidden="false" localSheetId="33" name="Property_Entry" vbProcedure="false">'C24 Net worth'!$C$16</definedName>
    <definedName function="false" hidden="false" localSheetId="33" name="Savings" vbProcedure="false">'C24 Net worth'!$G$13</definedName>
    <definedName function="false" hidden="false" localSheetId="33" name="Savings_Entry" vbProcedure="false">'C24 Net worth'!$C$13</definedName>
    <definedName function="false" hidden="false" localSheetId="33" name="Stmt_Investment_Value" vbProcedure="false">'C24 Net worth'!$C$10</definedName>
    <definedName function="false" hidden="false" localSheetId="33" name="Stmt_Mortgage_Balance" vbProcedure="false">'C24 Net worth'!$C$7</definedName>
    <definedName function="false" hidden="false" localSheetId="33" name="Stmt_Pension_Value" vbProcedure="false">'C24 Net worth'!$C$9</definedName>
    <definedName function="false" hidden="false" localSheetId="33" name="Stmt_Property_Value" vbProcedure="false">'C24 Net worth'!$C$8</definedName>
    <definedName function="false" hidden="false" localSheetId="33" name="Used_Investments" vbProcedure="false">'C24 Net worth'!$C$24</definedName>
    <definedName function="false" hidden="false" localSheetId="33" name="Used_Mortgage" vbProcedure="false">'C24 Net worth'!$C$21</definedName>
    <definedName function="false" hidden="false" localSheetId="33" name="Used_Pensions" vbProcedure="false">'C24 Net worth'!$C$23</definedName>
    <definedName function="false" hidden="false" localSheetId="33" name="Used_Property" vbProcedure="false">'C24 Net worth'!$C$22</definedName>
    <definedName function="false" hidden="false" localSheetId="33" name="You_Owe" vbProcedure="false">'C24 Net worth'!$C$29</definedName>
    <definedName function="false" hidden="false" localSheetId="33" name="You_Own" vbProcedure="false">'C24 Net worth'!$C$28</definedName>
    <definedName function="false" hidden="false" localSheetId="34" name="Debt_Repayments" vbProcedure="false">'C25 Monthly surplus'!$G$9</definedName>
    <definedName function="false" hidden="false" localSheetId="34" name="Debt_Repayments_Entry" vbProcedure="false">'C25 Monthly surplus'!$C$9</definedName>
    <definedName function="false" hidden="false" localSheetId="34" name="Essentials" vbProcedure="false">'C25 Monthly surplus'!$G$7</definedName>
    <definedName function="false" hidden="false" localSheetId="34" name="Essentials_Entry" vbProcedure="false">'C25 Monthly surplus'!$C$7</definedName>
    <definedName function="false" hidden="false" localSheetId="34" name="Going_Out" vbProcedure="false">'C25 Monthly surplus'!$C$16</definedName>
    <definedName function="false" hidden="false" localSheetId="34" name="Lifestyle" vbProcedure="false">'C25 Monthly surplus'!$G$8</definedName>
    <definedName function="false" hidden="false" localSheetId="34" name="Lifestyle_Entry" vbProcedure="false">'C25 Monthly surplus'!$C$8</definedName>
    <definedName function="false" hidden="false" localSheetId="34" name="Need_1" vbProcedure="false">'C25 Monthly surplus'!$C$29</definedName>
    <definedName function="false" hidden="false" localSheetId="34" name="Need_2" vbProcedure="false">'C25 Monthly surplus'!$C$30</definedName>
    <definedName function="false" hidden="false" localSheetId="34" name="Plan_Goal_Amount" vbProcedure="false">'C25 Monthly surplus'!$C$25</definedName>
    <definedName function="false" hidden="false" localSheetId="34" name="Plan_Goal_Kind" vbProcedure="false">'C25 Monthly surplus'!$C$24</definedName>
    <definedName function="false" hidden="false" localSheetId="34" name="Plan_Goal_Years" vbProcedure="false">'C25 Monthly surplus'!$C$26</definedName>
    <definedName function="false" hidden="false" localSheetId="34" name="Surplus" vbProcedure="false">'C25 Monthly surplus'!$C$15</definedName>
    <definedName function="false" hidden="false" localSheetId="34" name="Take_Home" vbProcedure="false">'C25 Monthly surplus'!$G$6</definedName>
    <definedName function="false" hidden="false" localSheetId="34" name="Take_Home_Entry" vbProcedure="false">'C25 Monthly surplus'!$C$6</definedName>
    <definedName function="false" hidden="false" localSheetId="34" name="Used_Take_Home" vbProcedure="false">'C25 Monthly surplus'!$C$12</definedName>
    <definedName function="false" hidden="false" localSheetId="35" name="Budget_Needs" vbProcedure="false">'C26 Budget 50 30 20'!$G$7</definedName>
    <definedName function="false" hidden="false" localSheetId="35" name="Budget_Needs_Entry" vbProcedure="false">'C26 Budget 50 30 20'!$C$7</definedName>
    <definedName function="false" hidden="false" localSheetId="35" name="Budget_Save" vbProcedure="false">'C26 Budget 50 30 20'!$G$9</definedName>
    <definedName function="false" hidden="false" localSheetId="35" name="Budget_Save_Entry" vbProcedure="false">'C26 Budget 50 30 20'!$C$9</definedName>
    <definedName function="false" hidden="false" localSheetId="35" name="Budget_Wants" vbProcedure="false">'C26 Budget 50 30 20'!$G$8</definedName>
    <definedName function="false" hidden="false" localSheetId="35" name="Budget_Wants_Entry" vbProcedure="false">'C26 Budget 50 30 20'!$C$8</definedName>
    <definedName function="false" hidden="false" localSheetId="35" name="Needs" vbProcedure="false">'C26 Budget 50 30 20'!$C$17</definedName>
    <definedName function="false" hidden="false" localSheetId="35" name="Need_1" vbProcedure="false">'C26 Budget 50 30 20'!$C$29</definedName>
    <definedName function="false" hidden="false" localSheetId="35" name="Need_2" vbProcedure="false">'C26 Budget 50 30 20'!$C$30</definedName>
    <definedName function="false" hidden="false" localSheetId="35" name="Need_3" vbProcedure="false">'C26 Budget 50 30 20'!$C$31</definedName>
    <definedName function="false" hidden="false" localSheetId="35" name="Need_4" vbProcedure="false">'C26 Budget 50 30 20'!$C$32</definedName>
    <definedName function="false" hidden="false" localSheetId="35" name="Plan_Goal_Kind" vbProcedure="false">'C26 Budget 50 30 20'!$C$26</definedName>
    <definedName function="false" hidden="false" localSheetId="35" name="Save" vbProcedure="false">'C26 Budget 50 30 20'!$C$16</definedName>
    <definedName function="false" hidden="false" localSheetId="35" name="Split_Check" vbProcedure="false">'C26 Budget 50 30 20'!$C$15</definedName>
    <definedName function="false" hidden="false" localSheetId="35" name="Take_Home" vbProcedure="false">'C26 Budget 50 30 20'!$G$6</definedName>
    <definedName function="false" hidden="false" localSheetId="35" name="Take_Home_Entry" vbProcedure="false">'C26 Budget 50 30 20'!$C$6</definedName>
    <definedName function="false" hidden="false" localSheetId="35" name="Used_Take_Home" vbProcedure="false">'C26 Budget 50 30 20'!$C$12</definedName>
    <definedName function="false" hidden="false" localSheetId="35" name="Wants" vbProcedure="false">'C26 Budget 50 30 20'!$C$18</definedName>
    <definedName function="false" hidden="false" localSheetId="36" name="APR" vbProcedure="false">'C27 Debt repayment'!$G$7</definedName>
    <definedName function="false" hidden="false" localSheetId="36" name="APR_Entry" vbProcedure="false">'C27 Debt repayment'!$C$7</definedName>
    <definedName function="false" hidden="false" localSheetId="36" name="Balance" vbProcedure="false">'C27 Debt repayment'!$G$6</definedName>
    <definedName function="false" hidden="false" localSheetId="36" name="Balance_Entry" vbProcedure="false">'C27 Debt repayment'!$C$6</definedName>
    <definedName function="false" hidden="false" localSheetId="36" name="Extra_Payment" vbProcedure="false">'C27 Debt repayment'!$G$9</definedName>
    <definedName function="false" hidden="false" localSheetId="36" name="Extra_Payment_Entry" vbProcedure="false">'C27 Debt repayment'!$C$9</definedName>
    <definedName function="false" hidden="false" localSheetId="36" name="Final_Payment" vbProcedure="false">'C27 Debt repayment'!$C$16</definedName>
    <definedName function="false" hidden="false" localSheetId="36" name="Monthly_Payment" vbProcedure="false">'C27 Debt repayment'!$G$8</definedName>
    <definedName function="false" hidden="false" localSheetId="36" name="Monthly_Payment_Entry" vbProcedure="false">'C27 Debt repayment'!$C$8</definedName>
    <definedName function="false" hidden="false" localSheetId="36" name="Monthly_Rate" vbProcedure="false">'C27 Debt repayment'!$C$14</definedName>
    <definedName function="false" hidden="false" localSheetId="36" name="Months_To_Clear" vbProcedure="false">'C27 Debt repayment'!$C$12</definedName>
    <definedName function="false" hidden="false" localSheetId="36" name="Need_1" vbProcedure="false">'C27 Debt repayment'!$C$32</definedName>
    <definedName function="false" hidden="false" localSheetId="36" name="Need_2" vbProcedure="false">'C27 Debt repayment'!$C$33</definedName>
    <definedName function="false" hidden="false" localSheetId="36" name="Need_3" vbProcedure="false">'C27 Debt repayment'!$C$34</definedName>
    <definedName function="false" hidden="false" localSheetId="36" name="Payment" vbProcedure="false">'C27 Debt repayment'!$C$15</definedName>
    <definedName function="false" hidden="false" localSheetId="36" name="Plan_Goal_Kind" vbProcedure="false">'C27 Debt repayment'!$C$28</definedName>
    <definedName function="false" hidden="false" localSheetId="36" name="Total_Interest" vbProcedure="false">'C27 Debt repayment'!$C$13</definedName>
    <definedName function="false" hidden="false" localSheetId="37" name="APR" vbProcedure="false">'C28 Loan repayment'!$G$7</definedName>
    <definedName function="false" hidden="false" localSheetId="37" name="APR_Entry" vbProcedure="false">'C28 Loan repayment'!$C$7</definedName>
    <definedName function="false" hidden="false" localSheetId="37" name="Loan_Amount" vbProcedure="false">'C28 Loan repayment'!$G$6</definedName>
    <definedName function="false" hidden="false" localSheetId="37" name="Loan_Amount_Entry" vbProcedure="false">'C28 Loan repayment'!$C$6</definedName>
    <definedName function="false" hidden="false" localSheetId="37" name="Monthly_Rate" vbProcedure="false">'C28 Loan repayment'!$C$14</definedName>
    <definedName function="false" hidden="false" localSheetId="37" name="Monthly_Repayment" vbProcedure="false">'C28 Loan repayment'!$C$11</definedName>
    <definedName function="false" hidden="false" localSheetId="37" name="Need_1" vbProcedure="false">'C28 Loan repayment'!$C$26</definedName>
    <definedName function="false" hidden="false" localSheetId="37" name="Need_2" vbProcedure="false">'C28 Loan repayment'!$C$27</definedName>
    <definedName function="false" hidden="false" localSheetId="37" name="Plan_Goal_Kind" vbProcedure="false">'C28 Loan repayment'!$C$23</definedName>
    <definedName function="false" hidden="false" localSheetId="37" name="Total_Interest" vbProcedure="false">'C28 Loan repayment'!$C$12</definedName>
    <definedName function="false" hidden="false" localSheetId="37" name="Total_Repaid" vbProcedure="false">'C28 Loan repayment'!$C$13</definedName>
    <definedName function="false" hidden="false" localSheetId="37" name="Years" vbProcedure="false">'C28 Loan repayment'!$G$8</definedName>
    <definedName function="false" hidden="false" localSheetId="37" name="Years_Entry" vbProcedure="false">'C28 Loan repayment'!$C$8</definedName>
  </definedNames>
  <calcPr iterateCount="100" refMode="A1" iterate="false" iterateDelta="0.0001"/>
  <extLst>
    <ext xmlns:loext="http://schemas.libreoffice.org/" uri="{7626C862-2A13-11E5-B345-FEFF819CDC9F}">
      <loext:extCalcPr stringRefSyntax="ExcelA1"/>
    </ext>
  </extLst>
</workbook>
</file>

<file path=xl/comments11.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Your own figure. In the app it is pre-filled from Your finances: income. Example only: €60,000.</t>
        </r>
      </text>
    </comment>
    <comment ref="C7" authorId="0">
      <text>
        <r>
          <rPr>
            <sz val="10"/>
            <rFont val="Arial"/>
            <family val="2"/>
          </rPr>
          <t xml:space="preserve">Your own figure. In the app it is pre-filled from Your finances: partner's income. Example only: €0.</t>
        </r>
      </text>
    </comment>
    <comment ref="C8" authorId="0">
      <text>
        <r>
          <rPr>
            <sz val="10"/>
            <rFont val="Arial"/>
            <family val="2"/>
          </rPr>
          <t xml:space="preserve">Your own figure. In the app it is pre-filled from Plan: home goal's amount saved. Example only: €25,000.</t>
        </r>
      </text>
    </comment>
    <comment ref="C9" authorId="0">
      <text>
        <r>
          <rPr>
            <sz val="10"/>
            <rFont val="Arial"/>
            <family val="2"/>
          </rPr>
          <t xml:space="preserve">Your own figure. In the app it is pre-filled from Your finances: home status (owner = No). Example only: Yes.</t>
        </r>
      </text>
    </comment>
    <comment ref="C10" authorId="0">
      <text>
        <r>
          <rPr>
            <sz val="10"/>
            <rFont val="Arial"/>
            <family val="2"/>
          </rPr>
          <t xml:space="preserve">Your own mortgage rate: your statement shows it. Typing it is fine; no upload needed. A suggested rate and its source are shown beside this cell (Partner rates, Assumptions sheet).</t>
        </r>
      </text>
    </comment>
    <comment ref="C11" authorId="0">
      <text>
        <r>
          <rPr>
            <sz val="10"/>
            <rFont val="Arial"/>
            <family val="2"/>
          </rPr>
          <t xml:space="preserve">Your own figure. Example only: 30.</t>
        </r>
      </text>
    </comment>
    <comment ref="C12" authorId="0">
      <text>
        <r>
          <rPr>
            <sz val="10"/>
            <rFont val="Arial"/>
            <family val="2"/>
          </rPr>
          <t xml:space="preserve">Optional: your own legal and survey fees. No published figure, so no suggestion unless a partner sets one. Leave blank to count €0.</t>
        </r>
      </text>
    </comment>
    <comment ref="C13" authorId="0">
      <text>
        <r>
          <rPr>
            <sz val="10"/>
            <rFont val="Arial"/>
            <family val="2"/>
          </rPr>
          <t xml:space="preserve">Your own figure. Example only: 3.</t>
        </r>
      </text>
    </comment>
    <comment ref="C14" authorId="0">
      <text>
        <r>
          <rPr>
            <sz val="10"/>
            <rFont val="Arial"/>
            <family val="2"/>
          </rPr>
          <t xml:space="preserve">Optional: leave blank for none. Example only: €0.</t>
        </r>
      </text>
    </comment>
  </commentList>
</comments>
</file>

<file path=xl/comments12.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Mortgage statement: "Outstanding balance" / "Balance outstanding" / "Amount outstanding" / "Closing balance". Blank = not on the statement / no statement.</t>
        </r>
      </text>
    </comment>
    <comment ref="C8" authorId="0">
      <text>
        <r>
          <rPr>
            <sz val="10"/>
            <rFont val="Arial"/>
            <family val="2"/>
          </rPr>
          <t xml:space="preserve">Filled by the document reader from: Mortgage statement: "Interest rate" / "Current rate" / "Rate applied" / "Variable rate" / "Fixed rate". Blank = not on the statement / no statement.</t>
        </r>
      </text>
    </comment>
    <comment ref="C9" authorId="0">
      <text>
        <r>
          <rPr>
            <sz val="10"/>
            <rFont val="Arial"/>
            <family val="2"/>
          </rPr>
          <t xml:space="preserve">Filled by the document reader from: Mortgage statement: "Remaining term" / "Term remaining" / "Years remaining" (convert months to years). Blank = not on the statement / no statement.</t>
        </r>
      </text>
    </comment>
    <comment ref="C10" authorId="0">
      <text>
        <r>
          <rPr>
            <sz val="10"/>
            <rFont val="Arial"/>
            <family val="2"/>
          </rPr>
          <t xml:space="preserve">Filled by the document reader from: Mortgage statement: "Monthly repayment" / "Monthly instalment" / "Repayment amount". Blank = not on the statement / no statement.</t>
        </r>
      </text>
    </comment>
    <comment ref="C11" authorId="0">
      <text>
        <r>
          <rPr>
            <sz val="10"/>
            <rFont val="Arial"/>
            <family val="2"/>
          </rPr>
          <t xml:space="preserve">Filled by the document reader from: The statement: "Statement date" / "Statement period to" / "Valuation date" / "As at". Blank = not on the statement / no statement.</t>
        </r>
      </text>
    </comment>
    <comment ref="C14" authorId="0">
      <text>
        <r>
          <rPr>
            <sz val="10"/>
            <rFont val="Arial"/>
            <family val="2"/>
          </rPr>
          <t xml:space="preserve">Your own figure. In the app it is pre-filled from Your finances / mortgage statement: balance. Example only: €300,000.</t>
        </r>
      </text>
    </comment>
    <comment ref="C15" authorId="0">
      <text>
        <r>
          <rPr>
            <sz val="10"/>
            <rFont val="Arial"/>
            <family val="2"/>
          </rPr>
          <t xml:space="preserve">Your own mortgage rate: your statement shows it. Typing it is fine; no upload needed. A suggested rate and its source are shown beside this cell (Partner rates, Assumptions sheet).</t>
        </r>
      </text>
    </comment>
    <comment ref="C16" authorId="0">
      <text>
        <r>
          <rPr>
            <sz val="10"/>
            <rFont val="Arial"/>
            <family val="2"/>
          </rPr>
          <t xml:space="preserve">Your own figure. In the app it is pre-filled from Years left (25 if not given). Example only: 30.</t>
        </r>
      </text>
    </comment>
    <comment ref="C17" authorId="0">
      <text>
        <r>
          <rPr>
            <sz val="10"/>
            <rFont val="Arial"/>
            <family val="2"/>
          </rPr>
          <t xml:space="preserve">Optional: leave blank for none. Example only: €0.</t>
        </r>
      </text>
    </comment>
    <comment ref="C18" authorId="0">
      <text>
        <r>
          <rPr>
            <sz val="10"/>
            <rFont val="Arial"/>
            <family val="2"/>
          </rPr>
          <t xml:space="preserve">Your own figure. Example only: 3.</t>
        </r>
      </text>
    </comment>
    <comment ref="C19" authorId="0">
      <text>
        <r>
          <rPr>
            <sz val="10"/>
            <rFont val="Arial"/>
            <family val="2"/>
          </rPr>
          <t xml:space="preserve">Optional: leave blank for none. Example only: 0%.</t>
        </r>
      </text>
    </comment>
  </commentList>
</comments>
</file>

<file path=xl/comments13.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Your own figure. Example only: €350,000.</t>
        </r>
      </text>
    </comment>
    <comment ref="C7" authorId="0">
      <text>
        <r>
          <rPr>
            <sz val="10"/>
            <rFont val="Arial"/>
            <family val="2"/>
          </rPr>
          <t xml:space="preserve">Your own figure. Example only: 10%.</t>
        </r>
      </text>
    </comment>
    <comment ref="C8" authorId="0">
      <text>
        <r>
          <rPr>
            <sz val="10"/>
            <rFont val="Arial"/>
            <family val="2"/>
          </rPr>
          <t xml:space="preserve">Optional: your own legal and survey fees. No published figure, so no suggestion unless a partner sets one. Leave blank to count €0.</t>
        </r>
      </text>
    </comment>
    <comment ref="C9" authorId="0">
      <text>
        <r>
          <rPr>
            <sz val="10"/>
            <rFont val="Arial"/>
            <family val="2"/>
          </rPr>
          <t xml:space="preserve">Your own figure. In the app it is pre-filled from Plan: home goal's amount saved. Example only: €12,000.</t>
        </r>
      </text>
    </comment>
    <comment ref="C10" authorId="0">
      <text>
        <r>
          <rPr>
            <sz val="10"/>
            <rFont val="Arial"/>
            <family val="2"/>
          </rPr>
          <t xml:space="preserve">Your own figure. Example only: €800.</t>
        </r>
      </text>
    </comment>
    <comment ref="C11" authorId="0">
      <text>
        <r>
          <rPr>
            <sz val="10"/>
            <rFont val="Arial"/>
            <family val="2"/>
          </rPr>
          <t xml:space="preserve">Optional: leave blank for none. Example only: €0.</t>
        </r>
      </text>
    </comment>
  </commentList>
</comments>
</file>

<file path=xl/comments14.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Mortgage statement: "Outstanding balance" / "Balance outstanding" / "Amount outstanding" / "Closing balance". Blank = not on the statement / no statement.</t>
        </r>
      </text>
    </comment>
    <comment ref="C8" authorId="0">
      <text>
        <r>
          <rPr>
            <sz val="10"/>
            <rFont val="Arial"/>
            <family val="2"/>
          </rPr>
          <t xml:space="preserve">Filled by the document reader from: Mortgage statement: "Interest rate" / "Current rate" / "Rate applied" / "Variable rate" / "Fixed rate". Blank = not on the statement / no statement.</t>
        </r>
      </text>
    </comment>
    <comment ref="C9" authorId="0">
      <text>
        <r>
          <rPr>
            <sz val="10"/>
            <rFont val="Arial"/>
            <family val="2"/>
          </rPr>
          <t xml:space="preserve">Filled by the document reader from: Mortgage statement: "Remaining term" / "Term remaining" / "Years remaining" (convert months to years). Blank = not on the statement / no statement.</t>
        </r>
      </text>
    </comment>
    <comment ref="C10" authorId="0">
      <text>
        <r>
          <rPr>
            <sz val="10"/>
            <rFont val="Arial"/>
            <family val="2"/>
          </rPr>
          <t xml:space="preserve">Filled by the document reader from: Mortgage statement: "Monthly repayment" / "Monthly instalment" / "Repayment amount". Blank = not on the statement / no statement.</t>
        </r>
      </text>
    </comment>
    <comment ref="C11" authorId="0">
      <text>
        <r>
          <rPr>
            <sz val="10"/>
            <rFont val="Arial"/>
            <family val="2"/>
          </rPr>
          <t xml:space="preserve">Filled by the document reader from: The statement: "Statement date" / "Statement period to" / "Valuation date" / "As at". Blank = not on the statement / no statement.</t>
        </r>
      </text>
    </comment>
    <comment ref="C14" authorId="0">
      <text>
        <r>
          <rPr>
            <sz val="10"/>
            <rFont val="Arial"/>
            <family val="2"/>
          </rPr>
          <t xml:space="preserve">Your own figure. In the app it is pre-filled from Your finances / statement: balance. Example only: €250,000.</t>
        </r>
      </text>
    </comment>
    <comment ref="C15" authorId="0">
      <text>
        <r>
          <rPr>
            <sz val="10"/>
            <rFont val="Arial"/>
            <family val="2"/>
          </rPr>
          <t xml:space="preserve">Your own mortgage rate: your statement shows it. Typing it is fine; no upload needed. A suggested rate and its source are shown beside this cell (Partner rates, Assumptions sheet).</t>
        </r>
      </text>
    </comment>
    <comment ref="C16" authorId="0">
      <text>
        <r>
          <rPr>
            <sz val="10"/>
            <rFont val="Arial"/>
            <family val="2"/>
          </rPr>
          <t xml:space="preserve">Your own figure. In the app it is pre-filled from Years left (25 if not given). Example only: 25.</t>
        </r>
      </text>
    </comment>
    <comment ref="C17" authorId="0">
      <text>
        <r>
          <rPr>
            <sz val="10"/>
            <rFont val="Arial"/>
            <family val="2"/>
          </rPr>
          <t xml:space="preserve">Your own figure. Example only: €200.</t>
        </r>
      </text>
    </comment>
    <comment ref="C18" authorId="0">
      <text>
        <r>
          <rPr>
            <sz val="10"/>
            <rFont val="Arial"/>
            <family val="2"/>
          </rPr>
          <t xml:space="preserve">Optional: leave blank for none. Example only: €0.</t>
        </r>
      </text>
    </comment>
  </commentList>
</comments>
</file>

<file path=xl/comments15.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Mortgage statement: "Outstanding balance" / "Balance outstanding" / "Amount outstanding" / "Closing balance". Blank = not on the statement / no statement.</t>
        </r>
      </text>
    </comment>
    <comment ref="C8" authorId="0">
      <text>
        <r>
          <rPr>
            <sz val="10"/>
            <rFont val="Arial"/>
            <family val="2"/>
          </rPr>
          <t xml:space="preserve">Filled by the document reader from: Mortgage statement: "Interest rate" / "Current rate" / "Rate applied" / "Variable rate" / "Fixed rate". Blank = not on the statement / no statement.</t>
        </r>
      </text>
    </comment>
    <comment ref="C9" authorId="0">
      <text>
        <r>
          <rPr>
            <sz val="10"/>
            <rFont val="Arial"/>
            <family val="2"/>
          </rPr>
          <t xml:space="preserve">Filled by the document reader from: Mortgage statement: "Remaining term" / "Term remaining" / "Years remaining" (convert months to years). Blank = not on the statement / no statement.</t>
        </r>
      </text>
    </comment>
    <comment ref="C10" authorId="0">
      <text>
        <r>
          <rPr>
            <sz val="10"/>
            <rFont val="Arial"/>
            <family val="2"/>
          </rPr>
          <t xml:space="preserve">Filled by the document reader from: Mortgage statement: "Monthly repayment" / "Monthly instalment" / "Repayment amount". Blank = not on the statement / no statement.</t>
        </r>
      </text>
    </comment>
    <comment ref="C11" authorId="0">
      <text>
        <r>
          <rPr>
            <sz val="10"/>
            <rFont val="Arial"/>
            <family val="2"/>
          </rPr>
          <t xml:space="preserve">Filled by the document reader from: The statement: "Statement date" / "Statement period to" / "Valuation date" / "As at". Blank = not on the statement / no statement.</t>
        </r>
      </text>
    </comment>
    <comment ref="C14" authorId="0">
      <text>
        <r>
          <rPr>
            <sz val="10"/>
            <rFont val="Arial"/>
            <family val="2"/>
          </rPr>
          <t xml:space="preserve">Your own figure. In the app it is pre-filled from Your finances / statement: balance. Example only: €300,000.</t>
        </r>
      </text>
    </comment>
    <comment ref="C15" authorId="0">
      <text>
        <r>
          <rPr>
            <sz val="10"/>
            <rFont val="Arial"/>
            <family val="2"/>
          </rPr>
          <t xml:space="preserve">Your own mortgage rate: your statement shows it. Typing it is fine; no upload needed. A suggested rate and its source are shown beside this cell (Partner rates, Assumptions sheet).</t>
        </r>
      </text>
    </comment>
    <comment ref="C16" authorId="0">
      <text>
        <r>
          <rPr>
            <sz val="10"/>
            <rFont val="Arial"/>
            <family val="2"/>
          </rPr>
          <t xml:space="preserve">Your own figure. In the app it is pre-filled from Years left (25 if not given). Example only: 25.</t>
        </r>
      </text>
    </comment>
    <comment ref="C17" authorId="0">
      <text>
        <r>
          <rPr>
            <sz val="10"/>
            <rFont val="Arial"/>
            <family val="2"/>
          </rPr>
          <t xml:space="preserve">Your own figure. Example only: 1%.</t>
        </r>
      </text>
    </comment>
    <comment ref="C18" authorId="0">
      <text>
        <r>
          <rPr>
            <sz val="10"/>
            <rFont val="Arial"/>
            <family val="2"/>
          </rPr>
          <t xml:space="preserve">Optional: leave blank for none. Example only: €0.</t>
        </r>
      </text>
    </comment>
  </commentList>
</comments>
</file>

<file path=xl/comments16.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Mortgage statement: "Outstanding balance" / "Balance outstanding" / "Amount outstanding" / "Closing balance". Blank = not on the statement / no statement.</t>
        </r>
      </text>
    </comment>
    <comment ref="C8" authorId="0">
      <text>
        <r>
          <rPr>
            <sz val="10"/>
            <rFont val="Arial"/>
            <family val="2"/>
          </rPr>
          <t xml:space="preserve">Filled by the document reader from: Mortgage statement: "Interest rate" / "Current rate" / "Rate applied" / "Variable rate" / "Fixed rate". Blank = not on the statement / no statement.</t>
        </r>
      </text>
    </comment>
    <comment ref="C9" authorId="0">
      <text>
        <r>
          <rPr>
            <sz val="10"/>
            <rFont val="Arial"/>
            <family val="2"/>
          </rPr>
          <t xml:space="preserve">Filled by the document reader from: Mortgage statement: "Remaining term" / "Term remaining" / "Years remaining" (convert months to years). Blank = not on the statement / no statement.</t>
        </r>
      </text>
    </comment>
    <comment ref="C10" authorId="0">
      <text>
        <r>
          <rPr>
            <sz val="10"/>
            <rFont val="Arial"/>
            <family val="2"/>
          </rPr>
          <t xml:space="preserve">Filled by the document reader from: The statement: "Statement date" / "Statement period to" / "Valuation date" / "As at". Blank = not on the statement / no statement.</t>
        </r>
      </text>
    </comment>
    <comment ref="C13" authorId="0">
      <text>
        <r>
          <rPr>
            <sz val="10"/>
            <rFont val="Arial"/>
            <family val="2"/>
          </rPr>
          <t xml:space="preserve">Your own figure. In the app it is pre-filled from Your finances / statement: balance. Example only: €300,000.</t>
        </r>
      </text>
    </comment>
    <comment ref="C14" authorId="0">
      <text>
        <r>
          <rPr>
            <sz val="10"/>
            <rFont val="Arial"/>
            <family val="2"/>
          </rPr>
          <t xml:space="preserve">Your own mortgage rate: your statement shows it. Typing it is fine; no upload needed. A suggested rate and its source are shown beside this cell (Partner rates, Assumptions sheet).</t>
        </r>
      </text>
    </comment>
    <comment ref="C15" authorId="0">
      <text>
        <r>
          <rPr>
            <sz val="10"/>
            <rFont val="Arial"/>
            <family val="2"/>
          </rPr>
          <t xml:space="preserve">Your own figure. In the app it is pre-filled from Years left (25 if not given). Example only: 25.</t>
        </r>
      </text>
    </comment>
    <comment ref="C16" authorId="0">
      <text>
        <r>
          <rPr>
            <sz val="10"/>
            <rFont val="Arial"/>
            <family val="2"/>
          </rPr>
          <t xml:space="preserve">Your own figure. Example only: 35.</t>
        </r>
      </text>
    </comment>
  </commentList>
</comments>
</file>

<file path=xl/comments17.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Your own figure. Example only: €1,800.</t>
        </r>
      </text>
    </comment>
    <comment ref="C7" authorId="0">
      <text>
        <r>
          <rPr>
            <sz val="10"/>
            <rFont val="Arial"/>
            <family val="2"/>
          </rPr>
          <t xml:space="preserve">Your own figure. Example only: €350,000.</t>
        </r>
      </text>
    </comment>
    <comment ref="C8" authorId="0">
      <text>
        <r>
          <rPr>
            <sz val="10"/>
            <rFont val="Arial"/>
            <family val="2"/>
          </rPr>
          <t xml:space="preserve">Your own figure. Example only: €35,000.</t>
        </r>
      </text>
    </comment>
    <comment ref="C9" authorId="0">
      <text>
        <r>
          <rPr>
            <sz val="10"/>
            <rFont val="Arial"/>
            <family val="2"/>
          </rPr>
          <t xml:space="preserve">Your own mortgage rate: your statement shows it. Typing it is fine; no upload needed. A suggested rate and its source are shown beside this cell (Partner rates, Assumptions sheet).</t>
        </r>
      </text>
    </comment>
    <comment ref="C10" authorId="0">
      <text>
        <r>
          <rPr>
            <sz val="10"/>
            <rFont val="Arial"/>
            <family val="2"/>
          </rPr>
          <t xml:space="preserve">Your own figure. Example only: 30.</t>
        </r>
      </text>
    </comment>
    <comment ref="C11" authorId="0">
      <text>
        <r>
          <rPr>
            <sz val="10"/>
            <rFont val="Arial"/>
            <family val="2"/>
          </rPr>
          <t xml:space="preserve">Your own figure. Example only: 10.</t>
        </r>
      </text>
    </comment>
    <comment ref="C12" authorId="0">
      <text>
        <r>
          <rPr>
            <sz val="10"/>
            <rFont val="Arial"/>
            <family val="2"/>
          </rPr>
          <t xml:space="preserve">Generally the standard is 2% a year, in line with long-run inflation (house prices can fall as well as rise). Choose what you want to use. Example only: 2%.</t>
        </r>
      </text>
    </comment>
    <comment ref="C13" authorId="0">
      <text>
        <r>
          <rPr>
            <sz val="10"/>
            <rFont val="Arial"/>
            <family val="2"/>
          </rPr>
          <t xml:space="preserve">Generally the standard is 3% a year (Irish rents have risen faster than prices in recent years). Choose what you want to use. Example only: 3%.</t>
        </r>
      </text>
    </comment>
    <comment ref="C14" authorId="0">
      <text>
        <r>
          <rPr>
            <sz val="10"/>
            <rFont val="Arial"/>
            <family val="2"/>
          </rPr>
          <t xml:space="preserve">Generally the standard is 1% of the home's value a year for repairs, insurance and maintenance. Choose what you want to use. Example only: 1%.</t>
        </r>
      </text>
    </comment>
    <comment ref="C15" authorId="0">
      <text>
        <r>
          <rPr>
            <sz val="10"/>
            <rFont val="Arial"/>
            <family val="2"/>
          </rPr>
          <t xml:space="preserve">Optional: your own legal and survey fees. No published figure, so no suggestion unless a partner sets one. Leave blank to count €0.</t>
        </r>
      </text>
    </comment>
    <comment ref="C16" authorId="0">
      <text>
        <r>
          <rPr>
            <sz val="10"/>
            <rFont val="Arial"/>
            <family val="2"/>
          </rPr>
          <t xml:space="preserve">Optional: what your deposit could earn after DIRT if you rent. A suggested rate and its source are shown beside this cell (Partner rates, Assumptions sheet). Leave blank for 0%.</t>
        </r>
      </text>
    </comment>
    <comment ref="C17" authorId="0">
      <text>
        <r>
          <rPr>
            <sz val="10"/>
            <rFont val="Arial"/>
            <family val="2"/>
          </rPr>
          <t xml:space="preserve">Your own figure. Example only: 3.</t>
        </r>
      </text>
    </comment>
  </commentList>
</comments>
</file>

<file path=xl/comments18.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0" authorId="0">
      <text>
        <r>
          <rPr>
            <sz val="10"/>
            <rFont val="Arial"/>
            <family val="2"/>
          </rPr>
          <t xml:space="preserve">Your own figure. Example only: €15,000.</t>
        </r>
      </text>
    </comment>
    <comment ref="C11" authorId="0">
      <text>
        <r>
          <rPr>
            <sz val="10"/>
            <rFont val="Arial"/>
            <family val="2"/>
          </rPr>
          <t xml:space="preserve">Your own figure. Example only: 3.</t>
        </r>
      </text>
    </comment>
    <comment ref="C12" authorId="0">
      <text>
        <r>
          <rPr>
            <sz val="10"/>
            <rFont val="Arial"/>
            <family val="2"/>
          </rPr>
          <t xml:space="preserve">Your own figure. Example only: €2,000.</t>
        </r>
      </text>
    </comment>
    <comment ref="C13" authorId="0">
      <text>
        <r>
          <rPr>
            <sz val="10"/>
            <rFont val="Arial"/>
            <family val="2"/>
          </rPr>
          <t xml:space="preserve">Generally the standard is 1% a year after DIRT for cash savings (Irish fixed-term deposits about 2% before tax in mid-2026). Choose what you want to use. Example only: 1%.</t>
        </r>
      </text>
    </comment>
  </commentList>
</comments>
</file>

<file path=xl/comments19.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0" authorId="0">
      <text>
        <r>
          <rPr>
            <sz val="10"/>
            <rFont val="Arial"/>
            <family val="2"/>
          </rPr>
          <t xml:space="preserve">Your own figure. Example only: €5,000.</t>
        </r>
      </text>
    </comment>
    <comment ref="C11" authorId="0">
      <text>
        <r>
          <rPr>
            <sz val="10"/>
            <rFont val="Arial"/>
            <family val="2"/>
          </rPr>
          <t xml:space="preserve">Your own figure. Example only: €200.</t>
        </r>
      </text>
    </comment>
    <comment ref="C12" authorId="0">
      <text>
        <r>
          <rPr>
            <sz val="10"/>
            <rFont val="Arial"/>
            <family val="2"/>
          </rPr>
          <t xml:space="preserve">Generally the standard is 5% a year before charges and tax for a mixed fund (LifeMap standard, not a forecast). Choose what you want to use. Example only: 5%.</t>
        </r>
      </text>
    </comment>
    <comment ref="C13" authorId="0">
      <text>
        <r>
          <rPr>
            <sz val="10"/>
            <rFont val="Arial"/>
            <family val="2"/>
          </rPr>
          <t xml:space="preserve">Your own figure. Example only: 20.</t>
        </r>
      </text>
    </comment>
  </commentList>
</comments>
</file>

<file path=xl/comments20.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1" authorId="0">
      <text>
        <r>
          <rPr>
            <sz val="10"/>
            <rFont val="Arial"/>
            <family val="2"/>
          </rPr>
          <t xml:space="preserve">Filled by the document reader from: Investment statement: "Total value" / "Portfolio value" / "Valuation" / "Market value" / "Policy value". Blank = not on the statement / no statement.</t>
        </r>
      </text>
    </comment>
    <comment ref="C12" authorId="0">
      <text>
        <r>
          <rPr>
            <sz val="10"/>
            <rFont val="Arial"/>
            <family val="2"/>
          </rPr>
          <t xml:space="preserve">Filled by the document reader from: Investment statement: "Annual management charge (AMC)" / "Ongoing charges figure (OCF)" / "Total annual charges". Blank = not on the statement / no statement.</t>
        </r>
      </text>
    </comment>
    <comment ref="C13" authorId="0">
      <text>
        <r>
          <rPr>
            <sz val="10"/>
            <rFont val="Arial"/>
            <family val="2"/>
          </rPr>
          <t xml:space="preserve">Filled by the document reader from: The statement: "Statement date" / "Statement period to" / "Valuation date" / "As at". Blank = not on the statement / no statement.</t>
        </r>
      </text>
    </comment>
    <comment ref="C16" authorId="0">
      <text>
        <r>
          <rPr>
            <sz val="10"/>
            <rFont val="Arial"/>
            <family val="2"/>
          </rPr>
          <t xml:space="preserve">Your own figure. In the app it is pre-filled from Your finances / statement: investments. Example only: €10,000.</t>
        </r>
      </text>
    </comment>
    <comment ref="C17" authorId="0">
      <text>
        <r>
          <rPr>
            <sz val="10"/>
            <rFont val="Arial"/>
            <family val="2"/>
          </rPr>
          <t xml:space="preserve">Generally the standard is 5% a year before charges and tax for a mixed fund (LifeMap standard, not a forecast). Choose what you want to use. Example only: 5%.</t>
        </r>
      </text>
    </comment>
    <comment ref="C18" authorId="0">
      <text>
        <r>
          <rPr>
            <sz val="10"/>
            <rFont val="Arial"/>
            <family val="2"/>
          </rPr>
          <t xml:space="preserve">Your own figure. Example only: 15.</t>
        </r>
      </text>
    </comment>
    <comment ref="C19" authorId="0">
      <text>
        <r>
          <rPr>
            <sz val="10"/>
            <rFont val="Arial"/>
            <family val="2"/>
          </rPr>
          <t xml:space="preserve">Your own fund charges (your statement shows them). A suggested figure and its source are shown beside this cell (Partner rates, Assumptions sheet). CCPC: usually 0.5%–2% a year.</t>
        </r>
      </text>
    </comment>
    <comment ref="C20" authorId="0">
      <text>
        <r>
          <rPr>
            <sz val="10"/>
            <rFont val="Arial"/>
            <family val="2"/>
          </rPr>
          <t xml:space="preserve">Generally the standard is 5 years (an illustration of the cost of waiting). Choose what you want to use. Example only: 5.</t>
        </r>
      </text>
    </comment>
    <comment ref="C21" authorId="0">
      <text>
        <r>
          <rPr>
            <sz val="10"/>
            <rFont val="Arial"/>
            <family val="2"/>
          </rPr>
          <t xml:space="preserve">Optional: leave blank for none. Example only: No.</t>
        </r>
      </text>
    </comment>
  </commentList>
</comments>
</file>

<file path=xl/comments21.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Your own figure. In the app it is pre-filled from Your finances: costs + mortgage + debt repayments. Example only: €2,500.</t>
        </r>
      </text>
    </comment>
    <comment ref="C7" authorId="0">
      <text>
        <r>
          <rPr>
            <sz val="10"/>
            <rFont val="Arial"/>
            <family val="2"/>
          </rPr>
          <t xml:space="preserve">Generally the standard is 6 months of essential spending (3 if you have two secure incomes). Choose what you want to use. Example only: 6.</t>
        </r>
      </text>
    </comment>
    <comment ref="C8" authorId="0">
      <text>
        <r>
          <rPr>
            <sz val="10"/>
            <rFont val="Arial"/>
            <family val="2"/>
          </rPr>
          <t xml:space="preserve">Your own figure. Example only: 2.</t>
        </r>
      </text>
    </comment>
    <comment ref="C9" authorId="0">
      <text>
        <r>
          <rPr>
            <sz val="10"/>
            <rFont val="Arial"/>
            <family val="2"/>
          </rPr>
          <t xml:space="preserve">Your own figure. In the app it is pre-filled from Your finances: cash. Example only: €6,250.</t>
        </r>
      </text>
    </comment>
  </commentList>
</comments>
</file>

<file path=xl/comments22.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1" authorId="0">
      <text>
        <r>
          <rPr>
            <sz val="10"/>
            <rFont val="Arial"/>
            <family val="2"/>
          </rPr>
          <t xml:space="preserve">Filled by the document reader from: Pension statement: "Current fund value" / "Value of your fund" / "Transfer value" / "Total fund value". Blank = not on the statement / no statement.</t>
        </r>
      </text>
    </comment>
    <comment ref="C12" authorId="0">
      <text>
        <r>
          <rPr>
            <sz val="10"/>
            <rFont val="Arial"/>
            <family val="2"/>
          </rPr>
          <t xml:space="preserve">Filled by the document reader from: Pension statement: "Your contributions" / "Member contributions" / "Employee contributions" (convert yearly to monthly). Blank = not on the statement / no statement.</t>
        </r>
      </text>
    </comment>
    <comment ref="C13" authorId="0">
      <text>
        <r>
          <rPr>
            <sz val="10"/>
            <rFont val="Arial"/>
            <family val="2"/>
          </rPr>
          <t xml:space="preserve">Filled by the document reader from: Pension statement: "Employer contributions" / "Company contributions". Blank = not on the statement / no statement.</t>
        </r>
      </text>
    </comment>
    <comment ref="C14" authorId="0">
      <text>
        <r>
          <rPr>
            <sz val="10"/>
            <rFont val="Arial"/>
            <family val="2"/>
          </rPr>
          <t xml:space="preserve">Filled by the document reader from: Pension statement: "Normal retirement age" / "Normal retirement date" (convert the date to an age). Blank = not on the statement / no statement.</t>
        </r>
      </text>
    </comment>
    <comment ref="C15" authorId="0">
      <text>
        <r>
          <rPr>
            <sz val="10"/>
            <rFont val="Arial"/>
            <family val="2"/>
          </rPr>
          <t xml:space="preserve">Filled by the document reader from: Pension statement / SRP: "Projected fund at normal retirement date" / "Projected retirement fund" / "Estimated fund value at retirement". Blank = not on the statement / no statement.</t>
        </r>
      </text>
    </comment>
    <comment ref="C16" authorId="0">
      <text>
        <r>
          <rPr>
            <sz val="10"/>
            <rFont val="Arial"/>
            <family val="2"/>
          </rPr>
          <t xml:space="preserve">Filled by the document reader from: Pension statement / SRP: wording near the projection such as "in today's terms" / "in today's money" / "adjusted for inflation" (Yes) or "in money terms at retirement" (No). Blank = not on the statement / no statement.</t>
        </r>
      </text>
    </comment>
    <comment ref="C17" authorId="0">
      <text>
        <r>
          <rPr>
            <sz val="10"/>
            <rFont val="Arial"/>
            <family val="2"/>
          </rPr>
          <t xml:space="preserve">Filled by the document reader from: Pension statement: "Annual management charge" / "Total annual charges" / "Fund charges". Blank = not on the statement / no statement.</t>
        </r>
      </text>
    </comment>
    <comment ref="C18" authorId="0">
      <text>
        <r>
          <rPr>
            <sz val="10"/>
            <rFont val="Arial"/>
            <family val="2"/>
          </rPr>
          <t xml:space="preserve">Filled by the document reader from: The statement: "Statement date" / "Statement period to" / "Valuation date" / "As at". Blank = not on the statement / no statement.</t>
        </r>
      </text>
    </comment>
    <comment ref="C21" authorId="0">
      <text>
        <r>
          <rPr>
            <sz val="10"/>
            <rFont val="Arial"/>
            <family val="2"/>
          </rPr>
          <t xml:space="preserve">Your own figure. In the app it is pre-filled from About you: age. Example only: 40.</t>
        </r>
      </text>
    </comment>
    <comment ref="C22" authorId="0">
      <text>
        <r>
          <rPr>
            <sz val="10"/>
            <rFont val="Arial"/>
            <family val="2"/>
          </rPr>
          <t xml:space="preserve">You can usually draw a pension from 60 (some schemes from 50); State Pension is paid from 66. Choose your own: there is no default. Example only: 65.</t>
        </r>
      </text>
    </comment>
    <comment ref="C23" authorId="0">
      <text>
        <r>
          <rPr>
            <sz val="10"/>
            <rFont val="Arial"/>
            <family val="2"/>
          </rPr>
          <t xml:space="preserve">Your own figure. In the app it is pre-filled from Your finances / pension statement. Example only: €60,000.</t>
        </r>
      </text>
    </comment>
    <comment ref="C24" authorId="0">
      <text>
        <r>
          <rPr>
            <sz val="10"/>
            <rFont val="Arial"/>
            <family val="2"/>
          </rPr>
          <t xml:space="preserve">Your own figure. In the app it is pre-filled from Your finances / pension statement. Example only: €500.</t>
        </r>
      </text>
    </comment>
    <comment ref="C25" authorId="0">
      <text>
        <r>
          <rPr>
            <sz val="10"/>
            <rFont val="Arial"/>
            <family val="2"/>
          </rPr>
          <t xml:space="preserve">Your own figure. In the app it is pre-filled from Plan: retirement goal income. Example only: €40,000.</t>
        </r>
      </text>
    </comment>
    <comment ref="C26" authorId="0">
      <text>
        <r>
          <rPr>
            <sz val="10"/>
            <rFont val="Arial"/>
            <family val="2"/>
          </rPr>
          <t xml:space="preserve">Usually between €0 and €15,564 a year: the full State Pension is €299.30 a week (DSP 2026), partial rates are lower and depend on your PRSI record. In the app it is pre-filled from State Pension €15,563.60 × your entitlement (full 1, partly 0.6, not sure 0.8). Enter your own figure. Example only: €15,564.</t>
        </r>
      </text>
    </comment>
    <comment ref="C27" authorId="0">
      <text>
        <r>
          <rPr>
            <sz val="10"/>
            <rFont val="Arial"/>
            <family val="2"/>
          </rPr>
          <t xml:space="preserve">Generally the standard is 4.5% a year after charges while you work (LifeMap Standard set; Cautious 4%). Choose what you want to use. Example only: 4.5%.</t>
        </r>
      </text>
    </comment>
    <comment ref="C28" authorId="0">
      <text>
        <r>
          <rPr>
            <sz val="10"/>
            <rFont val="Arial"/>
            <family val="2"/>
          </rPr>
          <t xml:space="preserve">Generally the standard is 3% a year (Irish pay has grown about 3%–4% a year recently; LifeMap Standard set). Choose what you want to use. Example only: 3%.</t>
        </r>
      </text>
    </comment>
    <comment ref="C29" authorId="0">
      <text>
        <r>
          <rPr>
            <sz val="10"/>
            <rFont val="Arial"/>
            <family val="2"/>
          </rPr>
          <t xml:space="preserve">Generally the standard is 25 times the yearly income you need (about 4% a year). Choose what you want to use. Example only: 25.</t>
        </r>
      </text>
    </comment>
    <comment ref="C30" authorId="0">
      <text>
        <r>
          <rPr>
            <sz val="10"/>
            <rFont val="Arial"/>
            <family val="2"/>
          </rPr>
          <t xml:space="preserve">Your own pension charges (your statement shows them). A suggested figure and its source are shown beside this cell (Partner rates, Assumptions sheet). CCPC: usually 0.5%–2% a year.</t>
        </r>
      </text>
    </comment>
    <comment ref="C31" authorId="0">
      <text>
        <r>
          <rPr>
            <sz val="10"/>
            <rFont val="Arial"/>
            <family val="2"/>
          </rPr>
          <t xml:space="preserve">Generally the standard is 25% of the fund, the most allowed (first €200,000 tax-free, next €300,000 at 20%). Choose what you want to use. Example only: 25%.</t>
        </r>
      </text>
    </comment>
    <comment ref="C32" authorId="0">
      <text>
        <r>
          <rPr>
            <sz val="10"/>
            <rFont val="Arial"/>
            <family val="2"/>
          </rPr>
          <t xml:space="preserve">Optional: leave blank for none. Example only: 0.</t>
        </r>
      </text>
    </comment>
    <comment ref="C33" authorId="0">
      <text>
        <r>
          <rPr>
            <sz val="10"/>
            <rFont val="Arial"/>
            <family val="2"/>
          </rPr>
          <t xml:space="preserve">Optional: leave blank for none. Example only: €0.</t>
        </r>
      </text>
    </comment>
    <comment ref="C34" authorId="0">
      <text>
        <r>
          <rPr>
            <sz val="10"/>
            <rFont val="Arial"/>
            <family val="2"/>
          </rPr>
          <t xml:space="preserve">Optional: leave blank for none. Example only: €0.</t>
        </r>
      </text>
    </comment>
  </commentList>
</comments>
</file>

<file path=xl/comments23.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1" authorId="0">
      <text>
        <r>
          <rPr>
            <sz val="10"/>
            <rFont val="Arial"/>
            <family val="2"/>
          </rPr>
          <t xml:space="preserve">Filled by the document reader from: Pension statement: "Annual management charge" / "Total annual charges" / "Fund charges". Blank = not on the statement / no statement.</t>
        </r>
      </text>
    </comment>
    <comment ref="C12" authorId="0">
      <text>
        <r>
          <rPr>
            <sz val="10"/>
            <rFont val="Arial"/>
            <family val="2"/>
          </rPr>
          <t xml:space="preserve">Filled by the document reader from: The statement: "Statement date" / "Statement period to" / "Valuation date" / "As at". Blank = not on the statement / no statement.</t>
        </r>
      </text>
    </comment>
    <comment ref="C15" authorId="0">
      <text>
        <r>
          <rPr>
            <sz val="10"/>
            <rFont val="Arial"/>
            <family val="2"/>
          </rPr>
          <t xml:space="preserve">Your own figure. In the app it is pre-filled from Your finances: income. Example only: €60,000.</t>
        </r>
      </text>
    </comment>
    <comment ref="C16" authorId="0">
      <text>
        <r>
          <rPr>
            <sz val="10"/>
            <rFont val="Arial"/>
            <family val="2"/>
          </rPr>
          <t xml:space="preserve">Your own figure. Example only: 2%.</t>
        </r>
      </text>
    </comment>
    <comment ref="C17" authorId="0">
      <text>
        <r>
          <rPr>
            <sz val="10"/>
            <rFont val="Arial"/>
            <family val="2"/>
          </rPr>
          <t xml:space="preserve">Your own figure. In the app it is pre-filled from Plan: retirement age − age. Example only: 25.</t>
        </r>
      </text>
    </comment>
    <comment ref="C18" authorId="0">
      <text>
        <r>
          <rPr>
            <sz val="10"/>
            <rFont val="Arial"/>
            <family val="2"/>
          </rPr>
          <t xml:space="preserve">Generally the standard is 4.5% a year after charges while you work (LifeMap Standard set; Cautious 4%). Choose what you want to use. Example only: 4.5%.</t>
        </r>
      </text>
    </comment>
    <comment ref="C19" authorId="0">
      <text>
        <r>
          <rPr>
            <sz val="10"/>
            <rFont val="Arial"/>
            <family val="2"/>
          </rPr>
          <t xml:space="preserve">Your own pension charges (your statement shows them). A suggested figure and its source are shown beside this cell (Partner rates, Assumptions sheet). CCPC: usually 0.5%–2% a year.</t>
        </r>
      </text>
    </comment>
    <comment ref="C20" authorId="0">
      <text>
        <r>
          <rPr>
            <sz val="10"/>
            <rFont val="Arial"/>
            <family val="2"/>
          </rPr>
          <t xml:space="preserve">Usually between 20% or 40%: your top rate of income tax (the Tax engine works it out). In the app it is pre-filled from Tax engine marginal rate (band by status: €44k single, €48k single parent, €53k married, + up to €35k second earner). Enter your own figure. Example only: 40%.</t>
        </r>
      </text>
    </comment>
    <comment ref="C21" authorId="0">
      <text>
        <r>
          <rPr>
            <sz val="10"/>
            <rFont val="Arial"/>
            <family val="2"/>
          </rPr>
          <t xml:space="preserve">Your own figure. In the app it is pre-filled from About you: age. Example only: 40.</t>
        </r>
      </text>
    </comment>
    <comment ref="C22" authorId="0">
      <text>
        <r>
          <rPr>
            <sz val="10"/>
            <rFont val="Arial"/>
            <family val="2"/>
          </rPr>
          <t xml:space="preserve">Optional: leave blank for none. Example only: €0.</t>
        </r>
      </text>
    </comment>
  </commentList>
</comments>
</file>

<file path=xl/comments24.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1" authorId="0">
      <text>
        <r>
          <rPr>
            <sz val="10"/>
            <rFont val="Arial"/>
            <family val="2"/>
          </rPr>
          <t xml:space="preserve">Filled by the document reader from: Pension statement: "Annual management charge" / "Total annual charges" / "Fund charges". Blank = not on the statement / no statement.</t>
        </r>
      </text>
    </comment>
    <comment ref="C12" authorId="0">
      <text>
        <r>
          <rPr>
            <sz val="10"/>
            <rFont val="Arial"/>
            <family val="2"/>
          </rPr>
          <t xml:space="preserve">Filled by the document reader from: The statement: "Statement date" / "Statement period to" / "Valuation date" / "As at". Blank = not on the statement / no statement.</t>
        </r>
      </text>
    </comment>
    <comment ref="C15" authorId="0">
      <text>
        <r>
          <rPr>
            <sz val="10"/>
            <rFont val="Arial"/>
            <family val="2"/>
          </rPr>
          <t xml:space="preserve">Your own figure. Example only: €200.</t>
        </r>
      </text>
    </comment>
    <comment ref="C16" authorId="0">
      <text>
        <r>
          <rPr>
            <sz val="10"/>
            <rFont val="Arial"/>
            <family val="2"/>
          </rPr>
          <t xml:space="preserve">Your own figure. In the app it is pre-filled from Your finances: income. Example only: €60,000.</t>
        </r>
      </text>
    </comment>
    <comment ref="C17" authorId="0">
      <text>
        <r>
          <rPr>
            <sz val="10"/>
            <rFont val="Arial"/>
            <family val="2"/>
          </rPr>
          <t xml:space="preserve">Your own figure. In the app it is pre-filled from Plan: retirement age − age. Example only: 15.</t>
        </r>
      </text>
    </comment>
    <comment ref="C18" authorId="0">
      <text>
        <r>
          <rPr>
            <sz val="10"/>
            <rFont val="Arial"/>
            <family val="2"/>
          </rPr>
          <t xml:space="preserve">Generally the standard is 4.5% a year after charges while you work (LifeMap Standard set; Cautious 4%). Choose what you want to use. Example only: 4.5%.</t>
        </r>
      </text>
    </comment>
    <comment ref="C19" authorId="0">
      <text>
        <r>
          <rPr>
            <sz val="10"/>
            <rFont val="Arial"/>
            <family val="2"/>
          </rPr>
          <t xml:space="preserve">Your own pension charges (your statement shows them). A suggested figure and its source are shown beside this cell (Partner rates, Assumptions sheet). CCPC: usually 0.5%–2% a year.</t>
        </r>
      </text>
    </comment>
    <comment ref="C20" authorId="0">
      <text>
        <r>
          <rPr>
            <sz val="10"/>
            <rFont val="Arial"/>
            <family val="2"/>
          </rPr>
          <t xml:space="preserve">Usually between 20% or 40%: your top rate of income tax (the Tax engine works it out). In the app it is pre-filled from Tax engine marginal rate (band by status: €44k single, €48k single parent, €53k married, + up to €35k second earner). Enter your own figure. Example only: 40%.</t>
        </r>
      </text>
    </comment>
    <comment ref="C21" authorId="0">
      <text>
        <r>
          <rPr>
            <sz val="10"/>
            <rFont val="Arial"/>
            <family val="2"/>
          </rPr>
          <t xml:space="preserve">Your own figure. In the app it is pre-filled from About you: age. Example only: 40.</t>
        </r>
      </text>
    </comment>
    <comment ref="C22" authorId="0">
      <text>
        <r>
          <rPr>
            <sz val="10"/>
            <rFont val="Arial"/>
            <family val="2"/>
          </rPr>
          <t xml:space="preserve">Optional: leave blank for none. Example only: €0.</t>
        </r>
      </text>
    </comment>
  </commentList>
</comments>
</file>

<file path=xl/comments25.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1" authorId="0">
      <text>
        <r>
          <rPr>
            <sz val="10"/>
            <rFont val="Arial"/>
            <family val="2"/>
          </rPr>
          <t xml:space="preserve">Filled by the document reader from: Pension statement / SRP: "Projected fund at normal retirement date" / "Projected retirement fund" / "Estimated fund value at retirement". Blank = not on the statement / no statement.</t>
        </r>
      </text>
    </comment>
    <comment ref="C12" authorId="0">
      <text>
        <r>
          <rPr>
            <sz val="10"/>
            <rFont val="Arial"/>
            <family val="2"/>
          </rPr>
          <t xml:space="preserve">Filled by the document reader from: Pension statement: "Current fund value" / "Value of your fund" / "Transfer value" / "Total fund value". Blank = not on the statement / no statement.</t>
        </r>
      </text>
    </comment>
    <comment ref="C13" authorId="0">
      <text>
        <r>
          <rPr>
            <sz val="10"/>
            <rFont val="Arial"/>
            <family val="2"/>
          </rPr>
          <t xml:space="preserve">Filled by the document reader from: The statement: "Statement date" / "Statement period to" / "Valuation date" / "As at". Blank = not on the statement / no statement.</t>
        </r>
      </text>
    </comment>
    <comment ref="C16" authorId="0">
      <text>
        <r>
          <rPr>
            <sz val="10"/>
            <rFont val="Arial"/>
            <family val="2"/>
          </rPr>
          <t xml:space="preserve">Your own figure. In the app it is pre-filled from Plan: pension projected to retirement. Example only: €400,000.</t>
        </r>
      </text>
    </comment>
    <comment ref="C17" authorId="0">
      <text>
        <r>
          <rPr>
            <sz val="10"/>
            <rFont val="Arial"/>
            <family val="2"/>
          </rPr>
          <t xml:space="preserve">Your own figure. Example only: €24,000.</t>
        </r>
      </text>
    </comment>
    <comment ref="C18" authorId="0">
      <text>
        <r>
          <rPr>
            <sz val="10"/>
            <rFont val="Arial"/>
            <family val="2"/>
          </rPr>
          <t xml:space="preserve">Generally the standard is 3.15% a year after charges once retired (LifeMap Standard set; Cautious 2.8%). Choose what you want to use. Example only: 3.15%.</t>
        </r>
      </text>
    </comment>
    <comment ref="C19" authorId="0">
      <text>
        <r>
          <rPr>
            <sz val="10"/>
            <rFont val="Arial"/>
            <family val="2"/>
          </rPr>
          <t xml:space="preserve">Generally the standard is the start of the year (the prudent choice). Choose what you want to use. Example only: Start of year.</t>
        </r>
      </text>
    </comment>
    <comment ref="C20" authorId="0">
      <text>
        <r>
          <rPr>
            <sz val="10"/>
            <rFont val="Arial"/>
            <family val="2"/>
          </rPr>
          <t xml:space="preserve">You can usually draw a pension from 60 (some schemes from 50); State Pension is paid from 66. Choose your own: there is no default. Example only: 66.</t>
        </r>
      </text>
    </comment>
    <comment ref="C21" authorId="0">
      <text>
        <r>
          <rPr>
            <sz val="10"/>
            <rFont val="Arial"/>
            <family val="2"/>
          </rPr>
          <t xml:space="preserve">At 65, average life expectancy in Ireland is about 83 for men and 86 for women (CSO, Irish Life Tables No. 17, 2015–2017). Choose your own: there is no default. Example only: 90.</t>
        </r>
      </text>
    </comment>
  </commentList>
</comments>
</file>

<file path=xl/comments26.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1" authorId="0">
      <text>
        <r>
          <rPr>
            <sz val="10"/>
            <rFont val="Arial"/>
            <family val="2"/>
          </rPr>
          <t xml:space="preserve">Filled by the document reader from: Pension statement / SRP: "Projected fund at normal retirement date" / "Projected retirement fund" / "Estimated fund value at retirement". Blank = not on the statement / no statement.</t>
        </r>
      </text>
    </comment>
    <comment ref="C12" authorId="0">
      <text>
        <r>
          <rPr>
            <sz val="10"/>
            <rFont val="Arial"/>
            <family val="2"/>
          </rPr>
          <t xml:space="preserve">Filled by the document reader from: Pension statement: "Current fund value" / "Value of your fund" / "Transfer value" / "Total fund value". Blank = not on the statement / no statement.</t>
        </r>
      </text>
    </comment>
    <comment ref="C13" authorId="0">
      <text>
        <r>
          <rPr>
            <sz val="10"/>
            <rFont val="Arial"/>
            <family val="2"/>
          </rPr>
          <t xml:space="preserve">Filled by the document reader from: The statement: "Statement date" / "Statement period to" / "Valuation date" / "As at". Blank = not on the statement / no statement.</t>
        </r>
      </text>
    </comment>
    <comment ref="C16" authorId="0">
      <text>
        <r>
          <rPr>
            <sz val="10"/>
            <rFont val="Arial"/>
            <family val="2"/>
          </rPr>
          <t xml:space="preserve">Your own figure. In the app it is pre-filled from Plan: pension projected to retirement. Example only: €400,000.</t>
        </r>
      </text>
    </comment>
    <comment ref="C17" authorId="0">
      <text>
        <r>
          <rPr>
            <sz val="10"/>
            <rFont val="Arial"/>
            <family val="2"/>
          </rPr>
          <t xml:space="preserve">Your own figure. Example only: €20,000.</t>
        </r>
      </text>
    </comment>
    <comment ref="C18" authorId="0">
      <text>
        <r>
          <rPr>
            <sz val="10"/>
            <rFont val="Arial"/>
            <family val="2"/>
          </rPr>
          <t xml:space="preserve">Generally the standard is 2% a year for a cautious mix (illustration). Choose what you want to use. Example only: 2%.</t>
        </r>
      </text>
    </comment>
    <comment ref="C19" authorId="0">
      <text>
        <r>
          <rPr>
            <sz val="10"/>
            <rFont val="Arial"/>
            <family val="2"/>
          </rPr>
          <t xml:space="preserve">Generally the standard is 4% a year for a balanced mix (illustration). Choose what you want to use. Example only: 4%.</t>
        </r>
      </text>
    </comment>
    <comment ref="C20" authorId="0">
      <text>
        <r>
          <rPr>
            <sz val="10"/>
            <rFont val="Arial"/>
            <family val="2"/>
          </rPr>
          <t xml:space="preserve">Generally the standard is 6% a year for a growth mix (illustration). Choose what you want to use. Example only: 6%.</t>
        </r>
      </text>
    </comment>
    <comment ref="C21" authorId="0">
      <text>
        <r>
          <rPr>
            <sz val="10"/>
            <rFont val="Arial"/>
            <family val="2"/>
          </rPr>
          <t xml:space="preserve">Generally the standard is the start of the year (the prudent choice). Choose what you want to use. Example only: Start of year.</t>
        </r>
      </text>
    </comment>
  </commentList>
</comments>
</file>

<file path=xl/comments27.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1" authorId="0">
      <text>
        <r>
          <rPr>
            <sz val="10"/>
            <rFont val="Arial"/>
            <family val="2"/>
          </rPr>
          <t xml:space="preserve">Filled by the document reader from: Investment statement: "Total value" / "Portfolio value" / "Valuation" / "Market value" / "Policy value". Blank = not on the statement / no statement.</t>
        </r>
      </text>
    </comment>
    <comment ref="C12" authorId="0">
      <text>
        <r>
          <rPr>
            <sz val="10"/>
            <rFont val="Arial"/>
            <family val="2"/>
          </rPr>
          <t xml:space="preserve">Filled by the document reader from: The statement: "Statement date" / "Statement period to" / "Valuation date" / "As at". Blank = not on the statement / no statement.</t>
        </r>
      </text>
    </comment>
    <comment ref="C15" authorId="0">
      <text>
        <r>
          <rPr>
            <sz val="10"/>
            <rFont val="Arial"/>
            <family val="2"/>
          </rPr>
          <t xml:space="preserve">Your own figure. In the app it is pre-filled from Your finances / statement: investments. Example only: €20,000.</t>
        </r>
      </text>
    </comment>
    <comment ref="C16" authorId="0">
      <text>
        <r>
          <rPr>
            <sz val="10"/>
            <rFont val="Arial"/>
            <family val="2"/>
          </rPr>
          <t xml:space="preserve">Generally the standard is 5% a year before charges and tax for a mixed fund (LifeMap standard, not a forecast). Choose what you want to use. Example only: 5%.</t>
        </r>
      </text>
    </comment>
    <comment ref="C17" authorId="0">
      <text>
        <r>
          <rPr>
            <sz val="10"/>
            <rFont val="Arial"/>
            <family val="2"/>
          </rPr>
          <t xml:space="preserve">Your own figure. Example only: 15.</t>
        </r>
      </text>
    </comment>
  </commentList>
</comments>
</file>

<file path=xl/comments28.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1" authorId="0">
      <text>
        <r>
          <rPr>
            <sz val="10"/>
            <rFont val="Arial"/>
            <family val="2"/>
          </rPr>
          <t xml:space="preserve">Filled by the document reader from: Investment statement: "Regular contribution" / "Monthly premium" / "Monthly investment". Blank = not on the statement / no statement.</t>
        </r>
      </text>
    </comment>
    <comment ref="C12" authorId="0">
      <text>
        <r>
          <rPr>
            <sz val="10"/>
            <rFont val="Arial"/>
            <family val="2"/>
          </rPr>
          <t xml:space="preserve">Filled by the document reader from: Investment statement: "Annual management charge (AMC)" / "Ongoing charges figure (OCF)" / "Total annual charges". Blank = not on the statement / no statement.</t>
        </r>
      </text>
    </comment>
    <comment ref="C13" authorId="0">
      <text>
        <r>
          <rPr>
            <sz val="10"/>
            <rFont val="Arial"/>
            <family val="2"/>
          </rPr>
          <t xml:space="preserve">Filled by the document reader from: The statement: "Statement date" / "Statement period to" / "Valuation date" / "As at". Blank = not on the statement / no statement.</t>
        </r>
      </text>
    </comment>
    <comment ref="C16" authorId="0">
      <text>
        <r>
          <rPr>
            <sz val="10"/>
            <rFont val="Arial"/>
            <family val="2"/>
          </rPr>
          <t xml:space="preserve">Your own figure. Example only: €300.</t>
        </r>
      </text>
    </comment>
    <comment ref="C17" authorId="0">
      <text>
        <r>
          <rPr>
            <sz val="10"/>
            <rFont val="Arial"/>
            <family val="2"/>
          </rPr>
          <t xml:space="preserve">Your own figure. Example only: 15.</t>
        </r>
      </text>
    </comment>
    <comment ref="C18" authorId="0">
      <text>
        <r>
          <rPr>
            <sz val="10"/>
            <rFont val="Arial"/>
            <family val="2"/>
          </rPr>
          <t xml:space="preserve">Generally the standard is 5% a year before charges and tax for a mixed fund (LifeMap standard, not a forecast). Choose what you want to use. Example only: 5%.</t>
        </r>
      </text>
    </comment>
    <comment ref="C19" authorId="0">
      <text>
        <r>
          <rPr>
            <sz val="10"/>
            <rFont val="Arial"/>
            <family val="2"/>
          </rPr>
          <t xml:space="preserve">Your own fund charges (your statement shows them). A suggested figure and its source are shown beside this cell (Partner rates, Assumptions sheet). CCPC: usually 0.5%–2% a year.</t>
        </r>
      </text>
    </comment>
    <comment ref="C20" authorId="0">
      <text>
        <r>
          <rPr>
            <sz val="10"/>
            <rFont val="Arial"/>
            <family val="2"/>
          </rPr>
          <t xml:space="preserve">Optional: leave blank for none. Example only: No.</t>
        </r>
      </text>
    </comment>
  </commentList>
</comments>
</file>

<file path=xl/comments29.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Investment statement: "Total value" / "Portfolio value" / "Valuation" / "Market value" / "Policy value". Blank = not on the statement / no statement.</t>
        </r>
      </text>
    </comment>
    <comment ref="C8" authorId="0">
      <text>
        <r>
          <rPr>
            <sz val="10"/>
            <rFont val="Arial"/>
            <family val="2"/>
          </rPr>
          <t xml:space="preserve">Filled by the document reader from: Investment statement: "Annual management charge (AMC)" / "Ongoing charges figure (OCF)" / "Total annual charges". Blank = not on the statement / no statement.</t>
        </r>
      </text>
    </comment>
    <comment ref="C9" authorId="0">
      <text>
        <r>
          <rPr>
            <sz val="10"/>
            <rFont val="Arial"/>
            <family val="2"/>
          </rPr>
          <t xml:space="preserve">Filled by the document reader from: The statement: "Statement date" / "Statement period to" / "Valuation date" / "As at". Blank = not on the statement / no statement.</t>
        </r>
      </text>
    </comment>
    <comment ref="C12" authorId="0">
      <text>
        <r>
          <rPr>
            <sz val="10"/>
            <rFont val="Arial"/>
            <family val="2"/>
          </rPr>
          <t xml:space="preserve">Your own figure. In the app it is pre-filled from Your finances / statement: investments. Example only: €50,000.</t>
        </r>
      </text>
    </comment>
    <comment ref="C13" authorId="0">
      <text>
        <r>
          <rPr>
            <sz val="10"/>
            <rFont val="Arial"/>
            <family val="2"/>
          </rPr>
          <t xml:space="preserve">Your own figure. Example only: 20.</t>
        </r>
      </text>
    </comment>
    <comment ref="C14" authorId="0">
      <text>
        <r>
          <rPr>
            <sz val="10"/>
            <rFont val="Arial"/>
            <family val="2"/>
          </rPr>
          <t xml:space="preserve">Generally the standard is 5% a year before charges and tax for a mixed fund (LifeMap standard, not a forecast). Choose what you want to use. Example only: 5%.</t>
        </r>
      </text>
    </comment>
    <comment ref="C15" authorId="0">
      <text>
        <r>
          <rPr>
            <sz val="10"/>
            <rFont val="Arial"/>
            <family val="2"/>
          </rPr>
          <t xml:space="preserve">Your own fund charges (your statement shows them). A suggested figure and its source are shown beside this cell (Partner rates, Assumptions sheet). CCPC: usually 0.5%–2% a year.</t>
        </r>
      </text>
    </comment>
    <comment ref="C16" authorId="0">
      <text>
        <r>
          <rPr>
            <sz val="10"/>
            <rFont val="Arial"/>
            <family val="2"/>
          </rPr>
          <t xml:space="preserve">Your own fund charges (your statement shows them). A suggested figure and its source are shown beside this cell (Partner rates, Assumptions sheet). CCPC: usually 0.5%–2% a year.</t>
        </r>
      </text>
    </comment>
  </commentList>
</comments>
</file>

<file path=xl/comments30.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Investment statement: "Total value" / "Portfolio value" / "Valuation" / "Market value" / "Policy value". Blank = not on the statement / no statement.</t>
        </r>
      </text>
    </comment>
    <comment ref="C8" authorId="0">
      <text>
        <r>
          <rPr>
            <sz val="10"/>
            <rFont val="Arial"/>
            <family val="2"/>
          </rPr>
          <t xml:space="preserve">Filled by the document reader from: Investment statement: "Asset allocation" — "Equities" / "Shares". Blank = not on the statement / no statement.</t>
        </r>
      </text>
    </comment>
    <comment ref="C9" authorId="0">
      <text>
        <r>
          <rPr>
            <sz val="10"/>
            <rFont val="Arial"/>
            <family val="2"/>
          </rPr>
          <t xml:space="preserve">Filled by the document reader from: The statement: "Statement date" / "Statement period to" / "Valuation date" / "As at". Blank = not on the statement / no statement.</t>
        </r>
      </text>
    </comment>
    <comment ref="C12" authorId="0">
      <text>
        <r>
          <rPr>
            <sz val="10"/>
            <rFont val="Arial"/>
            <family val="2"/>
          </rPr>
          <t xml:space="preserve">Your own figure. In the app it is pre-filled from Your finances / statement: investments. Example only: €20,000.</t>
        </r>
      </text>
    </comment>
    <comment ref="C13" authorId="0">
      <text>
        <r>
          <rPr>
            <sz val="10"/>
            <rFont val="Arial"/>
            <family val="2"/>
          </rPr>
          <t xml:space="preserve">Your own figure. Example only: 10.</t>
        </r>
      </text>
    </comment>
    <comment ref="C14" authorId="0">
      <text>
        <r>
          <rPr>
            <sz val="10"/>
            <rFont val="Arial"/>
            <family val="2"/>
          </rPr>
          <t xml:space="preserve">Generally the standard is 2 Balanced (an adviser checks your attitude to risk). Choose what you want to use. Example only: 2.</t>
        </r>
      </text>
    </comment>
    <comment ref="C15" authorId="0">
      <text>
        <r>
          <rPr>
            <sz val="10"/>
            <rFont val="Arial"/>
            <family val="2"/>
          </rPr>
          <t xml:space="preserve">Generally the standard is 2% a year for Cautious (illustration). Choose what you want to use. Example only: 2%.</t>
        </r>
      </text>
    </comment>
    <comment ref="C16" authorId="0">
      <text>
        <r>
          <rPr>
            <sz val="10"/>
            <rFont val="Arial"/>
            <family val="2"/>
          </rPr>
          <t xml:space="preserve">Generally the standard is 4% a year for Balanced (illustration). Choose what you want to use. Example only: 4%.</t>
        </r>
      </text>
    </comment>
    <comment ref="C17" authorId="0">
      <text>
        <r>
          <rPr>
            <sz val="10"/>
            <rFont val="Arial"/>
            <family val="2"/>
          </rPr>
          <t xml:space="preserve">Generally the standard is 6% a year for Growth (illustration). Choose what you want to use. Example only: 6%.</t>
        </r>
      </text>
    </comment>
    <comment ref="C18" authorId="0">
      <text>
        <r>
          <rPr>
            <sz val="10"/>
            <rFont val="Arial"/>
            <family val="2"/>
          </rPr>
          <t xml:space="preserve">Generally the standard is 5% a year for Cautious (illustration). Choose what you want to use. Example only: 5%.</t>
        </r>
      </text>
    </comment>
    <comment ref="C19" authorId="0">
      <text>
        <r>
          <rPr>
            <sz val="10"/>
            <rFont val="Arial"/>
            <family val="2"/>
          </rPr>
          <t xml:space="preserve">Generally the standard is 10% a year for Balanced (illustration). Choose what you want to use. Example only: 10%.</t>
        </r>
      </text>
    </comment>
    <comment ref="C20" authorId="0">
      <text>
        <r>
          <rPr>
            <sz val="10"/>
            <rFont val="Arial"/>
            <family val="2"/>
          </rPr>
          <t xml:space="preserve">Generally the standard is 16% a year for Growth (illustration). Choose what you want to use. Example only: 16%.</t>
        </r>
      </text>
    </comment>
  </commentList>
</comments>
</file>

<file path=xl/comments31.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Mortgage statement: "Outstanding balance" / "Balance outstanding" / "Amount outstanding" / "Closing balance". Blank = not on the statement / no statement.</t>
        </r>
      </text>
    </comment>
    <comment ref="C8" authorId="0">
      <text>
        <r>
          <rPr>
            <sz val="10"/>
            <rFont val="Arial"/>
            <family val="2"/>
          </rPr>
          <t xml:space="preserve">Filled by the document reader from: The statement: "Statement date" / "Statement period to" / "Valuation date" / "As at". Blank = not on the statement / no statement.</t>
        </r>
      </text>
    </comment>
    <comment ref="C11" authorId="0">
      <text>
        <r>
          <rPr>
            <sz val="10"/>
            <rFont val="Arial"/>
            <family val="2"/>
          </rPr>
          <t xml:space="preserve">Your own figure. In the app it is pre-filled from Your finances: income. Example only: €60,000.</t>
        </r>
      </text>
    </comment>
    <comment ref="C12" authorId="0">
      <text>
        <r>
          <rPr>
            <sz val="10"/>
            <rFont val="Arial"/>
            <family val="2"/>
          </rPr>
          <t xml:space="preserve">Generally the standard is until your youngest child is 23. Choose what you want to use. Example only: 15.</t>
        </r>
      </text>
    </comment>
    <comment ref="C13" authorId="0">
      <text>
        <r>
          <rPr>
            <sz val="10"/>
            <rFont val="Arial"/>
            <family val="2"/>
          </rPr>
          <t xml:space="preserve">Generally the standard is 60% of your income (families usually need less than full pay). Choose what you want to use. Example only: 60%.</t>
        </r>
      </text>
    </comment>
    <comment ref="C14" authorId="0">
      <text>
        <r>
          <rPr>
            <sz val="10"/>
            <rFont val="Arial"/>
            <family val="2"/>
          </rPr>
          <t xml:space="preserve">Your own figure. In the app it is pre-filled from Your finances: mortgage balance. Example only: €250,000.</t>
        </r>
      </text>
    </comment>
    <comment ref="C15" authorId="0">
      <text>
        <r>
          <rPr>
            <sz val="10"/>
            <rFont val="Arial"/>
            <family val="2"/>
          </rPr>
          <t xml:space="preserve">Your own figure. Example only: Yes.</t>
        </r>
      </text>
    </comment>
    <comment ref="C16" authorId="0">
      <text>
        <r>
          <rPr>
            <sz val="10"/>
            <rFont val="Arial"/>
            <family val="2"/>
          </rPr>
          <t xml:space="preserve">Your own figure. In the app it is pre-filled from Your finances: debts. Example only: €10,000.</t>
        </r>
      </text>
    </comment>
    <comment ref="C17" authorId="0">
      <text>
        <r>
          <rPr>
            <sz val="10"/>
            <rFont val="Arial"/>
            <family val="2"/>
          </rPr>
          <t xml:space="preserve">Your own figure. In the app it is pre-filled from Your finances: cash + investments. Example only: €20,000.</t>
        </r>
      </text>
    </comment>
    <comment ref="C18" authorId="0">
      <text>
        <r>
          <rPr>
            <sz val="10"/>
            <rFont val="Arial"/>
            <family val="2"/>
          </rPr>
          <t xml:space="preserve">Your own figure. Example only: €100,000.</t>
        </r>
      </text>
    </comment>
    <comment ref="C19" authorId="0">
      <text>
        <r>
          <rPr>
            <sz val="10"/>
            <rFont val="Arial"/>
            <family val="2"/>
          </rPr>
          <t xml:space="preserve">Usually between €0 and €299.30 a week: €259.50 under 66, €299.30 at 66+ (DSP 2026; depends on PRSI; cohabitants can qualify for the Bereaved Partner's Pension). Enter your own figure. Example only: €259.50.</t>
        </r>
      </text>
    </comment>
  </commentList>
</comments>
</file>

<file path=xl/comments32.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Your own figure. In the app it is pre-filled from Your finances: costs + mortgage + debt repayments. Example only: €2,500.</t>
        </r>
      </text>
    </comment>
    <comment ref="C7" authorId="0">
      <text>
        <r>
          <rPr>
            <sz val="10"/>
            <rFont val="Arial"/>
            <family val="2"/>
          </rPr>
          <t xml:space="preserve">Your own figure. Example only: 3.</t>
        </r>
      </text>
    </comment>
    <comment ref="C8" authorId="0">
      <text>
        <r>
          <rPr>
            <sz val="10"/>
            <rFont val="Arial"/>
            <family val="2"/>
          </rPr>
          <t xml:space="preserve">Your own figure. In the app it is pre-filled from Your finances: cash. Example only: €8,000.</t>
        </r>
      </text>
    </comment>
    <comment ref="C9" authorId="0">
      <text>
        <r>
          <rPr>
            <sz val="10"/>
            <rFont val="Arial"/>
            <family val="2"/>
          </rPr>
          <t xml:space="preserve">Your own figure. In the app it is pre-filled from Your finances: income. Example only: €60,000.</t>
        </r>
      </text>
    </comment>
    <comment ref="C10" authorId="0">
      <text>
        <r>
          <rPr>
            <sz val="10"/>
            <rFont val="Arial"/>
            <family val="2"/>
          </rPr>
          <t xml:space="preserve">Usually between €0 and €254 a week (DSP 2026 maximum; lower if you earned under €300 a week; needs enough PRSI). Enter your own figure. Example only: €254.</t>
        </r>
      </text>
    </comment>
  </commentList>
</comments>
</file>

<file path=xl/comments33.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Mortgage statement: "Outstanding balance" / "Balance outstanding" / "Amount outstanding" / "Closing balance". Blank = not on the statement / no statement.</t>
        </r>
      </text>
    </comment>
    <comment ref="C8" authorId="0">
      <text>
        <r>
          <rPr>
            <sz val="10"/>
            <rFont val="Arial"/>
            <family val="2"/>
          </rPr>
          <t xml:space="preserve">Filled by the document reader from: Mortgage statement: "Interest rate" / "Current rate" / "Rate applied" / "Variable rate" / "Fixed rate". Blank = not on the statement / no statement.</t>
        </r>
      </text>
    </comment>
    <comment ref="C9" authorId="0">
      <text>
        <r>
          <rPr>
            <sz val="10"/>
            <rFont val="Arial"/>
            <family val="2"/>
          </rPr>
          <t xml:space="preserve">Filled by the document reader from: Mortgage statement: "Remaining term" / "Term remaining" / "Years remaining" (convert months to years). Blank = not on the statement / no statement.</t>
        </r>
      </text>
    </comment>
    <comment ref="C10" authorId="0">
      <text>
        <r>
          <rPr>
            <sz val="10"/>
            <rFont val="Arial"/>
            <family val="2"/>
          </rPr>
          <t xml:space="preserve">Filled by the document reader from: Mortgage statement: "Monthly repayment" / "Monthly instalment" / "Repayment amount". Blank = not on the statement / no statement.</t>
        </r>
      </text>
    </comment>
    <comment ref="C11" authorId="0">
      <text>
        <r>
          <rPr>
            <sz val="10"/>
            <rFont val="Arial"/>
            <family val="2"/>
          </rPr>
          <t xml:space="preserve">Filled by the document reader from: The statement: "Statement date" / "Statement period to" / "Valuation date" / "As at". Blank = not on the statement / no statement.</t>
        </r>
      </text>
    </comment>
    <comment ref="C14" authorId="0">
      <text>
        <r>
          <rPr>
            <sz val="10"/>
            <rFont val="Arial"/>
            <family val="2"/>
          </rPr>
          <t xml:space="preserve">Your own figure. In the app it is pre-filled from Your finances / statement: balance. Example only: €250,000.</t>
        </r>
      </text>
    </comment>
    <comment ref="C15" authorId="0">
      <text>
        <r>
          <rPr>
            <sz val="10"/>
            <rFont val="Arial"/>
            <family val="2"/>
          </rPr>
          <t xml:space="preserve">Your own mortgage rate: your statement shows it. Typing it is fine; no upload needed. A suggested rate and its source are shown beside this cell (Partner rates, Assumptions sheet).</t>
        </r>
      </text>
    </comment>
    <comment ref="C16" authorId="0">
      <text>
        <r>
          <rPr>
            <sz val="10"/>
            <rFont val="Arial"/>
            <family val="2"/>
          </rPr>
          <t xml:space="preserve">Your own figure. In the app it is pre-filled from Years left (25 if not given). Example only: 25.</t>
        </r>
      </text>
    </comment>
    <comment ref="C17" authorId="0">
      <text>
        <r>
          <rPr>
            <sz val="10"/>
            <rFont val="Arial"/>
            <family val="2"/>
          </rPr>
          <t xml:space="preserve">Your own figure. In the app it is pre-filled from Your finances / statement: stated repayment. Example only: €0.</t>
        </r>
      </text>
    </comment>
  </commentList>
</comments>
</file>

<file path=xl/comments34.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Mortgage statement: "Outstanding balance" / "Balance outstanding" / "Amount outstanding" / "Closing balance". Blank = not on the statement / no statement.</t>
        </r>
      </text>
    </comment>
    <comment ref="C8" authorId="0">
      <text>
        <r>
          <rPr>
            <sz val="10"/>
            <rFont val="Arial"/>
            <family val="2"/>
          </rPr>
          <t xml:space="preserve">Filled by the document reader from: Property valuation / mortgage statement: "Valuation" / "Market value" / "Property value". Blank = not on the statement / no statement.</t>
        </r>
      </text>
    </comment>
    <comment ref="C9" authorId="0">
      <text>
        <r>
          <rPr>
            <sz val="10"/>
            <rFont val="Arial"/>
            <family val="2"/>
          </rPr>
          <t xml:space="preserve">Filled by the document reader from: Pension statement: "Current fund value" / "Value of your fund" / "Transfer value" / "Total fund value". Blank = not on the statement / no statement.</t>
        </r>
      </text>
    </comment>
    <comment ref="C10" authorId="0">
      <text>
        <r>
          <rPr>
            <sz val="10"/>
            <rFont val="Arial"/>
            <family val="2"/>
          </rPr>
          <t xml:space="preserve">Filled by the document reader from: Investment statement: "Total value" / "Portfolio value" / "Valuation" / "Market value" / "Policy value". Blank = not on the statement / no statement.</t>
        </r>
      </text>
    </comment>
    <comment ref="C13" authorId="0">
      <text>
        <r>
          <rPr>
            <sz val="10"/>
            <rFont val="Arial"/>
            <family val="2"/>
          </rPr>
          <t xml:space="preserve">Your own figure. In the app it is pre-filled from Your finances: cash. Example only: €15,000.</t>
        </r>
      </text>
    </comment>
    <comment ref="C14" authorId="0">
      <text>
        <r>
          <rPr>
            <sz val="10"/>
            <rFont val="Arial"/>
            <family val="2"/>
          </rPr>
          <t xml:space="preserve">Your own figure. In the app it is pre-filled from Your finances: investments. Example only: €10,000.</t>
        </r>
      </text>
    </comment>
    <comment ref="C15" authorId="0">
      <text>
        <r>
          <rPr>
            <sz val="10"/>
            <rFont val="Arial"/>
            <family val="2"/>
          </rPr>
          <t xml:space="preserve">Your own figure. In the app it is pre-filled from Your finances: pension. Example only: €60,000.</t>
        </r>
      </text>
    </comment>
    <comment ref="C16" authorId="0">
      <text>
        <r>
          <rPr>
            <sz val="10"/>
            <rFont val="Arial"/>
            <family val="2"/>
          </rPr>
          <t xml:space="preserve">Your own figure. In the app it is pre-filled from Your finances: home + other property. Example only: €350,000.</t>
        </r>
      </text>
    </comment>
    <comment ref="C17" authorId="0">
      <text>
        <r>
          <rPr>
            <sz val="10"/>
            <rFont val="Arial"/>
            <family val="2"/>
          </rPr>
          <t xml:space="preserve">Your own figure. In the app it is pre-filled from Your finances: mortgage balance. Example only: €250,000.</t>
        </r>
      </text>
    </comment>
    <comment ref="C18" authorId="0">
      <text>
        <r>
          <rPr>
            <sz val="10"/>
            <rFont val="Arial"/>
            <family val="2"/>
          </rPr>
          <t xml:space="preserve">Your own figure. In the app it is pre-filled from Your finances: debts. Example only: €8,000.</t>
        </r>
      </text>
    </comment>
  </commentList>
</comments>
</file>

<file path=xl/comments35.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Optional: leave blank for none. Example only: blank (none).</t>
        </r>
      </text>
    </comment>
    <comment ref="C7" authorId="0">
      <text>
        <r>
          <rPr>
            <sz val="10"/>
            <rFont val="Arial"/>
            <family val="2"/>
          </rPr>
          <t xml:space="preserve">Your own figure. In the app it is pre-filled from Your finances: costs + one-offs ÷ 12 + mortgage. Example only: €2,000.</t>
        </r>
      </text>
    </comment>
    <comment ref="C8" authorId="0">
      <text>
        <r>
          <rPr>
            <sz val="10"/>
            <rFont val="Arial"/>
            <family val="2"/>
          </rPr>
          <t xml:space="preserve">Your own figure. Example only: €800.</t>
        </r>
      </text>
    </comment>
    <comment ref="C9" authorId="0">
      <text>
        <r>
          <rPr>
            <sz val="10"/>
            <rFont val="Arial"/>
            <family val="2"/>
          </rPr>
          <t xml:space="preserve">Your own figure. In the app it is pre-filled from Your finances: debt repayments. Example only: €200.</t>
        </r>
      </text>
    </comment>
  </commentList>
</comments>
</file>

<file path=xl/comments36.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Optional: leave blank for none. Example only: blank (none).</t>
        </r>
      </text>
    </comment>
    <comment ref="C7" authorId="0">
      <text>
        <r>
          <rPr>
            <sz val="10"/>
            <rFont val="Arial"/>
            <family val="2"/>
          </rPr>
          <t xml:space="preserve">Generally the standard is 50% for needs (the 50/30/20 rule of thumb). Choose what you want to use. Example only: 50%.</t>
        </r>
      </text>
    </comment>
    <comment ref="C8" authorId="0">
      <text>
        <r>
          <rPr>
            <sz val="10"/>
            <rFont val="Arial"/>
            <family val="2"/>
          </rPr>
          <t xml:space="preserve">Generally the standard is 30% for wants (the 50/30/20 rule of thumb). Choose what you want to use. Example only: 30%.</t>
        </r>
      </text>
    </comment>
    <comment ref="C9" authorId="0">
      <text>
        <r>
          <rPr>
            <sz val="10"/>
            <rFont val="Arial"/>
            <family val="2"/>
          </rPr>
          <t xml:space="preserve">Generally the standard is 20% for savings and debt (the 50/30/20 rule of thumb). Choose what you want to use. Example only: 20%.</t>
        </r>
      </text>
    </comment>
  </commentList>
</comments>
</file>

<file path=xl/comments37.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Your own figure. In the app it is pre-filled from Your finances: the debt that takes longest to clear. Example only: €5,000.</t>
        </r>
      </text>
    </comment>
    <comment ref="C7" authorId="0">
      <text>
        <r>
          <rPr>
            <sz val="10"/>
            <rFont val="Arial"/>
            <family val="2"/>
          </rPr>
          <t xml:space="preserve">Your card's APR: your statement shows it. New credit cards can't charge more than 23% APR (Central Bank); some older cards are higher.</t>
        </r>
      </text>
    </comment>
    <comment ref="C8" authorId="0">
      <text>
        <r>
          <rPr>
            <sz val="10"/>
            <rFont val="Arial"/>
            <family val="2"/>
          </rPr>
          <t xml:space="preserve">Your own figure. In the app it is pre-filled from Your finances: that debt's repayment. Example only: €250.</t>
        </r>
      </text>
    </comment>
    <comment ref="C9" authorId="0">
      <text>
        <r>
          <rPr>
            <sz val="10"/>
            <rFont val="Arial"/>
            <family val="2"/>
          </rPr>
          <t xml:space="preserve">Optional: leave blank for none. Example only: €0.</t>
        </r>
      </text>
    </comment>
  </commentList>
</comments>
</file>

<file path=xl/comments38.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Your own figure. Example only: €15,000.</t>
        </r>
      </text>
    </comment>
    <comment ref="C7" authorId="0">
      <text>
        <r>
          <rPr>
            <sz val="10"/>
            <rFont val="Arial"/>
            <family val="2"/>
          </rPr>
          <t xml:space="preserve">Your loan's APR: your loan agreement shows it. A suggested rate and its source are shown beside this cell (Partner rates, Assumptions sheet).</t>
        </r>
      </text>
    </comment>
    <comment ref="C8" authorId="0">
      <text>
        <r>
          <rPr>
            <sz val="10"/>
            <rFont val="Arial"/>
            <family val="2"/>
          </rPr>
          <t xml:space="preserve">Your own figure. Example only: 5.</t>
        </r>
      </text>
    </comment>
  </commentList>
</comments>
</file>

<file path=xl/comments44.xml><?xml version="1.0" encoding="utf-8"?>
<comments xmlns="http://schemas.openxmlformats.org/spreadsheetml/2006/main" xmlns:xdr="http://schemas.openxmlformats.org/drawingml/2006/spreadsheetDrawing">
  <authors>
    <author>Unknown Author</author>
  </authors>
  <commentList>
    <comment ref="C5" authorId="0">
      <text>
        <r>
          <rPr>
            <sz val="10"/>
            <rFont val="Arial"/>
            <family val="2"/>
          </rPr>
          <t xml:space="preserve">Type 3 · your figure. Single, Single parent (main carer of a child, no partner), Married one earner, Married two earners (also civil partners). Example only: Single</t>
        </r>
      </text>
    </comment>
    <comment ref="C6" authorId="0">
      <text>
        <r>
          <rPr>
            <sz val="10"/>
            <rFont val="Arial"/>
            <family val="2"/>
          </rPr>
          <t xml:space="preserve">Type 3 · your figure. Gross pay before tax, € a year. Example only: €60,000</t>
        </r>
      </text>
    </comment>
    <comment ref="C7" authorId="0">
      <text>
        <r>
          <rPr>
            <sz val="10"/>
            <rFont val="Arial"/>
            <family val="2"/>
          </rPr>
          <t xml:space="preserve">Type 3 · optional: leave blank for none. Used only when the status is Married two earners. Example only: €0</t>
        </r>
      </text>
    </comment>
    <comment ref="C8" authorId="0">
      <text>
        <r>
          <rPr>
            <sz val="10"/>
            <rFont val="Arial"/>
            <family val="2"/>
          </rPr>
          <t xml:space="preserve">Type 3 · your figure. Rent Tax Credit €1,000 single / €2,000 jointly assessed, to end-2028. Example only: No</t>
        </r>
      </text>
    </comment>
    <comment ref="C9" authorId="0">
      <text>
        <r>
          <rPr>
            <sz val="10"/>
            <rFont val="Arial"/>
            <family val="2"/>
          </rPr>
          <t xml:space="preserve">Type 3 · your figure. €1,950 (verify the 2026 rate and carer-income limit). Example only: No</t>
        </r>
      </text>
    </comment>
    <comment ref="C10" authorId="0">
      <text>
        <r>
          <rPr>
            <sz val="10"/>
            <rFont val="Arial"/>
            <family val="2"/>
          </rPr>
          <t xml:space="preserve">Type 3 · optional: leave blank for none. From 1 Oct 2026 = 4.35%. Calendar 2026 blend = 4.2375% (9 months at 4.2%, 3 at 4.35%). Example only: From 1 Oct 2026</t>
        </r>
      </text>
    </comment>
  </commentList>
</comments>
</file>

<file path=xl/sharedStrings.xml><?xml version="1.0" encoding="utf-8"?>
<sst xmlns="http://schemas.openxmlformats.org/spreadsheetml/2006/main" count="7854" uniqueCount="4868">
  <si>
    <t xml:space="preserve">LifeMap calculators v2.9 (2026 tax rules)</t>
  </si>
  <si>
    <t xml:space="preserve">2026 rules only: the 2027 Budget rules are not in this workbook. Every figure marked "Requires Verification" on the Tax sheet has not yet been checked against Revenue or the Department of Social Protection.</t>
  </si>
  <si>
    <t xml:space="preserve">Fill example values? (Yes / No)</t>
  </si>
  <si>
    <t xml:space="preserve">Yes</t>
  </si>
  <si>
    <t xml:space="preserve">Yes: every blank input on the Plan inputs sheet shows the example customer (Aoife and Cian), so all the plan sheets show a worked example. Anything you type replaces the example. No: start empty.</t>
  </si>
  <si>
    <t xml:space="preserve">THE FLOW OF THIS WORKBOOK (tab order, left to right)</t>
  </si>
  <si>
    <t xml:space="preserve">1. READ ME (this sheet)</t>
  </si>
  <si>
    <t xml:space="preserve">The example switch above, this flow, the known differences, the assumptions list and a list of the calculators.</t>
  </si>
  <si>
    <t xml:space="preserve">2. Sample walkthrough</t>
  </si>
  <si>
    <t xml:space="preserve">A story with live numbers to explain the workbook to your team: investing in an ETF, selling property, gifting, inheriting, and a year of cash flow.</t>
  </si>
  <si>
    <t xml:space="preserve">3. Tax</t>
  </si>
  <si>
    <t xml:space="preserve">One sheet. Top: which tax applies when you hold, sell, buy, give or receive (pick a situation in the yellow cell). Below: every 2026 tax figure with its status, effective date and source.</t>
  </si>
  <si>
    <t xml:space="preserve">4. Plan inputs</t>
  </si>
  <si>
    <t xml:space="preserve">The yellow input block for the plan: about you and your family, goals, income, assets, debts and your assumptions. With "Fill example values" = Yes the blanks show the example customer.</t>
  </si>
  <si>
    <t xml:space="preserve">5. Plan pay &amp; tax</t>
  </si>
  <si>
    <t xml:space="preserve">Turns the inputs into the figures the plan uses (pay, pension, State Pension, mortgage repayment) and works out the tax each year: income tax, USC, PRSI and pension relief.</t>
  </si>
  <si>
    <t xml:space="preserve">6. Plan goals</t>
  </si>
  <si>
    <t xml:space="preserve">Your goals in funding order, and for each goal what it costs, what has been put aside and how much is covered.</t>
  </si>
  <si>
    <t xml:space="preserve">7. Plan cashflow</t>
  </si>
  <si>
    <t xml:space="preserve">THE cash flow. One row per year from today to the plan-until age: money in after tax and pension contributions, living costs, mortgage and loan repayments, goals paid, what is saved and what balances are left. Column E, "TAXES APPLIED THIS YEAR", says which taxes were charged that year and how much (today's money).</t>
  </si>
  <si>
    <t xml:space="preserve">8. Plan results</t>
  </si>
  <si>
    <t xml:space="preserve">What the Results screens in the app show, worked out by formulas: the saving numbers (spare money, what you save a month), the "To see your results we need N things" check, the % of each goal covered, the findings (main strength, main gap, biggest decision), retirement at a glance, the five foundations and the next best step.</t>
  </si>
  <si>
    <t xml:space="preserve">9. Plan profile</t>
  </si>
  <si>
    <t xml:space="preserve">The money personality and the risk profile, scored from the Discover and Understand Me answers exactly as the app scores them (each answer adds weight to a type; the highest wins).</t>
  </si>
  <si>
    <t xml:space="preserve">10. Plan debt months</t>
  </si>
  <si>
    <t xml:space="preserve">Each loan, card and the mortgage is paid month by month inside each plan year: interest is added, then the repayment is taken (never more than is owed), until the balance is 50 cent or less. It feeds the debt columns of Plan cashflow.</t>
  </si>
  <si>
    <t xml:space="preserve">11. C01 to C28 (orange tabs)</t>
  </si>
  <si>
    <t xml:space="preserve">The 28 calculators, unchanged.</t>
  </si>
  <si>
    <t xml:space="preserve">12. C29, C30</t>
  </si>
  <si>
    <t xml:space="preserve">New tax calculators: C29 Investment tax (funds with the 8-year rule, shares), C30 Sale, gift and inheritance tax. Sample example switch in cell E2 of each.</t>
  </si>
  <si>
    <t xml:space="preserve">Hidden tabs (right-click, Unhide)</t>
  </si>
  <si>
    <t xml:space="preserve">Settings, Assumptions, Your lists, Tax engine, Report spec and the original README. Formulas depend on them, so they are kept but hidden. Do not delete them.</t>
  </si>
  <si>
    <t xml:space="preserve">Separate file</t>
  </si>
  <si>
    <t xml:space="preserve">LifeGoals-Calculators-Reference.xlsx holds the reference sheets that nothing depends on: Calculation register, Document reader spec and Plan how it works.</t>
  </si>
  <si>
    <t xml:space="preserve">KNOWN DIFFERENCES (please read)</t>
  </si>
  <si>
    <t xml:space="preserve">Plan sheets</t>
  </si>
  <si>
    <t xml:space="preserve">They hold the earlier plan engine (v2.8). The newer prototype engine (v3.0) also adds: the emergency fund goal first, the funding order for goals, the "use my home" option, policy payouts, asset-level cost with the 8-year clock for funds, and capital gains with losses and the yearly exemption. Savings and investment tax (DIRT, exit tax) is inside the growth rates on these sheets. C29 and C30 show it as separate events.</t>
  </si>
  <si>
    <t xml:space="preserve">C10 and C13</t>
  </si>
  <si>
    <t xml:space="preserve">The prototype changed C10 (waiting money earns the cash rate) and C13 (contributions rise with pay). The sheets here still use the earlier method.</t>
  </si>
  <si>
    <t xml:space="preserve">Growth calculators</t>
  </si>
  <si>
    <t xml:space="preserve">C09, C10, C17, C18, C19 and C20 use ONE net growth rate that already includes exit tax smoothed over 8 years. C29 is the better view of the tax.</t>
  </si>
  <si>
    <t xml:space="preserve">Verification</t>
  </si>
  <si>
    <t xml:space="preserve">Nothing here has been checked against the official Revenue or Department of Social Protection pages. PRSI on pension (ARF) withdrawals is UNRESOLVED.</t>
  </si>
  <si>
    <t xml:space="preserve">Not modelled</t>
  </si>
  <si>
    <t xml:space="preserve">Dividends and fund distributions; tax on a life-policy lump sum; rental costs and mortgage interest relief; the tax-free part of a purchased annuity; Local Property Tax; business and farm reliefs; stamp duty on gifts.</t>
  </si>
  <si>
    <t xml:space="preserve">ASSUMPTIONS LIST 2026 (everything the plan assumes, with its type)</t>
  </si>
  <si>
    <t xml:space="preserve">Law = set by Government (figures on the Tax sheet). Standard = LifeMap suggestion the customer can change. Your choice = entered by the customer. Assumed = a planning figure used because nothing better is known. Values below are for the example customer.</t>
  </si>
  <si>
    <t xml:space="preserve">Item</t>
  </si>
  <si>
    <t xml:space="preserve">What the plan assumes</t>
  </si>
  <si>
    <t xml:space="preserve">Type</t>
  </si>
  <si>
    <t xml:space="preserve">Note</t>
  </si>
  <si>
    <t xml:space="preserve">Rules</t>
  </si>
  <si>
    <t xml:space="preserve">Irish rules 2026 · checked 2 Oct 2026, with Budget 2027 changes applied from their dates</t>
  </si>
  <si>
    <t xml:space="preserve">Set by Government · 2026</t>
  </si>
  <si>
    <t xml:space="preserve">Income tax</t>
  </si>
  <si>
    <t xml:space="preserve">20% up to €44,000 (single; €53,000 married, plus up to €35,000 for a second income), 40% above. Personal credit €2,000 (€4,000 married), employee credit €2,000</t>
  </si>
  <si>
    <t xml:space="preserve">USC</t>
  </si>
  <si>
    <t xml:space="preserve">0.5% / 2% / 3% / 8% in bands; none if your income is €13,000 or less. The State Pension is exempt</t>
  </si>
  <si>
    <t xml:space="preserve">PRSI</t>
  </si>
  <si>
    <t xml:space="preserve">4.2% from Oct 2025, 4.35% from Oct 2026, 4.5% from Oct 2027, 4.7% from Oct 2028; none from 66</t>
  </si>
  <si>
    <t xml:space="preserve">Pension tax relief</t>
  </si>
  <si>
    <t xml:space="preserve">15% / 20% / 25% / 30% / 35% / 40% of pay by age, on pay up to €115,000</t>
  </si>
  <si>
    <t xml:space="preserve">Retirement lump sum</t>
  </si>
  <si>
    <t xml:space="preserve">Up to 25% of the fund: €200,000 tax-free, the next €300,000 taxed at 20%, anything above €500,000 taxed at your marginal rate (40% here)</t>
  </si>
  <si>
    <t xml:space="preserve">Standard Fund Threshold</t>
  </si>
  <si>
    <t xml:space="preserve">€2,200,000 in 2026, rising to €2,800,000 by 2029; 40% tax above it</t>
  </si>
  <si>
    <t xml:space="preserve">Pension withdrawals</t>
  </si>
  <si>
    <t xml:space="preserve">From 60 at the earliest (50 for some occupational schemes); at least 4% a year from 61, 5% from 71 (6% over €2,000,000)</t>
  </si>
  <si>
    <t xml:space="preserve">State Pension (full rate)</t>
  </si>
  <si>
    <t xml:space="preserve">€299.30 a week from 66 (€10 more from 80); Qualified Adult €268.40</t>
  </si>
  <si>
    <t xml:space="preserve">Illness Benefit and survivor's pension</t>
  </si>
  <si>
    <t xml:space="preserve">€254 a week; survivor's pension €259.50 under 66, €299.30 at 66+</t>
  </si>
  <si>
    <t xml:space="preserve">Auto-enrolment (My Future Fund)</t>
  </si>
  <si>
    <t xml:space="preserve">1.5% you + 1.5% employer + 0.5% State, on pay up to €80,000</t>
  </si>
  <si>
    <t xml:space="preserve">Savings tax</t>
  </si>
  <si>
    <t xml:space="preserve">DIRT 33% on deposit interest; exit tax 38% on funds and life policies, with a 8-year deemed disposal</t>
  </si>
  <si>
    <t xml:space="preserve">Capital gains tax</t>
  </si>
  <si>
    <t xml:space="preserve">31% on gains above €1,270 a year for each person (33% for disposals before 7 October 2026). Tax is due when you sell, not while you hold. Losses come off first. Development land stays at 33%.</t>
  </si>
  <si>
    <t xml:space="preserve">Gift and inheritance tax (CAT)</t>
  </si>
  <si>
    <t xml:space="preserve">Group A threshold €420,000 (a child from a parent), from 7 October 2026. Not in your plan yet.</t>
  </si>
  <si>
    <t xml:space="preserve">Mortgage limits (Central Bank)</t>
  </si>
  <si>
    <t xml:space="preserve">4× income for first-time buyers, 3.5× for others; at least a 10% deposit</t>
  </si>
  <si>
    <t xml:space="preserve">Stamp duty</t>
  </si>
  <si>
    <t xml:space="preserve">1% up to €1,000,000, 2% to €1,500,000, 6% above</t>
  </si>
  <si>
    <t xml:space="preserve">Prices rise (inflation)</t>
  </si>
  <si>
    <t xml:space="preserve">2% a year (ECB target 2%; Ireland now 3.9%, CSO HICP flash, Sep 2026)</t>
  </si>
  <si>
    <t xml:space="preserve">Your choice</t>
  </si>
  <si>
    <t xml:space="preserve">Pay rises</t>
  </si>
  <si>
    <t xml:space="preserve">3% a year</t>
  </si>
  <si>
    <t xml:space="preserve">Set by LifeMap</t>
  </si>
  <si>
    <t xml:space="preserve">Irish pay has grown about 3%–4% a year recently (CSO). Source: cso.ie (2026).</t>
  </si>
  <si>
    <t xml:space="preserve">Cash savings grow (after DIRT)</t>
  </si>
  <si>
    <t xml:space="preserve">1% a year</t>
  </si>
  <si>
    <t xml:space="preserve">Irish deposit rates after 33% DIRT. Source: centralbank.ie (Jun 2026).</t>
  </si>
  <si>
    <t xml:space="preserve">Investments grow (after charges and exit tax)</t>
  </si>
  <si>
    <t xml:space="preserve">2.6% a year</t>
  </si>
  <si>
    <t xml:space="preserve">a planning assumption, not a prediction: 5% before fees and tax, less about 1% charges, less 38% exit tax taken every 8 years. Source: Derived: the growth before fees and tax (above), the charges (Market rates) and the exit tax and 8-year rule (Tax rules) (2026).</t>
  </si>
  <si>
    <t xml:space="preserve">Pensions grow while you work (after charges)</t>
  </si>
  <si>
    <t xml:space="preserve">4.5% a year</t>
  </si>
  <si>
    <t xml:space="preserve">a planning assumption after charges, not a prediction. Source: LifeMap planning standard, not a prediction. Reference point: Pensions Authority pension-calculator assumptions (2026).</t>
  </si>
  <si>
    <t xml:space="preserve">Pensions grow once retired (after charges)</t>
  </si>
  <si>
    <t xml:space="preserve">3.15% a year</t>
  </si>
  <si>
    <t xml:space="preserve">a lower-risk fund once retired, after charges. Source: LifeMap planning standard, not a prediction. Reference point: Pensions Authority pension-calculator assumptions (2026).</t>
  </si>
  <si>
    <t xml:space="preserve">Your State Pension</t>
  </si>
  <si>
    <t xml:space="preserve">€15,564 a year from 66 (you expect the full rate); taxable, no USC</t>
  </si>
  <si>
    <t xml:space="preserve">Usually €0–€299.30 a week</t>
  </si>
  <si>
    <t xml:space="preserve">Your partner's State Pension</t>
  </si>
  <si>
    <t xml:space="preserve">€239.44 a week (your figure)</t>
  </si>
  <si>
    <t xml:space="preserve">State Pension in future</t>
  </si>
  <si>
    <t xml:space="preserve">Rises with prices</t>
  </si>
  <si>
    <t xml:space="preserve">it has broadly kept pace with prices over time. Source: Department of Social Protection weekly State Pension rate history (2026).</t>
  </si>
  <si>
    <t xml:space="preserve">Tax bands in future</t>
  </si>
  <si>
    <t xml:space="preserve">Rise with prices</t>
  </si>
  <si>
    <t xml:space="preserve">Budgets have broadly kept pace over time. Source: Department of Finance Budget history (tax bands and credits, 2015 to 2026) (2026).</t>
  </si>
  <si>
    <t xml:space="preserve">Retirement age</t>
  </si>
  <si>
    <t xml:space="preserve">Age 63</t>
  </si>
  <si>
    <t xml:space="preserve">Plan until age</t>
  </si>
  <si>
    <t xml:space="preserve">Age 95</t>
  </si>
  <si>
    <t xml:space="preserve">Plan starts</t>
  </si>
  <si>
    <t xml:space="preserve">2026</t>
  </si>
  <si>
    <t xml:space="preserve">Pension access age</t>
  </si>
  <si>
    <t xml:space="preserve">From 60 (most pensions)</t>
  </si>
  <si>
    <t xml:space="preserve">most pensions can be drawn from 60; some occupational schemes allow 50. Source: Revenue Commissioners: pension benefits can usually be taken from age 60 (PRSAs and personal pensions); some occupational schemes allow retirement from 50 (see the law register) (2026).</t>
  </si>
  <si>
    <t xml:space="preserve">Lump sum at retirement</t>
  </si>
  <si>
    <t xml:space="preserve">25% of your pension (tax as set by law, above)</t>
  </si>
  <si>
    <t xml:space="preserve">most people take the full tax-free amount. Source: Revenue Commissioners: tax-free retirement lump sum, up to 25% of the fund (law limit) (Law limit 25%).</t>
  </si>
  <si>
    <t xml:space="preserve">Pension drawdown</t>
  </si>
  <si>
    <t xml:space="preserve">Spread to the end of the plan, at least the legal minimum</t>
  </si>
  <si>
    <t xml:space="preserve">Share of your pension you pay</t>
  </si>
  <si>
    <t xml:space="preserve">50%</t>
  </si>
  <si>
    <t xml:space="preserve">Mortgage rate</t>
  </si>
  <si>
    <t xml:space="preserve">3.85% (from your statement)</t>
  </si>
  <si>
    <t xml:space="preserve">Credit-card rate</t>
  </si>
  <si>
    <t xml:space="preserve">20% (your figure)</t>
  </si>
  <si>
    <t xml:space="preserve">Other loans rate</t>
  </si>
  <si>
    <t xml:space="preserve">8% (your figure)</t>
  </si>
  <si>
    <t xml:space="preserve">What you save</t>
  </si>
  <si>
    <t xml:space="preserve">About €67 a month towards your goals, at most 50% of your spare money (from your answer: €300 to €750)</t>
  </si>
  <si>
    <t xml:space="preserve">Spare money not saved</t>
  </si>
  <si>
    <t xml:space="preserve">Assumed spent</t>
  </si>
  <si>
    <t xml:space="preserve">How the plan works</t>
  </si>
  <si>
    <t xml:space="preserve">Emergency fund</t>
  </si>
  <si>
    <t xml:space="preserve">Your Emergency fund goal covers this</t>
  </si>
  <si>
    <t xml:space="preserve">Money for goals sooner than</t>
  </si>
  <si>
    <t xml:space="preserve">5 years: kept as cash</t>
  </si>
  <si>
    <t xml:space="preserve">Spare savings invested</t>
  </si>
  <si>
    <t xml:space="preserve">40% (the rest in cash)</t>
  </si>
  <si>
    <t xml:space="preserve">Order your savings go to goals</t>
  </si>
  <si>
    <t xml:space="preserve">Your order from Which goal first? (Emergency fund first unless you move it). Until you rank: must-haves, then nice-to-haves, soonest first</t>
  </si>
  <si>
    <t xml:space="preserve">Tax for couples</t>
  </si>
  <si>
    <t xml:space="preserve">Taxed as individuals</t>
  </si>
  <si>
    <t xml:space="preserve">How timing is counted</t>
  </si>
  <si>
    <t xml:space="preserve">Calculators: monthly, end of the month. Pension contributions in your plan and in the Retirement tool: paid at the end of each year (a little lower than monthly). Money you save towards goals: at the start of each year. Mortgage rates are a yearly rate ÷ 12; card, loan and APR figures are effective yearly rates.</t>
  </si>
  <si>
    <t xml:space="preserve">Tax year rules</t>
  </si>
  <si>
    <t xml:space="preserve">Each year of your plan uses its own rules: 2026 rules to the end of 2026, announced 2027 rules from 1 January 2027 (figures not announced keep their 2026 value)</t>
  </si>
  <si>
    <t xml:space="preserve">Investments held as</t>
  </si>
  <si>
    <t xml:space="preserve">Funds or ETFs: growth first; exit tax when sold, and when the 8-year rule treats them as sold (the tax is taken from the fund and the cost resets)</t>
  </si>
  <si>
    <t xml:space="preserve">Capital gains tax on sold assets</t>
  </si>
  <si>
    <t xml:space="preserve">31% on the gain when something is sold (33% for sales before 7 Oct 2026), after losses and the €1,270 a year exemption (€2,540 if you own them with your partner). The gain is the sale value less what you paid. Nothing is taxed while you hold it.</t>
  </si>
  <si>
    <t xml:space="preserve">What you paid for assets</t>
  </si>
  <si>
    <t xml:space="preserve">Your figures where you entered them. Where you did not: funds and shares you hold directly are assumed bought at today's value (no gain yet); other assets and alternative investments assume 40% of their value is gain</t>
  </si>
  <si>
    <t xml:space="preserve">PRSI on pension (ARF) withdrawals</t>
  </si>
  <si>
    <t xml:space="preserve">UNRESOLVED. The plan charges 4.24% PRSI on ARF / PRSA withdrawals before 66, and from 66 to 70 if you do not get the contributory State Pension, because provider guidance says so. Revenue and Social Protection have not been checked, so this may change</t>
  </si>
  <si>
    <t xml:space="preserve">Assumed: add yours</t>
  </si>
  <si>
    <t xml:space="preserve">State Pension entitlement</t>
  </si>
  <si>
    <t xml:space="preserve">Total Contributions Approach: your years of PRSI divided by 40 (nothing under 10 years). The 2025 to 2033 transition (the higher of the Yearly Average blend and the Total Contributions Approach) is not modelled: enter the weekly amount from your MyWelfare statement to use your own figure</t>
  </si>
  <si>
    <t xml:space="preserve">Known limits</t>
  </si>
  <si>
    <t xml:space="preserve">Living costs stay the same through the plan. Your partner's pay is counted until the retirement age you choose for them, then only their State Pension; their own pension isn't modelled. We assume drawdown from an ARF or vested PRSA. The reduced USC rate for medical-card holders under 70 isn't applied. Auto-enrolment rates after 2028 stay at the 2026 rates. Where you have not entered what you paid, capital gains tax uses a share-of-value assumption and funds are assumed bought at today's value. Dividends and fund distributions, tax on a life-policy lump sum, rental costs, the tax-free part of a bought annuity and gift or inheritance tax are not modelled yet.</t>
  </si>
  <si>
    <t xml:space="preserve">LifeMap standards (the customer can change each one)</t>
  </si>
  <si>
    <t xml:space="preserve">Standard</t>
  </si>
  <si>
    <t xml:space="preserve">Value and basis</t>
  </si>
  <si>
    <t xml:space="preserve">As at</t>
  </si>
  <si>
    <t xml:space="preserve">Source</t>
  </si>
  <si>
    <t xml:space="preserve">Prices &amp; growth: Inflation: prices rise (a year)</t>
  </si>
  <si>
    <t xml:space="preserve">0.02  (the ECB target for the long term)</t>
  </si>
  <si>
    <t xml:space="preserve">2025 strategy</t>
  </si>
  <si>
    <t xml:space="preserve">https://www.bundesbank.de/en/tasks/topics/european-central-bank-updates-monetary-policy-strategy-970824</t>
  </si>
  <si>
    <t xml:space="preserve">Prices &amp; growth: Pay rises (a year)</t>
  </si>
  <si>
    <t xml:space="preserve">0.03  (Irish pay has grown about 3%–4% a year recently (CSO))</t>
  </si>
  <si>
    <t xml:space="preserve">https://www.cso.ie/en/statistics/earnings/</t>
  </si>
  <si>
    <t xml:space="preserve">Prices &amp; growth: Cash savings earn (a year, after DIRT)</t>
  </si>
  <si>
    <t xml:space="preserve">0.01  (Irish deposit rates after 33% DIRT)</t>
  </si>
  <si>
    <t xml:space="preserve">Jun 2026</t>
  </si>
  <si>
    <t xml:space="preserve">https://centralbank.ie/statistics/data-and-analysis/credit-and-banking-statistics/retail-interest-rates</t>
  </si>
  <si>
    <t xml:space="preserve">Prices &amp; growth: Investments grow (a year, after charges and tax)</t>
  </si>
  <si>
    <t xml:space="preserve">0.026  (a planning assumption, not a prediction: 5% before fees and tax, less about 1% charges, less 38% exit tax taken every 8 years)</t>
  </si>
  <si>
    <t xml:space="preserve">Derived: the growth before fees and tax (above), the charges (Market rates) and the exit tax and 8-year rule (Tax rules)</t>
  </si>
  <si>
    <t xml:space="preserve">Prices &amp; growth: Investments grow before fees and tax (a year; growth and fees tools)</t>
  </si>
  <si>
    <t xml:space="preserve">0.05  (LifeMap standard, not a forecast)</t>
  </si>
  <si>
    <t xml:space="preserve">LifeMap planning standard, not a prediction. Reference points: Pensions Authority pension-calculator growth assumption; Central Bank of Ireland guidance that returns are not guaranteed</t>
  </si>
  <si>
    <t xml:space="preserve">Prices &amp; growth: Pension grows while you work (a year, after charges)</t>
  </si>
  <si>
    <t xml:space="preserve">0.045  (a planning assumption after charges, not a prediction)</t>
  </si>
  <si>
    <t xml:space="preserve">LifeMap planning standard, not a prediction. Reference point: Pensions Authority pension-calculator assumptions</t>
  </si>
  <si>
    <t xml:space="preserve">Prices &amp; growth: Pension grows once retired (a year, after charges)</t>
  </si>
  <si>
    <t xml:space="preserve">0.0315  (a lower-risk fund once retired, after charges)</t>
  </si>
  <si>
    <t xml:space="preserve">Home: Rent vs buy: rent rises (a year)</t>
  </si>
  <si>
    <t xml:space="preserve">0.03  (a long-run planning figure)</t>
  </si>
  <si>
    <t xml:space="preserve">LifeMap long-run planning figure. Reference points: Residential Tenancies Board Rent Index; CSO Consumer Price Index (rent)</t>
  </si>
  <si>
    <t xml:space="preserve">Home: Rent vs buy: house prices rise (a year)</t>
  </si>
  <si>
    <t xml:space="preserve">0.02  (a long-run planning figure; prices can fall)</t>
  </si>
  <si>
    <t xml:space="preserve">LifeMap long-run planning figure. Reference point: CSO Residential Property Price Index</t>
  </si>
  <si>
    <t xml:space="preserve">Home: Rent vs buy: upkeep a year (share of home value)</t>
  </si>
  <si>
    <t xml:space="preserve">0.01  (repairs, insurance and maintenance)</t>
  </si>
  <si>
    <t xml:space="preserve">LifeMap planning standard (no official figure exists)</t>
  </si>
  <si>
    <t xml:space="preserve">Retirement: Share of pension contributions you pay yourself</t>
  </si>
  <si>
    <t xml:space="preserve">0.5  (a common 5% + 5% split with your employer; 100% if self-employed)</t>
  </si>
  <si>
    <t xml:space="preserve">Pensions Authority and My Future Fund (auto-enrolment) contribution split, 2026</t>
  </si>
  <si>
    <t xml:space="preserve">Retirement: Retirement savings target: times the yearly income needed</t>
  </si>
  <si>
    <t xml:space="preserve">25  (a common rule of thumb, about 4% a year)</t>
  </si>
  <si>
    <t xml:space="preserve">Widely used 4% sustainable-withdrawal rule of thumb (W. Bengen, Journal of Financial Planning, 1994)</t>
  </si>
  <si>
    <t xml:space="preserve">Retirement: Retirement spending if no goal (share of today's spending)</t>
  </si>
  <si>
    <t xml:space="preserve">0.8  (most people spend a bit less once work costs and the mortgage stop)</t>
  </si>
  <si>
    <t xml:space="preserve">LifeMap planning standard. Reference points: Pensions Authority and Society of Actuaries in Ireland retirement-income guidance</t>
  </si>
  <si>
    <t xml:space="preserve">Retirement: Pension access age (the earliest age you can draw your pension)</t>
  </si>
  <si>
    <t xml:space="preserve">60  (most pensions can be drawn from 60; some occupational schemes allow 50)</t>
  </si>
  <si>
    <t xml:space="preserve">Revenue Commissioners: pension benefits can usually be taken from age 60 (PRSAs and personal pensions); some occupational schemes allow retirement from 50 (see the law register)</t>
  </si>
  <si>
    <t xml:space="preserve">Retirement: Tax-free lump sum to take (share of pension; law limit 25%)</t>
  </si>
  <si>
    <t xml:space="preserve">0.25  (most people take the full tax-free amount)</t>
  </si>
  <si>
    <t xml:space="preserve">Law limit 25%</t>
  </si>
  <si>
    <t xml:space="preserve">Revenue Commissioners: tax-free retirement lump sum, up to 25% of the fund (law limit)</t>
  </si>
  <si>
    <t xml:space="preserve">Emergency fund &amp; saving: Emergency fund: months of essential spending</t>
  </si>
  <si>
    <t xml:space="preserve">6  (6 months for a single income or self-employed, 3 for two secure incomes)</t>
  </si>
  <si>
    <t xml:space="preserve">LifeMap planning standard. Reference points: MABS and CCPC (ccpc.ie) guidance on keeping 3 to 6 months of essential spending as an emergency fund</t>
  </si>
  <si>
    <t xml:space="preserve">Emergency fund &amp; saving: Emergency fund: months with two secure incomes</t>
  </si>
  <si>
    <t xml:space="preserve">3  (two secure incomes)</t>
  </si>
  <si>
    <t xml:space="preserve">LifeMap planning standard. Reference points: MABS and CCPC guidance</t>
  </si>
  <si>
    <t xml:space="preserve">Emergency fund &amp; saving: Money for goals sooner than this is kept as cash (years)</t>
  </si>
  <si>
    <t xml:space="preserve">5  (money needed within 5 years is usually kept as cash)</t>
  </si>
  <si>
    <t xml:space="preserve">LifeMap planning standard (common planning practice: money needed within about 5 years is not invested)</t>
  </si>
  <si>
    <t xml:space="preserve">Emergency fund &amp; saving: Spare savings: share invested</t>
  </si>
  <si>
    <t xml:space="preserve">0.4  (a balanced cash and invested mix)</t>
  </si>
  <si>
    <t xml:space="preserve">LifeMap planning standard (a balanced cash and invested mix)</t>
  </si>
  <si>
    <t xml:space="preserve">Choices: How your investments are held</t>
  </si>
  <si>
    <t xml:space="preserve">fund  (most people hold funds or ETFs)</t>
  </si>
  <si>
    <t xml:space="preserve">LifeMap planning standard. Funds and ETFs pay exit tax (with the 8-year rule); shares held directly pay capital gains tax when sold.</t>
  </si>
  <si>
    <t xml:space="preserve">Emergency fund &amp; saving: Other assets and alternative investments: share of the value that is a gain</t>
  </si>
  <si>
    <t xml:space="preserve">0.4  (a planning figure, because we do not know what you paid)</t>
  </si>
  <si>
    <t xml:space="preserve">LifeMap planning standard. Capital gains tax applies to the gain only, not the whole value.</t>
  </si>
  <si>
    <t xml:space="preserve">Emergency fund &amp; saving: Share of spare money saved, at most</t>
  </si>
  <si>
    <t xml:space="preserve">0.5  (half of your spare money)</t>
  </si>
  <si>
    <t xml:space="preserve">LifeMap planning standard</t>
  </si>
  <si>
    <t xml:space="preserve">Emergency fund &amp; saving: Monthly saving if not answered</t>
  </si>
  <si>
    <t xml:space="preserve">300  (a modest regular amount)</t>
  </si>
  <si>
    <t xml:space="preserve">Protection: Life cover: share of income the family needs</t>
  </si>
  <si>
    <t xml:space="preserve">0.6  (families usually need less than full pay)</t>
  </si>
  <si>
    <t xml:space="preserve">LifeMap planning standard. Reference point: Irish life-insurer needs calculators</t>
  </si>
  <si>
    <t xml:space="preserve">Protection: Life cover: years of support</t>
  </si>
  <si>
    <t xml:space="preserve">15  (often until your youngest child is 23)</t>
  </si>
  <si>
    <t xml:space="preserve">Risk and budget: Risk and return: growth a year, Cautious / Balanced / Growth</t>
  </si>
  <si>
    <t xml:space="preserve">[0.02,0.04,0.06]  (illustrations, not forecasts)</t>
  </si>
  <si>
    <t xml:space="preserve">LifeMap illustrations, not forecasts</t>
  </si>
  <si>
    <t xml:space="preserve">Risk and budget: Risk and return: ups and downs (volatility), Cautious / Balanced / Growth</t>
  </si>
  <si>
    <t xml:space="preserve">[0.05,0.1,0.16]  (illustrations, not forecasts)</t>
  </si>
  <si>
    <t xml:space="preserve">Risk and budget: Budget split: needs / wants / savings and debt</t>
  </si>
  <si>
    <t xml:space="preserve">[0.5,0.3,0.2]  (the 50/30/20 rule)</t>
  </si>
  <si>
    <t xml:space="preserve">The 50/30/20 budgeting rule (E. Warren and A. Warren Tyagi, All Your Worth, 2005)</t>
  </si>
  <si>
    <t xml:space="preserve">Choices: Tax bands in future</t>
  </si>
  <si>
    <t xml:space="preserve">prices  (Budgets have broadly kept pace over time)</t>
  </si>
  <si>
    <t xml:space="preserve">Department of Finance Budget history (tax bands and credits, 2015 to 2026)</t>
  </si>
  <si>
    <t xml:space="preserve">Choices: State Pension in future</t>
  </si>
  <si>
    <t xml:space="preserve">prices  (it has broadly kept pace with prices over time)</t>
  </si>
  <si>
    <t xml:space="preserve">Department of Social Protection weekly State Pension rate history</t>
  </si>
  <si>
    <t xml:space="preserve">Choices: How you draw your pension</t>
  </si>
  <si>
    <t xml:space="preserve">spread  (spread over your plan, at least the legal minimum)</t>
  </si>
  <si>
    <t xml:space="preserve">Revenue Commissioners: ARF and vested PRSA minimum annual distribution (4% from 61, 5% from 71; 6% over €2m)</t>
  </si>
  <si>
    <t xml:space="preserve">Choices: Drawdown tools: withdrawals taken at the</t>
  </si>
  <si>
    <t xml:space="preserve">start  (the prudent choice: the money has less time to grow before you take it)</t>
  </si>
  <si>
    <t xml:space="preserve">LifeMap tool setting</t>
  </si>
  <si>
    <t xml:space="preserve">Choices: Lump sum tool: years you might wait before investing</t>
  </si>
  <si>
    <t xml:space="preserve">5  (an illustration of the cost of waiting)</t>
  </si>
  <si>
    <t xml:space="preserve">LifeMap tool setting (an illustration of the cost of waiting)</t>
  </si>
  <si>
    <t xml:space="preserve">Choices: Risk and return tool: investment style (1 Cautious, 2 Balanced, 3 Growth)</t>
  </si>
  <si>
    <t xml:space="preserve">2  (Balanced; an adviser checks your attitude to risk)</t>
  </si>
  <si>
    <t xml:space="preserve">LifeMap tool setting (Balanced; an adviser checks attitude to risk)</t>
  </si>
  <si>
    <t xml:space="preserve">Market rates: Suggested mortgage rate</t>
  </si>
  <si>
    <t xml:space="preserve">0.0348  (Central Bank of Ireland: average rate on new mortgages, Jul 2026)</t>
  </si>
  <si>
    <t xml:space="preserve">Jul 2026</t>
  </si>
  <si>
    <t xml:space="preserve">https://www.centralbank.ie/statistics/data-and-analysis/credit-and-banking-statistics/retail-interest-rates</t>
  </si>
  <si>
    <t xml:space="preserve">Market rates: Suggested personal and car loan rate (APR)</t>
  </si>
  <si>
    <t xml:space="preserve">0.0672  (Central Bank of Ireland: average rate on new consumer loans, Jul 2026)</t>
  </si>
  <si>
    <t xml:space="preserve">Market rates: Suggested credit card rate (APR)</t>
  </si>
  <si>
    <t xml:space="preserve">null  (No published average)</t>
  </si>
  <si>
    <t xml:space="preserve">—</t>
  </si>
  <si>
    <t xml:space="preserve">Market rates: Suggested deposit rate (fixed term, before 33% DIRT)</t>
  </si>
  <si>
    <t xml:space="preserve">0.0192  (Central Bank of Ireland: average rate on new fixed-term household deposits, Jul 2026)</t>
  </si>
  <si>
    <t xml:space="preserve">Market rates: Suggested buying fees (legal and survey)</t>
  </si>
  <si>
    <t xml:space="preserve">null  (No published figure)</t>
  </si>
  <si>
    <t xml:space="preserve">No published figure</t>
  </si>
  <si>
    <t xml:space="preserve">Market rates: Suggested fund and pension charges (a year)</t>
  </si>
  <si>
    <t xml:space="preserve">0.01  (Pensions Authority pension calculator assumption)</t>
  </si>
  <si>
    <t xml:space="preserve">https://pensionsauthority.ie/scheme-members-and-prsa-contributors/pension-calculator/assumptions/ · https://www.ccpc.ie/consumers/money/pensions/fees-and-charges/</t>
  </si>
  <si>
    <t xml:space="preserve">CALCULATORS (click to open)</t>
  </si>
  <si>
    <t xml:space="preserve">C01</t>
  </si>
  <si>
    <t xml:space="preserve">C02</t>
  </si>
  <si>
    <t xml:space="preserve">C03</t>
  </si>
  <si>
    <t xml:space="preserve">C04</t>
  </si>
  <si>
    <t xml:space="preserve">C05</t>
  </si>
  <si>
    <t xml:space="preserve">C06</t>
  </si>
  <si>
    <t xml:space="preserve">C07</t>
  </si>
  <si>
    <t xml:space="preserve">C08</t>
  </si>
  <si>
    <t xml:space="preserve">C09</t>
  </si>
  <si>
    <t xml:space="preserve">C10</t>
  </si>
  <si>
    <t xml:space="preserve">C11</t>
  </si>
  <si>
    <t xml:space="preserve">C12</t>
  </si>
  <si>
    <t xml:space="preserve">C13</t>
  </si>
  <si>
    <t xml:space="preserve">C14</t>
  </si>
  <si>
    <t xml:space="preserve">C15</t>
  </si>
  <si>
    <t xml:space="preserve">C16</t>
  </si>
  <si>
    <t xml:space="preserve">C17</t>
  </si>
  <si>
    <t xml:space="preserve">C18</t>
  </si>
  <si>
    <t xml:space="preserve">C19</t>
  </si>
  <si>
    <t xml:space="preserve">C20</t>
  </si>
  <si>
    <t xml:space="preserve">C21</t>
  </si>
  <si>
    <t xml:space="preserve">C22</t>
  </si>
  <si>
    <t xml:space="preserve">C23</t>
  </si>
  <si>
    <t xml:space="preserve">C24</t>
  </si>
  <si>
    <t xml:space="preserve">C25</t>
  </si>
  <si>
    <t xml:space="preserve">C26</t>
  </si>
  <si>
    <t xml:space="preserve">C27</t>
  </si>
  <si>
    <t xml:space="preserve">C28</t>
  </si>
  <si>
    <t xml:space="preserve">C29</t>
  </si>
  <si>
    <t xml:space="preserve">C30</t>
  </si>
  <si>
    <t xml:space="preserve">Sample walkthrough: Aoife and Cian explained step by step</t>
  </si>
  <si>
    <t xml:space="preserve">A story you can read out to your team. Every number is a live formula linked to the calculators. Both calculators (C29, C30) must be on "Sample example" (cell E2 on each sheet): the box below turns green when they are.</t>
  </si>
  <si>
    <t xml:space="preserve">Are both calculators on the sample?</t>
  </si>
  <si>
    <t xml:space="preserve">Step</t>
  </si>
  <si>
    <t xml:space="preserve">What happens (say this)</t>
  </si>
  <si>
    <t xml:space="preserve">Result</t>
  </si>
  <si>
    <t xml:space="preserve">Where to look</t>
  </si>
  <si>
    <t xml:space="preserve">1. Invest €100,000 in an ETF</t>
  </si>
  <si>
    <t xml:space="preserve">Aoife puts €100,000 in an ETF for 20 years. It grows 5% a year, less 1% charges. If there were no tax it would reach this value:</t>
  </si>
  <si>
    <t xml:space="preserve">C29, "Value if nothing were taxed"</t>
  </si>
  <si>
    <t xml:space="preserve">But a fund pays exit tax every 8 years even if she does not sell (the "8-year rule"). Tax taken from the fund at those events:</t>
  </si>
  <si>
    <t xml:space="preserve">C29, table columns G to I</t>
  </si>
  <si>
    <t xml:space="preserve">When she sells in year 20 she pays exit tax on the gain since the last reset:</t>
  </si>
  <si>
    <t xml:space="preserve">C29, "Tax on the sale"</t>
  </si>
  <si>
    <t xml:space="preserve">What she receives after all tax:</t>
  </si>
  <si>
    <t xml:space="preserve">C29, "Money you receive after all tax"</t>
  </si>
  <si>
    <t xml:space="preserve">So the growth she really gets each year, after tax, is:</t>
  </si>
  <si>
    <t xml:space="preserve">C29 vs 4% before tax</t>
  </si>
  <si>
    <t xml:space="preserve">2. Sell a rental property</t>
  </si>
  <si>
    <t xml:space="preserve">Cian sells a rental property for €400,000. It cost €250,000 and he spent €15,000 on costs. The gain is:</t>
  </si>
  <si>
    <t xml:space="preserve">C30 section A</t>
  </si>
  <si>
    <t xml:space="preserve">Capital gains tax (31% for a sale after 7 Oct 2026) on the gain after the €1,270 yearly exemption:</t>
  </si>
  <si>
    <t xml:space="preserve">C30, "Tax payable"</t>
  </si>
  <si>
    <t xml:space="preserve">What he keeps (before repaying any loan):</t>
  </si>
  <si>
    <t xml:space="preserve">3. Give an asset to a child</t>
  </si>
  <si>
    <t xml:space="preserve">They give a €300,000 property to their daughter. A gift counts as a sale at market value, so the giver can owe capital gains tax. Cian's gain is:</t>
  </si>
  <si>
    <t xml:space="preserve">C30 section B</t>
  </si>
  <si>
    <t xml:space="preserve">The capital gains tax the giver pays:</t>
  </si>
  <si>
    <t xml:space="preserve">4. A child receives money</t>
  </si>
  <si>
    <t xml:space="preserve">The daughter also receives €500,000 from her parents. Tax for the receiver is gift and inheritance tax (CAT), 33% above the threshold for a child from a parent. The threshold is:</t>
  </si>
  <si>
    <t xml:space="preserve">C30 section C</t>
  </si>
  <si>
    <t xml:space="preserve">CAT she pays:</t>
  </si>
  <si>
    <t xml:space="preserve">5. A year of cash flow (Plan cashflow sheet)</t>
  </si>
  <si>
    <t xml:space="preserve">In the first plan year, money in after tax and pension contributions (today's money):</t>
  </si>
  <si>
    <t xml:space="preserve">Plan cashflow, first row (needs "Fill example values" = Yes on the READ ME)</t>
  </si>
  <si>
    <t xml:space="preserve">Of which income tax, USC and PRSI taken (today's money), already deducted from the figure above:</t>
  </si>
  <si>
    <t xml:space="preserve">Plan pay &amp; tax, tax columns; Plan cashflow, column "TAXES APPLIED THIS YEAR"</t>
  </si>
  <si>
    <t xml:space="preserve">Living costs and one-offs:</t>
  </si>
  <si>
    <t xml:space="preserve">Plan cashflow</t>
  </si>
  <si>
    <t xml:space="preserve">Mortgage and loan repayments:</t>
  </si>
  <si>
    <t xml:space="preserve">What is left (surplus), which goes to saving, goals or spending:</t>
  </si>
  <si>
    <t xml:space="preserve">6. The big idea</t>
  </si>
  <si>
    <t xml:space="preserve">Tax depends on WHAT you own and WHAT you do with it: holding, selling, giving or receiving. The "Tax guide 2026" sheet answers that for every case.</t>
  </si>
  <si>
    <t xml:space="preserve">Tax guide 2026 (pick a situation)</t>
  </si>
  <si>
    <t xml:space="preserve">7. Be honest about limits</t>
  </si>
  <si>
    <t xml:space="preserve">Every tax figure marked "Requires Verification" has not yet been checked against Revenue or the Department of Social Protection. PRSI on pension withdrawals is unresolved.</t>
  </si>
  <si>
    <t xml:space="preserve">Tax assumptions 2026</t>
  </si>
  <si>
    <t xml:space="preserve">Tax: which tax applies, on what, and when (2026)</t>
  </si>
  <si>
    <t xml:space="preserve">Pick a situation in the yellow cell to see the tax in plain words. The full list is below. Status Requires Verification means not yet checked against Revenue / Department of Social Protection. LifeMap column: whether the plan or a calculator takes it off.</t>
  </si>
  <si>
    <t xml:space="preserve">Pick a situation (yellow cell)</t>
  </si>
  <si>
    <t xml:space="preserve">What it means</t>
  </si>
  <si>
    <t xml:space="preserve">Selling: other property or land</t>
  </si>
  <si>
    <t xml:space="preserve">Situation</t>
  </si>
  <si>
    <t xml:space="preserve">Asset or income</t>
  </si>
  <si>
    <t xml:space="preserve">Tax or charge</t>
  </si>
  <si>
    <t xml:space="preserve">Who pays</t>
  </si>
  <si>
    <t xml:space="preserve">Rate 2026</t>
  </si>
  <si>
    <t xml:space="preserve">When it arises</t>
  </si>
  <si>
    <t xml:space="preserve">What it is charged on</t>
  </si>
  <si>
    <t xml:space="preserve">Exemptions and reliefs</t>
  </si>
  <si>
    <t xml:space="preserve">In LifeMap?</t>
  </si>
  <si>
    <t xml:space="preserve">Status</t>
  </si>
  <si>
    <t xml:space="preserve">Earning: employee pay</t>
  </si>
  <si>
    <t xml:space="preserve">Salary, bonus</t>
  </si>
  <si>
    <t xml:space="preserve">Income tax, USC, PRSI</t>
  </si>
  <si>
    <t xml:space="preserve">You (the employer deducts it)</t>
  </si>
  <si>
    <t xml:space="preserve">Income tax 20% / 40%; USC 0.5% to 8%; PRSI 4.2% then 4.35% from 1 Oct 2026</t>
  </si>
  <si>
    <t xml:space="preserve">Each pay day</t>
  </si>
  <si>
    <t xml:space="preserve">Gross pay</t>
  </si>
  <si>
    <t xml:space="preserve">Tax credits (personal, employee), standard rate band €44,000</t>
  </si>
  <si>
    <t xml:space="preserve">Yes: Tax engine, plan</t>
  </si>
  <si>
    <t xml:space="preserve">Requires Verification</t>
  </si>
  <si>
    <t xml:space="preserve">Earning: self-employed</t>
  </si>
  <si>
    <t xml:space="preserve">Profits</t>
  </si>
  <si>
    <t xml:space="preserve">Income tax, USC (+3% over €100,000), PRSI Class S (min €650)</t>
  </si>
  <si>
    <t xml:space="preserve">You (self-assessed)</t>
  </si>
  <si>
    <t xml:space="preserve">As employee; USC surcharge 3%</t>
  </si>
  <si>
    <t xml:space="preserve">Each year, by Revenue deadline</t>
  </si>
  <si>
    <t xml:space="preserve">Earned Income credit</t>
  </si>
  <si>
    <t xml:space="preserve">Yes: Tax engine</t>
  </si>
  <si>
    <t xml:space="preserve">Holding: deposit interest</t>
  </si>
  <si>
    <t xml:space="preserve">Savings, deposits, credit union</t>
  </si>
  <si>
    <t xml:space="preserve">DIRT</t>
  </si>
  <si>
    <t xml:space="preserve">The bank (deducted)</t>
  </si>
  <si>
    <t xml:space="preserve">33%</t>
  </si>
  <si>
    <t xml:space="preserve">When interest is paid or credited</t>
  </si>
  <si>
    <t xml:space="preserve">Interest</t>
  </si>
  <si>
    <t xml:space="preserve">None for most people</t>
  </si>
  <si>
    <t xml:space="preserve">Yes: cash growth is after DIRT</t>
  </si>
  <si>
    <t xml:space="preserve">Holding: funds and ETFs</t>
  </si>
  <si>
    <t xml:space="preserve">Irish and EU funds, ETFs</t>
  </si>
  <si>
    <t xml:space="preserve">Exit tax with the 8-year rule (deemed disposal)</t>
  </si>
  <si>
    <t xml:space="preserve">You (the fund or broker reports; paid by 31 Oct of the next year)</t>
  </si>
  <si>
    <t xml:space="preserve">38% (35% from 1 Jan 2027, not in this 2026 sheet)</t>
  </si>
  <si>
    <t xml:space="preserve">On sale, and every 8 years from purchase even if not sold</t>
  </si>
  <si>
    <t xml:space="preserve">Gain over the cost (cost resets after each 8-year event)</t>
  </si>
  <si>
    <t xml:space="preserve">None: no yearly exemption; losses cannot be set against other gains</t>
  </si>
  <si>
    <t xml:space="preserve">Yes: C29 and the plan</t>
  </si>
  <si>
    <t xml:space="preserve">Holding: shares held directly</t>
  </si>
  <si>
    <t xml:space="preserve">Listed shares</t>
  </si>
  <si>
    <t xml:space="preserve">No tax on unrealised gains; income tax on dividends</t>
  </si>
  <si>
    <t xml:space="preserve">You</t>
  </si>
  <si>
    <t xml:space="preserve">Dividends: income tax, USC, PRSI; Irish dividends also 25% withholding tax</t>
  </si>
  <si>
    <t xml:space="preserve">Dividends when paid; gains only when sold</t>
  </si>
  <si>
    <t xml:space="preserve">Dividend income</t>
  </si>
  <si>
    <t xml:space="preserve">Dividend withholding tax is credited against income tax</t>
  </si>
  <si>
    <t xml:space="preserve">Gains: C29, C30. Dividends: not modelled</t>
  </si>
  <si>
    <t xml:space="preserve">Holding: crypto, gold, art</t>
  </si>
  <si>
    <t xml:space="preserve">Crypto, gold, art, collectables</t>
  </si>
  <si>
    <t xml:space="preserve">No tax while held</t>
  </si>
  <si>
    <t xml:space="preserve">None while held</t>
  </si>
  <si>
    <t xml:space="preserve">Only when sold or exchanged</t>
  </si>
  <si>
    <t xml:space="preserve">Nothing while held</t>
  </si>
  <si>
    <t xml:space="preserve">C30 on sale</t>
  </si>
  <si>
    <t xml:space="preserve">Holding: rental property</t>
  </si>
  <si>
    <t xml:space="preserve">Rent received</t>
  </si>
  <si>
    <t xml:space="preserve">Income tax, USC, PRSI on rental profit</t>
  </si>
  <si>
    <t xml:space="preserve">Marginal rates</t>
  </si>
  <si>
    <t xml:space="preserve">Each year</t>
  </si>
  <si>
    <t xml:space="preserve">Rent less allowable costs (and 75% of mortgage interest)</t>
  </si>
  <si>
    <t xml:space="preserve">Allowable costs; Rent a Room relief for a room in your home</t>
  </si>
  <si>
    <t xml:space="preserve">Partly: plan taxes the whole rent (no costs yet)</t>
  </si>
  <si>
    <t xml:space="preserve">Holding: property (any)</t>
  </si>
  <si>
    <t xml:space="preserve">Home or other property</t>
  </si>
  <si>
    <t xml:space="preserve">Local Property Tax (LPT)</t>
  </si>
  <si>
    <t xml:space="preserve">By valuation band, set yearly</t>
  </si>
  <si>
    <t xml:space="preserve">Value band on 1 Nov 2021 (revalued periodically)</t>
  </si>
  <si>
    <t xml:space="preserve">Limited exemptions (new homes, some disabilities)</t>
  </si>
  <si>
    <t xml:space="preserve">No</t>
  </si>
  <si>
    <t xml:space="preserve">Holding: pension fund</t>
  </si>
  <si>
    <t xml:space="preserve">Occupational pension, PRSA, personal pension</t>
  </si>
  <si>
    <t xml:space="preserve">No tax inside the fund</t>
  </si>
  <si>
    <t xml:space="preserve">0% inside the fund</t>
  </si>
  <si>
    <t xml:space="preserve">On benefits only</t>
  </si>
  <si>
    <t xml:space="preserve">Yes: plan (growth after charges)</t>
  </si>
  <si>
    <t xml:space="preserve">Holding: life policy</t>
  </si>
  <si>
    <t xml:space="preserve">Savings or endowment policy</t>
  </si>
  <si>
    <t xml:space="preserve">Exit tax with the 8-year rule</t>
  </si>
  <si>
    <t xml:space="preserve">You (the insurer deducts)</t>
  </si>
  <si>
    <t xml:space="preserve">38%</t>
  </si>
  <si>
    <t xml:space="preserve">On payout, and every 8 years</t>
  </si>
  <si>
    <t xml:space="preserve">Gain over the premiums paid</t>
  </si>
  <si>
    <t xml:space="preserve">Partly: noted, payout added as cash</t>
  </si>
  <si>
    <t xml:space="preserve">Selling: main home</t>
  </si>
  <si>
    <t xml:space="preserve">Your home</t>
  </si>
  <si>
    <t xml:space="preserve">No CGT (principal private residence relief)</t>
  </si>
  <si>
    <t xml:space="preserve">0%</t>
  </si>
  <si>
    <t xml:space="preserve">On sale</t>
  </si>
  <si>
    <t xml:space="preserve">Gain on your only or main home</t>
  </si>
  <si>
    <t xml:space="preserve">Full relief if it was your main home all the time (up to 1 acre)</t>
  </si>
  <si>
    <t xml:space="preserve">Second home, rental property, land</t>
  </si>
  <si>
    <t xml:space="preserve">Capital gains tax (CGT)</t>
  </si>
  <si>
    <t xml:space="preserve">You (file and pay by Revenue deadlines)</t>
  </si>
  <si>
    <t xml:space="preserve">33% before 7 Oct 2026; 31% from 7 Oct 2026</t>
  </si>
  <si>
    <t xml:space="preserve">On the sale date</t>
  </si>
  <si>
    <t xml:space="preserve">Sale price less cost less allowable costs</t>
  </si>
  <si>
    <t xml:space="preserve">Annual exemption €1,270 per person; losses; development land stays at 33%</t>
  </si>
  <si>
    <t xml:space="preserve">C30, plan (other assets)</t>
  </si>
  <si>
    <t xml:space="preserve">Selling: shares held directly</t>
  </si>
  <si>
    <t xml:space="preserve">Shares</t>
  </si>
  <si>
    <t xml:space="preserve">33% before 7 Oct 2026; 31% from then</t>
  </si>
  <si>
    <t xml:space="preserve">Gain over cost</t>
  </si>
  <si>
    <t xml:space="preserve">Annual exemption €1,270 per person; losses</t>
  </si>
  <si>
    <t xml:space="preserve">C29, C30, plan</t>
  </si>
  <si>
    <t xml:space="preserve">Selling: funds and ETFs</t>
  </si>
  <si>
    <t xml:space="preserve">Funds, ETFs</t>
  </si>
  <si>
    <t xml:space="preserve">Exit tax</t>
  </si>
  <si>
    <t xml:space="preserve">You (the fund reports)</t>
  </si>
  <si>
    <t xml:space="preserve">Gain over the cost basis (after 8-year resets)</t>
  </si>
  <si>
    <t xml:space="preserve">None (no exemption, no loss relief)</t>
  </si>
  <si>
    <t xml:space="preserve">Selling: crypto, gold, art</t>
  </si>
  <si>
    <t xml:space="preserve">Crypto, gold, art, other</t>
  </si>
  <si>
    <t xml:space="preserve">On sale or exchange</t>
  </si>
  <si>
    <t xml:space="preserve">Annual exemption €1,270; losses</t>
  </si>
  <si>
    <t xml:space="preserve">C30, plan (alternative investments)</t>
  </si>
  <si>
    <t xml:space="preserve">Selling: development land</t>
  </si>
  <si>
    <t xml:space="preserve">Land with development potential</t>
  </si>
  <si>
    <t xml:space="preserve">CGT at a separate rate</t>
  </si>
  <si>
    <t xml:space="preserve">33% (stays at 33%)</t>
  </si>
  <si>
    <t xml:space="preserve">Gain</t>
  </si>
  <si>
    <t xml:space="preserve">Limited</t>
  </si>
  <si>
    <t xml:space="preserve">Selling: your business</t>
  </si>
  <si>
    <t xml:space="preserve">Shares or assets of a business</t>
  </si>
  <si>
    <t xml:space="preserve">CGT; retirement relief or entrepreneur relief may apply</t>
  </si>
  <si>
    <t xml:space="preserve">33% / 31% unless a relief applies</t>
  </si>
  <si>
    <t xml:space="preserve">Reliefs depend on age, length of ownership and the business</t>
  </si>
  <si>
    <t xml:space="preserve">Drawing: pension lump sum</t>
  </si>
  <si>
    <t xml:space="preserve">Tax-free lump sum at retirement</t>
  </si>
  <si>
    <t xml:space="preserve">Income tax on the part above the tax-free limit</t>
  </si>
  <si>
    <t xml:space="preserve">First €200,000 tax-free (lifetime), next €300,000 at 20%, above that at your marginal rate</t>
  </si>
  <si>
    <t xml:space="preserve">At retirement</t>
  </si>
  <si>
    <t xml:space="preserve">Up to 25% of the fund</t>
  </si>
  <si>
    <t xml:space="preserve">Yes: plan</t>
  </si>
  <si>
    <t xml:space="preserve">Drawing: ARF / PRSA withdrawals</t>
  </si>
  <si>
    <t xml:space="preserve">Pension income after retirement</t>
  </si>
  <si>
    <t xml:space="preserve">Income tax and USC; PRSI is UNRESOLVED</t>
  </si>
  <si>
    <t xml:space="preserve">You (the provider deducts)</t>
  </si>
  <si>
    <t xml:space="preserve">Marginal income tax and USC; PRSI (provider guidance: before 66, and 66 to 70 without the contributory State Pension)</t>
  </si>
  <si>
    <t xml:space="preserve">On each withdrawal</t>
  </si>
  <si>
    <t xml:space="preserve">The amount withdrawn</t>
  </si>
  <si>
    <t xml:space="preserve">Age credit and age exemption from 65</t>
  </si>
  <si>
    <t xml:space="preserve">Yes: plan (PRSI unresolved)</t>
  </si>
  <si>
    <t xml:space="preserve">Drawing: State Pension</t>
  </si>
  <si>
    <t xml:space="preserve">Contributory or non-contributory</t>
  </si>
  <si>
    <t xml:space="preserve">Income tax (taxable); no USC; no PRSI</t>
  </si>
  <si>
    <t xml:space="preserve">Marginal rate on the pension</t>
  </si>
  <si>
    <t xml:space="preserve">Weekly payments</t>
  </si>
  <si>
    <t xml:space="preserve">Pension received</t>
  </si>
  <si>
    <t xml:space="preserve">Age credit; age exemption limits</t>
  </si>
  <si>
    <t xml:space="preserve">Buying: property</t>
  </si>
  <si>
    <t xml:space="preserve">You (the solicitor pays)</t>
  </si>
  <si>
    <t xml:space="preserve">1% to €1m, 2% to €1.5m, 6% above</t>
  </si>
  <si>
    <t xml:space="preserve">On completion</t>
  </si>
  <si>
    <t xml:space="preserve">Purchase price</t>
  </si>
  <si>
    <t xml:space="preserve">Help to Buy may refund income tax for new homes</t>
  </si>
  <si>
    <t xml:space="preserve">Yes: calculators C01, C03</t>
  </si>
  <si>
    <t xml:space="preserve">Buying: shares</t>
  </si>
  <si>
    <t xml:space="preserve">Irish company shares</t>
  </si>
  <si>
    <t xml:space="preserve">1%</t>
  </si>
  <si>
    <t xml:space="preserve">On purchase</t>
  </si>
  <si>
    <t xml:space="preserve">Price</t>
  </si>
  <si>
    <t xml:space="preserve">Gifting: to a spouse or civil partner</t>
  </si>
  <si>
    <t xml:space="preserve">Any asset</t>
  </si>
  <si>
    <t xml:space="preserve">No CGT, no CAT</t>
  </si>
  <si>
    <t xml:space="preserve">On the gift</t>
  </si>
  <si>
    <t xml:space="preserve">Passes at the giver's cost</t>
  </si>
  <si>
    <t xml:space="preserve">Gifting: an asset to a child or other person</t>
  </si>
  <si>
    <t xml:space="preserve">Property, shares, art</t>
  </si>
  <si>
    <t xml:space="preserve">CGT on the GIVER (as if sold at market value) and CAT on the RECEIVER</t>
  </si>
  <si>
    <t xml:space="preserve">Giver pays CGT; receiver pays CAT</t>
  </si>
  <si>
    <t xml:space="preserve">CGT 33% / 31%; CAT 33% above the threshold</t>
  </si>
  <si>
    <t xml:space="preserve">CGT: market value less cost. CAT: value less thresholds</t>
  </si>
  <si>
    <t xml:space="preserve">CGT annual exemption; CAT thresholds (Group A €400,000 before 7 Oct 2026, €420,000 from); small gift exemption €3,000 a year</t>
  </si>
  <si>
    <t xml:space="preserve">C30 B and C</t>
  </si>
  <si>
    <t xml:space="preserve">Gifting: cash</t>
  </si>
  <si>
    <t xml:space="preserve">Cash</t>
  </si>
  <si>
    <t xml:space="preserve">CAT on the RECEIVER only</t>
  </si>
  <si>
    <t xml:space="preserve">Receiver</t>
  </si>
  <si>
    <t xml:space="preserve">33% above the threshold</t>
  </si>
  <si>
    <t xml:space="preserve">Amount received</t>
  </si>
  <si>
    <t xml:space="preserve">Thresholds; small gift exemption €3,000 per giver per year</t>
  </si>
  <si>
    <t xml:space="preserve">C30 C</t>
  </si>
  <si>
    <t xml:space="preserve">Receiving: inheritance</t>
  </si>
  <si>
    <t xml:space="preserve">CAT on the RECEIVER; no CGT on death</t>
  </si>
  <si>
    <t xml:space="preserve">33% above the group threshold</t>
  </si>
  <si>
    <t xml:space="preserve">On death</t>
  </si>
  <si>
    <t xml:space="preserve">Value received</t>
  </si>
  <si>
    <t xml:space="preserve">Spouse exempt; thresholds by group; dwelling house exemption; business and farm reliefs</t>
  </si>
  <si>
    <t xml:space="preserve">Receiving: gift from a parent</t>
  </si>
  <si>
    <t xml:space="preserve">CAT on the RECEIVER</t>
  </si>
  <si>
    <t xml:space="preserve">33% above the Group A threshold</t>
  </si>
  <si>
    <t xml:space="preserve">Value received (lifetime total from parents)</t>
  </si>
  <si>
    <t xml:space="preserve">Group A threshold; small gift exemption</t>
  </si>
  <si>
    <t xml:space="preserve">Receiving: inherited asset later sold</t>
  </si>
  <si>
    <t xml:space="preserve">Property, shares</t>
  </si>
  <si>
    <t xml:space="preserve">CGT on the later gain</t>
  </si>
  <si>
    <t xml:space="preserve">On the later sale</t>
  </si>
  <si>
    <t xml:space="preserve">Sale price less market value on the day it was inherited</t>
  </si>
  <si>
    <t xml:space="preserve">Annual exemption</t>
  </si>
  <si>
    <t xml:space="preserve">C30 A</t>
  </si>
  <si>
    <t xml:space="preserve">Tax figures 2026: every figure the calculators and the plan use</t>
  </si>
  <si>
    <t xml:space="preserve">Every tax figure, in one place. Calculators C29 and C30 read these cells. Status: Verified = confirmed in official guidance · Requires Verification = taken from secondary sources, still to be checked against Revenue / Department of Social Protection. Nothing here has been checked against the official Revenue or DSP pages (they could not be opened when this was built).</t>
  </si>
  <si>
    <t xml:space="preserve">Key</t>
  </si>
  <si>
    <t xml:space="preserve">Category</t>
  </si>
  <si>
    <t xml:space="preserve">Parameter</t>
  </si>
  <si>
    <t xml:space="preserve">2026 value</t>
  </si>
  <si>
    <t xml:space="preserve">Effective</t>
  </si>
  <si>
    <t xml:space="preserve">Used in</t>
  </si>
  <si>
    <t xml:space="preserve">it.band</t>
  </si>
  <si>
    <t xml:space="preserve">Standard-rate band, single (40% starts above)</t>
  </si>
  <si>
    <t xml:space="preserve">1 Jan 2027</t>
  </si>
  <si>
    <t xml:space="preserve">https://www.gov.ie/en/department-of-public-expenditure-infrastructure-public-service-reform-and-digitalisation/publications/your-guide-to-budget-2027/</t>
  </si>
  <si>
    <t xml:space="preserve">Entry point for the 40% rate +€2,500. Dept of Finance summary: the increase is stated; the total is the 2026 figure plus the increase.</t>
  </si>
  <si>
    <t xml:space="preserve">Plan engine / calculators</t>
  </si>
  <si>
    <t xml:space="preserve">it.bandSPCCC</t>
  </si>
  <si>
    <t xml:space="preserve">Standard-rate band, one-parent family</t>
  </si>
  <si>
    <t xml:space="preserve">One-parent band +€2,500. Dept of Finance summary: the increase is stated; the total is the 2026 figure plus the increase.</t>
  </si>
  <si>
    <t xml:space="preserve">it.bandMarried</t>
  </si>
  <si>
    <t xml:space="preserve">Standard-rate band, married one income</t>
  </si>
  <si>
    <t xml:space="preserve">Married, one income, +€2,500. Dept of Finance summary: the increase is stated; the total is the 2026 figure plus the increase.</t>
  </si>
  <si>
    <t xml:space="preserve">it.bandUplift</t>
  </si>
  <si>
    <t xml:space="preserve">Second-income increase to the band (married two incomes)</t>
  </si>
  <si>
    <t xml:space="preserve">Second-income increase: two incomes reach €93,000 (2 x €46,500). Dept of Finance summary: the increase is stated; the total is the 2026 figure plus the increase.</t>
  </si>
  <si>
    <t xml:space="preserve">it.r1</t>
  </si>
  <si>
    <t xml:space="preserve">Standard income tax rate</t>
  </si>
  <si>
    <t xml:space="preserve">https://www.raisin.com/en-ie/taxes/income-tax-rates/</t>
  </si>
  <si>
    <t xml:space="preserve">it.r2</t>
  </si>
  <si>
    <t xml:space="preserve">Higher income tax rate</t>
  </si>
  <si>
    <t xml:space="preserve">it.personal</t>
  </si>
  <si>
    <t xml:space="preserve">Personal tax credit, single</t>
  </si>
  <si>
    <t xml:space="preserve">Personal credit +€125. Dept of Finance summary: the increase is stated; the total is the 2026 figure plus the increase.</t>
  </si>
  <si>
    <t xml:space="preserve">it.personalMarried</t>
  </si>
  <si>
    <t xml:space="preserve">Personal tax credit, married / civil partners</t>
  </si>
  <si>
    <t xml:space="preserve">Married personal credit (twice the single credit). Dept of Finance summary: the increase is stated; the total is the 2026 figure plus the increase.</t>
  </si>
  <si>
    <t xml:space="preserve">it.paye</t>
  </si>
  <si>
    <t xml:space="preserve">Employee (PAYE) tax credit</t>
  </si>
  <si>
    <t xml:space="preserve">Employee credit +€125. Dept of Finance summary: the increase is stated; the total is the 2026 figure plus the increase.</t>
  </si>
  <si>
    <t xml:space="preserve">it.eic</t>
  </si>
  <si>
    <t xml:space="preserve">Earned Income tax credit</t>
  </si>
  <si>
    <t xml:space="preserve">Earned Income credit +€125. Dept of Finance summary: the increase is stated; the total is the 2026 figure plus the increase.</t>
  </si>
  <si>
    <t xml:space="preserve">it.payeCapPct</t>
  </si>
  <si>
    <t xml:space="preserve">Paye Cap Pct</t>
  </si>
  <si>
    <t xml:space="preserve">https://revenue.ie/en/personal-tax-credits-reliefs-and-exemptions/income-and-employment/employee-tax-credit/index.aspx</t>
  </si>
  <si>
    <t xml:space="preserve">it.rent</t>
  </si>
  <si>
    <t xml:space="preserve">Rent Tax Credit, single</t>
  </si>
  <si>
    <t xml:space="preserve">2027 and 2028</t>
  </si>
  <si>
    <t xml:space="preserve">Rent Tax Credit +€150 (stated with the totals in the Budget in Brief).</t>
  </si>
  <si>
    <t xml:space="preserve">it.rentJoint</t>
  </si>
  <si>
    <t xml:space="preserve">Rent Tax Credit, couple</t>
  </si>
  <si>
    <t xml:space="preserve">Rent Tax Credit +€300 for a couple (totals stated in the Budget in Brief).</t>
  </si>
  <si>
    <t xml:space="preserve">it.rentLastYear</t>
  </si>
  <si>
    <t xml:space="preserve">Last year of the Rent Tax Credit</t>
  </si>
  <si>
    <t xml:space="preserve">extended to end-2028</t>
  </si>
  <si>
    <t xml:space="preserve">https://www.noonecasey.ie/irish-budget-2026/</t>
  </si>
  <si>
    <t xml:space="preserve">it.spccc</t>
  </si>
  <si>
    <t xml:space="preserve">Single Person Child Carer credit</t>
  </si>
  <si>
    <t xml:space="preserve">1 Jan 2026</t>
  </si>
  <si>
    <t xml:space="preserve">https://www.irishtaxhub.ie/blog/tax-credits-in-ireland-full-list</t>
  </si>
  <si>
    <t xml:space="preserve">it.homeCarer</t>
  </si>
  <si>
    <t xml:space="preserve">Home Carer tax credit</t>
  </si>
  <si>
    <t xml:space="preserve">Home Carer credit +€100. Dept of Finance summary: the increase is stated; the total is the 2026 figure plus the increase.</t>
  </si>
  <si>
    <t xml:space="preserve">it.homeCarerLimit</t>
  </si>
  <si>
    <t xml:space="preserve">Home Carer Limit</t>
  </si>
  <si>
    <t xml:space="preserve">2026 (verify limit and taper)</t>
  </si>
  <si>
    <t xml:space="preserve">it.ageCreditAge</t>
  </si>
  <si>
    <t xml:space="preserve">Age Credit Age</t>
  </si>
  <si>
    <t xml:space="preserve">https://www.irishtaxhub.ie/blog/retirees-pensioners-what-budget-2026-might-mean-for-you</t>
  </si>
  <si>
    <t xml:space="preserve">it.ageCredit</t>
  </si>
  <si>
    <t xml:space="preserve">Age Credit</t>
  </si>
  <si>
    <t xml:space="preserve">it.ageExempt</t>
  </si>
  <si>
    <t xml:space="preserve">Age Exempt</t>
  </si>
  <si>
    <t xml:space="preserve">it.ageExemptMarried</t>
  </si>
  <si>
    <t xml:space="preserve">Age Exempt Married</t>
  </si>
  <si>
    <t xml:space="preserve">it.ageMarginal</t>
  </si>
  <si>
    <t xml:space="preserve">Age Marginal</t>
  </si>
  <si>
    <t xml:space="preserve">Law</t>
  </si>
  <si>
    <t xml:space="preserve">usc.bands</t>
  </si>
  <si>
    <t xml:space="preserve">USC bands and rates</t>
  </si>
  <si>
    <t xml:space="preserve">[[12012, 0.005], [28700, 0.02], [70044, 0.03], [null, 0.08]]</t>
  </si>
  <si>
    <t xml:space="preserve">The 2% band ceiling rises from €28,700 to €30,300 (stated in the Budget in Brief). Nothing else in USC changes.</t>
  </si>
  <si>
    <t xml:space="preserve">usc.exempt</t>
  </si>
  <si>
    <t xml:space="preserve">USC exemption (income up to)</t>
  </si>
  <si>
    <t xml:space="preserve">usc.reducedAge</t>
  </si>
  <si>
    <t xml:space="preserve">Reduced Age</t>
  </si>
  <si>
    <t xml:space="preserve">usc.reducedMax</t>
  </si>
  <si>
    <t xml:space="preserve">Reduced Max</t>
  </si>
  <si>
    <t xml:space="preserve">usc.reducedBands</t>
  </si>
  <si>
    <t xml:space="preserve">Reduced Bands</t>
  </si>
  <si>
    <t xml:space="preserve">[[12012, 0.005], [null, 0.02]]</t>
  </si>
  <si>
    <t xml:space="preserve">usc.seSurcharge</t>
  </si>
  <si>
    <t xml:space="preserve">Se Surcharge</t>
  </si>
  <si>
    <t xml:space="preserve">usc.seSurchargeOver</t>
  </si>
  <si>
    <t xml:space="preserve">Se Surcharge Over</t>
  </si>
  <si>
    <t xml:space="preserve">prsi.path</t>
  </si>
  <si>
    <t xml:space="preserve">PRSI rate path (Class A / S)</t>
  </si>
  <si>
    <t xml:space="preserve">[{"y": 2025, "m": 10, "r": 0.042}, {"y": 2026, "m": 10, "r": 0.0435}, {"y": 2027, "m": 10, "r": 0.045}, {"y": 2028, "m":</t>
  </si>
  <si>
    <t xml:space="preserve">1 Oct 2026 (4.35%)</t>
  </si>
  <si>
    <t xml:space="preserve">https://www.gov.ie/en/publication/ffa563-prsi-class-a-rates</t>
  </si>
  <si>
    <t xml:space="preserve">prsi.wkFree</t>
  </si>
  <si>
    <t xml:space="preserve">Wk Free</t>
  </si>
  <si>
    <t xml:space="preserve">https://payslipiq.co.uk/ie/methodology/prsi</t>
  </si>
  <si>
    <t xml:space="preserve">prsi.creditMax</t>
  </si>
  <si>
    <t xml:space="preserve">Credit Max</t>
  </si>
  <si>
    <t xml:space="preserve">prsi.creditTo</t>
  </si>
  <si>
    <t xml:space="preserve">Credit To</t>
  </si>
  <si>
    <t xml:space="preserve">prsi.creditTaper</t>
  </si>
  <si>
    <t xml:space="preserve">Credit Taper</t>
  </si>
  <si>
    <t xml:space="preserve">prsi.endAge</t>
  </si>
  <si>
    <t xml:space="preserve">End Age</t>
  </si>
  <si>
    <t xml:space="preserve">https://www.oireachtas.ie/en/debates/question/2018-11-21/241/</t>
  </si>
  <si>
    <t xml:space="preserve">prsi.sMinIncome</t>
  </si>
  <si>
    <t xml:space="preserve">S Min Income</t>
  </si>
  <si>
    <t xml:space="preserve">https://www.gov.ie/en/department-of-social-protection/publications/prsi-class-s-rates/</t>
  </si>
  <si>
    <t xml:space="preserve">prsi.sMin</t>
  </si>
  <si>
    <t xml:space="preserve">S Min</t>
  </si>
  <si>
    <t xml:space="preserve">prsi.arfApplies</t>
  </si>
  <si>
    <t xml:space="preserve">PRSI on ARF / PRSA withdrawals (UNRESOLVED)</t>
  </si>
  <si>
    <t xml:space="preserve">UNRESOLVED: PRSI on ARF / PRSA withdrawals. Provider and adviser sources say it is deducted (Class S) before 66, and from 66 to 70 unless you receive the contributory State Pension (rule from 1 Jan 2024); no Revenue or DSP page confirmed it and the Class K position is unclear. The plan applies it so the figure is prudent, and says so. Nothing here is verified</t>
  </si>
  <si>
    <t xml:space="preserve">https://www.citizensinformation.ie/en/social-welfare/irish-social-welfare-system/social-insurance-prsi/social-insurance-classes/</t>
  </si>
  <si>
    <t xml:space="preserve">prsi.arfToAge</t>
  </si>
  <si>
    <t xml:space="preserve">PRSI on ARF withdrawals continues to this age without a contributory State Pension (UNRESOLVED)</t>
  </si>
  <si>
    <t xml:space="preserve">UNRESOLVED: age to which PRSI on ARF withdrawals continues if you do not receive the contributory State Pension</t>
  </si>
  <si>
    <t xml:space="preserve">prsi.unearnedMin</t>
  </si>
  <si>
    <t xml:space="preserve">Unearned Min</t>
  </si>
  <si>
    <t xml:space="preserve">pen.relief</t>
  </si>
  <si>
    <t xml:space="preserve">Pensions</t>
  </si>
  <si>
    <t xml:space="preserve">Pension tax relief limits by age</t>
  </si>
  <si>
    <t xml:space="preserve">[[30, 0.15], [40, 0.2], [50, 0.25], [55, 0.3], [60, 0.35], [null, 0.4]]</t>
  </si>
  <si>
    <t xml:space="preserve">Unchanged</t>
  </si>
  <si>
    <t xml:space="preserve">https://www.irishtaxhub.ie/blog/pension-contributions-income-tax-maximize-your-relief</t>
  </si>
  <si>
    <t xml:space="preserve">pen.earnCap</t>
  </si>
  <si>
    <t xml:space="preserve">Pension relief earnings cap</t>
  </si>
  <si>
    <t xml:space="preserve">pen.lsMaxPct</t>
  </si>
  <si>
    <t xml:space="preserve">Retirement lump sum: share of the fund</t>
  </si>
  <si>
    <t xml:space="preserve">Finance Act 2024</t>
  </si>
  <si>
    <t xml:space="preserve">https://pwc.ie/services/workforce/insights/finance-act-2024-pensions-pulse.html</t>
  </si>
  <si>
    <t xml:space="preserve">pen.lsTaxFree</t>
  </si>
  <si>
    <t xml:space="preserve">Retirement lump sum: tax-free amount</t>
  </si>
  <si>
    <t xml:space="preserve">Finance Act 2024 (lifetime, not indexed)</t>
  </si>
  <si>
    <t xml:space="preserve">pen.lsCap</t>
  </si>
  <si>
    <t xml:space="preserve">Retirement lump sum: 20% band ends</t>
  </si>
  <si>
    <t xml:space="preserve">Finance Act 2024 (not indexed)</t>
  </si>
  <si>
    <t xml:space="preserve">pen.lsBandRate</t>
  </si>
  <si>
    <t xml:space="preserve">Retirement lump sum: rate in the middle band</t>
  </si>
  <si>
    <t xml:space="preserve">pen.sft</t>
  </si>
  <si>
    <t xml:space="preserve">Standard Fund Threshold by year</t>
  </si>
  <si>
    <t xml:space="preserve">{"2026": 2200000, "2027": 2400000, "2028": 2600000, "2029": 2800000}</t>
  </si>
  <si>
    <t xml:space="preserve">https://wtwco.com/en-ie/insights/2024/10/significant-revisions-announced-to-the-standard-fund-threshold</t>
  </si>
  <si>
    <t xml:space="preserve">pen.sftRate</t>
  </si>
  <si>
    <t xml:space="preserve">Tax above the Standard Fund Threshold</t>
  </si>
  <si>
    <t xml:space="preserve">pen.arfMin61</t>
  </si>
  <si>
    <t xml:space="preserve">ARF minimum withdrawal from 61</t>
  </si>
  <si>
    <t xml:space="preserve">https://cantorfitzgerald.ie/wp-content/uploads/2026/06/ARF-6pp-A4-Brochure-6-26.pdf</t>
  </si>
  <si>
    <t xml:space="preserve">pen.arfMin71</t>
  </si>
  <si>
    <t xml:space="preserve">ARF minimum withdrawal from 71</t>
  </si>
  <si>
    <t xml:space="preserve">pen.arfMinBig</t>
  </si>
  <si>
    <t xml:space="preserve">ARF minimum withdrawal over the large-fund limit</t>
  </si>
  <si>
    <t xml:space="preserve">pen.arfBig</t>
  </si>
  <si>
    <t xml:space="preserve">ARF large-fund limit</t>
  </si>
  <si>
    <t xml:space="preserve">pen.earliestAge</t>
  </si>
  <si>
    <t xml:space="preserve">Earliest Age</t>
  </si>
  <si>
    <t xml:space="preserve">Law (PRSA / personal pensions)</t>
  </si>
  <si>
    <t xml:space="preserve">https://www.revenue.ie/en/tax-professionals/tdm/pensions/index.aspx</t>
  </si>
  <si>
    <t xml:space="preserve">ae.start</t>
  </si>
  <si>
    <t xml:space="preserve">Auto-enrolment</t>
  </si>
  <si>
    <t xml:space="preserve">Start</t>
  </si>
  <si>
    <t xml:space="preserve">https://www.gov.ie/en/publication/12d1c-auto-enrolment-retirement-savings-system-for-employers</t>
  </si>
  <si>
    <t xml:space="preserve">ae.ageMin</t>
  </si>
  <si>
    <t xml:space="preserve">Age Min</t>
  </si>
  <si>
    <t xml:space="preserve">ae.ageMax</t>
  </si>
  <si>
    <t xml:space="preserve">Age Max</t>
  </si>
  <si>
    <t xml:space="preserve">ae.earnMin</t>
  </si>
  <si>
    <t xml:space="preserve">Earn Min</t>
  </si>
  <si>
    <t xml:space="preserve">ae.earnCap</t>
  </si>
  <si>
    <t xml:space="preserve">Earn Cap</t>
  </si>
  <si>
    <t xml:space="preserve">ae.ee</t>
  </si>
  <si>
    <t xml:space="preserve">Ee</t>
  </si>
  <si>
    <t xml:space="preserve">2026–2028</t>
  </si>
  <si>
    <t xml:space="preserve">ae.er</t>
  </si>
  <si>
    <t xml:space="preserve">Er</t>
  </si>
  <si>
    <t xml:space="preserve">ae.state</t>
  </si>
  <si>
    <t xml:space="preserve">State</t>
  </si>
  <si>
    <t xml:space="preserve">sp.week</t>
  </si>
  <si>
    <t xml:space="preserve">Social welfare and State Pension</t>
  </si>
  <si>
    <t xml:space="preserve">State Pension (Contributory), a week</t>
  </si>
  <si>
    <t xml:space="preserve">Jan 2027</t>
  </si>
  <si>
    <t xml:space="preserve">https://www.zurich.ie/blog/pension-changes-2027/</t>
  </si>
  <si>
    <t xml:space="preserve">Weekly social welfare payments +€10 (official). €309.30 is also in adviser tables (Zurich).</t>
  </si>
  <si>
    <t xml:space="preserve">sp.age</t>
  </si>
  <si>
    <t xml:space="preserve">Age</t>
  </si>
  <si>
    <t xml:space="preserve">https://www.gov.ie/en/publication/d8fd8-flexible-pension-options</t>
  </si>
  <si>
    <t xml:space="preserve">sp.over80</t>
  </si>
  <si>
    <t xml:space="preserve">State Pension: extra from 80, a week</t>
  </si>
  <si>
    <t xml:space="preserve">https://www.zurich.ie/blog/pension-changes-2026</t>
  </si>
  <si>
    <t xml:space="preserve">sp.qa66</t>
  </si>
  <si>
    <t xml:space="preserve">Qualified Adult increase, 66 or over, a week</t>
  </si>
  <si>
    <t xml:space="preserve">Not used: Citizens Information and Zurich show €277.40 for 2027 (second-hand; the Department of Social Protection table was not opened). The 2026 amount is carried forward.</t>
  </si>
  <si>
    <t xml:space="preserve">sp.qaUnder66</t>
  </si>
  <si>
    <t xml:space="preserve">Qualified Adult increase, under 66, a week</t>
  </si>
  <si>
    <t xml:space="preserve">https://www.inou.ie/assets/files/pdf/2026_-_inou_budget_factsheet.pdf</t>
  </si>
  <si>
    <t xml:space="preserve">Not used: Citizens Information and Zurich show €206.10 for 2027 (second-hand; the Department of Social Protection table was not opened). The 2026 amount is carried forward.</t>
  </si>
  <si>
    <t xml:space="preserve">sp.fullYears</t>
  </si>
  <si>
    <t xml:space="preserve">Full Years</t>
  </si>
  <si>
    <t xml:space="preserve">https://www.gov.ie/en/publication/b6193-how-to-calculate-your-state-pension-contributory-rate</t>
  </si>
  <si>
    <t xml:space="preserve">sp.minYears</t>
  </si>
  <si>
    <t xml:space="preserve">Min Years</t>
  </si>
  <si>
    <t xml:space="preserve">sp.illness</t>
  </si>
  <si>
    <t xml:space="preserve">Illness Benefit, a week</t>
  </si>
  <si>
    <t xml:space="preserve">Not used: Citizens Information shows the same €264 as Jobseeker's Benefit for 2027 (second-hand; the Department of Social Protection table was not opened). The 2026 amount is carried forward.</t>
  </si>
  <si>
    <t xml:space="preserve">sp.survivor</t>
  </si>
  <si>
    <t xml:space="preserve">Survivor's pension, under 66, a week</t>
  </si>
  <si>
    <t xml:space="preserve">https://www.raisin.com/en-ie/pensions/widow-pensions</t>
  </si>
  <si>
    <t xml:space="preserve">Not used: Citizens Information shows €269.50 for 2027 (second-hand; the Department of Social Protection table was not opened). The 2026 amount is carried forward.</t>
  </si>
  <si>
    <t xml:space="preserve">sp.survivor66</t>
  </si>
  <si>
    <t xml:space="preserve">Survivor's pension, 66 or over, a week</t>
  </si>
  <si>
    <t xml:space="preserve">Not used: Citizens Information shows €309.30 for 2027 (second-hand; the Department of Social Protection table was not opened). The 2026 amount is carried forward.</t>
  </si>
  <si>
    <t xml:space="preserve">sp.weeks</t>
  </si>
  <si>
    <t xml:space="preserve">Weeks</t>
  </si>
  <si>
    <t xml:space="preserve">Verified</t>
  </si>
  <si>
    <t xml:space="preserve">Convention</t>
  </si>
  <si>
    <t xml:space="preserve">sp.iqaLimit</t>
  </si>
  <si>
    <t xml:space="preserve">Qualified Adult: partner's own income limit, a week</t>
  </si>
  <si>
    <t xml:space="preserve">Announced / Provisional</t>
  </si>
  <si>
    <t xml:space="preserve">1 Jul 2027</t>
  </si>
  <si>
    <t xml:space="preserve">https://www.citizensinformation.ie/en/money-and-tax/budgets/budget-2027/</t>
  </si>
  <si>
    <t xml:space="preserve">Qualified Adult income limit €310 to €340 a week from July 2027 (Citizens Information, as quoted in search results; the DSP page was not opened). A change that starts on or before 1 July applies to that whole plan year.</t>
  </si>
  <si>
    <t xml:space="preserve">sp.nonContrib</t>
  </si>
  <si>
    <t xml:space="preserve">State Pension (Non-Contributory), a week</t>
  </si>
  <si>
    <t xml:space="preserve">1 Jan 2026 (reference only: not used by the plan)</t>
  </si>
  <si>
    <t xml:space="preserve">https://www.gov.ie/en/department-of-social-protection/</t>
  </si>
  <si>
    <t xml:space="preserve">Not used: Citizens Information shows €298 for 2027 (second-hand; the Department of Social Protection table was not opened). The 2026 amount is carried forward.</t>
  </si>
  <si>
    <t xml:space="preserve">sp.qaIllness</t>
  </si>
  <si>
    <t xml:space="preserve">Qualified Adult increase, Illness Benefit, a week</t>
  </si>
  <si>
    <t xml:space="preserve">Not used: Citizens Information shows €175.20 (as Jobseeker's Benefit) for 2027 (second-hand; the Department of Social Protection table was not opened). The 2026 amount is carried forward.</t>
  </si>
  <si>
    <t xml:space="preserve">sav.dirt</t>
  </si>
  <si>
    <t xml:space="preserve">Savings, investments and CGT</t>
  </si>
  <si>
    <t xml:space="preserve">DIRT on deposit interest</t>
  </si>
  <si>
    <t xml:space="preserve">https://cantorfitzgerald.ie/budget-2026-key-updates-for-investors-and-savers</t>
  </si>
  <si>
    <t xml:space="preserve">Cash growth in the plan (rates are after DIRT)</t>
  </si>
  <si>
    <t xml:space="preserve">sav.exit</t>
  </si>
  <si>
    <t xml:space="preserve">Exit tax: funds and life policies</t>
  </si>
  <si>
    <t xml:space="preserve">Investment Undertaking Tax, life assurance exit tax, equivalent offshore funds and certain foreign policies 38% to 35% (official). 1 Jan 2027 is from press coverage. The 8-year deemed disposal stays.</t>
  </si>
  <si>
    <t xml:space="preserve">sav.deemed</t>
  </si>
  <si>
    <t xml:space="preserve">Deemed disposal period (years)</t>
  </si>
  <si>
    <t xml:space="preserve">https://etf.ie/blog/budget-2026-etf/</t>
  </si>
  <si>
    <t xml:space="preserve">C29, plan</t>
  </si>
  <si>
    <t xml:space="preserve">sav.cgt</t>
  </si>
  <si>
    <t xml:space="preserve">Capital gains tax: standard rate from 7 Oct 2026</t>
  </si>
  <si>
    <t xml:space="preserve">standard rate on disposals from 7 Oct 2026 (Revenue eBrief 142/26, seen in search results; page not opened)</t>
  </si>
  <si>
    <t xml:space="preserve">https://www.revenue.ie/en/tax-professionals/ebrief/2026/no-1422026.aspx</t>
  </si>
  <si>
    <t xml:space="preserve">sav.cgtBefore</t>
  </si>
  <si>
    <t xml:space="preserve">Capital gains tax: standard rate before 7 Oct 2026</t>
  </si>
  <si>
    <t xml:space="preserve">standard rate on disposals before 7 Oct 2026</t>
  </si>
  <si>
    <t xml:space="preserve">sav.cgtFrom</t>
  </si>
  <si>
    <t xml:space="preserve">Capital gains tax: new rate starts</t>
  </si>
  <si>
    <t xml:space="preserve">2026-10-07</t>
  </si>
  <si>
    <t xml:space="preserve">date the 31% rate starts</t>
  </si>
  <si>
    <t xml:space="preserve">sav.cgtDev</t>
  </si>
  <si>
    <t xml:space="preserve">Capital gains tax: development land</t>
  </si>
  <si>
    <t xml:space="preserve">development land stays at 33% (not modelled)</t>
  </si>
  <si>
    <t xml:space="preserve">sav.cgtExempt</t>
  </si>
  <si>
    <t xml:space="preserve">Capital gains tax: yearly exemption per person</t>
  </si>
  <si>
    <t xml:space="preserve">annual exemption per person each tax year: stated in Revenue TDM 19-07-01 and Revenue's CGT pages as quoted in search results (losses come off first, not transferable between spouses, unused amount lost). The page you named could not be opened, so this stays Requires Verification</t>
  </si>
  <si>
    <t xml:space="preserve">https://www.revenue.ie/en/tax-professionals/tdm/income-tax-capital-gains-tax-corporation-tax/part-19/19-07-01.pdf</t>
  </si>
  <si>
    <t xml:space="preserve">sav.cat</t>
  </si>
  <si>
    <t xml:space="preserve">Gift and inheritance tax: Group A threshold (not in the plan)</t>
  </si>
  <si>
    <t xml:space="preserve">gifts and inheritances from 7 Oct 2026 (Group A up 5%, from €400,000)</t>
  </si>
  <si>
    <t xml:space="preserve">home.ltiFTB</t>
  </si>
  <si>
    <t xml:space="preserve">Home</t>
  </si>
  <si>
    <t xml:space="preserve">Lti F T B</t>
  </si>
  <si>
    <t xml:space="preserve">1 Jan 2023</t>
  </si>
  <si>
    <t xml:space="preserve">https://www.centralbank.ie/news/article/central-bank-announces-targeted-changes-to-mortgage-measures-framework</t>
  </si>
  <si>
    <t xml:space="preserve">home.ltiSSB</t>
  </si>
  <si>
    <t xml:space="preserve">Lti S S B</t>
  </si>
  <si>
    <t xml:space="preserve">home.ltv</t>
  </si>
  <si>
    <t xml:space="preserve">Ltv</t>
  </si>
  <si>
    <t xml:space="preserve">home.stamp</t>
  </si>
  <si>
    <t xml:space="preserve">Stamp duty rates</t>
  </si>
  <si>
    <t xml:space="preserve">[[1000000, 0.01], [1500000, 0.02], [null, 0.06]]</t>
  </si>
  <si>
    <t xml:space="preserve">Budget 2025</t>
  </si>
  <si>
    <t xml:space="preserve">https://www.raisin.com/en-ie/taxes/stamp-duty-ireland/</t>
  </si>
  <si>
    <t xml:space="preserve">home.htbMax</t>
  </si>
  <si>
    <t xml:space="preserve">Help to Buy: maximum relief</t>
  </si>
  <si>
    <t xml:space="preserve">immediate effect, Budget 2027 (scheme to 31 Dec 2029)</t>
  </si>
  <si>
    <t xml:space="preserve">infl.ie</t>
  </si>
  <si>
    <t xml:space="preserve">Inflation</t>
  </si>
  <si>
    <t xml:space="preserve">Ie</t>
  </si>
  <si>
    <t xml:space="preserve">CSO HICP flash, Sep 2026 (published 1 Oct 2026)</t>
  </si>
  <si>
    <t xml:space="preserve">https://www.cso.ie/en/csolatestnews/pressreleases/2026pressreleases/pressstatementflashestimatefortheharmonisedindexofconsumerpricesseptember2026/</t>
  </si>
  <si>
    <t xml:space="preserve">infl.ieSrc</t>
  </si>
  <si>
    <t xml:space="preserve">Ie Src</t>
  </si>
  <si>
    <t xml:space="preserve">CSO HICP flash, Sep 2026</t>
  </si>
  <si>
    <t xml:space="preserve">1 Oct 2026</t>
  </si>
  <si>
    <t xml:space="preserve">https://www.cso.ie</t>
  </si>
  <si>
    <t xml:space="preserve">guide.cardCap</t>
  </si>
  <si>
    <t xml:space="preserve">Guidance</t>
  </si>
  <si>
    <t xml:space="preserve">Card Cap</t>
  </si>
  <si>
    <t xml:space="preserve">2022</t>
  </si>
  <si>
    <t xml:space="preserve">https://www.centralbank.ie/news/article/central-bank-review-finds-over-400-000-credit-cards-are-on-historic-high-interest-rates</t>
  </si>
  <si>
    <t xml:space="preserve">guide.schemeEarliest</t>
  </si>
  <si>
    <t xml:space="preserve">Scheme Earliest</t>
  </si>
  <si>
    <t xml:space="preserve">cat.a.before</t>
  </si>
  <si>
    <t xml:space="preserve">Group A threshold (child from parent): gifts and inheritances before 7 Oct 2026</t>
  </si>
  <si>
    <t xml:space="preserve">before 7 Oct 2026</t>
  </si>
  <si>
    <t xml:space="preserve">https://www.revenue.ie/en/gains-gifts-and-inheritance/</t>
  </si>
  <si>
    <t xml:space="preserve">Lifetime total received from parents, since 5 Dec 1991</t>
  </si>
  <si>
    <t xml:space="preserve">cat.a.after</t>
  </si>
  <si>
    <t xml:space="preserve">Group A threshold: from 7 Oct 2026 (Budget 2027, up 5%)</t>
  </si>
  <si>
    <t xml:space="preserve">from 7 Oct 2026</t>
  </si>
  <si>
    <t xml:space="preserve">Official guide: Group A up 5%; the euro figure is 400,000 x 1.05</t>
  </si>
  <si>
    <t xml:space="preserve">cat.b.before</t>
  </si>
  <si>
    <t xml:space="preserve">Group B threshold (parent, sibling, niece, nephew, grandchild): before 7 Oct 2026</t>
  </si>
  <si>
    <t xml:space="preserve">From memory of the 2025 rules: not checked</t>
  </si>
  <si>
    <t xml:space="preserve">cat.b.after</t>
  </si>
  <si>
    <t xml:space="preserve">Group B threshold: from 7 Oct 2026 (up 10%)</t>
  </si>
  <si>
    <t xml:space="preserve">Official guide: Group B up 10%; the euro figure is 40,000 x 1.10</t>
  </si>
  <si>
    <t xml:space="preserve">cat.c.before</t>
  </si>
  <si>
    <t xml:space="preserve">Group C threshold (everyone else): before 7 Oct 2026</t>
  </si>
  <si>
    <t xml:space="preserve">cat.c.after</t>
  </si>
  <si>
    <t xml:space="preserve">Group C threshold: from 7 Oct 2026 (up 10%)</t>
  </si>
  <si>
    <t xml:space="preserve">Official guide: Group C up 10%; the euro figure is 20,000 x 1.10</t>
  </si>
  <si>
    <t xml:space="preserve">cat.rate</t>
  </si>
  <si>
    <t xml:space="preserve">CAT rate on the amount above the threshold</t>
  </si>
  <si>
    <t xml:space="preserve">long-standing</t>
  </si>
  <si>
    <t xml:space="preserve">cat.small</t>
  </si>
  <si>
    <t xml:space="preserve">Small gift exemption: per giver, per year</t>
  </si>
  <si>
    <t xml:space="preserve">Gifts up to this from one giver in a year are not counted</t>
  </si>
  <si>
    <t xml:space="preserve">Plan inputs: everything the "Make my plan" engine needs (same as the prototype's customer state)</t>
  </si>
  <si>
    <t xml:space="preserve">Type your figures in the yellow cells (column C). A blank cell is €0, or "not chosen" for a choice: the plan then uses the standard from Settings and "Plan results" lists what still needs choosing ("we need N things"). Switch "Fill example values" on README to Yes and every blank cell uses the grey example (the prototype's sample customer, Aoife and Cian). Column G is the figure the plan uses; column H says 1 if you gave it. Never type in columns F, G or H.</t>
  </si>
  <si>
    <t xml:space="preserve">ABOUT YOU, CHOICES AND SAVING</t>
  </si>
  <si>
    <t xml:space="preserve">Your figure</t>
  </si>
  <si>
    <t xml:space="preserve">Unit</t>
  </si>
  <si>
    <t xml:space="preserve">Prototype state key</t>
  </si>
  <si>
    <t xml:space="preserve">Example (sample)</t>
  </si>
  <si>
    <t xml:space="preserve">Used by the plan</t>
  </si>
  <si>
    <t xml:space="preserve">Given?</t>
  </si>
  <si>
    <t xml:space="preserve">Your first name (used in the line under your date of birth)</t>
  </si>
  <si>
    <t xml:space="preserve">S.acct.name</t>
  </si>
  <si>
    <t xml:space="preserve">Aoife</t>
  </si>
  <si>
    <t xml:space="preserve">Your date of birth (age in the first plan year = start year - birth year; age today 18 to 80)</t>
  </si>
  <si>
    <t xml:space="preserve">date</t>
  </si>
  <si>
    <t xml:space="preserve">About you. The prototype: S.about.dob (S.about.age is derived)</t>
  </si>
  <si>
    <t xml:space="preserve">Planning with a partner? (Yes/No)</t>
  </si>
  <si>
    <t xml:space="preserve">S.about.partner</t>
  </si>
  <si>
    <t xml:space="preserve">Married or civil partners? (Yes/No, blank = not said)</t>
  </si>
  <si>
    <t xml:space="preserve">S.about.married (Yes = joint tax assessment)</t>
  </si>
  <si>
    <t xml:space="preserve">Children or others who rely on you</t>
  </si>
  <si>
    <t xml:space="preserve">number</t>
  </si>
  <si>
    <t xml:space="preserve">S.about.deps</t>
  </si>
  <si>
    <t xml:space="preserve">Retirement age (your choice, never filled in for you)</t>
  </si>
  <si>
    <t xml:space="preserve">age</t>
  </si>
  <si>
    <t xml:space="preserve">S.retireAge</t>
  </si>
  <si>
    <t xml:space="preserve">Partner's retirement age (your choice; needed when your partner has income)</t>
  </si>
  <si>
    <t xml:space="preserve">S.pRet</t>
  </si>
  <si>
    <t xml:space="preserve">Inflation you choose (a rate, e.g. 0.02 = 2%)</t>
  </si>
  <si>
    <t xml:space="preserve">rate: 0.0375 = 3.75%</t>
  </si>
  <si>
    <t xml:space="preserve">S.infl</t>
  </si>
  <si>
    <t xml:space="preserve">Growth set (Standard / Cautious)</t>
  </si>
  <si>
    <t xml:space="preserve">S.assume</t>
  </si>
  <si>
    <t xml:space="preserve">Q6 answer: how much could you invest? (0 to 4, blank = not answered)</t>
  </si>
  <si>
    <t xml:space="preserve">0-4</t>
  </si>
  <si>
    <t xml:space="preserve">S.ans['6']</t>
  </si>
  <si>
    <t xml:space="preserve">My monthly saving (today's money, blank = use the rule)</t>
  </si>
  <si>
    <t xml:space="preserve">€ a month</t>
  </si>
  <si>
    <t xml:space="preserve">S.saveM</t>
  </si>
  <si>
    <t xml:space="preserve">My saving: raise the rule (Yes) or cap it (No); blank = decided by the amount</t>
  </si>
  <si>
    <t xml:space="preserve">S.saveUp</t>
  </si>
  <si>
    <t xml:space="preserve">Extra monthly pension contribution you chose (€ a month)</t>
  </si>
  <si>
    <t xml:space="preserve">S.penExtra</t>
  </si>
  <si>
    <t xml:space="preserve">Claim the Rent Tax Credit? (Yes/No)</t>
  </si>
  <si>
    <t xml:space="preserve">S.about.cred.rent</t>
  </si>
  <si>
    <t xml:space="preserve">Claim the Single Person Child Carer Credit? (Yes/No)</t>
  </si>
  <si>
    <t xml:space="preserve">S.about.cred.lone</t>
  </si>
  <si>
    <t xml:space="preserve">Claim the Home Carer Credit? (Yes/No)</t>
  </si>
  <si>
    <t xml:space="preserve">S.about.cred.carer</t>
  </si>
  <si>
    <t xml:space="preserve">WHAT IF (Results screen)</t>
  </si>
  <si>
    <t xml:space="preserve">What if: put it towards goal number (1 to 22, as listed below; blank = none)</t>
  </si>
  <si>
    <t xml:space="preserve">goal no.</t>
  </si>
  <si>
    <t xml:space="preserve">S.wi.g</t>
  </si>
  <si>
    <t xml:space="preserve">What if: extra (or less) each month</t>
  </si>
  <si>
    <t xml:space="preserve">S.wi.m</t>
  </si>
  <si>
    <t xml:space="preserve">What if: one-off amount</t>
  </si>
  <si>
    <t xml:space="preserve">€</t>
  </si>
  <si>
    <t xml:space="preserve">S.wi.l</t>
  </si>
  <si>
    <t xml:space="preserve">YOUR FINANCES</t>
  </si>
  <si>
    <t xml:space="preserve">Your work (Employed / Self-employed / Not working)</t>
  </si>
  <si>
    <t xml:space="preserve">S.fin.work</t>
  </si>
  <si>
    <t xml:space="preserve">Employed</t>
  </si>
  <si>
    <t xml:space="preserve">Your gross yearly income</t>
  </si>
  <si>
    <t xml:space="preserve">S.fin.income</t>
  </si>
  <si>
    <t xml:space="preserve">Partner's gross yearly income</t>
  </si>
  <si>
    <t xml:space="preserve">S.fin.pIncome</t>
  </si>
  <si>
    <t xml:space="preserve">Partner's date of birth (age today 18 to 85)</t>
  </si>
  <si>
    <t xml:space="preserve">S.about.pdob (S.fin.pAge is derived)</t>
  </si>
  <si>
    <t xml:space="preserve">Other income a month (before tax)</t>
  </si>
  <si>
    <t xml:space="preserve">S.fin.otherM</t>
  </si>
  <si>
    <t xml:space="preserve">Monthly living costs (leave out mortgage and loan repayments)</t>
  </si>
  <si>
    <t xml:space="preserve">S.fin.costsM</t>
  </si>
  <si>
    <t xml:space="preserve">Yearly one-off costs</t>
  </si>
  <si>
    <t xml:space="preserve">S.fin.oneOffY</t>
  </si>
  <si>
    <t xml:space="preserve">Other property: value (only used for the section status)</t>
  </si>
  <si>
    <t xml:space="preserve">S.fin.propValue</t>
  </si>
  <si>
    <t xml:space="preserve">Other property: rent received a month</t>
  </si>
  <si>
    <t xml:space="preserve">S.fin.rentM</t>
  </si>
  <si>
    <t xml:space="preserve">Your home (Own outright / Own with mortgage / Rent / Live with family)</t>
  </si>
  <si>
    <t xml:space="preserve">S.fin.home</t>
  </si>
  <si>
    <t xml:space="preserve">Own with mortgage</t>
  </si>
  <si>
    <t xml:space="preserve">Home value</t>
  </si>
  <si>
    <t xml:space="preserve">S.fin.homeValue (only counted as a missing detail)</t>
  </si>
  <si>
    <t xml:space="preserve">Cash savings</t>
  </si>
  <si>
    <t xml:space="preserve">S.fin.cash</t>
  </si>
  <si>
    <t xml:space="preserve">Investments</t>
  </si>
  <si>
    <t xml:space="preserve">S.fin.invest</t>
  </si>
  <si>
    <t xml:space="preserve">Mortgage left</t>
  </si>
  <si>
    <t xml:space="preserve">S.fin.mortBal</t>
  </si>
  <si>
    <t xml:space="preserve">Mortgage rate, APR (e.g. 0.0385 = 3.85%; blank = your assumption)</t>
  </si>
  <si>
    <t xml:space="preserve">S.fin.mortRate (the app shows it as a %, here a rate)</t>
  </si>
  <si>
    <t xml:space="preserve">Mortgage monthly repayment</t>
  </si>
  <si>
    <t xml:space="preserve">S.fin.mortPayM</t>
  </si>
  <si>
    <t xml:space="preserve">Mortgage years left</t>
  </si>
  <si>
    <t xml:space="preserve">years</t>
  </si>
  <si>
    <t xml:space="preserve">S.fin.mortYears</t>
  </si>
  <si>
    <t xml:space="preserve">Credit cards: total owed (a list on "Your lists" wins)</t>
  </si>
  <si>
    <t xml:space="preserve">S.fin.cardBal</t>
  </si>
  <si>
    <t xml:space="preserve">Credit cards: monthly repayment</t>
  </si>
  <si>
    <t xml:space="preserve">S.fin.cardPayM</t>
  </si>
  <si>
    <t xml:space="preserve">Credit cards: APR (e.g. 0.22 = 22%; blank = your assumption)</t>
  </si>
  <si>
    <t xml:space="preserve">S.fin.cardRate (the app shows it as a %, here a rate)</t>
  </si>
  <si>
    <t xml:space="preserve">Other loans: total owed</t>
  </si>
  <si>
    <t xml:space="preserve">S.fin.loanBal</t>
  </si>
  <si>
    <t xml:space="preserve">Other loans: monthly repayment</t>
  </si>
  <si>
    <t xml:space="preserve">S.fin.loanPayM</t>
  </si>
  <si>
    <t xml:space="preserve">Other loans: APR (e.g. 0.09 = 9%; blank = your assumption)</t>
  </si>
  <si>
    <t xml:space="preserve">S.fin.loanRate (the app shows it as a %, here a rate)</t>
  </si>
  <si>
    <t xml:space="preserve">Other debt (older single figure)</t>
  </si>
  <si>
    <t xml:space="preserve">S.fin.debt</t>
  </si>
  <si>
    <t xml:space="preserve">Other debt monthly repayment</t>
  </si>
  <si>
    <t xml:space="preserve">S.fin.debtPayM</t>
  </si>
  <si>
    <t xml:space="preserve">Pension value today (a list on "Your lists" wins)</t>
  </si>
  <si>
    <t xml:space="preserve">S.fin.pension</t>
  </si>
  <si>
    <t xml:space="preserve">Paid into your pension each month, you + employer</t>
  </si>
  <si>
    <t xml:space="preserve">S.fin.pensionM</t>
  </si>
  <si>
    <t xml:space="preserve">Of that, paid by you each month (blank = your share assumption)</t>
  </si>
  <si>
    <t xml:space="preserve">S.fin.pensionOwnM</t>
  </si>
  <si>
    <t xml:space="preserve">Your statement's pension charges, a rate (e.g. 0.01 = 1%; blank = the typical charges are already in the growth rate)</t>
  </si>
  <si>
    <t xml:space="preserve">S.fin.penChg (the app shows it as a %, here a rate)</t>
  </si>
  <si>
    <t xml:space="preserve">Auto-enrolled in My Future Fund? (Yes/No/Not sure; "No" turns it off)</t>
  </si>
  <si>
    <t xml:space="preserve">S.fin.ae</t>
  </si>
  <si>
    <t xml:space="preserve">State Pension (Expect full / Partly / Not sure)</t>
  </si>
  <si>
    <t xml:space="preserve">S.fin.sp</t>
  </si>
  <si>
    <t xml:space="preserve">Expect full</t>
  </si>
  <si>
    <t xml:space="preserve">PRSI years at 66 (blank = not known)</t>
  </si>
  <si>
    <t xml:space="preserve">S.fin.spYears</t>
  </si>
  <si>
    <t xml:space="preserve">Partner's State Pension (Own full / Own partial / Qualified adult increase / None / Not sure)</t>
  </si>
  <si>
    <t xml:space="preserve">S.fin.pSp</t>
  </si>
  <si>
    <t xml:space="preserve">Life cover (Yes/No/Not sure)</t>
  </si>
  <si>
    <t xml:space="preserve">S.fin.life</t>
  </si>
  <si>
    <t xml:space="preserve">Income protection (Yes/No/Not sure)</t>
  </si>
  <si>
    <t xml:space="preserve">S.fin.ip</t>
  </si>
  <si>
    <t xml:space="preserve">Serious illness cover (Yes/No/Not sure)</t>
  </si>
  <si>
    <t xml:space="preserve">S.fin.ci</t>
  </si>
  <si>
    <t xml:space="preserve">Not sure</t>
  </si>
  <si>
    <t xml:space="preserve">Cover through work (Yes/No/Not sure)</t>
  </si>
  <si>
    <t xml:space="preserve">S.fin.workCover</t>
  </si>
  <si>
    <t xml:space="preserve">Health insurance (Yes/No/Not sure)</t>
  </si>
  <si>
    <t xml:space="preserve">S.fin.health</t>
  </si>
  <si>
    <t xml:space="preserve">SESSION FACTS (what Home and My money show; none of them changes the plan numbers)</t>
  </si>
  <si>
    <t xml:space="preserve">Adviser meeting booked? (Yes/No)</t>
  </si>
  <si>
    <t xml:space="preserve">S.book.done</t>
  </si>
  <si>
    <t xml:space="preserve">Meeting slot as shown to you (text, e.g. Tue 14 Oct, 10:00)</t>
  </si>
  <si>
    <t xml:space="preserve">S.book.slot</t>
  </si>
  <si>
    <t xml:space="preserve">Re-checked your first answers? (Yes/No)</t>
  </si>
  <si>
    <t xml:space="preserve">S.um.rechecked</t>
  </si>
  <si>
    <t xml:space="preserve">Chose a what-if as your plan? (Yes/No)</t>
  </si>
  <si>
    <t xml:space="preserve">S.pref (set)</t>
  </si>
  <si>
    <t xml:space="preserve">Section saved: About you (Yes/No)</t>
  </si>
  <si>
    <t xml:space="preserve">S.saved.about</t>
  </si>
  <si>
    <t xml:space="preserve">Section saved: Income and expenses (Yes/No)</t>
  </si>
  <si>
    <t xml:space="preserve">S.saved.income</t>
  </si>
  <si>
    <t xml:space="preserve">Section saved: Assets (Yes/No)</t>
  </si>
  <si>
    <t xml:space="preserve">S.saved.assets</t>
  </si>
  <si>
    <t xml:space="preserve">Section saved: Liabilities (Yes/No)</t>
  </si>
  <si>
    <t xml:space="preserve">S.saved.liab</t>
  </si>
  <si>
    <t xml:space="preserve">Section saved: Protection (Yes/No)</t>
  </si>
  <si>
    <t xml:space="preserve">S.saved.prot</t>
  </si>
  <si>
    <t xml:space="preserve">Section saved: Pension (Yes/No)</t>
  </si>
  <si>
    <t xml:space="preserve">S.saved.pension</t>
  </si>
  <si>
    <t xml:space="preserve">Figures flagged "Needs a look" by a document or by you (field keys separated by commas, e.g. income,cash)</t>
  </si>
  <si>
    <t xml:space="preserve">S.look keys (the pay-too-low flags are worked out for you)</t>
  </si>
  <si>
    <t xml:space="preserve">pension</t>
  </si>
  <si>
    <t xml:space="preserve">Flags you chose to "Leave for my adviser" (field keys separated by commas)</t>
  </si>
  <si>
    <t xml:space="preserve">S.ack keys</t>
  </si>
  <si>
    <t xml:space="preserve">YOUR ASSUMPTIONS (the choices the customer makes; blank = not chosen yet)</t>
  </si>
  <si>
    <t xml:space="preserve">Investments grow (a year)</t>
  </si>
  <si>
    <t xml:space="preserve">S.asm.inv</t>
  </si>
  <si>
    <t xml:space="preserve">Cash savings earn (a year)</t>
  </si>
  <si>
    <t xml:space="preserve">S.asm.cash</t>
  </si>
  <si>
    <t xml:space="preserve">Pension grows while you work (a year)</t>
  </si>
  <si>
    <t xml:space="preserve">S.asm.pen</t>
  </si>
  <si>
    <t xml:space="preserve">Pension grows once retired (a year)</t>
  </si>
  <si>
    <t xml:space="preserve">S.asm.penRet</t>
  </si>
  <si>
    <t xml:space="preserve">Pay rises (a year)</t>
  </si>
  <si>
    <t xml:space="preserve">S.asm.wage</t>
  </si>
  <si>
    <t xml:space="preserve">Tax bands in future (prices / flat)</t>
  </si>
  <si>
    <t xml:space="preserve">S.asm.bands</t>
  </si>
  <si>
    <t xml:space="preserve">State Pension in future (prices / pay / flat)</t>
  </si>
  <si>
    <t xml:space="preserve">S.asm.spGrow</t>
  </si>
  <si>
    <t xml:space="preserve">Share of your pension you pay yourself</t>
  </si>
  <si>
    <t xml:space="preserve">S.asm.ownShare</t>
  </si>
  <si>
    <t xml:space="preserve">Pension access age (60 is usual; 50 only if your occupational scheme allows it)</t>
  </si>
  <si>
    <t xml:space="preserve">S.asm.accessAge</t>
  </si>
  <si>
    <t xml:space="preserve">Retirement spending if no retirement goal (share of today's)</t>
  </si>
  <si>
    <t xml:space="preserve">S.asm.retireSpend</t>
  </si>
  <si>
    <t xml:space="preserve">Tax-free lump sum to take (share of pension)</t>
  </si>
  <si>
    <t xml:space="preserve">S.asm.lumpSum</t>
  </si>
  <si>
    <t xml:space="preserve">How you draw your pension (spread / min / fixed)</t>
  </si>
  <si>
    <t xml:space="preserve">S.asm.drawRule</t>
  </si>
  <si>
    <t xml:space="preserve">Fixed amount a year, if you chose fixed (today's money)</t>
  </si>
  <si>
    <t xml:space="preserve">S.asm.drawFixed</t>
  </si>
  <si>
    <t xml:space="preserve">Emergency fund months</t>
  </si>
  <si>
    <t xml:space="preserve">months</t>
  </si>
  <si>
    <t xml:space="preserve">S.asm.safetyMonths</t>
  </si>
  <si>
    <t xml:space="preserve">Money for goals sooner than this is kept as cash (years)</t>
  </si>
  <si>
    <t xml:space="preserve">S.asm.cashYears</t>
  </si>
  <si>
    <t xml:space="preserve">Spare savings: share invested</t>
  </si>
  <si>
    <t xml:space="preserve">S.asm.investShare</t>
  </si>
  <si>
    <t xml:space="preserve">Share of spare money saved, at most</t>
  </si>
  <si>
    <t xml:space="preserve">S.asm.saveShare</t>
  </si>
  <si>
    <t xml:space="preserve">Monthly saving if Q6 not answered</t>
  </si>
  <si>
    <t xml:space="preserve">S.asm.noAnswer</t>
  </si>
  <si>
    <t xml:space="preserve">Plan until age (your choice, never filled in for you)</t>
  </si>
  <si>
    <t xml:space="preserve">S.asm.planEnd</t>
  </si>
  <si>
    <t xml:space="preserve">Start the plan in (2026 / 2027)</t>
  </si>
  <si>
    <t xml:space="preserve">year</t>
  </si>
  <si>
    <t xml:space="preserve">S.asm.startYear</t>
  </si>
  <si>
    <t xml:space="preserve">Mortgage rate if the statement does not say</t>
  </si>
  <si>
    <t xml:space="preserve">S.asm.mortRate</t>
  </si>
  <si>
    <t xml:space="preserve">Credit-card rate if the statement does not say</t>
  </si>
  <si>
    <t xml:space="preserve">S.asm.cardRate</t>
  </si>
  <si>
    <t xml:space="preserve">Other loans rate if the statement does not say</t>
  </si>
  <si>
    <t xml:space="preserve">S.asm.loanRate</t>
  </si>
  <si>
    <t xml:space="preserve">Your State Pension a week at 66 (if you do not know your PRSI years)</t>
  </si>
  <si>
    <t xml:space="preserve">€ a week</t>
  </si>
  <si>
    <t xml:space="preserve">S.asm.spWeek</t>
  </si>
  <si>
    <t xml:space="preserve">Partner's State Pension a week at 66</t>
  </si>
  <si>
    <t xml:space="preserve">S.asm.pSpWeek</t>
  </si>
  <si>
    <t xml:space="preserve">PRSI years at 66 (as an assumption)</t>
  </si>
  <si>
    <t xml:space="preserve">S.asm.spYears</t>
  </si>
  <si>
    <t xml:space="preserve">Typical pension charges already in the growth rate</t>
  </si>
  <si>
    <t xml:space="preserve">S.asm.penChg</t>
  </si>
  <si>
    <t xml:space="preserve">YOUR GOALS (up to 22: 20 saved for from savings, plus Retire and Leave a legacy; in the order you added them)</t>
  </si>
  <si>
    <t xml:space="preserve">Goal type (key)</t>
  </si>
  <si>
    <t xml:space="preserve">Name (blank = standard name)</t>
  </si>
  <si>
    <t xml:space="preserve">Target age (not used for Retire or Legacy)</t>
  </si>
  <si>
    <t xml:space="preserve">Amount today (Retire: yearly income)</t>
  </si>
  <si>
    <t xml:space="preserve">Saved so far</t>
  </si>
  <si>
    <t xml:space="preserve">Priority</t>
  </si>
  <si>
    <t xml:space="preserve">Rank (1 = first; blank = not ranked)</t>
  </si>
  <si>
    <t xml:space="preserve">Emergency fund amount follows months x spending? (Yes/No)</t>
  </si>
  <si>
    <t xml:space="preserve">Used: key</t>
  </si>
  <si>
    <t xml:space="preserve">Used: name</t>
  </si>
  <si>
    <t xml:space="preserve">Used: age</t>
  </si>
  <si>
    <t xml:space="preserve">Used: amount</t>
  </si>
  <si>
    <t xml:space="preserve">Used: saved</t>
  </si>
  <si>
    <t xml:space="preserve">Used: priority</t>
  </si>
  <si>
    <t xml:space="preserve">Used: rank</t>
  </si>
  <si>
    <t xml:space="preserve">Used: auto</t>
  </si>
  <si>
    <t xml:space="preserve">Goal 1</t>
  </si>
  <si>
    <t xml:space="preserve">Goal 2</t>
  </si>
  <si>
    <t xml:space="preserve">Goal 3</t>
  </si>
  <si>
    <t xml:space="preserve">Goal 4</t>
  </si>
  <si>
    <t xml:space="preserve">Goal 5</t>
  </si>
  <si>
    <t xml:space="preserve">Goal 6</t>
  </si>
  <si>
    <t xml:space="preserve">Goal 7</t>
  </si>
  <si>
    <t xml:space="preserve">Goal 8</t>
  </si>
  <si>
    <t xml:space="preserve">Goal 9</t>
  </si>
  <si>
    <t xml:space="preserve">Goal 10</t>
  </si>
  <si>
    <t xml:space="preserve">Goal 11</t>
  </si>
  <si>
    <t xml:space="preserve">Goal 12</t>
  </si>
  <si>
    <t xml:space="preserve">Goal 13</t>
  </si>
  <si>
    <t xml:space="preserve">Goal 14</t>
  </si>
  <si>
    <t xml:space="preserve">Goal 15</t>
  </si>
  <si>
    <t xml:space="preserve">Goal 16</t>
  </si>
  <si>
    <t xml:space="preserve">Goal 17</t>
  </si>
  <si>
    <t xml:space="preserve">Goal 18</t>
  </si>
  <si>
    <t xml:space="preserve">Goal 19</t>
  </si>
  <si>
    <t xml:space="preserve">Goal 20</t>
  </si>
  <si>
    <t xml:space="preserve">Goal 21</t>
  </si>
  <si>
    <t xml:space="preserve">Goal 22</t>
  </si>
  <si>
    <t xml:space="preserve">Plan pay &amp; tax: the figures the plan uses, and each year's pay, pension and tax (same rules as the prototype's finNums, netPay and hhTax)</t>
  </si>
  <si>
    <t xml:space="preserve">RULES the plan uses (set by law; the same values as the prototype's RULES_IE_2026)</t>
  </si>
  <si>
    <t xml:space="preserve">Value</t>
  </si>
  <si>
    <t xml:space="preserve">How it is worked out</t>
  </si>
  <si>
    <t xml:space="preserve">Income tax: 20% band, single (Band_Single)</t>
  </si>
  <si>
    <t xml:space="preserve">Assumptions: Band_Single</t>
  </si>
  <si>
    <t xml:space="preserve">20% band, lone parent with SPCCC</t>
  </si>
  <si>
    <t xml:space="preserve">Assumptions: Band_Single_Parent</t>
  </si>
  <si>
    <t xml:space="preserve">20% band, married one earner</t>
  </si>
  <si>
    <t xml:space="preserve">Assumptions: Band_Married</t>
  </si>
  <si>
    <t xml:space="preserve">Second-earner uplift, at most</t>
  </si>
  <si>
    <t xml:space="preserve">Assumptions: Band_Second_Earner_Max</t>
  </si>
  <si>
    <t xml:space="preserve">Standard rate</t>
  </si>
  <si>
    <t xml:space="preserve">Assumptions: Rate_Standard</t>
  </si>
  <si>
    <t xml:space="preserve">Higher rate</t>
  </si>
  <si>
    <t xml:space="preserve">Assumptions: Rate_Higher</t>
  </si>
  <si>
    <t xml:space="preserve">Personal credit, single</t>
  </si>
  <si>
    <t xml:space="preserve">Assumptions: Credit_Personal_Single</t>
  </si>
  <si>
    <t xml:space="preserve">Personal credit, married</t>
  </si>
  <si>
    <t xml:space="preserve">Assumptions: Credit_Personal_Married</t>
  </si>
  <si>
    <t xml:space="preserve">Employee (PAYE) credit</t>
  </si>
  <si>
    <t xml:space="preserve">Assumptions: Credit_PAYE</t>
  </si>
  <si>
    <t xml:space="preserve">PAYE credit cap, share of pay</t>
  </si>
  <si>
    <t xml:space="preserve">PR_PAYEcap</t>
  </si>
  <si>
    <t xml:space="preserve">Assumptions: Credit_Rent_Single</t>
  </si>
  <si>
    <t xml:space="preserve">Rent Tax Credit, joint</t>
  </si>
  <si>
    <t xml:space="preserve">Assumptions: Credit_Rent_Joint</t>
  </si>
  <si>
    <t xml:space="preserve">PR_RentLast</t>
  </si>
  <si>
    <t xml:space="preserve">Single Person Child Carer Credit</t>
  </si>
  <si>
    <t xml:space="preserve">Assumptions: Credit_SPCCC</t>
  </si>
  <si>
    <t xml:space="preserve">Home Carer Credit</t>
  </si>
  <si>
    <t xml:space="preserve">Assumptions: Credit_Home_Carer</t>
  </si>
  <si>
    <t xml:space="preserve">Home Carer income limit</t>
  </si>
  <si>
    <t xml:space="preserve">PR_HCLimit</t>
  </si>
  <si>
    <t xml:space="preserve">Age credit from</t>
  </si>
  <si>
    <t xml:space="preserve">PR_AgeCrAge</t>
  </si>
  <si>
    <t xml:space="preserve">Age credit</t>
  </si>
  <si>
    <t xml:space="preserve">PR_AgeCr</t>
  </si>
  <si>
    <t xml:space="preserve">Age exemption limit, single</t>
  </si>
  <si>
    <t xml:space="preserve">PR_AgeEx</t>
  </si>
  <si>
    <t xml:space="preserve">Age exemption limit, married</t>
  </si>
  <si>
    <t xml:space="preserve">PR_AgeExM</t>
  </si>
  <si>
    <t xml:space="preserve">Age exemption marginal rate</t>
  </si>
  <si>
    <t xml:space="preserve">PR_AgeMarg</t>
  </si>
  <si>
    <t xml:space="preserve">USC exemption</t>
  </si>
  <si>
    <t xml:space="preserve">Assumptions: USC_Exempt</t>
  </si>
  <si>
    <t xml:space="preserve">USC band 1 top</t>
  </si>
  <si>
    <t xml:space="preserve">Assumptions: USC_Band_1</t>
  </si>
  <si>
    <t xml:space="preserve">USC band 2 top</t>
  </si>
  <si>
    <t xml:space="preserve">Assumptions: USC_Band_2</t>
  </si>
  <si>
    <t xml:space="preserve">USC band 3 top</t>
  </si>
  <si>
    <t xml:space="preserve">Assumptions: USC_Band_3</t>
  </si>
  <si>
    <t xml:space="preserve">USC rate 1</t>
  </si>
  <si>
    <t xml:space="preserve">Assumptions: USC_Rate_1</t>
  </si>
  <si>
    <t xml:space="preserve">USC rate 2</t>
  </si>
  <si>
    <t xml:space="preserve">Assumptions: USC_Rate_2</t>
  </si>
  <si>
    <t xml:space="preserve">USC rate 3</t>
  </si>
  <si>
    <t xml:space="preserve">Assumptions: USC_Rate_3</t>
  </si>
  <si>
    <t xml:space="preserve">USC rate 4</t>
  </si>
  <si>
    <t xml:space="preserve">Assumptions: USC_Rate_4</t>
  </si>
  <si>
    <t xml:space="preserve">Reduced USC from age</t>
  </si>
  <si>
    <t xml:space="preserve">PR_USCredAge</t>
  </si>
  <si>
    <t xml:space="preserve">Reduced USC income limit</t>
  </si>
  <si>
    <t xml:space="preserve">PR_USCredMax</t>
  </si>
  <si>
    <t xml:space="preserve">Reduced USC band 1 top</t>
  </si>
  <si>
    <t xml:space="preserve">PR_USCredB1</t>
  </si>
  <si>
    <t xml:space="preserve">Reduced USC rate 1</t>
  </si>
  <si>
    <t xml:space="preserve">PR_USCredR1</t>
  </si>
  <si>
    <t xml:space="preserve">Reduced USC rate 2</t>
  </si>
  <si>
    <t xml:space="preserve">PR_USCredR2</t>
  </si>
  <si>
    <t xml:space="preserve">Self-employed USC surcharge</t>
  </si>
  <si>
    <t xml:space="preserve">PR_USCse</t>
  </si>
  <si>
    <t xml:space="preserve">Surcharge on self-employed income over</t>
  </si>
  <si>
    <t xml:space="preserve">PR_USCseOver</t>
  </si>
  <si>
    <t xml:space="preserve">PRSI rate, from Oct 2025</t>
  </si>
  <si>
    <t xml:space="preserve">PR_PRSIr0</t>
  </si>
  <si>
    <t xml:space="preserve">PRSI rate, from Oct 2026</t>
  </si>
  <si>
    <t xml:space="preserve">PR_PRSIr1</t>
  </si>
  <si>
    <t xml:space="preserve">PRSI rate, from Oct 2027</t>
  </si>
  <si>
    <t xml:space="preserve">PR_PRSIr2</t>
  </si>
  <si>
    <t xml:space="preserve">PRSI rate, from Oct 2028</t>
  </si>
  <si>
    <t xml:space="preserve">PR_PRSIr3</t>
  </si>
  <si>
    <t xml:space="preserve">Month index of the Oct 2026 change (year x 12 + month - 1)</t>
  </si>
  <si>
    <t xml:space="preserve">PR_PRSIt1</t>
  </si>
  <si>
    <t xml:space="preserve">Month index of the Oct 2027 change</t>
  </si>
  <si>
    <t xml:space="preserve">PR_PRSIt2</t>
  </si>
  <si>
    <t xml:space="preserve">Month index of the Oct 2028 change</t>
  </si>
  <si>
    <t xml:space="preserve">PR_PRSIt3</t>
  </si>
  <si>
    <t xml:space="preserve">PRSI: weekly earnings with no PRSI</t>
  </si>
  <si>
    <t xml:space="preserve">Assumptions: PRSI_Free_Week</t>
  </si>
  <si>
    <t xml:space="preserve">PRSI credit, maximum a week</t>
  </si>
  <si>
    <t xml:space="preserve">Assumptions: PRSI_Credit_Max</t>
  </si>
  <si>
    <t xml:space="preserve">PRSI credit ends above (a week)</t>
  </si>
  <si>
    <t xml:space="preserve">Assumptions: PRSI_Credit_Top</t>
  </si>
  <si>
    <t xml:space="preserve">PRSI credit taper</t>
  </si>
  <si>
    <t xml:space="preserve">Assumptions: PRSI_Credit_Taper</t>
  </si>
  <si>
    <t xml:space="preserve">No PRSI from age</t>
  </si>
  <si>
    <t xml:space="preserve">PR_PRSIend</t>
  </si>
  <si>
    <t xml:space="preserve">Class S: income above which PRSI applies</t>
  </si>
  <si>
    <t xml:space="preserve">PR_PRSIsMinInc</t>
  </si>
  <si>
    <t xml:space="preserve">Class S minimum</t>
  </si>
  <si>
    <t xml:space="preserve">PR_PRSIsMin</t>
  </si>
  <si>
    <t xml:space="preserve">Unearned income above which PRSI applies</t>
  </si>
  <si>
    <t xml:space="preserve">PR_PRSIunearned</t>
  </si>
  <si>
    <t xml:space="preserve">Pension relief: under 30</t>
  </si>
  <si>
    <t xml:space="preserve">PR_RelA1</t>
  </si>
  <si>
    <t xml:space="preserve">PR_RelP1</t>
  </si>
  <si>
    <t xml:space="preserve">under 40</t>
  </si>
  <si>
    <t xml:space="preserve">PR_RelA2</t>
  </si>
  <si>
    <t xml:space="preserve">PR_RelP2</t>
  </si>
  <si>
    <t xml:space="preserve">under 50</t>
  </si>
  <si>
    <t xml:space="preserve">PR_RelA3</t>
  </si>
  <si>
    <t xml:space="preserve">PR_RelP3</t>
  </si>
  <si>
    <t xml:space="preserve">under 55</t>
  </si>
  <si>
    <t xml:space="preserve">PR_RelA4</t>
  </si>
  <si>
    <t xml:space="preserve">PR_RelP4</t>
  </si>
  <si>
    <t xml:space="preserve">under 60</t>
  </si>
  <si>
    <t xml:space="preserve">PR_RelA5</t>
  </si>
  <si>
    <t xml:space="preserve">PR_RelP5</t>
  </si>
  <si>
    <t xml:space="preserve">60 and over</t>
  </si>
  <si>
    <t xml:space="preserve">PR_RelP6</t>
  </si>
  <si>
    <t xml:space="preserve">Assumptions: Relief_Earnings_Cap</t>
  </si>
  <si>
    <t xml:space="preserve">Lump sum: at most this share</t>
  </si>
  <si>
    <t xml:space="preserve">Assumptions: Lump_Sum_Max_Pct</t>
  </si>
  <si>
    <t xml:space="preserve">Lump sum tax-free up to</t>
  </si>
  <si>
    <t xml:space="preserve">Assumptions: Lump_Sum_Tax_Free</t>
  </si>
  <si>
    <t xml:space="preserve">Lump sum counted up to</t>
  </si>
  <si>
    <t xml:space="preserve">Assumptions: Lump_Sum_Cap</t>
  </si>
  <si>
    <t xml:space="preserve">Lump sum tax rate on the next band</t>
  </si>
  <si>
    <t xml:space="preserve">Assumptions: Lump_Sum_Rate</t>
  </si>
  <si>
    <t xml:space="preserve">Standard Fund Threshold 2026</t>
  </si>
  <si>
    <t xml:space="preserve">Assumptions: SFT_2026</t>
  </si>
  <si>
    <t xml:space="preserve">2027</t>
  </si>
  <si>
    <t xml:space="preserve">PR_SFT2027</t>
  </si>
  <si>
    <t xml:space="preserve">2028</t>
  </si>
  <si>
    <t xml:space="preserve">PR_SFT2028</t>
  </si>
  <si>
    <t xml:space="preserve">2029 and after</t>
  </si>
  <si>
    <t xml:space="preserve">PR_SFT2029</t>
  </si>
  <si>
    <t xml:space="preserve">Tax above the threshold</t>
  </si>
  <si>
    <t xml:space="preserve">Assumptions: SFT_Tax</t>
  </si>
  <si>
    <t xml:space="preserve">Minimum draw from 61</t>
  </si>
  <si>
    <t xml:space="preserve">PR_ARF61</t>
  </si>
  <si>
    <t xml:space="preserve">Minimum draw from 71</t>
  </si>
  <si>
    <t xml:space="preserve">PR_ARF71</t>
  </si>
  <si>
    <t xml:space="preserve">Minimum draw over the big-fund limit</t>
  </si>
  <si>
    <t xml:space="preserve">PR_ARFbigRate</t>
  </si>
  <si>
    <t xml:space="preserve">Big-fund limit</t>
  </si>
  <si>
    <t xml:space="preserve">PR_ARFbig</t>
  </si>
  <si>
    <t xml:space="preserve">Earliest pension age</t>
  </si>
  <si>
    <t xml:space="preserve">PR_Earliest</t>
  </si>
  <si>
    <t xml:space="preserve">State Pension a week</t>
  </si>
  <si>
    <t xml:space="preserve">Assumptions: State_Pension_Week</t>
  </si>
  <si>
    <t xml:space="preserve">Weeks a year</t>
  </si>
  <si>
    <t xml:space="preserve">PR_Weeks</t>
  </si>
  <si>
    <t xml:space="preserve">State Pension age</t>
  </si>
  <si>
    <t xml:space="preserve">Assumptions: State_Pension_Age</t>
  </si>
  <si>
    <t xml:space="preserve">Over-80 increase a week</t>
  </si>
  <si>
    <t xml:space="preserve">PR_Over80</t>
  </si>
  <si>
    <t xml:space="preserve">Qualified Adult rate, 66+</t>
  </si>
  <si>
    <t xml:space="preserve">PR_QA66</t>
  </si>
  <si>
    <t xml:space="preserve">Qualified Adult rate, under 66</t>
  </si>
  <si>
    <t xml:space="preserve">PR_QAunder</t>
  </si>
  <si>
    <t xml:space="preserve">PRSI years for the full State Pension</t>
  </si>
  <si>
    <t xml:space="preserve">PR_SPfull</t>
  </si>
  <si>
    <t xml:space="preserve">Minimum PRSI years</t>
  </si>
  <si>
    <t xml:space="preserve">PR_SPmin</t>
  </si>
  <si>
    <t xml:space="preserve">Auto-enrolment: from age</t>
  </si>
  <si>
    <t xml:space="preserve">PR_AEageMin</t>
  </si>
  <si>
    <t xml:space="preserve">up to age</t>
  </si>
  <si>
    <t xml:space="preserve">PR_AEageMax</t>
  </si>
  <si>
    <t xml:space="preserve">earning over</t>
  </si>
  <si>
    <t xml:space="preserve">PR_AEearnMin</t>
  </si>
  <si>
    <t xml:space="preserve">on pay up to</t>
  </si>
  <si>
    <t xml:space="preserve">PR_AEcap</t>
  </si>
  <si>
    <t xml:space="preserve">employee rate</t>
  </si>
  <si>
    <t xml:space="preserve">PR_AEee</t>
  </si>
  <si>
    <t xml:space="preserve">employer rate</t>
  </si>
  <si>
    <t xml:space="preserve">PR_AEer</t>
  </si>
  <si>
    <t xml:space="preserve">State top-up rate</t>
  </si>
  <si>
    <t xml:space="preserve">PR_AEst</t>
  </si>
  <si>
    <t xml:space="preserve">Q6 band 1 (today's money a month)</t>
  </si>
  <si>
    <t xml:space="preserve">PR_SaveB1</t>
  </si>
  <si>
    <t xml:space="preserve">Q6 band 2</t>
  </si>
  <si>
    <t xml:space="preserve">PR_SaveB2</t>
  </si>
  <si>
    <t xml:space="preserve">Q6 band 3</t>
  </si>
  <si>
    <t xml:space="preserve">PR_SaveB3</t>
  </si>
  <si>
    <t xml:space="preserve">Q6 band 4 ("Over €750" counts as €1,000)</t>
  </si>
  <si>
    <t xml:space="preserve">PR_SaveB4</t>
  </si>
  <si>
    <t xml:space="preserve">Q6 "it changes": a third of spare money</t>
  </si>
  <si>
    <t xml:space="preserve">PR_ShareVaries</t>
  </si>
  <si>
    <t xml:space="preserve">Minimum ARF draw starts at this age</t>
  </si>
  <si>
    <t xml:space="preserve">PR_ARFage1</t>
  </si>
  <si>
    <t xml:space="preserve">Higher minimum ARF draw from this age</t>
  </si>
  <si>
    <t xml:space="preserve">PR_ARFage2</t>
  </si>
  <si>
    <t xml:space="preserve">State Pension over-80 increase from this age</t>
  </si>
  <si>
    <t xml:space="preserve">PR_Over80Age</t>
  </si>
  <si>
    <t xml:space="preserve">First year the Standard Fund Threshold is set by law</t>
  </si>
  <si>
    <t xml:space="preserve">PR_SFTfrom</t>
  </si>
  <si>
    <t xml:space="preserve">Last year it is set by law; later years rise with prices</t>
  </si>
  <si>
    <t xml:space="preserve">PR_SFTto</t>
  </si>
  <si>
    <t xml:space="preserve">A new goal is never put later than this age</t>
  </si>
  <si>
    <t xml:space="preserve">PR_GoalMaxAge</t>
  </si>
  <si>
    <t xml:space="preserve">A goal is never shown as 100% unless it is covered: the most shown otherwise</t>
  </si>
  <si>
    <t xml:space="preserve">PR_PctCap</t>
  </si>
  <si>
    <t xml:space="preserve">Level 4: a goal under this % counts as low</t>
  </si>
  <si>
    <t xml:space="preserve">PR_LowPct</t>
  </si>
  <si>
    <t xml:space="preserve">The "you can save more" nudge needs the try-this saving at least this much above what you save</t>
  </si>
  <si>
    <t xml:space="preserve">PR_NudgeStep</t>
  </si>
  <si>
    <t xml:space="preserve">A debt balance at or below this (euro) counts as cleared</t>
  </si>
  <si>
    <t xml:space="preserve">PR_BalDone</t>
  </si>
  <si>
    <t xml:space="preserve">A shortfall below this (euro) is ignored</t>
  </si>
  <si>
    <t xml:space="preserve">PR_MinShort</t>
  </si>
  <si>
    <t xml:space="preserve">Sort key: a goal with no rank sorts after every ranked goal</t>
  </si>
  <si>
    <t xml:space="preserve">PR_SortBig</t>
  </si>
  <si>
    <t xml:space="preserve">Planning rate: credit-card rate if the customer gives none (no published average; labelled "Assumed: add yours")</t>
  </si>
  <si>
    <t xml:space="preserve">PR_FbCard</t>
  </si>
  <si>
    <t xml:space="preserve">Internal fallback: fixed draw a year if "fixed" is chosen without an amount</t>
  </si>
  <si>
    <t xml:space="preserve">PR_FbDrawFixed</t>
  </si>
  <si>
    <t xml:space="preserve">Internal fallback: the retirement age used while none is chosen (the plan is gated; the app starts at 66)</t>
  </si>
  <si>
    <t xml:space="preserve">PR_FbRetireAge</t>
  </si>
  <si>
    <t xml:space="preserve">Internal fallback: years left on a mortgage when none is given (the missing-details banner says so)</t>
  </si>
  <si>
    <t xml:space="preserve">PR_FbMortYears</t>
  </si>
  <si>
    <t xml:space="preserve">Internal fallback: typical pension charges</t>
  </si>
  <si>
    <t xml:space="preserve">PR_FbPenChg</t>
  </si>
  <si>
    <t xml:space="preserve">Your State Pension if "Partly": share of the full rate when no PRSI years or weekly rate are given</t>
  </si>
  <si>
    <t xml:space="preserve">PR_FbSpPartly</t>
  </si>
  <si>
    <t xml:space="preserve">Your State Pension if "Not sure": share of the full rate</t>
  </si>
  <si>
    <t xml:space="preserve">PR_FbSpOther</t>
  </si>
  <si>
    <t xml:space="preserve">Internal fallback: plan-until age, alone</t>
  </si>
  <si>
    <t xml:space="preserve">PR_FbPlanEnd1</t>
  </si>
  <si>
    <t xml:space="preserve">Internal fallback: plan-until age, with a partner</t>
  </si>
  <si>
    <t xml:space="preserve">PR_FbPlanEnd2</t>
  </si>
  <si>
    <t xml:space="preserve">A shortfall year: more than this euro amount ...</t>
  </si>
  <si>
    <t xml:space="preserve">PR_Short1</t>
  </si>
  <si>
    <t xml:space="preserve">... or this share of the year's needs</t>
  </si>
  <si>
    <t xml:space="preserve">PR_Short2</t>
  </si>
  <si>
    <t xml:space="preserve">On track from (%)</t>
  </si>
  <si>
    <t xml:space="preserve">PR_Good</t>
  </si>
  <si>
    <t xml:space="preserve">Needs a nudge from (%)</t>
  </si>
  <si>
    <t xml:space="preserve">PR_Nudge</t>
  </si>
  <si>
    <t xml:space="preserve">From the day after this date the plan starts in 2027 (the app's own switch)</t>
  </si>
  <si>
    <t xml:space="preserve">PR_StartSwitch (a date typed in the app's code)</t>
  </si>
  <si>
    <t xml:space="preserve">YOUR CHOICES the plan reads (an unchosen choice falls back to the standard in Settings, exactly like the prototype's asmV)</t>
  </si>
  <si>
    <t xml:space="preserve">Growth set is Cautious (1) or Standard (0)</t>
  </si>
  <si>
    <t xml:space="preserve">Inflation used</t>
  </si>
  <si>
    <t xml:space="preserve">S.infl, else the Settings standard (an internal fallback only: the plan is gated until chosen)</t>
  </si>
  <si>
    <t xml:space="preserve">wage growth used</t>
  </si>
  <si>
    <t xml:space="preserve">cash growth used</t>
  </si>
  <si>
    <t xml:space="preserve">inv growth used</t>
  </si>
  <si>
    <t xml:space="preserve">pen growth used</t>
  </si>
  <si>
    <t xml:space="preserve">penRet growth used</t>
  </si>
  <si>
    <t xml:space="preserve">Mortgage rate assumption</t>
  </si>
  <si>
    <t xml:space="preserve">if none is given: the suggested Central Bank average on Settings (labelled "Assumed: add yours" in the app)</t>
  </si>
  <si>
    <t xml:space="preserve">Credit-card rate assumption</t>
  </si>
  <si>
    <t xml:space="preserve">if none is given: the 20% planning rate ("Assumed: add yours")</t>
  </si>
  <si>
    <t xml:space="preserve">Other loans rate assumption</t>
  </si>
  <si>
    <t xml:space="preserve">if none is given: the suggested Central Bank average on Settings ("Assumed: add yours")</t>
  </si>
  <si>
    <t xml:space="preserve">fallback 90 (95 with a partner), never shown</t>
  </si>
  <si>
    <t xml:space="preserve">First plan year</t>
  </si>
  <si>
    <t xml:space="preserve">Two secure incomes (1/0)</t>
  </si>
  <si>
    <t xml:space="preserve">Years kept as cash</t>
  </si>
  <si>
    <t xml:space="preserve">Spare savings invested (share)</t>
  </si>
  <si>
    <t xml:space="preserve">Lump sum share</t>
  </si>
  <si>
    <t xml:space="preserve">Drawdown rule</t>
  </si>
  <si>
    <t xml:space="preserve">Fixed draw a year (today's money)</t>
  </si>
  <si>
    <t xml:space="preserve">Retirement spending share</t>
  </si>
  <si>
    <t xml:space="preserve">Share of pension you pay yourself</t>
  </si>
  <si>
    <t xml:space="preserve">Typical pension charges in the growth rate</t>
  </si>
  <si>
    <t xml:space="preserve">Your State Pension answer ('Not sure' if blank)</t>
  </si>
  <si>
    <t xml:space="preserve">Your State Pension a week (if no PRSI years)</t>
  </si>
  <si>
    <t xml:space="preserve">Partner's State Pension answer ('Not sure' if blank)</t>
  </si>
  <si>
    <t xml:space="preserve">Partner's State Pension a week</t>
  </si>
  <si>
    <t xml:space="preserve">State Pension a year, full rate (weekly rate x 52)</t>
  </si>
  <si>
    <t xml:space="preserve">YOUR FIGURES the plan uses (the prototype's finNums: a skipped figure counts as €0)</t>
  </si>
  <si>
    <t xml:space="preserve">Your work (Employed if not said and you have an income)</t>
  </si>
  <si>
    <t xml:space="preserve">Your age</t>
  </si>
  <si>
    <t xml:space="preserve">Partner (1/0)</t>
  </si>
  <si>
    <t xml:space="preserve">Joint assessment (1/0)</t>
  </si>
  <si>
    <t xml:space="preserve">Your income (0 if not working)</t>
  </si>
  <si>
    <t xml:space="preserve">Partner's income</t>
  </si>
  <si>
    <t xml:space="preserve">Partner's age (your own age if not given)</t>
  </si>
  <si>
    <t xml:space="preserve">Partner's retirement age (0 = not given)</t>
  </si>
  <si>
    <t xml:space="preserve">Other income a month</t>
  </si>
  <si>
    <t xml:space="preserve">Living costs a month</t>
  </si>
  <si>
    <t xml:space="preserve">One-off costs a year</t>
  </si>
  <si>
    <t xml:space="preserve">Rental income a month</t>
  </si>
  <si>
    <t xml:space="preserve">Own with mortgage (1/0)</t>
  </si>
  <si>
    <t xml:space="preserve">Mortgage rate used</t>
  </si>
  <si>
    <t xml:space="preserve">Mortgage repayment given</t>
  </si>
  <si>
    <t xml:space="preserve">Mortgage repayment used (given, else worked out from balance, rate and years; 25 years if none, gated)</t>
  </si>
  <si>
    <t xml:space="preserve">Mortgage repayment was worked out (1/0)</t>
  </si>
  <si>
    <t xml:space="preserve">Mortgage repayment too low to clear it (1/0)</t>
  </si>
  <si>
    <t xml:space="preserve">DEBTS (the prototype's debtNums; a mortgage on another property is folded into other loans)</t>
  </si>
  <si>
    <t xml:space="preserve">Other-property mortgages: balance</t>
  </si>
  <si>
    <t xml:space="preserve">Other-property mortgages: repayment</t>
  </si>
  <si>
    <t xml:space="preserve">Other-property mortgages: weighted rate</t>
  </si>
  <si>
    <t xml:space="preserve">Card rate used</t>
  </si>
  <si>
    <t xml:space="preserve">Loan rate used (before other-property mortgages)</t>
  </si>
  <si>
    <t xml:space="preserve">Loans owed (before other-property mortgages)</t>
  </si>
  <si>
    <t xml:space="preserve">Loan rate used, weighted</t>
  </si>
  <si>
    <t xml:space="preserve">Cards owed</t>
  </si>
  <si>
    <t xml:space="preserve">Loans owed (incl. other-property mortgages)</t>
  </si>
  <si>
    <t xml:space="preserve">Loan repayment given</t>
  </si>
  <si>
    <t xml:space="preserve">Card monthly rate (APR as effective yearly rate)</t>
  </si>
  <si>
    <t xml:space="preserve">Loan monthly rate</t>
  </si>
  <si>
    <t xml:space="preserve">Card repayment covers the interest (1/0)</t>
  </si>
  <si>
    <t xml:space="preserve">Loan repayment covers the interest (1/0)</t>
  </si>
  <si>
    <t xml:space="preserve">Card repayment used (given if it covers the interest, else a 5-year repayment)</t>
  </si>
  <si>
    <t xml:space="preserve">Loan repayment used</t>
  </si>
  <si>
    <t xml:space="preserve">Card repayment worked out (1/0)</t>
  </si>
  <si>
    <t xml:space="preserve">Loan repayment worked out (1/0)</t>
  </si>
  <si>
    <t xml:space="preserve">Debt (cards + loans)</t>
  </si>
  <si>
    <t xml:space="preserve">Debt repayments a month</t>
  </si>
  <si>
    <t xml:space="preserve">Essential spending a month (living + mortgage + loan repayments)</t>
  </si>
  <si>
    <t xml:space="preserve">PENSION, STATE PENSION, TAX STATUS</t>
  </si>
  <si>
    <t xml:space="preserve">Paid into pension each month (you + employer)</t>
  </si>
  <si>
    <t xml:space="preserve">Of that, paid by you</t>
  </si>
  <si>
    <t xml:space="preserve">Pension growth used while working</t>
  </si>
  <si>
    <t xml:space="preserve">PRSI years used (blank = not known)</t>
  </si>
  <si>
    <t xml:space="preserve">Your State Pension, share of the full rate</t>
  </si>
  <si>
    <t xml:space="preserve">Partner's State Pension answer used</t>
  </si>
  <si>
    <t xml:space="preserve">Partner on a Qualified Adult increase (1/0)</t>
  </si>
  <si>
    <t xml:space="preserve">Partner's State Pension, share of the full rate</t>
  </si>
  <si>
    <t xml:space="preserve">Auto-enrolment counted (1/0)</t>
  </si>
  <si>
    <t xml:space="preserve">Rent Tax Credit claimed (1/0)</t>
  </si>
  <si>
    <t xml:space="preserve">Single Person Child Carer Credit (1/0)</t>
  </si>
  <si>
    <t xml:space="preserve">Home Carer Credit (1/0)</t>
  </si>
  <si>
    <t xml:space="preserve">Pension value at the start (plus a what-if lump sum if it is for retirement)</t>
  </si>
  <si>
    <t xml:space="preserve">Age from which the pension is drawn (retirement age, at least the pension access age)</t>
  </si>
  <si>
    <t xml:space="preserve">Last plan year, counting from today (plan-until age less your age)</t>
  </si>
  <si>
    <t xml:space="preserve">Self-employed (1/0)</t>
  </si>
  <si>
    <t xml:space="preserve">What-if goal is the retirement goal (1/0)</t>
  </si>
  <si>
    <t xml:space="preserve">set on Plan goals</t>
  </si>
  <si>
    <t xml:space="preserve">What-if monthly</t>
  </si>
  <si>
    <t xml:space="preserve">What-if lump</t>
  </si>
  <si>
    <t xml:space="preserve">row</t>
  </si>
  <si>
    <t xml:space="preserve">Year (t)</t>
  </si>
  <si>
    <t xml:space="preserve">Year</t>
  </si>
  <si>
    <t xml:space="preserve">Prices index</t>
  </si>
  <si>
    <t xml:space="preserve">Pay index</t>
  </si>
  <si>
    <t xml:space="preserve">Working (1/0)</t>
  </si>
  <si>
    <t xml:space="preserve">Tax-band index</t>
  </si>
  <si>
    <t xml:space="preserve">State Pension index</t>
  </si>
  <si>
    <t xml:space="preserve">PRSI rate this year</t>
  </si>
  <si>
    <t xml:space="preserve">Your pay (nominal)</t>
  </si>
  <si>
    <t xml:space="preserve">Your own pension contribution</t>
  </si>
  <si>
    <t xml:space="preserve">Total pension contribution (you + employer)</t>
  </si>
  <si>
    <t xml:space="preserve">Relief limit (share of pay) at this age</t>
  </si>
  <si>
    <t xml:space="preserve">Pension relief (income tax only, nominal)</t>
  </si>
  <si>
    <t xml:space="preserve">Auto-enrolment pay base</t>
  </si>
  <si>
    <t xml:space="preserve">Paid into pension this year</t>
  </si>
  <si>
    <t xml:space="preserve">Pension contributions out of take-home pay</t>
  </si>
  <si>
    <t xml:space="preserve">Pension pot, start of year</t>
  </si>
  <si>
    <t xml:space="preserve">Standard Fund Threshold this year (law to 2029, then rising with prices)</t>
  </si>
  <si>
    <t xml:space="preserve">First drawing year (1/0)</t>
  </si>
  <si>
    <t xml:space="preserve">Pot after that tax</t>
  </si>
  <si>
    <t xml:space="preserve">Lump sum taken (gross, no cap)</t>
  </si>
  <si>
    <t xml:space="preserve">Lump sum after tax (goes into savings)</t>
  </si>
  <si>
    <t xml:space="preserve">Pot after the lump sum</t>
  </si>
  <si>
    <t xml:space="preserve">Legal minimum draw (share)</t>
  </si>
  <si>
    <t xml:space="preserve">Draw wanted</t>
  </si>
  <si>
    <t xml:space="preserve">Drawn from pension</t>
  </si>
  <si>
    <t xml:space="preserve">Pension pot, end of year</t>
  </si>
  <si>
    <t xml:space="preserve">Other and rental income</t>
  </si>
  <si>
    <t xml:space="preserve">Partner's age</t>
  </si>
  <si>
    <t xml:space="preserve">Partner's pay</t>
  </si>
  <si>
    <t xml:space="preserve">Partner's State Pension</t>
  </si>
  <si>
    <t xml:space="preserve">Qualified Adult increase paid to you</t>
  </si>
  <si>
    <t xml:space="preserve">Your State Pension incl. any Qualified Adult increase</t>
  </si>
  <si>
    <t xml:space="preserve">Real (today's prices): emp1</t>
  </si>
  <si>
    <t xml:space="preserve">Real (today's prices): sp1t</t>
  </si>
  <si>
    <t xml:space="preserve">Real (today's prices): draw</t>
  </si>
  <si>
    <t xml:space="preserve">Real (today's prices): oth1</t>
  </si>
  <si>
    <t xml:space="preserve">Real (today's prices): relief</t>
  </si>
  <si>
    <t xml:space="preserve">Real (today's prices): emp2</t>
  </si>
  <si>
    <t xml:space="preserve">Real (today's prices): sp2</t>
  </si>
  <si>
    <t xml:space="preserve">Your taxable income for income tax</t>
  </si>
  <si>
    <t xml:space="preserve">Partner's taxable income</t>
  </si>
  <si>
    <t xml:space="preserve">PAYE credit, you</t>
  </si>
  <si>
    <t xml:space="preserve">PAYE credit, partner</t>
  </si>
  <si>
    <t xml:space="preserve">Age credit, you</t>
  </si>
  <si>
    <t xml:space="preserve">Age credit, partner</t>
  </si>
  <si>
    <t xml:space="preserve">Rent credit this year (1/0)</t>
  </si>
  <si>
    <t xml:space="preserve">Joint taxable income</t>
  </si>
  <si>
    <t xml:space="preserve">Joint credits</t>
  </si>
  <si>
    <t xml:space="preserve">Joint 20% band</t>
  </si>
  <si>
    <t xml:space="preserve">Joint income tax</t>
  </si>
  <si>
    <t xml:space="preserve">Home Carer credit</t>
  </si>
  <si>
    <t xml:space="preserve">Joint tax, better of the band or the Home Carer credit</t>
  </si>
  <si>
    <t xml:space="preserve">Joint tax after the age exemption</t>
  </si>
  <si>
    <t xml:space="preserve">Your income tax, as an individual</t>
  </si>
  <si>
    <t xml:space="preserve">Your income tax after the age exemption</t>
  </si>
  <si>
    <t xml:space="preserve">Partner's income tax, as an individual</t>
  </si>
  <si>
    <t xml:space="preserve">Partner's income tax after the age exemption</t>
  </si>
  <si>
    <t xml:space="preserve">Income tax (real)</t>
  </si>
  <si>
    <t xml:space="preserve">USC base, you (State Pension is exempt)</t>
  </si>
  <si>
    <t xml:space="preserve">USC, you</t>
  </si>
  <si>
    <t xml:space="preserve">USC base, partner</t>
  </si>
  <si>
    <t xml:space="preserve">USC, partner</t>
  </si>
  <si>
    <t xml:space="preserve">PRSI, you</t>
  </si>
  <si>
    <t xml:space="preserve">PRSI, partner</t>
  </si>
  <si>
    <t xml:space="preserve">Income tax + USC + PRSI (real)</t>
  </si>
  <si>
    <t xml:space="preserve">Total tax (nominal)</t>
  </si>
  <si>
    <t xml:space="preserve">Gross income (nominal)</t>
  </si>
  <si>
    <t xml:space="preserve">start</t>
  </si>
  <si>
    <t xml:space="preserve">Plan goals: the goal list in funding order, and how much of each goal is covered</t>
  </si>
  <si>
    <t xml:space="preserve">Part 1 reads your goals from Plan inputs and puts the funded ones in funding order (your ranking; Emergency fund first unless moved; then must-haves before nice-to-haves, then soonest). Part 2 gives each funded goal its starting savings. Part 3 (further down) turns the year table on Plan cashflow into the % covered for each goal and the Option B goal line.</t>
  </si>
  <si>
    <t xml:space="preserve">Goal types (the prototype's GOALCAT)</t>
  </si>
  <si>
    <t xml:space="preserve">Title</t>
  </si>
  <si>
    <t xml:space="preserve">Default amount</t>
  </si>
  <si>
    <t xml:space="preserve">Default years</t>
  </si>
  <si>
    <t xml:space="preserve">Kind</t>
  </si>
  <si>
    <t xml:space="preserve">Expert it points to</t>
  </si>
  <si>
    <t xml:space="preserve">home</t>
  </si>
  <si>
    <t xml:space="preserve">Buy a home</t>
  </si>
  <si>
    <t xml:space="preserve">spend</t>
  </si>
  <si>
    <t xml:space="preserve">mortgage</t>
  </si>
  <si>
    <t xml:space="preserve">retire</t>
  </si>
  <si>
    <t xml:space="preserve">Retire comfortably</t>
  </si>
  <si>
    <t xml:space="preserve">family</t>
  </si>
  <si>
    <t xml:space="preserve">Grow my family</t>
  </si>
  <si>
    <t xml:space="preserve">protection</t>
  </si>
  <si>
    <t xml:space="preserve">edu</t>
  </si>
  <si>
    <t xml:space="preserve">Kids' education</t>
  </si>
  <si>
    <t xml:space="preserve">planner</t>
  </si>
  <si>
    <t xml:space="preserve">travel</t>
  </si>
  <si>
    <t xml:space="preserve">Travel</t>
  </si>
  <si>
    <t xml:space="preserve">business</t>
  </si>
  <si>
    <t xml:space="preserve">Start a business</t>
  </si>
  <si>
    <t xml:space="preserve">mfree</t>
  </si>
  <si>
    <t xml:space="preserve">Be mortgage-free</t>
  </si>
  <si>
    <t xml:space="preserve">safety</t>
  </si>
  <si>
    <t xml:space="preserve">pot</t>
  </si>
  <si>
    <t xml:space="preserve">wealth</t>
  </si>
  <si>
    <t xml:space="preserve">Grow my wealth</t>
  </si>
  <si>
    <t xml:space="preserve">investment</t>
  </si>
  <si>
    <t xml:space="preserve">helpfam</t>
  </si>
  <si>
    <t xml:space="preserve">Help my family</t>
  </si>
  <si>
    <t xml:space="preserve">legacy</t>
  </si>
  <si>
    <t xml:space="preserve">Leave a legacy</t>
  </si>
  <si>
    <t xml:space="preserve">wedding</t>
  </si>
  <si>
    <t xml:space="preserve">Wedding</t>
  </si>
  <si>
    <t xml:space="preserve">car</t>
  </si>
  <si>
    <t xml:space="preserve">Change the car</t>
  </si>
  <si>
    <t xml:space="preserve">health</t>
  </si>
  <si>
    <t xml:space="preserve">Health &amp; care</t>
  </si>
  <si>
    <t xml:space="preserve">other</t>
  </si>
  <si>
    <t xml:space="preserve">Something else</t>
  </si>
  <si>
    <t xml:space="preserve">Part 1. Your goals</t>
  </si>
  <si>
    <t xml:space="preserve">Goal</t>
  </si>
  <si>
    <t xml:space="preserve">Type (key)</t>
  </si>
  <si>
    <t xml:space="preserve">Name</t>
  </si>
  <si>
    <t xml:space="preserve">Age typed</t>
  </si>
  <si>
    <t xml:space="preserve">Funded from savings (1/0)</t>
  </si>
  <si>
    <t xml:space="preserve">Age used for funding</t>
  </si>
  <si>
    <t xml:space="preserve">Age (ties)</t>
  </si>
  <si>
    <t xml:space="preserve">Amount used</t>
  </si>
  <si>
    <t xml:space="preserve">Rank typed</t>
  </si>
  <si>
    <t xml:space="preserve">Rank order</t>
  </si>
  <si>
    <t xml:space="preserve">Sort key</t>
  </si>
  <si>
    <t xml:space="preserve">Funding position</t>
  </si>
  <si>
    <t xml:space="preserve">The customer has ranked their goals (1/0)</t>
  </si>
  <si>
    <t xml:space="preserve">There is a retirement goal (1/0)</t>
  </si>
  <si>
    <t xml:space="preserve">Retirement goal is goal number</t>
  </si>
  <si>
    <t xml:space="preserve">Retirement goal: income a year in today's money</t>
  </si>
  <si>
    <t xml:space="preserve">Part 2. The funded goals in funding order, and their starting savings</t>
  </si>
  <si>
    <t xml:space="preserve">Slot</t>
  </si>
  <si>
    <t xml:space="preserve">Goal number</t>
  </si>
  <si>
    <t xml:space="preserve">On (1/0)</t>
  </si>
  <si>
    <t xml:space="preserve">Age (when it is paid)</t>
  </si>
  <si>
    <t xml:space="preserve">Amount today</t>
  </si>
  <si>
    <t xml:space="preserve">Years to go</t>
  </si>
  <si>
    <t xml:space="preserve">Growth rate</t>
  </si>
  <si>
    <t xml:space="preserve">Cost (inflated; mortgage-free = the balance then)</t>
  </si>
  <si>
    <t xml:space="preserve">Paid from pot or savings (1/0)</t>
  </si>
  <si>
    <t xml:space="preserve">Pot kind, not emergency (1/0)</t>
  </si>
  <si>
    <t xml:space="preserve">Emergency pot (1/0)</t>
  </si>
  <si>
    <t xml:space="preserve">Mortgage-free (1/0)</t>
  </si>
  <si>
    <t xml:space="preserve">What-if goal (1/0)</t>
  </si>
  <si>
    <t xml:space="preserve">Saved so far taken from cash</t>
  </si>
  <si>
    <t xml:space="preserve">What-if one-off added</t>
  </si>
  <si>
    <t xml:space="preserve">Cash left</t>
  </si>
  <si>
    <t xml:space="preserve">Wanted from spare money</t>
  </si>
  <si>
    <t xml:space="preserve">Taken from spare money</t>
  </si>
  <si>
    <t xml:space="preserve">Spare money left</t>
  </si>
  <si>
    <t xml:space="preserve">Pot at the start</t>
  </si>
  <si>
    <t xml:space="preserve">There is an Emergency fund goal (1/0)</t>
  </si>
  <si>
    <t xml:space="preserve">Buffer held back from cash (months x essential spending, if no Emergency fund goal)</t>
  </si>
  <si>
    <t xml:space="preserve">Spare money at the start (cash left + investments)</t>
  </si>
  <si>
    <t xml:space="preserve">Spare money after the starting top-ups of each goal pot</t>
  </si>
  <si>
    <t xml:space="preserve">Growth of spare money (cash / invested mix)</t>
  </si>
  <si>
    <t xml:space="preserve">Funded goals (the workbook carries up to 20)</t>
  </si>
  <si>
    <t xml:space="preserve">More funded goals than the workbook carries (1 = results are not complete)</t>
  </si>
  <si>
    <t xml:space="preserve">Goal rows used on Plan inputs</t>
  </si>
  <si>
    <t xml:space="preserve">Warning shown on Plan inputs and Plan results when there are more goals than the workbook can carry</t>
  </si>
  <si>
    <t xml:space="preserve">Part 3. Results per funded goal (from Plan cashflow)</t>
  </si>
  <si>
    <t xml:space="preserve">Goal paid (€)</t>
  </si>
  <si>
    <t xml:space="preserve">Goal cost (€)</t>
  </si>
  <si>
    <t xml:space="preserve">% covered</t>
  </si>
  <si>
    <t xml:space="preserve">Below 95% (1/0)</t>
  </si>
  <si>
    <t xml:space="preserve">Need in year 0 (a year)</t>
  </si>
  <si>
    <t xml:space="preserve">Saved in year 0</t>
  </si>
  <si>
    <t xml:space="preserve">Saving given over the plan (today's money)</t>
  </si>
  <si>
    <t xml:space="preserve">Years saved to</t>
  </si>
  <si>
    <t xml:space="preserve">Need a month</t>
  </si>
  <si>
    <t xml:space="preserve">Putting in now a month</t>
  </si>
  <si>
    <t xml:space="preserve">On average a month</t>
  </si>
  <si>
    <t xml:space="preserve">Part 4. Results per goal (the goal list on the Results screen)</t>
  </si>
  <si>
    <t xml:space="preserve">Cost (€)</t>
  </si>
  <si>
    <t xml:space="preserve">Covered (€)</t>
  </si>
  <si>
    <t xml:space="preserve">Band</t>
  </si>
  <si>
    <t xml:space="preserve">Needs a month, no search (Option B)</t>
  </si>
  <si>
    <t xml:space="preserve">On average you put (a month)</t>
  </si>
  <si>
    <t xml:space="preserve">Extra a month to reach 100%: type what the what-if search finds ("none" if it needs over 5,000; blank = not tried)</t>
  </si>
  <si>
    <t xml:space="preserve">Goal line as shown</t>
  </si>
  <si>
    <t xml:space="preserve">Best-strength score</t>
  </si>
  <si>
    <t xml:space="preserve">Worst-gap score</t>
  </si>
  <si>
    <t xml:space="preserve">Pct as a number</t>
  </si>
  <si>
    <t xml:space="preserve">Pct, 9999 if no goal</t>
  </si>
  <si>
    <t xml:space="preserve">When (as on screen)</t>
  </si>
  <si>
    <t xml:space="preserve">Emergency fund amount in months of essential spending</t>
  </si>
  <si>
    <t xml:space="preserve">Calendar year of the goal</t>
  </si>
  <si>
    <t xml:space="preserve">Age and year as shown (e.g. age 41 · 2030)</t>
  </si>
  <si>
    <t xml:space="preserve">Sort key for the next best step (% x 1000 + age)</t>
  </si>
  <si>
    <t xml:space="preserve">Type: % covered with the what-if OFF (blank = the same as the % covered when the what-if is zero)</t>
  </si>
  <si>
    <t xml:space="preserve">What-if sentence for this goal</t>
  </si>
  <si>
    <t xml:space="preserve">Extra a month used (typed in L, or the sample customer's figure when Fill example values = Yes)</t>
  </si>
  <si>
    <t xml:space="preserve">Plan cashflow: year by year, from your age today to the plan-until age (the prototype's project())</t>
  </si>
  <si>
    <t xml:space="preserve">Each row is one year. Order inside a year: income and tax (Plan pay &amp; tax) -&gt; living costs -&gt; debts repaid (Plan debt months) -&gt; goals due this year are paid from their pot, then from spare money -&gt; spare money is saved towards goals (or, if the year is short, spare money, the buffer and the goal pots give way) -&gt; growth. Rows below the plan-until age are not used. The block of goal columns (s1..s20) repeats for each funded goal in funding order.</t>
  </si>
  <si>
    <t xml:space="preserve">In the plan (1/0)</t>
  </si>
  <si>
    <t xml:space="preserve">TAXES APPLIED THIS YEAR (today's money)</t>
  </si>
  <si>
    <t xml:space="preserve">Money in after tax and pension contributions</t>
  </si>
  <si>
    <t xml:space="preserve">Living costs and one-offs</t>
  </si>
  <si>
    <t xml:space="preserve">Mortgage at the start of the year</t>
  </si>
  <si>
    <t xml:space="preserve">Mortgage repaid</t>
  </si>
  <si>
    <t xml:space="preserve">Mortgage after repayments</t>
  </si>
  <si>
    <t xml:space="preserve">Cards at the start</t>
  </si>
  <si>
    <t xml:space="preserve">Cards repaid</t>
  </si>
  <si>
    <t xml:space="preserve">Cards at the end</t>
  </si>
  <si>
    <t xml:space="preserve">Loans at the start</t>
  </si>
  <si>
    <t xml:space="preserve">Loans repaid</t>
  </si>
  <si>
    <t xml:space="preserve">Loans at the end</t>
  </si>
  <si>
    <t xml:space="preserve">Mortgage and loan repayments</t>
  </si>
  <si>
    <t xml:space="preserve">Spare money at the start (after any pension lump sum)</t>
  </si>
  <si>
    <t xml:space="preserve">Spare money, previous end</t>
  </si>
  <si>
    <t xml:space="preserve">Goal 1 due this year (1/0)</t>
  </si>
  <si>
    <t xml:space="preserve">Goal 1 still to come (1/0)</t>
  </si>
  <si>
    <t xml:space="preserve">Goal 1 pot, start</t>
  </si>
  <si>
    <t xml:space="preserve">Goal 1 paid from its pot</t>
  </si>
  <si>
    <t xml:space="preserve">Goal 1 paid from spare money</t>
  </si>
  <si>
    <t xml:space="preserve">Goal 1 paid</t>
  </si>
  <si>
    <t xml:space="preserve">Spare money after goal 1</t>
  </si>
  <si>
    <t xml:space="preserve">Buffer after goal 1</t>
  </si>
  <si>
    <t xml:space="preserve">Mortgage after goal 1</t>
  </si>
  <si>
    <t xml:space="preserve">Goal 1 not covered</t>
  </si>
  <si>
    <t xml:space="preserve">Buffer, start</t>
  </si>
  <si>
    <t xml:space="preserve">Goal 2 due this year (1/0)</t>
  </si>
  <si>
    <t xml:space="preserve">Goal 2 still to come (1/0)</t>
  </si>
  <si>
    <t xml:space="preserve">Goal 2 pot, start</t>
  </si>
  <si>
    <t xml:space="preserve">Goal 2 paid from its pot</t>
  </si>
  <si>
    <t xml:space="preserve">Goal 2 paid from spare money</t>
  </si>
  <si>
    <t xml:space="preserve">Goal 2 paid</t>
  </si>
  <si>
    <t xml:space="preserve">Spare money after goal 2</t>
  </si>
  <si>
    <t xml:space="preserve">Buffer after goal 2</t>
  </si>
  <si>
    <t xml:space="preserve">Mortgage after goal 2</t>
  </si>
  <si>
    <t xml:space="preserve">Goal 2 not covered</t>
  </si>
  <si>
    <t xml:space="preserve">Goal 3 due this year (1/0)</t>
  </si>
  <si>
    <t xml:space="preserve">Goal 3 still to come (1/0)</t>
  </si>
  <si>
    <t xml:space="preserve">Goal 3 pot, start</t>
  </si>
  <si>
    <t xml:space="preserve">Goal 3 paid from its pot</t>
  </si>
  <si>
    <t xml:space="preserve">Goal 3 paid from spare money</t>
  </si>
  <si>
    <t xml:space="preserve">Goal 3 paid</t>
  </si>
  <si>
    <t xml:space="preserve">Spare money after goal 3</t>
  </si>
  <si>
    <t xml:space="preserve">Buffer after goal 3</t>
  </si>
  <si>
    <t xml:space="preserve">Mortgage after goal 3</t>
  </si>
  <si>
    <t xml:space="preserve">Goal 3 not covered</t>
  </si>
  <si>
    <t xml:space="preserve">Goal 4 due this year (1/0)</t>
  </si>
  <si>
    <t xml:space="preserve">Goal 4 still to come (1/0)</t>
  </si>
  <si>
    <t xml:space="preserve">Goal 4 pot, start</t>
  </si>
  <si>
    <t xml:space="preserve">Goal 4 paid from its pot</t>
  </si>
  <si>
    <t xml:space="preserve">Goal 4 paid from spare money</t>
  </si>
  <si>
    <t xml:space="preserve">Goal 4 paid</t>
  </si>
  <si>
    <t xml:space="preserve">Spare money after goal 4</t>
  </si>
  <si>
    <t xml:space="preserve">Buffer after goal 4</t>
  </si>
  <si>
    <t xml:space="preserve">Mortgage after goal 4</t>
  </si>
  <si>
    <t xml:space="preserve">Goal 4 not covered</t>
  </si>
  <si>
    <t xml:space="preserve">Goal 5 due this year (1/0)</t>
  </si>
  <si>
    <t xml:space="preserve">Goal 5 still to come (1/0)</t>
  </si>
  <si>
    <t xml:space="preserve">Goal 5 pot, start</t>
  </si>
  <si>
    <t xml:space="preserve">Goal 5 paid from its pot</t>
  </si>
  <si>
    <t xml:space="preserve">Goal 5 paid from spare money</t>
  </si>
  <si>
    <t xml:space="preserve">Goal 5 paid</t>
  </si>
  <si>
    <t xml:space="preserve">Spare money after goal 5</t>
  </si>
  <si>
    <t xml:space="preserve">Buffer after goal 5</t>
  </si>
  <si>
    <t xml:space="preserve">Mortgage after goal 5</t>
  </si>
  <si>
    <t xml:space="preserve">Goal 5 not covered</t>
  </si>
  <si>
    <t xml:space="preserve">Goal 6 due this year (1/0)</t>
  </si>
  <si>
    <t xml:space="preserve">Goal 6 still to come (1/0)</t>
  </si>
  <si>
    <t xml:space="preserve">Goal 6 pot, start</t>
  </si>
  <si>
    <t xml:space="preserve">Goal 6 paid from its pot</t>
  </si>
  <si>
    <t xml:space="preserve">Goal 6 paid from spare money</t>
  </si>
  <si>
    <t xml:space="preserve">Goal 6 paid</t>
  </si>
  <si>
    <t xml:space="preserve">Spare money after goal 6</t>
  </si>
  <si>
    <t xml:space="preserve">Buffer after goal 6</t>
  </si>
  <si>
    <t xml:space="preserve">Mortgage after goal 6</t>
  </si>
  <si>
    <t xml:space="preserve">Goal 6 not covered</t>
  </si>
  <si>
    <t xml:space="preserve">Goal 7 due this year (1/0)</t>
  </si>
  <si>
    <t xml:space="preserve">Goal 7 still to come (1/0)</t>
  </si>
  <si>
    <t xml:space="preserve">Goal 7 pot, start</t>
  </si>
  <si>
    <t xml:space="preserve">Goal 7 paid from its pot</t>
  </si>
  <si>
    <t xml:space="preserve">Goal 7 paid from spare money</t>
  </si>
  <si>
    <t xml:space="preserve">Goal 7 paid</t>
  </si>
  <si>
    <t xml:space="preserve">Spare money after goal 7</t>
  </si>
  <si>
    <t xml:space="preserve">Buffer after goal 7</t>
  </si>
  <si>
    <t xml:space="preserve">Mortgage after goal 7</t>
  </si>
  <si>
    <t xml:space="preserve">Goal 7 not covered</t>
  </si>
  <si>
    <t xml:space="preserve">Goal 8 due this year (1/0)</t>
  </si>
  <si>
    <t xml:space="preserve">Goal 8 still to come (1/0)</t>
  </si>
  <si>
    <t xml:space="preserve">Goal 8 pot, start</t>
  </si>
  <si>
    <t xml:space="preserve">Goal 8 paid from its pot</t>
  </si>
  <si>
    <t xml:space="preserve">Goal 8 paid from spare money</t>
  </si>
  <si>
    <t xml:space="preserve">Goal 8 paid</t>
  </si>
  <si>
    <t xml:space="preserve">Spare money after goal 8</t>
  </si>
  <si>
    <t xml:space="preserve">Buffer after goal 8</t>
  </si>
  <si>
    <t xml:space="preserve">Mortgage after goal 8</t>
  </si>
  <si>
    <t xml:space="preserve">Goal 8 not covered</t>
  </si>
  <si>
    <t xml:space="preserve">Goal 9 due this year (1/0)</t>
  </si>
  <si>
    <t xml:space="preserve">Goal 9 still to come (1/0)</t>
  </si>
  <si>
    <t xml:space="preserve">Goal 9 pot, start</t>
  </si>
  <si>
    <t xml:space="preserve">Goal 9 paid from its pot</t>
  </si>
  <si>
    <t xml:space="preserve">Goal 9 paid from spare money</t>
  </si>
  <si>
    <t xml:space="preserve">Goal 9 paid</t>
  </si>
  <si>
    <t xml:space="preserve">Spare money after goal 9</t>
  </si>
  <si>
    <t xml:space="preserve">Buffer after goal 9</t>
  </si>
  <si>
    <t xml:space="preserve">Mortgage after goal 9</t>
  </si>
  <si>
    <t xml:space="preserve">Goal 9 not covered</t>
  </si>
  <si>
    <t xml:space="preserve">Goal 10 due this year (1/0)</t>
  </si>
  <si>
    <t xml:space="preserve">Goal 10 still to come (1/0)</t>
  </si>
  <si>
    <t xml:space="preserve">Goal 10 pot, start</t>
  </si>
  <si>
    <t xml:space="preserve">Goal 10 paid from its pot</t>
  </si>
  <si>
    <t xml:space="preserve">Goal 10 paid from spare money</t>
  </si>
  <si>
    <t xml:space="preserve">Goal 10 paid</t>
  </si>
  <si>
    <t xml:space="preserve">Spare money after goal 10</t>
  </si>
  <si>
    <t xml:space="preserve">Buffer after goal 10</t>
  </si>
  <si>
    <t xml:space="preserve">Mortgage after goal 10</t>
  </si>
  <si>
    <t xml:space="preserve">Goal 10 not covered</t>
  </si>
  <si>
    <t xml:space="preserve">Goal 11 due this year (1/0)</t>
  </si>
  <si>
    <t xml:space="preserve">Goal 11 still to come (1/0)</t>
  </si>
  <si>
    <t xml:space="preserve">Goal 11 pot, start</t>
  </si>
  <si>
    <t xml:space="preserve">Goal 11 paid from its pot</t>
  </si>
  <si>
    <t xml:space="preserve">Goal 11 paid from spare money</t>
  </si>
  <si>
    <t xml:space="preserve">Goal 11 paid</t>
  </si>
  <si>
    <t xml:space="preserve">Spare money after goal 11</t>
  </si>
  <si>
    <t xml:space="preserve">Buffer after goal 11</t>
  </si>
  <si>
    <t xml:space="preserve">Mortgage after goal 11</t>
  </si>
  <si>
    <t xml:space="preserve">Goal 11 not covered</t>
  </si>
  <si>
    <t xml:space="preserve">Goal 12 due this year (1/0)</t>
  </si>
  <si>
    <t xml:space="preserve">Goal 12 still to come (1/0)</t>
  </si>
  <si>
    <t xml:space="preserve">Goal 12 pot, start</t>
  </si>
  <si>
    <t xml:space="preserve">Goal 12 paid from its pot</t>
  </si>
  <si>
    <t xml:space="preserve">Goal 12 paid from spare money</t>
  </si>
  <si>
    <t xml:space="preserve">Goal 12 paid</t>
  </si>
  <si>
    <t xml:space="preserve">Spare money after goal 12</t>
  </si>
  <si>
    <t xml:space="preserve">Buffer after goal 12</t>
  </si>
  <si>
    <t xml:space="preserve">Mortgage after goal 12</t>
  </si>
  <si>
    <t xml:space="preserve">Goal 12 not covered</t>
  </si>
  <si>
    <t xml:space="preserve">Goal 13 due this year (1/0)</t>
  </si>
  <si>
    <t xml:space="preserve">Goal 13 still to come (1/0)</t>
  </si>
  <si>
    <t xml:space="preserve">Goal 13 pot, start</t>
  </si>
  <si>
    <t xml:space="preserve">Goal 13 paid from its pot</t>
  </si>
  <si>
    <t xml:space="preserve">Goal 13 paid from spare money</t>
  </si>
  <si>
    <t xml:space="preserve">Goal 13 paid</t>
  </si>
  <si>
    <t xml:space="preserve">Spare money after goal 13</t>
  </si>
  <si>
    <t xml:space="preserve">Buffer after goal 13</t>
  </si>
  <si>
    <t xml:space="preserve">Mortgage after goal 13</t>
  </si>
  <si>
    <t xml:space="preserve">Goal 13 not covered</t>
  </si>
  <si>
    <t xml:space="preserve">Goal 14 due this year (1/0)</t>
  </si>
  <si>
    <t xml:space="preserve">Goal 14 still to come (1/0)</t>
  </si>
  <si>
    <t xml:space="preserve">Goal 14 pot, start</t>
  </si>
  <si>
    <t xml:space="preserve">Goal 14 paid from its pot</t>
  </si>
  <si>
    <t xml:space="preserve">Goal 14 paid from spare money</t>
  </si>
  <si>
    <t xml:space="preserve">Goal 14 paid</t>
  </si>
  <si>
    <t xml:space="preserve">Spare money after goal 14</t>
  </si>
  <si>
    <t xml:space="preserve">Buffer after goal 14</t>
  </si>
  <si>
    <t xml:space="preserve">Mortgage after goal 14</t>
  </si>
  <si>
    <t xml:space="preserve">Goal 14 not covered</t>
  </si>
  <si>
    <t xml:space="preserve">Goal 15 due this year (1/0)</t>
  </si>
  <si>
    <t xml:space="preserve">Goal 15 still to come (1/0)</t>
  </si>
  <si>
    <t xml:space="preserve">Goal 15 pot, start</t>
  </si>
  <si>
    <t xml:space="preserve">Goal 15 paid from its pot</t>
  </si>
  <si>
    <t xml:space="preserve">Goal 15 paid from spare money</t>
  </si>
  <si>
    <t xml:space="preserve">Goal 15 paid</t>
  </si>
  <si>
    <t xml:space="preserve">Spare money after goal 15</t>
  </si>
  <si>
    <t xml:space="preserve">Buffer after goal 15</t>
  </si>
  <si>
    <t xml:space="preserve">Mortgage after goal 15</t>
  </si>
  <si>
    <t xml:space="preserve">Goal 15 not covered</t>
  </si>
  <si>
    <t xml:space="preserve">Goal 16 due this year (1/0)</t>
  </si>
  <si>
    <t xml:space="preserve">Goal 16 still to come (1/0)</t>
  </si>
  <si>
    <t xml:space="preserve">Goal 16 pot, start</t>
  </si>
  <si>
    <t xml:space="preserve">Goal 16 paid from its pot</t>
  </si>
  <si>
    <t xml:space="preserve">Goal 16 paid from spare money</t>
  </si>
  <si>
    <t xml:space="preserve">Goal 16 paid</t>
  </si>
  <si>
    <t xml:space="preserve">Spare money after goal 16</t>
  </si>
  <si>
    <t xml:space="preserve">Buffer after goal 16</t>
  </si>
  <si>
    <t xml:space="preserve">Mortgage after goal 16</t>
  </si>
  <si>
    <t xml:space="preserve">Goal 16 not covered</t>
  </si>
  <si>
    <t xml:space="preserve">Goal 17 due this year (1/0)</t>
  </si>
  <si>
    <t xml:space="preserve">Goal 17 still to come (1/0)</t>
  </si>
  <si>
    <t xml:space="preserve">Goal 17 pot, start</t>
  </si>
  <si>
    <t xml:space="preserve">Goal 17 paid from its pot</t>
  </si>
  <si>
    <t xml:space="preserve">Goal 17 paid from spare money</t>
  </si>
  <si>
    <t xml:space="preserve">Goal 17 paid</t>
  </si>
  <si>
    <t xml:space="preserve">Spare money after goal 17</t>
  </si>
  <si>
    <t xml:space="preserve">Buffer after goal 17</t>
  </si>
  <si>
    <t xml:space="preserve">Mortgage after goal 17</t>
  </si>
  <si>
    <t xml:space="preserve">Goal 17 not covered</t>
  </si>
  <si>
    <t xml:space="preserve">Goal 18 due this year (1/0)</t>
  </si>
  <si>
    <t xml:space="preserve">Goal 18 still to come (1/0)</t>
  </si>
  <si>
    <t xml:space="preserve">Goal 18 pot, start</t>
  </si>
  <si>
    <t xml:space="preserve">Goal 18 paid from its pot</t>
  </si>
  <si>
    <t xml:space="preserve">Goal 18 paid from spare money</t>
  </si>
  <si>
    <t xml:space="preserve">Goal 18 paid</t>
  </si>
  <si>
    <t xml:space="preserve">Spare money after goal 18</t>
  </si>
  <si>
    <t xml:space="preserve">Buffer after goal 18</t>
  </si>
  <si>
    <t xml:space="preserve">Mortgage after goal 18</t>
  </si>
  <si>
    <t xml:space="preserve">Goal 18 not covered</t>
  </si>
  <si>
    <t xml:space="preserve">Goal 19 due this year (1/0)</t>
  </si>
  <si>
    <t xml:space="preserve">Goal 19 still to come (1/0)</t>
  </si>
  <si>
    <t xml:space="preserve">Goal 19 pot, start</t>
  </si>
  <si>
    <t xml:space="preserve">Goal 19 paid from its pot</t>
  </si>
  <si>
    <t xml:space="preserve">Goal 19 paid from spare money</t>
  </si>
  <si>
    <t xml:space="preserve">Goal 19 paid</t>
  </si>
  <si>
    <t xml:space="preserve">Spare money after goal 19</t>
  </si>
  <si>
    <t xml:space="preserve">Buffer after goal 19</t>
  </si>
  <si>
    <t xml:space="preserve">Mortgage after goal 19</t>
  </si>
  <si>
    <t xml:space="preserve">Goal 19 not covered</t>
  </si>
  <si>
    <t xml:space="preserve">Goal 20 due this year (1/0)</t>
  </si>
  <si>
    <t xml:space="preserve">Goal 20 still to come (1/0)</t>
  </si>
  <si>
    <t xml:space="preserve">Goal 20 pot, start</t>
  </si>
  <si>
    <t xml:space="preserve">Goal 20 paid from its pot</t>
  </si>
  <si>
    <t xml:space="preserve">Goal 20 paid from spare money</t>
  </si>
  <si>
    <t xml:space="preserve">Goal 20 paid</t>
  </si>
  <si>
    <t xml:space="preserve">Spare money after goal 20</t>
  </si>
  <si>
    <t xml:space="preserve">Buffer after goal 20</t>
  </si>
  <si>
    <t xml:space="preserve">Mortgage after goal 20</t>
  </si>
  <si>
    <t xml:space="preserve">Goal 20 not covered</t>
  </si>
  <si>
    <t xml:space="preserve">Goals paid this year (from savings)</t>
  </si>
  <si>
    <t xml:space="preserve">Goal amounts not covered this year</t>
  </si>
  <si>
    <t xml:space="preserve">Goals due this year (cost)</t>
  </si>
  <si>
    <t xml:space="preserve">Mortgage at the end of the year</t>
  </si>
  <si>
    <t xml:space="preserve">Money left after living costs and repayments</t>
  </si>
  <si>
    <t xml:space="preserve">The Q6 rule's saving today (a month)</t>
  </si>
  <si>
    <t xml:space="preserve">Money left over (1) or a short year (0)</t>
  </si>
  <si>
    <t xml:space="preserve">Spare money a month, today's money</t>
  </si>
  <si>
    <t xml:space="preserve">The Q6 rule on that spare money</t>
  </si>
  <si>
    <t xml:space="preserve">Raising the rule (1) or capping it (0)</t>
  </si>
  <si>
    <t xml:space="preserve">Monthly saving, today's money</t>
  </si>
  <si>
    <t xml:space="preserve">Saving this year (nominal)</t>
  </si>
  <si>
    <t xml:space="preserve">Saving this year after "save less"</t>
  </si>
  <si>
    <t xml:space="preserve">What-if goal still to come (1/0)</t>
  </si>
  <si>
    <t xml:space="preserve">What-if extra wanted this year</t>
  </si>
  <si>
    <t xml:space="preserve">Saving this year, after the money left</t>
  </si>
  <si>
    <t xml:space="preserve">What-if extra this year</t>
  </si>
  <si>
    <t xml:space="preserve">Goal 1: growth factor of saving that rises with pay</t>
  </si>
  <si>
    <t xml:space="preserve">Goal 1: needed for the what-if extra</t>
  </si>
  <si>
    <t xml:space="preserve">Goal 1: what-if extra given</t>
  </si>
  <si>
    <t xml:space="preserve">Goal 1: pot after the what-if extra</t>
  </si>
  <si>
    <t xml:space="preserve">Goal 1: saving needed this year</t>
  </si>
  <si>
    <t xml:space="preserve">Goal 1: saving needed in a short year</t>
  </si>
  <si>
    <t xml:space="preserve">Goal 1: saving given</t>
  </si>
  <si>
    <t xml:space="preserve">Saving left after goal 1</t>
  </si>
  <si>
    <t xml:space="preserve">Goal 2: growth factor of saving that rises with pay</t>
  </si>
  <si>
    <t xml:space="preserve">Goal 2: needed for the what-if extra</t>
  </si>
  <si>
    <t xml:space="preserve">Goal 2: what-if extra given</t>
  </si>
  <si>
    <t xml:space="preserve">Goal 2: pot after the what-if extra</t>
  </si>
  <si>
    <t xml:space="preserve">Goal 2: saving needed this year</t>
  </si>
  <si>
    <t xml:space="preserve">Goal 2: saving needed in a short year</t>
  </si>
  <si>
    <t xml:space="preserve">Goal 2: saving given</t>
  </si>
  <si>
    <t xml:space="preserve">Saving left after goal 2</t>
  </si>
  <si>
    <t xml:space="preserve">Goal 3: growth factor of saving that rises with pay</t>
  </si>
  <si>
    <t xml:space="preserve">Goal 3: needed for the what-if extra</t>
  </si>
  <si>
    <t xml:space="preserve">Goal 3: what-if extra given</t>
  </si>
  <si>
    <t xml:space="preserve">Goal 3: pot after the what-if extra</t>
  </si>
  <si>
    <t xml:space="preserve">Goal 3: saving needed this year</t>
  </si>
  <si>
    <t xml:space="preserve">Goal 3: saving needed in a short year</t>
  </si>
  <si>
    <t xml:space="preserve">Goal 3: saving given</t>
  </si>
  <si>
    <t xml:space="preserve">Saving left after goal 3</t>
  </si>
  <si>
    <t xml:space="preserve">Goal 4: growth factor of saving that rises with pay</t>
  </si>
  <si>
    <t xml:space="preserve">Goal 4: needed for the what-if extra</t>
  </si>
  <si>
    <t xml:space="preserve">Goal 4: what-if extra given</t>
  </si>
  <si>
    <t xml:space="preserve">Goal 4: pot after the what-if extra</t>
  </si>
  <si>
    <t xml:space="preserve">Goal 4: saving needed this year</t>
  </si>
  <si>
    <t xml:space="preserve">Goal 4: saving needed in a short year</t>
  </si>
  <si>
    <t xml:space="preserve">Goal 4: saving given</t>
  </si>
  <si>
    <t xml:space="preserve">Saving left after goal 4</t>
  </si>
  <si>
    <t xml:space="preserve">Goal 5: growth factor of saving that rises with pay</t>
  </si>
  <si>
    <t xml:space="preserve">Goal 5: needed for the what-if extra</t>
  </si>
  <si>
    <t xml:space="preserve">Goal 5: what-if extra given</t>
  </si>
  <si>
    <t xml:space="preserve">Goal 5: pot after the what-if extra</t>
  </si>
  <si>
    <t xml:space="preserve">Goal 5: saving needed this year</t>
  </si>
  <si>
    <t xml:space="preserve">Goal 5: saving needed in a short year</t>
  </si>
  <si>
    <t xml:space="preserve">Goal 5: saving given</t>
  </si>
  <si>
    <t xml:space="preserve">Saving left after goal 5</t>
  </si>
  <si>
    <t xml:space="preserve">Goal 6: growth factor of saving that rises with pay</t>
  </si>
  <si>
    <t xml:space="preserve">Goal 6: needed for the what-if extra</t>
  </si>
  <si>
    <t xml:space="preserve">Goal 6: what-if extra given</t>
  </si>
  <si>
    <t xml:space="preserve">Goal 6: pot after the what-if extra</t>
  </si>
  <si>
    <t xml:space="preserve">Goal 6: saving needed this year</t>
  </si>
  <si>
    <t xml:space="preserve">Goal 6: saving needed in a short year</t>
  </si>
  <si>
    <t xml:space="preserve">Goal 6: saving given</t>
  </si>
  <si>
    <t xml:space="preserve">Saving left after goal 6</t>
  </si>
  <si>
    <t xml:space="preserve">Goal 7: growth factor of saving that rises with pay</t>
  </si>
  <si>
    <t xml:space="preserve">Goal 7: needed for the what-if extra</t>
  </si>
  <si>
    <t xml:space="preserve">Goal 7: what-if extra given</t>
  </si>
  <si>
    <t xml:space="preserve">Goal 7: pot after the what-if extra</t>
  </si>
  <si>
    <t xml:space="preserve">Goal 7: saving needed this year</t>
  </si>
  <si>
    <t xml:space="preserve">Goal 7: saving needed in a short year</t>
  </si>
  <si>
    <t xml:space="preserve">Goal 7: saving given</t>
  </si>
  <si>
    <t xml:space="preserve">Saving left after goal 7</t>
  </si>
  <si>
    <t xml:space="preserve">Goal 8: growth factor of saving that rises with pay</t>
  </si>
  <si>
    <t xml:space="preserve">Goal 8: needed for the what-if extra</t>
  </si>
  <si>
    <t xml:space="preserve">Goal 8: what-if extra given</t>
  </si>
  <si>
    <t xml:space="preserve">Goal 8: pot after the what-if extra</t>
  </si>
  <si>
    <t xml:space="preserve">Goal 8: saving needed this year</t>
  </si>
  <si>
    <t xml:space="preserve">Goal 8: saving needed in a short year</t>
  </si>
  <si>
    <t xml:space="preserve">Goal 8: saving given</t>
  </si>
  <si>
    <t xml:space="preserve">Saving left after goal 8</t>
  </si>
  <si>
    <t xml:space="preserve">Goal 9: growth factor of saving that rises with pay</t>
  </si>
  <si>
    <t xml:space="preserve">Goal 9: needed for the what-if extra</t>
  </si>
  <si>
    <t xml:space="preserve">Goal 9: what-if extra given</t>
  </si>
  <si>
    <t xml:space="preserve">Goal 9: pot after the what-if extra</t>
  </si>
  <si>
    <t xml:space="preserve">Goal 9: saving needed this year</t>
  </si>
  <si>
    <t xml:space="preserve">Goal 9: saving needed in a short year</t>
  </si>
  <si>
    <t xml:space="preserve">Goal 9: saving given</t>
  </si>
  <si>
    <t xml:space="preserve">Saving left after goal 9</t>
  </si>
  <si>
    <t xml:space="preserve">Goal 10: growth factor of saving that rises with pay</t>
  </si>
  <si>
    <t xml:space="preserve">Goal 10: needed for the what-if extra</t>
  </si>
  <si>
    <t xml:space="preserve">Goal 10: what-if extra given</t>
  </si>
  <si>
    <t xml:space="preserve">Goal 10: pot after the what-if extra</t>
  </si>
  <si>
    <t xml:space="preserve">Goal 10: saving needed this year</t>
  </si>
  <si>
    <t xml:space="preserve">Goal 10: saving needed in a short year</t>
  </si>
  <si>
    <t xml:space="preserve">Goal 10: saving given</t>
  </si>
  <si>
    <t xml:space="preserve">Saving left after goal 10</t>
  </si>
  <si>
    <t xml:space="preserve">Goal 11: growth factor of saving that rises with pay</t>
  </si>
  <si>
    <t xml:space="preserve">Goal 11: needed for the what-if extra</t>
  </si>
  <si>
    <t xml:space="preserve">Goal 11: what-if extra given</t>
  </si>
  <si>
    <t xml:space="preserve">Goal 11: pot after the what-if extra</t>
  </si>
  <si>
    <t xml:space="preserve">Goal 11: saving needed this year</t>
  </si>
  <si>
    <t xml:space="preserve">Goal 11: saving needed in a short year</t>
  </si>
  <si>
    <t xml:space="preserve">Goal 11: saving given</t>
  </si>
  <si>
    <t xml:space="preserve">Saving left after goal 11</t>
  </si>
  <si>
    <t xml:space="preserve">Goal 12: growth factor of saving that rises with pay</t>
  </si>
  <si>
    <t xml:space="preserve">Goal 12: needed for the what-if extra</t>
  </si>
  <si>
    <t xml:space="preserve">Goal 12: what-if extra given</t>
  </si>
  <si>
    <t xml:space="preserve">Goal 12: pot after the what-if extra</t>
  </si>
  <si>
    <t xml:space="preserve">Goal 12: saving needed this year</t>
  </si>
  <si>
    <t xml:space="preserve">Goal 12: saving needed in a short year</t>
  </si>
  <si>
    <t xml:space="preserve">Goal 12: saving given</t>
  </si>
  <si>
    <t xml:space="preserve">Saving left after goal 12</t>
  </si>
  <si>
    <t xml:space="preserve">Goal 13: growth factor of saving that rises with pay</t>
  </si>
  <si>
    <t xml:space="preserve">Goal 13: needed for the what-if extra</t>
  </si>
  <si>
    <t xml:space="preserve">Goal 13: what-if extra given</t>
  </si>
  <si>
    <t xml:space="preserve">Goal 13: pot after the what-if extra</t>
  </si>
  <si>
    <t xml:space="preserve">Goal 13: saving needed this year</t>
  </si>
  <si>
    <t xml:space="preserve">Goal 13: saving needed in a short year</t>
  </si>
  <si>
    <t xml:space="preserve">Goal 13: saving given</t>
  </si>
  <si>
    <t xml:space="preserve">Saving left after goal 13</t>
  </si>
  <si>
    <t xml:space="preserve">Goal 14: growth factor of saving that rises with pay</t>
  </si>
  <si>
    <t xml:space="preserve">Goal 14: needed for the what-if extra</t>
  </si>
  <si>
    <t xml:space="preserve">Goal 14: what-if extra given</t>
  </si>
  <si>
    <t xml:space="preserve">Goal 14: pot after the what-if extra</t>
  </si>
  <si>
    <t xml:space="preserve">Goal 14: saving needed this year</t>
  </si>
  <si>
    <t xml:space="preserve">Goal 14: saving needed in a short year</t>
  </si>
  <si>
    <t xml:space="preserve">Goal 14: saving given</t>
  </si>
  <si>
    <t xml:space="preserve">Saving left after goal 14</t>
  </si>
  <si>
    <t xml:space="preserve">Goal 15: growth factor of saving that rises with pay</t>
  </si>
  <si>
    <t xml:space="preserve">Goal 15: needed for the what-if extra</t>
  </si>
  <si>
    <t xml:space="preserve">Goal 15: what-if extra given</t>
  </si>
  <si>
    <t xml:space="preserve">Goal 15: pot after the what-if extra</t>
  </si>
  <si>
    <t xml:space="preserve">Goal 15: saving needed this year</t>
  </si>
  <si>
    <t xml:space="preserve">Goal 15: saving needed in a short year</t>
  </si>
  <si>
    <t xml:space="preserve">Goal 15: saving given</t>
  </si>
  <si>
    <t xml:space="preserve">Saving left after goal 15</t>
  </si>
  <si>
    <t xml:space="preserve">Goal 16: growth factor of saving that rises with pay</t>
  </si>
  <si>
    <t xml:space="preserve">Goal 16: needed for the what-if extra</t>
  </si>
  <si>
    <t xml:space="preserve">Goal 16: what-if extra given</t>
  </si>
  <si>
    <t xml:space="preserve">Goal 16: pot after the what-if extra</t>
  </si>
  <si>
    <t xml:space="preserve">Goal 16: saving needed this year</t>
  </si>
  <si>
    <t xml:space="preserve">Goal 16: saving needed in a short year</t>
  </si>
  <si>
    <t xml:space="preserve">Goal 16: saving given</t>
  </si>
  <si>
    <t xml:space="preserve">Saving left after goal 16</t>
  </si>
  <si>
    <t xml:space="preserve">Goal 17: growth factor of saving that rises with pay</t>
  </si>
  <si>
    <t xml:space="preserve">Goal 17: needed for the what-if extra</t>
  </si>
  <si>
    <t xml:space="preserve">Goal 17: what-if extra given</t>
  </si>
  <si>
    <t xml:space="preserve">Goal 17: pot after the what-if extra</t>
  </si>
  <si>
    <t xml:space="preserve">Goal 17: saving needed this year</t>
  </si>
  <si>
    <t xml:space="preserve">Goal 17: saving needed in a short year</t>
  </si>
  <si>
    <t xml:space="preserve">Goal 17: saving given</t>
  </si>
  <si>
    <t xml:space="preserve">Saving left after goal 17</t>
  </si>
  <si>
    <t xml:space="preserve">Goal 18: growth factor of saving that rises with pay</t>
  </si>
  <si>
    <t xml:space="preserve">Goal 18: needed for the what-if extra</t>
  </si>
  <si>
    <t xml:space="preserve">Goal 18: what-if extra given</t>
  </si>
  <si>
    <t xml:space="preserve">Goal 18: pot after the what-if extra</t>
  </si>
  <si>
    <t xml:space="preserve">Goal 18: saving needed this year</t>
  </si>
  <si>
    <t xml:space="preserve">Goal 18: saving needed in a short year</t>
  </si>
  <si>
    <t xml:space="preserve">Goal 18: saving given</t>
  </si>
  <si>
    <t xml:space="preserve">Saving left after goal 18</t>
  </si>
  <si>
    <t xml:space="preserve">Goal 19: growth factor of saving that rises with pay</t>
  </si>
  <si>
    <t xml:space="preserve">Goal 19: needed for the what-if extra</t>
  </si>
  <si>
    <t xml:space="preserve">Goal 19: what-if extra given</t>
  </si>
  <si>
    <t xml:space="preserve">Goal 19: pot after the what-if extra</t>
  </si>
  <si>
    <t xml:space="preserve">Goal 19: saving needed this year</t>
  </si>
  <si>
    <t xml:space="preserve">Goal 19: saving needed in a short year</t>
  </si>
  <si>
    <t xml:space="preserve">Goal 19: saving given</t>
  </si>
  <si>
    <t xml:space="preserve">Saving left after goal 19</t>
  </si>
  <si>
    <t xml:space="preserve">Goal 20: growth factor of saving that rises with pay</t>
  </si>
  <si>
    <t xml:space="preserve">Goal 20: needed for the what-if extra</t>
  </si>
  <si>
    <t xml:space="preserve">Goal 20: what-if extra given</t>
  </si>
  <si>
    <t xml:space="preserve">Goal 20: pot after the what-if extra</t>
  </si>
  <si>
    <t xml:space="preserve">Goal 20: saving needed this year</t>
  </si>
  <si>
    <t xml:space="preserve">Goal 20: saving needed in a short year</t>
  </si>
  <si>
    <t xml:space="preserve">Goal 20: saving given</t>
  </si>
  <si>
    <t xml:space="preserve">Saving left after goal 20</t>
  </si>
  <si>
    <t xml:space="preserve">What-if extra not needed by the goal (goes to spare money)</t>
  </si>
  <si>
    <t xml:space="preserve">Left over after saving (assumed spent while working)</t>
  </si>
  <si>
    <t xml:space="preserve">Short by</t>
  </si>
  <si>
    <t xml:space="preserve">Short year: taken from spare money</t>
  </si>
  <si>
    <t xml:space="preserve">Still short</t>
  </si>
  <si>
    <t xml:space="preserve">Short year: taken from the buffer</t>
  </si>
  <si>
    <t xml:space="preserve">Still short after the buffer</t>
  </si>
  <si>
    <t xml:space="preserve">Short year: taken from goal 20's pot</t>
  </si>
  <si>
    <t xml:space="preserve">Still short after goal 20</t>
  </si>
  <si>
    <t xml:space="preserve">Short year: taken from goal 19's pot</t>
  </si>
  <si>
    <t xml:space="preserve">Still short after goal 19</t>
  </si>
  <si>
    <t xml:space="preserve">Short year: taken from goal 18's pot</t>
  </si>
  <si>
    <t xml:space="preserve">Still short after goal 18</t>
  </si>
  <si>
    <t xml:space="preserve">Short year: taken from goal 17's pot</t>
  </si>
  <si>
    <t xml:space="preserve">Still short after goal 17</t>
  </si>
  <si>
    <t xml:space="preserve">Short year: taken from goal 16's pot</t>
  </si>
  <si>
    <t xml:space="preserve">Still short after goal 16</t>
  </si>
  <si>
    <t xml:space="preserve">Short year: taken from goal 15's pot</t>
  </si>
  <si>
    <t xml:space="preserve">Still short after goal 15</t>
  </si>
  <si>
    <t xml:space="preserve">Short year: taken from goal 14's pot</t>
  </si>
  <si>
    <t xml:space="preserve">Still short after goal 14</t>
  </si>
  <si>
    <t xml:space="preserve">Short year: taken from goal 13's pot</t>
  </si>
  <si>
    <t xml:space="preserve">Still short after goal 13</t>
  </si>
  <si>
    <t xml:space="preserve">Short year: taken from goal 12's pot</t>
  </si>
  <si>
    <t xml:space="preserve">Still short after goal 12</t>
  </si>
  <si>
    <t xml:space="preserve">Short year: taken from goal 11's pot</t>
  </si>
  <si>
    <t xml:space="preserve">Still short after goal 11</t>
  </si>
  <si>
    <t xml:space="preserve">Short year: taken from goal 10's pot</t>
  </si>
  <si>
    <t xml:space="preserve">Still short after goal 10</t>
  </si>
  <si>
    <t xml:space="preserve">Short year: taken from goal 9's pot</t>
  </si>
  <si>
    <t xml:space="preserve">Still short after goal 9</t>
  </si>
  <si>
    <t xml:space="preserve">Short year: taken from goal 8's pot</t>
  </si>
  <si>
    <t xml:space="preserve">Still short after goal 8</t>
  </si>
  <si>
    <t xml:space="preserve">Short year: taken from goal 7's pot</t>
  </si>
  <si>
    <t xml:space="preserve">Still short after goal 7</t>
  </si>
  <si>
    <t xml:space="preserve">Short year: taken from goal 6's pot</t>
  </si>
  <si>
    <t xml:space="preserve">Still short after goal 6</t>
  </si>
  <si>
    <t xml:space="preserve">Short year: taken from goal 5's pot</t>
  </si>
  <si>
    <t xml:space="preserve">Still short after goal 5</t>
  </si>
  <si>
    <t xml:space="preserve">Short year: taken from goal 4's pot</t>
  </si>
  <si>
    <t xml:space="preserve">Still short after goal 4</t>
  </si>
  <si>
    <t xml:space="preserve">Short year: taken from goal 3's pot</t>
  </si>
  <si>
    <t xml:space="preserve">Still short after goal 3</t>
  </si>
  <si>
    <t xml:space="preserve">Short year: taken from goal 2's pot</t>
  </si>
  <si>
    <t xml:space="preserve">Still short after goal 2</t>
  </si>
  <si>
    <t xml:space="preserve">Short year: taken from goal 1's pot</t>
  </si>
  <si>
    <t xml:space="preserve">Still short after goal 1</t>
  </si>
  <si>
    <t xml:space="preserve">Short for living costs and repayments</t>
  </si>
  <si>
    <t xml:space="preserve">Taken from savings to cover a short year</t>
  </si>
  <si>
    <t xml:space="preserve">Spare money after saving or shortfall</t>
  </si>
  <si>
    <t xml:space="preserve">Buffer after shortfall</t>
  </si>
  <si>
    <t xml:space="preserve">Saved this year</t>
  </si>
  <si>
    <t xml:space="preserve">Spare money assumed spent</t>
  </si>
  <si>
    <t xml:space="preserve">Spare money, end of year</t>
  </si>
  <si>
    <t xml:space="preserve">Buffer, end of year</t>
  </si>
  <si>
    <t xml:space="preserve">Goal 1 pot, end of year</t>
  </si>
  <si>
    <t xml:space="preserve">Goal 1: average saving numerator</t>
  </si>
  <si>
    <t xml:space="preserve">Goal 1: saved in year 0</t>
  </si>
  <si>
    <t xml:space="preserve">Goal 1: need in year 0</t>
  </si>
  <si>
    <t xml:space="preserve">Goal 2 pot, end of year</t>
  </si>
  <si>
    <t xml:space="preserve">Goal 2: average saving numerator</t>
  </si>
  <si>
    <t xml:space="preserve">Goal 2: saved in year 0</t>
  </si>
  <si>
    <t xml:space="preserve">Goal 2: need in year 0</t>
  </si>
  <si>
    <t xml:space="preserve">Goal 3 pot, end of year</t>
  </si>
  <si>
    <t xml:space="preserve">Goal 3: average saving numerator</t>
  </si>
  <si>
    <t xml:space="preserve">Goal 3: saved in year 0</t>
  </si>
  <si>
    <t xml:space="preserve">Goal 3: need in year 0</t>
  </si>
  <si>
    <t xml:space="preserve">Goal 4 pot, end of year</t>
  </si>
  <si>
    <t xml:space="preserve">Goal 4: average saving numerator</t>
  </si>
  <si>
    <t xml:space="preserve">Goal 4: saved in year 0</t>
  </si>
  <si>
    <t xml:space="preserve">Goal 4: need in year 0</t>
  </si>
  <si>
    <t xml:space="preserve">Goal 5 pot, end of year</t>
  </si>
  <si>
    <t xml:space="preserve">Goal 5: average saving numerator</t>
  </si>
  <si>
    <t xml:space="preserve">Goal 5: saved in year 0</t>
  </si>
  <si>
    <t xml:space="preserve">Goal 5: need in year 0</t>
  </si>
  <si>
    <t xml:space="preserve">Goal 6 pot, end of year</t>
  </si>
  <si>
    <t xml:space="preserve">Goal 6: average saving numerator</t>
  </si>
  <si>
    <t xml:space="preserve">Goal 6: saved in year 0</t>
  </si>
  <si>
    <t xml:space="preserve">Goal 6: need in year 0</t>
  </si>
  <si>
    <t xml:space="preserve">Goal 7 pot, end of year</t>
  </si>
  <si>
    <t xml:space="preserve">Goal 7: average saving numerator</t>
  </si>
  <si>
    <t xml:space="preserve">Goal 7: saved in year 0</t>
  </si>
  <si>
    <t xml:space="preserve">Goal 7: need in year 0</t>
  </si>
  <si>
    <t xml:space="preserve">Goal 8 pot, end of year</t>
  </si>
  <si>
    <t xml:space="preserve">Goal 8: average saving numerator</t>
  </si>
  <si>
    <t xml:space="preserve">Goal 8: saved in year 0</t>
  </si>
  <si>
    <t xml:space="preserve">Goal 8: need in year 0</t>
  </si>
  <si>
    <t xml:space="preserve">Goal 9 pot, end of year</t>
  </si>
  <si>
    <t xml:space="preserve">Goal 9: average saving numerator</t>
  </si>
  <si>
    <t xml:space="preserve">Goal 9: saved in year 0</t>
  </si>
  <si>
    <t xml:space="preserve">Goal 9: need in year 0</t>
  </si>
  <si>
    <t xml:space="preserve">Goal 10 pot, end of year</t>
  </si>
  <si>
    <t xml:space="preserve">Goal 10: average saving numerator</t>
  </si>
  <si>
    <t xml:space="preserve">Goal 10: saved in year 0</t>
  </si>
  <si>
    <t xml:space="preserve">Goal 10: need in year 0</t>
  </si>
  <si>
    <t xml:space="preserve">Goal 11 pot, end of year</t>
  </si>
  <si>
    <t xml:space="preserve">Goal 11: average saving numerator</t>
  </si>
  <si>
    <t xml:space="preserve">Goal 11: saved in year 0</t>
  </si>
  <si>
    <t xml:space="preserve">Goal 11: need in year 0</t>
  </si>
  <si>
    <t xml:space="preserve">Goal 12 pot, end of year</t>
  </si>
  <si>
    <t xml:space="preserve">Goal 12: average saving numerator</t>
  </si>
  <si>
    <t xml:space="preserve">Goal 12: saved in year 0</t>
  </si>
  <si>
    <t xml:space="preserve">Goal 12: need in year 0</t>
  </si>
  <si>
    <t xml:space="preserve">Goal 13 pot, end of year</t>
  </si>
  <si>
    <t xml:space="preserve">Goal 13: average saving numerator</t>
  </si>
  <si>
    <t xml:space="preserve">Goal 13: saved in year 0</t>
  </si>
  <si>
    <t xml:space="preserve">Goal 13: need in year 0</t>
  </si>
  <si>
    <t xml:space="preserve">Goal 14 pot, end of year</t>
  </si>
  <si>
    <t xml:space="preserve">Goal 14: average saving numerator</t>
  </si>
  <si>
    <t xml:space="preserve">Goal 14: saved in year 0</t>
  </si>
  <si>
    <t xml:space="preserve">Goal 14: need in year 0</t>
  </si>
  <si>
    <t xml:space="preserve">Goal 15 pot, end of year</t>
  </si>
  <si>
    <t xml:space="preserve">Goal 15: average saving numerator</t>
  </si>
  <si>
    <t xml:space="preserve">Goal 15: saved in year 0</t>
  </si>
  <si>
    <t xml:space="preserve">Goal 15: need in year 0</t>
  </si>
  <si>
    <t xml:space="preserve">Goal 16 pot, end of year</t>
  </si>
  <si>
    <t xml:space="preserve">Goal 16: average saving numerator</t>
  </si>
  <si>
    <t xml:space="preserve">Goal 16: saved in year 0</t>
  </si>
  <si>
    <t xml:space="preserve">Goal 16: need in year 0</t>
  </si>
  <si>
    <t xml:space="preserve">Goal 17 pot, end of year</t>
  </si>
  <si>
    <t xml:space="preserve">Goal 17: average saving numerator</t>
  </si>
  <si>
    <t xml:space="preserve">Goal 17: saved in year 0</t>
  </si>
  <si>
    <t xml:space="preserve">Goal 17: need in year 0</t>
  </si>
  <si>
    <t xml:space="preserve">Goal 18 pot, end of year</t>
  </si>
  <si>
    <t xml:space="preserve">Goal 18: average saving numerator</t>
  </si>
  <si>
    <t xml:space="preserve">Goal 18: saved in year 0</t>
  </si>
  <si>
    <t xml:space="preserve">Goal 18: need in year 0</t>
  </si>
  <si>
    <t xml:space="preserve">Goal 19 pot, end of year</t>
  </si>
  <si>
    <t xml:space="preserve">Goal 19: average saving numerator</t>
  </si>
  <si>
    <t xml:space="preserve">Goal 19: saved in year 0</t>
  </si>
  <si>
    <t xml:space="preserve">Goal 19: need in year 0</t>
  </si>
  <si>
    <t xml:space="preserve">Goal 20 pot, end of year</t>
  </si>
  <si>
    <t xml:space="preserve">Goal 20: average saving numerator</t>
  </si>
  <si>
    <t xml:space="preserve">Goal 20: saved in year 0</t>
  </si>
  <si>
    <t xml:space="preserve">Goal 20: need in year 0</t>
  </si>
  <si>
    <t xml:space="preserve">Savings and pots at the end of the year</t>
  </si>
  <si>
    <t xml:space="preserve">Short (living + goals)</t>
  </si>
  <si>
    <t xml:space="preserve">Needs (living + repayments)</t>
  </si>
  <si>
    <t xml:space="preserve">Retired (1/0)</t>
  </si>
  <si>
    <t xml:space="preserve">Retirement goal: cost this year</t>
  </si>
  <si>
    <t xml:space="preserve">Retirement goal: covered this year</t>
  </si>
  <si>
    <t xml:space="preserve">Short for living costs (1/0)</t>
  </si>
  <si>
    <t xml:space="preserve">Chart: from income</t>
  </si>
  <si>
    <t xml:space="preserve">Chart: from savings</t>
  </si>
  <si>
    <t xml:space="preserve">Chart: shortfall</t>
  </si>
  <si>
    <t xml:space="preserve">Chart: a short year (1/0)</t>
  </si>
  <si>
    <t xml:space="preserve">Chart: a year using savings, not short (1/0)</t>
  </si>
  <si>
    <t xml:space="preserve">Everyday costs short (1/0)</t>
  </si>
  <si>
    <t xml:space="preserve">Chapter: dipping into savings and not short (1/0)</t>
  </si>
  <si>
    <t xml:space="preserve">Year label (chapter detail and report table)</t>
  </si>
  <si>
    <t xml:space="preserve">Chapter decade</t>
  </si>
  <si>
    <t xml:space="preserve">Chapter number</t>
  </si>
  <si>
    <t xml:space="preserve">Working year short for living costs (1/0)</t>
  </si>
  <si>
    <t xml:space="preserve">Retired and short for living costs (1/0)</t>
  </si>
  <si>
    <t xml:space="preserve">A goal short of 95% is due this year (1/0)</t>
  </si>
  <si>
    <t xml:space="preserve">A short year on the road (1/0)</t>
  </si>
  <si>
    <t xml:space="preserve">Plan results: what the Results screens show (goal %, goal lines, what we found, foundations, gate)</t>
  </si>
  <si>
    <t xml:space="preserve">Everything on this sheet is a formula on the other Plan sheets. The only two typed cells are the figures the prototype finds by searching (the extra a month to reach 100%, and the extra that closes the main gap): a spreadsheet cannot run that search in one pass, so type the figure the what-if search gives (see Plan how it works).</t>
  </si>
  <si>
    <t xml:space="preserve">SAVING (today's money a month)</t>
  </si>
  <si>
    <t xml:space="preserve">Spare money a month today</t>
  </si>
  <si>
    <t xml:space="preserve">What you save a month</t>
  </si>
  <si>
    <t xml:space="preserve">The Q6 rule's saving a month</t>
  </si>
  <si>
    <t xml:space="preserve">Years short on the road</t>
  </si>
  <si>
    <t xml:space="preserve">Years short for living costs</t>
  </si>
  <si>
    <t xml:space="preserve">THE GATE: "To see your results we need N things" (planMissing: only these four choices block results)</t>
  </si>
  <si>
    <t xml:space="preserve">Still to choose (1/0)</t>
  </si>
  <si>
    <t xml:space="preserve">Name on the card</t>
  </si>
  <si>
    <t xml:space="preserve">Keys so far</t>
  </si>
  <si>
    <t xml:space="preserve">Names so far</t>
  </si>
  <si>
    <t xml:space="preserve">date of birth (age 18 to 80 today)</t>
  </si>
  <si>
    <t xml:space="preserve">Your date of birth</t>
  </si>
  <si>
    <t xml:space="preserve">partner's date of birth (age 18 to 85 today)</t>
  </si>
  <si>
    <t xml:space="preserve">pAge</t>
  </si>
  <si>
    <t xml:space="preserve">Partner's date of birth</t>
  </si>
  <si>
    <t xml:space="preserve">retirement age</t>
  </si>
  <si>
    <t xml:space="preserve">retireAge</t>
  </si>
  <si>
    <t xml:space="preserve">plan-until age</t>
  </si>
  <si>
    <t xml:space="preserve">planEnd</t>
  </si>
  <si>
    <t xml:space="preserve">inflation rate</t>
  </si>
  <si>
    <t xml:space="preserve">infl</t>
  </si>
  <si>
    <t xml:space="preserve">partner's retirement age</t>
  </si>
  <si>
    <t xml:space="preserve">pRetireAge</t>
  </si>
  <si>
    <t xml:space="preserve">Partner's retirement age</t>
  </si>
  <si>
    <t xml:space="preserve">Choices still to make (N on the card)</t>
  </si>
  <si>
    <t xml:space="preserve">Keys, in order</t>
  </si>
  <si>
    <t xml:space="preserve">The names on the card, in order</t>
  </si>
  <si>
    <t xml:space="preserve">Heading of the card</t>
  </si>
  <si>
    <t xml:space="preserve">First thing to choose</t>
  </si>
  <si>
    <t xml:space="preserve">The short gate text (Step 7 and the Plan strip)</t>
  </si>
  <si>
    <t xml:space="preserve">Results can be shown (1) or are gated (0)</t>
  </si>
  <si>
    <t xml:space="preserve">Choices only you can make that block results (3, or 4 with a partner who has income)</t>
  </si>
  <si>
    <t xml:space="preserve">Step 7 heading: "Choose N things" while choosing, "All N chosen" when none is left</t>
  </si>
  <si>
    <t xml:space="preserve">Of those, chosen so far ("n of m chosen" on Step 7)</t>
  </si>
  <si>
    <t xml:space="preserve">WHAT WE FOUND (findings)</t>
  </si>
  <si>
    <t xml:space="preserve">Working-year spending is more than comes in (1/0)</t>
  </si>
  <si>
    <t xml:space="preserve">Best score (a fully covered goal, never while overspending)</t>
  </si>
  <si>
    <t xml:space="preserve">Best goal number</t>
  </si>
  <si>
    <t xml:space="preserve">Worst goal number</t>
  </si>
  <si>
    <t xml:space="preserve">Worst goal: % covered</t>
  </si>
  <si>
    <t xml:space="preserve">Worst goal: name</t>
  </si>
  <si>
    <t xml:space="preserve">Extra a month that closes the main gap (type what the what-if search finds, or "none"; blank = not tried)</t>
  </si>
  <si>
    <t xml:space="preserve">Extra used for the biggest decision (typed above, or the sample customer's "none" when Fill example values = Yes)</t>
  </si>
  <si>
    <t xml:space="preserve">Your main strength</t>
  </si>
  <si>
    <t xml:space="preserve">Your main gap</t>
  </si>
  <si>
    <t xml:space="preserve">Your biggest decision</t>
  </si>
  <si>
    <t xml:space="preserve">RETIREMENT AT A GLANCE (today's money)</t>
  </si>
  <si>
    <t xml:space="preserve">Years until retirement</t>
  </si>
  <si>
    <t xml:space="preserve">Pension pot at the start of the retirement year</t>
  </si>
  <si>
    <t xml:space="preserve">Money in after tax in the first retired year, a month</t>
  </si>
  <si>
    <t xml:space="preserve">Lump sum after tax (nominal)</t>
  </si>
  <si>
    <t xml:space="preserve">FOUNDATIONS (the pyramid on Results)</t>
  </si>
  <si>
    <t xml:space="preserve">Level 1 Spend less than you earn: status</t>
  </si>
  <si>
    <t xml:space="preserve">Level 1: text</t>
  </si>
  <si>
    <t xml:space="preserve">Level 2 Emergency fund: status</t>
  </si>
  <si>
    <t xml:space="preserve">Level 2: text</t>
  </si>
  <si>
    <t xml:space="preserve">Level 3: months to clear the cards</t>
  </si>
  <si>
    <t xml:space="preserve">Level 3: months to clear the loans</t>
  </si>
  <si>
    <t xml:space="preserve">Level 3: debt figures given (1/0)</t>
  </si>
  <si>
    <t xml:space="preserve">Level 3 item: credit card status (blank = no item)</t>
  </si>
  <si>
    <t xml:space="preserve">Level 3 item: credit card text</t>
  </si>
  <si>
    <t xml:space="preserve">Level 3 item: loans status</t>
  </si>
  <si>
    <t xml:space="preserve">Level 3 item: loans text</t>
  </si>
  <si>
    <t xml:space="preserve">Level 3 item: no costly debt</t>
  </si>
  <si>
    <t xml:space="preserve">Level 3 item: text</t>
  </si>
  <si>
    <t xml:space="preserve">Cover through work counted</t>
  </si>
  <si>
    <t xml:space="preserve">Life cover counted</t>
  </si>
  <si>
    <t xml:space="preserve">Life cover is checked (partner or people rely on you)</t>
  </si>
  <si>
    <t xml:space="preserve">Level 3 item: life cover status</t>
  </si>
  <si>
    <t xml:space="preserve">Level 3 item: life cover text</t>
  </si>
  <si>
    <t xml:space="preserve">Level 3 item: income protection status</t>
  </si>
  <si>
    <t xml:space="preserve">Level 3 item: income protection text</t>
  </si>
  <si>
    <t xml:space="preserve">Level 3: weakest item rank</t>
  </si>
  <si>
    <t xml:space="preserve">Level 3 Clear costly debt and protect your family: status</t>
  </si>
  <si>
    <t xml:space="preserve">Level 3: text</t>
  </si>
  <si>
    <t xml:space="preserve">Level 4: goals counted (not legacy)</t>
  </si>
  <si>
    <t xml:space="preserve">Level 4: goals on track</t>
  </si>
  <si>
    <t xml:space="preserve">Level 4: goals under 50%</t>
  </si>
  <si>
    <t xml:space="preserve">Level 4: pension saving under way (1/0)</t>
  </si>
  <si>
    <t xml:space="preserve">Level 4 Goals and retirement: status</t>
  </si>
  <si>
    <t xml:space="preserve">Level 4: text</t>
  </si>
  <si>
    <t xml:space="preserve">Level 5: wealth or legacy goals</t>
  </si>
  <si>
    <t xml:space="preserve">Level 5: first wealth or legacy goal on track</t>
  </si>
  <si>
    <t xml:space="preserve">Level 5: first wealth or legacy goal</t>
  </si>
  <si>
    <t xml:space="preserve">Level 5: investing (1/0)</t>
  </si>
  <si>
    <t xml:space="preserve">Level 5 Grow wealth and legacy: status</t>
  </si>
  <si>
    <t xml:space="preserve">Level 5: text</t>
  </si>
  <si>
    <t xml:space="preserve">Level 2 after the "strengthen first" rule</t>
  </si>
  <si>
    <t xml:space="preserve">Level 3 after the rule</t>
  </si>
  <si>
    <t xml:space="preserve">Level 4 after the rule</t>
  </si>
  <si>
    <t xml:space="preserve">Level 5 after the rule</t>
  </si>
  <si>
    <t xml:space="preserve">Level 1 after the rule</t>
  </si>
  <si>
    <t xml:space="preserve">NEXT FOUNDATION, EXPLORE AND EMERGENCY FUND NOTE</t>
  </si>
  <si>
    <t xml:space="preserve">First level that is not solid (0 = all solid)</t>
  </si>
  <si>
    <t xml:space="preserve">Level 3 weakest item is a card or loan (debtpay)</t>
  </si>
  <si>
    <t xml:space="preserve">Next best step: title</t>
  </si>
  <si>
    <t xml:space="preserve">Next best step: description</t>
  </si>
  <si>
    <t xml:space="preserve">Goals that need a what-if on Explore (under 95%)</t>
  </si>
  <si>
    <t xml:space="preserve">Their names</t>
  </si>
  <si>
    <t xml:space="preserve">MY MONEY: sections, checklist and the "rough picture" note (secStatus, checkItems, qualityCount, roughNote)</t>
  </si>
  <si>
    <t xml:space="preserve">Field</t>
  </si>
  <si>
    <t xml:space="preserve">Shown (1/0)</t>
  </si>
  <si>
    <t xml:space="preserve">Optional (1/0)</t>
  </si>
  <si>
    <t xml:space="preserve">Figure given (1/0)</t>
  </si>
  <si>
    <t xml:space="preserve">Pre-filled, not typed (1/0)</t>
  </si>
  <si>
    <t xml:space="preserve">Flagged "needs a look" (1/0)</t>
  </si>
  <si>
    <t xml:space="preserve">Left for my adviser (1/0)</t>
  </si>
  <si>
    <t xml:space="preserve">Shown and required</t>
  </si>
  <si>
    <t xml:space="preserve">Required and given</t>
  </si>
  <si>
    <t xml:space="preserve">Look, not left for adviser</t>
  </si>
  <si>
    <t xml:space="preserve">Shown and typed or read</t>
  </si>
  <si>
    <t xml:space="preserve">Shown and given or flagged</t>
  </si>
  <si>
    <t xml:space="preserve">Section</t>
  </si>
  <si>
    <t xml:space="preserve">Counts as missing or to look at</t>
  </si>
  <si>
    <t xml:space="preserve">Counts as "looks good"</t>
  </si>
  <si>
    <t xml:space="preserve">First name</t>
  </si>
  <si>
    <t xml:space="preserve">name</t>
  </si>
  <si>
    <t xml:space="preserve">Your work</t>
  </si>
  <si>
    <t xml:space="preserve">work</t>
  </si>
  <si>
    <t xml:space="preserve">income</t>
  </si>
  <si>
    <t xml:space="preserve">pIncome</t>
  </si>
  <si>
    <t xml:space="preserve">otherM</t>
  </si>
  <si>
    <t xml:space="preserve">Monthly living costs</t>
  </si>
  <si>
    <t xml:space="preserve">costsM</t>
  </si>
  <si>
    <t xml:space="preserve">oneOffY</t>
  </si>
  <si>
    <t xml:space="preserve">homeValue</t>
  </si>
  <si>
    <t xml:space="preserve">cash</t>
  </si>
  <si>
    <t xml:space="preserve">invest</t>
  </si>
  <si>
    <t xml:space="preserve">Other property: value</t>
  </si>
  <si>
    <t xml:space="preserve">propValue</t>
  </si>
  <si>
    <t xml:space="preserve">Other property: rent a month</t>
  </si>
  <si>
    <t xml:space="preserve">rentM</t>
  </si>
  <si>
    <t xml:space="preserve">Do you have a mortgage?</t>
  </si>
  <si>
    <t xml:space="preserve">mortYN</t>
  </si>
  <si>
    <t xml:space="preserve">mortBal</t>
  </si>
  <si>
    <t xml:space="preserve">Monthly repayment</t>
  </si>
  <si>
    <t xml:space="preserve">mortPayM</t>
  </si>
  <si>
    <t xml:space="preserve">Years left</t>
  </si>
  <si>
    <t xml:space="preserve">mortYears</t>
  </si>
  <si>
    <t xml:space="preserve">Interest rate</t>
  </si>
  <si>
    <t xml:space="preserve">mortRate</t>
  </si>
  <si>
    <t xml:space="preserve">Credit cards: total owed</t>
  </si>
  <si>
    <t xml:space="preserve">cardBal</t>
  </si>
  <si>
    <t xml:space="preserve">cardPayM</t>
  </si>
  <si>
    <t xml:space="preserve">Credit cards: interest rate</t>
  </si>
  <si>
    <t xml:space="preserve">cardRate</t>
  </si>
  <si>
    <t xml:space="preserve">loanBal</t>
  </si>
  <si>
    <t xml:space="preserve">loanPayM</t>
  </si>
  <si>
    <t xml:space="preserve">Other loans: interest rate</t>
  </si>
  <si>
    <t xml:space="preserve">loanRate</t>
  </si>
  <si>
    <t xml:space="preserve">Other-property mortgage: years left or repayment</t>
  </si>
  <si>
    <t xml:space="preserve">mort2</t>
  </si>
  <si>
    <t xml:space="preserve">Life cover</t>
  </si>
  <si>
    <t xml:space="preserve">life</t>
  </si>
  <si>
    <t xml:space="preserve">Income protection</t>
  </si>
  <si>
    <t xml:space="preserve">ip</t>
  </si>
  <si>
    <t xml:space="preserve">Serious illness cover</t>
  </si>
  <si>
    <t xml:space="preserve">ci</t>
  </si>
  <si>
    <t xml:space="preserve">Cover through work</t>
  </si>
  <si>
    <t xml:space="preserve">workCover</t>
  </si>
  <si>
    <t xml:space="preserve">Health insurance</t>
  </si>
  <si>
    <t xml:space="preserve">Pension value today</t>
  </si>
  <si>
    <t xml:space="preserve">Paid in each month</t>
  </si>
  <si>
    <t xml:space="preserve">pensionM</t>
  </si>
  <si>
    <t xml:space="preserve">pensionOwnM</t>
  </si>
  <si>
    <t xml:space="preserve">Auto-enrolment answer</t>
  </si>
  <si>
    <t xml:space="preserve">ae</t>
  </si>
  <si>
    <t xml:space="preserve">State Pension</t>
  </si>
  <si>
    <t xml:space="preserve">sp</t>
  </si>
  <si>
    <t xml:space="preserve">pSp</t>
  </si>
  <si>
    <t xml:space="preserve">Details missing or to look at (the banner and the checklist)</t>
  </si>
  <si>
    <t xml:space="preserve">Details that need a look and were not left for the adviser</t>
  </si>
  <si>
    <t xml:space="preserve">Details that look good ("N details look good")</t>
  </si>
  <si>
    <t xml:space="preserve">Section 1 About you: status (none / part / done / look)</t>
  </si>
  <si>
    <t xml:space="preserve">Section 2 Income and expenses: status (none / part / done / look)</t>
  </si>
  <si>
    <t xml:space="preserve">Section 3 Assets: status (none / part / done / look)</t>
  </si>
  <si>
    <t xml:space="preserve">Section 4 Liabilities: status (none / part / done / look)</t>
  </si>
  <si>
    <t xml:space="preserve">Section 5 Protection: status (none / part / done / look)</t>
  </si>
  <si>
    <t xml:space="preserve">Section 6 Pension: status (none / part / done / look)</t>
  </si>
  <si>
    <t xml:space="preserve">Sections done ("5 of 6 done")</t>
  </si>
  <si>
    <t xml:space="preserve">Minimum reached: About you + Income + Assets or Pension (1/0)</t>
  </si>
  <si>
    <t xml:space="preserve">Required details with no figure (qualityCount)</t>
  </si>
  <si>
    <t xml:space="preserve">Sections where nothing was entered (skipped)</t>
  </si>
  <si>
    <t xml:space="preserve">Home says "· rough" beside Overall readiness (1/0)</t>
  </si>
  <si>
    <t xml:space="preserve">The "Rough picture" note shows (1/0): only when no detail is already flagged</t>
  </si>
  <si>
    <t xml:space="preserve">RETIREMENT AGE, THE THREE STATED DEFAULTS (the app's words: Step 7, Your assumptions, Check your details)</t>
  </si>
  <si>
    <t xml:space="preserve">Retirement age: youngest allowed (your age + 1)</t>
  </si>
  <si>
    <t xml:space="preserve">Retirement age: oldest allowed (plan-until age - 1)</t>
  </si>
  <si>
    <t xml:space="preserve">Retirement age: guidance (RETIRE_HELP)</t>
  </si>
  <si>
    <t xml:space="preserve">Retirement age: the line under the box</t>
  </si>
  <si>
    <t xml:space="preserve">Calm note under the retirement age (below 50, or below the pension access age / 60); blank otherwise</t>
  </si>
  <si>
    <t xml:space="preserve">Calm note under the partner's retirement age; blank otherwise</t>
  </si>
  <si>
    <t xml:space="preserve">Your age today (exact, from your date of birth); blank when not given</t>
  </si>
  <si>
    <t xml:space="preserve">Your next birthday</t>
  </si>
  <si>
    <t xml:space="preserve">The line under the date of birth (the app's words)</t>
  </si>
  <si>
    <t xml:space="preserve">Partner's age today (exact); blank when not given</t>
  </si>
  <si>
    <t xml:space="preserve">The line under the partner's date of birth (no partner name in the workbook)</t>
  </si>
  <si>
    <t xml:space="preserve">"We use ..." status beside Years left on the mortgage on Check your details (blank when you gave it)</t>
  </si>
  <si>
    <t xml:space="preserve">"We use ..." status beside Years left on the other-property mortgage on Check your details (blank when you gave it)</t>
  </si>
  <si>
    <t xml:space="preserve">"We use ..." status beside Partner's age on Check your details (blank when you gave it)</t>
  </si>
  <si>
    <t xml:space="preserve">"We use ..." status beside Your work on Check your details (blank when you gave it)</t>
  </si>
  <si>
    <t xml:space="preserve">"We use ..." status beside Mortgage rate on Check your details (blank when you gave it)</t>
  </si>
  <si>
    <t xml:space="preserve">"We use ..." status beside Other loans rate on Check your details (blank when you gave it)</t>
  </si>
  <si>
    <t xml:space="preserve">"We use ..." status beside Credit-card rate on Check your details (blank when you gave it)</t>
  </si>
  <si>
    <t xml:space="preserve">HOME, EXPLORE AND EXPERTS (base plan)</t>
  </si>
  <si>
    <t xml:space="preserve">Goals in the plan</t>
  </si>
  <si>
    <t xml:space="preserve">Overall readiness (average % covered, rounded)</t>
  </si>
  <si>
    <t xml:space="preserve">Goals on track (95% or more): "n of m goals on track" on Home and in the strip</t>
  </si>
  <si>
    <t xml:space="preserve">Overall band</t>
  </si>
  <si>
    <t xml:space="preserve">Tools for you (ids, before the cut to 6)</t>
  </si>
  <si>
    <t xml:space="preserve">Tools for you shown on Explore (first 6)</t>
  </si>
  <si>
    <t xml:space="preserve">Weakest goal (lowest %, first in the list on a tie)</t>
  </si>
  <si>
    <t xml:space="preserve">Specialist it points to</t>
  </si>
  <si>
    <t xml:space="preserve">Specialist type shown</t>
  </si>
  <si>
    <t xml:space="preserve">What you save a month before any what-if</t>
  </si>
  <si>
    <t xml:space="preserve">Try-this saving (a floor to 25) if it is well above what you save</t>
  </si>
  <si>
    <t xml:space="preserve">The "you may be able to save more" nudge shows (1/0)</t>
  </si>
  <si>
    <t xml:space="preserve">What-if: you would save a month</t>
  </si>
  <si>
    <t xml:space="preserve">What-if: more than your spare money (1/0)</t>
  </si>
  <si>
    <t xml:space="preserve">THE ROAD AND THE CHART (what-if included, as on screen)</t>
  </si>
  <si>
    <t xml:space="preserve">Years with a shortfall on the chart</t>
  </si>
  <si>
    <t xml:space="preserve">Years using savings but not short</t>
  </si>
  <si>
    <t xml:space="preserve">First short year (row)</t>
  </si>
  <si>
    <t xml:space="preserve">First shortfall at age</t>
  </si>
  <si>
    <t xml:space="preserve">First shortfall, about</t>
  </si>
  <si>
    <t xml:space="preserve">Total shortfall across the plan</t>
  </si>
  <si>
    <t xml:space="preserve">Years everyday costs run short</t>
  </si>
  <si>
    <t xml:space="preserve">First year everyday costs run short, age</t>
  </si>
  <si>
    <t xml:space="preserve">The road turns coral from age</t>
  </si>
  <si>
    <t xml:space="preserve">Short years on the road</t>
  </si>
  <si>
    <t xml:space="preserve">Chapter</t>
  </si>
  <si>
    <t xml:space="preserve">Decade</t>
  </si>
  <si>
    <t xml:space="preserve">From age</t>
  </si>
  <si>
    <t xml:space="preserve">To age</t>
  </si>
  <si>
    <t xml:space="preserve">Years</t>
  </si>
  <si>
    <t xml:space="preserve">Short years</t>
  </si>
  <si>
    <t xml:space="preserve">Dipping years</t>
  </si>
  <si>
    <t xml:space="preserve">Average short a year</t>
  </si>
  <si>
    <t xml:space="preserve">Weather</t>
  </si>
  <si>
    <t xml:space="preserve">Story (as shown)</t>
  </si>
  <si>
    <t xml:space="preserve">HOME: YOUR NEXT BEST STEP (nextStep, base plan)</t>
  </si>
  <si>
    <t xml:space="preserve">Weakest goal for the what-if step (lowest %, then earliest age)</t>
  </si>
  <si>
    <t xml:space="preserve">Its % covered</t>
  </si>
  <si>
    <t xml:space="preserve">Its name</t>
  </si>
  <si>
    <t xml:space="preserve">Your money profile still needs doing before the meeting (needsProfile)</t>
  </si>
  <si>
    <t xml:space="preserve">Which step shows (1 look, 2 foundation, 3 check profile, 4 what-if, 5 finish profile, 6 book, 7 all set)</t>
  </si>
  <si>
    <t xml:space="preserve">Next best step: button</t>
  </si>
  <si>
    <t xml:space="preserve">WHAT-IF: "What changes" (wiText). The % before needs the typed helper column Z on Plan goals when the what-if is on</t>
  </si>
  <si>
    <t xml:space="preserve">What changes</t>
  </si>
  <si>
    <t xml:space="preserve">EXPLORE: what-ifs for your goals, video reasons, tools per category (base plan)</t>
  </si>
  <si>
    <t xml:space="preserve">Videos about mortgage: the goal named in "Why this is for you" (goal number, 0 = none)</t>
  </si>
  <si>
    <t xml:space="preserve">Videos about mortgage: "Your goal is N% covered"</t>
  </si>
  <si>
    <t xml:space="preserve">Videos about pension: the goal named in "Why this is for you" (goal number, 0 = none)</t>
  </si>
  <si>
    <t xml:space="preserve">Videos about pension: "Your goal is N% covered"</t>
  </si>
  <si>
    <t xml:space="preserve">Videos about protection: the goal named in "Why this is for you" (goal number, 0 = none)</t>
  </si>
  <si>
    <t xml:space="preserve">Videos about protection: "Your goal is N% covered"</t>
  </si>
  <si>
    <t xml:space="preserve">Videos about investment: the goal named in "Why this is for you" (goal number, 0 = none)</t>
  </si>
  <si>
    <t xml:space="preserve">Videos about investment: "Your goal is N% covered"</t>
  </si>
  <si>
    <t xml:space="preserve">Videos about planner: the goal named in "Why this is for you" (goal number, 0 = none)</t>
  </si>
  <si>
    <t xml:space="preserve">Videos about planner: "Your goal is N% covered"</t>
  </si>
  <si>
    <t xml:space="preserve">Tools in the category Home &amp; Mortgage ("N tools" on Explore)</t>
  </si>
  <si>
    <t xml:space="preserve">Tools in the category Savings &amp; Goals ("N tools" on Explore)</t>
  </si>
  <si>
    <t xml:space="preserve">Tools in the category Pensions &amp; Retirement ("N tools" on Explore)</t>
  </si>
  <si>
    <t xml:space="preserve">Tools in the category Investments ("N tools" on Explore)</t>
  </si>
  <si>
    <t xml:space="preserve">Tools in the category Protection ("N tools" on Explore)</t>
  </si>
  <si>
    <t xml:space="preserve">Tools in the category Everyday Money ("N tools" on Explore)</t>
  </si>
  <si>
    <t xml:space="preserve">Plan profile: money personality and indicative risk profile (Discover and Understand Me scoring)</t>
  </si>
  <si>
    <t xml:space="preserve">Type the option number the customer picked for each question (1 = the first option on screen). Blank = not answered. Everything below is a formula: the money personality (weights per answer), the indicative risk profile (the lowest of what you want, what you can afford, how long you can wait and your experience), the mismatch message key and the money terms shown on Me. Guidance, not advice.</t>
  </si>
  <si>
    <t xml:space="preserve">ANSWERS</t>
  </si>
  <si>
    <t xml:space="preserve">Option picked (1 to 4; Q6 1 to 5)</t>
  </si>
  <si>
    <t xml:space="preserve">Q1 Money habits (Discover 2)</t>
  </si>
  <si>
    <t xml:space="preserve">Q4 An investment tip (Discover 4)</t>
  </si>
  <si>
    <t xml:space="preserve">Q6 How much could you invest (Discover 6)</t>
  </si>
  <si>
    <t xml:space="preserve">the Q6 answer typed on Plan inputs</t>
  </si>
  <si>
    <t xml:space="preserve">Q7 If a surprise bill came (Discover 7)</t>
  </si>
  <si>
    <t xml:space="preserve">Q8 Your road (Discover 8)</t>
  </si>
  <si>
    <t xml:space="preserve">Q9 A fall in your investments (Discover 9)</t>
  </si>
  <si>
    <t xml:space="preserve">Q12 How you feel about money (Discover 12)</t>
  </si>
  <si>
    <t xml:space="preserve">U4 Who decides (Understand Me)</t>
  </si>
  <si>
    <t xml:space="preserve">U9 How long you can wait (blank = suggested from your goals)</t>
  </si>
  <si>
    <t xml:space="preserve">U10 Income security</t>
  </si>
  <si>
    <t xml:space="preserve">U11 Investing experience</t>
  </si>
  <si>
    <t xml:space="preserve">U12 Dependants and commitments</t>
  </si>
  <si>
    <t xml:space="preserve">U14 Emergency fund cover</t>
  </si>
  <si>
    <t xml:space="preserve">Investments held: how many chips selected</t>
  </si>
  <si>
    <t xml:space="preserve">Investments held: "Shares or funds" selected (Yes/No)</t>
  </si>
  <si>
    <t xml:space="preserve">Investments held: all selected are "None" or "Savings account" (Yes/No)</t>
  </si>
  <si>
    <t xml:space="preserve">Question|option</t>
  </si>
  <si>
    <t xml:space="preserve">Score</t>
  </si>
  <si>
    <t xml:space="preserve">A</t>
  </si>
  <si>
    <t xml:space="preserve">B</t>
  </si>
  <si>
    <t xml:space="preserve">E</t>
  </si>
  <si>
    <t xml:space="preserve">C</t>
  </si>
  <si>
    <t xml:space="preserve">Money term</t>
  </si>
  <si>
    <t xml:space="preserve">2|1</t>
  </si>
  <si>
    <t xml:space="preserve">The Budgeter</t>
  </si>
  <si>
    <t xml:space="preserve">2|2</t>
  </si>
  <si>
    <t xml:space="preserve">Money Vigilant</t>
  </si>
  <si>
    <t xml:space="preserve">2|3</t>
  </si>
  <si>
    <t xml:space="preserve">The Opportunist</t>
  </si>
  <si>
    <t xml:space="preserve">2|4</t>
  </si>
  <si>
    <t xml:space="preserve">The Money Monk</t>
  </si>
  <si>
    <t xml:space="preserve">4|1</t>
  </si>
  <si>
    <t xml:space="preserve">FOMO · Herd behaviour</t>
  </si>
  <si>
    <t xml:space="preserve">4|2</t>
  </si>
  <si>
    <t xml:space="preserve">Due diligence</t>
  </si>
  <si>
    <t xml:space="preserve">4|3</t>
  </si>
  <si>
    <t xml:space="preserve">Advice-seeker</t>
  </si>
  <si>
    <t xml:space="preserve">4|4</t>
  </si>
  <si>
    <t xml:space="preserve">Loss aversion</t>
  </si>
  <si>
    <t xml:space="preserve">6|1</t>
  </si>
  <si>
    <t xml:space="preserve">Starter capacity</t>
  </si>
  <si>
    <t xml:space="preserve">6|2</t>
  </si>
  <si>
    <t xml:space="preserve">Moderate capacity</t>
  </si>
  <si>
    <t xml:space="preserve">6|3</t>
  </si>
  <si>
    <t xml:space="preserve">Good capacity</t>
  </si>
  <si>
    <t xml:space="preserve">6|4</t>
  </si>
  <si>
    <t xml:space="preserve">High capacity</t>
  </si>
  <si>
    <t xml:space="preserve">6|5</t>
  </si>
  <si>
    <t xml:space="preserve">Variable income</t>
  </si>
  <si>
    <t xml:space="preserve">7|1</t>
  </si>
  <si>
    <t xml:space="preserve">7|2</t>
  </si>
  <si>
    <t xml:space="preserve">Thin buffer</t>
  </si>
  <si>
    <t xml:space="preserve">7|3</t>
  </si>
  <si>
    <t xml:space="preserve">Relies on credit</t>
  </si>
  <si>
    <t xml:space="preserve">7|4</t>
  </si>
  <si>
    <t xml:space="preserve">No safety net</t>
  </si>
  <si>
    <t xml:space="preserve">8|1</t>
  </si>
  <si>
    <t xml:space="preserve">Low risk</t>
  </si>
  <si>
    <t xml:space="preserve">8|2</t>
  </si>
  <si>
    <t xml:space="preserve">Cautious</t>
  </si>
  <si>
    <t xml:space="preserve">8|3</t>
  </si>
  <si>
    <t xml:space="preserve">Balanced</t>
  </si>
  <si>
    <t xml:space="preserve">8|4</t>
  </si>
  <si>
    <t xml:space="preserve">High risk</t>
  </si>
  <si>
    <t xml:space="preserve">9|1</t>
  </si>
  <si>
    <t xml:space="preserve">Panic selling</t>
  </si>
  <si>
    <t xml:space="preserve">9|2</t>
  </si>
  <si>
    <t xml:space="preserve">Anchoring</t>
  </si>
  <si>
    <t xml:space="preserve">9|3</t>
  </si>
  <si>
    <t xml:space="preserve">Long-term investor</t>
  </si>
  <si>
    <t xml:space="preserve">9|4</t>
  </si>
  <si>
    <t xml:space="preserve">Buy the dip</t>
  </si>
  <si>
    <t xml:space="preserve">12|1</t>
  </si>
  <si>
    <t xml:space="preserve">Financial anxiety</t>
  </si>
  <si>
    <t xml:space="preserve">12|2</t>
  </si>
  <si>
    <t xml:space="preserve">Cautious optimism</t>
  </si>
  <si>
    <t xml:space="preserve">12|3</t>
  </si>
  <si>
    <t xml:space="preserve">Financially confident</t>
  </si>
  <si>
    <t xml:space="preserve">12|4</t>
  </si>
  <si>
    <t xml:space="preserve">Money avoidance</t>
  </si>
  <si>
    <t xml:space="preserve">u9|1</t>
  </si>
  <si>
    <t xml:space="preserve">u9|2</t>
  </si>
  <si>
    <t xml:space="preserve">u9|3</t>
  </si>
  <si>
    <t xml:space="preserve">u9|4</t>
  </si>
  <si>
    <t xml:space="preserve">u10|1</t>
  </si>
  <si>
    <t xml:space="preserve">u10|2</t>
  </si>
  <si>
    <t xml:space="preserve">u10|3</t>
  </si>
  <si>
    <t xml:space="preserve">u10|4</t>
  </si>
  <si>
    <t xml:space="preserve">u12|1</t>
  </si>
  <si>
    <t xml:space="preserve">u12|2</t>
  </si>
  <si>
    <t xml:space="preserve">u12|3</t>
  </si>
  <si>
    <t xml:space="preserve">u12|4</t>
  </si>
  <si>
    <t xml:space="preserve">u14|1</t>
  </si>
  <si>
    <t xml:space="preserve">u14|2</t>
  </si>
  <si>
    <t xml:space="preserve">u14|3</t>
  </si>
  <si>
    <t xml:space="preserve">u14|4</t>
  </si>
  <si>
    <t xml:space="preserve">u4|1</t>
  </si>
  <si>
    <t xml:space="preserve">u4|2</t>
  </si>
  <si>
    <t xml:space="preserve">u4|3</t>
  </si>
  <si>
    <t xml:space="preserve">u4|4</t>
  </si>
  <si>
    <t xml:space="preserve">Procrastination · Status quo bias</t>
  </si>
  <si>
    <t xml:space="preserve">u11|1</t>
  </si>
  <si>
    <t xml:space="preserve">u11|2</t>
  </si>
  <si>
    <t xml:space="preserve">u11|3</t>
  </si>
  <si>
    <t xml:space="preserve">u11|4</t>
  </si>
  <si>
    <t xml:space="preserve">Overconfidence bias</t>
  </si>
  <si>
    <t xml:space="preserve">RESULTS</t>
  </si>
  <si>
    <t xml:space="preserve">Discover answers given (of 6)</t>
  </si>
  <si>
    <t xml:space="preserve">Questions answered (of 13)</t>
  </si>
  <si>
    <t xml:space="preserve">Section 1 Your risk: answered (of 3)</t>
  </si>
  <si>
    <t xml:space="preserve">Section 2 Your capacity: answered (of 5)</t>
  </si>
  <si>
    <t xml:space="preserve">Section 3 Your investor behaviour: answered (of 5)</t>
  </si>
  <si>
    <t xml:space="preserve">New questions still to answer (of 7: Q6, U9, U10, U12, U14, U4, U11)</t>
  </si>
  <si>
    <t xml:space="preserve">Line under "Your money profile"</t>
  </si>
  <si>
    <t xml:space="preserve">Enough Discover answers (4 or more)</t>
  </si>
  <si>
    <t xml:space="preserve">Personality score A</t>
  </si>
  <si>
    <t xml:space="preserve">Personality score B</t>
  </si>
  <si>
    <t xml:space="preserve">Personality score E</t>
  </si>
  <si>
    <t xml:space="preserve">Personality score C</t>
  </si>
  <si>
    <t xml:space="preserve">Highest score</t>
  </si>
  <si>
    <t xml:space="preserve">A is tied for top (1/0)</t>
  </si>
  <si>
    <t xml:space="preserve">B is tied for top (1/0)</t>
  </si>
  <si>
    <t xml:space="preserve">E is tied for top (1/0)</t>
  </si>
  <si>
    <t xml:space="preserve">C is tied for top (1/0)</t>
  </si>
  <si>
    <t xml:space="preserve">Types tied for top</t>
  </si>
  <si>
    <t xml:space="preserve">Q1 type if it is among the tied</t>
  </si>
  <si>
    <t xml:space="preserve">Q4 types among the tied</t>
  </si>
  <si>
    <t xml:space="preserve">Q4 type if exactly one</t>
  </si>
  <si>
    <t xml:space="preserve">First tied type in the order B, A, C, E</t>
  </si>
  <si>
    <t xml:space="preserve">Your type (key)</t>
  </si>
  <si>
    <t xml:space="preserve">Your money personality</t>
  </si>
  <si>
    <t xml:space="preserve">Q6 score (-1 = not answered)</t>
  </si>
  <si>
    <t xml:space="preserve">Q7 score</t>
  </si>
  <si>
    <t xml:space="preserve">Q8 score</t>
  </si>
  <si>
    <t xml:space="preserve">Q9 score</t>
  </si>
  <si>
    <t xml:space="preserve">Full profile (all 13 answered)</t>
  </si>
  <si>
    <t xml:space="preserve">Earliest savings-pot goal more than 2 years away (age)</t>
  </si>
  <si>
    <t xml:space="preserve">Else the earliest other goal more than 2 years away with nothing saved (age)</t>
  </si>
  <si>
    <t xml:space="preserve">Time horizon suggested from your goals (0 to 3)</t>
  </si>
  <si>
    <t xml:space="preserve">Time horizon used (0 to 3, from your answer or the suggestion)</t>
  </si>
  <si>
    <t xml:space="preserve">Willingness (want)</t>
  </si>
  <si>
    <t xml:space="preserve">Capacity for loss (can)</t>
  </si>
  <si>
    <t xml:space="preserve">Time horizon (time)</t>
  </si>
  <si>
    <t xml:space="preserve">Knowledge and experience (experience)</t>
  </si>
  <si>
    <t xml:space="preserve">Level</t>
  </si>
  <si>
    <t xml:space="preserve">Indicative risk profile</t>
  </si>
  <si>
    <t xml:space="preserve">Held back by</t>
  </si>
  <si>
    <t xml:space="preserve">Comfort with ups and downs (Q8 only)</t>
  </si>
  <si>
    <t xml:space="preserve">Cushion (Q7)</t>
  </si>
  <si>
    <t xml:space="preserve">First read (1) or full profile (0)</t>
  </si>
  <si>
    <t xml:space="preserve">Wants more risk (Q8 3 or 4)</t>
  </si>
  <si>
    <t xml:space="preserve">Wants less risk (Q8 1 or 2)</t>
  </si>
  <si>
    <t xml:space="preserve">Stays calm (Q9 3 or 4)</t>
  </si>
  <si>
    <t xml:space="preserve">Gets worried (Q9 1 or 2)</t>
  </si>
  <si>
    <t xml:space="preserve">Thin cushion</t>
  </si>
  <si>
    <t xml:space="preserve">Short time horizon</t>
  </si>
  <si>
    <t xml:space="preserve">Low capacity for loss</t>
  </si>
  <si>
    <t xml:space="preserve">Capacity low</t>
  </si>
  <si>
    <t xml:space="preserve">Capacity high</t>
  </si>
  <si>
    <t xml:space="preserve">Mismatch message key</t>
  </si>
  <si>
    <t xml:space="preserve">Risk profile banner on Results</t>
  </si>
  <si>
    <t xml:space="preserve">Money terms: money mindset</t>
  </si>
  <si>
    <t xml:space="preserve">Money terms: investor behaviour</t>
  </si>
  <si>
    <t xml:space="preserve">Money terms: risk appetite</t>
  </si>
  <si>
    <t xml:space="preserve">Money terms: capacity for loss</t>
  </si>
  <si>
    <t xml:space="preserve">Plan debt months: each loan, card and the mortgage month by month inside each plan year (the prototype's amortYear)</t>
  </si>
  <si>
    <t xml:space="preserve">A debt is paid month by month: interest is added, then the repayment is taken (never more than what is owed), until the balance is 0.50 or less. Columns B1..B12 are the balance after each month and P1..P12 the repayments. "path" is the mortgage with no goal payments, used to price a Be-mortgage-free goal.</t>
  </si>
  <si>
    <t xml:space="preserve">mortgage: balance at the start of the year</t>
  </si>
  <si>
    <t xml:space="preserve">mortgage B1</t>
  </si>
  <si>
    <t xml:space="preserve">mortgage B2</t>
  </si>
  <si>
    <t xml:space="preserve">mortgage B3</t>
  </si>
  <si>
    <t xml:space="preserve">mortgage B4</t>
  </si>
  <si>
    <t xml:space="preserve">mortgage B5</t>
  </si>
  <si>
    <t xml:space="preserve">mortgage B6</t>
  </si>
  <si>
    <t xml:space="preserve">mortgage B7</t>
  </si>
  <si>
    <t xml:space="preserve">mortgage B8</t>
  </si>
  <si>
    <t xml:space="preserve">mortgage B9</t>
  </si>
  <si>
    <t xml:space="preserve">mortgage B10</t>
  </si>
  <si>
    <t xml:space="preserve">mortgage B11</t>
  </si>
  <si>
    <t xml:space="preserve">mortgage B12</t>
  </si>
  <si>
    <t xml:space="preserve">mortgage P1</t>
  </si>
  <si>
    <t xml:space="preserve">mortgage P2</t>
  </si>
  <si>
    <t xml:space="preserve">mortgage P3</t>
  </si>
  <si>
    <t xml:space="preserve">mortgage P4</t>
  </si>
  <si>
    <t xml:space="preserve">mortgage P5</t>
  </si>
  <si>
    <t xml:space="preserve">mortgage P6</t>
  </si>
  <si>
    <t xml:space="preserve">mortgage P7</t>
  </si>
  <si>
    <t xml:space="preserve">mortgage P8</t>
  </si>
  <si>
    <t xml:space="preserve">mortgage P9</t>
  </si>
  <si>
    <t xml:space="preserve">mortgage P10</t>
  </si>
  <si>
    <t xml:space="preserve">mortgage P11</t>
  </si>
  <si>
    <t xml:space="preserve">mortgage P12</t>
  </si>
  <si>
    <t xml:space="preserve">mortgage: balance after the year</t>
  </si>
  <si>
    <t xml:space="preserve">mortgage: paid in the year</t>
  </si>
  <si>
    <t xml:space="preserve">credit cards: balance at the start of the year</t>
  </si>
  <si>
    <t xml:space="preserve">credit cards B1</t>
  </si>
  <si>
    <t xml:space="preserve">credit cards B2</t>
  </si>
  <si>
    <t xml:space="preserve">credit cards B3</t>
  </si>
  <si>
    <t xml:space="preserve">credit cards B4</t>
  </si>
  <si>
    <t xml:space="preserve">credit cards B5</t>
  </si>
  <si>
    <t xml:space="preserve">credit cards B6</t>
  </si>
  <si>
    <t xml:space="preserve">credit cards B7</t>
  </si>
  <si>
    <t xml:space="preserve">credit cards B8</t>
  </si>
  <si>
    <t xml:space="preserve">credit cards B9</t>
  </si>
  <si>
    <t xml:space="preserve">credit cards B10</t>
  </si>
  <si>
    <t xml:space="preserve">credit cards B11</t>
  </si>
  <si>
    <t xml:space="preserve">credit cards B12</t>
  </si>
  <si>
    <t xml:space="preserve">credit cards P1</t>
  </si>
  <si>
    <t xml:space="preserve">credit cards P2</t>
  </si>
  <si>
    <t xml:space="preserve">credit cards P3</t>
  </si>
  <si>
    <t xml:space="preserve">credit cards P4</t>
  </si>
  <si>
    <t xml:space="preserve">credit cards P5</t>
  </si>
  <si>
    <t xml:space="preserve">credit cards P6</t>
  </si>
  <si>
    <t xml:space="preserve">credit cards P7</t>
  </si>
  <si>
    <t xml:space="preserve">credit cards P8</t>
  </si>
  <si>
    <t xml:space="preserve">credit cards P9</t>
  </si>
  <si>
    <t xml:space="preserve">credit cards P10</t>
  </si>
  <si>
    <t xml:space="preserve">credit cards P11</t>
  </si>
  <si>
    <t xml:space="preserve">credit cards P12</t>
  </si>
  <si>
    <t xml:space="preserve">credit cards: balance after the year</t>
  </si>
  <si>
    <t xml:space="preserve">credit cards: paid in the year</t>
  </si>
  <si>
    <t xml:space="preserve">other loans: balance at the start of the year</t>
  </si>
  <si>
    <t xml:space="preserve">other loans B1</t>
  </si>
  <si>
    <t xml:space="preserve">other loans B2</t>
  </si>
  <si>
    <t xml:space="preserve">other loans B3</t>
  </si>
  <si>
    <t xml:space="preserve">other loans B4</t>
  </si>
  <si>
    <t xml:space="preserve">other loans B5</t>
  </si>
  <si>
    <t xml:space="preserve">other loans B6</t>
  </si>
  <si>
    <t xml:space="preserve">other loans B7</t>
  </si>
  <si>
    <t xml:space="preserve">other loans B8</t>
  </si>
  <si>
    <t xml:space="preserve">other loans B9</t>
  </si>
  <si>
    <t xml:space="preserve">other loans B10</t>
  </si>
  <si>
    <t xml:space="preserve">other loans B11</t>
  </si>
  <si>
    <t xml:space="preserve">other loans B12</t>
  </si>
  <si>
    <t xml:space="preserve">other loans P1</t>
  </si>
  <si>
    <t xml:space="preserve">other loans P2</t>
  </si>
  <si>
    <t xml:space="preserve">other loans P3</t>
  </si>
  <si>
    <t xml:space="preserve">other loans P4</t>
  </si>
  <si>
    <t xml:space="preserve">other loans P5</t>
  </si>
  <si>
    <t xml:space="preserve">other loans P6</t>
  </si>
  <si>
    <t xml:space="preserve">other loans P7</t>
  </si>
  <si>
    <t xml:space="preserve">other loans P8</t>
  </si>
  <si>
    <t xml:space="preserve">other loans P9</t>
  </si>
  <si>
    <t xml:space="preserve">other loans P10</t>
  </si>
  <si>
    <t xml:space="preserve">other loans P11</t>
  </si>
  <si>
    <t xml:space="preserve">other loans P12</t>
  </si>
  <si>
    <t xml:space="preserve">other loans: balance after the year</t>
  </si>
  <si>
    <t xml:space="preserve">other loans: paid in the year</t>
  </si>
  <si>
    <t xml:space="preserve">path: balance at the start of the year</t>
  </si>
  <si>
    <t xml:space="preserve">mortgage path B1</t>
  </si>
  <si>
    <t xml:space="preserve">mortgage path B2</t>
  </si>
  <si>
    <t xml:space="preserve">mortgage path B3</t>
  </si>
  <si>
    <t xml:space="preserve">mortgage path B4</t>
  </si>
  <si>
    <t xml:space="preserve">mortgage path B5</t>
  </si>
  <si>
    <t xml:space="preserve">mortgage path B6</t>
  </si>
  <si>
    <t xml:space="preserve">mortgage path B7</t>
  </si>
  <si>
    <t xml:space="preserve">mortgage path B8</t>
  </si>
  <si>
    <t xml:space="preserve">mortgage path B9</t>
  </si>
  <si>
    <t xml:space="preserve">mortgage path B10</t>
  </si>
  <si>
    <t xml:space="preserve">mortgage path B11</t>
  </si>
  <si>
    <t xml:space="preserve">mortgage path B12</t>
  </si>
  <si>
    <t xml:space="preserve">mortgage path P1</t>
  </si>
  <si>
    <t xml:space="preserve">mortgage path P2</t>
  </si>
  <si>
    <t xml:space="preserve">mortgage path P3</t>
  </si>
  <si>
    <t xml:space="preserve">mortgage path P4</t>
  </si>
  <si>
    <t xml:space="preserve">mortgage path P5</t>
  </si>
  <si>
    <t xml:space="preserve">mortgage path P6</t>
  </si>
  <si>
    <t xml:space="preserve">mortgage path P7</t>
  </si>
  <si>
    <t xml:space="preserve">mortgage path P8</t>
  </si>
  <si>
    <t xml:space="preserve">mortgage path P9</t>
  </si>
  <si>
    <t xml:space="preserve">mortgage path P10</t>
  </si>
  <si>
    <t xml:space="preserve">mortgage path P11</t>
  </si>
  <si>
    <t xml:space="preserve">mortgage path P12</t>
  </si>
  <si>
    <t xml:space="preserve">mortgage path: balance after the year</t>
  </si>
  <si>
    <t xml:space="preserve">mortgage path: paid in the year</t>
  </si>
  <si>
    <t xml:space="preserve">path: balance counted at the start of the year (mPath)</t>
  </si>
  <si>
    <t xml:space="preserve">C01 · How much could I borrow?</t>
  </si>
  <si>
    <t xml:space="preserve">Category: Home &amp; Mortgage · prototype id: borrow</t>
  </si>
  <si>
    <t xml:space="preserve">Question it answers: What home price could be within reach?</t>
  </si>
  <si>
    <t xml:space="preserve">INPUTS</t>
  </si>
  <si>
    <t xml:space="preserve">Allowed</t>
  </si>
  <si>
    <t xml:space="preserve">Example only (grey; used only when "Fill example values" is Yes)</t>
  </si>
  <si>
    <t xml:space="preserve">Type 3 · your figure · Your own figure. In the app it is pre-filled from Your finances: income. Allowed: €15,000 to €2,500,000 · steps of €1,000</t>
  </si>
  <si>
    <t xml:space="preserve">Type 3 · your figure · Your own figure. In the app it is pre-filled from Your finances: partner's income. Allowed: €0 to €2,500,000 · steps of €1,000</t>
  </si>
  <si>
    <t xml:space="preserve">Deposit saved</t>
  </si>
  <si>
    <t xml:space="preserve">Type 3 · your figure · Your own figure. In the app it is pre-filled from Plan: home goal's amount saved. Allowed: €0 to €2,000,000 · steps of €1,000</t>
  </si>
  <si>
    <t xml:space="preserve">First-time buyer?</t>
  </si>
  <si>
    <t xml:space="preserve">Yes / No</t>
  </si>
  <si>
    <t xml:space="preserve">Type 3 · your figure · Your own figure. In the app it is pre-filled from Your finances: home status (owner = No). Allowed: Yes or No</t>
  </si>
  <si>
    <t xml:space="preserve">Mortgage interest rate</t>
  </si>
  <si>
    <t xml:space="preserve">%</t>
  </si>
  <si>
    <t xml:space="preserve">Mortgage term (years to repay)</t>
  </si>
  <si>
    <t xml:space="preserve">Type 3 · your figure · Your own figure. Allowed: 10 to 35 · steps of 1</t>
  </si>
  <si>
    <t xml:space="preserve">Legal and other buying fees</t>
  </si>
  <si>
    <t xml:space="preserve">Years until you buy (for the plan)</t>
  </si>
  <si>
    <t xml:space="preserve">Type 3 · your figure · Your own figure. Allowed: 1 to 30 · steps of 1 Not on the app screen: an optional workbook extra. Blank counts as 0 and never blocks a result.</t>
  </si>
  <si>
    <t xml:space="preserve">What if: save extra towards the deposit</t>
  </si>
  <si>
    <t xml:space="preserve">Type 3 · optional · Optional: leave blank for none. Allowed: €0 to €500,000 · steps of €1,000</t>
  </si>
  <si>
    <t xml:space="preserve">Shown as</t>
  </si>
  <si>
    <t xml:space="preserve">Formula</t>
  </si>
  <si>
    <t xml:space="preserve">Homes up to about</t>
  </si>
  <si>
    <t xml:space="preserve">ƒx  =MIN(Price_By_Deposit,Price_By_Income)</t>
  </si>
  <si>
    <t xml:space="preserve">Most you could borrow</t>
  </si>
  <si>
    <t xml:space="preserve">ƒx  =MIN(Borrow_By_Income,LTV_Max*Home_Price)</t>
  </si>
  <si>
    <t xml:space="preserve">Monthly repayment (illustrative)</t>
  </si>
  <si>
    <t xml:space="preserve">ƒx  =PMT(Interest_Rate/12,Term_Years*12,-Max_Loan)</t>
  </si>
  <si>
    <t xml:space="preserve">Stamp duty on that price (paid from your deposit)</t>
  </si>
  <si>
    <t xml:space="preserve">ƒx  =SD_Rate_1*MIN(Home_Price,SD_Band_1)+SD_Rate_2*MAX(0,MIN(Home_Price,SD_Band_2)-SD_Band_1)+SD_Rate_3*MAX(0,Home_Price-SD_Band_2)</t>
  </si>
  <si>
    <t xml:space="preserve">Borrowing allowed by income</t>
  </si>
  <si>
    <t xml:space="preserve">ƒx  =(Income+Partner_Income)*Income_Multiple</t>
  </si>
  <si>
    <t xml:space="preserve">Income multiple used</t>
  </si>
  <si>
    <t xml:space="preserve">× income</t>
  </si>
  <si>
    <t xml:space="preserve">ƒx  =IF(First_Time_Buyer="Yes",LTI_FTB,LTI_SSB)</t>
  </si>
  <si>
    <t xml:space="preserve">Your deposit (incl. what-if extra)</t>
  </si>
  <si>
    <t xml:space="preserve">ƒx  =Deposit+Extra_Deposit</t>
  </si>
  <si>
    <t xml:space="preserve">Deposit left for the price after fees</t>
  </si>
  <si>
    <t xml:space="preserve">ƒx  =MAX(0,Total_Deposit-Buying_Fees)</t>
  </si>
  <si>
    <t xml:space="preserve">Deposit + stamp duty needed for a €1m home</t>
  </si>
  <si>
    <t xml:space="preserve">ƒx  =(1-LTV_Max+SD_Rate_1)*SD_Band_1</t>
  </si>
  <si>
    <t xml:space="preserve">Deposit + stamp duty needed for a €1.5m home</t>
  </si>
  <si>
    <t xml:space="preserve">ƒx  =Cash_At_Band_1+(1-LTV_Max+SD_Rate_2)*(SD_Band_2-SD_Band_1)</t>
  </si>
  <si>
    <t xml:space="preserve">Price your deposit allows (10% deposit + stamp duty)</t>
  </si>
  <si>
    <t xml:space="preserve">ƒx  =IF(Cash_For_Price&lt;=Cash_At_Band_1,Cash_For_Price/(1-LTV_Max+SD_Rate_1),IF(Cash_For_Price&lt;=Cash_At_Band_2,SD_Band_1+(Cash_For_Price-Cash_At_Band_1)/(1-LTV_Max+SD_Rate_2),SD_Band_2+(Cash_For_Price-Cash_At_Band_2)/(1-LTV_Max+SD_Rate_3)))</t>
  </si>
  <si>
    <t xml:space="preserve">Income limit + deposit left after fees</t>
  </si>
  <si>
    <t xml:space="preserve">ƒx  =Borrow_By_Income+Cash_For_Price</t>
  </si>
  <si>
    <t xml:space="preserve">Price your income allows (loan + deposit, after stamp duty)</t>
  </si>
  <si>
    <t xml:space="preserve">ƒx  =IF(Income_Cash&lt;=(1+SD_Rate_1)*SD_Band_1,Income_Cash/(1+SD_Rate_1),IF(Income_Cash&lt;=(1+SD_Rate_1)*SD_Band_1+(1+SD_Rate_2)*(SD_Band_2-SD_Band_1),SD_Band_1+(Income_Cash-(1+SD_Rate_1)*SD_Band_1)/(1+SD_Rate_2),SD_Band_2+(Income_Cash-(1+SD_Rate_1)*SD_Band_1-(1+SD_Rate_2)*(SD_Band_2-SD_Band_1))/(1+SD_Rate_3)))</t>
  </si>
  <si>
    <t xml:space="preserve">What sets the limit</t>
  </si>
  <si>
    <t xml:space="preserve">ƒx  =IF(Price_By_Deposit&lt;Price_By_Income,"Your deposit","Your income")</t>
  </si>
  <si>
    <t xml:space="preserve">HOW IT WORKS</t>
  </si>
  <si>
    <t xml:space="preserve">• Your deposit must pay 10% of the price, the stamp duty (1% up to €1m, 2% on €1m–€1.5m, 6% above) and the buying fees. So the price is the lower of: what the deposit allows (10% + stamp duty) and what income + deposit allow (price + stamp duty). Both are solved exactly, band by band.</t>
  </si>
  <si>
    <t xml:space="preserve">• Repayment = standard annuity PMT at rate ÷ 12 over the term.</t>
  </si>
  <si>
    <t xml:space="preserve">Edge rules and validation:</t>
  </si>
  <si>
    <t xml:space="preserve">• First-time buyer is a Yes/No choice.</t>
  </si>
  <si>
    <t xml:space="preserve">• When both limits are equal the text says the income sets the limit.</t>
  </si>
  <si>
    <t xml:space="preserve">• Lenders can lend above these limits for a small share of loans each year, so some buyers get an exception. Your lender decides.</t>
  </si>
  <si>
    <t xml:space="preserve">• At 0% interest Excel's PMT/NPER/FV give amount ÷ months, so no special case is needed in Excel; in code use payment = amount / months.</t>
  </si>
  <si>
    <t xml:space="preserve">ADD TO MY PLAN (what this calculator sends to the plan)</t>
  </si>
  <si>
    <t xml:space="preserve">ƒx  ="Buy a home (deposit goal)"</t>
  </si>
  <si>
    <t xml:space="preserve">Amount (today's money): 10% deposit + stamp duty + fees</t>
  </si>
  <si>
    <t xml:space="preserve">ƒx  =ROUND(Home_Price*Min_Deposit_Pct+Stamp_Duty+Buying_Fees,0)</t>
  </si>
  <si>
    <t xml:space="preserve">Already saved</t>
  </si>
  <si>
    <t xml:space="preserve">ƒx  =Total_Deposit</t>
  </si>
  <si>
    <t xml:space="preserve">In (years)</t>
  </si>
  <si>
    <t xml:space="preserve">ƒx  =Home_Goal_Years</t>
  </si>
  <si>
    <t xml:space="preserve">CHOICES STILL NEEDED (helper rows: blank = all inputs a result needs are filled)</t>
  </si>
  <si>
    <t xml:space="preserve">Needs: buying fees, deposit saved, first-time buyer answer, gross yearly income, partner's gross yearly income</t>
  </si>
  <si>
    <t xml:space="preserve">Needs: buying fees, deposit saved, first-time buyer answer, gross yearly income, interest rate, partner's gross yearly income, mortgage term</t>
  </si>
  <si>
    <t xml:space="preserve">Needs: first-time buyer answer, gross yearly income, partner's gross yearly income</t>
  </si>
  <si>
    <t xml:space="preserve">Needs: first-time buyer answer</t>
  </si>
  <si>
    <t xml:space="preserve">Needs: deposit saved</t>
  </si>
  <si>
    <t xml:space="preserve">Needs: buying fees, deposit saved</t>
  </si>
  <si>
    <t xml:space="preserve">Needs: years until you buy</t>
  </si>
  <si>
    <t xml:space="preserve">Note: stamp duty is worked out on the price shown; for a new home it is charged on the price excluding VAT, and Help to Buy is not included.</t>
  </si>
  <si>
    <t xml:space="preserve">C02 · Monthly mortgage repayment</t>
  </si>
  <si>
    <t xml:space="preserve">Category: Home &amp; Mortgage · prototype id: repayment</t>
  </si>
  <si>
    <t xml:space="preserve">Question it answers: What would my monthly repayment be?</t>
  </si>
  <si>
    <t xml:space="preserve">Works out the monthly repayment, how long until the mortgage is paid off and the total interest; and what a rate change would do.</t>
  </si>
  <si>
    <t xml:space="preserve">FROM YOUR STATEMENT (filled automatically by the document reader)</t>
  </si>
  <si>
    <t xml:space="preserve">Document: Mortgage statement (annual statement of account) or offer letter. Blank = no statement uploaded, or the figure is not on it. Grey-blue cells are filled by the reader (you can type here to test).</t>
  </si>
  <si>
    <t xml:space="preserve">Outstanding balance</t>
  </si>
  <si>
    <t xml:space="preserve">Allowed: €0 to €10,000,000</t>
  </si>
  <si>
    <t xml:space="preserve">Reader field: see note</t>
  </si>
  <si>
    <t xml:space="preserve">Allowed: 0% to 15%</t>
  </si>
  <si>
    <t xml:space="preserve">Term remaining</t>
  </si>
  <si>
    <t xml:space="preserve">Allowed: 0 to 40</t>
  </si>
  <si>
    <t xml:space="preserve">Allowed: €0 to €100,000</t>
  </si>
  <si>
    <t xml:space="preserve">Statement date</t>
  </si>
  <si>
    <t xml:space="preserve">Allowed: a date (dd/mm/yyyy)</t>
  </si>
  <si>
    <t xml:space="preserve">OR TYPE IT YOURSELF</t>
  </si>
  <si>
    <t xml:space="preserve">Mortgage amount</t>
  </si>
  <si>
    <t xml:space="preserve">Type 3 · your figure · Your own figure. In the app it is pre-filled from Your finances / mortgage statement: balance. Allowed: €50,000 to €10,000,000 · steps of €1,000</t>
  </si>
  <si>
    <t xml:space="preserve">Term (years left to repay)</t>
  </si>
  <si>
    <t xml:space="preserve">Type 3 · your figure · Your own figure. In the app it is pre-filled from Years left (25 if not given). Allowed: 5 to 35 · steps of 1</t>
  </si>
  <si>
    <t xml:space="preserve">Your actual monthly repayment (optional, 0 = work it out)</t>
  </si>
  <si>
    <t xml:space="preserve">Type 3 · optional · Optional: leave blank for none. Allowed: €0 to €100,000 · steps of €1 Not on the app screen: an optional workbook extra. Blank counts as 0 and never blocks a result.</t>
  </si>
  <si>
    <t xml:space="preserve">What if: rates change by</t>
  </si>
  <si>
    <t xml:space="preserve">Type 3 · optional · Optional: leave blank for none. Allowed: -2% to 3% · steps of 0.25%</t>
  </si>
  <si>
    <t xml:space="preserve">FIGURE USED (statement figure if present, else your figure)</t>
  </si>
  <si>
    <t xml:space="preserve">ƒx  =IF(ISBLANK(Stmt_Balance),Loan_Amount,Stmt_Balance)</t>
  </si>
  <si>
    <t xml:space="preserve">ƒx  =IF(ISBLANK(Stmt_Rate),Interest_Rate,Stmt_Rate)</t>
  </si>
  <si>
    <t xml:space="preserve">Term</t>
  </si>
  <si>
    <t xml:space="preserve">ƒx  =IF(ISBLANK(Stmt_Term),Term_Years,Stmt_Term)</t>
  </si>
  <si>
    <t xml:space="preserve">Actual monthly repayment (0 = work it out)</t>
  </si>
  <si>
    <t xml:space="preserve">ƒx  =IF(ISBLANK(Stmt_Repayment),Actual_Repayment,Stmt_Repayment)</t>
  </si>
  <si>
    <t xml:space="preserve">Statement date check</t>
  </si>
  <si>
    <t xml:space="preserve">ƒx  =IF(ISBLANK(Stmt_Statement_Date),"",IF(TODAY()-Stmt_Statement_Date&gt;Statement_Max_Age_Days,"Needs a look: statement is more than 12 months old","Up to date"))</t>
  </si>
  <si>
    <t xml:space="preserve">ƒx  =IF(Used_Actual_Repayment&gt;0,Used_Actual_Repayment,Formula_Repayment)</t>
  </si>
  <si>
    <t xml:space="preserve">Mortgage free in (months)</t>
  </si>
  <si>
    <t xml:space="preserve">ƒx  =IF(Monthly_Repayment&lt;=Used_Loan_Amount*Monthly_Rate,"Never",ROUNDUP(ROUND(NPER(Monthly_Rate,-Monthly_Repayment,Used_Loan_Amount),6),0))</t>
  </si>
  <si>
    <t xml:space="preserve">Total interest</t>
  </si>
  <si>
    <t xml:space="preserve">ƒx  =IF(Months_To_Pay="Never","—",Monthly_Repayment*(Months_To_Pay-1)+Final_Payment-Used_Loan_Amount)</t>
  </si>
  <si>
    <t xml:space="preserve">Total repaid</t>
  </si>
  <si>
    <t xml:space="preserve">ƒx  =IF(Months_To_Pay="Never","—",Used_Loan_Amount+Total_Interest)</t>
  </si>
  <si>
    <t xml:space="preserve">Monthly interest rate</t>
  </si>
  <si>
    <t xml:space="preserve">ƒx  =Used_Interest_Rate/12</t>
  </si>
  <si>
    <t xml:space="preserve">Repayment by formula (standard annuity)</t>
  </si>
  <si>
    <t xml:space="preserve">ƒx  =PMT(Monthly_Rate,Used_Term_Years*12,-Used_Loan_Amount)</t>
  </si>
  <si>
    <t xml:space="preserve">Last (part) payment</t>
  </si>
  <si>
    <t xml:space="preserve">ƒx  =IF(Months_To_Pay="Never","—",-FV(Monthly_Rate,Months_To_Pay-1,-Monthly_Repayment,Used_Loan_Amount)*(1+Monthly_Rate))      (balance left before the last month, plus that month's interest)</t>
  </si>
  <si>
    <t xml:space="preserve">What if: new rate (never below 0%)</t>
  </si>
  <si>
    <t xml:space="preserve">ƒx  =MAX(0,Used_Interest_Rate+Rate_Change)</t>
  </si>
  <si>
    <t xml:space="preserve">What if: monthly repayment</t>
  </si>
  <si>
    <t xml:space="preserve">ƒx  =Monthly_Repayment+PMT(New_Rate/12,Used_Term_Years*12,-Used_Loan_Amount)-Formula_Repayment</t>
  </si>
  <si>
    <t xml:space="preserve">What if: change over a year</t>
  </si>
  <si>
    <t xml:space="preserve">ƒx  =(Repayment_If_Changed-Monthly_Repayment)*12</t>
  </si>
  <si>
    <t xml:space="preserve">• Repayment = PMT(rate ÷ 12, years × 12, −amount), the standard repayment-mortgage formula; your stated repayment replaces it if you give one.</t>
  </si>
  <si>
    <t xml:space="preserve">• Months to pay off = NPER(rate ÷ 12, −repayment, amount), rounded up. Total interest = all full payments + the last part payment − the amount (exact, as a lender's schedule).</t>
  </si>
  <si>
    <t xml:space="preserve">• What if: the stated repayment moves by the same amount as the formula repayment would: repayment + PMT(new rate) − PMT(current rate). The new rate is floored at 0%.</t>
  </si>
  <si>
    <t xml:space="preserve">• If the payment is at or below the first month's interest the balance never falls: show "Never at this repayment" and leave total interest blank ("—").</t>
  </si>
  <si>
    <t xml:space="preserve">• More than 1,200 months (100 years) is shown as "Over 100 years"; the exact month count is still calculated (no loop cap).</t>
  </si>
  <si>
    <t xml:space="preserve">• NPER is rounded to 6 decimals before rounding up, so a repayment that exactly fits the term ends on the term (floating-point noise would otherwise add a month).</t>
  </si>
  <si>
    <t xml:space="preserve">Amount (today's money): the deposit for this loan</t>
  </si>
  <si>
    <t xml:space="preserve">ƒx  =ROUND(Used_Loan_Amount*(1-LTV_Max)/LTV_Max,0)</t>
  </si>
  <si>
    <t xml:space="preserve">Needs: Used_Actual_Repayment, Used_Interest_Rate, Used_Loan_Amount, Used_Term_Years</t>
  </si>
  <si>
    <t xml:space="preserve">Needs: Used_Interest_Rate</t>
  </si>
  <si>
    <t xml:space="preserve">Needs: Used_Interest_Rate, Used_Loan_Amount, Used_Term_Years</t>
  </si>
  <si>
    <t xml:space="preserve">Needs: Used_Loan_Amount</t>
  </si>
  <si>
    <t xml:space="preserve">Note: the rate is a yearly rate, compounded monthly (nominal rate ÷ 12), the way lenders quote mortgage rates.</t>
  </si>
  <si>
    <t xml:space="preserve">C03 · Deposit calculator</t>
  </si>
  <si>
    <t xml:space="preserve">Category: Home &amp; Mortgage · prototype id: deposit</t>
  </si>
  <si>
    <t xml:space="preserve">Question it answers: How long until I have my deposit?</t>
  </si>
  <si>
    <t xml:space="preserve">Works out the deposit, stamp duty and fees you need and how many months of saving it takes.</t>
  </si>
  <si>
    <t xml:space="preserve">Home price</t>
  </si>
  <si>
    <t xml:space="preserve">Type 3 · your figure · Your own figure. Allowed: €100,000 to €10,000,000 · steps of €5,000</t>
  </si>
  <si>
    <t xml:space="preserve">Deposit needed</t>
  </si>
  <si>
    <t xml:space="preserve">Type 3 · your figure · Your own figure. In the app it is pre-filled from Plan: home goal's amount saved. Allowed: €0 to €2,000,000 · steps of €500</t>
  </si>
  <si>
    <t xml:space="preserve">Monthly saving</t>
  </si>
  <si>
    <t xml:space="preserve">Type 3 · your figure · Your own figure. Allowed: €50 to €50,000 · steps of €50</t>
  </si>
  <si>
    <t xml:space="preserve">What if: save extra each month</t>
  </si>
  <si>
    <t xml:space="preserve">Type 3 · optional · Optional: leave blank for none. Allowed: €0 to €15,000 · steps of €50</t>
  </si>
  <si>
    <t xml:space="preserve">Time to your deposit (months)</t>
  </si>
  <si>
    <t xml:space="preserve">ƒx  =IF(Still_To_Save=0,0,ROUNDUP(Still_To_Save/(Monthly_Saving+Extra_Saving),0))</t>
  </si>
  <si>
    <t xml:space="preserve">Total you need (deposit + stamp duty + fees)</t>
  </si>
  <si>
    <t xml:space="preserve">ƒx  =Deposit_Needed+Stamp_Duty+Buying_Fees</t>
  </si>
  <si>
    <t xml:space="preserve">Still to save</t>
  </si>
  <si>
    <t xml:space="preserve">ƒx  =MAX(0,Total_Needed-Saved)</t>
  </si>
  <si>
    <t xml:space="preserve">Deposit</t>
  </si>
  <si>
    <t xml:space="preserve">ƒx  =Home_Price*Deposit_Pct</t>
  </si>
  <si>
    <t xml:space="preserve">• Deposit = price × deposit %. Stamp duty = 1% up to €1m, 2% on €1m–€1.5m, 6% above. Total = deposit + stamp duty + fees.</t>
  </si>
  <si>
    <t xml:space="preserve">• Months = still to save ÷ monthly saving (incl. the what-if extra), rounded up. No interest and no house-price growth are assumed.</t>
  </si>
  <si>
    <t xml:space="preserve">• Nothing left to save shows "You have your deposit".</t>
  </si>
  <si>
    <t xml:space="preserve">• Monthly saving must be at least €50, so there is no divide by zero.</t>
  </si>
  <si>
    <t xml:space="preserve">ƒx  ="Home deposit"</t>
  </si>
  <si>
    <t xml:space="preserve">Amount (today's money): deposit + stamp duty + fees</t>
  </si>
  <si>
    <t xml:space="preserve">ƒx  =ROUND(Total_Needed,0)</t>
  </si>
  <si>
    <t xml:space="preserve">ƒx  =Saved</t>
  </si>
  <si>
    <t xml:space="preserve">ƒx  =MAX(1,ROUNDUP(Months_To_Deposit/12,0))</t>
  </si>
  <si>
    <t xml:space="preserve">Needs: buying fees, deposit %, home price, monthly saving, saved so far</t>
  </si>
  <si>
    <t xml:space="preserve">Needs: buying fees, deposit %, home price</t>
  </si>
  <si>
    <t xml:space="preserve">Needs: buying fees, deposit %, home price, saved so far</t>
  </si>
  <si>
    <t xml:space="preserve">Needs: deposit %, home price</t>
  </si>
  <si>
    <t xml:space="preserve">Needs: home price</t>
  </si>
  <si>
    <t xml:space="preserve">Needs: saved so far</t>
  </si>
  <si>
    <t xml:space="preserve">C04 · Mortgage overpayment</t>
  </si>
  <si>
    <t xml:space="preserve">Category: Home &amp; Mortgage · prototype id: overpay</t>
  </si>
  <si>
    <t xml:space="preserve">Question it answers: What if I paid a little extra each month?</t>
  </si>
  <si>
    <t xml:space="preserve">Compares paying off the mortgage at your repayment with paying a little extra each month: time and interest saved.</t>
  </si>
  <si>
    <t xml:space="preserve">Mortgage balance</t>
  </si>
  <si>
    <t xml:space="preserve">Type 3 · your figure · Your own figure. In the app it is pre-filled from Your finances / statement: balance. Allowed: €20,000 to €10,000,000 · steps of €1,000</t>
  </si>
  <si>
    <t xml:space="preserve">Type 3 · your figure · Your own figure. In the app it is pre-filled from Years left (25 if not given). Allowed: 3 to 35 · steps of 1</t>
  </si>
  <si>
    <t xml:space="preserve">Extra each month</t>
  </si>
  <si>
    <t xml:space="preserve">Type 3 · your figure · Your own figure. Allowed: €0 to €20,000 · steps of €25</t>
  </si>
  <si>
    <t xml:space="preserve">ƒx  =IF(ISBLANK(Stmt_Balance),Mortgage_Balance,Stmt_Balance)</t>
  </si>
  <si>
    <t xml:space="preserve">ƒx  =IF(ISBLANK(Stmt_Term),Years_Left,Stmt_Term)</t>
  </si>
  <si>
    <t xml:space="preserve">Mortgage free sooner by (months)</t>
  </si>
  <si>
    <t xml:space="preserve">ƒx  =IF(OR(Months_Now="Never",Months_With_Extra="Never"),"—",Months_Now-Months_With_Extra)</t>
  </si>
  <si>
    <t xml:space="preserve">Interest saved</t>
  </si>
  <si>
    <t xml:space="preserve">ƒx  =IF(OR(Months_Now="Never",Months_With_Extra="Never"),"—",Interest_Now-Interest_With_Extra)</t>
  </si>
  <si>
    <t xml:space="preserve">Mortgage free now in (months)</t>
  </si>
  <si>
    <t xml:space="preserve">ƒx  =IF(Repayment_Now&lt;=Used_Mortgage_Balance*Monthly_Rate,"Never",ROUNDUP(ROUND(NPER(Monthly_Rate,-Repayment_Now,Used_Mortgage_Balance),6),0))</t>
  </si>
  <si>
    <t xml:space="preserve">With the extra (months)</t>
  </si>
  <si>
    <t xml:space="preserve">ƒx  =IF(Repayment_With_Extra&lt;=Used_Mortgage_Balance*Monthly_Rate,"Never",ROUNDUP(ROUND(NPER(Monthly_Rate,-Repayment_With_Extra,Used_Mortgage_Balance),6),0))</t>
  </si>
  <si>
    <t xml:space="preserve">Repayment now</t>
  </si>
  <si>
    <t xml:space="preserve">ƒx  =IF(Used_Actual_Repayment&gt;0,Used_Actual_Repayment,PMT(Monthly_Rate,Used_Years_Left*12,-Used_Mortgage_Balance))</t>
  </si>
  <si>
    <t xml:space="preserve">Repayment with the extra</t>
  </si>
  <si>
    <t xml:space="preserve">ƒx  =Repayment_Now+Extra_Payment</t>
  </si>
  <si>
    <t xml:space="preserve">Last (part) payment now</t>
  </si>
  <si>
    <t xml:space="preserve">ƒx  =IF(Months_Now="Never","—",-FV(Monthly_Rate,Months_Now-1,-Repayment_Now,Used_Mortgage_Balance)*(1+Monthly_Rate))</t>
  </si>
  <si>
    <t xml:space="preserve">Last (part) payment with the extra</t>
  </si>
  <si>
    <t xml:space="preserve">ƒx  =IF(Months_With_Extra="Never","—",-FV(Monthly_Rate,Months_With_Extra-1,-Repayment_With_Extra,Used_Mortgage_Balance)*(1+Monthly_Rate))</t>
  </si>
  <si>
    <t xml:space="preserve">Total interest now</t>
  </si>
  <si>
    <t xml:space="preserve">ƒx  =IF(Months_Now="Never","—",Repayment_Now*(Months_Now-1)+Last_Payment_Now-Used_Mortgage_Balance)</t>
  </si>
  <si>
    <t xml:space="preserve">Total interest with the extra</t>
  </si>
  <si>
    <t xml:space="preserve">ƒx  =IF(Months_With_Extra="Never","—",Repayment_With_Extra*(Months_With_Extra-1)+Last_Payment_With_Extra-Used_Mortgage_Balance)</t>
  </si>
  <si>
    <t xml:space="preserve">• Months to pay off = NPER(rate ÷ 12, −repayment, balance), rounded up, worked out twice: at your repayment and at repayment + extra.</t>
  </si>
  <si>
    <t xml:space="preserve">• Total interest = full payments + last part payment − balance. Interest saved = interest now − interest with the extra. Sooner by = the difference in months.</t>
  </si>
  <si>
    <t xml:space="preserve">• If your repayment never clears the mortgage: "Not at this repayment", and "—" for sooner by and interest saved (no negative saving).</t>
  </si>
  <si>
    <t xml:space="preserve">• If even the extra does not clear it: "—" for "With the extra" and no goal is sent.</t>
  </si>
  <si>
    <t xml:space="preserve">• A difference of 0 months reads "No change".</t>
  </si>
  <si>
    <t xml:space="preserve">ƒx  =IF(Months_With_Extra="Never","No goal","Mortgage free (plan kind mfree, priced from your mortgage; no cash amount)")</t>
  </si>
  <si>
    <t xml:space="preserve">ƒx  =IF(Months_With_Extra="Never","—",ROUNDUP(Months_With_Extra/12,0))</t>
  </si>
  <si>
    <t xml:space="preserve">Audit fix: the old goal sent today's balance as a cash spend at the payoff year (a double count). The plan should also raise its mortgage repayment by the extra.</t>
  </si>
  <si>
    <t xml:space="preserve">Needs: extra each month, Used_Actual_Repayment, Used_Interest_Rate, Used_Mortgage_Balance, Used_Years_Left</t>
  </si>
  <si>
    <t xml:space="preserve">Needs: Used_Actual_Repayment, Used_Interest_Rate, Used_Mortgage_Balance, Used_Years_Left</t>
  </si>
  <si>
    <t xml:space="preserve">C05 · Interest-rate impact</t>
  </si>
  <si>
    <t xml:space="preserve">Category: Home &amp; Mortgage · prototype id: ratechange</t>
  </si>
  <si>
    <t xml:space="preserve">Question it answers: What if my mortgage rate changed?</t>
  </si>
  <si>
    <t xml:space="preserve">Shows how much your monthly repayment changes if your mortgage rate goes up or down.</t>
  </si>
  <si>
    <t xml:space="preserve">Type 3 · your figure · Your own figure. In the app it is pre-filled from Your finances / statement: balance. Allowed: €50,000 to €10,000,000 · steps of €1,000</t>
  </si>
  <si>
    <t xml:space="preserve">Current rate</t>
  </si>
  <si>
    <t xml:space="preserve">Rate change</t>
  </si>
  <si>
    <t xml:space="preserve">Type 3 · your figure · Your own figure. Allowed: -2% to 3% · steps of 0.25%</t>
  </si>
  <si>
    <t xml:space="preserve">ƒx  =IF(ISBLANK(Stmt_Rate),Current_Rate,Stmt_Rate)</t>
  </si>
  <si>
    <t xml:space="preserve">Monthly change</t>
  </si>
  <si>
    <t xml:space="preserve">ƒx  =Repayment_After-Repayment_Now</t>
  </si>
  <si>
    <t xml:space="preserve">ƒx  =IF(Used_Actual_Repayment&gt;0,Used_Actual_Repayment,Formula_Now)</t>
  </si>
  <si>
    <t xml:space="preserve">Repayment after the change</t>
  </si>
  <si>
    <t xml:space="preserve">ƒx  =Repayment_Now+PMT(New_Rate/12,Used_Years_Left*12,-Used_Mortgage_Balance)-Formula_Now</t>
  </si>
  <si>
    <t xml:space="preserve">Change over a year</t>
  </si>
  <si>
    <t xml:space="preserve">ƒx  =Monthly_Change*12</t>
  </si>
  <si>
    <t xml:space="preserve">Repayment now by formula</t>
  </si>
  <si>
    <t xml:space="preserve">ƒx  =PMT(Used_Current_Rate/12,Used_Years_Left*12,-Used_Mortgage_Balance)</t>
  </si>
  <si>
    <t xml:space="preserve">New rate (never below 0%)</t>
  </si>
  <si>
    <t xml:space="preserve">ƒx  =MAX(0,Used_Current_Rate+Rate_Change)</t>
  </si>
  <si>
    <t xml:space="preserve">• Repayment = PMT(rate ÷ 12, years left × 12, −balance) at the current and the new rate.</t>
  </si>
  <si>
    <t xml:space="preserve">• The change is the difference between the two; a stated repayment moves by the same amount.</t>
  </si>
  <si>
    <t xml:space="preserve">• The new rate is floored at 0% (Irish mortgages have not had negative rates).</t>
  </si>
  <si>
    <t xml:space="preserve">ƒx  ="No goal"</t>
  </si>
  <si>
    <t xml:space="preserve">Needs: rate change, Used_Actual_Repayment, Used_Current_Rate, Used_Mortgage_Balance, Used_Years_Left</t>
  </si>
  <si>
    <t xml:space="preserve">Needs: Used_Actual_Repayment, Used_Current_Rate, Used_Mortgage_Balance, Used_Years_Left</t>
  </si>
  <si>
    <t xml:space="preserve">Needs: Used_Current_Rate, Used_Mortgage_Balance, Used_Years_Left</t>
  </si>
  <si>
    <t xml:space="preserve">Needs: rate change, Used_Current_Rate</t>
  </si>
  <si>
    <t xml:space="preserve">C06 · Mortgage term comparison</t>
  </si>
  <si>
    <t xml:space="preserve">Category: Home &amp; Mortgage · prototype id: term</t>
  </si>
  <si>
    <t xml:space="preserve">Question it answers: Shorter or longer term: what is the trade-off?</t>
  </si>
  <si>
    <t xml:space="preserve">Compares two mortgage terms: the monthly repayment and the total interest of each.</t>
  </si>
  <si>
    <t xml:space="preserve">Term A</t>
  </si>
  <si>
    <t xml:space="preserve">Term B</t>
  </si>
  <si>
    <t xml:space="preserve">Type 3 · your figure · Your own figure. Allowed: 5 to 35 · steps of 1</t>
  </si>
  <si>
    <t xml:space="preserve">ƒx  =IF(ISBLANK(Stmt_Term),Term_A,Stmt_Term)</t>
  </si>
  <si>
    <t xml:space="preserve">Interest difference</t>
  </si>
  <si>
    <t xml:space="preserve">ƒx  =ABS(Interest_B-Interest_A)</t>
  </si>
  <si>
    <t xml:space="preserve">Term A: monthly repayment</t>
  </si>
  <si>
    <t xml:space="preserve">ƒx  =PMT(Used_Interest_Rate/12,Used_Term_A*12,-Used_Loan_Amount)</t>
  </si>
  <si>
    <t xml:space="preserve">Term B: monthly repayment</t>
  </si>
  <si>
    <t xml:space="preserve">ƒx  =PMT(Used_Interest_Rate/12,Term_B*12,-Used_Loan_Amount)</t>
  </si>
  <si>
    <t xml:space="preserve">Term A: total interest</t>
  </si>
  <si>
    <t xml:space="preserve">ƒx  =Monthly_A*Used_Term_A*12-Used_Loan_Amount</t>
  </si>
  <si>
    <t xml:space="preserve">Term B: total interest</t>
  </si>
  <si>
    <t xml:space="preserve">ƒx  =Monthly_B*Term_B*12-Used_Loan_Amount</t>
  </si>
  <si>
    <t xml:space="preserve">• Monthly = PMT(rate ÷ 12, term × 12, −amount) for each term.</t>
  </si>
  <si>
    <t xml:space="preserve">• Total interest = monthly × months − amount.</t>
  </si>
  <si>
    <t xml:space="preserve">• Equal terms show "Both terms are the same."</t>
  </si>
  <si>
    <t xml:space="preserve">Needs: term B, Used_Interest_Rate, Used_Loan_Amount, Used_Term_A</t>
  </si>
  <si>
    <t xml:space="preserve">Needs: Used_Interest_Rate, Used_Loan_Amount, Used_Term_A</t>
  </si>
  <si>
    <t xml:space="preserve">Needs: term B, Used_Interest_Rate, Used_Loan_Amount</t>
  </si>
  <si>
    <t xml:space="preserve">C07 · Rent vs buy</t>
  </si>
  <si>
    <t xml:space="preserve">Category: Home &amp; Mortgage · prototype id: rentbuy</t>
  </si>
  <si>
    <t xml:space="preserve">Question it answers: How do renting and buying compare over time?</t>
  </si>
  <si>
    <t xml:space="preserve">Compares rent paid with the costs of buying that do not build equity (interest, upkeep, stamp duty, fees and what the deposit could have earned), and the equity you would build.</t>
  </si>
  <si>
    <t xml:space="preserve">Monthly rent</t>
  </si>
  <si>
    <t xml:space="preserve">Type 3 · your figure · Your own figure. Allowed: €500 to €50,000 · steps of €50</t>
  </si>
  <si>
    <t xml:space="preserve">Type 3 · your figure · Your own figure. Allowed: at least 10% of the price and no more than the price</t>
  </si>
  <si>
    <t xml:space="preserve">Mortgage term</t>
  </si>
  <si>
    <t xml:space="preserve">Years to compare</t>
  </si>
  <si>
    <t xml:space="preserve">Type 3 · your figure · Your own figure. Allowed: 1 to 30 · steps of 1</t>
  </si>
  <si>
    <t xml:space="preserve">House prices rise a year</t>
  </si>
  <si>
    <t xml:space="preserve">Type 3 · LifeMap standard · LifeMap uses 2% a year, in line with long-run inflation (house prices can fall as well as rise). Change it if you want to use your own. Allowed: 0% to 6% · steps of 0.5%</t>
  </si>
  <si>
    <t xml:space="preserve">Rent rises a year</t>
  </si>
  <si>
    <t xml:space="preserve">Type 3 · LifeMap standard · LifeMap uses 3% a year (Irish rents have risen faster than prices in recent years). Change it if you want to use your own. Allowed: 0% to 8% · steps of 0.5%</t>
  </si>
  <si>
    <t xml:space="preserve">Upkeep a year, % of the home's value</t>
  </si>
  <si>
    <t xml:space="preserve">Type 3 · LifeMap standard · LifeMap uses 1% of the home's value a year for repairs, insurance and maintenance. Change it if you want to use your own. Allowed: 0% to 3% · steps of 0.1%</t>
  </si>
  <si>
    <t xml:space="preserve">What the deposit could earn a year (after tax)</t>
  </si>
  <si>
    <t xml:space="preserve">Deposit used (at least 10% of the price, at most the price)</t>
  </si>
  <si>
    <t xml:space="preserve">Home equity after the years</t>
  </si>
  <si>
    <t xml:space="preserve">ƒx  =Home_Value-Balance_After</t>
  </si>
  <si>
    <t xml:space="preserve">Rent paid (rising each year)</t>
  </si>
  <si>
    <t xml:space="preserve">ƒx  =IF(Rent_Growth=0,Monthly_Rent*12*Years,Monthly_Rent*12*((1+Rent_Growth)^Years-1)/Rent_Growth)</t>
  </si>
  <si>
    <t xml:space="preserve">Buying costs that don't build equity</t>
  </si>
  <si>
    <t xml:space="preserve">ƒx  =Interest_Paid+Upkeep+Stamp_Duty+Buying_Fees+Opportunity_Cost</t>
  </si>
  <si>
    <t xml:space="preserve">ƒx  =Home_Price*(1+House_Growth)^Years</t>
  </si>
  <si>
    <t xml:space="preserve">Mortgage</t>
  </si>
  <si>
    <t xml:space="preserve">ƒx  =MAX(0,Home_Price-Deposit)</t>
  </si>
  <si>
    <t xml:space="preserve">ƒx  =PMT(Mortgage_Rate/12,RentBuy_Term*12,-Loan)</t>
  </si>
  <si>
    <t xml:space="preserve">Mortgage left after the years</t>
  </si>
  <si>
    <t xml:space="preserve">ƒx  =MAX(0,-FV(Mortgage_Rate/12,MIN(Years,RentBuy_Term)*12,-Monthly_Repayment,Loan))</t>
  </si>
  <si>
    <t xml:space="preserve">Interest paid over the years</t>
  </si>
  <si>
    <t xml:space="preserve">ƒx  =Monthly_Repayment*MIN(Years,RentBuy_Term)*12-(Loan-Balance_After)</t>
  </si>
  <si>
    <t xml:space="preserve">Upkeep (on the home's value each year)</t>
  </si>
  <si>
    <t xml:space="preserve">ƒx  =IF(House_Growth=0,Home_Price*Upkeep_Rate*Years,Home_Price*Upkeep_Rate*((1+House_Growth)^Years-1)/House_Growth)</t>
  </si>
  <si>
    <t xml:space="preserve">What the deposit could have earned</t>
  </si>
  <si>
    <t xml:space="preserve">ƒx  =Deposit*((1+Opp_Rate)^Years-1)</t>
  </si>
  <si>
    <t xml:space="preserve">• Mortgage = price − deposit: repayment = PMT(rate ÷ 12, term × 12, −mortgage). Balance after the years = −FV(rate ÷ 12, months, −repayment, mortgage). Interest = repayments − capital repaid.</t>
  </si>
  <si>
    <t xml:space="preserve">• Rent rises each year: rent paid = monthly rent × 12 × ((1 + rise)^years − 1) ÷ rise. Upkeep is a % of the home's value each year, which rises with house prices.</t>
  </si>
  <si>
    <t xml:space="preserve">• Buying costs that don't build equity = interest + upkeep + stamp duty + fees + what the deposit could have earned. Home value = price × (1 + growth)^years; equity = value − balance.</t>
  </si>
  <si>
    <t xml:space="preserve">• The deposit must be between 10% of the price (Central Bank LTV) and the price itself; the mortgage is never negative.</t>
  </si>
  <si>
    <t xml:space="preserve">• Comparing for longer than the term: the balance is 0 after the term and no further interest is paid. Local Property Tax and insurance are not included.</t>
  </si>
  <si>
    <t xml:space="preserve">ƒx  =ROUND(Deposit+Stamp_Duty+Buying_Fees,0)</t>
  </si>
  <si>
    <t xml:space="preserve">Needs: deposit, home price, house price growth, mortgage rate, mortgage term, years to compare</t>
  </si>
  <si>
    <t xml:space="preserve">Needs: monthly rent, rent rise, years to compare</t>
  </si>
  <si>
    <t xml:space="preserve">Needs: buying fees, deposit, home price, house price growth, mortgage rate, deposit earnings rate, mortgage term, upkeep rate, years to compare</t>
  </si>
  <si>
    <t xml:space="preserve">Needs: home price, house price growth, years to compare</t>
  </si>
  <si>
    <t xml:space="preserve">Needs: deposit, home price</t>
  </si>
  <si>
    <t xml:space="preserve">Needs: deposit, home price, mortgage rate, mortgage term</t>
  </si>
  <si>
    <t xml:space="preserve">Needs: deposit, home price, mortgage rate, mortgage term, years to compare</t>
  </si>
  <si>
    <t xml:space="preserve">Needs: home price, house price growth, upkeep rate, years to compare</t>
  </si>
  <si>
    <t xml:space="preserve">Needs: deposit, deposit earnings rate, years to compare</t>
  </si>
  <si>
    <t xml:space="preserve">Needs: buying fees, deposit, home price</t>
  </si>
  <si>
    <t xml:space="preserve">Note: stamp duty is worked out on the price shown; for a new home it is charged on the price excluding VAT, and Help to Buy is not included. Home equity is before selling costs.</t>
  </si>
  <si>
    <t xml:space="preserve">C08 · Goal planner</t>
  </si>
  <si>
    <t xml:space="preserve">Category: Savings &amp; Goals · prototype id: goalplanner</t>
  </si>
  <si>
    <t xml:space="preserve">Question it answers: How much a month to reach my goal?</t>
  </si>
  <si>
    <t xml:space="preserve">Works out how much to save each month to reach a goal, allowing for prices rising and growth on your savings.</t>
  </si>
  <si>
    <t xml:space="preserve">YOUR INFLATION CHOICE</t>
  </si>
  <si>
    <t xml:space="preserve">Inflation you expect (your choice)</t>
  </si>
  <si>
    <t xml:space="preserve">Goal amount (today's prices)</t>
  </si>
  <si>
    <t xml:space="preserve">Type 3 · your figure · Your own figure. Allowed: €500 to €5,000,000 · steps of €500</t>
  </si>
  <si>
    <t xml:space="preserve">Years until the goal</t>
  </si>
  <si>
    <t xml:space="preserve">Type 3 · your figure · Your own figure. Allowed: €0 to €2,000,000 · steps of €500</t>
  </si>
  <si>
    <t xml:space="preserve">Growth / interest a year (after tax)</t>
  </si>
  <si>
    <t xml:space="preserve">Type 3 · LifeMap standard · LifeMap uses 1% a year after DIRT for cash savings (Irish fixed-term deposits about 2% before tax in mid-2026). Change it if you want to use your own. Allowed: 0% to 7% · steps of 0.5%</t>
  </si>
  <si>
    <t xml:space="preserve">Monthly amount to save</t>
  </si>
  <si>
    <t xml:space="preserve">ƒx  =IF(Inflation_Choice="","Choose your inflation rate to see this",PMT(Monthly_Growth,Years*12,0,-Still_Needed))</t>
  </si>
  <si>
    <t xml:space="preserve">Goal will cost about (in the goal year)</t>
  </si>
  <si>
    <t xml:space="preserve">ƒx  =IF(Inflation_Choice="","Choose your inflation rate to see this",Goal_Amount*(1+Inflation_Choice)^Years)</t>
  </si>
  <si>
    <t xml:space="preserve">Your savings grow to</t>
  </si>
  <si>
    <t xml:space="preserve">ƒx  =Saved*(1+Growth_Rate)^Years</t>
  </si>
  <si>
    <t xml:space="preserve">Still needed at the goal year</t>
  </si>
  <si>
    <t xml:space="preserve">ƒx  =IF(Inflation_Choice="","Choose your inflation rate to see this",MAX(0,Future_Cost-Saved_Grows_To))</t>
  </si>
  <si>
    <t xml:space="preserve">Monthly growth rate</t>
  </si>
  <si>
    <t xml:space="preserve">ƒx  =(1+Growth_Rate)^(1/12)-1</t>
  </si>
  <si>
    <t xml:space="preserve">• Future cost = goal × (1 + inflation)^years. Savings already put aside grow at the growth rate.</t>
  </si>
  <si>
    <t xml:space="preserve">• Monthly saving = PMT(monthly growth, months, 0, −still needed): the level end-of-month saving that grows to what is still needed.</t>
  </si>
  <si>
    <t xml:space="preserve">• Monthly growth = (1 + yearly growth)^(1/12) − 1, the monthly rate equal to the yearly rate.</t>
  </si>
  <si>
    <t xml:space="preserve">• If savings already cover the goal the monthly amount is €0.</t>
  </si>
  <si>
    <t xml:space="preserve">• Inflation is always applied (Assumptions). With 0% growth PMT gives still needed ÷ months.</t>
  </si>
  <si>
    <t xml:space="preserve">ƒx  ="My goal (spend goal)"</t>
  </si>
  <si>
    <t xml:space="preserve">Amount (today's prices)</t>
  </si>
  <si>
    <t xml:space="preserve">ƒx  =Goal_Amount</t>
  </si>
  <si>
    <t xml:space="preserve">ƒx  =Years</t>
  </si>
  <si>
    <t xml:space="preserve">Inflation for the plan (your choice)</t>
  </si>
  <si>
    <t xml:space="preserve">ƒx  =IF(Inflation_Choice="","Choose an inflation rate first",Inflation_Choice)</t>
  </si>
  <si>
    <t xml:space="preserve">Needs: goal amount, growth rate, inflation rate, already saved, years until the goal</t>
  </si>
  <si>
    <t xml:space="preserve">Needs: goal amount, inflation rate, years until the goal</t>
  </si>
  <si>
    <t xml:space="preserve">Needs: growth rate, already saved, years until the goal</t>
  </si>
  <si>
    <t xml:space="preserve">Needs: growth rate</t>
  </si>
  <si>
    <t xml:space="preserve">Needs: goal amount</t>
  </si>
  <si>
    <t xml:space="preserve">Needs: already saved</t>
  </si>
  <si>
    <t xml:space="preserve">Needs: years until the goal</t>
  </si>
  <si>
    <t xml:space="preserve">C09 · Compound growth</t>
  </si>
  <si>
    <t xml:space="preserve">Category: Savings &amp; Goals · prototype id: compound</t>
  </si>
  <si>
    <t xml:space="preserve">Question it answers: What could regular saving grow into?</t>
  </si>
  <si>
    <t xml:space="preserve">Shows what a starting amount plus regular monthly saving could grow to, and what that is worth in today's money.</t>
  </si>
  <si>
    <t xml:space="preserve">Starting amount</t>
  </si>
  <si>
    <t xml:space="preserve">Monthly addition</t>
  </si>
  <si>
    <t xml:space="preserve">Type 3 · your figure · Your own figure. Allowed: €0 to €30,000 · steps of €25</t>
  </si>
  <si>
    <t xml:space="preserve">Growth rate a year</t>
  </si>
  <si>
    <t xml:space="preserve">Type 3 · LifeMap standard · LifeMap uses 5% a year before charges and tax for a mixed fund (LifeMap standard, not a forecast). Change it if you want to use your own. Allowed: 0% to 8% · steps of 0.5%</t>
  </si>
  <si>
    <t xml:space="preserve">Type 3 · your figure · Your own figure. Allowed: 1 to 40 · steps of 1</t>
  </si>
  <si>
    <t xml:space="preserve">Could grow to</t>
  </si>
  <si>
    <t xml:space="preserve">ƒx  =FV(Monthly_Growth,Years*12,-Monthly_Addition,-Starting_Amount)</t>
  </si>
  <si>
    <t xml:space="preserve">Worth in today's money</t>
  </si>
  <si>
    <t xml:space="preserve">ƒx  =IF(Inflation_Choice="","Choose your inflation rate to see this",Grows_To/(1+Inflation_Choice)^Years)</t>
  </si>
  <si>
    <t xml:space="preserve">Paid in</t>
  </si>
  <si>
    <t xml:space="preserve">ƒx  =Starting_Amount+Monthly_Addition*12*Years</t>
  </si>
  <si>
    <t xml:space="preserve">Illustrative growth</t>
  </si>
  <si>
    <t xml:space="preserve">ƒx  =Grows_To-Paid_In</t>
  </si>
  <si>
    <t xml:space="preserve">• Value = FV(monthly growth, months, −monthly addition, −starting amount): the starting amount compounds and each addition is made at the end of the month.</t>
  </si>
  <si>
    <t xml:space="preserve">• Today's money = value ÷ (1 + inflation)^years.</t>
  </si>
  <si>
    <t xml:space="preserve">• 0% growth gives starting amount + additions.</t>
  </si>
  <si>
    <t xml:space="preserve">• Results are before tax and are not guaranteed.</t>
  </si>
  <si>
    <t xml:space="preserve">ƒx  ="Grow my wealth (plan kind pot)"</t>
  </si>
  <si>
    <t xml:space="preserve">Amount (today's money)</t>
  </si>
  <si>
    <t xml:space="preserve">ƒx  =IF(Inflation_Choice="","Choose an inflation rate first",ROUND(Value_Today,0))</t>
  </si>
  <si>
    <t xml:space="preserve">Audit fix: the amount is always in today's money (the plan adds inflation itself).</t>
  </si>
  <si>
    <t xml:space="preserve">Needs: growth rate, monthly addition, starting amount, years</t>
  </si>
  <si>
    <t xml:space="preserve">Needs: growth rate, inflation rate, monthly addition, starting amount, years</t>
  </si>
  <si>
    <t xml:space="preserve">Needs: monthly addition, starting amount, years</t>
  </si>
  <si>
    <t xml:space="preserve">Needs: years</t>
  </si>
  <si>
    <t xml:space="preserve">C10 · Lump-sum growth</t>
  </si>
  <si>
    <t xml:space="preserve">Category: Investments · prototype id: lumpsum</t>
  </si>
  <si>
    <t xml:space="preserve">Question it answers: What could a one-off amount become?</t>
  </si>
  <si>
    <t xml:space="preserve">Shows what a one-off amount could become after fees, the cost of waiting 5 years, and the value in today's money.</t>
  </si>
  <si>
    <t xml:space="preserve">Document: Investment / fund statement. Blank = no statement uploaded, or the figure is not on it. Grey-blue cells are filled by the reader (you can type here to test).</t>
  </si>
  <si>
    <t xml:space="preserve">Total value</t>
  </si>
  <si>
    <t xml:space="preserve">Allowed: €0 to €100,000,000</t>
  </si>
  <si>
    <t xml:space="preserve">Annual charges % (if shown)</t>
  </si>
  <si>
    <t xml:space="preserve">Allowed: 0% to 5%</t>
  </si>
  <si>
    <t xml:space="preserve">Amount</t>
  </si>
  <si>
    <t xml:space="preserve">Type 3 · your figure · Your own figure. In the app it is pre-filled from Your finances / statement: investments. Allowed: €500 to €5,000,000 · steps of €100</t>
  </si>
  <si>
    <t xml:space="preserve">Growth rate a year (before fees)</t>
  </si>
  <si>
    <t xml:space="preserve">Yearly fees</t>
  </si>
  <si>
    <t xml:space="preserve">Years you might wait before investing</t>
  </si>
  <si>
    <t xml:space="preserve">Type 3 · LifeMap standard · LifeMap uses 5 years (an illustration of the cost of waiting). Change it if you want to use your own. Allowed: 1 to 20 · steps of 1</t>
  </si>
  <si>
    <t xml:space="preserve">Show in today's money?</t>
  </si>
  <si>
    <t xml:space="preserve">Type 3 · optional · Optional: leave blank for none. Allowed: Yes or No</t>
  </si>
  <si>
    <t xml:space="preserve">Statement uploaded?</t>
  </si>
  <si>
    <t xml:space="preserve">ƒx  =IF(COUNTA(Stmt_Total_Value,Stmt_Charges,Stmt_Statement_Date)&gt;0,"Yes","No")</t>
  </si>
  <si>
    <t xml:space="preserve">ƒx  =IF(ISBLANK(Stmt_Total_Value),Amount,Stmt_Total_Value)</t>
  </si>
  <si>
    <t xml:space="preserve">ƒx  =IF(NOT(ISBLANK(Stmt_Charges)),Stmt_Charges,IF(Statement_Uploaded="Yes",0,Yearly_Fees))</t>
  </si>
  <si>
    <t xml:space="preserve">Could grow to (today's money if you chose Yes)</t>
  </si>
  <si>
    <t xml:space="preserve">ƒx  =IF(Adjust_For_Inflation="Yes",Value_Today,Grows_To)</t>
  </si>
  <si>
    <t xml:space="preserve">If you start today (after fees)</t>
  </si>
  <si>
    <t xml:space="preserve">ƒx  =Used_Amount*(1+Growth_After_Fees)^Years</t>
  </si>
  <si>
    <t xml:space="preserve">If you start after waiting</t>
  </si>
  <si>
    <t xml:space="preserve">ƒx  =Used_Amount*(1+Growth_After_Fees)^MAX(0,Years-Wait_Years)</t>
  </si>
  <si>
    <t xml:space="preserve">Cost of waiting</t>
  </si>
  <si>
    <t xml:space="preserve">ƒx  =IF(Adjust_For_Inflation="Yes",IF(Inflation_Choice="","Choose your inflation rate to see this",(Grows_To-Value_Start_Later)/(1+Inflation_Choice)^Years),Grows_To-Value_Start_Later)</t>
  </si>
  <si>
    <t xml:space="preserve">Fees cost</t>
  </si>
  <si>
    <t xml:space="preserve">ƒx  =Used_Amount*(1+Growth_Rate)^Years-Grows_To</t>
  </si>
  <si>
    <t xml:space="preserve">Growth after fees a year</t>
  </si>
  <si>
    <t xml:space="preserve">ƒx  =(1+Growth_Rate)*(1-Used_Yearly_Fees)-1</t>
  </si>
  <si>
    <t xml:space="preserve">Real return a year (after fees and inflation)</t>
  </si>
  <si>
    <t xml:space="preserve">ƒx  =IF(Inflation_Choice="","Choose your inflation rate to see this",(1+Growth_After_Fees)/(1+Inflation_Choice)-1)</t>
  </si>
  <si>
    <t xml:space="preserve">• Growth after fees = (1 + growth) × (1 − fees) − 1 (fees taken from the fund each year).</t>
  </si>
  <si>
    <t xml:space="preserve">• Value = amount × (1 + growth after fees)^years. Starting in 5 years means 5 fewer years of growth to the same end date.</t>
  </si>
  <si>
    <t xml:space="preserve">• Today's money = value ÷ (1 + inflation)^years; real return = (1 + growth after fees) ÷ (1 + inflation) − 1 (exact, not growth − inflation).</t>
  </si>
  <si>
    <t xml:space="preserve">• With 5 years or fewer, "start in 5 years" equals the amount itself.</t>
  </si>
  <si>
    <t xml:space="preserve">• Results are before tax.</t>
  </si>
  <si>
    <t xml:space="preserve">Always in today's money, whatever the 'Show in today's money' choice.</t>
  </si>
  <si>
    <t xml:space="preserve">Needs: growth rate, Used_Amount, Used_Yearly_Fees, years</t>
  </si>
  <si>
    <t xml:space="preserve">Needs: growth rate, inflation rate, Used_Amount, Used_Yearly_Fees, years</t>
  </si>
  <si>
    <t xml:space="preserve">Needs: growth rate, Used_Amount, Used_Yearly_Fees, years of waiting, years</t>
  </si>
  <si>
    <t xml:space="preserve">Needs: growth rate, Used_Yearly_Fees</t>
  </si>
  <si>
    <t xml:space="preserve">Needs: growth rate, inflation rate, Used_Yearly_Fees</t>
  </si>
  <si>
    <t xml:space="preserve">Note: the money is assumed to earn nothing while it waits. If growth after fees is zero or negative there is no cost of waiting to show.</t>
  </si>
  <si>
    <t xml:space="preserve">C11 · Emergency fund</t>
  </si>
  <si>
    <t xml:space="preserve">Category: Savings &amp; Goals · prototype id: emergency</t>
  </si>
  <si>
    <t xml:space="preserve">Question it answers: How strong is my emergency fund?</t>
  </si>
  <si>
    <t xml:space="preserve">Shows how many months of essential spending your easy-access savings cover, against your target.</t>
  </si>
  <si>
    <t xml:space="preserve">Essential monthly spending</t>
  </si>
  <si>
    <t xml:space="preserve">Type 3 · your figure · Your own figure. In the app it is pre-filled from Your finances: costs + mortgage + debt repayments. Allowed: €500 to €100,000 · steps of €100</t>
  </si>
  <si>
    <t xml:space="preserve">Emergency fund: months of essential spending</t>
  </si>
  <si>
    <t xml:space="preserve">Type 3 · LifeMap standard · LifeMap uses 6 months of essential spending (3 if you have two secure incomes). Change it if you want to use your own. Allowed: 1 to 12 · steps of 1</t>
  </si>
  <si>
    <t xml:space="preserve">Build the emergency fund within (years, for the plan)</t>
  </si>
  <si>
    <t xml:space="preserve">Type 3 · your figure · Your own figure. Allowed: 1 to 10 · steps of 1</t>
  </si>
  <si>
    <t xml:space="preserve">Easy-access savings</t>
  </si>
  <si>
    <t xml:space="preserve">Type 3 · your figure · Your own figure. In the app it is pre-filled from Your finances: cash. Allowed: €0 to €1,000,000 · steps of €250</t>
  </si>
  <si>
    <t xml:space="preserve">You currently have (months)</t>
  </si>
  <si>
    <t xml:space="preserve">ƒx  =Savings/Essential_Spending</t>
  </si>
  <si>
    <t xml:space="preserve">Target emergency fund</t>
  </si>
  <si>
    <t xml:space="preserve">ƒx  =Essential_Spending*Months_Wanted</t>
  </si>
  <si>
    <t xml:space="preserve">Still to build</t>
  </si>
  <si>
    <t xml:space="preserve">ƒx  =MAX(0,Target-Savings)</t>
  </si>
  <si>
    <t xml:space="preserve">• Months covered = savings ÷ essential monthly spending. Target = spending × months wanted. Still to build = target − savings (never below 0).</t>
  </si>
  <si>
    <t xml:space="preserve">• Spending must be at least €500, so there is no divide by zero.</t>
  </si>
  <si>
    <t xml:space="preserve">ƒx  =IF(Still_To_Build&gt;0,"Emergency fund (plan kind safety: a reserve, not a spend)","No goal (emergency fund already in place)")</t>
  </si>
  <si>
    <t xml:space="preserve">ƒx  =IF(Still_To_Build&gt;0,ROUND(Target,0),"—")</t>
  </si>
  <si>
    <t xml:space="preserve">ƒx  =Savings</t>
  </si>
  <si>
    <t xml:space="preserve">ƒx  =Safety_Goal_Years</t>
  </si>
  <si>
    <t xml:space="preserve">Needs: essential monthly spending, easy-access savings</t>
  </si>
  <si>
    <t xml:space="preserve">Needs: essential monthly spending, emergency months</t>
  </si>
  <si>
    <t xml:space="preserve">Needs: essential monthly spending, emergency months, easy-access savings</t>
  </si>
  <si>
    <t xml:space="preserve">Needs: easy-access savings</t>
  </si>
  <si>
    <t xml:space="preserve">Needs: years to build the emergency fund</t>
  </si>
  <si>
    <t xml:space="preserve">C12 · Retirement projection</t>
  </si>
  <si>
    <t xml:space="preserve">Category: Pensions &amp; Retirement · prototype id: retirement</t>
  </si>
  <si>
    <t xml:space="preserve">Question it answers: Could your current path fund the retirement you want?</t>
  </si>
  <si>
    <t xml:space="preserve">Projects your pension fund at retirement and compares it, in today's money, with the fund you would need for the income you want.</t>
  </si>
  <si>
    <t xml:space="preserve">Document: Pension benefit statement / Statement of Reasonable Projection / PRSA statement. Blank = no statement uploaded, or the figure is not on it. Grey-blue cells are filled by the reader (you can type here to test).</t>
  </si>
  <si>
    <t xml:space="preserve">Fund value today</t>
  </si>
  <si>
    <t xml:space="preserve">Allowed: €0 to €50,000,000</t>
  </si>
  <si>
    <t xml:space="preserve">Your monthly contribution</t>
  </si>
  <si>
    <t xml:space="preserve">Employer monthly contribution</t>
  </si>
  <si>
    <t xml:space="preserve">Normal retirement age</t>
  </si>
  <si>
    <t xml:space="preserve">Allowed: 50 to 75</t>
  </si>
  <si>
    <t xml:space="preserve">Projected fund at retirement (if shown)</t>
  </si>
  <si>
    <t xml:space="preserve">Projection is in today's money? (if shown)</t>
  </si>
  <si>
    <t xml:space="preserve">Allowed: Yes or No</t>
  </si>
  <si>
    <t xml:space="preserve">Type 3 · your figure · Your own figure. In the app it is pre-filled from About you: age. Allowed: 20 to 70 · steps of 1</t>
  </si>
  <si>
    <t xml:space="preserve">Target retirement age</t>
  </si>
  <si>
    <t xml:space="preserve">Type 3 · your choice (no standard) · You can usually draw a pension from 60 (some occupational schemes from 50); State Pension is paid from 66. Choose your own: there is no default. Allowed: 21 to 104 · steps of 1</t>
  </si>
  <si>
    <t xml:space="preserve">Type 3 · your figure · Your own figure. In the app it is pre-filled from Your finances / pension statement. Allowed: €0 to €15,000,000 · steps of €1,000</t>
  </si>
  <si>
    <t xml:space="preserve">Monthly contributions (you + employer)</t>
  </si>
  <si>
    <t xml:space="preserve">Type 3 · your figure · Your own figure. In the app it is pre-filled from Your finances / pension statement. Allowed: €0 to €50,000 · steps of €10</t>
  </si>
  <si>
    <t xml:space="preserve">Desired yearly income in retirement (today's money)</t>
  </si>
  <si>
    <t xml:space="preserve">Type 3 · your figure · Your own figure. In the app it is pre-filled from Plan: retirement goal income. Allowed: €10,000 to €1,500,000 · steps of €1,000</t>
  </si>
  <si>
    <t xml:space="preserve">Other yearly income from 66, e.g. State Pension (today's money)</t>
  </si>
  <si>
    <t xml:space="preserve">Pension growth after charges a year</t>
  </si>
  <si>
    <t xml:space="preserve">Type 3 · LifeMap standard · LifeMap uses 4.5% a year after charges while you work (LifeMap Standard set; Cautious 4%). Change it if you want to use your own. Allowed: 1% to 7% · steps of 0.25%</t>
  </si>
  <si>
    <t xml:space="preserve">Pay rises a year (contributions rise with pay)</t>
  </si>
  <si>
    <t xml:space="preserve">Type 3 · LifeMap standard · LifeMap uses 3% a year (Irish pay has grown about 3%–4% a year recently; LifeMap Standard set). Change it if you want to use your own. Allowed: 0% to 6% · steps of 0.25%</t>
  </si>
  <si>
    <t xml:space="preserve">Retirement savings target: × the yearly income you need</t>
  </si>
  <si>
    <t xml:space="preserve">Type 3 · LifeMap standard · LifeMap uses 25 times the yearly income you need (about 4% a year). Change it if you want to use your own. Allowed: 20 to 33 · steps of 1</t>
  </si>
  <si>
    <t xml:space="preserve">Typical pension charges (if your statement doesn't say)</t>
  </si>
  <si>
    <t xml:space="preserve">Tax-free lump sum you plan to take (% of the fund)</t>
  </si>
  <si>
    <t xml:space="preserve">What if: retire later by</t>
  </si>
  <si>
    <t xml:space="preserve">Type 3 · optional · Optional: leave blank for none. Allowed: 0 to 5 · steps of 1</t>
  </si>
  <si>
    <t xml:space="preserve">What if: save more each month</t>
  </si>
  <si>
    <t xml:space="preserve">What if: spend less in retirement (a year)</t>
  </si>
  <si>
    <t xml:space="preserve">Pension access age (the earliest age you can draw your pension)</t>
  </si>
  <si>
    <t xml:space="preserve">Type 3 · LifeMap standard · LifeMap uses 60 (most pensions can be drawn from 60; some occupational schemes allow 50). Change it only if your scheme allows 50. Allowed: 50 or 60</t>
  </si>
  <si>
    <t xml:space="preserve">ƒx  =IF(ISBLANK(Stmt_Fund_Value),Pension_Today,Stmt_Fund_Value)</t>
  </si>
  <si>
    <t xml:space="preserve">ƒx  =IF(COUNT(Stmt_You_Monthly,Stmt_Employer_Monthly)=0,Monthly_Contribution,SUM(Stmt_You_Monthly,Stmt_Employer_Monthly))</t>
  </si>
  <si>
    <t xml:space="preserve">Growth after charges</t>
  </si>
  <si>
    <t xml:space="preserve">ƒx  =IF(ISBLANK(Stmt_Charges),Growth_Rate,IF(OR(Growth_Rate="",Typical_Pension_Charges=""),"",Growth_Rate+Typical_Pension_Charges-Stmt_Charges))</t>
  </si>
  <si>
    <t xml:space="preserve">Use the statement's projected fund?</t>
  </si>
  <si>
    <t xml:space="preserve">ƒx  =IF(AND(NOT(ISBLANK(Stmt_Projected_Fund)),Stmt_NRA=Retirement_Age+Retire_Later,Save_More=0),"Yes","No")      (projection shown, its retirement age matches yours, and no "save more" what-if)</t>
  </si>
  <si>
    <t xml:space="preserve">Illustrative gap (today's money)</t>
  </si>
  <si>
    <t xml:space="preserve">ƒx  =IF(ISNUMBER(Fund_Today),Target_Today-Fund_Today,Fund_Today)</t>
  </si>
  <si>
    <t xml:space="preserve">Projected fund at retirement</t>
  </si>
  <si>
    <t xml:space="preserve">ƒx  =IF(Use_Statement_Projection="Yes",Stmt_Projected_Fund,Calculated_Fund)</t>
  </si>
  <si>
    <t xml:space="preserve">Projected fund in today's money</t>
  </si>
  <si>
    <t xml:space="preserve">ƒx  =IF(AND(Use_Statement_Projection="Yes",Stmt_Projection_Today&lt;&gt;"No"),Stmt_Projected_Fund,IF(Inflation_Choice="","Choose your inflation rate to see this",Projected_Fund/(1+Inflation_Choice)^Years_To_Retirement))      (a statement projection already in today's money is not deflated again)</t>
  </si>
  <si>
    <t xml:space="preserve">Calculated fund at retirement (our assumptions)</t>
  </si>
  <si>
    <t xml:space="preserve">ƒx  =Used_Pension_Today*(1+Used_Growth_Rate)^Years_To_Retirement+Contributions_Grow_To</t>
  </si>
  <si>
    <t xml:space="preserve">Illustrative target (today's money)</t>
  </si>
  <si>
    <t xml:space="preserve">ƒx  =MAX(0,Desired_Income-Spend_Less-Other_Income)*Retire_Multiple+Bridge_Years*MIN(Other_Income,MAX(0,Desired_Income-Spend_Less))      (the years before the State Pension never need more than the income you need)</t>
  </si>
  <si>
    <t xml:space="preserve">Years before the State Pension starts at 66 (to fund yourself)</t>
  </si>
  <si>
    <t xml:space="preserve">ƒx  =MAX(0,State_Pension_Age-(Retirement_Age+Retire_Later))</t>
  </si>
  <si>
    <t xml:space="preserve">Lump sum you could take at retirement (gross)</t>
  </si>
  <si>
    <t xml:space="preserve">Tax on the lump sum</t>
  </si>
  <si>
    <t xml:space="preserve">ƒx  =Lump_Sum_Rate*MAX(0,MIN(Lump_Sum,Lump_Sum_Cap)-Lump_Sum_Tax_Free)+Rate_Higher*MAX(0,Lump_Sum-Lump_Sum_Cap)      (the part above €500,000 is taxed at the higher rate; verify on Revenue)</t>
  </si>
  <si>
    <t xml:space="preserve">Lump sum after tax</t>
  </si>
  <si>
    <t xml:space="preserve">ƒx  =Lump_Sum-Lump_Sum_Tax</t>
  </si>
  <si>
    <t xml:space="preserve">Message to show</t>
  </si>
  <si>
    <t xml:space="preserve">Years to retirement</t>
  </si>
  <si>
    <t xml:space="preserve">ƒx  =MAX(1,Retirement_Age+Retire_Later-Age)</t>
  </si>
  <si>
    <t xml:space="preserve">Monthly contribution incl. what-if</t>
  </si>
  <si>
    <t xml:space="preserve">ƒx  =Used_Monthly_Contribution+Save_More</t>
  </si>
  <si>
    <t xml:space="preserve">Contributions (rising with pay) grow to</t>
  </si>
  <si>
    <t xml:space="preserve">ƒx  =IF(Used_Growth_Rate=Wage,12*Contribution*Years_To_Retirement*(1+Used_Growth_Rate)^(Years_To_Retirement-1),12*Contribution*((1+Used_Growth_Rate)^Years_To_Retirement-(1+Wage)^Years_To_Retirement)/(Used_Growth_Rate-Wage))</t>
  </si>
  <si>
    <t xml:space="preserve">• Fund = pension today × (1 + growth)^years + each year's contributions (12 × monthly, rising with pay each year, added at the year end), the closed-form growing annuity.</t>
  </si>
  <si>
    <t xml:space="preserve">• The fund is future money, the target is today's money, so the fund is turned into today's money first: fund ÷ (1 + inflation)^years (audit Must fix: like-for-like gap).</t>
  </si>
  <si>
    <t xml:space="preserve">• Target = (desired income − spend less − other income) × your multiple (suggested 25), plus the State Pension you must fund yourself for each year you retire before 66 (at most the income you need each year). Gap = target − fund in today's money.</t>
  </si>
  <si>
    <t xml:space="preserve">• A retirement age at or before your age gives "Choose a retirement age after your age to see this" (never a silent 1 year).</t>
  </si>
  <si>
    <t xml:space="preserve">• If growth equals the pay-rise rate the growing-annuity formula divides by zero, so the equal-rate form 12 × contribution × years × (1+g)^(years−1) is used.</t>
  </si>
  <si>
    <t xml:space="preserve">• Gap ≤ 0 shows "On track: no gap".</t>
  </si>
  <si>
    <t xml:space="preserve">ƒx  ="Update your retirement goal (no new goal)"</t>
  </si>
  <si>
    <t xml:space="preserve">Yearly income in retirement (today's money)</t>
  </si>
  <si>
    <t xml:space="preserve">ƒx  =Desired_Income-Spend_Less</t>
  </si>
  <si>
    <t xml:space="preserve">ƒx  =Retirement_Age+Retire_Later</t>
  </si>
  <si>
    <t xml:space="preserve">Audit fix: the old 25× lump sum spend goal double-counted the plan's own retirement goal.</t>
  </si>
  <si>
    <t xml:space="preserve">Needs: retirement age</t>
  </si>
  <si>
    <t xml:space="preserve">Needs: age, desired retirement income, other income (State Pension), retirement multiple, retirement age, Used_Growth_Rate, Used_Monthly_Contribution, Used_Pension_Today, pay rise</t>
  </si>
  <si>
    <t xml:space="preserve">Needs: age, retirement age, Used_Growth_Rate, Used_Monthly_Contribution, Used_Pension_Today, pay rise</t>
  </si>
  <si>
    <t xml:space="preserve">Needs: desired retirement income, other income (State Pension), retirement multiple, retirement age</t>
  </si>
  <si>
    <t xml:space="preserve">Needs: age, lump sum share, retirement age, Used_Growth_Rate, Used_Monthly_Contribution, Used_Pension_Today, pay rise</t>
  </si>
  <si>
    <t xml:space="preserve">Needs: age, retirement age</t>
  </si>
  <si>
    <t xml:space="preserve">Needs: Used_Monthly_Contribution</t>
  </si>
  <si>
    <t xml:space="preserve">Needs: age, retirement age, Used_Growth_Rate, Used_Monthly_Contribution, pay rise</t>
  </si>
  <si>
    <t xml:space="preserve">Needs: desired retirement income</t>
  </si>
  <si>
    <t xml:space="preserve">C13 · Contribution impact</t>
  </si>
  <si>
    <t xml:space="preserve">Category: Pensions &amp; Retirement · prototype id: contrib</t>
  </si>
  <si>
    <t xml:space="preserve">Question it answers: What difference would a small increase make?</t>
  </si>
  <si>
    <t xml:space="preserve">Shows what raising your pension contributions by a % of salary could add by retirement, and what it costs after tax relief.</t>
  </si>
  <si>
    <t xml:space="preserve">Document: Pension benefit statement / PRSA statement. Blank = no statement uploaded, or the figure is not on it. Grey-blue cells are filled by the reader (you can type here to test).</t>
  </si>
  <si>
    <t xml:space="preserve">Salary</t>
  </si>
  <si>
    <t xml:space="preserve">Increase contributions by (% of salary)</t>
  </si>
  <si>
    <t xml:space="preserve">Type 3 · your figure · Your own figure. Allowed: 0.5% to 10% · steps of 0.5%</t>
  </si>
  <si>
    <t xml:space="preserve">Type 3 · your figure · Your own figure. In the app it is pre-filled from Plan: retirement age − age. Allowed: 1 to 45 · steps of 1</t>
  </si>
  <si>
    <t xml:space="preserve">Growth assumption a year</t>
  </si>
  <si>
    <t xml:space="preserve">Your tax rate (0.2 = 20%, 0.4 = 40%)</t>
  </si>
  <si>
    <t xml:space="preserve">20% or 40%</t>
  </si>
  <si>
    <t xml:space="preserve">Type 2 · range · Usually between 20% or 40%: your top rate of income tax (the Tax engine works it out). In the app it is pre-filled from Tax engine marginal rate (band by status: €44k single, €48k single parent, €53k married, + up to €35k second earner). Enter your own figure. Allowed: 20% or 40%</t>
  </si>
  <si>
    <t xml:space="preserve">Your age (for the pension relief limit)</t>
  </si>
  <si>
    <t xml:space="preserve">Type 3 · your figure · Your own figure. In the app it is pre-filled from About you: age. Allowed: 18 to 75 · steps of 1</t>
  </si>
  <si>
    <t xml:space="preserve">What you pay in yourself now, a year (counts towards the relief limit)</t>
  </si>
  <si>
    <t xml:space="preserve">Type 3 · optional · Optional: leave blank for none. Allowed: €0 to €1,000,000 · steps of €100</t>
  </si>
  <si>
    <t xml:space="preserve">Growth assumption</t>
  </si>
  <si>
    <t xml:space="preserve">Could add to your pension</t>
  </si>
  <si>
    <t xml:space="preserve">ƒx  =FV((1+Used_Growth_Rate)^(1/12)-1,Years*12,-Extra_Per_Month)</t>
  </si>
  <si>
    <t xml:space="preserve">Extra per month</t>
  </si>
  <si>
    <t xml:space="preserve">ƒx  =Salary*Increase_Pct/12</t>
  </si>
  <si>
    <t xml:space="preserve">Cost to you after tax relief, a month</t>
  </si>
  <si>
    <t xml:space="preserve">ƒx  =Extra_Per_Month-Relief_Per_Month</t>
  </si>
  <si>
    <t xml:space="preserve">ƒx  =LOOKUP(Age,Relief_Age_From,Relief_Age_Pct)*MIN(Salary,Relief_Earnings_Cap)</t>
  </si>
  <si>
    <t xml:space="preserve">Room left for relief after what you already pay in</t>
  </si>
  <si>
    <t xml:space="preserve">ƒx  =MAX(0,Relief_Limit_Year-Existing_Pension_Year)</t>
  </si>
  <si>
    <t xml:space="preserve">Extra that gets relief, a year</t>
  </si>
  <si>
    <t xml:space="preserve">ƒx  =MIN(Extra_Per_Month*12,Relief_Room_Year)</t>
  </si>
  <si>
    <t xml:space="preserve">Tax relief a month</t>
  </si>
  <si>
    <t xml:space="preserve">ƒx  =Relieved_Year*Tax_Rate/12</t>
  </si>
  <si>
    <t xml:space="preserve">• Extra a month = salary × increase ÷ 12. Value = FV(monthly growth, months, −extra): level end-of-month contributions.</t>
  </si>
  <si>
    <t xml:space="preserve">• Tax relief = the part of the extra within your relief limit × your tax rate (USC and PRSI still apply). Cost = extra − relief.</t>
  </si>
  <si>
    <t xml:space="preserve">• Tax rate is 20% or 40% only (list); it pre-fills from the Tax engine.</t>
  </si>
  <si>
    <t xml:space="preserve">ƒx  ="No goal: raise the plan's pension contribution instead"</t>
  </si>
  <si>
    <t xml:space="preserve">Extra pension contribution a month</t>
  </si>
  <si>
    <t xml:space="preserve">ƒx  =Extra_Per_Month</t>
  </si>
  <si>
    <t xml:space="preserve">Audit fix: pension money is not a spend goal.</t>
  </si>
  <si>
    <t xml:space="preserve">Needs: contribution increase, salary, Used_Growth_Rate, years to retirement</t>
  </si>
  <si>
    <t xml:space="preserve">Needs: contribution increase, inflation rate, salary, Used_Growth_Rate, years to retirement</t>
  </si>
  <si>
    <t xml:space="preserve">Needs: contribution increase, salary</t>
  </si>
  <si>
    <t xml:space="preserve">Needs: age, contribution increase, salary, tax rate</t>
  </si>
  <si>
    <t xml:space="preserve">Needs: age, salary</t>
  </si>
  <si>
    <t xml:space="preserve">Needs: age, contribution increase, salary</t>
  </si>
  <si>
    <t xml:space="preserve">Note: the extra contribution is the same every year; it does not rise with pay (the Retirement projection and your plan do let contributions rise with pay).</t>
  </si>
  <si>
    <t xml:space="preserve">C14 · AVC impact</t>
  </si>
  <si>
    <t xml:space="preserve">Category: Pensions &amp; Retirement · prototype id: avc</t>
  </si>
  <si>
    <t xml:space="preserve">Question it answers: What could extra voluntary contributions add?</t>
  </si>
  <si>
    <t xml:space="preserve">Shows what extra voluntary contributions (AVCs) could add by retirement, and their cost after tax relief.</t>
  </si>
  <si>
    <t xml:space="preserve">Document: Pension benefit statement / PRSA / AVC statement. Blank = no statement uploaded, or the figure is not on it. Grey-blue cells are filled by the reader (you can type here to test).</t>
  </si>
  <si>
    <t xml:space="preserve">AVC per month</t>
  </si>
  <si>
    <t xml:space="preserve">Type 3 · your figure · Your own figure. Allowed: €25 to €20,000 · steps of €25</t>
  </si>
  <si>
    <t xml:space="preserve">Salary (for the relief limit)</t>
  </si>
  <si>
    <t xml:space="preserve">Type 3 · your figure · Your own figure. In the app it is pre-filled from Plan: retirement age − age. Allowed: 1 to 40 · steps of 1</t>
  </si>
  <si>
    <t xml:space="preserve">Could add</t>
  </si>
  <si>
    <t xml:space="preserve">ƒx  =FV((1+Used_Growth_Rate)^(1/12)-1,Years*12,-AVC_Per_Month)</t>
  </si>
  <si>
    <t xml:space="preserve">ƒx  =AVC_Per_Month*12*Years</t>
  </si>
  <si>
    <t xml:space="preserve">Net cost to you</t>
  </si>
  <si>
    <t xml:space="preserve">ƒx  =Net_Cost_Per_Month*12*Years</t>
  </si>
  <si>
    <t xml:space="preserve">Net cost of each monthly AVC</t>
  </si>
  <si>
    <t xml:space="preserve">ƒx  =AVC_Per_Month-Relief_Per_Month</t>
  </si>
  <si>
    <t xml:space="preserve">AVC that gets relief, a year</t>
  </si>
  <si>
    <t xml:space="preserve">ƒx  =MIN(AVC_Per_Month*12,Relief_Room_Year)</t>
  </si>
  <si>
    <t xml:space="preserve">• The age-related limit covers your main scheme and AVCs together: enter what you already pay in.</t>
  </si>
  <si>
    <t xml:space="preserve">ƒx  =AVC_Per_Month</t>
  </si>
  <si>
    <t xml:space="preserve">Needs: AVC per month, Used_Growth_Rate, years to retirement</t>
  </si>
  <si>
    <t xml:space="preserve">Needs: AVC per month, inflation rate, Used_Growth_Rate, years to retirement</t>
  </si>
  <si>
    <t xml:space="preserve">Needs: AVC per month, years to retirement</t>
  </si>
  <si>
    <t xml:space="preserve">Needs: AVC per month, age, salary, tax rate, years to retirement</t>
  </si>
  <si>
    <t xml:space="preserve">Needs: AVC per month, age, salary, tax rate</t>
  </si>
  <si>
    <t xml:space="preserve">Needs: AVC per month, age, salary</t>
  </si>
  <si>
    <t xml:space="preserve">Needs: AVC per month</t>
  </si>
  <si>
    <t xml:space="preserve">C15 · Will my money last?</t>
  </si>
  <si>
    <t xml:space="preserve">Category: Pensions &amp; Retirement · prototype id: lastmoney</t>
  </si>
  <si>
    <t xml:space="preserve">Question it answers: How long could my retirement savings last?</t>
  </si>
  <si>
    <t xml:space="preserve">Shows how many full years your retirement savings could pay a yearly income that rises with prices.</t>
  </si>
  <si>
    <t xml:space="preserve">Document: Pension benefit statement / Statement of Reasonable Projection. Blank = no statement uploaded, or the figure is not on it. Grey-blue cells are filled by the reader (you can type here to test).</t>
  </si>
  <si>
    <t xml:space="preserve">Retirement savings</t>
  </si>
  <si>
    <t xml:space="preserve">Type 3 · your figure · Your own figure. In the app it is pre-filled from Plan: pension projected to retirement. Allowed: €10,000 to €30,000,000 · steps of €10,000</t>
  </si>
  <si>
    <t xml:space="preserve">Yearly withdrawal (first year)</t>
  </si>
  <si>
    <t xml:space="preserve">Type 3 · your figure · Your own figure. Allowed: €1,000 to €2,000,000 · steps of €1,000</t>
  </si>
  <si>
    <t xml:space="preserve">Growth assumption a year (once retired)</t>
  </si>
  <si>
    <t xml:space="preserve">Type 3 · LifeMap standard · LifeMap uses 3.15% a year after charges once retired (LifeMap Standard set; Cautious 2.8%). Change it if you want to use your own. Allowed: 0% to 7% · steps of 0.05%</t>
  </si>
  <si>
    <t xml:space="preserve">Withdrawal taken at the</t>
  </si>
  <si>
    <t xml:space="preserve">Type 3 · LifeMap standard · LifeMap uses the start of the year (the prudent choice). Change it if you want to use your own. Allowed: Start of year or End of year</t>
  </si>
  <si>
    <t xml:space="preserve">Your age when withdrawals start</t>
  </si>
  <si>
    <t xml:space="preserve">Type 3 · your choice (no standard) · You can usually draw a pension from 60 (some occupational schemes from 50); State Pension is paid from 66. Choose your own: there is no default. Allowed: 50 to 90 · steps of 1</t>
  </si>
  <si>
    <t xml:space="preserve">Plan to age</t>
  </si>
  <si>
    <t xml:space="preserve">Type 3 · your choice (no standard) · At 65, average life expectancy in Ireland is about 83 for men and 86 for women (CSO, Irish Life Tables No. 17, 2015–2017). Choose your own: there is no default. Allowed: 50 to 100 · steps of 1</t>
  </si>
  <si>
    <t xml:space="preserve">ƒx  =IF(NOT(ISBLANK(Stmt_Projected_Fund)),Stmt_Projected_Fund,IF(NOT(ISBLANK(Stmt_Fund_Value)),Stmt_Fund_Value,Retirement_Savings))</t>
  </si>
  <si>
    <t xml:space="preserve">Could last about (full years)</t>
  </si>
  <si>
    <t xml:space="preserve">ƒx  =IF(Inflation_Choice="","Choose your inflation rate to see this",SUM(W_paid))</t>
  </si>
  <si>
    <t xml:space="preserve">Money lasts to about age</t>
  </si>
  <si>
    <t xml:space="preserve">ƒx  =IF(ISNUMBER(Years_Lasting),IF(Years_Lasting&gt;=Cap_Years,"Beyond "&amp;Plan_To_Age&amp;" (your plan-until age)",Age_At_Start+Years_Lasting),"Choose your inflation rate to see this")</t>
  </si>
  <si>
    <t xml:space="preserve">Withdrawal rate (first year)</t>
  </si>
  <si>
    <t xml:space="preserve">ƒx  =Yearly_Withdrawal/Used_Retirement_Savings</t>
  </si>
  <si>
    <t xml:space="preserve">WORKING (one row per year; withdrawal at the start or end of the year, as chosen)</t>
  </si>
  <si>
    <t xml:space="preserve">Withdrawal (rises with inflation)</t>
  </si>
  <si>
    <t xml:space="preserve">Savings at the start of the year</t>
  </si>
  <si>
    <t xml:space="preserve">Paid in full? (1 = yes)</t>
  </si>
  <si>
    <t xml:space="preserve">Left at the end of the year</t>
  </si>
  <si>
    <t xml:space="preserve">• Each year (start-of-year timing): take the withdrawal, then the rest grows. End-of-year timing: the pot grows, then the withdrawal is taken. The withdrawal rises with inflation each year.</t>
  </si>
  <si>
    <t xml:space="preserve">• Years lasting = the number of years the full withdrawal could be paid (the "Paid in full" column).</t>
  </si>
  <si>
    <t xml:space="preserve">• Start of year is the suggested (prudent) timing; end of year is optimistic.</t>
  </si>
  <si>
    <t xml:space="preserve">• If the money lasts all 60 years of the table it shows "60+ years".</t>
  </si>
  <si>
    <t xml:space="preserve">• Before tax: ARF and vested PRSA withdrawals pay income tax and USC.</t>
  </si>
  <si>
    <t xml:space="preserve">Needs: growth rate, inflation rate, Used_Retirement_Savings, withdrawal timing, yearly withdrawal</t>
  </si>
  <si>
    <t xml:space="preserve">Needs: retirement age, growth rate, inflation rate, plan-to age, Used_Retirement_Savings, withdrawal timing, yearly withdrawal</t>
  </si>
  <si>
    <t xml:space="preserve">Needs: Used_Retirement_Savings, yearly withdrawal</t>
  </si>
  <si>
    <t xml:space="preserve">C16 · Retirement drawdown scenarios</t>
  </si>
  <si>
    <t xml:space="preserve">Category: Pensions &amp; Retirement · prototype id: drawdown</t>
  </si>
  <si>
    <t xml:space="preserve">Question it answers: How do different growth rates change things?</t>
  </si>
  <si>
    <t xml:space="preserve">Shows how long your retirement savings could last at three growth rates, with withdrawals rising with prices.</t>
  </si>
  <si>
    <t xml:space="preserve">Cautious: growth a year</t>
  </si>
  <si>
    <t xml:space="preserve">Type 3 · LifeMap standard · LifeMap uses 2% a year for a cautious mix (illustration). Change it if you want to use your own. Allowed: 0% to 8% · steps of 0.5%</t>
  </si>
  <si>
    <t xml:space="preserve">Balanced: growth a year</t>
  </si>
  <si>
    <t xml:space="preserve">Type 3 · LifeMap standard · LifeMap uses 4% a year for a balanced mix (illustration). Change it if you want to use your own. Allowed: 0% to 8% · steps of 0.5%</t>
  </si>
  <si>
    <t xml:space="preserve">Growth: growth a year</t>
  </si>
  <si>
    <t xml:space="preserve">Type 3 · LifeMap standard · LifeMap uses 6% a year for a growth mix (illustration). Change it if you want to use your own. Allowed: 0% to 8% · steps of 0.5%</t>
  </si>
  <si>
    <t xml:space="preserve">Balanced lasts (full years)</t>
  </si>
  <si>
    <t xml:space="preserve">ƒx  =IF(Inflation_Choice="","Choose your inflation rate to see this",SUM(W_b_paid))</t>
  </si>
  <si>
    <t xml:space="preserve">Cautious lasts (full years)</t>
  </si>
  <si>
    <t xml:space="preserve">ƒx  =IF(Inflation_Choice="","Choose your inflation rate to see this",SUM(W_c_paid))</t>
  </si>
  <si>
    <t xml:space="preserve">Growth lasts (full years)</t>
  </si>
  <si>
    <t xml:space="preserve">ƒx  =IF(Inflation_Choice="","Choose your inflation rate to see this",SUM(W_g_paid))</t>
  </si>
  <si>
    <t xml:space="preserve">WORKING (one row per year; withdrawal at the start of the year, rising with inflation)</t>
  </si>
  <si>
    <t xml:space="preserve">Withdrawal</t>
  </si>
  <si>
    <t xml:space="preserve">Cautious: savings at start</t>
  </si>
  <si>
    <t xml:space="preserve">Cautious: paid? (1 = yes)</t>
  </si>
  <si>
    <t xml:space="preserve">Balanced: savings at start</t>
  </si>
  <si>
    <t xml:space="preserve">Balanced: paid? (1 = yes)</t>
  </si>
  <si>
    <t xml:space="preserve">Growth: savings at start</t>
  </si>
  <si>
    <t xml:space="preserve">Growth: paid? (1 = yes)</t>
  </si>
  <si>
    <t xml:space="preserve">• Same rule as C15 at three growth rates (suggested 2%, 4%, 6%): withdraw at the start (or end) of each year, grow the rest, raise the withdrawal with inflation.</t>
  </si>
  <si>
    <t xml:space="preserve">• Years lasting = the number of years paid in full.</t>
  </si>
  <si>
    <t xml:space="preserve">• "60+ years" in every row when the money lasts the whole table.</t>
  </si>
  <si>
    <t xml:space="preserve">• Start of year is the suggested (prudent) timing.</t>
  </si>
  <si>
    <t xml:space="preserve">Needs: balanced growth rate, cautious growth rate, growth-style growth rate, inflation rate, Used_Retirement_Savings, withdrawal timing, yearly withdrawal</t>
  </si>
  <si>
    <t xml:space="preserve">C17 · Inflation-adjusted return</t>
  </si>
  <si>
    <t xml:space="preserve">Category: Investments · prototype id: realreturn</t>
  </si>
  <si>
    <t xml:space="preserve">Question it answers: What is my money really worth in future?</t>
  </si>
  <si>
    <t xml:space="preserve">Shows what an amount could grow to, what that is worth in today's money, and the real return after inflation.</t>
  </si>
  <si>
    <t xml:space="preserve">Return a year (before inflation)</t>
  </si>
  <si>
    <t xml:space="preserve">Type 3 · LifeMap standard · LifeMap uses 5% a year before charges and tax for a mixed fund (LifeMap standard, not a forecast). Change it if you want to use your own. Allowed: 0% to 10% · steps of 0.25%</t>
  </si>
  <si>
    <t xml:space="preserve">In today's money</t>
  </si>
  <si>
    <t xml:space="preserve">ƒx  =IF(Inflation_Choice="","Choose your inflation rate to see this",Future_Value/(1+Inflation_Choice)^Years)</t>
  </si>
  <si>
    <t xml:space="preserve">Future value</t>
  </si>
  <si>
    <t xml:space="preserve">ƒx  =Used_Amount*(1+Nominal_Return)^Years</t>
  </si>
  <si>
    <t xml:space="preserve">Real return a year</t>
  </si>
  <si>
    <t xml:space="preserve">ƒx  =IF(Inflation_Choice="","Choose your inflation rate to see this",(1+Nominal_Return)/(1+Inflation_Choice)-1)</t>
  </si>
  <si>
    <t xml:space="preserve">• Future value = amount × (1 + return)^years; today's money = future value ÷ (1 + inflation)^years.</t>
  </si>
  <si>
    <t xml:space="preserve">• Real return = (1 + return) ÷ (1 + inflation) − 1, the exact figure (not return − inflation).</t>
  </si>
  <si>
    <t xml:space="preserve">• Before tax and charges.</t>
  </si>
  <si>
    <t xml:space="preserve">Needs: inflation rate, return, Used_Amount, years</t>
  </si>
  <si>
    <t xml:space="preserve">Needs: return, Used_Amount, years</t>
  </si>
  <si>
    <t xml:space="preserve">Needs: inflation rate, return</t>
  </si>
  <si>
    <t xml:space="preserve">C18 · Regular investing</t>
  </si>
  <si>
    <t xml:space="preserve">Category: Investments · prototype id: regularinvest</t>
  </si>
  <si>
    <t xml:space="preserve">Question it answers: What could investing monthly build?</t>
  </si>
  <si>
    <t xml:space="preserve">Shows what investing a monthly amount could build after fees, what the fees cost, and the value in today's money.</t>
  </si>
  <si>
    <t xml:space="preserve">Monthly amount invested</t>
  </si>
  <si>
    <t xml:space="preserve">Allowed: €0 to €1,000,000</t>
  </si>
  <si>
    <t xml:space="preserve">Monthly amount</t>
  </si>
  <si>
    <t xml:space="preserve">Type 3 · your figure · Your own figure. Allowed: €25 to €50,000 · steps of €25</t>
  </si>
  <si>
    <t xml:space="preserve">Growth a year (before fees)</t>
  </si>
  <si>
    <t xml:space="preserve">ƒx  =IF(COUNTA(Stmt_Monthly_Invested,Stmt_Charges,Stmt_Statement_Date)&gt;0,"Yes","No")</t>
  </si>
  <si>
    <t xml:space="preserve">ƒx  =IF(ISBLANK(Stmt_Monthly_Invested),Monthly_Amount,Stmt_Monthly_Invested)</t>
  </si>
  <si>
    <t xml:space="preserve">Could grow to after fees (today's money if you chose Yes)</t>
  </si>
  <si>
    <t xml:space="preserve">ƒx  =IF(Adjust_For_Inflation="Yes",Value_Today,Value_After_Fees)</t>
  </si>
  <si>
    <t xml:space="preserve">After fees</t>
  </si>
  <si>
    <t xml:space="preserve">ƒx  =FV((1+Growth_After_Fees)^(1/12)-1,Years*12,-Used_Monthly_Amount)</t>
  </si>
  <si>
    <t xml:space="preserve">Before fees</t>
  </si>
  <si>
    <t xml:space="preserve">ƒx  =FV((1+Growth_Rate)^(1/12)-1,Years*12,-Used_Monthly_Amount)</t>
  </si>
  <si>
    <t xml:space="preserve">ƒx  =Value_Before_Fees-Value_After_Fees</t>
  </si>
  <si>
    <t xml:space="preserve">ƒx  =Used_Monthly_Amount*12*Years</t>
  </si>
  <si>
    <t xml:space="preserve">ƒx  =IF(Inflation_Choice="","Choose your inflation rate to see this",Value_After_Fees/(1+Inflation_Choice)^Years)</t>
  </si>
  <si>
    <t xml:space="preserve">• Growth after fees = (1 + growth) × (1 − fees) − 1. Each value = FV(monthly rate, months, −monthly amount), monthly rate = (1 + yearly rate)^(1/12) − 1.</t>
  </si>
  <si>
    <t xml:space="preserve">• Fees cost = value before fees − value after fees. Today's money = after-fees value ÷ (1 + inflation)^years.</t>
  </si>
  <si>
    <t xml:space="preserve">• Results are before tax (exit tax 38%, deemed disposal; 1% levy on unit-linked premiums).</t>
  </si>
  <si>
    <t xml:space="preserve">Audit fix: the old goal sent the nominal value, which the plan then inflated again.</t>
  </si>
  <si>
    <t xml:space="preserve">Needs: growth rate, Used_Monthly_Amount, Used_Yearly_Fees, years</t>
  </si>
  <si>
    <t xml:space="preserve">Needs: growth rate, Used_Monthly_Amount, years</t>
  </si>
  <si>
    <t xml:space="preserve">Needs: Used_Monthly_Amount, years</t>
  </si>
  <si>
    <t xml:space="preserve">Needs: growth rate, inflation rate, Used_Monthly_Amount, Used_Yearly_Fees, years</t>
  </si>
  <si>
    <t xml:space="preserve">C19 · Fees impact</t>
  </si>
  <si>
    <t xml:space="preserve">Category: Investments · prototype id: fees</t>
  </si>
  <si>
    <t xml:space="preserve">Question it answers: How much do fees really cost over time?</t>
  </si>
  <si>
    <t xml:space="preserve">Compares what an investment could grow to with two different yearly fees.</t>
  </si>
  <si>
    <t xml:space="preserve">Amount invested</t>
  </si>
  <si>
    <t xml:space="preserve">Type 3 · your figure · Your own figure. In the app it is pre-filled from Your finances / statement: investments. Allowed: €1,000 to €10,000,000 · steps of €100</t>
  </si>
  <si>
    <t xml:space="preserve">Fee A a year</t>
  </si>
  <si>
    <t xml:space="preserve">Fee B a year</t>
  </si>
  <si>
    <t xml:space="preserve">ƒx  =IF(ISBLANK(Stmt_Total_Value),Amount_Invested,Stmt_Total_Value)</t>
  </si>
  <si>
    <t xml:space="preserve">Fee A (your current fee)</t>
  </si>
  <si>
    <t xml:space="preserve">ƒx  =IF(NOT(ISBLANK(Stmt_Charges)),Stmt_Charges,IF(Statement_Uploaded="Yes",0,Fee_A))</t>
  </si>
  <si>
    <t xml:space="preserve">Difference</t>
  </si>
  <si>
    <t xml:space="preserve">ƒx  =ABS(Value_With_Fee_A-Value_With_Fee_B)</t>
  </si>
  <si>
    <t xml:space="preserve">With fee A</t>
  </si>
  <si>
    <t xml:space="preserve">ƒx  =Used_Amount_Invested*((1+Growth_Rate)*(1-Used_Fee_A))^Years</t>
  </si>
  <si>
    <t xml:space="preserve">With fee B</t>
  </si>
  <si>
    <t xml:space="preserve">ƒx  =Used_Amount_Invested*((1+Growth_Rate)*(1-Fee_B))^Years</t>
  </si>
  <si>
    <t xml:space="preserve">Fee difference a year</t>
  </si>
  <si>
    <t xml:space="preserve">ƒx  =ABS(Fee_B-Used_Fee_A)</t>
  </si>
  <si>
    <t xml:space="preserve">• Value with a fee = amount × ((1 + growth) × (1 − fee))^years: the fee comes off the fund each year (exact, not growth − fee).</t>
  </si>
  <si>
    <t xml:space="preserve">• Before tax.</t>
  </si>
  <si>
    <t xml:space="preserve">Needs: fee B, growth rate, Used_Amount_Invested, Used_Fee_A, years</t>
  </si>
  <si>
    <t xml:space="preserve">Needs: growth rate, Used_Amount_Invested, Used_Fee_A, years</t>
  </si>
  <si>
    <t xml:space="preserve">Needs: fee B, growth rate, Used_Amount_Invested, years</t>
  </si>
  <si>
    <t xml:space="preserve">Needs: fee B, Used_Fee_A</t>
  </si>
  <si>
    <t xml:space="preserve">C20 · Risk &amp; return simulator</t>
  </si>
  <si>
    <t xml:space="preserve">Category: Investments · prototype id: riskreturn</t>
  </si>
  <si>
    <t xml:space="preserve">Question it answers: What range of outcomes might each style have?</t>
  </si>
  <si>
    <t xml:space="preserve">Shows a weaker, middle and stronger outcome for a cautious, balanced or growth investment style.</t>
  </si>
  <si>
    <t xml:space="preserve">Holdings in shares % (if shown)</t>
  </si>
  <si>
    <t xml:space="preserve">Allowed: 0% to 100%</t>
  </si>
  <si>
    <t xml:space="preserve">Style: 1 Cautious · 2 Balanced · 3 Growth</t>
  </si>
  <si>
    <t xml:space="preserve">1, 2 or 3</t>
  </si>
  <si>
    <t xml:space="preserve">Type 3 · LifeMap standard · LifeMap uses 2 Balanced (an adviser checks your attitude to risk). Change it if you want to use your own. Allowed: 1 or 2 or 3</t>
  </si>
  <si>
    <t xml:space="preserve">Cautious: middle growth a year</t>
  </si>
  <si>
    <t xml:space="preserve">Type 3 · LifeMap standard · LifeMap uses 2% a year for Cautious (illustration). Change it if you want to use your own. Allowed: 0% to 8% · steps of 0.5%</t>
  </si>
  <si>
    <t xml:space="preserve">Balanced: middle growth a year</t>
  </si>
  <si>
    <t xml:space="preserve">Type 3 · LifeMap standard · LifeMap uses 4% a year for Balanced (illustration). Change it if you want to use your own. Allowed: 0% to 8% · steps of 0.5%</t>
  </si>
  <si>
    <t xml:space="preserve">Growth: middle growth a year</t>
  </si>
  <si>
    <t xml:space="preserve">Type 3 · LifeMap standard · LifeMap uses 6% a year for Growth (illustration). Change it if you want to use your own. Allowed: 0% to 8% · steps of 0.5%</t>
  </si>
  <si>
    <t xml:space="preserve">Cautious: volatility a year</t>
  </si>
  <si>
    <t xml:space="preserve">Type 3 · LifeMap standard · LifeMap uses 5% a year for Cautious (illustration). Change it if you want to use your own. Allowed: 0% to 25% · steps of 0.5%</t>
  </si>
  <si>
    <t xml:space="preserve">Balanced: volatility a year</t>
  </si>
  <si>
    <t xml:space="preserve">Type 3 · LifeMap standard · LifeMap uses 10% a year for Balanced (illustration). Change it if you want to use your own. Allowed: 0% to 25% · steps of 0.5%</t>
  </si>
  <si>
    <t xml:space="preserve">Growth: volatility a year</t>
  </si>
  <si>
    <t xml:space="preserve">Type 3 · LifeMap standard · LifeMap uses 16% a year for Growth (illustration). Change it if you want to use your own. Allowed: 0% to 25% · steps of 0.5%</t>
  </si>
  <si>
    <t xml:space="preserve">Style</t>
  </si>
  <si>
    <t xml:space="preserve">ƒx  =IF(ISBLANK(Stmt_Shares_Pct),Style,IF(Stmt_Shares_Pct&gt;=Shares_For_Growth,3,IF(Stmt_Shares_Pct&gt;=Shares_For_Balanced,2,1)))</t>
  </si>
  <si>
    <t xml:space="preserve">Middle outcome</t>
  </si>
  <si>
    <t xml:space="preserve">ƒx  =Used_Amount*(1+Middle_Growth)^Years</t>
  </si>
  <si>
    <t xml:space="preserve">Weaker outcome</t>
  </si>
  <si>
    <t xml:space="preserve">ƒx  =Used_Amount*(1+Middle_Growth-Spread)^Years</t>
  </si>
  <si>
    <t xml:space="preserve">Stronger outcome</t>
  </si>
  <si>
    <t xml:space="preserve">ƒx  =Used_Amount*(1+Middle_Growth+Spread)^Years</t>
  </si>
  <si>
    <t xml:space="preserve">About a 1-in-20 bad year could see a fall of around</t>
  </si>
  <si>
    <t xml:space="preserve">ƒx  =ROUND((Volatility*One_In_20_Z-Middle_Growth)*100,0)/100</t>
  </si>
  <si>
    <t xml:space="preserve">ƒx  =IF(OR(Used_Style&lt;1,Used_Style&gt;3,Used_Style&lt;&gt;INT(Used_Style)),"Choose 1, 2 or 3",INDEX(Risk_Names,Used_Style))</t>
  </si>
  <si>
    <t xml:space="preserve">Middle growth a year</t>
  </si>
  <si>
    <t xml:space="preserve">ƒx  =CHOOSE(Used_Style,Mu_Cautious,Mu_Balanced,Mu_Growth)</t>
  </si>
  <si>
    <t xml:space="preserve">Volatility a year</t>
  </si>
  <si>
    <t xml:space="preserve">ƒx  =CHOOSE(Used_Style,Vol_Cautious,Vol_Balanced,Vol_Growth)</t>
  </si>
  <si>
    <t xml:space="preserve">Spread a year over the period</t>
  </si>
  <si>
    <t xml:space="preserve">ƒx  =Volatility/SQRT(Years)</t>
  </si>
  <si>
    <t xml:space="preserve">• Middle = amount × (1 + middle growth)^years. Weaker / stronger = the same with growth − / + spread, where spread = volatility ÷ √years (ranges narrow over time).</t>
  </si>
  <si>
    <t xml:space="preserve">• A 1-in-20 bad year = middle growth − 1.645 × volatility (audit #81), shown as a fall rounded to a whole %.</t>
  </si>
  <si>
    <t xml:space="preserve">• Style must be 1, 2 or 3 (list): no decimals, so no "€NaN".</t>
  </si>
  <si>
    <t xml:space="preserve">• Illustrative only; "weaker" is roughly a 1-in-6 chance of doing worse, not the worst case.</t>
  </si>
  <si>
    <t xml:space="preserve">Needs: balanced growth, cautious growth, growth-style growth, Used_Amount, Used_Style, years</t>
  </si>
  <si>
    <t xml:space="preserve">Needs: balanced growth, cautious growth, growth-style growth, Used_Amount, Used_Style, balanced volatility, cautious volatility, growth-style volatility, years</t>
  </si>
  <si>
    <t xml:space="preserve">Needs: balanced growth, cautious growth, growth-style growth, Used_Style, balanced volatility, cautious volatility, growth-style volatility</t>
  </si>
  <si>
    <t xml:space="preserve">Needs: Used_Style</t>
  </si>
  <si>
    <t xml:space="preserve">Needs: balanced growth, cautious growth, growth-style growth, Used_Style</t>
  </si>
  <si>
    <t xml:space="preserve">Needs: Used_Style, balanced volatility, cautious volatility, growth-style volatility</t>
  </si>
  <si>
    <t xml:space="preserve">Needs: Used_Style, balanced volatility, cautious volatility, growth-style volatility, years</t>
  </si>
  <si>
    <t xml:space="preserve">Note: over longer timeframes the yearly return range narrows, but the gap in euros between the weaker and stronger outcomes widens.</t>
  </si>
  <si>
    <t xml:space="preserve">C21 · Life cover estimator</t>
  </si>
  <si>
    <t xml:space="preserve">Category: Protection · prototype id: lifecover</t>
  </si>
  <si>
    <t xml:space="preserve">Question it answers: How much cover might my family need?</t>
  </si>
  <si>
    <t xml:space="preserve">Estimates the life cover gap: income your family would need, plus debts to clear, less what you already have.</t>
  </si>
  <si>
    <t xml:space="preserve">Type 3 · your figure · Your own figure. In the app it is pre-filled from Your finances: income. Allowed: €0 to €3,000,000 · steps of €1,000</t>
  </si>
  <si>
    <t xml:space="preserve">Years your family would need support</t>
  </si>
  <si>
    <t xml:space="preserve">Type 3 · LifeMap standard · LifeMap uses until your youngest child is 23. Change it if you want to use your own. Allowed: 1 to 30 · steps of 1</t>
  </si>
  <si>
    <t xml:space="preserve">Share of your income your family would need</t>
  </si>
  <si>
    <t xml:space="preserve">Type 3 · LifeMap standard · LifeMap uses 60% of your income (families usually need less than full pay). Change it if you want to use your own. Allowed: 30% to 100% · steps of 5%</t>
  </si>
  <si>
    <t xml:space="preserve">Type 3 · your figure · Your own figure. In the app it is pre-filled from Your finances: mortgage balance. Allowed: €0 to €10,000,000 · steps of €5,000</t>
  </si>
  <si>
    <t xml:space="preserve">Is the mortgage cleared by mortgage protection? (most are)</t>
  </si>
  <si>
    <t xml:space="preserve">Type 3 · your figure · Your own figure. Allowed: Yes or No</t>
  </si>
  <si>
    <t xml:space="preserve">Other debts</t>
  </si>
  <si>
    <t xml:space="preserve">Type 3 · your figure · Your own figure. In the app it is pre-filled from Your finances: debts. Allowed: €0 to €2,000,000 · steps of €1,000</t>
  </si>
  <si>
    <t xml:space="preserve">Savings &amp; investments</t>
  </si>
  <si>
    <t xml:space="preserve">Type 3 · your figure · Your own figure. In the app it is pre-filled from Your finances: cash + investments. Allowed: €0 to €10,000,000 · steps of €1,000</t>
  </si>
  <si>
    <t xml:space="preserve">Existing life cover (incl. through work)</t>
  </si>
  <si>
    <t xml:space="preserve">Type 3 · your figure · Your own figure. Allowed: €0 to €20,000,000 · steps of €10,000</t>
  </si>
  <si>
    <t xml:space="preserve">State survivor's pension a week (0 if none)</t>
  </si>
  <si>
    <t xml:space="preserve">Illustrative cover gap</t>
  </si>
  <si>
    <t xml:space="preserve">ƒx  =MAX(0,Income_Need+Debts_To_Clear-Already_Have)</t>
  </si>
  <si>
    <t xml:space="preserve">Income your family would need (after State pension)</t>
  </si>
  <si>
    <t xml:space="preserve">ƒx  =MAX(0,Yearly_Income*Life_Replace-Survivor_Pension*Weeks_Per_Year)*Years_Support</t>
  </si>
  <si>
    <t xml:space="preserve">Debts to clear</t>
  </si>
  <si>
    <t xml:space="preserve">ƒx  =IF(Mortgage_Protected="Yes",0,Used_Mortgage_Balance)+Other_Debts</t>
  </si>
  <si>
    <t xml:space="preserve">Existing cover + savings</t>
  </si>
  <si>
    <t xml:space="preserve">ƒx  =Existing_Cover+Savings</t>
  </si>
  <si>
    <t xml:space="preserve">Income replacement before State pension (60%)</t>
  </si>
  <si>
    <t xml:space="preserve">ƒx  =Yearly_Income*Life_Replace*Years_Support</t>
  </si>
  <si>
    <t xml:space="preserve">• Income need = (60% of gross income − State survivor's pension × 52) a year × years of support (never below 0).</t>
  </si>
  <si>
    <t xml:space="preserve">• Debts to clear = other debts, plus the mortgage only if mortgage protection does not already clear it (it is required for most home loans, CCA 1995 s.126).</t>
  </si>
  <si>
    <t xml:space="preserve">• Gap = income need + debts − existing cover − savings (never below 0).</t>
  </si>
  <si>
    <t xml:space="preserve">• Income need is not discounted (assumes the payout earns about inflation).</t>
  </si>
  <si>
    <t xml:space="preserve">ƒx  ="No goal: record a protection need for the adviser"</t>
  </si>
  <si>
    <t xml:space="preserve">Life cover need</t>
  </si>
  <si>
    <t xml:space="preserve">ƒx  =Cover_Gap</t>
  </si>
  <si>
    <t xml:space="preserve">Audit fix: life cover is bought for a premium; it is not money to save.</t>
  </si>
  <si>
    <t xml:space="preserve">Needs: existing life cover, share of income needed, mortgage protection answer, other debts, savings &amp; investments, survivor's pension, Used_Mortgage_Balance, gross yearly income, years of support</t>
  </si>
  <si>
    <t xml:space="preserve">Needs: share of income needed, survivor's pension, gross yearly income, years of support</t>
  </si>
  <si>
    <t xml:space="preserve">Needs: mortgage protection answer, other debts, Used_Mortgage_Balance</t>
  </si>
  <si>
    <t xml:space="preserve">Needs: existing life cover, savings &amp; investments</t>
  </si>
  <si>
    <t xml:space="preserve">Needs: share of income needed, gross yearly income, years of support</t>
  </si>
  <si>
    <t xml:space="preserve">C22 · Income protection gap</t>
  </si>
  <si>
    <t xml:space="preserve">Category: Protection · prototype id: incomegap</t>
  </si>
  <si>
    <t xml:space="preserve">Question it answers: How long could I cope if I couldn't work?</t>
  </si>
  <si>
    <t xml:space="preserve">Shows how long you could cope if you couldn't work, after Illness Benefit, and the income protection to aim for.</t>
  </si>
  <si>
    <t xml:space="preserve">Months of sick pay from your employer's scheme</t>
  </si>
  <si>
    <t xml:space="preserve">Type 3 · your figure · Your own figure. Allowed: 0 to 12 · steps of 1</t>
  </si>
  <si>
    <t xml:space="preserve">Type 3 · your figure · Your own figure. In the app it is pre-filled from Your finances: cash. Allowed: €0 to €2,000,000 · steps of €500</t>
  </si>
  <si>
    <t xml:space="preserve">Illness Benefit a week</t>
  </si>
  <si>
    <t xml:space="preserve">You could cope for (months, at most 24)</t>
  </si>
  <si>
    <t xml:space="preserve">ƒx  =IF(Monthly_Gap=0,24,MIN(24,Sick_Pay_Months+Savings/Monthly_Gap))      (Illness Benefit is paid for at most 2 years, 624 days)</t>
  </si>
  <si>
    <t xml:space="preserve">Monthly gap after Illness Benefit</t>
  </si>
  <si>
    <t xml:space="preserve">ƒx  =MAX(0,Essential_Spending-Illness_Benefit_Month)</t>
  </si>
  <si>
    <t xml:space="preserve">Income protection to aim for, a month</t>
  </si>
  <si>
    <t xml:space="preserve">ƒx  =MIN(Monthly_Gap,IP_Max)</t>
  </si>
  <si>
    <t xml:space="preserve">Illness Benefit a month (weekly × 52 ÷ 12)</t>
  </si>
  <si>
    <t xml:space="preserve">ƒx  =Illness_Benefit*Weeks_Per_Year/12</t>
  </si>
  <si>
    <t xml:space="preserve">Savings would cover (months)</t>
  </si>
  <si>
    <t xml:space="preserve">ƒx  =IF(Monthly_Gap=0,"Indefinitely",Savings/Monthly_Gap)</t>
  </si>
  <si>
    <t xml:space="preserve">Most income protection allowed, a month (75% of income less Illness Benefit)</t>
  </si>
  <si>
    <t xml:space="preserve">ƒx  =MAX(0,Gross_Income*IP_Max_Pct/12-Illness_Benefit_Month)</t>
  </si>
  <si>
    <t xml:space="preserve">• Illness Benefit a month = weekly rate (default €254, the 2026 maximum) × 52 ÷ 12. Monthly gap = essential spending − Illness Benefit (never below 0).</t>
  </si>
  <si>
    <t xml:space="preserve">• Months you could cope = sick-pay months + savings ÷ monthly gap, never more than 24 (Illness Benefit is paid for at most 2 years, 624 days).</t>
  </si>
  <si>
    <t xml:space="preserve">• Income protection to aim for = the gap, but no more than 75% of gross income less Illness Benefit (insurers' usual maximum).</t>
  </si>
  <si>
    <t xml:space="preserve">• If Illness Benefit covers the spending, the time is shown as "up to 2 years" and savings as "Not needed" (never "Indefinitely").</t>
  </si>
  <si>
    <t xml:space="preserve">• Illness Benefit depends on PRSI contributions and starts after waiting days; statutory sick pay is only 5 days.</t>
  </si>
  <si>
    <t xml:space="preserve">ƒx  ="No goal: record an income protection need for the adviser"</t>
  </si>
  <si>
    <t xml:space="preserve">Income protection need, a month</t>
  </si>
  <si>
    <t xml:space="preserve">ƒx  =IP_Needed</t>
  </si>
  <si>
    <t xml:space="preserve">Needs: essential monthly spending, Illness Benefit amount, easy-access savings, months of sick pay from your employer's scheme</t>
  </si>
  <si>
    <t xml:space="preserve">Needs: essential monthly spending, Illness Benefit amount</t>
  </si>
  <si>
    <t xml:space="preserve">Needs: essential monthly spending, gross yearly income, Illness Benefit amount</t>
  </si>
  <si>
    <t xml:space="preserve">Needs: Illness Benefit amount</t>
  </si>
  <si>
    <t xml:space="preserve">Needs: essential monthly spending, Illness Benefit amount, easy-access savings</t>
  </si>
  <si>
    <t xml:space="preserve">Needs: gross yearly income, Illness Benefit amount</t>
  </si>
  <si>
    <t xml:space="preserve">C23 · Mortgage protection</t>
  </si>
  <si>
    <t xml:space="preserve">Category: Protection · prototype id: mortgageprotect</t>
  </si>
  <si>
    <t xml:space="preserve">Question it answers: What cover would clear my mortgage?</t>
  </si>
  <si>
    <t xml:space="preserve">Shows the cover needed to clear your mortgage today and how the balance falls over time.</t>
  </si>
  <si>
    <t xml:space="preserve">Type 3 · your figure · Your own figure. In the app it is pre-filled from Your finances / statement: balance. Allowed: €20,000 to €10,000,000 · steps of €5,000</t>
  </si>
  <si>
    <t xml:space="preserve">Type 3 · your figure · Your own figure. In the app it is pre-filled from Your finances / statement: stated repayment. Allowed: €0 to €100,000 · steps of €1 Not on the app screen: an optional workbook extra. Blank counts as 0 and never blocks a result.</t>
  </si>
  <si>
    <t xml:space="preserve">Cover needed today</t>
  </si>
  <si>
    <t xml:space="preserve">ƒx  =Used_Mortgage_Balance</t>
  </si>
  <si>
    <t xml:space="preserve">Balance in 5 years</t>
  </si>
  <si>
    <t xml:space="preserve">ƒx  =IF(Warning&lt;&gt;"","—",MAX(0,-FV(Monthly_Rate,MP_Year_1*12,-Repayment,Used_Mortgage_Balance)))</t>
  </si>
  <si>
    <t xml:space="preserve">Balance in 10 years</t>
  </si>
  <si>
    <t xml:space="preserve">ƒx  =IF(Warning&lt;&gt;"","—",MAX(0,-FV(Monthly_Rate,MP_Year_2*12,-Repayment,Used_Mortgage_Balance)))</t>
  </si>
  <si>
    <t xml:space="preserve">Balance in 15 years</t>
  </si>
  <si>
    <t xml:space="preserve">ƒx  =IF(Warning&lt;&gt;"","—",MAX(0,-FV(Monthly_Rate,MP_Year_3*12,-Repayment,Used_Mortgage_Balance)))</t>
  </si>
  <si>
    <t xml:space="preserve">Monthly repayment used</t>
  </si>
  <si>
    <t xml:space="preserve">• Balance after n years = −FV(rate ÷ 12, n × 12, −repayment, balance): the closed-form outstanding balance; 0 once the mortgage is paid off.</t>
  </si>
  <si>
    <t xml:space="preserve">• If the repayment does not cover the interest, show the warning and no future balances (they would grow).</t>
  </si>
  <si>
    <t xml:space="preserve">Needs: Used_Mortgage_Balance</t>
  </si>
  <si>
    <t xml:space="preserve">C24 · Net worth</t>
  </si>
  <si>
    <t xml:space="preserve">Category: Everyday Money · prototype id: networth</t>
  </si>
  <si>
    <t xml:space="preserve">Question it answers: What am I worth, all in?</t>
  </si>
  <si>
    <t xml:space="preserve">Adds up what you own and what you owe.</t>
  </si>
  <si>
    <t xml:space="preserve">Document: Mortgage statement, property valuation, pension statement, investment statement. Blank = no statement uploaded, or the figure is not on it. Grey-blue cells are filled by the reader (you can type here to test).</t>
  </si>
  <si>
    <t xml:space="preserve">Property value (valuation)</t>
  </si>
  <si>
    <t xml:space="preserve">Savings</t>
  </si>
  <si>
    <t xml:space="preserve">Type 3 · your figure · Your own figure. In the app it is pre-filled from Your finances: cash. Allowed: €0 to €10,000,000 · steps of €500</t>
  </si>
  <si>
    <t xml:space="preserve">Type 3 · your figure · Your own figure. In the app it is pre-filled from Your finances: investments. Allowed: €0 to €20,000,000 · steps of €1,000</t>
  </si>
  <si>
    <t xml:space="preserve">Type 3 · your figure · Your own figure. In the app it is pre-filled from Your finances: pension. Allowed: €0 to €30,000,000 · steps of €1,000</t>
  </si>
  <si>
    <t xml:space="preserve">Property value</t>
  </si>
  <si>
    <t xml:space="preserve">Type 3 · your figure · Your own figure. In the app it is pre-filled from Your finances: home + other property. Allowed: €0 to €50,000,000 · steps of €5,000</t>
  </si>
  <si>
    <t xml:space="preserve">Type 3 · your figure · Your own figure. In the app it is pre-filled from Your finances: mortgage balance. Allowed: €0 to €30,000,000 · steps of €5,000</t>
  </si>
  <si>
    <t xml:space="preserve">Other loans</t>
  </si>
  <si>
    <t xml:space="preserve">Type 3 · your figure · Your own figure. In the app it is pre-filled from Your finances: debts. Allowed: €0 to €5,000,000 · steps of €500</t>
  </si>
  <si>
    <t xml:space="preserve">ƒx  =IF(ISBLANK(Stmt_Mortgage_Balance),Mortgage,Stmt_Mortgage_Balance)</t>
  </si>
  <si>
    <t xml:space="preserve">ƒx  =IF(ISBLANK(Stmt_Property_Value),Property,Stmt_Property_Value)</t>
  </si>
  <si>
    <t xml:space="preserve">ƒx  =IF(ISBLANK(Stmt_Pension_Value),Pensions,Stmt_Pension_Value)</t>
  </si>
  <si>
    <t xml:space="preserve">ƒx  =IF(ISBLANK(Stmt_Investment_Value),Investments,Stmt_Investment_Value)</t>
  </si>
  <si>
    <t xml:space="preserve">Your net worth</t>
  </si>
  <si>
    <t xml:space="preserve">ƒx  =You_Own-You_Owe</t>
  </si>
  <si>
    <t xml:space="preserve">You own</t>
  </si>
  <si>
    <t xml:space="preserve">ƒx  =Savings+Used_Investments+Used_Pensions+Used_Property</t>
  </si>
  <si>
    <t xml:space="preserve">You owe</t>
  </si>
  <si>
    <t xml:space="preserve">ƒx  =Used_Mortgage+Other_Loans</t>
  </si>
  <si>
    <t xml:space="preserve">• Net worth = everything you own − everything you owe.</t>
  </si>
  <si>
    <t xml:space="preserve">• Can be negative. Pensions are before tax; property is before selling costs.</t>
  </si>
  <si>
    <t xml:space="preserve">Needs: other loans, savings, Used_Investments, Used_Mortgage, Used_Pensions, Used_Property</t>
  </si>
  <si>
    <t xml:space="preserve">Needs: savings, Used_Investments, Used_Pensions, Used_Property</t>
  </si>
  <si>
    <t xml:space="preserve">Needs: other loans, Used_Mortgage</t>
  </si>
  <si>
    <t xml:space="preserve">C25 · Monthly surplus</t>
  </si>
  <si>
    <t xml:space="preserve">Category: Everyday Money · prototype id: surplus</t>
  </si>
  <si>
    <t xml:space="preserve">Question it answers: What is left at the end of the month?</t>
  </si>
  <si>
    <t xml:space="preserve">Shows what is left of your take-home pay each month.</t>
  </si>
  <si>
    <t xml:space="preserve">Take-home pay per month (leave blank to use the Tax engine)</t>
  </si>
  <si>
    <t xml:space="preserve">Essentials (rent/mortgage, bills, food)</t>
  </si>
  <si>
    <t xml:space="preserve">Type 3 · your figure · Your own figure. In the app it is pre-filled from Your finances: costs + one-offs ÷ 12 + mortgage. Allowed: €0 to €150,000 · steps of €50</t>
  </si>
  <si>
    <t xml:space="preserve">Lifestyle spending</t>
  </si>
  <si>
    <t xml:space="preserve">Type 3 · your figure · Your own figure. Allowed: €0 to €100,000 · steps of €50</t>
  </si>
  <si>
    <t xml:space="preserve">Debt repayments</t>
  </si>
  <si>
    <t xml:space="preserve">Type 3 · your figure · Your own figure. In the app it is pre-filled from Your finances: debt repayments. Allowed: €0 to €50,000 · steps of €25</t>
  </si>
  <si>
    <t xml:space="preserve">Take-home pay per month</t>
  </si>
  <si>
    <t xml:space="preserve">ƒx  =IF(Take_Home="",TE_Take_Home_Month,Take_Home)</t>
  </si>
  <si>
    <t xml:space="preserve">Monthly surplus</t>
  </si>
  <si>
    <t xml:space="preserve">ƒx  =Used_Take_Home-Essentials-Lifestyle-Debt_Repayments</t>
  </si>
  <si>
    <t xml:space="preserve">Going out</t>
  </si>
  <si>
    <t xml:space="preserve">ƒx  =Essentials+Lifestyle+Debt_Repayments</t>
  </si>
  <si>
    <t xml:space="preserve">• Surplus = take-home − essentials − lifestyle − debt repayments.</t>
  </si>
  <si>
    <t xml:space="preserve">• €0 shows "Nothing left over this month"; below €0 shows "Spending is above income".</t>
  </si>
  <si>
    <t xml:space="preserve">ƒx  =IF(Surplus&gt;0,"Save my surplus (plan kind pot)","No goal")</t>
  </si>
  <si>
    <t xml:space="preserve">Amount (a year)</t>
  </si>
  <si>
    <t xml:space="preserve">ƒx  =IF(Surplus&gt;0,ROUND(Surplus*12,0),"—")</t>
  </si>
  <si>
    <t xml:space="preserve">ƒx  =IF(Surplus&gt;0,1,"—")</t>
  </si>
  <si>
    <t xml:space="preserve">Needs: debt repayments, essentials, lifestyle spending, Used_Take_Home</t>
  </si>
  <si>
    <t xml:space="preserve">Needs: debt repayments, essentials, lifestyle spending</t>
  </si>
  <si>
    <t xml:space="preserve">C26 · Budget (50/30/20)</t>
  </si>
  <si>
    <t xml:space="preserve">Category: Everyday Money · prototype id: budget</t>
  </si>
  <si>
    <t xml:space="preserve">Question it answers: A simple way to split your pay</t>
  </si>
  <si>
    <t xml:space="preserve">Splits take-home pay 50% needs, 30% wants, 20% savings and debt.</t>
  </si>
  <si>
    <t xml:space="preserve">Share for needs</t>
  </si>
  <si>
    <t xml:space="preserve">Type 3 · LifeMap standard · LifeMap uses 50% for needs (the 50/30/20 rule of thumb). Change it if you want to use your own. Allowed: 0% to 100% · steps of 5%</t>
  </si>
  <si>
    <t xml:space="preserve">Share for wants</t>
  </si>
  <si>
    <t xml:space="preserve">Type 3 · LifeMap standard · LifeMap uses 30% for wants (the 50/30/20 rule of thumb). Change it if you want to use your own. Allowed: 0% to 100% · steps of 5%</t>
  </si>
  <si>
    <t xml:space="preserve">Share for savings and debt</t>
  </si>
  <si>
    <t xml:space="preserve">Type 3 · LifeMap standard · LifeMap uses 20% for savings and debt (the 50/30/20 rule of thumb). Change it if you want to use your own. Allowed: 0% to 100% · steps of 5%</t>
  </si>
  <si>
    <t xml:space="preserve">Save each month</t>
  </si>
  <si>
    <t xml:space="preserve">ƒx  =Used_Take_Home*Budget_Save</t>
  </si>
  <si>
    <t xml:space="preserve">Needs</t>
  </si>
  <si>
    <t xml:space="preserve">ƒx  =Used_Take_Home*Budget_Needs</t>
  </si>
  <si>
    <t xml:space="preserve">Wants</t>
  </si>
  <si>
    <t xml:space="preserve">ƒx  =Used_Take_Home*Budget_Wants</t>
  </si>
  <si>
    <t xml:space="preserve">• Each part = take-home × its share (Assumptions).</t>
  </si>
  <si>
    <t xml:space="preserve">• A rule of thumb, applied to take-home (net) pay.</t>
  </si>
  <si>
    <t xml:space="preserve">Needs: share for needs, share for savings, share for wants</t>
  </si>
  <si>
    <t xml:space="preserve">Needs: share for savings, Used_Take_Home</t>
  </si>
  <si>
    <t xml:space="preserve">Needs: share for needs, Used_Take_Home</t>
  </si>
  <si>
    <t xml:space="preserve">Needs: share for wants, Used_Take_Home</t>
  </si>
  <si>
    <t xml:space="preserve">C27 · Debt repayment</t>
  </si>
  <si>
    <t xml:space="preserve">Category: Everyday Money · prototype id: debtpay</t>
  </si>
  <si>
    <t xml:space="preserve">Question it answers: How fast can I clear my debt?</t>
  </si>
  <si>
    <t xml:space="preserve">Shows how long it takes to clear a debt at your monthly payment and the interest you would pay.</t>
  </si>
  <si>
    <t xml:space="preserve">Balance</t>
  </si>
  <si>
    <t xml:space="preserve">Type 3 · your figure · Your own figure. In the app it is pre-filled from Your finances: the debt that takes longest to clear. Allowed: €100 to €1,000,000 · steps of €100</t>
  </si>
  <si>
    <t xml:space="preserve">Interest (APR)</t>
  </si>
  <si>
    <t xml:space="preserve">Monthly payment</t>
  </si>
  <si>
    <t xml:space="preserve">Type 3 · your figure · Your own figure. In the app it is pre-filled from Your finances: that debt's repayment. Allowed: €10 to €50,000 · steps of €10</t>
  </si>
  <si>
    <t xml:space="preserve">What if: pay extra each month</t>
  </si>
  <si>
    <t xml:space="preserve">Type 3 · optional · Optional: leave blank for none. Allowed: €0 to €10,000 · steps of €10</t>
  </si>
  <si>
    <t xml:space="preserve">Debt free in (months)</t>
  </si>
  <si>
    <t xml:space="preserve">ƒx  =IF(Payment&lt;=Balance*Monthly_Rate,"Never",ROUNDUP(ROUND(NPER(Monthly_Rate,-Payment,Balance),6),0))</t>
  </si>
  <si>
    <t xml:space="preserve">ƒx  =IF(Months_To_Clear="Never","—",Payment*(Months_To_Clear-1)+Final_Payment-Balance)</t>
  </si>
  <si>
    <t xml:space="preserve">Monthly interest rate from the APR</t>
  </si>
  <si>
    <t xml:space="preserve">ƒx  =(1+APR)^(1/12)-1</t>
  </si>
  <si>
    <t xml:space="preserve">Monthly payment incl. extra</t>
  </si>
  <si>
    <t xml:space="preserve">ƒx  =Monthly_Payment+Extra_Payment</t>
  </si>
  <si>
    <t xml:space="preserve">ƒx  =IF(Months_To_Clear="Never","—",-FV(Monthly_Rate,Months_To_Clear-1,-Payment,Balance)*(1+Monthly_Rate))</t>
  </si>
  <si>
    <t xml:space="preserve">• An APR is an effective yearly rate (EU Consumer Credit Directive), so the monthly rate = (1 + APR)^(1/12) − 1 (audit Should fix; not APR ÷ 12).</t>
  </si>
  <si>
    <t xml:space="preserve">• Months = NPER(monthly rate, −payment, balance), rounded up. Total interest = full payments + last part payment − balance.</t>
  </si>
  <si>
    <t xml:space="preserve">• More than 1,200 months shows "Payment too low to clear this debt in a reasonable time"; no goal is sent.</t>
  </si>
  <si>
    <t xml:space="preserve">ƒx  ="No goal (the plan already repays this debt)"</t>
  </si>
  <si>
    <t xml:space="preserve">Audit fix: the old goal sent the balance as a cash spend, double-counting the repayments.</t>
  </si>
  <si>
    <t xml:space="preserve">Needs: interest rate (APR), balance, monthly payment</t>
  </si>
  <si>
    <t xml:space="preserve">Needs: interest rate (APR)</t>
  </si>
  <si>
    <t xml:space="preserve">Needs: monthly payment</t>
  </si>
  <si>
    <t xml:space="preserve">C28 · Loan repayment</t>
  </si>
  <si>
    <t xml:space="preserve">Category: Everyday Money · prototype id: loan</t>
  </si>
  <si>
    <t xml:space="preserve">Question it answers: What would a loan cost me?</t>
  </si>
  <si>
    <t xml:space="preserve">Shows the monthly repayment and total cost of a loan.</t>
  </si>
  <si>
    <t xml:space="preserve">Loan amount</t>
  </si>
  <si>
    <t xml:space="preserve">Type 3 · your figure · Your own figure. Allowed: €500 to €1,000,000 · steps of €500</t>
  </si>
  <si>
    <t xml:space="preserve">ƒx  =PMT(Monthly_Rate,Years*12,-Loan_Amount)</t>
  </si>
  <si>
    <t xml:space="preserve">ƒx  =Total_Repaid-Loan_Amount</t>
  </si>
  <si>
    <t xml:space="preserve">ƒx  =Monthly_Repayment*Years*12</t>
  </si>
  <si>
    <t xml:space="preserve">• Monthly rate = (1 + APR)^(1/12) − 1 (APR is an effective yearly rate). Repayment = PMT(monthly rate, months, −amount).</t>
  </si>
  <si>
    <t xml:space="preserve">• Total repaid = repayment × months; total interest = total repaid − amount.</t>
  </si>
  <si>
    <t xml:space="preserve">Needs: interest rate (APR), loan amount, years</t>
  </si>
  <si>
    <t xml:space="preserve">Note: the APR is treated as an effective yearly rate (as for cards and loans); mortgage tools use the nominal rate ÷ 12, so the same percentage gives a slightly different repayment.</t>
  </si>
  <si>
    <t xml:space="preserve">C29 Investment tax: growth first, tax on the events</t>
  </si>
  <si>
    <t xml:space="preserve">Shows what tax a fund, ETF or share holding pays, and when. Growth is kept separate from tax. Funds and ETFs: exit tax is charged when you sell AND every 8 years (deemed disposal), whether or not you sell; the tax is taken from the fund and the cost resets. Shares held directly: no tax while you hold; capital gains tax (CGT) when you sell, on the gain after your yearly exemption. Yellow cells are inputs. All tax rates come from the "Tax" sheet (Tax figures 2026).</t>
  </si>
  <si>
    <t xml:space="preserve">Choose here →</t>
  </si>
  <si>
    <t xml:space="preserve">Sample example</t>
  </si>
  <si>
    <t xml:space="preserve">Input</t>
  </si>
  <si>
    <t xml:space="preserve">Used in the sums</t>
  </si>
  <si>
    <t xml:space="preserve">My own numbers (yellow)</t>
  </si>
  <si>
    <t xml:space="preserve">Amount invested today (€)</t>
  </si>
  <si>
    <t xml:space="preserve">Current value of the holding</t>
  </si>
  <si>
    <t xml:space="preserve">What you paid in total, incl. fees (€)</t>
  </si>
  <si>
    <t xml:space="preserve">Your cost. Equal to the amount if you bought it today</t>
  </si>
  <si>
    <t xml:space="preserve">Growth a year before charges</t>
  </si>
  <si>
    <t xml:space="preserve">A planning figure, not a prediction</t>
  </si>
  <si>
    <t xml:space="preserve">Charges a year</t>
  </si>
  <si>
    <t xml:space="preserve">Fund or platform charges</t>
  </si>
  <si>
    <t xml:space="preserve">Years already held</t>
  </si>
  <si>
    <t xml:space="preserve">Sets where you are on the 8-year clock for a fund</t>
  </si>
  <si>
    <t xml:space="preserve">Type of holding</t>
  </si>
  <si>
    <t xml:space="preserve">Fund or ETF = exit tax; Shares held directly = CGT</t>
  </si>
  <si>
    <t xml:space="preserve">Fund or ETF</t>
  </si>
  <si>
    <t xml:space="preserve">Years until you sell (1 to 30)</t>
  </si>
  <si>
    <t xml:space="preserve">The table below runs 30 years; results are read at this year</t>
  </si>
  <si>
    <t xml:space="preserve">Today's date</t>
  </si>
  <si>
    <t xml:space="preserve">Sale date = today + years. CGT is 33% before 7 Oct 2026 and 31% from then</t>
  </si>
  <si>
    <t xml:space="preserve">Number of people who own it (1 or 2)</t>
  </si>
  <si>
    <t xml:space="preserve">Each person has the yearly CGT exemption, on what they own</t>
  </si>
  <si>
    <t xml:space="preserve">Capital losses brought forward (€)</t>
  </si>
  <si>
    <t xml:space="preserve">Losses already reported to Revenue, used before the exemption</t>
  </si>
  <si>
    <t xml:space="preserve">Rates used (from the Tax sheet)</t>
  </si>
  <si>
    <t xml:space="preserve">Where it comes from</t>
  </si>
  <si>
    <t xml:space="preserve">Exit tax rate (funds, ETFs, life policies)</t>
  </si>
  <si>
    <t xml:space="preserve">CGT rate before the change date</t>
  </si>
  <si>
    <t xml:space="preserve">CGT rate from the change date (7 Oct 2026)</t>
  </si>
  <si>
    <t xml:space="preserve">CGT rate that applies to your sale date</t>
  </si>
  <si>
    <t xml:space="preserve">by sale date</t>
  </si>
  <si>
    <t xml:space="preserve">CGT yearly exemption per person (€)</t>
  </si>
  <si>
    <t xml:space="preserve">sav.cgtExempt (Requires Verification)</t>
  </si>
  <si>
    <t xml:space="preserve">Result at your sale year</t>
  </si>
  <si>
    <t xml:space="preserve">Value if nothing were taxed (€)</t>
  </si>
  <si>
    <t xml:space="preserve">Amount x (1 + growth - charges) ^ years</t>
  </si>
  <si>
    <t xml:space="preserve">Value in the holding at the sale, after any 8-year tax (€)</t>
  </si>
  <si>
    <t xml:space="preserve">Table column J at the sale year</t>
  </si>
  <si>
    <t xml:space="preserve">Cost basis at the sale (€)</t>
  </si>
  <si>
    <t xml:space="preserve">Resets to the value at each 8-year event for a fund</t>
  </si>
  <si>
    <t xml:space="preserve">Gain on the sale (€)</t>
  </si>
  <si>
    <t xml:space="preserve">Value less cost basis; a loss gives 0</t>
  </si>
  <si>
    <t xml:space="preserve">Exit tax already paid at 8-year events (€)</t>
  </si>
  <si>
    <t xml:space="preserve">Sum of column I up to the sale year</t>
  </si>
  <si>
    <t xml:space="preserve">Tax on the sale (€)</t>
  </si>
  <si>
    <t xml:space="preserve">Fund: gain x exit tax. Shares: CGT rate x (gain - losses - exemption x owners)</t>
  </si>
  <si>
    <t xml:space="preserve">Money you receive after all tax (€)</t>
  </si>
  <si>
    <t xml:space="preserve">Value less tax on the sale</t>
  </si>
  <si>
    <t xml:space="preserve">Total tax paid over the years (€)</t>
  </si>
  <si>
    <t xml:space="preserve">8-year events plus the sale</t>
  </si>
  <si>
    <t xml:space="preserve">Growth a year before tax</t>
  </si>
  <si>
    <t xml:space="preserve">Growth less charges</t>
  </si>
  <si>
    <t xml:space="preserve">Growth a year after tax</t>
  </si>
  <si>
    <t xml:space="preserve">(Money received / amount today) ^ (1/years) - 1</t>
  </si>
  <si>
    <t xml:space="preserve">Value at start (€)</t>
  </si>
  <si>
    <t xml:space="preserve">Cost basis at start (€)</t>
  </si>
  <si>
    <t xml:space="preserve">Years on 8-year clock at start</t>
  </si>
  <si>
    <t xml:space="preserve">Growth after charges (€)</t>
  </si>
  <si>
    <t xml:space="preserve">Value after growth (€)</t>
  </si>
  <si>
    <t xml:space="preserve">8-year event this year?</t>
  </si>
  <si>
    <t xml:space="preserve">Gain taxed (€)</t>
  </si>
  <si>
    <t xml:space="preserve">Exit tax paid (€)</t>
  </si>
  <si>
    <t xml:space="preserve">Value at end (€)</t>
  </si>
  <si>
    <t xml:space="preserve">Cost basis at end (€)</t>
  </si>
  <si>
    <t xml:space="preserve">Years on clock at end</t>
  </si>
  <si>
    <t xml:space="preserve">Exit tax paid so far (€)</t>
  </si>
  <si>
    <t xml:space="preserve">How to read this: growth happens first (column E). Then, only for a fund in its 8th year on the clock, the gain over the cost basis is taxed (columns H, I) and the tax is taken out of the fund. The cost basis then resets to the new value and the clock restarts.</t>
  </si>
  <si>
    <t xml:space="preserve">Funds and ETFs: no loss relief (a fall in value cannot be set against other gains). The tax paid at an 8-year event is credited against the later tax: this is why the basis resets (only growth since the reset is taxed again).</t>
  </si>
  <si>
    <t xml:space="preserve">Shares held directly: no 8-year rule and no tax while held. CGT arises on the sale only. Dividends (income tax, USC, PRSI) are not modelled here.</t>
  </si>
  <si>
    <t xml:space="preserve">Simplifications: one holding, one purchase date, growth the same every year, no further contributions. The plan engine in the prototype handles several purchases (each with its own 8-year clock).</t>
  </si>
  <si>
    <t xml:space="preserve">C30 Tax when you sell, give away or inherit</t>
  </si>
  <si>
    <t xml:space="preserve">Three small calculators on one sheet. A: tax when you SELL an asset. B: tax the GIVER pays when they give an asset away (CGT). C: tax the RECEIVER pays on a gift or inheritance (CAT). Yellow cells are inputs. Rates and thresholds come from the "Tax" sheet (Tax figures 2026). Requires Verification items are marked there.</t>
  </si>
  <si>
    <t xml:space="preserve">A. You SELL an asset</t>
  </si>
  <si>
    <t xml:space="preserve">Type of asset</t>
  </si>
  <si>
    <t xml:space="preserve">Choose the type: the tax is different for each</t>
  </si>
  <si>
    <t xml:space="preserve">Other property or land</t>
  </si>
  <si>
    <t xml:space="preserve">Sale price (€)</t>
  </si>
  <si>
    <t xml:space="preserve">What you receive</t>
  </si>
  <si>
    <t xml:space="preserve">What you paid (€)</t>
  </si>
  <si>
    <t xml:space="preserve">Original cost</t>
  </si>
  <si>
    <t xml:space="preserve">Allowable costs (€)</t>
  </si>
  <si>
    <t xml:space="preserve">Buying and selling costs (solicitor, agent, stamp duty) and improvements (not repairs)</t>
  </si>
  <si>
    <t xml:space="preserve">Losses brought forward (€)</t>
  </si>
  <si>
    <t xml:space="preserve">Capital losses already reported and unused</t>
  </si>
  <si>
    <t xml:space="preserve">Number of owners (1 or 2)</t>
  </si>
  <si>
    <t xml:space="preserve">Each owner has a yearly exemption on their share</t>
  </si>
  <si>
    <t xml:space="preserve">Date of sale</t>
  </si>
  <si>
    <t xml:space="preserve">CGT rate depends on the sale date (33% before 7 Oct 2026, 31% from then)</t>
  </si>
  <si>
    <t xml:space="preserve">Gain or loss (€)</t>
  </si>
  <si>
    <t xml:space="preserve">Tax rate that applies</t>
  </si>
  <si>
    <t xml:space="preserve">Main home 0% (relief, see note); fund 38% exit tax; development land 33%; other CGT 33% / 31% by date</t>
  </si>
  <si>
    <t xml:space="preserve">Yearly exemption available (€)</t>
  </si>
  <si>
    <t xml:space="preserve">Not available for funds or the main home. Per person x owners</t>
  </si>
  <si>
    <t xml:space="preserve">Tax payable (€)</t>
  </si>
  <si>
    <t xml:space="preserve">Fund: gain x rate (no losses or exemption). Others: rate x (gain - losses - exemption)</t>
  </si>
  <si>
    <t xml:space="preserve">Money you keep after tax (€)</t>
  </si>
  <si>
    <t xml:space="preserve">Sale price less tax (before repaying any loan)</t>
  </si>
  <si>
    <t xml:space="preserve">B. You GIVE an asset away (tax on the GIVER)</t>
  </si>
  <si>
    <t xml:space="preserve">Is the receiver your spouse or civil partner?</t>
  </si>
  <si>
    <t xml:space="preserve">Yes: no CGT (the asset passes at your cost: no gain, no loss). No: treated as a sale at market value</t>
  </si>
  <si>
    <t xml:space="preserve">Market value on the day (€)</t>
  </si>
  <si>
    <t xml:space="preserve">Gifts count as a sale at market value</t>
  </si>
  <si>
    <t xml:space="preserve">As above</t>
  </si>
  <si>
    <t xml:space="preserve">Date of the gift</t>
  </si>
  <si>
    <t xml:space="preserve">Gain (€)</t>
  </si>
  <si>
    <t xml:space="preserve">Market value less cost less allowable costs</t>
  </si>
  <si>
    <t xml:space="preserve">CGT rate that applies</t>
  </si>
  <si>
    <t xml:space="preserve">33% before 7 Oct 2026, 31% from then</t>
  </si>
  <si>
    <t xml:space="preserve">CGT the giver pays (€)</t>
  </si>
  <si>
    <t xml:space="preserve">Rate x (gain - losses - one yearly exemption)</t>
  </si>
  <si>
    <t xml:space="preserve">C. You RECEIVE a gift or inheritance (tax on the RECEIVER: CAT)</t>
  </si>
  <si>
    <t xml:space="preserve">Relationship to the giver</t>
  </si>
  <si>
    <t xml:space="preserve">Spouse or civil partner: exempt. Group A: child from parent. Group B: parent, brother, sister, niece, nephew, grandchild. Group C: everyone else</t>
  </si>
  <si>
    <t xml:space="preserve">Group A: child receiving from a parent</t>
  </si>
  <si>
    <t xml:space="preserve">Value of the gift or inheritance (€)</t>
  </si>
  <si>
    <t xml:space="preserve">Market value less any debt taken on</t>
  </si>
  <si>
    <t xml:space="preserve">Small gift exemption claimed? (Yes or No)</t>
  </si>
  <si>
    <t xml:space="preserve">Up to €3,000 a year from one giver is ignored. Only one claim per giver per year</t>
  </si>
  <si>
    <t xml:space="preserve">Earlier gifts and inheritances in the same group since 5 Dec 1991 (€)</t>
  </si>
  <si>
    <t xml:space="preserve">Thresholds are lifetime totals, not yearly</t>
  </si>
  <si>
    <t xml:space="preserve">Date received</t>
  </si>
  <si>
    <t xml:space="preserve">Thresholds changed on 7 Oct 2026</t>
  </si>
  <si>
    <t xml:space="preserve">Threshold for the group (€)</t>
  </si>
  <si>
    <t xml:space="preserve">From the Tax sheet. Group B and C amounts are Requires Verification</t>
  </si>
  <si>
    <t xml:space="preserve">Taxable amount after the small gift exemption (€)</t>
  </si>
  <si>
    <t xml:space="preserve">Threshold still available (€)</t>
  </si>
  <si>
    <t xml:space="preserve">Threshold less earlier benefits in the group</t>
  </si>
  <si>
    <t xml:space="preserve">CAT payable (€)</t>
  </si>
  <si>
    <t xml:space="preserve">33% x the amount above the threshold still available</t>
  </si>
  <si>
    <t xml:space="preserve">You keep (€)</t>
  </si>
  <si>
    <t xml:space="preserve">Value less CAT</t>
  </si>
  <si>
    <t xml:space="preserve">Notes (all Requires Verification against Revenue):</t>
  </si>
  <si>
    <t xml:space="preserve">Main home: CGT relief applies when it was your only or main home for the whole time you owned it (the garden up to 1 acre is included). Part-relief if you did not live there all the time or let it. This sheet treats the main home as 0%.</t>
  </si>
  <si>
    <t xml:space="preserve">Selling at a loss: no tax, and the loss can be set against later gains of the same type of tax (CGT losses). Fund / ETF losses cannot be set against other gains.</t>
  </si>
  <si>
    <t xml:space="preserve">Giving an asset away: the giver may owe CGT (as if sold at market value) AND the receiver may owe CAT. Gifts between spouses or civil partners pay neither. A parent giving a home to a child may have the "dwelling house" CAT exemption if strict conditions are met (not modelled).</t>
  </si>
  <si>
    <t xml:space="preserve">Inheriting: no CGT on death. The receiver may owe CAT above the threshold. The asset's cost for a later sale is its market value on the day it is inherited.</t>
  </si>
  <si>
    <t xml:space="preserve">Business and farm reliefs (CGT retirement relief, agricultural and business CAT relief) are not modelled.</t>
  </si>
  <si>
    <t xml:space="preserve">Settings: every standard in one block (journey spec §19, option C)</t>
  </si>
  <si>
    <t xml:space="preserve">Each row is a standard LifeMap offers as a starting point, with the wording and source shown to the customer. The customer can change any of them for their own plan (Type 3 choices: the "Use the standard" chip). A partner (credit union, adviser firm, company) puts its name in C4 and its own figure in the "partner figure" cell (column D) of a market-rate row: that suggestion then says "Suggested by [partner]" (blank = the published average). Retirement age and life expectancy are never defaulted. Law values (tax, USC, PRSI, DIRT, relief, State Pension, Central Bank limits) are on the Tax engine and Assumptions sheets, are fixed, and are not editable here.</t>
  </si>
  <si>
    <t xml:space="preserve">The Plan sheets read these standards too (Plan pay &amp; tax, "Assumptions used"): a blank assumption on Plan inputs means "use the standard from here".</t>
  </si>
  <si>
    <t xml:space="preserve">Partner name (blank = published averages)  [Partner_Name]</t>
  </si>
  <si>
    <t xml:space="preserve">Setting [name]</t>
  </si>
  <si>
    <t xml:space="preserve">Standard (value)</t>
  </si>
  <si>
    <t xml:space="preserve">2nd value / (market rates) partner figure</t>
  </si>
  <si>
    <t xml:space="preserve">3rd value</t>
  </si>
  <si>
    <t xml:space="preserve">Cautious value</t>
  </si>
  <si>
    <t xml:space="preserve">Wording shown to the customer ("by")</t>
  </si>
  <si>
    <t xml:space="preserve">Guidance text</t>
  </si>
  <si>
    <t xml:space="preserve">Group / type</t>
  </si>
  <si>
    <t xml:space="preserve">Label shown on calculators</t>
  </si>
  <si>
    <t xml:space="preserve">Figure suggested (partner figure if set, else standard)</t>
  </si>
  <si>
    <t xml:space="preserve">Prices &amp; growth</t>
  </si>
  <si>
    <t xml:space="preserve">Inflation: prices rise (a year)  [Set_infl]</t>
  </si>
  <si>
    <t xml:space="preserve">the ECB target for the long term</t>
  </si>
  <si>
    <t xml:space="preserve">Prices &amp; growth · pct</t>
  </si>
  <si>
    <t xml:space="preserve">Pay rises (a year)  [Set_wage]</t>
  </si>
  <si>
    <t xml:space="preserve">Irish pay has grown about 3%–4% a year recently (CSO)</t>
  </si>
  <si>
    <t xml:space="preserve">Pick lower if your pay is fixed or you expect to work part-time.</t>
  </si>
  <si>
    <t xml:space="preserve">Cash savings earn (a year, after DIRT)  [Set_cash]</t>
  </si>
  <si>
    <t xml:space="preserve">Irish deposit rates after 33% DIRT</t>
  </si>
  <si>
    <t xml:space="preserve">Investments grow (a year, after charges and tax)  [Set_inv]</t>
  </si>
  <si>
    <t xml:space="preserve">A planning assumption, not a prediction. Growth is never guaranteed and funds can fall in value. It moves if you change the growth before fees and tax, or the charges.</t>
  </si>
  <si>
    <t xml:space="preserve">Investments grow before fees and tax (a year; growth and fees tools)  [Set_invGross]</t>
  </si>
  <si>
    <t xml:space="preserve">LifeMap standard, not a forecast</t>
  </si>
  <si>
    <t xml:space="preserve">Used by the lump sum, regular investing, fees and real return tools. Growth is never guaranteed.</t>
  </si>
  <si>
    <t xml:space="preserve">Pension grows while you work (a year, after charges)  [Set_pen]</t>
  </si>
  <si>
    <t xml:space="preserve">a planning assumption after charges, not a prediction</t>
  </si>
  <si>
    <t xml:space="preserve">A planning assumption, not a prediction. Growth is tax-free inside the fund.</t>
  </si>
  <si>
    <t xml:space="preserve">Pension grows once retired (a year, after charges)  [Set_penRet]</t>
  </si>
  <si>
    <t xml:space="preserve">a lower-risk fund once retired, after charges</t>
  </si>
  <si>
    <t xml:space="preserve">Most people take less risk once retired, so growth is usually lower.</t>
  </si>
  <si>
    <t xml:space="preserve">Rent vs buy: rent rises (a year)  [Set_rentRise]</t>
  </si>
  <si>
    <t xml:space="preserve">a long-run planning figure</t>
  </si>
  <si>
    <t xml:space="preserve">Renting has rent rises. Buying has costs that don't build equity: interest, stamp duty, fees, LPT and repairs.</t>
  </si>
  <si>
    <t xml:space="preserve">Home · pct</t>
  </si>
  <si>
    <t xml:space="preserve">Rent vs buy: house prices rise (a year)  [Set_houseGrow]</t>
  </si>
  <si>
    <t xml:space="preserve">a long-run planning figure; prices can fall</t>
  </si>
  <si>
    <t xml:space="preserve">House prices can fall as well as rise.</t>
  </si>
  <si>
    <t xml:space="preserve">Rent vs buy: upkeep a year (share of home value)  [Set_upkeep]</t>
  </si>
  <si>
    <t xml:space="preserve">repairs, insurance and maintenance</t>
  </si>
  <si>
    <t xml:space="preserve">Retirement</t>
  </si>
  <si>
    <t xml:space="preserve">Share of pension contributions you pay yourself  [Set_ownShare]</t>
  </si>
  <si>
    <t xml:space="preserve">a common 5% + 5% split with your employer; 100% if self-employed</t>
  </si>
  <si>
    <t xml:space="preserve">Your payslip shows what comes out of your pay. Only your own share gets tax relief. If you type your own amount in Your finances, we use that.</t>
  </si>
  <si>
    <t xml:space="preserve">Retirement · pct</t>
  </si>
  <si>
    <t xml:space="preserve">Retirement savings target: times the yearly income needed  [Set_retireMult]</t>
  </si>
  <si>
    <t xml:space="preserve">a common rule of thumb, about 4% a year</t>
  </si>
  <si>
    <t xml:space="preserve">Retiring early or planning to 95 needs more.</t>
  </si>
  <si>
    <t xml:space="preserve">Retirement · num</t>
  </si>
  <si>
    <t xml:space="preserve">Retirement spending if no goal (share of today's spending)  [Set_retireSpend]</t>
  </si>
  <si>
    <t xml:space="preserve">most people spend a bit less once work costs and the mortgage stop</t>
  </si>
  <si>
    <t xml:space="preserve">Tax-free lump sum to take (share of pension; law limit 25%)  [Set_lumpSum]</t>
  </si>
  <si>
    <t xml:space="preserve">most people take the full tax-free amount</t>
  </si>
  <si>
    <t xml:space="preserve">Emergency fund &amp; saving</t>
  </si>
  <si>
    <t xml:space="preserve">Emergency fund: months of essential spending  [Set_safetyMonths]</t>
  </si>
  <si>
    <t xml:space="preserve">6 months for a single income or self-employed, 3 for two secure incomes</t>
  </si>
  <si>
    <t xml:space="preserve">Easy-access cash for surprises or a gap in pay. Essential spending = living costs + mortgage + loan repayments.</t>
  </si>
  <si>
    <t xml:space="preserve">Emergency fund &amp; saving · num</t>
  </si>
  <si>
    <t xml:space="preserve">Emergency fund: months with two secure incomes  [Set_safetyMonthsTwo]</t>
  </si>
  <si>
    <t xml:space="preserve">two secure incomes</t>
  </si>
  <si>
    <t xml:space="preserve">Money for goals sooner than this is kept as cash (years)  [Set_cashYears]</t>
  </si>
  <si>
    <t xml:space="preserve">money needed within 5 years is usually kept as cash</t>
  </si>
  <si>
    <t xml:space="preserve">Longer-term money has more time to ride out ups and downs.</t>
  </si>
  <si>
    <t xml:space="preserve">Emergency fund &amp; saving · yrs</t>
  </si>
  <si>
    <t xml:space="preserve">Spare savings: share invested  [Set_investShare]</t>
  </si>
  <si>
    <t xml:space="preserve">a balanced cash and invested mix</t>
  </si>
  <si>
    <t xml:space="preserve">Emergency fund &amp; saving · pct</t>
  </si>
  <si>
    <t xml:space="preserve">Share of spare money saved, at most  [Set_saveShare]</t>
  </si>
  <si>
    <t xml:space="preserve">half of your spare money</t>
  </si>
  <si>
    <t xml:space="preserve">We never count more than this share of your spare money as saved, unless you set your own monthly saving.</t>
  </si>
  <si>
    <t xml:space="preserve">Monthly saving if not answered  [Set_noAnswer]</t>
  </si>
  <si>
    <t xml:space="preserve">a modest regular amount</t>
  </si>
  <si>
    <t xml:space="preserve">Used until you answer "How much could you comfortably invest each month?".</t>
  </si>
  <si>
    <t xml:space="preserve">Emergency fund &amp; saving · eur</t>
  </si>
  <si>
    <t xml:space="preserve">Protection</t>
  </si>
  <si>
    <t xml:space="preserve">Life cover: share of income the family needs  [Set_lifeShare]</t>
  </si>
  <si>
    <t xml:space="preserve">families usually need less than full pay</t>
  </si>
  <si>
    <t xml:space="preserve">Protection · pct</t>
  </si>
  <si>
    <t xml:space="preserve">Life cover: years of support  [Set_lifeYears]</t>
  </si>
  <si>
    <t xml:space="preserve">often until your youngest child is 23</t>
  </si>
  <si>
    <t xml:space="preserve">Protection · yrs</t>
  </si>
  <si>
    <t xml:space="preserve">Risk and budget</t>
  </si>
  <si>
    <t xml:space="preserve">Risk and return: growth a year, Cautious / Balanced / Growth  [Set_riskMu]</t>
  </si>
  <si>
    <t xml:space="preserve">illustrations, not forecasts</t>
  </si>
  <si>
    <t xml:space="preserve">Your adviser uses the fund's own risk rating (SRI 1–7).</t>
  </si>
  <si>
    <t xml:space="preserve">Risk and budget · pct3</t>
  </si>
  <si>
    <t xml:space="preserve">Risk and return: ups and downs (volatility), Cautious / Balanced / Growth  [Set_riskVol]</t>
  </si>
  <si>
    <t xml:space="preserve">How much a year can swing.</t>
  </si>
  <si>
    <t xml:space="preserve">Budget split: needs / wants / savings and debt  [Set_budget]</t>
  </si>
  <si>
    <t xml:space="preserve">the 50/30/20 rule</t>
  </si>
  <si>
    <t xml:space="preserve">Choices</t>
  </si>
  <si>
    <t xml:space="preserve">Tax bands in future  [Set_bands]</t>
  </si>
  <si>
    <t xml:space="preserve">prices</t>
  </si>
  <si>
    <t xml:space="preserve">Budgets have broadly kept pace over time</t>
  </si>
  <si>
    <t xml:space="preserve">Irish tax bands are set each Budget and don't rise automatically. "Stay as today" is the cautious view (more tax later).</t>
  </si>
  <si>
    <t xml:space="preserve">Choices · choice</t>
  </si>
  <si>
    <t xml:space="preserve">State Pension in future  [Set_spGrow]</t>
  </si>
  <si>
    <t xml:space="preserve">it has broadly kept pace with prices over time</t>
  </si>
  <si>
    <t xml:space="preserve">The State Pension is set each Budget.</t>
  </si>
  <si>
    <t xml:space="preserve">How you draw your pension  [Set_drawRule]</t>
  </si>
  <si>
    <t xml:space="preserve">spread</t>
  </si>
  <si>
    <t xml:space="preserve">spread over your plan, at least the legal minimum</t>
  </si>
  <si>
    <t xml:space="preserve">Drawdown tools: withdrawals taken at the  [Set_ddTiming]</t>
  </si>
  <si>
    <t xml:space="preserve">the prudent choice: the money has less time to grow before you take it</t>
  </si>
  <si>
    <t xml:space="preserve">Lump sum tool: years you might wait before investing  [Set_waitYears]</t>
  </si>
  <si>
    <t xml:space="preserve">an illustration of the cost of waiting</t>
  </si>
  <si>
    <t xml:space="preserve">Choices · yrs</t>
  </si>
  <si>
    <t xml:space="preserve">Risk and return tool: investment style (1 Cautious, 2 Balanced, 3 Growth)  [Set_style]</t>
  </si>
  <si>
    <t xml:space="preserve">Balanced; an adviser checks your attitude to risk</t>
  </si>
  <si>
    <t xml:space="preserve">Choices · num</t>
  </si>
  <si>
    <t xml:space="preserve">Market rates</t>
  </si>
  <si>
    <t xml:space="preserve">Suggested mortgage rate  [Set_mortRate]</t>
  </si>
  <si>
    <t xml:space="preserve">Central Bank of Ireland: average rate on new mortgages, Jul 2026</t>
  </si>
  <si>
    <t xml:space="preserve">Your mortgage statement shows your rate. Typing it is fine: no upload needed.</t>
  </si>
  <si>
    <t xml:space="preserve">Market rates · pct</t>
  </si>
  <si>
    <t xml:space="preserve">Suggested personal and car loan rate (APR)  [Set_loanRate]</t>
  </si>
  <si>
    <t xml:space="preserve">Central Bank of Ireland: average rate on new consumer loans, Jul 2026</t>
  </si>
  <si>
    <t xml:space="preserve">Your loan agreement shows your APR.</t>
  </si>
  <si>
    <t xml:space="preserve">Suggested credit card rate (APR)  [Set_cardRate]</t>
  </si>
  <si>
    <t xml:space="preserve">No published average</t>
  </si>
  <si>
    <t xml:space="preserve">Your card statement shows your APR.</t>
  </si>
  <si>
    <t xml:space="preserve">Suggested deposit rate (fixed term, before 33% DIRT)  [Set_depRate]</t>
  </si>
  <si>
    <t xml:space="preserve">Central Bank of Ireland: average rate on new fixed-term household deposits, Jul 2026</t>
  </si>
  <si>
    <t xml:space="preserve">If you rent, your deposit stays in savings. Optional: leave it blank to leave it out.</t>
  </si>
  <si>
    <t xml:space="preserve">Suggested buying fees (legal and survey)  [Set_buyFees]</t>
  </si>
  <si>
    <t xml:space="preserve">Market rates · eur</t>
  </si>
  <si>
    <t xml:space="preserve">Suggested fund and pension charges (a year)  [Set_fundChg]</t>
  </si>
  <si>
    <t xml:space="preserve">Pensions Authority pension calculator assumption</t>
  </si>
  <si>
    <t xml:space="preserve">When your statement shows your own charges, we use them instead of this.</t>
  </si>
  <si>
    <t xml:space="preserve">Guidance only (shown, never filled in for you)</t>
  </si>
  <si>
    <t xml:space="preserve">Life expectancy at 65, men (years): guidance only  [Set_g_lifeMen65]</t>
  </si>
  <si>
    <t xml:space="preserve">CSO, Irish Life Tables No. 17, 2015–2017</t>
  </si>
  <si>
    <t xml:space="preserve">https://www.cso.ie/en/releasesandpublications/er/ilt/irishlifetablesno172015-2017/</t>
  </si>
  <si>
    <t xml:space="preserve">2015–2017 (latest edition; 65 + 18.3 years)</t>
  </si>
  <si>
    <t xml:space="preserve">Guidance only · num</t>
  </si>
  <si>
    <t xml:space="preserve">Life expectancy at 65, women (years): guidance only  [Set_g_lifeWomen65]</t>
  </si>
  <si>
    <t xml:space="preserve">2015–2017 (latest edition; 65 + 21.0 years)</t>
  </si>
  <si>
    <t xml:space="preserve">Fixed values (not customer-editable)</t>
  </si>
  <si>
    <t xml:space="preserve">Inflation "Ireland now" (CSO HICP flash)  [Set_inflNow]</t>
  </si>
  <si>
    <t xml:space="preserve">New credit cards: maximum APR (Central Bank; a legal cap, not a suggestion)  [Card_APR_Cap]</t>
  </si>
  <si>
    <t xml:space="preserve">Central Bank of Ireland: new credit cards cannot charge more than 23% APR (2022); about 400,000 older accounts are higher</t>
  </si>
  <si>
    <t xml:space="preserve">Verify before release</t>
  </si>
  <si>
    <t xml:space="preserve">Pension access age: the earliest age you can draw your pension  [Set_accessAge]</t>
  </si>
  <si>
    <t xml:space="preserve">most pensions can be drawn from 60; some occupational schemes allow 50</t>
  </si>
  <si>
    <t xml:space="preserve">Revenue Commissioners: pension benefits can usually be taken from age 60 (PRSAs and personal pensions); some occupational schemes allow retirement from 50 (see the law register). Verify before release.</t>
  </si>
  <si>
    <t xml:space="preserve">We assume 60. Choose 50 only if your occupational scheme says it allows it. Before this age your plan pays for life from savings and other income.</t>
  </si>
  <si>
    <t xml:space="preserve">Retirement · choice</t>
  </si>
  <si>
    <t xml:space="preserve">Assumptions: Irish rules register</t>
  </si>
  <si>
    <t xml:space="preserve">Irish rules 2026 · checked 2 Oct 2026</t>
  </si>
  <si>
    <t xml:space="preserve">Facts and law only: every statutory rate, band and rule the calculators use, with its source and effective date (from the Irish rules and rates audit, 2 Oct 2026). Type 1 values only (set by Government · 2026; journey spec §14): grey, not inputs. Type 2 (ranges) and type 3 (personal) items are yellow inputs on each calculator. Before release, open the primary page for every row marked "Yes" in Verify and record the date checked.</t>
  </si>
  <si>
    <t xml:space="preserve">The Plan sheets (Plan pay &amp; tax, "RULES the plan uses") read these same values: change a figure here and the plan changes with it. Values the Plan sheets need that are not on this sheet are typed there and labelled.</t>
  </si>
  <si>
    <t xml:space="preserve">INFLATION GUIDANCE (not a value: inflation is the client's own choice on each calculator)</t>
  </si>
  <si>
    <t xml:space="preserve">Rule (name in formulas)</t>
  </si>
  <si>
    <t xml:space="preserve">Used by</t>
  </si>
  <si>
    <t xml:space="preserve">Source URL</t>
  </si>
  <si>
    <t xml:space="preserve">Verify before release?</t>
  </si>
  <si>
    <t xml:space="preserve">Audit #</t>
  </si>
  <si>
    <t xml:space="preserve">https://www.cso.ie/en/csolatestnews/pressreleases/2026pressreleases/pressstatementflashestimatefortheharmonisedindexofconsumerpricesseptember2026/ · https://www.rte.ie/news/business/2026/1001/1593629-cso-flash-inflation-reading/</t>
  </si>
  <si>
    <t xml:space="preserve">INCOME TAX 2026 (Tax engine)  ·  Set by Government · 2026 (type 1, not an input)</t>
  </si>
  <si>
    <t xml:space="preserve">Standard-rate band, single  [Band_Single]</t>
  </si>
  <si>
    <t xml:space="preserve">Tax engine; C13/C14 tax-rate pre-fill</t>
  </si>
  <si>
    <t xml:space="preserve">https://www.raisin.com/en-ie/taxes/income-tax-rates/ · https://universityofgalway.ie/media/pensionsandinvestments/Budget-Summary-2026.pdf</t>
  </si>
  <si>
    <t xml:space="preserve">Yes (primary page quoted, P)</t>
  </si>
  <si>
    <t xml:space="preserve">#1</t>
  </si>
  <si>
    <t xml:space="preserve">Standard-rate band, single person child carer  [Band_Single_Parent]</t>
  </si>
  <si>
    <t xml:space="preserve">Tax engine</t>
  </si>
  <si>
    <t xml:space="preserve">https://www.noonecasey.ie/irish-budget-2026/ · https://www.irishtaxhub.ie/blog/tax-credits-in-ireland-full-list</t>
  </si>
  <si>
    <t xml:space="preserve">Yes (secondary source, S)</t>
  </si>
  <si>
    <t xml:space="preserve">#4</t>
  </si>
  <si>
    <t xml:space="preserve">Standard-rate band, married / civil partners (one earner)  [Band_Married]</t>
  </si>
  <si>
    <t xml:space="preserve">#2</t>
  </si>
  <si>
    <t xml:space="preserve">Band increase for a second earner (lower income, up to)  [Band_Second_Earner_Max]</t>
  </si>
  <si>
    <t xml:space="preserve">#3</t>
  </si>
  <si>
    <t xml:space="preserve">Standard rate of income tax  [Rate_Standard]</t>
  </si>
  <si>
    <t xml:space="preserve">#5</t>
  </si>
  <si>
    <t xml:space="preserve">Higher rate of income tax  [Rate_Higher]</t>
  </si>
  <si>
    <t xml:space="preserve">Tax engine; C13/C14</t>
  </si>
  <si>
    <t xml:space="preserve">Personal tax credit, single  [Credit_Personal_Single]</t>
  </si>
  <si>
    <t xml:space="preserve">#6</t>
  </si>
  <si>
    <t xml:space="preserve">Personal tax credit, married / civil partners  [Credit_Personal_Married]</t>
  </si>
  <si>
    <t xml:space="preserve">Employee (PAYE) tax credit, each earner (capped at 20% of PAYE income)  [Credit_PAYE]</t>
  </si>
  <si>
    <t xml:space="preserve">#7</t>
  </si>
  <si>
    <t xml:space="preserve">PAYE credit cap, % of PAYE income  [Credit_PAYE_Cap_Pct]</t>
  </si>
  <si>
    <t xml:space="preserve">Single Person Child Carer Credit  [Credit_SPCCC]</t>
  </si>
  <si>
    <t xml:space="preserve">Rent Tax Credit, single (to end-2028)  [Credit_Rent_Single]</t>
  </si>
  <si>
    <t xml:space="preserve">2025–2028</t>
  </si>
  <si>
    <t xml:space="preserve">#8</t>
  </si>
  <si>
    <t xml:space="preserve">Rent Tax Credit, jointly assessed couple  [Credit_Rent_Joint]</t>
  </si>
  <si>
    <t xml:space="preserve">Home Carer Tax Credit (verify the 2026 rate and the €7,200 carer-income limit and taper)  [Credit_Home_Carer]</t>
  </si>
  <si>
    <t xml:space="preserve">Yes (secondary source, S) · VERIFY rate</t>
  </si>
  <si>
    <t xml:space="preserve">#9</t>
  </si>
  <si>
    <t xml:space="preserve">USC 2026 (Tax engine)  ·  Set by Government · 2026 (type 1, not an input)</t>
  </si>
  <si>
    <t xml:space="preserve">USC exemption limit (total income)  [USC_Exempt]</t>
  </si>
  <si>
    <t xml:space="preserve">#15</t>
  </si>
  <si>
    <t xml:space="preserve">USC band 1 top  [USC_Band_1]</t>
  </si>
  <si>
    <t xml:space="preserve">#14</t>
  </si>
  <si>
    <t xml:space="preserve">USC band 2 top (raised by €1,318 in Budget 2026)  [USC_Band_2]</t>
  </si>
  <si>
    <t xml:space="preserve">USC band 3 top  [USC_Band_3]</t>
  </si>
  <si>
    <t xml:space="preserve">USC rate band 1  [USC_Rate_1]</t>
  </si>
  <si>
    <t xml:space="preserve">USC rate band 2  [USC_Rate_2]</t>
  </si>
  <si>
    <t xml:space="preserve">USC rate band 3  [USC_Rate_3]</t>
  </si>
  <si>
    <t xml:space="preserve">USC rate above band 3  [USC_Rate_4]</t>
  </si>
  <si>
    <t xml:space="preserve">Reduced USC (0.5% / 2%) applies at 70+ (and to full medical-card holders) with income ≤ €60,000; not used by these calculators. The State Pension and other DSP payments are USC-exempt but are taxable income for income tax.</t>
  </si>
  <si>
    <t xml:space="preserve">PRSI CLASS A (Tax engine)  ·  Set by Government · 2026 (type 1, not an input)</t>
  </si>
  <si>
    <t xml:space="preserve">Employee PRSI rate from 1 Oct 2026  [PRSI_Rate]</t>
  </si>
  <si>
    <t xml:space="preserve">https://www.gov.ie/en/publication/ffa563-prsi-class-a-rates · https://www.bdo.ie/en-gb/insights/2025/upcoming-prsi-rate-changes-effective-1st-october-2025</t>
  </si>
  <si>
    <t xml:space="preserve">#19</t>
  </si>
  <si>
    <t xml:space="preserve">Employee PRSI, calendar-2026 blend (9 months at 4.2%, 3 at 4.35%)  [PRSI_Rate_2026_Blend]</t>
  </si>
  <si>
    <t xml:space="preserve">Tax engine (option)</t>
  </si>
  <si>
    <t xml:space="preserve">#20</t>
  </si>
  <si>
    <t xml:space="preserve">PRSI-free weekly earnings (nil up to)  [PRSI_Free_Week]</t>
  </si>
  <si>
    <t xml:space="preserve">https://payslipiq.co.uk/ie/methodology/prsi · https://www.gov.ie/en/publication/ffa563-prsi-class-a-rates · https://www.bdo.ie/en-gb/insights/2025/upcoming-prsi-rate-changes-effective-1st-october-2025</t>
  </si>
  <si>
    <t xml:space="preserve">#21</t>
  </si>
  <si>
    <t xml:space="preserve">PRSI credit, maximum a week  [PRSI_Credit_Max]</t>
  </si>
  <si>
    <t xml:space="preserve">PRSI credit ends at weekly earnings of  [PRSI_Credit_Top]</t>
  </si>
  <si>
    <t xml:space="preserve">PRSI credit tapers by €1 for every … over €352.01  [PRSI_Credit_Taper]</t>
  </si>
  <si>
    <t xml:space="preserve">No PRSI from age 66, including while still working (#22). Legislated path: 4.5% from 1 Oct 2027, 4.7% from 1 Oct 2028.</t>
  </si>
  <si>
    <t xml:space="preserve">https://www.oireachtas.ie/en/debates/question/2018-11-21/241/ · https://www.gov.ie/en/publication/ffa563-prsi-class-a-rates · https://www.bdo.ie/en-gb/insights/2025/upcoming-prsi-rate-changes-effective-1st-october-2025</t>
  </si>
  <si>
    <t xml:space="preserve">PENSIONS  ·  Set by Government · 2026 (type 1, not an input)</t>
  </si>
  <si>
    <t xml:space="preserve">Pension relief limit from age 0: % of earnings  [Relief_Age_From / Relief_Age_Pct]</t>
  </si>
  <si>
    <t xml:space="preserve">https://www.irishtaxhub.ie/blog/pension-contributions-income-tax-maximize-your-relief · https://yourincomecalculator.com/ie/blog/pension-tax-relief-ireland-2026-higher-earners-guide</t>
  </si>
  <si>
    <t xml:space="preserve">#26</t>
  </si>
  <si>
    <t xml:space="preserve">Pension relief limit from age 30: % of earnings  [Relief_Age_From / Relief_Age_Pct]</t>
  </si>
  <si>
    <t xml:space="preserve">Pension relief limit from age 40: % of earnings  [Relief_Age_From / Relief_Age_Pct]</t>
  </si>
  <si>
    <t xml:space="preserve">Pension relief limit from age 50: % of earnings  [Relief_Age_From / Relief_Age_Pct]</t>
  </si>
  <si>
    <t xml:space="preserve">Pension relief limit from age 55: % of earnings  [Relief_Age_From / Relief_Age_Pct]</t>
  </si>
  <si>
    <t xml:space="preserve">Pension relief limit from age 60: % of earnings  [Relief_Age_From / Relief_Age_Pct]</t>
  </si>
  <si>
    <t xml:space="preserve">Earnings cap for pension relief  [Relief_Earnings_Cap]</t>
  </si>
  <si>
    <t xml:space="preserve">C13, C14</t>
  </si>
  <si>
    <t xml:space="preserve">#27</t>
  </si>
  <si>
    <t xml:space="preserve">Retirement lump sum: up to this share of the fund  [Lump_Sum_Max_Pct]</t>
  </si>
  <si>
    <t xml:space="preserve">https://wtwco.com/en-ie/insights/2024/10/significant-revisions-announced-to-the-standard-fund-threshold · https://pwc.ie/services/workforce/insights/finance-act-2024-pensions-pulse.html</t>
  </si>
  <si>
    <t xml:space="preserve">#31</t>
  </si>
  <si>
    <t xml:space="preserve">Lump sum: tax-free (lifetime)  [Lump_Sum_Tax_Free]</t>
  </si>
  <si>
    <t xml:space="preserve">Lump sum: taxed at 20% from €200,001 up to  [Lump_Sum_Cap]; above this the excess is taxed at the higher rate [Rate_Higher] (verify on Revenue)</t>
  </si>
  <si>
    <t xml:space="preserve">Lump sum tax rate on €200,001–€500,000 (above €500,000: marginal rate)  [Lump_Sum_Rate]</t>
  </si>
  <si>
    <t xml:space="preserve">Standard Fund Threshold 2026 (€2.4m 2027, €2.6m 2028, €2.8m 2029)  [SFT_2026]</t>
  </si>
  <si>
    <t xml:space="preserve">C12 warning</t>
  </si>
  <si>
    <t xml:space="preserve">#32</t>
  </si>
  <si>
    <t xml:space="preserve">Chargeable excess tax above the threshold  [SFT_Tax]</t>
  </si>
  <si>
    <t xml:space="preserve">Earliest age for PRSA / personal pension benefits (occupational: from 50 if you have left that job)  [Pension_Earliest_Age]</t>
  </si>
  <si>
    <t xml:space="preserve">Revenue Pensions Manual (verify)</t>
  </si>
  <si>
    <t xml:space="preserve">Yes (primary page quoted, P) · VERIFY</t>
  </si>
  <si>
    <t xml:space="preserve">#36</t>
  </si>
  <si>
    <t xml:space="preserve">Standard Fund Threshold €2.2m (2026) → €2.4m (2027) → €2.6m (2028) → €2.8m (2029), chargeable excess tax 40%: not modelled by these calculators. ARF minimum 4% from the year you turn 61, 5% from 71, 6% if ARFs + vested PRSAs exceed €2m. Most pensions cannot be taken before 60.</t>
  </si>
  <si>
    <t xml:space="preserve">https://wtwco.com/en-ie/insights/2024/10/significant-revisions-announced-to-the-standard-fund-threshold · https://pwc.ie/services/workforce/insights/finance-act-2024-pensions-pulse.html · https://cantorfitzgerald.ie/wp-content/uploads/2026/06/ARF-6pp-A4-Brochure-6-26.pdf</t>
  </si>
  <si>
    <t xml:space="preserve">STATE PENSION AND DSP PAYMENTS 2026 (weekly rates)  ·  Set by Government · 2026 (type 1, not an input)</t>
  </si>
  <si>
    <t xml:space="preserve">State Pension (Contributory), maximum personal rate (taxable; USC-exempt)  [State_Pension_Week]</t>
  </si>
  <si>
    <t xml:space="preserve">C12 other income (pre-fill)</t>
  </si>
  <si>
    <t xml:space="preserve">https://www.gov.ie/en/publication/927721-state-pension-contributory-rates/ · https://www.zurich.ie/blog/pension-changes-2026</t>
  </si>
  <si>
    <t xml:space="preserve">#39</t>
  </si>
  <si>
    <t xml:space="preserve">State Pension a year (€299.30 × 52)  [State_Pension_Year]</t>
  </si>
  <si>
    <t xml:space="preserve">C12 default other income</t>
  </si>
  <si>
    <t xml:space="preserve">State Pension age  [State_Pension_Age]</t>
  </si>
  <si>
    <t xml:space="preserve">C12 (bridge years before 66)</t>
  </si>
  <si>
    <t xml:space="preserve">#40</t>
  </si>
  <si>
    <t xml:space="preserve">Widow's / Surviving Civil Partner's / Bereaved Partner's (Contributory) Pension, under 66  [Survivor_Pension_Week]</t>
  </si>
  <si>
    <t xml:space="preserve">https://www.raisin.com/en-ie/pensions/widow-pensions · https://www.mhc.ie/latest/insights/social-welfare-bereaved-partners-pension-and-miscellaneous-provisions-act-2025</t>
  </si>
  <si>
    <t xml:space="preserve">#46</t>
  </si>
  <si>
    <t xml:space="preserve">Survivor's pension at 66+  [Survivor_Pension_Week_66]</t>
  </si>
  <si>
    <t xml:space="preserve">C21 guidance</t>
  </si>
  <si>
    <t xml:space="preserve">Illness Benefit, maximum personal rate (graduated if average weekly earnings &lt; €300; 3 waiting days)  [Illness_Benefit_Week]</t>
  </si>
  <si>
    <t xml:space="preserve">#45</t>
  </si>
  <si>
    <t xml:space="preserve">Income protection maximum: % of gross income less State benefit (an INSURER rule, not law; varies by insurer)  [IP_Max_Pct]</t>
  </si>
  <si>
    <t xml:space="preserve">Insurer literature (Irish Life; Smart Financial)</t>
  </si>
  <si>
    <t xml:space="preserve">Market practice</t>
  </si>
  <si>
    <t xml:space="preserve">Yes (secondary source, S) · verify with insurer partner</t>
  </si>
  <si>
    <t xml:space="preserve">#49</t>
  </si>
  <si>
    <t xml:space="preserve">Weeks in a year  [Weeks_Per_Year]</t>
  </si>
  <si>
    <t xml:space="preserve">C12, C21, C22, Tax engine</t>
  </si>
  <si>
    <t xml:space="preserve">SAVINGS AND INVESTMENT TAX (notes on the growth tools)  ·  Set by Government · 2026 (type 1, not an input)</t>
  </si>
  <si>
    <t xml:space="preserve">DIRT on deposit interest  [DIRT]</t>
  </si>
  <si>
    <t xml:space="preserve">C08–C10, C17, C18 notes</t>
  </si>
  <si>
    <t xml:space="preserve">#50</t>
  </si>
  <si>
    <t xml:space="preserve">Exit tax on funds and life policies (was 41%; Finance Act 2025, Revenue eBrief 016/26)  [Exit_Tax]</t>
  </si>
  <si>
    <t xml:space="preserve">https://www.revenue.ie/en/tax-professionals/ebrief/2026/no-0162026.aspx · https://etf.ie/blog/budget-2026-etf/</t>
  </si>
  <si>
    <t xml:space="preserve">#51</t>
  </si>
  <si>
    <t xml:space="preserve">Deemed disposal on funds every … years  [Deemed_Disposal_Years]</t>
  </si>
  <si>
    <t xml:space="preserve">Notes</t>
  </si>
  <si>
    <t xml:space="preserve">#52</t>
  </si>
  <si>
    <t xml:space="preserve">Life assurance levy on premiums (pension policies exempt)  [Life_Levy]</t>
  </si>
  <si>
    <t xml:space="preserve">C18 note</t>
  </si>
  <si>
    <t xml:space="preserve">Revenue</t>
  </si>
  <si>
    <t xml:space="preserve">#53</t>
  </si>
  <si>
    <t xml:space="preserve">CENTRAL BANK MORTGAGE MEASURES AND PROPERTY  ·  Set by Government · 2026 (type 1, not an input)</t>
  </si>
  <si>
    <t xml:space="preserve">Loan-to-income limit, first-time buyers  [LTI_FTB]</t>
  </si>
  <si>
    <t xml:space="preserve">#56</t>
  </si>
  <si>
    <t xml:space="preserve">Loan-to-income limit, second and subsequent buyers  [LTI_SSB]</t>
  </si>
  <si>
    <t xml:space="preserve">Loan-to-value limit, first-time and subsequent buyers (buy-to-let 70%)  [LTV_Max]</t>
  </si>
  <si>
    <t xml:space="preserve">C01, C02 goal, C03, C07</t>
  </si>
  <si>
    <t xml:space="preserve">#57</t>
  </si>
  <si>
    <t xml:space="preserve">Minimum deposit (1 − LTV)  [Min_Deposit_Pct]</t>
  </si>
  <si>
    <t xml:space="preserve">C01, C03, C07 validation</t>
  </si>
  <si>
    <t xml:space="preserve">Derived</t>
  </si>
  <si>
    <t xml:space="preserve">#59</t>
  </si>
  <si>
    <t xml:space="preserve">Lenders may exceed the limits for a small share of loans each year (allowances: about 15% of first-time-buyer and 10% of other lending by value, verify). Principal-home bridging loans are exempt from the LTI limit since 8 Apr 2026.</t>
  </si>
  <si>
    <t xml:space="preserve">https://www.centralbank.ie/news/article/central-bank-announces-targeted-changes-to-mortgage-measures-framework · https://www.centralbank.ie/news/article/press-release-targeted-amendment-to-mortgage-measures-home-bridging-loans-8-april-2026</t>
  </si>
  <si>
    <t xml:space="preserve">Stamp duty on homes up to €1m  [SD_Rate_1]</t>
  </si>
  <si>
    <t xml:space="preserve">C01, C03, C07</t>
  </si>
  <si>
    <t xml:space="preserve">#60</t>
  </si>
  <si>
    <t xml:space="preserve">Stamp duty band 1 top  [SD_Band_1]</t>
  </si>
  <si>
    <t xml:space="preserve">Stamp duty €1m–€1.5m  [SD_Rate_2]</t>
  </si>
  <si>
    <t xml:space="preserve">Stamp duty band 2 top  [SD_Band_2]</t>
  </si>
  <si>
    <t xml:space="preserve">Stamp duty above €1.5m  [SD_Rate_3]</t>
  </si>
  <si>
    <t xml:space="preserve">APR on cards and loans is an effective annual rate (EU Consumer Credit Directive 2008/48/EC, Annex I): monthly rate = (1 + APR)^(1/12) − 1 (C27, C28). Mortgage rates are nominal: monthly = rate ÷ 12.</t>
  </si>
  <si>
    <t xml:space="preserve">https://eur-lex.europa.eu/eli/dir/2008/48/oj</t>
  </si>
  <si>
    <t xml:space="preserve">STATEMENT READER RULES (product rules)  ·  LifeMap product rule</t>
  </si>
  <si>
    <t xml:space="preserve">Investment statement: shares at or above this = style 3 Growth  [Shares_For_Growth]</t>
  </si>
  <si>
    <t xml:space="preserve">Prototype rule (DOCT.invest.pre)</t>
  </si>
  <si>
    <t xml:space="preserve">Investment statement: shares at or above this = style 2 Balanced (else 1)  [Shares_For_Balanced]</t>
  </si>
  <si>
    <t xml:space="preserve">Prototype rule</t>
  </si>
  <si>
    <t xml:space="preserve">A statement older than this (days) is flagged "Needs a look"  [Statement_Max_Age_Days]</t>
  </si>
  <si>
    <t xml:space="preserve">All statement blocks</t>
  </si>
  <si>
    <t xml:space="preserve">Pooja, 2 Oct 2026</t>
  </si>
  <si>
    <t xml:space="preserve">Reader confidence below this: ask the customer to confirm  [Reader_Confidence_Min]</t>
  </si>
  <si>
    <t xml:space="preserve">Document reader spec</t>
  </si>
  <si>
    <t xml:space="preserve">DISPLAY RULES AND STATISTICAL CONSTANTS  ·  LifeMap product rule</t>
  </si>
  <si>
    <t xml:space="preserve">Show "Over 100 years" above this many months  [Cap_Months]</t>
  </si>
  <si>
    <t xml:space="preserve">C02, C04, C27</t>
  </si>
  <si>
    <t xml:space="preserve">Display rule</t>
  </si>
  <si>
    <t xml:space="preserve">Drawdown working table length ("60+ years")  [Cap_Years]</t>
  </si>
  <si>
    <t xml:space="preserve">C15, C16</t>
  </si>
  <si>
    <t xml:space="preserve">Mortgage protection: first checkpoint (years)  [MP_Year_1]</t>
  </si>
  <si>
    <t xml:space="preserve">Mortgage protection: second checkpoint (years)  [MP_Year_2]</t>
  </si>
  <si>
    <t xml:space="preserve">Mortgage protection: third checkpoint (years)  [MP_Year_3]</t>
  </si>
  <si>
    <t xml:space="preserve">Standard-normal value for a 1-in-20 bad year  [One_In_20_Z]</t>
  </si>
  <si>
    <t xml:space="preserve">Normal distribution (5% tail); audit #81</t>
  </si>
  <si>
    <t xml:space="preserve">#81</t>
  </si>
  <si>
    <t xml:space="preserve">Risk style 1 name  [Risk_Names]</t>
  </si>
  <si>
    <t xml:space="preserve">Label</t>
  </si>
  <si>
    <t xml:space="preserve">Risk style 2 name  [Risk_Names]</t>
  </si>
  <si>
    <t xml:space="preserve">Risk style 3 name  [Risk_Names]</t>
  </si>
  <si>
    <t xml:space="preserve">Growth</t>
  </si>
  <si>
    <t xml:space="preserve">BUDGET 2027 (announced 6 Oct 2026): not applied yet</t>
  </si>
  <si>
    <t xml:space="preserve">Budget 2027 changes (announced 6 Oct 2026) aren't included yet. We'll update LifeMap once they're final. Nothing from Budget 2027 is used in any calculation. The values below stay at their 2026 figures until the changes are final and official (Revenue, the Finance Act, the Department of Social Protection). Then update each named constant with its effective date and re-run the Tax engine checks. No Budget 2027 amount is written here on purpose.</t>
  </si>
  <si>
    <t xml:space="preserve">Constant (2026 value, unchanged)</t>
  </si>
  <si>
    <t xml:space="preserve">Name(s) to update</t>
  </si>
  <si>
    <t xml:space="preserve">Income-tax bands (€44,000 / €48,000 / €53,000; €35,000 second-earner uplift)</t>
  </si>
  <si>
    <t xml:space="preserve">Band_Single, Band_Single_Parent, Band_Married, Band_Second_Earner_Max</t>
  </si>
  <si>
    <t xml:space="preserve">2026 value kept until final and official</t>
  </si>
  <si>
    <t xml:space="preserve">Personal and PAYE credits (€2,000 + €2,000; €4,000 married)</t>
  </si>
  <si>
    <t xml:space="preserve">Credit_Personal_Single, Credit_Personal_Married, Credit_PAYE</t>
  </si>
  <si>
    <t xml:space="preserve">Rent, Home Carer and SPCCC credits (€1,000 / €1,950 / €1,900)</t>
  </si>
  <si>
    <t xml:space="preserve">Credit_Rent_Single, Credit_Rent_Joint, Credit_Home_Carer, Credit_SPCCC</t>
  </si>
  <si>
    <t xml:space="preserve">USC bands (€12,012 / €28,700 / €70,044) and exemption €13,000</t>
  </si>
  <si>
    <t xml:space="preserve">USC_Band_1–3, USC_Exempt</t>
  </si>
  <si>
    <t xml:space="preserve">PRSI path (4.35% now; 4.5% from 1 Oct 2027; 4.7% from 1 Oct 2028)</t>
  </si>
  <si>
    <t xml:space="preserve">PRSI_Rate, PRSI credit</t>
  </si>
  <si>
    <t xml:space="preserve">State Pension €299.30 a week (€15,563.60)</t>
  </si>
  <si>
    <t xml:space="preserve">State_Pension_Week</t>
  </si>
  <si>
    <t xml:space="preserve">Illness Benefit €254; survivor's pension €259.50 (&lt;66) / €299.30 (66+)</t>
  </si>
  <si>
    <t xml:space="preserve">Illness_Benefit_Week, Survivor_Pension_Week, Survivor_Pension_Week_66</t>
  </si>
  <si>
    <t xml:space="preserve">Exit tax 38%, deemed disposal 8 years, DIRT 33%</t>
  </si>
  <si>
    <t xml:space="preserve">Exit_Tax, Deemed_Disposal_Years, DIRT</t>
  </si>
  <si>
    <t xml:space="preserve">Pension relief bands, €115,000 cap, lump-sum bands, SFT (€2.4m in 2027)</t>
  </si>
  <si>
    <t xml:space="preserve">Relief_Age_From/Relief_Age_Pct, Relief_Earnings_Cap, Lump_Sum_*</t>
  </si>
  <si>
    <t xml:space="preserve">Stamp duty 1% / 2% / 6%; Help to Buy €30,000; CBI 4× / 3.5× / 90%</t>
  </si>
  <si>
    <t xml:space="preserve">SD_*, LTI_FTB, LTI_SSB, LTV_Max</t>
  </si>
  <si>
    <t xml:space="preserve">Inflation "Ireland now" 3.9% (CSO HICP flash Sep 2026)</t>
  </si>
  <si>
    <t xml:space="preserve">Guidance text on each inflation input and on this sheet</t>
  </si>
  <si>
    <t xml:space="preserve">Guidance text shows the latest CSO figure</t>
  </si>
  <si>
    <t xml:space="preserve">Market rates, partner name and every other standard now live on the Settings sheet (journey spec §19, option C). Names (Suggest_*, Partner_Name, Card_APR_Cap) are unchanged.</t>
  </si>
  <si>
    <t xml:space="preserve">Rules year: the tax year the figures on this sheet apply to  [Rules_Year]</t>
  </si>
  <si>
    <t xml:space="preserve">Next rules year (the plan starts here from October)  [Rules_Year_Next]</t>
  </si>
  <si>
    <t xml:space="preserve">Earliest age some occupational pension schemes allow benefits  [Scheme_Earliest_Age]</t>
  </si>
  <si>
    <t xml:space="preserve">Plan results, C12</t>
  </si>
  <si>
    <t xml:space="preserve">Biggest euro amount a calculator input accepts (validation limit)  [Max_Money_Input]</t>
  </si>
  <si>
    <t xml:space="preserve">C12, C25, C26</t>
  </si>
  <si>
    <t xml:space="preserve">Your lists: loans, cards, pensions and policies (journey spec §19)</t>
  </si>
  <si>
    <t xml:space="preserve">One row per item, as in the prototype. Blank = €0 (never type 0). The calculators below use the totals when their own yellow cell is left blank: C12 and C24 (pension value), C12 (monthly paid in), C13/C14 (what you pay in yourself), C21 and C24 (debts), C21 (existing cover), C25 (debt repayments). Typing in a calculator always wins.</t>
  </si>
  <si>
    <t xml:space="preserve">Credit cards</t>
  </si>
  <si>
    <t xml:space="preserve">Card</t>
  </si>
  <si>
    <t xml:space="preserve">Lender (optional)</t>
  </si>
  <si>
    <t xml:space="preserve">Owed (€)</t>
  </si>
  <si>
    <t xml:space="preserve">Repaid a month (€)</t>
  </si>
  <si>
    <t xml:space="preserve">APR (optional, %)</t>
  </si>
  <si>
    <t xml:space="preserve">Card 1</t>
  </si>
  <si>
    <t xml:space="preserve">Card 2</t>
  </si>
  <si>
    <t xml:space="preserve">Card 3</t>
  </si>
  <si>
    <t xml:space="preserve">Card 4</t>
  </si>
  <si>
    <t xml:space="preserve">Card 5</t>
  </si>
  <si>
    <t xml:space="preserve">Card 6</t>
  </si>
  <si>
    <t xml:space="preserve">Card 7</t>
  </si>
  <si>
    <t xml:space="preserve">Card 8</t>
  </si>
  <si>
    <t xml:space="preserve">Cards owed  [Cards_Owed_Total]</t>
  </si>
  <si>
    <t xml:space="preserve">Cards repaid a month  [Cards_Pay_Total]</t>
  </si>
  <si>
    <t xml:space="preserve">Cards APR (weighted by amount owed; blank if none given)  [Cards_Rate_Avg]</t>
  </si>
  <si>
    <t xml:space="preserve">Other loans (car, personal, credit union)</t>
  </si>
  <si>
    <t xml:space="preserve">Loan</t>
  </si>
  <si>
    <t xml:space="preserve">Loan 1</t>
  </si>
  <si>
    <t xml:space="preserve">Loan 2</t>
  </si>
  <si>
    <t xml:space="preserve">Loan 3</t>
  </si>
  <si>
    <t xml:space="preserve">Loan 4</t>
  </si>
  <si>
    <t xml:space="preserve">Loan 5</t>
  </si>
  <si>
    <t xml:space="preserve">Loan 6</t>
  </si>
  <si>
    <t xml:space="preserve">Loan 7</t>
  </si>
  <si>
    <t xml:space="preserve">Loan 8</t>
  </si>
  <si>
    <t xml:space="preserve">Loans owed  [Loans_Owed_Total]</t>
  </si>
  <si>
    <t xml:space="preserve">Loans repaid a month  [Loans_Pay_Total]</t>
  </si>
  <si>
    <t xml:space="preserve">Cards + loans owed  [Debts_Listed_Total]</t>
  </si>
  <si>
    <t xml:space="preserve">Cards + loans repaid a month  [Debts_Pay_Total]</t>
  </si>
  <si>
    <t xml:space="preserve">Loans APR (weighted by amount owed; blank if none given)  [Loans_Rate_Avg]</t>
  </si>
  <si>
    <t xml:space="preserve">Pension</t>
  </si>
  <si>
    <t xml:space="preserve">Name (optional)</t>
  </si>
  <si>
    <t xml:space="preserve">Value today (€)</t>
  </si>
  <si>
    <t xml:space="preserve">Paid in each month, you + employer (€)</t>
  </si>
  <si>
    <t xml:space="preserve">Of that, your own share (€, optional)</t>
  </si>
  <si>
    <t xml:space="preserve">Your own share used (€ a month)</t>
  </si>
  <si>
    <t xml:space="preserve">Pension 1</t>
  </si>
  <si>
    <t xml:space="preserve">Pension 2</t>
  </si>
  <si>
    <t xml:space="preserve">Pension 3</t>
  </si>
  <si>
    <t xml:space="preserve">Pension 4</t>
  </si>
  <si>
    <t xml:space="preserve">Pension 5</t>
  </si>
  <si>
    <t xml:space="preserve">Pension 6</t>
  </si>
  <si>
    <t xml:space="preserve">Pension 7</t>
  </si>
  <si>
    <t xml:space="preserve">Pension 8</t>
  </si>
  <si>
    <t xml:space="preserve">Pension value  [Pens_Value_Total]</t>
  </si>
  <si>
    <t xml:space="preserve">Paid in each month (you + employer)  [Pens_Monthly_Total]</t>
  </si>
  <si>
    <t xml:space="preserve">Your own share a month (a blank share uses the share you chose in Plan inputs, else the Settings standard: AS_OwnShare)  [Pens_Own_Total]</t>
  </si>
  <si>
    <t xml:space="preserve">Your own share counts as given (1/0): every pension that is paid into has your share typed, or you chose a share in Plan inputs and at least one is typed  [Pens_OwnGiven]</t>
  </si>
  <si>
    <t xml:space="preserve">Protection (existing policies)</t>
  </si>
  <si>
    <t xml:space="preserve">Policy</t>
  </si>
  <si>
    <t xml:space="preserve">Cover amount (€)</t>
  </si>
  <si>
    <t xml:space="preserve">Term (years)</t>
  </si>
  <si>
    <t xml:space="preserve">Life cover policy 1</t>
  </si>
  <si>
    <t xml:space="preserve">Life cover policy 2</t>
  </si>
  <si>
    <t xml:space="preserve">Life cover policy 3</t>
  </si>
  <si>
    <t xml:space="preserve">Life cover policy 4</t>
  </si>
  <si>
    <t xml:space="preserve">Life cover total  [Cover_Life_Total]</t>
  </si>
  <si>
    <t xml:space="preserve">Amount (€) if you know it</t>
  </si>
  <si>
    <t xml:space="preserve">Or: times your salary</t>
  </si>
  <si>
    <t xml:space="preserve">Cover through work 1</t>
  </si>
  <si>
    <t xml:space="preserve">Cover through work 2</t>
  </si>
  <si>
    <t xml:space="preserve">Cover through work 3</t>
  </si>
  <si>
    <t xml:space="preserve">Cover through work 4</t>
  </si>
  <si>
    <t xml:space="preserve">Cover through work total (amount, else multiple × salary in C21)  [Cover_Work_Total]</t>
  </si>
  <si>
    <t xml:space="preserve">Existing life cover incl. through work  [Cover_Existing_Total]</t>
  </si>
  <si>
    <t xml:space="preserve">Monthly benefit (€)</t>
  </si>
  <si>
    <t xml:space="preserve">Income protection policy 1</t>
  </si>
  <si>
    <t xml:space="preserve">Income protection policy 2</t>
  </si>
  <si>
    <t xml:space="preserve">Income protection policy 3</t>
  </si>
  <si>
    <t xml:space="preserve">Income protection policy 4</t>
  </si>
  <si>
    <t xml:space="preserve">Income protection total a month  [IP_Listed_Total]</t>
  </si>
  <si>
    <t xml:space="preserve">Serious illness policy 1</t>
  </si>
  <si>
    <t xml:space="preserve">Serious illness policy 2</t>
  </si>
  <si>
    <t xml:space="preserve">Serious illness policy 3</t>
  </si>
  <si>
    <t xml:space="preserve">Serious illness policy 4</t>
  </si>
  <si>
    <t xml:space="preserve">Serious illness total  [CI_Listed_Total]</t>
  </si>
  <si>
    <t xml:space="preserve">Plan</t>
  </si>
  <si>
    <t xml:space="preserve">Yearly premium (€)</t>
  </si>
  <si>
    <t xml:space="preserve">Health insurance plan 1</t>
  </si>
  <si>
    <t xml:space="preserve">Health insurance plan 2</t>
  </si>
  <si>
    <t xml:space="preserve">Health insurance plan 3</t>
  </si>
  <si>
    <t xml:space="preserve">Health insurance plan 4</t>
  </si>
  <si>
    <t xml:space="preserve">Health insurance a year  [Health_Listed_Total]</t>
  </si>
  <si>
    <t xml:space="preserve">Mortgages on other properties (counted as other loans in the plan)</t>
  </si>
  <si>
    <t xml:space="preserve">Left on it (€)</t>
  </si>
  <si>
    <t xml:space="preserve">Rate (optional, e.g. 0.041 = 4.1%)</t>
  </si>
  <si>
    <t xml:space="preserve">Rate used</t>
  </si>
  <si>
    <t xml:space="preserve">Repayment used (€ a month)</t>
  </si>
  <si>
    <t xml:space="preserve">Mortgage 1</t>
  </si>
  <si>
    <t xml:space="preserve">Mortgage 2</t>
  </si>
  <si>
    <t xml:space="preserve">Mortgage 3</t>
  </si>
  <si>
    <t xml:space="preserve">Mortgage 4</t>
  </si>
  <si>
    <t xml:space="preserve">Left on other-property mortgages  [Mort2_Bal]</t>
  </si>
  <si>
    <t xml:space="preserve">Repaid a month  [Mort2_Pay]</t>
  </si>
  <si>
    <t xml:space="preserve">Rate, weighted by amount left  [Mort2_Rate]</t>
  </si>
  <si>
    <t xml:space="preserve">Other-property mortgage with no years and no repayment (1 = the plan asks for them)  [Mort2_NeedsTerm]</t>
  </si>
  <si>
    <t xml:space="preserve">Other-property mortgage with no rate (1 = the plan asks for a mortgage rate)  [Mort2_NeedsRate]</t>
  </si>
  <si>
    <t xml:space="preserve">Tax engine: take-home pay, 2026 rules</t>
  </si>
  <si>
    <t xml:space="preserve">Irish rules 2026 · checked 2 Oct 2026 · income tax bands and credits, USC and PRSI Class A (all values from the Assumptions register). Used by C25 and C26.</t>
  </si>
  <si>
    <t xml:space="preserve">Example only</t>
  </si>
  <si>
    <t xml:space="preserve">Value used</t>
  </si>
  <si>
    <t xml:space="preserve">Tax status</t>
  </si>
  <si>
    <t xml:space="preserve">Type 3 · your figure. Single, Single parent (main carer of a child, no partner), Married one earner, Married two earners (also civil partners).</t>
  </si>
  <si>
    <t xml:space="preserve">Single</t>
  </si>
  <si>
    <t xml:space="preserve">Your gross yearly pay</t>
  </si>
  <si>
    <t xml:space="preserve">Type 3 · your figure. Gross pay before tax, € a year.</t>
  </si>
  <si>
    <t xml:space="preserve">Partner's gross yearly pay (married two earners only)</t>
  </si>
  <si>
    <t xml:space="preserve">Type 3 · optional: leave blank for none. Used only when the status is Married two earners.</t>
  </si>
  <si>
    <t xml:space="preserve">Do you pay rent on your home, not to a relative? (Rent Tax Credit)</t>
  </si>
  <si>
    <t xml:space="preserve">Type 3 · your figure. Rent Tax Credit €1,000 single / €2,000 jointly assessed, to end-2028.</t>
  </si>
  <si>
    <t xml:space="preserve">Home Carer Tax Credit applies? (married one earner caring for a dependant)</t>
  </si>
  <si>
    <t xml:space="preserve">Type 3 · your figure. €1,950 (verify the 2026 rate and carer-income limit).</t>
  </si>
  <si>
    <t xml:space="preserve">PRSI rate basis</t>
  </si>
  <si>
    <t xml:space="preserve">From 1 Oct 2026</t>
  </si>
  <si>
    <t xml:space="preserve">RESULTS (for the inputs above)</t>
  </si>
  <si>
    <t xml:space="preserve">PRSI rate used</t>
  </si>
  <si>
    <t xml:space="preserve">ƒx  =IF(TE_PRSI_Basis="Calendar 2026 blend",PRSI_Rate_2026_Blend,PRSI_Rate)</t>
  </si>
  <si>
    <t xml:space="preserve">Partner's pay counted</t>
  </si>
  <si>
    <t xml:space="preserve">ƒx  =IF(TE_Need&lt;&gt;"",TE_Need,IF(TE_Status="Married two earners",TE_Gross_2,0))</t>
  </si>
  <si>
    <t xml:space="preserve">Standard-rate band</t>
  </si>
  <si>
    <t xml:space="preserve">ƒx  =IF(TE_Need&lt;&gt;"",TE_Need,IF(TE_Status="Single",Band_Single,IF(TE_Status="Single parent",Band_Single_Parent,IF(TE_Status="Married one earner",Band_Married,Band_Married+MIN(MIN(TE_Gross_1,TE_Gross_2),Band_Second_Earner_Max)))))</t>
  </si>
  <si>
    <t xml:space="preserve">Income taxed (household)</t>
  </si>
  <si>
    <t xml:space="preserve">ƒx  =IF(TE_Need&lt;&gt;"",TE_Need,TE_Gross_1+TE_Earner_2)</t>
  </si>
  <si>
    <t xml:space="preserve">Income tax before credits</t>
  </si>
  <si>
    <t xml:space="preserve">ƒx  =IF(TE_Need&lt;&gt;"",TE_Need,Rate_Standard*MIN(TE_Taxable,TE_Band)+Rate_Higher*MAX(0,TE_Taxable-TE_Band))</t>
  </si>
  <si>
    <t xml:space="preserve">Tax credits</t>
  </si>
  <si>
    <t xml:space="preserve">ƒx  =IF(TE_Need&lt;&gt;"",TE_Need,IF(OR(TE_Status="Single",TE_Status="Single parent"),Credit_Personal_Single,Credit_Personal_Married)+IF(TE_Status="Single parent",Credit_SPCCC,0)+MIN(Credit_PAYE,Credit_PAYE_Cap_Pct*TE_Gross_1)+IF(TE_Earner_2&gt;0,MIN(Credit_PAYE,Credit_PAYE_Cap_Pct*TE_Earner_2),0)+IF(TE_Rent_Credit="Yes",IF(LEFT(TE_Status,7)="Married",Credit_Rent_Joint,Credit_Rent_Single),0)+IF(AND(TE_Home_Carer="Yes",TE_Status="Married one earner"),Credit_Home_Carer,0))</t>
  </si>
  <si>
    <t xml:space="preserve">ƒx  =IF(TE_Need&lt;&gt;"",TE_Need,MAX(0,TE_Tax_Before_Credits-TE_Credits))</t>
  </si>
  <si>
    <t xml:space="preserve">USC (each earner separately)</t>
  </si>
  <si>
    <t xml:space="preserve">ƒx  =IF(TE_Need&lt;&gt;"",TE_Need,IF(TE_Gross_1&lt;=USC_Exempt,0,USC_Rate_1*MIN(TE_Gross_1,USC_Band_1)+USC_Rate_2*MAX(0,MIN(TE_Gross_1,USC_Band_2)-USC_Band_1)+USC_Rate_3*MAX(0,MIN(TE_Gross_1,USC_Band_3)-USC_Band_2)+USC_Rate_4*MAX(0,TE_Gross_1-USC_Band_3))+IF(TE_Earner_2&lt;=USC_Exempt,0,USC_Rate_1*MIN(TE_Earner_2,USC_Band_1)+USC_Rate_2*MAX(0,MIN(TE_Earner_2,USC_Band_2)-USC_Band_1)+USC_Rate_3*MAX(0,MIN(TE_Earner_2,USC_Band_3)-USC_Band_2)+USC_Rate_4*MAX(0,TE_Earner_2-USC_Band_3)))</t>
  </si>
  <si>
    <t xml:space="preserve">PRSI (each earner separately, Class A with the PRSI credit)</t>
  </si>
  <si>
    <t xml:space="preserve">ƒx  =IF(TE_Need&lt;&gt;"",TE_Need,IF(TE_Gross_1/Weeks_Per_Year&lt;=PRSI_Free_Week,0,MAX(0,TE_Gross_1/Weeks_Per_Year*TE_PRSI_Rate_Used-IF(TE_Gross_1/Weeks_Per_Year&lt;=PRSI_Credit_Top,MAX(0,PRSI_Credit_Max-(TE_Gross_1/Weeks_Per_Year-(PRSI_Free_Week+0.01))/PRSI_Credit_Taper),0))*Weeks_Per_Year)+IF(TE_Earner_2/Weeks_Per_Year&lt;=PRSI_Free_Week,0,MAX(0,TE_Earner_2/Weeks_Per_Year*TE_PRSI_Rate_Used-IF(TE_Earner_2/Weeks_Per_Year&lt;=PRSI_Credit_Top,MAX(0,PRSI_Credit_Max-(TE_Earner_2/Weeks_Per_Year-(PRSI_Free_Week+0.01))/PRSI_Credit_Taper),0))*Weeks_Per_Year))</t>
  </si>
  <si>
    <t xml:space="preserve">Take-home pay a year (household)</t>
  </si>
  <si>
    <t xml:space="preserve">ƒx  =IF(TE_Need&lt;&gt;"",TE_Need,TE_Taxable-TE_Income_Tax-TE_USC-TE_PRSI)</t>
  </si>
  <si>
    <t xml:space="preserve">Take-home pay a month (used by C25, C26)</t>
  </si>
  <si>
    <t xml:space="preserve">ƒx  =IF(TE_Need&lt;&gt;"",TE_Need,TE_Take_Home/12)</t>
  </si>
  <si>
    <t xml:space="preserve">Marginal income-tax rate (pre-fills the C13 / C14 tax rate)</t>
  </si>
  <si>
    <t xml:space="preserve">ƒx  =IF(TE_Need&lt;&gt;"",TE_Need,IF(TE_Taxable&gt;TE_Band,Rate_Higher,Rate_Standard))</t>
  </si>
  <si>
    <t xml:space="preserve">Choices still needed (helper; blank = all filled)</t>
  </si>
  <si>
    <t xml:space="preserve">• Income tax = 20% up to the band + 40% above, less credits (never below 0). Married couples are jointly assessed: one band of €53,000, plus the lower income up to €35,000 for a second earner.</t>
  </si>
  <si>
    <t xml:space="preserve">• Credits: personal €2,000 (single) or €4,000 (married), plus €2,000 PAYE credit per earner (capped at 20% of their pay); Single Person Child Carer Credit €1,900 with a €48,000 band; Rent Tax Credit and Home Carer Credit if they apply.</t>
  </si>
  <si>
    <t xml:space="preserve">• USC is charged on each person separately: 0.5% / 2% / 3% / 8%, nil if income ≤ €13,000. PRSI is per person, Class A, with the PRSI credit between €352.01 and €424 a week.</t>
  </si>
  <si>
    <t xml:space="preserve">• Not modelled here: age 65+ credits and exemption, PRSI at 66+, self-employed Class S, USC surcharge, other or rental income (see the rules audit).</t>
  </si>
  <si>
    <t xml:space="preserve">CHECKS: the audit's §4 tax test table (expected values from deliverables/irish-rules-and-rates-audit.md)</t>
  </si>
  <si>
    <t xml:space="preserve">Case</t>
  </si>
  <si>
    <t xml:space="preserve">Gross</t>
  </si>
  <si>
    <t xml:space="preserve">Formula (row uses the same templates as above)</t>
  </si>
  <si>
    <t xml:space="preserve">PRSI 2026 blend</t>
  </si>
  <si>
    <t xml:space="preserve">Take-home 2026</t>
  </si>
  <si>
    <t xml:space="preserve">Expected IT</t>
  </si>
  <si>
    <t xml:space="preserve">Expected USC</t>
  </si>
  <si>
    <t xml:space="preserve">Expected take-home 2026</t>
  </si>
  <si>
    <t xml:space="preserve">Largest difference (engine rounded to the cent; audit table is to the cent)</t>
  </si>
  <si>
    <t xml:space="preserve">T1</t>
  </si>
  <si>
    <t xml:space="preserve">Income tax, USC and PRSI templates; married = joint band and €4,000 + PAYE credits</t>
  </si>
  <si>
    <t xml:space="preserve">T2</t>
  </si>
  <si>
    <t xml:space="preserve">Married one earner</t>
  </si>
  <si>
    <t xml:space="preserve">T3</t>
  </si>
  <si>
    <t xml:space="preserve">T4</t>
  </si>
  <si>
    <t xml:space="preserve">T5</t>
  </si>
  <si>
    <t xml:space="preserve">T6</t>
  </si>
  <si>
    <t xml:space="preserve">T7</t>
  </si>
  <si>
    <t xml:space="preserve">T8</t>
  </si>
  <si>
    <t xml:space="preserve">T9</t>
  </si>
  <si>
    <t xml:space="preserve">Married two earners</t>
  </si>
  <si>
    <t xml:space="preserve">Income tax only (partner €30,000 in column R)</t>
  </si>
  <si>
    <t xml:space="preserve">T10</t>
  </si>
  <si>
    <t xml:space="preserve">Income tax only (partner €50,000 in column R)</t>
  </si>
  <si>
    <t xml:space="preserve">T11</t>
  </si>
  <si>
    <t xml:space="preserve">Income tax only (partner €45,000 in column R)</t>
  </si>
  <si>
    <t xml:space="preserve">All checks</t>
  </si>
  <si>
    <t xml:space="preserve">Report spec: what the plan report shows and where each number comes from (journey-spec section 28)</t>
  </si>
  <si>
    <t xml:space="preserve">The app builds the report from ONE function, reportData(), which returns every number, text and chart series (schema: docs/report-data.schema.json, examples: tools/report/vectors.json). This sheet lists each element of the 11 pages. "Live formulas" = the workbook reproduces it with the cells named. "Partly" = the live inputs are here but the result needs the plan engine run with changes (see the table below). "Engine function only" = it only exists in the app's engine; use the test vectors. No result is pasted from the app.</t>
  </si>
  <si>
    <t xml:space="preserve">Page</t>
  </si>
  <si>
    <t xml:space="preserve">Element</t>
  </si>
  <si>
    <t xml:space="preserve">reportData field</t>
  </si>
  <si>
    <t xml:space="preserve">Workbook cells (live)</t>
  </si>
  <si>
    <t xml:space="preserve">Reproduced here?</t>
  </si>
  <si>
    <t xml:space="preserve">Test vector</t>
  </si>
  <si>
    <t xml:space="preserve">All pages</t>
  </si>
  <si>
    <t xml:space="preserve">Header and footer, version</t>
  </si>
  <si>
    <t xml:space="preserve">meta.*, footer.*</t>
  </si>
  <si>
    <t xml:space="preserve">Customer name (possessive), date as 8 Oct 2026, version 1; "Guidance, not advice" footer on every page.</t>
  </si>
  <si>
    <t xml:space="preserve">none: engine function only</t>
  </si>
  <si>
    <t xml:space="preserve">Engine function only</t>
  </si>
  <si>
    <t xml:space="preserve">tools/report/vectors.json (v5-customer first)</t>
  </si>
  <si>
    <t xml:space="preserve">Age today and age in year 0</t>
  </si>
  <si>
    <t xml:space="preserve">meta.currentAge, meta.currentYear</t>
  </si>
  <si>
    <t xml:space="preserve">Age today is exact from the date of birth; the age used for plan year 0 is start year minus birth year.</t>
  </si>
  <si>
    <t xml:space="preserve">DOB_AgeToday, DOB_NextBirthday, DOB_Msg, F_Age, AS_Year0</t>
  </si>
  <si>
    <t xml:space="preserve">Live formulas</t>
  </si>
  <si>
    <t xml:space="preserve">1 Cover</t>
  </si>
  <si>
    <t xml:space="preserve">Tile: goals on track</t>
  </si>
  <si>
    <t xml:space="preserve">cover.tiles[0]</t>
  </si>
  <si>
    <t xml:space="preserve">Count of goals with covered % of 95 or more, out of all goals.</t>
  </si>
  <si>
    <t xml:space="preserve">Home_OnTrack, Home_N</t>
  </si>
  <si>
    <t xml:space="preserve">Tile: age savings run out</t>
  </si>
  <si>
    <t xml:space="preserve">cover.tiles[1]</t>
  </si>
  <si>
    <t xml:space="preserve">First year everyday costs and goals are not fully paid (the first shortfall year); "Covered" when there is none.</t>
  </si>
  <si>
    <t xml:space="preserve">Chart_FirstShortAge</t>
  </si>
  <si>
    <t xml:space="preserve">Road: segments and milestones</t>
  </si>
  <si>
    <t xml:space="preserve">road.*</t>
  </si>
  <si>
    <t xml:space="preserve">Working years green until the retirement age, gold while savings pay, coral from the first shortfall year to the plan end; milestones are the goals (not Retire or Legacy), the retirement age, the run-out age and the State Pension age, sorted by age, at most 8.</t>
  </si>
  <si>
    <t xml:space="preserve">Retire_Min, Chart_FirstShortAge, GR1_AgeYear</t>
  </si>
  <si>
    <t xml:space="preserve">Partly: live inputs, result needs a plan run</t>
  </si>
  <si>
    <t xml:space="preserve">2 Plan on a page</t>
  </si>
  <si>
    <t xml:space="preserve">Big number and goal cards</t>
  </si>
  <si>
    <t xml:space="preserve">plan.big, plan.goals[]</t>
  </si>
  <si>
    <t xml:space="preserve">Goal covered %, band (95 and over good, 70 to 94 gold, under 70 alert), age, calendar year and amount; the goal sentence is built from the covered %, the retirement years and the full State Pension cover.</t>
  </si>
  <si>
    <t xml:space="preserve">GR1_Pct, GR1_AgeYear, Home_OnTrack, Home_N</t>
  </si>
  <si>
    <t xml:space="preserve">Gap band: run-out age, years with a gap, gap today and in future euros</t>
  </si>
  <si>
    <t xml:space="preserve">plan.band.cells[]</t>
  </si>
  <si>
    <t xml:space="preserve">Run-out age = first shortfall year; years with a gap = count of years with shortfall above 50 cents; future gap = sum of the shortfalls; today's-money gap = each year's shortfall divided by (1 + inflation) to the power of the years from the start.</t>
  </si>
  <si>
    <t xml:space="preserve">Chart_FirstShortAge, Chart_ShortYears, Chart_TotalShort</t>
  </si>
  <si>
    <t xml:space="preserve">What could close the gap (top three)</t>
  </si>
  <si>
    <t xml:space="preserve">plan.close.items[]</t>
  </si>
  <si>
    <t xml:space="preserve">The best row in each lever (State Pension, start a pension, retirement age, save more) from the page 7 scenarios; the three with most points gained. "Pay more into a pension" is not its own card.</t>
  </si>
  <si>
    <t xml:space="preserve">3 Money today</t>
  </si>
  <si>
    <t xml:space="preserve">Left each month, living costs, goals, left over, per 100</t>
  </si>
  <si>
    <t xml:space="preserve">money.big, money.tiles[], money.sentence</t>
  </si>
  <si>
    <t xml:space="preserve">Take-home a month (first-year income after tax, USC and PRSI, divided by 12) minus living costs and loan payments minus the monthly saving towards goals; per 100 = left over divided by take-home.</t>
  </si>
  <si>
    <t xml:space="preserve">Save_SurplusM, Save_SaveM, F_EssM</t>
  </si>
  <si>
    <t xml:space="preserve">You own, you owe, net worth</t>
  </si>
  <si>
    <t xml:space="preserve">money.own, money.owe, money.netWorth</t>
  </si>
  <si>
    <t xml:space="preserve">Cash, investments, pension, home and debts as given; a missing figure shows "Missing"; net worth is "not yet known" while any of them is missing, otherwise assets minus debts.</t>
  </si>
  <si>
    <t xml:space="preserve">Fin_Quality, Missing_Count</t>
  </si>
  <si>
    <t xml:space="preserve">How complete is your picture</t>
  </si>
  <si>
    <t xml:space="preserve">money.complete</t>
  </si>
  <si>
    <t xml:space="preserve">Details given out of the Check your details items; the next four missing items ordered High then Medium (pension value, cash savings, State Pension record, loans and cards, investments ...).</t>
  </si>
  <si>
    <t xml:space="preserve">Good_Count, Missing_Count, Look_Count, Fin_Sec, Fin_Key</t>
  </si>
  <si>
    <t xml:space="preserve">Stated defaults ("we use 25 years / your age / Employed")</t>
  </si>
  <si>
    <t xml:space="preserve">checklist rows</t>
  </si>
  <si>
    <t xml:space="preserve">Beside a missing detail the plan fills with a stated default.</t>
  </si>
  <si>
    <t xml:space="preserve">Use_mortYears, Use_mort2, Use_pAge, Use_work, Use_mortRate, Use_loanRate, Use_cardRate</t>
  </si>
  <si>
    <t xml:space="preserve">4 Roadmap</t>
  </si>
  <si>
    <t xml:space="preserve">One row per decade: status, headline, sentence, goal chips, sparkline</t>
  </si>
  <si>
    <t xml:space="preserve">roadmap.decades[]</t>
  </si>
  <si>
    <t xml:space="preserve">Years grouped by age decade; gap decade = any shortfall year; sentence from the average shortfall or the savings reached; goal chips for goals dated in the decade plus the State Pension age; sparkline = savings at each age.</t>
  </si>
  <si>
    <t xml:space="preserve">Chap_Dec, Chap_From, Chap_To, Chap_Short, Chap_Avg, Chap_Story, Chap_Weather</t>
  </si>
  <si>
    <t xml:space="preserve">5 Goals in detail</t>
  </si>
  <si>
    <t xml:space="preserve">Goal percentage, band, meta line, sentence</t>
  </si>
  <si>
    <t xml:space="preserve">goalsDetail.goals[]</t>
  </si>
  <si>
    <t xml:space="preserve">As page 2; the retirement goal comes first.</t>
  </si>
  <si>
    <t xml:space="preserve">GR1_Pct, GR1_AgeYear, GR1_Year</t>
  </si>
  <si>
    <t xml:space="preserve">Needs a month and you're putting in</t>
  </si>
  <si>
    <t xml:space="preserve">bars (type saving)</t>
  </si>
  <si>
    <t xml:space="preserve">Average monthly saving the plan pays towards the goal, and the monthly amount that would reach 100% (found by trying values in the app; typed in the workbook).</t>
  </si>
  <si>
    <t xml:space="preserve">GR1_Months, GR1_Extra</t>
  </si>
  <si>
    <t xml:space="preserve">Retirement costs and what the plan covers</t>
  </si>
  <si>
    <t xml:space="preserve">bars (type retire)</t>
  </si>
  <si>
    <t xml:space="preserve">Costs = sum of yearly needs over retirement years; covered = costs minus the retirement shortfall; both in today's money (each year divided by (1 + inflation) to the power of the years from the start) and in future euros.</t>
  </si>
  <si>
    <t xml:space="preserve">Ret_Year</t>
  </si>
  <si>
    <t xml:space="preserve">Your retirement years strip</t>
  </si>
  <si>
    <t xml:space="preserve">years.cells[]</t>
  </si>
  <si>
    <t xml:space="preserve">Each retirement year is paid from income (pension, State Pension), from savings, or is a gap.</t>
  </si>
  <si>
    <t xml:space="preserve">Plan_YearsShort</t>
  </si>
  <si>
    <t xml:space="preserve">6 Cashflow</t>
  </si>
  <si>
    <t xml:space="preserve">Savings by age, peak and run-out</t>
  </si>
  <si>
    <t xml:space="preserve">cashflow.savingsChart</t>
  </si>
  <si>
    <t xml:space="preserve">Liquid savings at the end of each plan year; peak = the highest value; run-out = first shortfall year.</t>
  </si>
  <si>
    <t xml:space="preserve">Chart_FirstShortAge, Chart_FirstShortAmt</t>
  </si>
  <si>
    <t xml:space="preserve">How each year is paid</t>
  </si>
  <si>
    <t xml:space="preserve">cashflow.paidChart.bars[]</t>
  </si>
  <si>
    <t xml:space="preserve">Per year: paid from income (up to costs), paid from savings, shortfall not covered. Goal payments are included.</t>
  </si>
  <si>
    <t xml:space="preserve">Chart_DipYears, Chart_ShortYears, Chart_TotalShort</t>
  </si>
  <si>
    <t xml:space="preserve">7 What could change</t>
  </si>
  <si>
    <t xml:space="preserve">Today's plan row</t>
  </si>
  <si>
    <t xml:space="preserve">scenarios.groups[0].rows[0]</t>
  </si>
  <si>
    <t xml:space="preserve">Covered % of the goal with the lowest covered % today (the retirement goal when it is lowest) and the first year everyday costs are not covered.</t>
  </si>
  <si>
    <t xml:space="preserve">Find_WorstPct, Chart_FirstLivingAge</t>
  </si>
  <si>
    <t xml:space="preserve">Retire at 60 / Retire at 65</t>
  </si>
  <si>
    <t xml:space="preserve">scenarios rows retire60, retire65</t>
  </si>
  <si>
    <t xml:space="preserve">Run the plan with the retirement age set to 60 (or 65). Only when the retirement age is before that age and after today's age.</t>
  </si>
  <si>
    <t xml:space="preserve">Save N more a month</t>
  </si>
  <si>
    <t xml:space="preserve">scenarios row save</t>
  </si>
  <si>
    <t xml:space="preserve">Run the plan with the monthly saving raised by N, where N = 18% of the monthly take-home pay rounded to the nearest 50. Skipped when spare money cannot take at least half of it.</t>
  </si>
  <si>
    <t xml:space="preserve">Rep_TakeHomeM, Rep_MoreM</t>
  </si>
  <si>
    <t xml:space="preserve">Start a pension at the limit</t>
  </si>
  <si>
    <t xml:space="preserve">scenarios row pension</t>
  </si>
  <si>
    <t xml:space="preserve">Run the plan with own pension contributions raised by the monthly limit: the age-band share of earnings (earnings capped), minus what is already paid, divided by 12 and rounded down; cost after tax relief = limit x (1 - tax rate). Needs work income.</t>
  </si>
  <si>
    <t xml:space="preserve">Rep_LimitM, Rep_TaxRate, Rep_AfterReliefM</t>
  </si>
  <si>
    <t xml:space="preserve">Count your State Pension</t>
  </si>
  <si>
    <t xml:space="preserve">scenarios row statePension</t>
  </si>
  <si>
    <t xml:space="preserve">Run the plan with the full State Pension counted. Skipped when it is already full.</t>
  </si>
  <si>
    <t xml:space="preserve">PR_SPweek</t>
  </si>
  <si>
    <t xml:space="preserve">Pay N more a month into a pension</t>
  </si>
  <si>
    <t xml:space="preserve">scenarios row morePension</t>
  </si>
  <si>
    <t xml:space="preserve">Run the plan with own pension contributions raised by N / (1 - tax rate); the app's engine gives relief only up to the age limit and takes the money from spare money.</t>
  </si>
  <si>
    <t xml:space="preserve">Rep_MoreM, Rep_GrossMoreM</t>
  </si>
  <si>
    <t xml:space="preserve">Combined rows</t>
  </si>
  <si>
    <t xml:space="preserve">scenarios rows c60pension, c60more, c65pension</t>
  </si>
  <si>
    <t xml:space="preserve">Retire at 60 (or 65) with a pension at the limit and a full State Pension; the second row adds N/2 more after relief. A row is dropped when it is worse than today or than its retire-only row.</t>
  </si>
  <si>
    <t xml:space="preserve">Rep_MoreM2, Rep_GrossMoreM2</t>
  </si>
  <si>
    <t xml:space="preserve">Rows kept, order, A path to explore</t>
  </si>
  <si>
    <t xml:space="preserve">scenarios.groups, scenarios.explore</t>
  </si>
  <si>
    <t xml:space="preserve">Rows that do nothing or are worse than today are removed; rows are sorted by covered % (ties by definition order); the path to explore is the best combined row.</t>
  </si>
  <si>
    <t xml:space="preserve">8 Foundations</t>
  </si>
  <si>
    <t xml:space="preserve">Five levels, big number, protection table, next best step</t>
  </si>
  <si>
    <t xml:space="preserve">foundations.*</t>
  </si>
  <si>
    <t xml:space="preserve">Foundations from the bottom: spend less than you earn, emergency fund, debt and protection, goals and retirement, wealth and legacy; status per level; "n of 5 solid".</t>
  </si>
  <si>
    <t xml:space="preserve">Fnd1_St, Fnd2_St, Fnd3_St, Fnd4_St, Fnd5_St, Fnd_NextN, Fnd_NextT, Fnd_NextD</t>
  </si>
  <si>
    <t xml:space="preserve">Money personality, terms, risk profile</t>
  </si>
  <si>
    <t xml:space="preserve">foundations.personality</t>
  </si>
  <si>
    <t xml:space="preserve">Personality type and money terms from the Discover answers; risk scale from the Understand me answers.</t>
  </si>
  <si>
    <t xml:space="preserve">Prof_Banner, Prof_Full</t>
  </si>
  <si>
    <t xml:space="preserve">9 Share with an expert</t>
  </si>
  <si>
    <t xml:space="preserve">Topics, checklist, four questions</t>
  </si>
  <si>
    <t xml:space="preserve">next.*</t>
  </si>
  <si>
    <t xml:space="preserve">Topics from the goals, the State Pension and protection gaps; checklist from what is missing; questions built from the retirement goal, pension room, the years before the pension can be drawn, protection and State Pension gaps.</t>
  </si>
  <si>
    <t xml:space="preserve">Tools_List, Missing_Count</t>
  </si>
  <si>
    <t xml:space="preserve">10 Assumptions</t>
  </si>
  <si>
    <t xml:space="preserve">What your plan assumes (12 rows) and small print</t>
  </si>
  <si>
    <t xml:space="preserve">assumptions.*</t>
  </si>
  <si>
    <t xml:space="preserve">Inflation, pay rises, cash, investment and pension growth, State Pension counted, tax year, monthly saving, emergency fund months, goal order, retirement age, plan end (plus partner and mortgage rows when they apply).</t>
  </si>
  <si>
    <t xml:space="preserve">AS_Infl, AS_Wage, AS_Cash, AS_Inv, AS_Pen, AS_PenRet, AS_End, AS_Months, Save_SaveM</t>
  </si>
  <si>
    <t xml:space="preserve">11 Appendix</t>
  </si>
  <si>
    <t xml:space="preserve">Every year in numbers</t>
  </si>
  <si>
    <t xml:space="preserve">appendix.rows[]</t>
  </si>
  <si>
    <t xml:space="preserve">One row per plan year: age, calendar year, income, needs, shortfall, savings left (future euros).</t>
  </si>
  <si>
    <t xml:space="preserve">Total note</t>
  </si>
  <si>
    <t xml:space="preserve">appendix.note</t>
  </si>
  <si>
    <t xml:space="preserve">Years with a shortfall, their sum in future euros and about the same in today's money.</t>
  </si>
  <si>
    <t xml:space="preserve">Chart_ShortYears, Chart_TotalShort</t>
  </si>
  <si>
    <t xml:space="preserve">Page 4 and 7</t>
  </si>
  <si>
    <t xml:space="preserve">Retirement age range and calm notes</t>
  </si>
  <si>
    <t xml:space="preserve">Step 7 text</t>
  </si>
  <si>
    <t xml:space="preserve">Any age from age + 1 to plan end - 1; a calm note below 50 and below 60 or the pension access age.</t>
  </si>
  <si>
    <t xml:space="preserve">Retire_Min, Retire_Max, Retire_RangeText, Retire_Note, PRet_Note</t>
  </si>
  <si>
    <t xml:space="preserve">SCENARIO INPUTS (live): the numbers the page 7 rows use</t>
  </si>
  <si>
    <t xml:space="preserve">Share of take-home for "save more" (a planning choice of the report)</t>
  </si>
  <si>
    <t xml:space="preserve">Rounded to the nearest</t>
  </si>
  <si>
    <t xml:space="preserve">Take-home pay a month (first plan year)</t>
  </si>
  <si>
    <t xml:space="preserve">N: save / pay this much more a month</t>
  </si>
  <si>
    <t xml:space="preserve">N/2: the extra in the last combined row</t>
  </si>
  <si>
    <t xml:space="preserve">Your top tax rate</t>
  </si>
  <si>
    <t xml:space="preserve">Pension at the limit: most you can claim relief on, a month (age band share of earnings up to the cap, less what you already pay, rounded down)</t>
  </si>
  <si>
    <t xml:space="preserve">Cost of that after tax relief, a month</t>
  </si>
  <si>
    <t xml:space="preserve">Gross a month for "pay N more after relief": N / (1 - tax rate)</t>
  </si>
  <si>
    <t xml:space="preserve">Gross a month for the combined row's extra: N/2 / (1 - tax rate)</t>
  </si>
  <si>
    <t xml:space="preserve">RUN THE PLAN WITH THESE OVERRIDES (on a copy of Plan inputs; one change at a time, then the combined rows)</t>
  </si>
  <si>
    <t xml:space="preserve">Row id</t>
  </si>
  <si>
    <t xml:space="preserve">Row</t>
  </si>
  <si>
    <t xml:space="preserve">Change these Plan inputs</t>
  </si>
  <si>
    <t xml:space="preserve">Then read</t>
  </si>
  <si>
    <t xml:space="preserve">retire60</t>
  </si>
  <si>
    <t xml:space="preserve">Retire at 60</t>
  </si>
  <si>
    <t xml:space="preserve">Plan inputs: retirement age = 60</t>
  </si>
  <si>
    <t xml:space="preserve">covered % = goal % of the lowest goal today; gap starts = Chart_FirstLivingAge</t>
  </si>
  <si>
    <t xml:space="preserve">save</t>
  </si>
  <si>
    <t xml:space="preserve">Plan inputs: monthly saving (what you save) = today's saving + Rep_MoreM (the saving is capped by spare money)</t>
  </si>
  <si>
    <t xml:space="preserve">same cells</t>
  </si>
  <si>
    <t xml:space="preserve">retire65</t>
  </si>
  <si>
    <t xml:space="preserve">Retire at 65</t>
  </si>
  <si>
    <t xml:space="preserve">Plan inputs: retirement age = 65</t>
  </si>
  <si>
    <t xml:space="preserve">Plan inputs: pension monthly total and "paid by you" each raised by Rep_LimitM</t>
  </si>
  <si>
    <t xml:space="preserve">statePension</t>
  </si>
  <si>
    <t xml:space="preserve">Plan inputs: State Pension = Expect full (and clear PRSI years and weekly amount)</t>
  </si>
  <si>
    <t xml:space="preserve">morePension</t>
  </si>
  <si>
    <t xml:space="preserve">Pay N more into a pension</t>
  </si>
  <si>
    <t xml:space="preserve">Plan inputs: pension monthly total and "paid by you" each raised by Rep_GrossMoreM</t>
  </si>
  <si>
    <t xml:space="preserve">c60pension</t>
  </si>
  <si>
    <t xml:space="preserve">Retire at 60 + pension at the limit</t>
  </si>
  <si>
    <t xml:space="preserve">retirement age = 60; pension raised by Rep_LimitM; State Pension = Expect full</t>
  </si>
  <si>
    <t xml:space="preserve">c60more</t>
  </si>
  <si>
    <t xml:space="preserve">... and N/2 more into a pension</t>
  </si>
  <si>
    <t xml:space="preserve">as c60pension and pension raised by a further Rep_GrossMoreM2</t>
  </si>
  <si>
    <t xml:space="preserve">c65pension</t>
  </si>
  <si>
    <t xml:space="preserve">Retire at 65 + pension at the limit</t>
  </si>
  <si>
    <t xml:space="preserve">retirement age = 65; pension raised by Rep_LimitM; State Pension = Expect full</t>
  </si>
  <si>
    <t xml:space="preserve">Read: the covered % of the goal with the lowest covered % today (GR*_Pct) and the first year everyday costs are not covered (Chart_FirstLivingAge). Rows that do not improve on today are dropped; rows are sorted by covered %.</t>
  </si>
  <si>
    <t xml:space="preserve">LifeMap calculators</t>
  </si>
  <si>
    <t xml:space="preserve">Version 2.8 · 9 Oct 2026 · built from LifeMap-Customer-Journey prototype (CALCS and Settings). Since 2.7: date of birth replaces age (calendar-year cashflow), the over-80 State Pension increase only when a State Pension counts, and the Report spec sheet. Since 2.4: the main plan in Make my plan (eight sheets starting "Plan ..." and the Calculation register), audit fixes to the calculators (see "Audit fixes applied"), an example column on every calculator input block, law figures on the Plan sheets read from Assumptions, up to 20 saved-for goals, data validation on the Plan sheets and Settings, and the same "Choose your ... to see this" words and order as the app on every calculator. Since 2.6 (journey spec section 27): only retirement age, plan-until age, inflation and a working partner's retirement age block the plan (the gate card says "we need N things"); every LifeMap standard is used automatically and is labelled "Set by LifeMap"; a market rate you do not give uses the suggested or planning rate ("Assumed: add yours"); any retirement age from your age + 1 is allowed, with the pension from the access age (60, or 50 for some occupational schemes) and the years before it paid from savings; a goal dated before today reads "Date has passed". The four UI sheets (UI Guide, UI Calculators, UI Screens, UI Make my plan) are added by tools/build_ui_sheets.py.</t>
  </si>
  <si>
    <t xml:space="preserve">Fill example values? (Yes/No)</t>
  </si>
  <si>
    <t xml:space="preserve">Example only: Yes fills every blank input with its grey figure, so testers see numbers. Default No (blank template).</t>
  </si>
  <si>
    <t xml:space="preserve">How to use</t>
  </si>
  <si>
    <t xml:space="preserve">• Open a calculator from the list below. Fill the yellow cells (blue text): everything else updates on its own.</t>
  </si>
  <si>
    <t xml:space="preserve">• Every number is one of three types (journey spec §14, §18, §27). Type 1, set by Government (tax, USC, PRSI, relief %, lump-sum bands, DIRT, exit tax, Central Bank limits, full State Pension and benefit rates): on the Assumptions sheet, not an input. Type 2, a market rate or a figure you enter yourself (mortgage rate, card APR, fund charges, the State Pension you will get …): a yellow input with a suggested figure and its source, or "Usually between X and Y (source)" where an official range exists; on a calculator it stays blank until you add it, in the plan a blank one uses the suggested published rate (mortgage and loans) or the planning rate (cards 20%) and is labelled "Assumed: add yours". Type 3, a LifeMap standard (growth rates, pay rises, emergency months, drawdown timing, retirement multiple, pension access age …): the calculator and the plan start from the standard ("Set by LifeMap"); type your own and it is "Your choice". Only four things are never filled in for you: retirement age, plan-until age, inflation, and a working partner's retirement age.</t>
  </si>
  <si>
    <t xml:space="preserve">• Your own figures stay blank: a calculator result that needs one (a market rate, the State Pension, Illness Benefit, your age, the retirement age) shows "Choose your … to see this" or "Add your … to see this". A LifeMap standard never blocks a result. Set "Fill example values?" (above) to Yes to fill every blank input with its grey "Example only" figure (the standard, or the sample customer's figure).</t>
  </si>
  <si>
    <t xml:space="preserve">• Each input cell shows its unit and allowed range when you click it, and refuses values outside it. The default is in the cell note and at the far right.</t>
  </si>
  <si>
    <t xml:space="preserve">• Market rates (mortgage, loans, cards, deposits, buying fees, fund charges) are never pre-filled on a calculator. Beside each is a suggested rate with its source, from the Settings sheet: by default Central Bank of Ireland averages with their month (journey spec §18, §19). In the plan, a rate you do not give uses that suggestion (mortgage and loans) or the planning rate (cards 20%) and says "Assumed: add yours". A partner can put its own rates and name there ("Suggested by …"). Law values cannot be changed.</t>
  </si>
  <si>
    <t xml:space="preserve">• Facts and law (tax bands, State rates, Central Bank rules, stamp duty, lump-sum bands …) are on the Assumptions sheet, the Irish rules register (Irish rules 2026 · checked 2 Oct 2026). Take-home pay is worked out on the Tax engine sheet, which C25 and C26 use.</t>
  </si>
  <si>
    <t xml:space="preserve">• Results are in the green box, each with its formula written out beside it. Formulas use names (e.g. =Amount*(1+Inflation)^Years) so they read like the maths.</t>
  </si>
  <si>
    <t xml:space="preserve">• Inflation is the client's own choice: the yellow "Inflation you expect" cell on each calculator that uses it starts blank. While it is blank, results that need it say "Choose your inflation rate to see this"; 0% is a real choice (no adjustment for prices).</t>
  </si>
  <si>
    <t xml:space="preserve">• Statements: grey-blue cells under "FROM YOUR STATEMENT" are filled by the document reader. The FIGURE USED box uses the statement figure if there is one, otherwise your typed figure, and says which. See the "Document reader spec" sheet.</t>
  </si>
  <si>
    <t xml:space="preserve">• The workbook recalculates automatically, including when it is opened. No sheet or workbook protection is applied: this is an engineering template, so formulas and inputs can be edited. Keep the yellow cells for typing and leave formulas alone.</t>
  </si>
  <si>
    <t xml:space="preserve">• Settings sheet: every standard, its wording and source, and the partner name in one block (defined names Set_*). "Your lists": loans, cards, pensions and policies, one row each; the calculators use the totals when their own cell is left blank.</t>
  </si>
  <si>
    <t xml:space="preserve">Colour legend</t>
  </si>
  <si>
    <t xml:space="preserve">• Yellow fill, blue text = an input you type.</t>
  </si>
  <si>
    <t xml:space="preserve">• Grey-blue fill, blue text = a figure the document reader fills from a statement (blank when there is none).</t>
  </si>
  <si>
    <t xml:space="preserve">• Green box, bold = a result.</t>
  </si>
  <si>
    <t xml:space="preserve">• Grey box = a working figure behind a result.</t>
  </si>
  <si>
    <t xml:space="preserve">• Grey text = defaults, ranges and notes.</t>
  </si>
  <si>
    <t xml:space="preserve">• Orange = a warning message shown to the customer.</t>
  </si>
  <si>
    <t xml:space="preserve">• Light-blue sheet tab and light-blue fill = a Plan sheet or a working figure of the main plan (not a calculator). Teal sheet tab = a UI layer sheet added by tools/build_ui_sheets.py.</t>
  </si>
  <si>
    <t xml:space="preserve">Numbering</t>
  </si>
  <si>
    <t xml:space="preserve">• C01–C28 in the order of the prototype's CALCS array; the same numbers are used in the UI/UX spec. The Plan sheets have no numbers; they are named "Plan ..." and sit after C28.</t>
  </si>
  <si>
    <t xml:space="preserve">Plan sheets (the main plan in Make my plan)</t>
  </si>
  <si>
    <t xml:space="preserve">• The main plan (project() in the prototype) is built here in full: Plan inputs, Plan pay &amp; tax, Plan debt months, Plan cashflow, Plan goals, Plan results, Plan profile, Plan how it works, and the Calculation register. The list with links is at the bottom of this sheet. Open "Plan how it works" first.</t>
  </si>
  <si>
    <t xml:space="preserve">Calculators</t>
  </si>
  <si>
    <t xml:space="preserve">No.</t>
  </si>
  <si>
    <t xml:space="preserve">Calculator (click to open)</t>
  </si>
  <si>
    <t xml:space="preserve">Question it answers</t>
  </si>
  <si>
    <t xml:space="preserve">What home price could be within reach?</t>
  </si>
  <si>
    <t xml:space="preserve">Home &amp; Mortgage</t>
  </si>
  <si>
    <t xml:space="preserve">What would my monthly repayment be?</t>
  </si>
  <si>
    <t xml:space="preserve">How long until I have my deposit?</t>
  </si>
  <si>
    <t xml:space="preserve">What if I paid a little extra each month?</t>
  </si>
  <si>
    <t xml:space="preserve">What if my mortgage rate changed?</t>
  </si>
  <si>
    <t xml:space="preserve">Shorter or longer term: what is the trade-off?</t>
  </si>
  <si>
    <t xml:space="preserve">How do renting and buying compare over time?</t>
  </si>
  <si>
    <t xml:space="preserve">How much a month to reach my goal?</t>
  </si>
  <si>
    <t xml:space="preserve">Savings &amp; Goals</t>
  </si>
  <si>
    <t xml:space="preserve">What could regular saving grow into?</t>
  </si>
  <si>
    <t xml:space="preserve">What could a one-off amount become?</t>
  </si>
  <si>
    <t xml:space="preserve">How strong is my emergency fund?</t>
  </si>
  <si>
    <t xml:space="preserve">Could your current path fund the retirement you want?</t>
  </si>
  <si>
    <t xml:space="preserve">Pensions &amp; Retirement</t>
  </si>
  <si>
    <t xml:space="preserve">What difference would a small increase make?</t>
  </si>
  <si>
    <t xml:space="preserve">What could extra voluntary contributions add?</t>
  </si>
  <si>
    <t xml:space="preserve">How long could my retirement savings last?</t>
  </si>
  <si>
    <t xml:space="preserve">How do different growth rates change things?</t>
  </si>
  <si>
    <t xml:space="preserve">What is my money really worth in future?</t>
  </si>
  <si>
    <t xml:space="preserve">What could investing monthly build?</t>
  </si>
  <si>
    <t xml:space="preserve">How much do fees really cost over time?</t>
  </si>
  <si>
    <t xml:space="preserve">What range of outcomes might each style have?</t>
  </si>
  <si>
    <t xml:space="preserve">How much cover might my family need?</t>
  </si>
  <si>
    <t xml:space="preserve">How long could I cope if I couldn't work?</t>
  </si>
  <si>
    <t xml:space="preserve">What cover would clear my mortgage?</t>
  </si>
  <si>
    <t xml:space="preserve">What am I worth, all in?</t>
  </si>
  <si>
    <t xml:space="preserve">Everyday Money</t>
  </si>
  <si>
    <t xml:space="preserve">What is left at the end of the month?</t>
  </si>
  <si>
    <t xml:space="preserve">A simple way to split your pay</t>
  </si>
  <si>
    <t xml:space="preserve">How fast can I clear my debt?</t>
  </si>
  <si>
    <t xml:space="preserve">What would a loan cost me?</t>
  </si>
  <si>
    <t xml:space="preserve">Audit fixes applied</t>
  </si>
  <si>
    <t xml:space="preserve">Where</t>
  </si>
  <si>
    <t xml:space="preserve">Audit class</t>
  </si>
  <si>
    <t xml:space="preserve">Must</t>
  </si>
  <si>
    <t xml:space="preserve">Gap is like-for-like: target (today's money) − fund ÷ (1 + inflation)^years.</t>
  </si>
  <si>
    <t xml:space="preserve">Hand-off updates the existing retirement goal (income, age) instead of a 25× lump-sum spend.</t>
  </si>
  <si>
    <t xml:space="preserve">Hand-off is the deposit (loan × 10% ÷ 90%), not the mortgage amount.</t>
  </si>
  <si>
    <t xml:space="preserve">Hand-off is a mortgage-free (mfree) goal, not today's balance as a spend; none if it never clears.</t>
  </si>
  <si>
    <t xml:space="preserve">No "Infinity yrs" and no negative interest saved: "Not at this repayment" / "—".</t>
  </si>
  <si>
    <t xml:space="preserve">C04, C27</t>
  </si>
  <si>
    <t xml:space="preserve">Exact months by NPER (no 1,200-month loop cap); over 1,200 months shows "Over 100 years" / "Payment too low…".</t>
  </si>
  <si>
    <t xml:space="preserve">C09, C10</t>
  </si>
  <si>
    <t xml:space="preserve">Hand-off always in today's money (value ÷ (1 + inflation)^years), kind pot.</t>
  </si>
  <si>
    <t xml:space="preserve">No spend goal: raise the plan's pension contribution instead.</t>
  </si>
  <si>
    <t xml:space="preserve">Hand-off in today's money, kind pot (was nominal, inflated twice).</t>
  </si>
  <si>
    <t xml:space="preserve">Style is a 1/2/3 list (no decimals, no €NaN).</t>
  </si>
  <si>
    <t xml:space="preserve">No spend goal: a protection need for the adviser.</t>
  </si>
  <si>
    <t xml:space="preserve">No goal (the plan already repays the debt); no goal when it never clears.</t>
  </si>
  <si>
    <t xml:space="preserve">C02, C05</t>
  </si>
  <si>
    <t xml:space="preserve">Should</t>
  </si>
  <si>
    <t xml:space="preserve">What-if rate floored at 0%.</t>
  </si>
  <si>
    <t xml:space="preserve">Deposit validated between 10% of the price and the price; mortgage never negative.</t>
  </si>
  <si>
    <t xml:space="preserve">C11, C22, C25</t>
  </si>
  <si>
    <t xml:space="preserve">Hand-off kinds corrected (safety pot; protection need; savings pot).</t>
  </si>
  <si>
    <t xml:space="preserve">Withdrawals taken at the start of each year.</t>
  </si>
  <si>
    <t xml:space="preserve">Mortgage protection Yes/No (default Yes) and State survivor's pension (default €259.50 a week).</t>
  </si>
  <si>
    <t xml:space="preserve">Illness Benefit (€254 a week) netted off; income protection capped at 75% of income less Illness Benefit.</t>
  </si>
  <si>
    <t xml:space="preserve">Warning when the repayment does not cover the interest; no rising balances shown.</t>
  </si>
  <si>
    <t xml:space="preserve">C27, C28</t>
  </si>
  <si>
    <t xml:space="preserve">APR treated as an effective annual rate: monthly = (1 + APR)^(1/12) − 1.</t>
  </si>
  <si>
    <t xml:space="preserve">C08–C10, C17, C18</t>
  </si>
  <si>
    <t xml:space="preserve">"Before tax: DIRT 33% / exit tax 38%" note.</t>
  </si>
  <si>
    <t xml:space="preserve">Nice</t>
  </si>
  <si>
    <t xml:space="preserve">First-time buyer is Yes/No.</t>
  </si>
  <si>
    <t xml:space="preserve">C03, C15, C16 etc.</t>
  </si>
  <si>
    <t xml:space="preserve">Singular forms ("1 month", "1 year"); "You have your deposit".</t>
  </si>
  <si>
    <t xml:space="preserve">"No change" when the time saved is 0.</t>
  </si>
  <si>
    <t xml:space="preserve">"Both terms are the same" for equal terms.</t>
  </si>
  <si>
    <t xml:space="preserve">C08, C03</t>
  </si>
  <si>
    <t xml:space="preserve">Hand-off passes "already saved".</t>
  </si>
  <si>
    <t xml:space="preserve">Tax rate restricted to 20% or 40%.</t>
  </si>
  <si>
    <t xml:space="preserve">"60+ years" in every row at the end of the table.</t>
  </si>
  <si>
    <t xml:space="preserve">€0 surplus reads "Nothing left over this month".</t>
  </si>
  <si>
    <t xml:space="preserve">Assumptions</t>
  </si>
  <si>
    <t xml:space="preserve">Constants added for the fixes (DIRT, exit tax, Illness Benefit, survivor's pension); inflation reference refreshed (3.4% Aug 2026).</t>
  </si>
  <si>
    <t xml:space="preserve">Not applied (for Pooja to decide)</t>
  </si>
  <si>
    <t xml:space="preserve">All calculators</t>
  </si>
  <si>
    <t xml:space="preserve">Journey spec §14</t>
  </si>
  <si>
    <t xml:space="preserve">Every input typed: 1 = set by Government (Assumptions only, grey, not an input); 2 = range ("Usually between X and Y (source)"); 3 = personal, blank until chosen ("Generally the standard is X (source). Choose what you want to use."). Blank inputs give "Choose your … to see this"; README switch "Fill example values?" (default No) fills them from the grey "Example only" column.</t>
  </si>
  <si>
    <t xml:space="preserve">C11, C15, C22, C13</t>
  </si>
  <si>
    <t xml:space="preserve">UI/UX Appendix B</t>
  </si>
  <si>
    <t xml:space="preserve">Singular "1 month"; C15 at the 60-year cap reads "Beyond [plan-until age] (your plan-until age)", as the prototype (not "age 126"); C13/C14 show the relief room left after what you already pay in.</t>
  </si>
  <si>
    <t xml:space="preserve">Remove the placeholder "[confirm current Central Bank rules]" from the customer line (prototype copy; the workbook uses the audit's replacement wording).</t>
  </si>
  <si>
    <t xml:space="preserve">C01, C03</t>
  </si>
  <si>
    <t xml:space="preserve">Help to Buy as an optional deposit input (rules audit #62).</t>
  </si>
  <si>
    <t xml:space="preserve">Use "−" (not "-") in the rate text (prototype copy).</t>
  </si>
  <si>
    <t xml:space="preserve">House prices rising while saving (stamp duty and fees are now included).</t>
  </si>
  <si>
    <t xml:space="preserve">Local Property Tax and insurance in the cost of owning (rules audit #63).</t>
  </si>
  <si>
    <t xml:space="preserve">C08–C10, C18</t>
  </si>
  <si>
    <t xml:space="preserve">An after-tax result row (DIRT 33% / exit tax 38% with deemed disposal). Only the "before tax" note is applied.</t>
  </si>
  <si>
    <t xml:space="preserve">Hide "start later" when the term is no longer than the wait.</t>
  </si>
  <si>
    <t xml:space="preserve">Tip copy: "Often 3 to 6 months" instead of "Ideal: 6 months" (prototype copy).</t>
  </si>
  <si>
    <t xml:space="preserve">Gross up the desired income for tax (a "before tax" note is applied instead).</t>
  </si>
  <si>
    <t xml:space="preserve">Contributions rising with pay (as C12): €70,503, not €54,572, at defaults.</t>
  </si>
  <si>
    <t xml:space="preserve">ARF imputed distribution hint (4% from 61, 5% from 71, 6% over €2m).</t>
  </si>
  <si>
    <t xml:space="preserve">Treat the growth rates as median (geometric) returns.</t>
  </si>
  <si>
    <t xml:space="preserve">Discount the income need; funeral costs and CAT; a survivor's-age switch (the guidance gives the 66+ rate).</t>
  </si>
  <si>
    <t xml:space="preserve">Explain statutory sick pay (5 days) vs the employer's scheme (a short note is in How it works).</t>
  </si>
  <si>
    <t xml:space="preserve">Note joint-life / dual-life cover and the insurer's assumed reduction rate.</t>
  </si>
  <si>
    <t xml:space="preserve">C25, C26</t>
  </si>
  <si>
    <t xml:space="preserve">Round the take-home pre-fill to whole euros (prototype).</t>
  </si>
  <si>
    <t xml:space="preserve">Copy</t>
  </si>
  <si>
    <t xml:space="preserve">Fix the "29 calculators" note (there are 28).</t>
  </si>
  <si>
    <t xml:space="preserve">Plan sheets and the Calculation register</t>
  </si>
  <si>
    <t xml:space="preserve">Everything you type for the plan: about you, goals, finances, assumptions, what-if.</t>
  </si>
  <si>
    <t xml:space="preserve">Law figures (read from Assumptions), the figures the plan uses, and each year's pay, pension and tax.</t>
  </si>
  <si>
    <t xml:space="preserve">Mortgage, cards and loans month by month.</t>
  </si>
  <si>
    <t xml:space="preserve">One row per year: money in, spending, goals, saving, savings left.</t>
  </si>
  <si>
    <t xml:space="preserve">Goals in funding order, each goal's % covered, band and goal line.</t>
  </si>
  <si>
    <t xml:space="preserve">What the Results, Home and Plan screens show: saving, gate, findings, foundations, retirement at a glance, road and chart numbers.</t>
  </si>
  <si>
    <t xml:space="preserve">Money personality, risk profile and money terms from the Discover and Understand Me answers.</t>
  </si>
  <si>
    <t xml:space="preserve">One paragraph per sheet, and which prototype value each Plan input is.</t>
  </si>
  <si>
    <t xml:space="preserve">Every place the prototype calculates, scores or shows a number, where it is in the workbook, and whether it was matched in a test.</t>
  </si>
  <si>
    <t xml:space="preserve">Some figures are typed on purpose (the app finds them by trying values; a spreadsheet cannot): see "Plan how it works", which also gives the specification and test vectors. Findings, foundations and the home figures are for the base plan, so they match the app when the what-if is zero.</t>
  </si>
  <si>
    <t xml:space="preserve">Other sheets</t>
  </si>
  <si>
    <t xml:space="preserve">Every standard LifeMap offers, with its wording and source, in one block (the Plan sheets read it too).</t>
  </si>
  <si>
    <t xml:space="preserve">Cards, loans, pensions and mortgages on other properties, one row each (they win over a typed total).</t>
  </si>
  <si>
    <t xml:space="preserve">The UI layer (teal tabs), sheet 1: how to read the other three. Appended by tools/build_ui_sheets.py.</t>
  </si>
  <si>
    <t xml:space="preserve">Every calculator screen as the app shows it: labels, ranges, chips and results. Appended by tools/build_ui_sheets.py.</t>
  </si>
  <si>
    <t xml:space="preserve">The app screens, in the app's words. Appended by tools/build_ui_sheets.py.</t>
  </si>
  <si>
    <t xml:space="preserve">The Make my plan screens, step by step. Appended by tools/build_ui_sheets.py.</t>
  </si>
</sst>
</file>

<file path=xl/styles.xml><?xml version="1.0" encoding="utf-8"?>
<styleSheet xmlns="http://schemas.openxmlformats.org/spreadsheetml/2006/main">
  <numFmts count="20">
    <numFmt numFmtId="164" formatCode="General"/>
    <numFmt numFmtId="165" formatCode="#,##0;[RED]\-#,##0"/>
    <numFmt numFmtId="166" formatCode="0.00%"/>
    <numFmt numFmtId="167" formatCode="#,##0"/>
    <numFmt numFmtId="168" formatCode="#,##0.00"/>
    <numFmt numFmtId="169" formatCode="dd/mm/yyyy"/>
    <numFmt numFmtId="170" formatCode="0.0%"/>
    <numFmt numFmtId="171" formatCode="\€#,##0"/>
    <numFmt numFmtId="172" formatCode="0%"/>
    <numFmt numFmtId="173" formatCode="0"/>
    <numFmt numFmtId="174" formatCode="\€#,##0.00"/>
    <numFmt numFmtId="175" formatCode="General"/>
    <numFmt numFmtId="176" formatCode="0.0000"/>
    <numFmt numFmtId="177" formatCode="0.00"/>
    <numFmt numFmtId="178" formatCode="0.0\×"/>
    <numFmt numFmtId="179" formatCode="dd\ mmm\ yyyy"/>
    <numFmt numFmtId="180" formatCode="0.0000%"/>
    <numFmt numFmtId="181" formatCode="0.0"/>
    <numFmt numFmtId="182" formatCode="@"/>
    <numFmt numFmtId="183" formatCode="0.000"/>
  </numFmts>
  <fonts count="50">
    <font>
      <sz val="11"/>
      <color theme="1"/>
      <name val="Calibri"/>
      <family val="2"/>
      <charset val="1"/>
    </font>
    <font>
      <sz val="10"/>
      <name val="Arial"/>
      <family val="0"/>
    </font>
    <font>
      <sz val="10"/>
      <name val="Arial"/>
      <family val="0"/>
    </font>
    <font>
      <sz val="10"/>
      <name val="Arial"/>
      <family val="0"/>
    </font>
    <font>
      <b val="true"/>
      <sz val="16"/>
      <color rgb="FF0B2545"/>
      <name val="Cambria"/>
      <family val="0"/>
      <charset val="1"/>
    </font>
    <font>
      <b val="true"/>
      <sz val="11"/>
      <name val="Cambria"/>
      <family val="0"/>
      <charset val="1"/>
    </font>
    <font>
      <b val="true"/>
      <sz val="11"/>
      <color rgb="FFFFFFFF"/>
      <name val="Cambria"/>
      <family val="0"/>
      <charset val="1"/>
    </font>
    <font>
      <u val="single"/>
      <sz val="11"/>
      <color rgb="FF0563C1"/>
      <name val="Cambria"/>
      <family val="0"/>
      <charset val="1"/>
    </font>
    <font>
      <b val="true"/>
      <sz val="14"/>
      <name val="Cambria"/>
      <family val="0"/>
      <charset val="1"/>
    </font>
    <font>
      <b val="true"/>
      <sz val="11"/>
      <color rgb="FF9C0006"/>
      <name val="Cambria"/>
      <family val="0"/>
      <charset val="1"/>
    </font>
    <font>
      <sz val="11"/>
      <color rgb="FF0000FF"/>
      <name val="Cambria"/>
      <family val="0"/>
      <charset val="1"/>
    </font>
    <font>
      <sz val="11"/>
      <color rgb="FF7F7F7F"/>
      <name val="Cambria"/>
      <family val="0"/>
      <charset val="1"/>
    </font>
    <font>
      <b val="true"/>
      <sz val="16"/>
      <color rgb="FF1F3864"/>
      <name val="Arial"/>
      <family val="0"/>
      <charset val="1"/>
    </font>
    <font>
      <sz val="9"/>
      <color rgb="FF808080"/>
      <name val="Arial"/>
      <family val="0"/>
      <charset val="1"/>
    </font>
    <font>
      <b val="true"/>
      <sz val="11"/>
      <color rgb="FF000000"/>
      <name val="Arial"/>
      <family val="0"/>
      <charset val="1"/>
    </font>
    <font>
      <b val="true"/>
      <sz val="9"/>
      <color rgb="FFC00000"/>
      <name val="Arial"/>
      <family val="0"/>
      <charset val="1"/>
    </font>
    <font>
      <i val="true"/>
      <sz val="10"/>
      <color rgb="FF000000"/>
      <name val="Arial"/>
      <family val="0"/>
      <charset val="1"/>
    </font>
    <font>
      <b val="true"/>
      <sz val="11"/>
      <color rgb="FFFFFFFF"/>
      <name val="Arial"/>
      <family val="0"/>
      <charset val="1"/>
    </font>
    <font>
      <b val="true"/>
      <sz val="9"/>
      <color rgb="FFFFFFFF"/>
      <name val="Arial"/>
      <family val="0"/>
      <charset val="1"/>
    </font>
    <font>
      <i val="true"/>
      <sz val="11"/>
      <color rgb="FF7F7F7F"/>
      <name val="Cambria"/>
      <family val="0"/>
      <charset val="1"/>
    </font>
    <font>
      <sz val="10"/>
      <color rgb="FF000000"/>
      <name val="Arial"/>
      <family val="0"/>
      <charset val="1"/>
    </font>
    <font>
      <b val="true"/>
      <sz val="11"/>
      <color rgb="FF0000FF"/>
      <name val="Arial"/>
      <family val="0"/>
      <charset val="1"/>
    </font>
    <font>
      <sz val="10"/>
      <color rgb="FF808080"/>
      <name val="Arial"/>
      <family val="0"/>
      <charset val="1"/>
    </font>
    <font>
      <sz val="8"/>
      <color rgb="FF808080"/>
      <name val="Arial"/>
      <family val="0"/>
      <charset val="1"/>
    </font>
    <font>
      <i val="true"/>
      <sz val="9"/>
      <color rgb="FF808080"/>
      <name val="Arial"/>
      <family val="0"/>
      <charset val="1"/>
    </font>
    <font>
      <sz val="9"/>
      <color rgb="FF000000"/>
      <name val="Arial"/>
      <family val="0"/>
      <charset val="1"/>
    </font>
    <font>
      <sz val="8"/>
      <color rgb="FF7F6000"/>
      <name val="Arial"/>
      <family val="0"/>
      <charset val="1"/>
    </font>
    <font>
      <b val="true"/>
      <sz val="14"/>
      <color rgb="FF000000"/>
      <name val="Arial"/>
      <family val="0"/>
      <charset val="1"/>
    </font>
    <font>
      <sz val="9"/>
      <color rgb="FF595959"/>
      <name val="Arial"/>
      <family val="0"/>
      <charset val="1"/>
    </font>
    <font>
      <b val="true"/>
      <sz val="9"/>
      <color rgb="FF000000"/>
      <name val="Arial"/>
      <family val="0"/>
      <charset val="1"/>
    </font>
    <font>
      <b val="true"/>
      <sz val="10"/>
      <color rgb="FF000000"/>
      <name val="Arial"/>
      <family val="0"/>
      <charset val="1"/>
    </font>
    <font>
      <sz val="10"/>
      <name val="Arial"/>
      <family val="2"/>
    </font>
    <font>
      <i val="true"/>
      <sz val="9"/>
      <color rgb="FF595959"/>
      <name val="Arial"/>
      <family val="0"/>
      <charset val="1"/>
    </font>
    <font>
      <b val="true"/>
      <sz val="9"/>
      <color rgb="FF1F6E43"/>
      <name val="Arial"/>
      <family val="0"/>
      <charset val="1"/>
    </font>
    <font>
      <b val="true"/>
      <sz val="10"/>
      <color rgb="FFC00000"/>
      <name val="Arial"/>
      <family val="0"/>
      <charset val="1"/>
    </font>
    <font>
      <sz val="11"/>
      <color rgb="FF000000"/>
      <name val="Cambria"/>
      <family val="0"/>
      <charset val="1"/>
    </font>
    <font>
      <b val="true"/>
      <sz val="11"/>
      <color rgb="FFC00000"/>
      <name val="Arial"/>
      <family val="0"/>
      <charset val="1"/>
    </font>
    <font>
      <i val="true"/>
      <sz val="9"/>
      <color rgb="FF000000"/>
      <name val="Arial"/>
      <family val="0"/>
      <charset val="1"/>
    </font>
    <font>
      <sz val="8"/>
      <color rgb="FF000000"/>
      <name val="Arial"/>
      <family val="0"/>
      <charset val="1"/>
    </font>
    <font>
      <sz val="8"/>
      <color rgb="FFC00000"/>
      <name val="Arial"/>
      <family val="0"/>
      <charset val="1"/>
    </font>
    <font>
      <sz val="8"/>
      <color rgb="FF595959"/>
      <name val="Arial"/>
      <family val="0"/>
      <charset val="1"/>
    </font>
    <font>
      <b val="true"/>
      <sz val="12"/>
      <color rgb="FF000000"/>
      <name val="Arial"/>
      <family val="0"/>
      <charset val="1"/>
    </font>
    <font>
      <b val="true"/>
      <sz val="8"/>
      <color rgb="FF000000"/>
      <name val="Arial"/>
      <family val="0"/>
      <charset val="1"/>
    </font>
    <font>
      <b val="true"/>
      <sz val="10"/>
      <color rgb="FF1F6E43"/>
      <name val="Arial"/>
      <family val="0"/>
      <charset val="1"/>
    </font>
    <font>
      <b val="true"/>
      <sz val="18"/>
      <color rgb="FF1F3864"/>
      <name val="Arial"/>
      <family val="0"/>
      <charset val="1"/>
    </font>
    <font>
      <b val="true"/>
      <sz val="12"/>
      <color rgb="FF0000FF"/>
      <name val="Arial"/>
      <family val="0"/>
      <charset val="1"/>
    </font>
    <font>
      <i val="true"/>
      <sz val="9"/>
      <color rgb="FFC00000"/>
      <name val="Arial"/>
      <family val="0"/>
      <charset val="1"/>
    </font>
    <font>
      <b val="true"/>
      <sz val="12"/>
      <color rgb="FF1F3864"/>
      <name val="Arial"/>
      <family val="0"/>
      <charset val="1"/>
    </font>
    <font>
      <b val="true"/>
      <sz val="10"/>
      <color rgb="FFFFFFFF"/>
      <name val="Arial"/>
      <family val="0"/>
      <charset val="1"/>
    </font>
    <font>
      <u val="single"/>
      <sz val="10"/>
      <color rgb="FF0563C1"/>
      <name val="Arial"/>
      <family val="0"/>
      <charset val="1"/>
    </font>
  </fonts>
  <fills count="14">
    <fill>
      <patternFill patternType="none"/>
    </fill>
    <fill>
      <patternFill patternType="gray125"/>
    </fill>
    <fill>
      <patternFill patternType="solid">
        <fgColor rgb="FFD9F2EE"/>
        <bgColor rgb="FFDDEBF7"/>
      </patternFill>
    </fill>
    <fill>
      <patternFill patternType="solid">
        <fgColor rgb="FFFFF2CC"/>
        <bgColor rgb="FFFDE9D9"/>
      </patternFill>
    </fill>
    <fill>
      <patternFill patternType="solid">
        <fgColor rgb="FF0B2545"/>
        <bgColor rgb="FF1F3864"/>
      </patternFill>
    </fill>
    <fill>
      <patternFill patternType="solid">
        <fgColor rgb="FFFDE9D9"/>
        <bgColor rgb="FFFCE4D6"/>
      </patternFill>
    </fill>
    <fill>
      <patternFill patternType="solid">
        <fgColor rgb="FF1F4E79"/>
        <bgColor rgb="FF1F3864"/>
      </patternFill>
    </fill>
    <fill>
      <patternFill patternType="solid">
        <fgColor rgb="FFE2EFDA"/>
        <bgColor rgb="FFD9F2EE"/>
      </patternFill>
    </fill>
    <fill>
      <patternFill patternType="solid">
        <fgColor rgb="FFDDEBF7"/>
        <bgColor rgb="FFD9F2EE"/>
      </patternFill>
    </fill>
    <fill>
      <patternFill patternType="solid">
        <fgColor rgb="FFEDEDED"/>
        <bgColor rgb="FFEEF2F6"/>
      </patternFill>
    </fill>
    <fill>
      <patternFill patternType="solid">
        <fgColor rgb="FF1F3864"/>
        <bgColor rgb="FF1F4E79"/>
      </patternFill>
    </fill>
    <fill>
      <patternFill patternType="solid">
        <fgColor rgb="FFF2F2F2"/>
        <bgColor rgb="FFEEF2F6"/>
      </patternFill>
    </fill>
    <fill>
      <patternFill patternType="solid">
        <fgColor rgb="FFFCE4D6"/>
        <bgColor rgb="FFFDE9D9"/>
      </patternFill>
    </fill>
    <fill>
      <patternFill patternType="solid">
        <fgColor rgb="FFEEF2F6"/>
        <bgColor rgb="FFF2F2F2"/>
      </patternFill>
    </fill>
  </fills>
  <borders count="3">
    <border diagonalUp="false" diagonalDown="false">
      <left/>
      <right/>
      <top/>
      <bottom/>
      <diagonal/>
    </border>
    <border diagonalUp="false" diagonalDown="false">
      <left style="thin">
        <color rgb="FFC9D3DD"/>
      </left>
      <right style="thin">
        <color rgb="FFC9D3DD"/>
      </right>
      <top style="thin">
        <color rgb="FFC9D3DD"/>
      </top>
      <bottom style="thin">
        <color rgb="FFC9D3DD"/>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9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true" applyAlignment="true" applyProtection="false">
      <alignment horizontal="general" vertical="top" textRotation="0" wrapText="true" indent="0" shrinkToFit="false"/>
      <protection locked="true" hidden="false"/>
    </xf>
    <xf numFmtId="164" fontId="5" fillId="2" borderId="1" xfId="0" applyFont="true" applyBorder="true" applyAlignment="true" applyProtection="false">
      <alignment horizontal="general" vertical="top" textRotation="0" wrapText="true" indent="0" shrinkToFit="false"/>
      <protection locked="true" hidden="false"/>
    </xf>
    <xf numFmtId="164" fontId="5" fillId="3" borderId="1" xfId="0" applyFont="true" applyBorder="true" applyAlignment="false" applyProtection="false">
      <alignment horizontal="general" vertical="bottom" textRotation="0" wrapText="false" indent="0" shrinkToFit="false"/>
      <protection locked="true" hidden="false"/>
    </xf>
    <xf numFmtId="164" fontId="6" fillId="4" borderId="1" xfId="0" applyFont="true" applyBorder="true" applyAlignment="true" applyProtection="false">
      <alignment horizontal="general" vertical="top" textRotation="0" wrapText="true" indent="0" shrinkToFit="false"/>
      <protection locked="true" hidden="false"/>
    </xf>
    <xf numFmtId="164" fontId="0" fillId="0" borderId="1" xfId="0" applyFont="true" applyBorder="true" applyAlignment="true" applyProtection="false">
      <alignment horizontal="general" vertical="top" textRotation="0" wrapText="true" indent="0" shrinkToFit="false"/>
      <protection locked="true" hidden="false"/>
    </xf>
    <xf numFmtId="164" fontId="6" fillId="4" borderId="1" xfId="0" applyFont="true" applyBorder="true" applyAlignment="true" applyProtection="false">
      <alignment horizontal="general" vertical="center" textRotation="0" wrapText="true" indent="0" shrinkToFit="false"/>
      <protection locked="true" hidden="false"/>
    </xf>
    <xf numFmtId="164" fontId="5" fillId="2" borderId="0" xfId="0" applyFont="true" applyBorder="fals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4" fontId="5" fillId="2" borderId="1" xfId="0" applyFont="true" applyBorder="true" applyAlignment="false" applyProtection="false">
      <alignment horizontal="general" vertical="bottom" textRotation="0" wrapText="false" indent="0" shrinkToFit="false"/>
      <protection locked="true" hidden="false"/>
    </xf>
    <xf numFmtId="165" fontId="5" fillId="0" borderId="1" xfId="0" applyFont="true" applyBorder="true" applyAlignment="false" applyProtection="false">
      <alignment horizontal="general" vertical="bottom" textRotation="0" wrapText="false" indent="0" shrinkToFit="false"/>
      <protection locked="true" hidden="false"/>
    </xf>
    <xf numFmtId="166" fontId="5" fillId="0"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4" fontId="0" fillId="3" borderId="1" xfId="0" applyFont="true" applyBorder="true" applyAlignment="false" applyProtection="false">
      <alignment horizontal="general" vertical="bottom" textRotation="0" wrapText="false" indent="0" shrinkToFit="false"/>
      <protection locked="true" hidden="false"/>
    </xf>
    <xf numFmtId="164" fontId="0" fillId="5" borderId="1" xfId="0" applyFont="true" applyBorder="true" applyAlignment="true" applyProtection="false">
      <alignment horizontal="general" vertical="top" textRotation="0" wrapText="true" indent="0" shrinkToFit="false"/>
      <protection locked="true" hidden="false"/>
    </xf>
    <xf numFmtId="167" fontId="0" fillId="0" borderId="1" xfId="0" applyFont="false" applyBorder="true" applyAlignment="true" applyProtection="false">
      <alignment horizontal="general" vertical="top" textRotation="0" wrapText="true" indent="0" shrinkToFit="false"/>
      <protection locked="true" hidden="false"/>
    </xf>
    <xf numFmtId="166" fontId="0" fillId="0" borderId="1" xfId="0" applyFont="false" applyBorder="true" applyAlignment="true" applyProtection="false">
      <alignment horizontal="general" vertical="top" textRotation="0" wrapText="true" indent="0" shrinkToFit="false"/>
      <protection locked="true" hidden="false"/>
    </xf>
    <xf numFmtId="168" fontId="0" fillId="0" borderId="1" xfId="0" applyFont="false" applyBorder="true" applyAlignment="true" applyProtection="false">
      <alignment horizontal="general" vertical="top" textRotation="0" wrapText="tru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true" applyAlignment="true" applyProtection="false">
      <alignment horizontal="general" vertical="top" textRotation="0" wrapText="true" indent="0" shrinkToFit="false"/>
      <protection locked="true" hidden="false"/>
    </xf>
    <xf numFmtId="164" fontId="6" fillId="6" borderId="0" xfId="0" applyFont="true" applyBorder="false" applyAlignment="true" applyProtection="false">
      <alignment horizontal="general" vertical="bottom" textRotation="0" wrapText="false" indent="0" shrinkToFit="false"/>
      <protection locked="true" hidden="false"/>
    </xf>
    <xf numFmtId="164" fontId="10" fillId="3" borderId="0" xfId="0" applyFont="true" applyBorder="false" applyAlignment="tru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64" fontId="0" fillId="7" borderId="0" xfId="0" applyFont="false" applyBorder="false" applyAlignment="true" applyProtection="false">
      <alignment horizontal="general" vertical="bottom" textRotation="0" wrapText="false" indent="0" shrinkToFit="false"/>
      <protection locked="true" hidden="false"/>
    </xf>
    <xf numFmtId="169" fontId="10" fillId="3" borderId="0" xfId="0" applyFont="true" applyBorder="false" applyAlignment="true" applyProtection="false">
      <alignment horizontal="general" vertical="bottom" textRotation="0" wrapText="false" indent="0" shrinkToFit="false"/>
      <protection locked="true" hidden="false"/>
    </xf>
    <xf numFmtId="169" fontId="11" fillId="0" borderId="0" xfId="0" applyFont="true" applyBorder="false" applyAlignment="true" applyProtection="false">
      <alignment horizontal="general" vertical="bottom" textRotation="0" wrapText="false" indent="0" shrinkToFit="false"/>
      <protection locked="true" hidden="false"/>
    </xf>
    <xf numFmtId="170" fontId="11" fillId="0" borderId="0" xfId="0" applyFont="true" applyBorder="false" applyAlignment="true" applyProtection="false">
      <alignment horizontal="general" vertical="bottom" textRotation="0" wrapText="false" indent="0" shrinkToFit="false"/>
      <protection locked="true" hidden="false"/>
    </xf>
    <xf numFmtId="170" fontId="0" fillId="7" borderId="0" xfId="0" applyFont="false" applyBorder="false" applyAlignment="true" applyProtection="false">
      <alignment horizontal="general" vertical="bottom" textRotation="0" wrapText="false" indent="0" shrinkToFit="false"/>
      <protection locked="true" hidden="false"/>
    </xf>
    <xf numFmtId="167" fontId="11" fillId="0" borderId="0" xfId="0" applyFont="true" applyBorder="false" applyAlignment="true" applyProtection="false">
      <alignment horizontal="general" vertical="bottom" textRotation="0" wrapText="false" indent="0" shrinkToFit="false"/>
      <protection locked="true" hidden="false"/>
    </xf>
    <xf numFmtId="167" fontId="0" fillId="7" borderId="0" xfId="0" applyFont="false" applyBorder="false" applyAlignment="true" applyProtection="false">
      <alignment horizontal="general" vertical="bottom" textRotation="0" wrapText="false" indent="0" shrinkToFit="false"/>
      <protection locked="true" hidden="false"/>
    </xf>
    <xf numFmtId="164" fontId="6" fillId="6" borderId="0" xfId="0" applyFont="true" applyBorder="false" applyAlignment="true" applyProtection="false">
      <alignment horizontal="general" vertical="top" textRotation="0" wrapText="true" indent="0" shrinkToFit="false"/>
      <protection locked="true" hidden="false"/>
    </xf>
    <xf numFmtId="171" fontId="0" fillId="8" borderId="0" xfId="0" applyFont="false" applyBorder="false" applyAlignment="true" applyProtection="false">
      <alignment horizontal="general" vertical="bottom" textRotation="0" wrapText="false" indent="0" shrinkToFit="false"/>
      <protection locked="true" hidden="false"/>
    </xf>
    <xf numFmtId="172" fontId="0" fillId="8" borderId="0" xfId="0" applyFont="false" applyBorder="false" applyAlignment="true" applyProtection="false">
      <alignment horizontal="general" vertical="bottom" textRotation="0" wrapText="false" indent="0" shrinkToFit="false"/>
      <protection locked="true" hidden="false"/>
    </xf>
    <xf numFmtId="164" fontId="0" fillId="8" borderId="0" xfId="0" applyFont="false" applyBorder="false" applyAlignment="true" applyProtection="false">
      <alignment horizontal="general" vertical="bottom" textRotation="0" wrapText="false" indent="0" shrinkToFit="false"/>
      <protection locked="true" hidden="false"/>
    </xf>
    <xf numFmtId="170" fontId="0" fillId="8" borderId="0" xfId="0" applyFont="false" applyBorder="false" applyAlignment="true" applyProtection="false">
      <alignment horizontal="general" vertical="bottom" textRotation="0" wrapText="false" indent="0" shrinkToFit="false"/>
      <protection locked="true" hidden="false"/>
    </xf>
    <xf numFmtId="173" fontId="0" fillId="8" borderId="0" xfId="0" applyFont="false" applyBorder="false" applyAlignment="true" applyProtection="false">
      <alignment horizontal="general" vertical="bottom" textRotation="0" wrapText="false" indent="0" shrinkToFit="false"/>
      <protection locked="true" hidden="false"/>
    </xf>
    <xf numFmtId="174" fontId="0" fillId="8" borderId="0" xfId="0" applyFont="false" applyBorder="false" applyAlignment="true" applyProtection="false">
      <alignment horizontal="general" vertical="bottom" textRotation="0" wrapText="false" indent="0" shrinkToFit="false"/>
      <protection locked="true" hidden="false"/>
    </xf>
    <xf numFmtId="169" fontId="0" fillId="8" borderId="0" xfId="0" applyFont="false" applyBorder="false" applyAlignment="true" applyProtection="false">
      <alignment horizontal="general" vertical="bottom" textRotation="0" wrapText="false" indent="0" shrinkToFit="false"/>
      <protection locked="true" hidden="false"/>
    </xf>
    <xf numFmtId="167" fontId="0" fillId="8" borderId="0" xfId="0" applyFont="false" applyBorder="false" applyAlignment="true" applyProtection="false">
      <alignment horizontal="general" vertical="bottom" textRotation="0" wrapText="false" indent="0" shrinkToFit="false"/>
      <protection locked="true" hidden="false"/>
    </xf>
    <xf numFmtId="166" fontId="0" fillId="8" borderId="0" xfId="0" applyFont="false" applyBorder="false" applyAlignment="true" applyProtection="false">
      <alignment horizontal="general" vertical="bottom" textRotation="0" wrapText="false" indent="0" shrinkToFit="false"/>
      <protection locked="true" hidden="false"/>
    </xf>
    <xf numFmtId="175" fontId="0" fillId="9" borderId="0" xfId="0" applyFont="false" applyBorder="false" applyAlignment="true" applyProtection="false">
      <alignment horizontal="general" vertical="bottom" textRotation="0" wrapText="false" indent="0" shrinkToFit="false"/>
      <protection locked="true" hidden="false"/>
    </xf>
    <xf numFmtId="176" fontId="0" fillId="0" borderId="0" xfId="0" applyFont="false" applyBorder="false" applyAlignment="true" applyProtection="false">
      <alignment horizontal="general" vertical="bottom" textRotation="0" wrapText="false" indent="0" shrinkToFit="false"/>
      <protection locked="true" hidden="false"/>
    </xf>
    <xf numFmtId="177" fontId="0" fillId="0" borderId="0" xfId="0" applyFont="fals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70" fontId="0" fillId="0" borderId="0" xfId="0" applyFont="false" applyBorder="false" applyAlignment="true" applyProtection="false">
      <alignment horizontal="general" vertical="bottom" textRotation="0" wrapText="false" indent="0" shrinkToFit="false"/>
      <protection locked="true" hidden="false"/>
    </xf>
    <xf numFmtId="164" fontId="10" fillId="9" borderId="0" xfId="0" applyFont="true" applyBorder="false" applyAlignment="true" applyProtection="false">
      <alignment horizontal="general" vertical="bottom" textRotation="0" wrapText="false" indent="0" shrinkToFit="false"/>
      <protection locked="true" hidden="false"/>
    </xf>
    <xf numFmtId="164" fontId="0" fillId="6" borderId="0" xfId="0" applyFont="false" applyBorder="false" applyAlignment="true" applyProtection="false">
      <alignment horizontal="general" vertical="bottom" textRotation="0" wrapText="false" indent="0" shrinkToFit="false"/>
      <protection locked="true" hidden="false"/>
    </xf>
    <xf numFmtId="164" fontId="12" fillId="0" borderId="0" xfId="0" applyFont="true" applyBorder="false" applyAlignment="true" applyProtection="false">
      <alignment horizontal="general" vertical="bottom" textRotation="0" wrapText="false" indent="0" shrinkToFit="false"/>
      <protection locked="true" hidden="false"/>
    </xf>
    <xf numFmtId="164" fontId="13" fillId="0" borderId="0" xfId="0" applyFont="true" applyBorder="false" applyAlignment="true" applyProtection="false">
      <alignment horizontal="general" vertical="bottom" textRotation="0" wrapText="false" indent="0" shrinkToFit="false"/>
      <protection locked="true" hidden="false"/>
    </xf>
    <xf numFmtId="164" fontId="14" fillId="0" borderId="0" xfId="0" applyFont="true" applyBorder="false" applyAlignment="true" applyProtection="false">
      <alignment horizontal="general" vertical="bottom" textRotation="0" wrapText="false" indent="0" shrinkToFit="false"/>
      <protection locked="true" hidden="false"/>
    </xf>
    <xf numFmtId="164" fontId="15" fillId="0" borderId="0" xfId="0" applyFont="true" applyBorder="false" applyAlignment="true" applyProtection="false">
      <alignment horizontal="general" vertical="bottom" textRotation="0" wrapText="false" indent="0" shrinkToFit="false"/>
      <protection locked="true" hidden="false"/>
    </xf>
    <xf numFmtId="164" fontId="16" fillId="0" borderId="0" xfId="0" applyFont="true" applyBorder="false" applyAlignment="true" applyProtection="false">
      <alignment horizontal="general" vertical="bottom" textRotation="0" wrapText="false" indent="0" shrinkToFit="false"/>
      <protection locked="true" hidden="false"/>
    </xf>
    <xf numFmtId="164" fontId="17" fillId="10" borderId="0" xfId="0" applyFont="true" applyBorder="false" applyAlignment="true" applyProtection="false">
      <alignment horizontal="general" vertical="bottom" textRotation="0" wrapText="false" indent="0" shrinkToFit="false"/>
      <protection locked="true" hidden="false"/>
    </xf>
    <xf numFmtId="164" fontId="18" fillId="10" borderId="0" xfId="0" applyFont="true" applyBorder="false" applyAlignment="true" applyProtection="false">
      <alignment horizontal="general" vertical="bottom" textRotation="0" wrapText="false" indent="0" shrinkToFit="false"/>
      <protection locked="true" hidden="false"/>
    </xf>
    <xf numFmtId="164" fontId="19" fillId="10" borderId="0" xfId="0" applyFont="true" applyBorder="false" applyAlignment="true" applyProtection="false">
      <alignment horizontal="general" vertical="bottom" textRotation="0" wrapText="false" indent="0" shrinkToFit="false"/>
      <protection locked="true" hidden="false"/>
    </xf>
    <xf numFmtId="164" fontId="0" fillId="10" borderId="0" xfId="0" applyFont="false" applyBorder="false" applyAlignment="true" applyProtection="false">
      <alignment horizontal="general" vertical="bottom" textRotation="0" wrapText="false" indent="0" shrinkToFit="false"/>
      <protection locked="true" hidden="false"/>
    </xf>
    <xf numFmtId="164" fontId="20" fillId="0" borderId="0" xfId="0" applyFont="true" applyBorder="false" applyAlignment="true" applyProtection="false">
      <alignment horizontal="general" vertical="bottom" textRotation="0" wrapText="false" indent="0" shrinkToFit="false"/>
      <protection locked="true" hidden="false"/>
    </xf>
    <xf numFmtId="171" fontId="21" fillId="3" borderId="2" xfId="0" applyFont="true" applyBorder="true" applyAlignment="true" applyProtection="false">
      <alignment horizontal="right" vertical="bottom" textRotation="0" wrapText="false" indent="0" shrinkToFit="false"/>
      <protection locked="true" hidden="false"/>
    </xf>
    <xf numFmtId="164" fontId="22" fillId="0" borderId="0" xfId="0" applyFont="true" applyBorder="false" applyAlignment="true" applyProtection="false">
      <alignment horizontal="general" vertical="bottom" textRotation="0" wrapText="false" indent="0" shrinkToFit="false"/>
      <protection locked="true" hidden="false"/>
    </xf>
    <xf numFmtId="164" fontId="23" fillId="0" borderId="0" xfId="0" applyFont="true" applyBorder="false" applyAlignment="true" applyProtection="false">
      <alignment horizontal="general" vertical="top" textRotation="0" wrapText="true" indent="0" shrinkToFit="false"/>
      <protection locked="true" hidden="false"/>
    </xf>
    <xf numFmtId="171" fontId="24" fillId="11" borderId="0" xfId="0" applyFont="true" applyBorder="false" applyAlignment="true" applyProtection="false">
      <alignment horizontal="right" vertical="bottom" textRotation="0" wrapText="false" indent="0" shrinkToFit="false"/>
      <protection locked="true" hidden="false"/>
    </xf>
    <xf numFmtId="171" fontId="25" fillId="0" borderId="0" xfId="0" applyFont="true" applyBorder="false" applyAlignment="true" applyProtection="false">
      <alignment horizontal="right" vertical="bottom" textRotation="0" wrapText="false" indent="0" shrinkToFit="false"/>
      <protection locked="true" hidden="false"/>
    </xf>
    <xf numFmtId="164" fontId="21" fillId="3" borderId="2" xfId="0" applyFont="true" applyBorder="true" applyAlignment="true" applyProtection="false">
      <alignment horizontal="right" vertical="bottom" textRotation="0" wrapText="false" indent="0" shrinkToFit="false"/>
      <protection locked="true" hidden="false"/>
    </xf>
    <xf numFmtId="164" fontId="24" fillId="11" borderId="0" xfId="0" applyFont="true" applyBorder="false" applyAlignment="true" applyProtection="false">
      <alignment horizontal="right" vertical="bottom" textRotation="0" wrapText="false" indent="0" shrinkToFit="false"/>
      <protection locked="true" hidden="false"/>
    </xf>
    <xf numFmtId="164" fontId="25" fillId="0" borderId="0" xfId="0" applyFont="true" applyBorder="false" applyAlignment="true" applyProtection="false">
      <alignment horizontal="right" vertical="bottom" textRotation="0" wrapText="false" indent="0" shrinkToFit="false"/>
      <protection locked="true" hidden="false"/>
    </xf>
    <xf numFmtId="166" fontId="21" fillId="3" borderId="2" xfId="0" applyFont="true" applyBorder="true" applyAlignment="true" applyProtection="false">
      <alignment horizontal="right" vertical="bottom" textRotation="0" wrapText="false" indent="0" shrinkToFit="false"/>
      <protection locked="true" hidden="false"/>
    </xf>
    <xf numFmtId="164" fontId="26" fillId="0" borderId="0" xfId="0" applyFont="true" applyBorder="false" applyAlignment="true" applyProtection="false">
      <alignment horizontal="general" vertical="top" textRotation="0" wrapText="true" indent="0" shrinkToFit="false"/>
      <protection locked="true" hidden="false"/>
    </xf>
    <xf numFmtId="166" fontId="24" fillId="11" borderId="0" xfId="0" applyFont="true" applyBorder="false" applyAlignment="true" applyProtection="false">
      <alignment horizontal="right" vertical="bottom" textRotation="0" wrapText="false" indent="0" shrinkToFit="false"/>
      <protection locked="true" hidden="false"/>
    </xf>
    <xf numFmtId="166" fontId="25" fillId="0" borderId="0" xfId="0" applyFont="true" applyBorder="false" applyAlignment="true" applyProtection="false">
      <alignment horizontal="right" vertical="bottom" textRotation="0" wrapText="false" indent="0" shrinkToFit="false"/>
      <protection locked="true" hidden="false"/>
    </xf>
    <xf numFmtId="173" fontId="21" fillId="3" borderId="2" xfId="0" applyFont="true" applyBorder="true" applyAlignment="true" applyProtection="false">
      <alignment horizontal="right" vertical="bottom" textRotation="0" wrapText="false" indent="0" shrinkToFit="false"/>
      <protection locked="true" hidden="false"/>
    </xf>
    <xf numFmtId="173" fontId="24" fillId="11" borderId="0" xfId="0" applyFont="true" applyBorder="false" applyAlignment="true" applyProtection="false">
      <alignment horizontal="right" vertical="bottom" textRotation="0" wrapText="false" indent="0" shrinkToFit="false"/>
      <protection locked="true" hidden="false"/>
    </xf>
    <xf numFmtId="173" fontId="25" fillId="0" borderId="0" xfId="0" applyFont="true" applyBorder="false" applyAlignment="true" applyProtection="false">
      <alignment horizontal="right" vertical="bottom" textRotation="0" wrapText="false" indent="0" shrinkToFit="false"/>
      <protection locked="true" hidden="false"/>
    </xf>
    <xf numFmtId="171" fontId="27" fillId="7" borderId="2" xfId="0" applyFont="true" applyBorder="true" applyAlignment="true" applyProtection="false">
      <alignment horizontal="right" vertical="bottom" textRotation="0" wrapText="false" indent="0" shrinkToFit="true"/>
      <protection locked="true" hidden="false"/>
    </xf>
    <xf numFmtId="164" fontId="28" fillId="0" borderId="0" xfId="0" applyFont="true" applyBorder="false" applyAlignment="true" applyProtection="false">
      <alignment horizontal="general" vertical="top" textRotation="0" wrapText="true" indent="0" shrinkToFit="false"/>
      <protection locked="true" hidden="false"/>
    </xf>
    <xf numFmtId="171" fontId="20" fillId="11" borderId="2" xfId="0" applyFont="true" applyBorder="true" applyAlignment="true" applyProtection="false">
      <alignment horizontal="right" vertical="bottom" textRotation="0" wrapText="false" indent="0" shrinkToFit="true"/>
      <protection locked="true" hidden="false"/>
    </xf>
    <xf numFmtId="178" fontId="20" fillId="11" borderId="2" xfId="0" applyFont="true" applyBorder="true" applyAlignment="true" applyProtection="false">
      <alignment horizontal="right" vertical="bottom" textRotation="0" wrapText="false" indent="0" shrinkToFit="true"/>
      <protection locked="true" hidden="false"/>
    </xf>
    <xf numFmtId="164" fontId="20" fillId="11" borderId="2" xfId="0" applyFont="true" applyBorder="true" applyAlignment="true" applyProtection="false">
      <alignment horizontal="right" vertical="bottom" textRotation="0" wrapText="false" indent="0" shrinkToFit="true"/>
      <protection locked="true" hidden="false"/>
    </xf>
    <xf numFmtId="164" fontId="25" fillId="0" borderId="0" xfId="0" applyFont="true" applyBorder="true" applyAlignment="true" applyProtection="false">
      <alignment horizontal="general" vertical="top" textRotation="0" wrapText="true" indent="0" shrinkToFit="false"/>
      <protection locked="true" hidden="false"/>
    </xf>
    <xf numFmtId="164" fontId="29" fillId="0" borderId="0" xfId="0" applyFont="true" applyBorder="true" applyAlignment="true" applyProtection="false">
      <alignment horizontal="general" vertical="top" textRotation="0" wrapText="true" indent="0" shrinkToFit="false"/>
      <protection locked="true" hidden="false"/>
    </xf>
    <xf numFmtId="164" fontId="30" fillId="11" borderId="2" xfId="0" applyFont="true" applyBorder="true" applyAlignment="true" applyProtection="false">
      <alignment horizontal="right" vertical="bottom" textRotation="0" wrapText="false" indent="0" shrinkToFit="true"/>
      <protection locked="true" hidden="false"/>
    </xf>
    <xf numFmtId="164" fontId="28" fillId="0" borderId="0" xfId="0" applyFont="true" applyBorder="false" applyAlignment="true" applyProtection="false">
      <alignment horizontal="general" vertical="bottom" textRotation="0" wrapText="false" indent="0" shrinkToFit="false"/>
      <protection locked="true" hidden="false"/>
    </xf>
    <xf numFmtId="171" fontId="30" fillId="11" borderId="2" xfId="0" applyFont="true" applyBorder="true" applyAlignment="true" applyProtection="false">
      <alignment horizontal="right" vertical="bottom" textRotation="0" wrapText="false" indent="0" shrinkToFit="true"/>
      <protection locked="true" hidden="false"/>
    </xf>
    <xf numFmtId="173" fontId="30" fillId="11" borderId="2" xfId="0" applyFont="true" applyBorder="true" applyAlignment="true" applyProtection="false">
      <alignment horizontal="right" vertical="bottom" textRotation="0" wrapText="false" indent="0" shrinkToFit="true"/>
      <protection locked="true" hidden="false"/>
    </xf>
    <xf numFmtId="164" fontId="23" fillId="0" borderId="0" xfId="0" applyFont="true" applyBorder="false" applyAlignment="true" applyProtection="false">
      <alignment horizontal="general" vertical="bottom" textRotation="0" wrapText="false" indent="0" shrinkToFit="false"/>
      <protection locked="true" hidden="false"/>
    </xf>
    <xf numFmtId="164" fontId="32" fillId="0" borderId="0" xfId="0" applyFont="true" applyBorder="true" applyAlignment="true" applyProtection="false">
      <alignment horizontal="general" vertical="top" textRotation="0" wrapText="true" indent="0" shrinkToFit="false"/>
      <protection locked="true" hidden="false"/>
    </xf>
    <xf numFmtId="171" fontId="21" fillId="8" borderId="2" xfId="0" applyFont="true" applyBorder="true" applyAlignment="true" applyProtection="false">
      <alignment horizontal="right" vertical="bottom" textRotation="0" wrapText="false" indent="0" shrinkToFit="false"/>
      <protection locked="true" hidden="false"/>
    </xf>
    <xf numFmtId="166" fontId="21" fillId="8" borderId="2" xfId="0" applyFont="true" applyBorder="true" applyAlignment="true" applyProtection="false">
      <alignment horizontal="right" vertical="bottom" textRotation="0" wrapText="false" indent="0" shrinkToFit="false"/>
      <protection locked="true" hidden="false"/>
    </xf>
    <xf numFmtId="173" fontId="21" fillId="8" borderId="2" xfId="0" applyFont="true" applyBorder="true" applyAlignment="true" applyProtection="false">
      <alignment horizontal="right" vertical="bottom" textRotation="0" wrapText="false" indent="0" shrinkToFit="false"/>
      <protection locked="true" hidden="false"/>
    </xf>
    <xf numFmtId="179" fontId="21" fillId="8" borderId="2" xfId="0" applyFont="true" applyBorder="true" applyAlignment="true" applyProtection="false">
      <alignment horizontal="right" vertical="bottom" textRotation="0" wrapText="false" indent="0" shrinkToFit="false"/>
      <protection locked="true" hidden="false"/>
    </xf>
    <xf numFmtId="171" fontId="30" fillId="11" borderId="2" xfId="0" applyFont="true" applyBorder="true" applyAlignment="true" applyProtection="false">
      <alignment horizontal="right" vertical="bottom" textRotation="0" wrapText="false" indent="0" shrinkToFit="false"/>
      <protection locked="true" hidden="false"/>
    </xf>
    <xf numFmtId="164" fontId="33" fillId="0" borderId="0" xfId="0" applyFont="true" applyBorder="false" applyAlignment="true" applyProtection="false">
      <alignment horizontal="general" vertical="bottom" textRotation="0" wrapText="false" indent="0" shrinkToFit="false"/>
      <protection locked="true" hidden="false"/>
    </xf>
    <xf numFmtId="166" fontId="30" fillId="11" borderId="2" xfId="0" applyFont="true" applyBorder="true" applyAlignment="true" applyProtection="false">
      <alignment horizontal="right" vertical="bottom" textRotation="0" wrapText="false" indent="0" shrinkToFit="false"/>
      <protection locked="true" hidden="false"/>
    </xf>
    <xf numFmtId="173" fontId="30" fillId="11" borderId="2" xfId="0" applyFont="true" applyBorder="true" applyAlignment="true" applyProtection="false">
      <alignment horizontal="right" vertical="bottom" textRotation="0" wrapText="false" indent="0" shrinkToFit="false"/>
      <protection locked="true" hidden="false"/>
    </xf>
    <xf numFmtId="173" fontId="27" fillId="7" borderId="2" xfId="0" applyFont="true" applyBorder="true" applyAlignment="true" applyProtection="false">
      <alignment horizontal="right" vertical="bottom" textRotation="0" wrapText="false" indent="0" shrinkToFit="true"/>
      <protection locked="true" hidden="false"/>
    </xf>
    <xf numFmtId="164" fontId="30" fillId="0" borderId="0" xfId="0" applyFont="true" applyBorder="false" applyAlignment="true" applyProtection="false">
      <alignment horizontal="general" vertical="bottom" textRotation="0" wrapText="true" indent="0" shrinkToFit="false"/>
      <protection locked="true" hidden="false"/>
    </xf>
    <xf numFmtId="180" fontId="20" fillId="11" borderId="2" xfId="0" applyFont="true" applyBorder="true" applyAlignment="true" applyProtection="false">
      <alignment horizontal="right" vertical="bottom" textRotation="0" wrapText="false" indent="0" shrinkToFit="true"/>
      <protection locked="true" hidden="false"/>
    </xf>
    <xf numFmtId="166" fontId="20" fillId="11" borderId="2" xfId="0" applyFont="true" applyBorder="true" applyAlignment="true" applyProtection="false">
      <alignment horizontal="right" vertical="bottom" textRotation="0" wrapText="false" indent="0" shrinkToFit="true"/>
      <protection locked="true" hidden="false"/>
    </xf>
    <xf numFmtId="173" fontId="20" fillId="11" borderId="2" xfId="0" applyFont="true" applyBorder="true" applyAlignment="true" applyProtection="false">
      <alignment horizontal="right" vertical="bottom" textRotation="0" wrapText="false" indent="0" shrinkToFit="true"/>
      <protection locked="true" hidden="false"/>
    </xf>
    <xf numFmtId="164" fontId="20" fillId="0" borderId="0" xfId="0" applyFont="true" applyBorder="false" applyAlignment="true" applyProtection="false">
      <alignment horizontal="general" vertical="bottom" textRotation="0" wrapText="true" indent="0" shrinkToFit="false"/>
      <protection locked="true" hidden="false"/>
    </xf>
    <xf numFmtId="164" fontId="32" fillId="0" borderId="0" xfId="0" applyFont="true" applyBorder="true" applyAlignment="true" applyProtection="false">
      <alignment horizontal="general" vertical="bottom" textRotation="0" wrapText="false" indent="0" shrinkToFit="false"/>
      <protection locked="true" hidden="false"/>
    </xf>
    <xf numFmtId="166" fontId="30" fillId="11" borderId="2" xfId="0" applyFont="true" applyBorder="true" applyAlignment="true" applyProtection="false">
      <alignment horizontal="right" vertical="bottom" textRotation="0" wrapText="false" indent="0" shrinkToFit="true"/>
      <protection locked="true" hidden="false"/>
    </xf>
    <xf numFmtId="181" fontId="27" fillId="7" borderId="2" xfId="0" applyFont="true" applyBorder="true" applyAlignment="true" applyProtection="false">
      <alignment horizontal="right" vertical="bottom" textRotation="0" wrapText="false" indent="0" shrinkToFit="true"/>
      <protection locked="true" hidden="false"/>
    </xf>
    <xf numFmtId="164" fontId="21" fillId="8" borderId="2" xfId="0" applyFont="true" applyBorder="true" applyAlignment="true" applyProtection="false">
      <alignment horizontal="right" vertical="bottom" textRotation="0" wrapText="false" indent="0" shrinkToFit="false"/>
      <protection locked="true" hidden="false"/>
    </xf>
    <xf numFmtId="164" fontId="34" fillId="0" borderId="0" xfId="0" applyFont="true" applyBorder="false" applyAlignment="true" applyProtection="false">
      <alignment horizontal="general" vertical="bottom" textRotation="0" wrapText="false" indent="0" shrinkToFit="false"/>
      <protection locked="true" hidden="false"/>
    </xf>
    <xf numFmtId="164" fontId="34" fillId="12" borderId="0" xfId="0" applyFont="true" applyBorder="true" applyAlignment="true" applyProtection="false">
      <alignment horizontal="general" vertical="bottom" textRotation="0" wrapText="false" indent="0" shrinkToFit="false"/>
      <protection locked="true" hidden="false"/>
    </xf>
    <xf numFmtId="172" fontId="21" fillId="3" borderId="2" xfId="0" applyFont="true" applyBorder="true" applyAlignment="true" applyProtection="false">
      <alignment horizontal="right" vertical="bottom" textRotation="0" wrapText="false" indent="0" shrinkToFit="false"/>
      <protection locked="true" hidden="false"/>
    </xf>
    <xf numFmtId="172" fontId="24" fillId="11" borderId="0" xfId="0" applyFont="true" applyBorder="false" applyAlignment="true" applyProtection="false">
      <alignment horizontal="right" vertical="bottom" textRotation="0" wrapText="false" indent="0" shrinkToFit="false"/>
      <protection locked="true" hidden="false"/>
    </xf>
    <xf numFmtId="172" fontId="25" fillId="0" borderId="0" xfId="0" applyFont="true" applyBorder="false" applyAlignment="true" applyProtection="false">
      <alignment horizontal="right" vertical="bottom" textRotation="0" wrapText="false" indent="0" shrinkToFit="false"/>
      <protection locked="true" hidden="false"/>
    </xf>
    <xf numFmtId="170" fontId="20" fillId="11" borderId="2" xfId="0" applyFont="true" applyBorder="true" applyAlignment="true" applyProtection="false">
      <alignment horizontal="right" vertical="bottom" textRotation="0" wrapText="false" indent="0" shrinkToFit="true"/>
      <protection locked="true" hidden="false"/>
    </xf>
    <xf numFmtId="164" fontId="29" fillId="11" borderId="0" xfId="0" applyFont="true" applyBorder="false" applyAlignment="true" applyProtection="false">
      <alignment horizontal="general" vertical="bottom" textRotation="0" wrapText="true" indent="0" shrinkToFit="false"/>
      <protection locked="true" hidden="false"/>
    </xf>
    <xf numFmtId="173" fontId="25" fillId="0" borderId="0" xfId="0" applyFont="true" applyBorder="false" applyAlignment="true" applyProtection="false">
      <alignment horizontal="general" vertical="bottom" textRotation="0" wrapText="false" indent="0" shrinkToFit="false"/>
      <protection locked="true" hidden="false"/>
    </xf>
    <xf numFmtId="171" fontId="25" fillId="0" borderId="0" xfId="0" applyFont="true" applyBorder="false" applyAlignment="true" applyProtection="false">
      <alignment horizontal="general" vertical="bottom" textRotation="0" wrapText="false" indent="0" shrinkToFit="false"/>
      <protection locked="true" hidden="false"/>
    </xf>
    <xf numFmtId="180" fontId="27" fillId="7" borderId="2" xfId="0" applyFont="true" applyBorder="true" applyAlignment="true" applyProtection="false">
      <alignment horizontal="right" vertical="bottom" textRotation="0" wrapText="false" indent="0" shrinkToFit="true"/>
      <protection locked="true" hidden="false"/>
    </xf>
    <xf numFmtId="174" fontId="21" fillId="3" borderId="2" xfId="0" applyFont="true" applyBorder="true" applyAlignment="true" applyProtection="false">
      <alignment horizontal="right" vertical="bottom" textRotation="0" wrapText="false" indent="0" shrinkToFit="false"/>
      <protection locked="true" hidden="false"/>
    </xf>
    <xf numFmtId="174" fontId="24" fillId="11" borderId="0" xfId="0" applyFont="true" applyBorder="false" applyAlignment="true" applyProtection="false">
      <alignment horizontal="right" vertical="bottom" textRotation="0" wrapText="false" indent="0" shrinkToFit="false"/>
      <protection locked="true" hidden="false"/>
    </xf>
    <xf numFmtId="174" fontId="25" fillId="0" borderId="0" xfId="0" applyFont="true" applyBorder="false" applyAlignment="true" applyProtection="false">
      <alignment horizontal="right" vertical="bottom" textRotation="0" wrapText="false" indent="0" shrinkToFit="false"/>
      <protection locked="true" hidden="false"/>
    </xf>
    <xf numFmtId="181" fontId="20" fillId="11" borderId="2" xfId="0" applyFont="true" applyBorder="true" applyAlignment="true" applyProtection="false">
      <alignment horizontal="right" vertical="bottom" textRotation="0" wrapText="false" indent="0" shrinkToFit="true"/>
      <protection locked="true" hidden="false"/>
    </xf>
    <xf numFmtId="165" fontId="0" fillId="13" borderId="1" xfId="0" applyFont="false" applyBorder="true" applyAlignment="false" applyProtection="false">
      <alignment horizontal="general" vertical="bottom" textRotation="0" wrapText="false" indent="0" shrinkToFit="false"/>
      <protection locked="true" hidden="false"/>
    </xf>
    <xf numFmtId="165" fontId="0" fillId="0" borderId="1" xfId="0" applyFont="false" applyBorder="true" applyAlignment="false" applyProtection="false">
      <alignment horizontal="general" vertical="bottom" textRotation="0" wrapText="false" indent="0" shrinkToFit="false"/>
      <protection locked="true" hidden="false"/>
    </xf>
    <xf numFmtId="165" fontId="0" fillId="3" borderId="1" xfId="0" applyFont="false" applyBorder="true" applyAlignment="false" applyProtection="false">
      <alignment horizontal="general" vertical="bottom" textRotation="0" wrapText="false" indent="0" shrinkToFit="false"/>
      <protection locked="true" hidden="false"/>
    </xf>
    <xf numFmtId="170" fontId="0" fillId="13" borderId="1" xfId="0" applyFont="false" applyBorder="true" applyAlignment="false" applyProtection="false">
      <alignment horizontal="general" vertical="bottom" textRotation="0" wrapText="false" indent="0" shrinkToFit="false"/>
      <protection locked="true" hidden="false"/>
    </xf>
    <xf numFmtId="170" fontId="0" fillId="0" borderId="1" xfId="0" applyFont="false" applyBorder="true" applyAlignment="false" applyProtection="false">
      <alignment horizontal="general" vertical="bottom" textRotation="0" wrapText="false" indent="0" shrinkToFit="false"/>
      <protection locked="true" hidden="false"/>
    </xf>
    <xf numFmtId="170" fontId="0" fillId="3" borderId="1" xfId="0" applyFont="false" applyBorder="true" applyAlignment="false" applyProtection="false">
      <alignment horizontal="general" vertical="bottom" textRotation="0" wrapText="false" indent="0" shrinkToFit="false"/>
      <protection locked="true" hidden="false"/>
    </xf>
    <xf numFmtId="173" fontId="0" fillId="13" borderId="1" xfId="0" applyFont="false" applyBorder="true" applyAlignment="false" applyProtection="false">
      <alignment horizontal="general" vertical="bottom" textRotation="0" wrapText="false" indent="0" shrinkToFit="false"/>
      <protection locked="true" hidden="false"/>
    </xf>
    <xf numFmtId="173" fontId="0" fillId="0" borderId="1" xfId="0" applyFont="false" applyBorder="true" applyAlignment="false" applyProtection="false">
      <alignment horizontal="general" vertical="bottom" textRotation="0" wrapText="false" indent="0" shrinkToFit="false"/>
      <protection locked="true" hidden="false"/>
    </xf>
    <xf numFmtId="173" fontId="0" fillId="3" borderId="1" xfId="0" applyFont="false" applyBorder="true" applyAlignment="false" applyProtection="false">
      <alignment horizontal="general" vertical="bottom" textRotation="0" wrapText="false" indent="0" shrinkToFit="false"/>
      <protection locked="true" hidden="false"/>
    </xf>
    <xf numFmtId="182" fontId="0" fillId="13" borderId="1" xfId="0" applyFont="false" applyBorder="true" applyAlignment="false" applyProtection="false">
      <alignment horizontal="general" vertical="bottom" textRotation="0" wrapText="false" indent="0" shrinkToFit="false"/>
      <protection locked="true" hidden="false"/>
    </xf>
    <xf numFmtId="182" fontId="0" fillId="0" borderId="1" xfId="0" applyFont="true" applyBorder="true" applyAlignment="false" applyProtection="false">
      <alignment horizontal="general" vertical="bottom" textRotation="0" wrapText="false" indent="0" shrinkToFit="false"/>
      <protection locked="true" hidden="false"/>
    </xf>
    <xf numFmtId="182" fontId="0" fillId="3" borderId="1" xfId="0" applyFont="true" applyBorder="true" applyAlignment="false" applyProtection="false">
      <alignment horizontal="general" vertical="bottom" textRotation="0" wrapText="false" indent="0" shrinkToFit="false"/>
      <protection locked="true" hidden="false"/>
    </xf>
    <xf numFmtId="179" fontId="0" fillId="13" borderId="1" xfId="0" applyFont="false" applyBorder="true" applyAlignment="false" applyProtection="false">
      <alignment horizontal="general" vertical="bottom" textRotation="0" wrapText="false" indent="0" shrinkToFit="false"/>
      <protection locked="true" hidden="false"/>
    </xf>
    <xf numFmtId="179" fontId="0" fillId="0" borderId="1" xfId="0" applyFont="false" applyBorder="true" applyAlignment="false" applyProtection="false">
      <alignment horizontal="general" vertical="bottom" textRotation="0" wrapText="false" indent="0" shrinkToFit="false"/>
      <protection locked="true" hidden="false"/>
    </xf>
    <xf numFmtId="179" fontId="0" fillId="3" borderId="1" xfId="0" applyFont="false" applyBorder="true" applyAlignment="false" applyProtection="false">
      <alignment horizontal="general" vertical="bottom" textRotation="0" wrapText="false" indent="0" shrinkToFit="false"/>
      <protection locked="true" hidden="false"/>
    </xf>
    <xf numFmtId="166" fontId="0" fillId="0" borderId="1" xfId="0" applyFont="false" applyBorder="true" applyAlignment="false" applyProtection="false">
      <alignment horizontal="general" vertical="bottom"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5" fillId="9" borderId="0" xfId="0" applyFont="true" applyBorder="false" applyAlignment="true" applyProtection="false">
      <alignment horizontal="general" vertical="bottom" textRotation="0" wrapText="false" indent="0" shrinkToFit="false"/>
      <protection locked="true" hidden="false"/>
    </xf>
    <xf numFmtId="170" fontId="10" fillId="3" borderId="0" xfId="0" applyFont="true" applyBorder="false" applyAlignment="true" applyProtection="false">
      <alignment horizontal="general" vertical="bottom" textRotation="0" wrapText="false" indent="0" shrinkToFit="false"/>
      <protection locked="true" hidden="false"/>
    </xf>
    <xf numFmtId="170" fontId="35" fillId="9" borderId="0" xfId="0" applyFont="true" applyBorder="false" applyAlignment="true" applyProtection="false">
      <alignment horizontal="general" vertical="bottom" textRotation="0" wrapText="false" indent="0" shrinkToFit="false"/>
      <protection locked="true" hidden="false"/>
    </xf>
    <xf numFmtId="167" fontId="10" fillId="3" borderId="0" xfId="0" applyFont="true" applyBorder="false" applyAlignment="true" applyProtection="false">
      <alignment horizontal="general" vertical="bottom" textRotation="0" wrapText="false" indent="0" shrinkToFit="false"/>
      <protection locked="true" hidden="false"/>
    </xf>
    <xf numFmtId="172" fontId="10" fillId="3" borderId="0" xfId="0" applyFont="true" applyBorder="false" applyAlignment="true" applyProtection="false">
      <alignment horizontal="general" vertical="bottom" textRotation="0" wrapText="false" indent="0" shrinkToFit="false"/>
      <protection locked="true" hidden="false"/>
    </xf>
    <xf numFmtId="172" fontId="0" fillId="0" borderId="0" xfId="0" applyFont="false" applyBorder="false" applyAlignment="true" applyProtection="false">
      <alignment horizontal="general" vertical="bottom" textRotation="0" wrapText="false" indent="0" shrinkToFit="false"/>
      <protection locked="true" hidden="false"/>
    </xf>
    <xf numFmtId="164" fontId="36" fillId="0" borderId="0" xfId="0" applyFont="true" applyBorder="false" applyAlignment="true" applyProtection="false">
      <alignment horizontal="general" vertical="bottom" textRotation="0" wrapText="false" indent="0" shrinkToFit="false"/>
      <protection locked="true" hidden="false"/>
    </xf>
    <xf numFmtId="164" fontId="37" fillId="0" borderId="0" xfId="0" applyFont="true" applyBorder="true" applyAlignment="true" applyProtection="false">
      <alignment horizontal="general" vertical="bottom" textRotation="0" wrapText="true" indent="0" shrinkToFit="false"/>
      <protection locked="true" hidden="false"/>
    </xf>
    <xf numFmtId="164" fontId="29" fillId="11" borderId="0" xfId="0" applyFont="true" applyBorder="false" applyAlignment="true" applyProtection="false">
      <alignment horizontal="general" vertical="bottom" textRotation="0" wrapText="false" indent="0" shrinkToFit="false"/>
      <protection locked="true" hidden="false"/>
    </xf>
    <xf numFmtId="164" fontId="37" fillId="0" borderId="0" xfId="0" applyFont="true" applyBorder="true" applyAlignment="true" applyProtection="false">
      <alignment horizontal="general" vertical="top" textRotation="0" wrapText="true" indent="0" shrinkToFit="false"/>
      <protection locked="true" hidden="false"/>
    </xf>
    <xf numFmtId="164" fontId="38" fillId="0" borderId="0" xfId="0" applyFont="true" applyBorder="false" applyAlignment="true" applyProtection="false">
      <alignment horizontal="general" vertical="top" textRotation="0" wrapText="true" indent="0" shrinkToFit="false"/>
      <protection locked="true" hidden="false"/>
    </xf>
    <xf numFmtId="171" fontId="30" fillId="11" borderId="2" xfId="0" applyFont="true" applyBorder="true" applyAlignment="true" applyProtection="false">
      <alignment horizontal="general" vertical="bottom" textRotation="0" wrapText="false" indent="0" shrinkToFit="false"/>
      <protection locked="true" hidden="false"/>
    </xf>
    <xf numFmtId="164" fontId="25" fillId="0" borderId="0" xfId="0" applyFont="true" applyBorder="false" applyAlignment="true" applyProtection="false">
      <alignment horizontal="general" vertical="top" textRotation="0" wrapText="true" indent="0" shrinkToFit="false"/>
      <protection locked="true" hidden="false"/>
    </xf>
    <xf numFmtId="164" fontId="39" fillId="0" borderId="0" xfId="0" applyFont="true" applyBorder="false" applyAlignment="true" applyProtection="false">
      <alignment horizontal="general" vertical="top" textRotation="0" wrapText="true" indent="0" shrinkToFit="false"/>
      <protection locked="true" hidden="false"/>
    </xf>
    <xf numFmtId="172" fontId="30" fillId="11" borderId="2" xfId="0" applyFont="true" applyBorder="true" applyAlignment="true" applyProtection="false">
      <alignment horizontal="general" vertical="bottom" textRotation="0" wrapText="false" indent="0" shrinkToFit="false"/>
      <protection locked="true" hidden="false"/>
    </xf>
    <xf numFmtId="170" fontId="30" fillId="11" borderId="2" xfId="0" applyFont="true" applyBorder="true" applyAlignment="true" applyProtection="false">
      <alignment horizontal="general" vertical="bottom" textRotation="0" wrapText="false" indent="0" shrinkToFit="false"/>
      <protection locked="true" hidden="false"/>
    </xf>
    <xf numFmtId="166" fontId="30" fillId="11" borderId="2" xfId="0" applyFont="true" applyBorder="true" applyAlignment="true" applyProtection="false">
      <alignment horizontal="general" vertical="bottom" textRotation="0" wrapText="false" indent="0" shrinkToFit="false"/>
      <protection locked="true" hidden="false"/>
    </xf>
    <xf numFmtId="180" fontId="30" fillId="11" borderId="2" xfId="0" applyFont="true" applyBorder="true" applyAlignment="true" applyProtection="false">
      <alignment horizontal="general" vertical="bottom" textRotation="0" wrapText="false" indent="0" shrinkToFit="false"/>
      <protection locked="true" hidden="false"/>
    </xf>
    <xf numFmtId="173" fontId="30" fillId="11" borderId="2" xfId="0" applyFont="true" applyBorder="true" applyAlignment="true" applyProtection="false">
      <alignment horizontal="general" vertical="bottom" textRotation="0" wrapText="false" indent="0" shrinkToFit="false"/>
      <protection locked="true" hidden="false"/>
    </xf>
    <xf numFmtId="164" fontId="30" fillId="11" borderId="2" xfId="0" applyFont="true" applyBorder="true" applyAlignment="true" applyProtection="false">
      <alignment horizontal="general" vertical="bottom" textRotation="0" wrapText="false" indent="0" shrinkToFit="false"/>
      <protection locked="true" hidden="false"/>
    </xf>
    <xf numFmtId="164" fontId="38" fillId="0" borderId="0" xfId="0" applyFont="true" applyBorder="false" applyAlignment="true" applyProtection="false">
      <alignment horizontal="general" vertical="bottom" textRotation="0" wrapText="false" indent="0" shrinkToFit="false"/>
      <protection locked="true" hidden="false"/>
    </xf>
    <xf numFmtId="164" fontId="25" fillId="0" borderId="0" xfId="0" applyFont="true" applyBorder="false" applyAlignment="true" applyProtection="false">
      <alignment horizontal="general" vertical="bottom" textRotation="0" wrapText="false" indent="0" shrinkToFit="false"/>
      <protection locked="true" hidden="false"/>
    </xf>
    <xf numFmtId="164" fontId="39" fillId="0" borderId="0" xfId="0" applyFont="true" applyBorder="false" applyAlignment="true" applyProtection="false">
      <alignment horizontal="general" vertical="bottom" textRotation="0" wrapText="false" indent="0" shrinkToFit="false"/>
      <protection locked="true" hidden="false"/>
    </xf>
    <xf numFmtId="174" fontId="30" fillId="11" borderId="2" xfId="0" applyFont="true" applyBorder="true" applyAlignment="true" applyProtection="false">
      <alignment horizontal="general" vertical="bottom" textRotation="0" wrapText="false" indent="0" shrinkToFit="false"/>
      <protection locked="true" hidden="false"/>
    </xf>
    <xf numFmtId="178" fontId="30" fillId="11" borderId="2" xfId="0" applyFont="true" applyBorder="true" applyAlignment="true" applyProtection="false">
      <alignment horizontal="general" vertical="bottom" textRotation="0" wrapText="false" indent="0" shrinkToFit="false"/>
      <protection locked="true" hidden="false"/>
    </xf>
    <xf numFmtId="183" fontId="30" fillId="11" borderId="2" xfId="0" applyFont="true" applyBorder="true" applyAlignment="tru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top" textRotation="0" wrapText="true" indent="0" shrinkToFit="false"/>
      <protection locked="true" hidden="false"/>
    </xf>
    <xf numFmtId="167" fontId="30" fillId="11" borderId="2" xfId="0" applyFont="true" applyBorder="true" applyAlignment="true" applyProtection="false">
      <alignment horizontal="general" vertical="bottom" textRotation="0" wrapText="false" indent="0" shrinkToFit="false"/>
      <protection locked="true" hidden="false"/>
    </xf>
    <xf numFmtId="166" fontId="0" fillId="3" borderId="0" xfId="0" applyFont="false" applyBorder="false" applyAlignment="true" applyProtection="false">
      <alignment horizontal="general" vertical="bottom" textRotation="0" wrapText="false" indent="0" shrinkToFit="false"/>
      <protection locked="true" hidden="false"/>
    </xf>
    <xf numFmtId="171" fontId="0" fillId="3" borderId="0" xfId="0" applyFont="false" applyBorder="false" applyAlignment="true" applyProtection="false">
      <alignment horizontal="general" vertical="bottom" textRotation="0" wrapText="false" indent="0" shrinkToFit="false"/>
      <protection locked="true" hidden="false"/>
    </xf>
    <xf numFmtId="164" fontId="6" fillId="6" borderId="0" xfId="0" applyFont="true" applyBorder="false" applyAlignment="true" applyProtection="false">
      <alignment horizontal="general" vertical="bottom" textRotation="0" wrapText="true" indent="0" shrinkToFit="false"/>
      <protection locked="true" hidden="false"/>
    </xf>
    <xf numFmtId="167" fontId="0" fillId="9" borderId="0" xfId="0" applyFont="false" applyBorder="false" applyAlignment="true" applyProtection="false">
      <alignment horizontal="general" vertical="bottom" textRotation="0" wrapText="false" indent="0" shrinkToFit="false"/>
      <protection locked="true" hidden="false"/>
    </xf>
    <xf numFmtId="170" fontId="0" fillId="9" borderId="0" xfId="0" applyFont="false" applyBorder="false" applyAlignment="true" applyProtection="false">
      <alignment horizontal="general" vertical="bottom" textRotation="0" wrapText="false" indent="0" shrinkToFit="false"/>
      <protection locked="true" hidden="false"/>
    </xf>
    <xf numFmtId="166" fontId="0" fillId="7" borderId="0" xfId="0" applyFont="false" applyBorder="false" applyAlignment="true" applyProtection="false">
      <alignment horizontal="general" vertical="bottom" textRotation="0" wrapText="false" indent="0" shrinkToFit="false"/>
      <protection locked="true" hidden="false"/>
    </xf>
    <xf numFmtId="164" fontId="37" fillId="0" borderId="0" xfId="0" applyFont="true" applyBorder="false" applyAlignment="true" applyProtection="false">
      <alignment horizontal="general" vertical="bottom" textRotation="0" wrapText="false" indent="0" shrinkToFit="false"/>
      <protection locked="true" hidden="false"/>
    </xf>
    <xf numFmtId="180" fontId="20" fillId="11" borderId="2" xfId="0" applyFont="true" applyBorder="true" applyAlignment="true" applyProtection="false">
      <alignment horizontal="general" vertical="bottom" textRotation="0" wrapText="false" indent="0" shrinkToFit="false"/>
      <protection locked="true" hidden="false"/>
    </xf>
    <xf numFmtId="164" fontId="40" fillId="0" borderId="0" xfId="0" applyFont="true" applyBorder="false" applyAlignment="true" applyProtection="false">
      <alignment horizontal="general" vertical="bottom" textRotation="0" wrapText="true" indent="0" shrinkToFit="false"/>
      <protection locked="true" hidden="false"/>
    </xf>
    <xf numFmtId="171" fontId="20" fillId="11" borderId="2" xfId="0" applyFont="true" applyBorder="true" applyAlignment="true" applyProtection="false">
      <alignment horizontal="general" vertical="bottom" textRotation="0" wrapText="false" indent="0" shrinkToFit="false"/>
      <protection locked="true" hidden="false"/>
    </xf>
    <xf numFmtId="174" fontId="20" fillId="11" borderId="2" xfId="0" applyFont="true" applyBorder="true" applyAlignment="true" applyProtection="false">
      <alignment horizontal="general" vertical="bottom" textRotation="0" wrapText="false" indent="0" shrinkToFit="false"/>
      <protection locked="true" hidden="false"/>
    </xf>
    <xf numFmtId="164" fontId="30" fillId="0" borderId="0" xfId="0" applyFont="true" applyBorder="false" applyAlignment="true" applyProtection="false">
      <alignment horizontal="general" vertical="bottom" textRotation="0" wrapText="false" indent="0" shrinkToFit="false"/>
      <protection locked="true" hidden="false"/>
    </xf>
    <xf numFmtId="174" fontId="41" fillId="7" borderId="2" xfId="0" applyFont="true" applyBorder="true" applyAlignment="true" applyProtection="false">
      <alignment horizontal="general" vertical="bottom" textRotation="0" wrapText="false" indent="0" shrinkToFit="false"/>
      <protection locked="true" hidden="false"/>
    </xf>
    <xf numFmtId="172" fontId="41" fillId="7" borderId="2" xfId="0" applyFont="true" applyBorder="true" applyAlignment="true" applyProtection="false">
      <alignment horizontal="general" vertical="bottom" textRotation="0" wrapText="false" indent="0" shrinkToFit="false"/>
      <protection locked="true" hidden="false"/>
    </xf>
    <xf numFmtId="164" fontId="25" fillId="0" borderId="0" xfId="0" applyFont="true" applyBorder="true" applyAlignment="true" applyProtection="false">
      <alignment horizontal="general" vertical="bottom" textRotation="0" wrapText="false" indent="0" shrinkToFit="false"/>
      <protection locked="true" hidden="false"/>
    </xf>
    <xf numFmtId="164" fontId="42" fillId="11" borderId="0" xfId="0" applyFont="true" applyBorder="false" applyAlignment="true" applyProtection="false">
      <alignment horizontal="general" vertical="bottom" textRotation="0" wrapText="true" indent="0" shrinkToFit="false"/>
      <protection locked="true" hidden="false"/>
    </xf>
    <xf numFmtId="174" fontId="25" fillId="0" borderId="0" xfId="0" applyFont="true" applyBorder="false" applyAlignment="true" applyProtection="false">
      <alignment horizontal="general" vertical="bottom" textRotation="0" wrapText="false" indent="0" shrinkToFit="false"/>
      <protection locked="true" hidden="false"/>
    </xf>
    <xf numFmtId="164" fontId="29" fillId="0" borderId="0" xfId="0" applyFont="true" applyBorder="false" applyAlignment="true" applyProtection="false">
      <alignment horizontal="general" vertical="bottom" textRotation="0" wrapText="false" indent="0" shrinkToFit="false"/>
      <protection locked="true" hidden="false"/>
    </xf>
    <xf numFmtId="164" fontId="43" fillId="0" borderId="0" xfId="0" applyFont="true" applyBorder="false" applyAlignment="true" applyProtection="false">
      <alignment horizontal="general" vertical="bottom" textRotation="0" wrapText="false" indent="0" shrinkToFit="false"/>
      <protection locked="true" hidden="false"/>
    </xf>
    <xf numFmtId="164" fontId="0" fillId="0" borderId="0" xfId="0" applyFont="true" applyBorder="true" applyAlignment="true" applyProtection="false">
      <alignment horizontal="general" vertical="bottom" textRotation="0" wrapText="true" indent="0" shrinkToFit="false"/>
      <protection locked="true" hidden="false"/>
    </xf>
    <xf numFmtId="164" fontId="44" fillId="0" borderId="0" xfId="0" applyFont="true" applyBorder="false" applyAlignment="true" applyProtection="false">
      <alignment horizontal="general" vertical="bottom" textRotation="0" wrapText="false" indent="0" shrinkToFit="false"/>
      <protection locked="true" hidden="false"/>
    </xf>
    <xf numFmtId="164" fontId="41" fillId="0" borderId="0" xfId="0" applyFont="true" applyBorder="false" applyAlignment="true" applyProtection="false">
      <alignment horizontal="general" vertical="bottom" textRotation="0" wrapText="false" indent="0" shrinkToFit="false"/>
      <protection locked="true" hidden="false"/>
    </xf>
    <xf numFmtId="164" fontId="45" fillId="3" borderId="2" xfId="0" applyFont="true" applyBorder="true" applyAlignment="true" applyProtection="false">
      <alignment horizontal="general" vertical="bottom" textRotation="0" wrapText="false" indent="0" shrinkToFit="false"/>
      <protection locked="true" hidden="false"/>
    </xf>
    <xf numFmtId="164" fontId="46" fillId="0" borderId="0" xfId="0" applyFont="true" applyBorder="false" applyAlignment="true" applyProtection="false">
      <alignment horizontal="general" vertical="bottom" textRotation="0" wrapText="false" indent="0" shrinkToFit="false"/>
      <protection locked="true" hidden="false"/>
    </xf>
    <xf numFmtId="164" fontId="47" fillId="0" borderId="0" xfId="0" applyFont="true" applyBorder="false" applyAlignment="true" applyProtection="false">
      <alignment horizontal="general" vertical="bottom" textRotation="0" wrapText="false" indent="0" shrinkToFit="false"/>
      <protection locked="true" hidden="false"/>
    </xf>
    <xf numFmtId="164" fontId="20" fillId="0" borderId="0" xfId="0" applyFont="true" applyBorder="true" applyAlignment="true" applyProtection="false">
      <alignment horizontal="general" vertical="bottom" textRotation="0" wrapText="false" indent="0" shrinkToFit="false"/>
      <protection locked="true" hidden="false"/>
    </xf>
    <xf numFmtId="164" fontId="20" fillId="0" borderId="0" xfId="0" applyFont="true" applyBorder="true" applyAlignment="true" applyProtection="false">
      <alignment horizontal="general" vertical="top" textRotation="0" wrapText="true" indent="0" shrinkToFit="false"/>
      <protection locked="true" hidden="false"/>
    </xf>
    <xf numFmtId="164" fontId="48" fillId="10" borderId="0" xfId="0" applyFont="true" applyBorder="false" applyAlignment="true" applyProtection="false">
      <alignment horizontal="general" vertical="bottom" textRotation="0" wrapText="false" indent="0" shrinkToFit="false"/>
      <protection locked="true" hidden="false"/>
    </xf>
    <xf numFmtId="164" fontId="49" fillId="0" borderId="0" xfId="0" applyFont="true" applyBorder="false" applyAlignment="true" applyProtection="false">
      <alignment horizontal="general" vertical="bottom" textRotation="0" wrapText="false" indent="0" shrinkToFit="false"/>
      <protection locked="true" hidden="false"/>
    </xf>
    <xf numFmtId="164" fontId="25" fillId="0" borderId="0" xfId="0" applyFont="true" applyBorder="true" applyAlignment="true" applyProtection="false">
      <alignment horizontal="general" vertical="bottom" textRotation="0" wrapText="true" indent="0" shrinkToFit="false"/>
      <protection locked="true" hidden="false"/>
    </xf>
    <xf numFmtId="164" fontId="25" fillId="0" borderId="0" xfId="0" applyFont="true" applyBorder="false" applyAlignment="true" applyProtection="false">
      <alignment horizontal="general" vertical="bottom"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
    <dxf>
      <font>
        <b val="1"/>
        <color rgb="FF9C0006"/>
      </font>
      <fill>
        <patternFill>
          <bgColor rgb="FFFFC7CE"/>
        </patternFill>
      </fill>
    </dxf>
  </dxfs>
  <colors>
    <indexedColors>
      <rgbColor rgb="FF000000"/>
      <rgbColor rgb="FFFFFFFF"/>
      <rgbColor rgb="FFC00000"/>
      <rgbColor rgb="FF00FF00"/>
      <rgbColor rgb="FF0000FF"/>
      <rgbColor rgb="FFF2F2F2"/>
      <rgbColor rgb="FFFF00FF"/>
      <rgbColor rgb="FF00FFFF"/>
      <rgbColor rgb="FF9C0006"/>
      <rgbColor rgb="FF008000"/>
      <rgbColor rgb="FF000080"/>
      <rgbColor rgb="FF7F6000"/>
      <rgbColor rgb="FF800080"/>
      <rgbColor rgb="FF0F9D8F"/>
      <rgbColor rgb="FFBFBFBF"/>
      <rgbColor rgb="FF808080"/>
      <rgbColor rgb="FF5B9BD5"/>
      <rgbColor rgb="FF993366"/>
      <rgbColor rgb="FFFFF2CC"/>
      <rgbColor rgb="FFD9F2EE"/>
      <rgbColor rgb="FF660066"/>
      <rgbColor rgb="FFFF8080"/>
      <rgbColor rgb="FF0563C1"/>
      <rgbColor rgb="FFC9D3DD"/>
      <rgbColor rgb="FF000080"/>
      <rgbColor rgb="FFFF00FF"/>
      <rgbColor rgb="FFFFFF00"/>
      <rgbColor rgb="FF00FFFF"/>
      <rgbColor rgb="FF800080"/>
      <rgbColor rgb="FF800000"/>
      <rgbColor rgb="FF1F6E43"/>
      <rgbColor rgb="FF0000FF"/>
      <rgbColor rgb="FF00CCFF"/>
      <rgbColor rgb="FFDDEBF7"/>
      <rgbColor rgb="FFE2EFDA"/>
      <rgbColor rgb="FFFDE9D9"/>
      <rgbColor rgb="FFEDEDED"/>
      <rgbColor rgb="FFFCE4D6"/>
      <rgbColor rgb="FFEEF2F6"/>
      <rgbColor rgb="FFFFC7CE"/>
      <rgbColor rgb="FF2E75B6"/>
      <rgbColor rgb="FF33CCCC"/>
      <rgbColor rgb="FF99CC00"/>
      <rgbColor rgb="FFFFCC00"/>
      <rgbColor rgb="FFF2B134"/>
      <rgbColor rgb="FFFF6600"/>
      <rgbColor rgb="FF595959"/>
      <rgbColor rgb="FF7F7F7F"/>
      <rgbColor rgb="FF0B2545"/>
      <rgbColor rgb="FF2E8B57"/>
      <rgbColor rgb="FF003300"/>
      <rgbColor rgb="FF333300"/>
      <rgbColor rgb="FF993300"/>
      <rgbColor rgb="FF993366"/>
      <rgbColor rgb="FF1F4E79"/>
      <rgbColor rgb="FF1F386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worksheet" Target="worksheets/sheet34.xml"/><Relationship Id="rId37" Type="http://schemas.openxmlformats.org/officeDocument/2006/relationships/worksheet" Target="worksheets/sheet35.xml"/><Relationship Id="rId38" Type="http://schemas.openxmlformats.org/officeDocument/2006/relationships/worksheet" Target="worksheets/sheet36.xml"/><Relationship Id="rId39" Type="http://schemas.openxmlformats.org/officeDocument/2006/relationships/worksheet" Target="worksheets/sheet37.xml"/><Relationship Id="rId40" Type="http://schemas.openxmlformats.org/officeDocument/2006/relationships/worksheet" Target="worksheets/sheet38.xml"/><Relationship Id="rId41" Type="http://schemas.openxmlformats.org/officeDocument/2006/relationships/worksheet" Target="worksheets/sheet39.xml"/><Relationship Id="rId42" Type="http://schemas.openxmlformats.org/officeDocument/2006/relationships/worksheet" Target="worksheets/sheet40.xml"/><Relationship Id="rId43" Type="http://schemas.openxmlformats.org/officeDocument/2006/relationships/worksheet" Target="worksheets/sheet41.xml"/><Relationship Id="rId44" Type="http://schemas.openxmlformats.org/officeDocument/2006/relationships/worksheet" Target="worksheets/sheet42.xml"/><Relationship Id="rId45" Type="http://schemas.openxmlformats.org/officeDocument/2006/relationships/worksheet" Target="worksheets/sheet43.xml"/><Relationship Id="rId46" Type="http://schemas.openxmlformats.org/officeDocument/2006/relationships/worksheet" Target="worksheets/sheet44.xml"/><Relationship Id="rId47" Type="http://schemas.openxmlformats.org/officeDocument/2006/relationships/worksheet" Target="worksheets/sheet45.xml"/><Relationship Id="rId48" Type="http://schemas.openxmlformats.org/officeDocument/2006/relationships/worksheet" Target="worksheets/sheet46.xml"/><Relationship Id="rId49"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1.xml.rels><?xml version="1.0" encoding="UTF-8"?>
<Relationships xmlns="http://schemas.openxmlformats.org/package/2006/relationships"><Relationship Id="rId1" Type="http://schemas.openxmlformats.org/officeDocument/2006/relationships/comments" Target="../comments11.xml"/><Relationship Id="rId2" Type="http://schemas.openxmlformats.org/officeDocument/2006/relationships/vmlDrawing" Target="../drawings/vmlDrawing1.vml"/>
</Relationships>
</file>

<file path=xl/worksheets/_rels/sheet12.xml.rels><?xml version="1.0" encoding="UTF-8"?>
<Relationships xmlns="http://schemas.openxmlformats.org/package/2006/relationships"><Relationship Id="rId1" Type="http://schemas.openxmlformats.org/officeDocument/2006/relationships/comments" Target="../comments12.xml"/><Relationship Id="rId2" Type="http://schemas.openxmlformats.org/officeDocument/2006/relationships/vmlDrawing" Target="../drawings/vmlDrawing2.vml"/>
</Relationships>
</file>

<file path=xl/worksheets/_rels/sheet13.xml.rels><?xml version="1.0" encoding="UTF-8"?>
<Relationships xmlns="http://schemas.openxmlformats.org/package/2006/relationships"><Relationship Id="rId1" Type="http://schemas.openxmlformats.org/officeDocument/2006/relationships/comments" Target="../comments13.xml"/><Relationship Id="rId2" Type="http://schemas.openxmlformats.org/officeDocument/2006/relationships/vmlDrawing" Target="../drawings/vmlDrawing3.vml"/>
</Relationships>
</file>

<file path=xl/worksheets/_rels/sheet14.xml.rels><?xml version="1.0" encoding="UTF-8"?>
<Relationships xmlns="http://schemas.openxmlformats.org/package/2006/relationships"><Relationship Id="rId1" Type="http://schemas.openxmlformats.org/officeDocument/2006/relationships/comments" Target="../comments14.xml"/><Relationship Id="rId2" Type="http://schemas.openxmlformats.org/officeDocument/2006/relationships/vmlDrawing" Target="../drawings/vmlDrawing4.vml"/>
</Relationships>
</file>

<file path=xl/worksheets/_rels/sheet15.xml.rels><?xml version="1.0" encoding="UTF-8"?>
<Relationships xmlns="http://schemas.openxmlformats.org/package/2006/relationships"><Relationship Id="rId1" Type="http://schemas.openxmlformats.org/officeDocument/2006/relationships/comments" Target="../comments15.xml"/><Relationship Id="rId2" Type="http://schemas.openxmlformats.org/officeDocument/2006/relationships/vmlDrawing" Target="../drawings/vmlDrawing5.vml"/>
</Relationships>
</file>

<file path=xl/worksheets/_rels/sheet16.xml.rels><?xml version="1.0" encoding="UTF-8"?>
<Relationships xmlns="http://schemas.openxmlformats.org/package/2006/relationships"><Relationship Id="rId1" Type="http://schemas.openxmlformats.org/officeDocument/2006/relationships/comments" Target="../comments16.xml"/><Relationship Id="rId2" Type="http://schemas.openxmlformats.org/officeDocument/2006/relationships/vmlDrawing" Target="../drawings/vmlDrawing6.vml"/>
</Relationships>
</file>

<file path=xl/worksheets/_rels/sheet17.xml.rels><?xml version="1.0" encoding="UTF-8"?>
<Relationships xmlns="http://schemas.openxmlformats.org/package/2006/relationships"><Relationship Id="rId1" Type="http://schemas.openxmlformats.org/officeDocument/2006/relationships/comments" Target="../comments17.xml"/><Relationship Id="rId2" Type="http://schemas.openxmlformats.org/officeDocument/2006/relationships/vmlDrawing" Target="../drawings/vmlDrawing7.vml"/>
</Relationships>
</file>

<file path=xl/worksheets/_rels/sheet18.xml.rels><?xml version="1.0" encoding="UTF-8"?>
<Relationships xmlns="http://schemas.openxmlformats.org/package/2006/relationships"><Relationship Id="rId1" Type="http://schemas.openxmlformats.org/officeDocument/2006/relationships/comments" Target="../comments18.xml"/><Relationship Id="rId2" Type="http://schemas.openxmlformats.org/officeDocument/2006/relationships/vmlDrawing" Target="../drawings/vmlDrawing8.vml"/>
</Relationships>
</file>

<file path=xl/worksheets/_rels/sheet19.xml.rels><?xml version="1.0" encoding="UTF-8"?>
<Relationships xmlns="http://schemas.openxmlformats.org/package/2006/relationships"><Relationship Id="rId1" Type="http://schemas.openxmlformats.org/officeDocument/2006/relationships/comments" Target="../comments19.xml"/><Relationship Id="rId2" Type="http://schemas.openxmlformats.org/officeDocument/2006/relationships/vmlDrawing" Target="../drawings/vmlDrawing9.vml"/>
</Relationships>
</file>

<file path=xl/worksheets/_rels/sheet20.xml.rels><?xml version="1.0" encoding="UTF-8"?>
<Relationships xmlns="http://schemas.openxmlformats.org/package/2006/relationships"><Relationship Id="rId1" Type="http://schemas.openxmlformats.org/officeDocument/2006/relationships/comments" Target="../comments20.xml"/><Relationship Id="rId2" Type="http://schemas.openxmlformats.org/officeDocument/2006/relationships/vmlDrawing" Target="../drawings/vmlDrawing10.vml"/>
</Relationships>
</file>

<file path=xl/worksheets/_rels/sheet21.xml.rels><?xml version="1.0" encoding="UTF-8"?>
<Relationships xmlns="http://schemas.openxmlformats.org/package/2006/relationships"><Relationship Id="rId1" Type="http://schemas.openxmlformats.org/officeDocument/2006/relationships/comments" Target="../comments21.xml"/><Relationship Id="rId2" Type="http://schemas.openxmlformats.org/officeDocument/2006/relationships/vmlDrawing" Target="../drawings/vmlDrawing11.vml"/>
</Relationships>
</file>

<file path=xl/worksheets/_rels/sheet22.xml.rels><?xml version="1.0" encoding="UTF-8"?>
<Relationships xmlns="http://schemas.openxmlformats.org/package/2006/relationships"><Relationship Id="rId1" Type="http://schemas.openxmlformats.org/officeDocument/2006/relationships/comments" Target="../comments22.xml"/><Relationship Id="rId2" Type="http://schemas.openxmlformats.org/officeDocument/2006/relationships/vmlDrawing" Target="../drawings/vmlDrawing12.vml"/>
</Relationships>
</file>

<file path=xl/worksheets/_rels/sheet23.xml.rels><?xml version="1.0" encoding="UTF-8"?>
<Relationships xmlns="http://schemas.openxmlformats.org/package/2006/relationships"><Relationship Id="rId1" Type="http://schemas.openxmlformats.org/officeDocument/2006/relationships/comments" Target="../comments23.xml"/><Relationship Id="rId2" Type="http://schemas.openxmlformats.org/officeDocument/2006/relationships/vmlDrawing" Target="../drawings/vmlDrawing13.vml"/>
</Relationships>
</file>

<file path=xl/worksheets/_rels/sheet24.xml.rels><?xml version="1.0" encoding="UTF-8"?>
<Relationships xmlns="http://schemas.openxmlformats.org/package/2006/relationships"><Relationship Id="rId1" Type="http://schemas.openxmlformats.org/officeDocument/2006/relationships/comments" Target="../comments24.xml"/><Relationship Id="rId2" Type="http://schemas.openxmlformats.org/officeDocument/2006/relationships/vmlDrawing" Target="../drawings/vmlDrawing14.vml"/>
</Relationships>
</file>

<file path=xl/worksheets/_rels/sheet25.xml.rels><?xml version="1.0" encoding="UTF-8"?>
<Relationships xmlns="http://schemas.openxmlformats.org/package/2006/relationships"><Relationship Id="rId1" Type="http://schemas.openxmlformats.org/officeDocument/2006/relationships/comments" Target="../comments25.xml"/><Relationship Id="rId2" Type="http://schemas.openxmlformats.org/officeDocument/2006/relationships/vmlDrawing" Target="../drawings/vmlDrawing15.vml"/>
</Relationships>
</file>

<file path=xl/worksheets/_rels/sheet26.xml.rels><?xml version="1.0" encoding="UTF-8"?>
<Relationships xmlns="http://schemas.openxmlformats.org/package/2006/relationships"><Relationship Id="rId1" Type="http://schemas.openxmlformats.org/officeDocument/2006/relationships/comments" Target="../comments26.xml"/><Relationship Id="rId2" Type="http://schemas.openxmlformats.org/officeDocument/2006/relationships/vmlDrawing" Target="../drawings/vmlDrawing16.vml"/>
</Relationships>
</file>

<file path=xl/worksheets/_rels/sheet27.xml.rels><?xml version="1.0" encoding="UTF-8"?>
<Relationships xmlns="http://schemas.openxmlformats.org/package/2006/relationships"><Relationship Id="rId1" Type="http://schemas.openxmlformats.org/officeDocument/2006/relationships/comments" Target="../comments27.xml"/><Relationship Id="rId2" Type="http://schemas.openxmlformats.org/officeDocument/2006/relationships/vmlDrawing" Target="../drawings/vmlDrawing17.vml"/>
</Relationships>
</file>

<file path=xl/worksheets/_rels/sheet28.xml.rels><?xml version="1.0" encoding="UTF-8"?>
<Relationships xmlns="http://schemas.openxmlformats.org/package/2006/relationships"><Relationship Id="rId1" Type="http://schemas.openxmlformats.org/officeDocument/2006/relationships/comments" Target="../comments28.xml"/><Relationship Id="rId2" Type="http://schemas.openxmlformats.org/officeDocument/2006/relationships/vmlDrawing" Target="../drawings/vmlDrawing18.vml"/>
</Relationships>
</file>

<file path=xl/worksheets/_rels/sheet29.xml.rels><?xml version="1.0" encoding="UTF-8"?>
<Relationships xmlns="http://schemas.openxmlformats.org/package/2006/relationships"><Relationship Id="rId1" Type="http://schemas.openxmlformats.org/officeDocument/2006/relationships/comments" Target="../comments29.xml"/><Relationship Id="rId2" Type="http://schemas.openxmlformats.org/officeDocument/2006/relationships/vmlDrawing" Target="../drawings/vmlDrawing19.vml"/>
</Relationships>
</file>

<file path=xl/worksheets/_rels/sheet30.xml.rels><?xml version="1.0" encoding="UTF-8"?>
<Relationships xmlns="http://schemas.openxmlformats.org/package/2006/relationships"><Relationship Id="rId1" Type="http://schemas.openxmlformats.org/officeDocument/2006/relationships/comments" Target="../comments30.xml"/><Relationship Id="rId2" Type="http://schemas.openxmlformats.org/officeDocument/2006/relationships/vmlDrawing" Target="../drawings/vmlDrawing20.vml"/>
</Relationships>
</file>

<file path=xl/worksheets/_rels/sheet31.xml.rels><?xml version="1.0" encoding="UTF-8"?>
<Relationships xmlns="http://schemas.openxmlformats.org/package/2006/relationships"><Relationship Id="rId1" Type="http://schemas.openxmlformats.org/officeDocument/2006/relationships/comments" Target="../comments31.xml"/><Relationship Id="rId2" Type="http://schemas.openxmlformats.org/officeDocument/2006/relationships/vmlDrawing" Target="../drawings/vmlDrawing21.vml"/>
</Relationships>
</file>

<file path=xl/worksheets/_rels/sheet32.xml.rels><?xml version="1.0" encoding="UTF-8"?>
<Relationships xmlns="http://schemas.openxmlformats.org/package/2006/relationships"><Relationship Id="rId1" Type="http://schemas.openxmlformats.org/officeDocument/2006/relationships/comments" Target="../comments32.xml"/><Relationship Id="rId2" Type="http://schemas.openxmlformats.org/officeDocument/2006/relationships/vmlDrawing" Target="../drawings/vmlDrawing22.vml"/>
</Relationships>
</file>

<file path=xl/worksheets/_rels/sheet33.xml.rels><?xml version="1.0" encoding="UTF-8"?>
<Relationships xmlns="http://schemas.openxmlformats.org/package/2006/relationships"><Relationship Id="rId1" Type="http://schemas.openxmlformats.org/officeDocument/2006/relationships/comments" Target="../comments33.xml"/><Relationship Id="rId2" Type="http://schemas.openxmlformats.org/officeDocument/2006/relationships/vmlDrawing" Target="../drawings/vmlDrawing23.vml"/>
</Relationships>
</file>

<file path=xl/worksheets/_rels/sheet34.xml.rels><?xml version="1.0" encoding="UTF-8"?>
<Relationships xmlns="http://schemas.openxmlformats.org/package/2006/relationships"><Relationship Id="rId1" Type="http://schemas.openxmlformats.org/officeDocument/2006/relationships/comments" Target="../comments34.xml"/><Relationship Id="rId2" Type="http://schemas.openxmlformats.org/officeDocument/2006/relationships/vmlDrawing" Target="../drawings/vmlDrawing24.vml"/>
</Relationships>
</file>

<file path=xl/worksheets/_rels/sheet35.xml.rels><?xml version="1.0" encoding="UTF-8"?>
<Relationships xmlns="http://schemas.openxmlformats.org/package/2006/relationships"><Relationship Id="rId1" Type="http://schemas.openxmlformats.org/officeDocument/2006/relationships/comments" Target="../comments35.xml"/><Relationship Id="rId2" Type="http://schemas.openxmlformats.org/officeDocument/2006/relationships/vmlDrawing" Target="../drawings/vmlDrawing25.vml"/>
</Relationships>
</file>

<file path=xl/worksheets/_rels/sheet36.xml.rels><?xml version="1.0" encoding="UTF-8"?>
<Relationships xmlns="http://schemas.openxmlformats.org/package/2006/relationships"><Relationship Id="rId1" Type="http://schemas.openxmlformats.org/officeDocument/2006/relationships/comments" Target="../comments36.xml"/><Relationship Id="rId2" Type="http://schemas.openxmlformats.org/officeDocument/2006/relationships/vmlDrawing" Target="../drawings/vmlDrawing26.vml"/>
</Relationships>
</file>

<file path=xl/worksheets/_rels/sheet37.xml.rels><?xml version="1.0" encoding="UTF-8"?>
<Relationships xmlns="http://schemas.openxmlformats.org/package/2006/relationships"><Relationship Id="rId1" Type="http://schemas.openxmlformats.org/officeDocument/2006/relationships/comments" Target="../comments37.xml"/><Relationship Id="rId2" Type="http://schemas.openxmlformats.org/officeDocument/2006/relationships/vmlDrawing" Target="../drawings/vmlDrawing27.vml"/>
</Relationships>
</file>

<file path=xl/worksheets/_rels/sheet38.xml.rels><?xml version="1.0" encoding="UTF-8"?>
<Relationships xmlns="http://schemas.openxmlformats.org/package/2006/relationships"><Relationship Id="rId1" Type="http://schemas.openxmlformats.org/officeDocument/2006/relationships/comments" Target="../comments38.xml"/><Relationship Id="rId2" Type="http://schemas.openxmlformats.org/officeDocument/2006/relationships/vmlDrawing" Target="../drawings/vmlDrawing28.vml"/>
</Relationships>
</file>

<file path=xl/worksheets/_rels/sheet44.xml.rels><?xml version="1.0" encoding="UTF-8"?>
<Relationships xmlns="http://schemas.openxmlformats.org/package/2006/relationships"><Relationship Id="rId1" Type="http://schemas.openxmlformats.org/officeDocument/2006/relationships/comments" Target="../comments44.xml"/><Relationship Id="rId2" Type="http://schemas.openxmlformats.org/officeDocument/2006/relationships/vmlDrawing" Target="../drawings/vmlDrawing29.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F9D8F"/>
    <pageSetUpPr fitToPage="false"/>
  </sheetPr>
  <dimension ref="A1:D15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46"/>
    <col collapsed="false" customWidth="true" hidden="false" outlineLevel="0" max="2" min="2" style="0" width="100"/>
    <col collapsed="false" customWidth="true" hidden="false" outlineLevel="0" max="3" min="3" style="0" width="22"/>
    <col collapsed="false" customWidth="true" hidden="false" outlineLevel="0" max="4" min="4" style="0" width="50"/>
  </cols>
  <sheetData>
    <row r="1" customFormat="false" ht="19.7" hidden="false" customHeight="false" outlineLevel="0" collapsed="false">
      <c r="A1" s="1" t="s">
        <v>0</v>
      </c>
    </row>
    <row r="2" customFormat="false" ht="33.75" hidden="false" customHeight="true" outlineLevel="0" collapsed="false">
      <c r="A2" s="2" t="s">
        <v>1</v>
      </c>
      <c r="B2" s="2"/>
      <c r="C2" s="2"/>
      <c r="D2" s="2"/>
    </row>
    <row r="3" customFormat="false" ht="48" hidden="false" customHeight="true" outlineLevel="0" collapsed="false">
      <c r="A3" s="3" t="s">
        <v>2</v>
      </c>
      <c r="B3" s="4" t="s">
        <v>3</v>
      </c>
      <c r="C3" s="2" t="s">
        <v>4</v>
      </c>
      <c r="D3" s="2"/>
    </row>
    <row r="5" customFormat="false" ht="28.35" hidden="false" customHeight="false" outlineLevel="0" collapsed="false">
      <c r="A5" s="5" t="s">
        <v>5</v>
      </c>
      <c r="B5" s="5"/>
      <c r="C5" s="5"/>
      <c r="D5" s="5"/>
    </row>
    <row r="6" customFormat="false" ht="31.5" hidden="false" customHeight="true" outlineLevel="0" collapsed="false">
      <c r="A6" s="3" t="s">
        <v>6</v>
      </c>
      <c r="B6" s="6" t="s">
        <v>7</v>
      </c>
      <c r="C6" s="6"/>
      <c r="D6" s="6"/>
    </row>
    <row r="7" customFormat="false" ht="31.5" hidden="false" customHeight="true" outlineLevel="0" collapsed="false">
      <c r="A7" s="3" t="s">
        <v>8</v>
      </c>
      <c r="B7" s="6" t="s">
        <v>9</v>
      </c>
      <c r="C7" s="6"/>
      <c r="D7" s="6"/>
    </row>
    <row r="8" customFormat="false" ht="31.5" hidden="false" customHeight="true" outlineLevel="0" collapsed="false">
      <c r="A8" s="3" t="s">
        <v>10</v>
      </c>
      <c r="B8" s="6" t="s">
        <v>11</v>
      </c>
      <c r="C8" s="6"/>
      <c r="D8" s="6"/>
    </row>
    <row r="9" customFormat="false" ht="31.5" hidden="false" customHeight="true" outlineLevel="0" collapsed="false">
      <c r="A9" s="3" t="s">
        <v>12</v>
      </c>
      <c r="B9" s="6" t="s">
        <v>13</v>
      </c>
      <c r="C9" s="6"/>
      <c r="D9" s="6"/>
    </row>
    <row r="10" customFormat="false" ht="31.5" hidden="false" customHeight="true" outlineLevel="0" collapsed="false">
      <c r="A10" s="3" t="s">
        <v>14</v>
      </c>
      <c r="B10" s="6" t="s">
        <v>15</v>
      </c>
      <c r="C10" s="6"/>
      <c r="D10" s="6"/>
    </row>
    <row r="11" customFormat="false" ht="31.5" hidden="false" customHeight="true" outlineLevel="0" collapsed="false">
      <c r="A11" s="3" t="s">
        <v>16</v>
      </c>
      <c r="B11" s="6" t="s">
        <v>17</v>
      </c>
      <c r="C11" s="6"/>
      <c r="D11" s="6"/>
    </row>
    <row r="12" customFormat="false" ht="45" hidden="false" customHeight="true" outlineLevel="0" collapsed="false">
      <c r="A12" s="3" t="s">
        <v>18</v>
      </c>
      <c r="B12" s="6" t="s">
        <v>19</v>
      </c>
      <c r="C12" s="6"/>
      <c r="D12" s="6"/>
    </row>
    <row r="13" customFormat="false" ht="45" hidden="false" customHeight="true" outlineLevel="0" collapsed="false">
      <c r="A13" s="3" t="s">
        <v>20</v>
      </c>
      <c r="B13" s="6" t="s">
        <v>21</v>
      </c>
      <c r="C13" s="6"/>
      <c r="D13" s="6"/>
    </row>
    <row r="14" customFormat="false" ht="31.5" hidden="false" customHeight="true" outlineLevel="0" collapsed="false">
      <c r="A14" s="3" t="s">
        <v>22</v>
      </c>
      <c r="B14" s="6" t="s">
        <v>23</v>
      </c>
      <c r="C14" s="6"/>
      <c r="D14" s="6"/>
    </row>
    <row r="15" customFormat="false" ht="45" hidden="false" customHeight="true" outlineLevel="0" collapsed="false">
      <c r="A15" s="3" t="s">
        <v>24</v>
      </c>
      <c r="B15" s="6" t="s">
        <v>25</v>
      </c>
      <c r="C15" s="6"/>
      <c r="D15" s="6"/>
    </row>
    <row r="16" customFormat="false" ht="31.5" hidden="false" customHeight="true" outlineLevel="0" collapsed="false">
      <c r="A16" s="3" t="s">
        <v>26</v>
      </c>
      <c r="B16" s="6" t="s">
        <v>27</v>
      </c>
      <c r="C16" s="6"/>
      <c r="D16" s="6"/>
    </row>
    <row r="17" customFormat="false" ht="31.5" hidden="false" customHeight="true" outlineLevel="0" collapsed="false">
      <c r="A17" s="3" t="s">
        <v>28</v>
      </c>
      <c r="B17" s="6" t="s">
        <v>29</v>
      </c>
      <c r="C17" s="6"/>
      <c r="D17" s="6"/>
    </row>
    <row r="18" customFormat="false" ht="31.5" hidden="false" customHeight="true" outlineLevel="0" collapsed="false">
      <c r="A18" s="3" t="s">
        <v>30</v>
      </c>
      <c r="B18" s="6" t="s">
        <v>31</v>
      </c>
      <c r="C18" s="6"/>
      <c r="D18" s="6"/>
    </row>
    <row r="19" customFormat="false" ht="31.5" hidden="false" customHeight="true" outlineLevel="0" collapsed="false">
      <c r="A19" s="3" t="s">
        <v>32</v>
      </c>
      <c r="B19" s="6" t="s">
        <v>33</v>
      </c>
      <c r="C19" s="6"/>
      <c r="D19" s="6"/>
    </row>
    <row r="21" customFormat="false" ht="15" hidden="false" customHeight="false" outlineLevel="0" collapsed="false">
      <c r="A21" s="5" t="s">
        <v>34</v>
      </c>
      <c r="B21" s="5"/>
      <c r="C21" s="5"/>
      <c r="D21" s="5"/>
    </row>
    <row r="22" customFormat="false" ht="60" hidden="false" customHeight="true" outlineLevel="0" collapsed="false">
      <c r="A22" s="3" t="s">
        <v>35</v>
      </c>
      <c r="B22" s="6" t="s">
        <v>36</v>
      </c>
      <c r="C22" s="6"/>
      <c r="D22" s="6"/>
    </row>
    <row r="23" customFormat="false" ht="31.5" hidden="false" customHeight="true" outlineLevel="0" collapsed="false">
      <c r="A23" s="3" t="s">
        <v>37</v>
      </c>
      <c r="B23" s="6" t="s">
        <v>38</v>
      </c>
      <c r="C23" s="6"/>
      <c r="D23" s="6"/>
    </row>
    <row r="24" customFormat="false" ht="31.5" hidden="false" customHeight="true" outlineLevel="0" collapsed="false">
      <c r="A24" s="3" t="s">
        <v>39</v>
      </c>
      <c r="B24" s="6" t="s">
        <v>40</v>
      </c>
      <c r="C24" s="6"/>
      <c r="D24" s="6"/>
    </row>
    <row r="25" customFormat="false" ht="31.5" hidden="false" customHeight="true" outlineLevel="0" collapsed="false">
      <c r="A25" s="3" t="s">
        <v>41</v>
      </c>
      <c r="B25" s="6" t="s">
        <v>42</v>
      </c>
      <c r="C25" s="6"/>
      <c r="D25" s="6"/>
    </row>
    <row r="26" customFormat="false" ht="31.5" hidden="false" customHeight="true" outlineLevel="0" collapsed="false">
      <c r="A26" s="3" t="s">
        <v>43</v>
      </c>
      <c r="B26" s="6" t="s">
        <v>44</v>
      </c>
      <c r="C26" s="6"/>
      <c r="D26" s="6"/>
    </row>
    <row r="28" customFormat="false" ht="28.35" hidden="false" customHeight="false" outlineLevel="0" collapsed="false">
      <c r="A28" s="5" t="s">
        <v>45</v>
      </c>
      <c r="B28" s="5"/>
      <c r="C28" s="5"/>
      <c r="D28" s="5"/>
    </row>
    <row r="29" customFormat="false" ht="33.75" hidden="false" customHeight="true" outlineLevel="0" collapsed="false">
      <c r="A29" s="2" t="s">
        <v>46</v>
      </c>
      <c r="B29" s="2"/>
      <c r="C29" s="2"/>
      <c r="D29" s="2"/>
    </row>
    <row r="30" customFormat="false" ht="15" hidden="false" customHeight="false" outlineLevel="0" collapsed="false">
      <c r="A30" s="7" t="s">
        <v>47</v>
      </c>
      <c r="B30" s="7" t="s">
        <v>48</v>
      </c>
      <c r="C30" s="7" t="s">
        <v>49</v>
      </c>
      <c r="D30" s="7" t="s">
        <v>50</v>
      </c>
    </row>
    <row r="31" customFormat="false" ht="28.35" hidden="false" customHeight="false" outlineLevel="0" collapsed="false">
      <c r="A31" s="6" t="s">
        <v>51</v>
      </c>
      <c r="B31" s="6" t="s">
        <v>52</v>
      </c>
      <c r="C31" s="6" t="s">
        <v>53</v>
      </c>
      <c r="D31" s="6"/>
    </row>
    <row r="32" customFormat="false" ht="28.35" hidden="false" customHeight="false" outlineLevel="0" collapsed="false">
      <c r="A32" s="6" t="s">
        <v>54</v>
      </c>
      <c r="B32" s="6" t="s">
        <v>55</v>
      </c>
      <c r="C32" s="6" t="s">
        <v>53</v>
      </c>
      <c r="D32" s="6"/>
    </row>
    <row r="33" customFormat="false" ht="28.35" hidden="false" customHeight="false" outlineLevel="0" collapsed="false">
      <c r="A33" s="6" t="s">
        <v>56</v>
      </c>
      <c r="B33" s="6" t="s">
        <v>57</v>
      </c>
      <c r="C33" s="6" t="s">
        <v>53</v>
      </c>
      <c r="D33" s="6"/>
    </row>
    <row r="34" customFormat="false" ht="28.35" hidden="false" customHeight="false" outlineLevel="0" collapsed="false">
      <c r="A34" s="6" t="s">
        <v>58</v>
      </c>
      <c r="B34" s="6" t="s">
        <v>59</v>
      </c>
      <c r="C34" s="6" t="s">
        <v>53</v>
      </c>
      <c r="D34" s="6"/>
    </row>
    <row r="35" customFormat="false" ht="28.35" hidden="false" customHeight="false" outlineLevel="0" collapsed="false">
      <c r="A35" s="6" t="s">
        <v>60</v>
      </c>
      <c r="B35" s="6" t="s">
        <v>61</v>
      </c>
      <c r="C35" s="6" t="s">
        <v>53</v>
      </c>
      <c r="D35" s="6"/>
    </row>
    <row r="36" customFormat="false" ht="28.35" hidden="false" customHeight="false" outlineLevel="0" collapsed="false">
      <c r="A36" s="6" t="s">
        <v>62</v>
      </c>
      <c r="B36" s="6" t="s">
        <v>63</v>
      </c>
      <c r="C36" s="6" t="s">
        <v>53</v>
      </c>
      <c r="D36" s="6"/>
    </row>
    <row r="37" customFormat="false" ht="28.35" hidden="false" customHeight="false" outlineLevel="0" collapsed="false">
      <c r="A37" s="6" t="s">
        <v>64</v>
      </c>
      <c r="B37" s="6" t="s">
        <v>65</v>
      </c>
      <c r="C37" s="6" t="s">
        <v>53</v>
      </c>
      <c r="D37" s="6"/>
    </row>
    <row r="38" customFormat="false" ht="28.35" hidden="false" customHeight="false" outlineLevel="0" collapsed="false">
      <c r="A38" s="6" t="s">
        <v>66</v>
      </c>
      <c r="B38" s="6" t="s">
        <v>67</v>
      </c>
      <c r="C38" s="6" t="s">
        <v>53</v>
      </c>
      <c r="D38" s="6"/>
    </row>
    <row r="39" customFormat="false" ht="28.35" hidden="false" customHeight="false" outlineLevel="0" collapsed="false">
      <c r="A39" s="6" t="s">
        <v>68</v>
      </c>
      <c r="B39" s="6" t="s">
        <v>69</v>
      </c>
      <c r="C39" s="6" t="s">
        <v>53</v>
      </c>
      <c r="D39" s="6"/>
    </row>
    <row r="40" customFormat="false" ht="28.35" hidden="false" customHeight="false" outlineLevel="0" collapsed="false">
      <c r="A40" s="6" t="s">
        <v>70</v>
      </c>
      <c r="B40" s="6" t="s">
        <v>71</v>
      </c>
      <c r="C40" s="6" t="s">
        <v>53</v>
      </c>
      <c r="D40" s="6"/>
    </row>
    <row r="41" customFormat="false" ht="28.35" hidden="false" customHeight="false" outlineLevel="0" collapsed="false">
      <c r="A41" s="6" t="s">
        <v>72</v>
      </c>
      <c r="B41" s="6" t="s">
        <v>73</v>
      </c>
      <c r="C41" s="6" t="s">
        <v>53</v>
      </c>
      <c r="D41" s="6"/>
    </row>
    <row r="42" customFormat="false" ht="28.35" hidden="false" customHeight="false" outlineLevel="0" collapsed="false">
      <c r="A42" s="6" t="s">
        <v>74</v>
      </c>
      <c r="B42" s="6" t="s">
        <v>75</v>
      </c>
      <c r="C42" s="6" t="s">
        <v>53</v>
      </c>
      <c r="D42" s="6"/>
    </row>
    <row r="43" customFormat="false" ht="28.35" hidden="false" customHeight="false" outlineLevel="0" collapsed="false">
      <c r="A43" s="6" t="s">
        <v>76</v>
      </c>
      <c r="B43" s="6" t="s">
        <v>77</v>
      </c>
      <c r="C43" s="6" t="s">
        <v>53</v>
      </c>
      <c r="D43" s="6"/>
    </row>
    <row r="44" customFormat="false" ht="28.35" hidden="false" customHeight="false" outlineLevel="0" collapsed="false">
      <c r="A44" s="6" t="s">
        <v>78</v>
      </c>
      <c r="B44" s="6" t="s">
        <v>79</v>
      </c>
      <c r="C44" s="6" t="s">
        <v>53</v>
      </c>
      <c r="D44" s="6"/>
    </row>
    <row r="45" customFormat="false" ht="28.35" hidden="false" customHeight="false" outlineLevel="0" collapsed="false">
      <c r="A45" s="6" t="s">
        <v>80</v>
      </c>
      <c r="B45" s="6" t="s">
        <v>81</v>
      </c>
      <c r="C45" s="6" t="s">
        <v>53</v>
      </c>
      <c r="D45" s="6"/>
    </row>
    <row r="46" customFormat="false" ht="28.35" hidden="false" customHeight="false" outlineLevel="0" collapsed="false">
      <c r="A46" s="6" t="s">
        <v>82</v>
      </c>
      <c r="B46" s="6" t="s">
        <v>83</v>
      </c>
      <c r="C46" s="6" t="s">
        <v>53</v>
      </c>
      <c r="D46" s="6"/>
    </row>
    <row r="47" customFormat="false" ht="15" hidden="false" customHeight="false" outlineLevel="0" collapsed="false">
      <c r="A47" s="6" t="s">
        <v>84</v>
      </c>
      <c r="B47" s="6" t="s">
        <v>85</v>
      </c>
      <c r="C47" s="6" t="s">
        <v>86</v>
      </c>
      <c r="D47" s="6"/>
    </row>
    <row r="48" customFormat="false" ht="28.35" hidden="false" customHeight="false" outlineLevel="0" collapsed="false">
      <c r="A48" s="6" t="s">
        <v>87</v>
      </c>
      <c r="B48" s="6" t="s">
        <v>88</v>
      </c>
      <c r="C48" s="6" t="s">
        <v>89</v>
      </c>
      <c r="D48" s="6" t="s">
        <v>90</v>
      </c>
    </row>
    <row r="49" customFormat="false" ht="28.35" hidden="false" customHeight="false" outlineLevel="0" collapsed="false">
      <c r="A49" s="6" t="s">
        <v>91</v>
      </c>
      <c r="B49" s="6" t="s">
        <v>92</v>
      </c>
      <c r="C49" s="6" t="s">
        <v>89</v>
      </c>
      <c r="D49" s="6" t="s">
        <v>93</v>
      </c>
    </row>
    <row r="50" customFormat="false" ht="68.65" hidden="false" customHeight="false" outlineLevel="0" collapsed="false">
      <c r="A50" s="6" t="s">
        <v>94</v>
      </c>
      <c r="B50" s="6" t="s">
        <v>95</v>
      </c>
      <c r="C50" s="6" t="s">
        <v>89</v>
      </c>
      <c r="D50" s="6" t="s">
        <v>96</v>
      </c>
    </row>
    <row r="51" customFormat="false" ht="55.2" hidden="false" customHeight="false" outlineLevel="0" collapsed="false">
      <c r="A51" s="6" t="s">
        <v>97</v>
      </c>
      <c r="B51" s="6" t="s">
        <v>98</v>
      </c>
      <c r="C51" s="6" t="s">
        <v>89</v>
      </c>
      <c r="D51" s="6" t="s">
        <v>99</v>
      </c>
    </row>
    <row r="52" customFormat="false" ht="55.2" hidden="false" customHeight="false" outlineLevel="0" collapsed="false">
      <c r="A52" s="6" t="s">
        <v>100</v>
      </c>
      <c r="B52" s="6" t="s">
        <v>101</v>
      </c>
      <c r="C52" s="6" t="s">
        <v>89</v>
      </c>
      <c r="D52" s="6" t="s">
        <v>102</v>
      </c>
    </row>
    <row r="53" customFormat="false" ht="28.35" hidden="false" customHeight="false" outlineLevel="0" collapsed="false">
      <c r="A53" s="6" t="s">
        <v>103</v>
      </c>
      <c r="B53" s="6" t="s">
        <v>104</v>
      </c>
      <c r="C53" s="6" t="s">
        <v>105</v>
      </c>
      <c r="D53" s="6"/>
    </row>
    <row r="54" customFormat="false" ht="28.35" hidden="false" customHeight="false" outlineLevel="0" collapsed="false">
      <c r="A54" s="6" t="s">
        <v>106</v>
      </c>
      <c r="B54" s="6" t="s">
        <v>107</v>
      </c>
      <c r="C54" s="6" t="s">
        <v>105</v>
      </c>
      <c r="D54" s="6"/>
    </row>
    <row r="55" customFormat="false" ht="41.75" hidden="false" customHeight="false" outlineLevel="0" collapsed="false">
      <c r="A55" s="6" t="s">
        <v>108</v>
      </c>
      <c r="B55" s="6" t="s">
        <v>109</v>
      </c>
      <c r="C55" s="6" t="s">
        <v>89</v>
      </c>
      <c r="D55" s="6" t="s">
        <v>110</v>
      </c>
    </row>
    <row r="56" customFormat="false" ht="41.75" hidden="false" customHeight="false" outlineLevel="0" collapsed="false">
      <c r="A56" s="6" t="s">
        <v>111</v>
      </c>
      <c r="B56" s="6" t="s">
        <v>112</v>
      </c>
      <c r="C56" s="6" t="s">
        <v>89</v>
      </c>
      <c r="D56" s="6" t="s">
        <v>113</v>
      </c>
    </row>
    <row r="57" customFormat="false" ht="15" hidden="false" customHeight="false" outlineLevel="0" collapsed="false">
      <c r="A57" s="6" t="s">
        <v>114</v>
      </c>
      <c r="B57" s="6" t="s">
        <v>115</v>
      </c>
      <c r="C57" s="6" t="s">
        <v>86</v>
      </c>
      <c r="D57" s="6"/>
    </row>
    <row r="58" customFormat="false" ht="15" hidden="false" customHeight="false" outlineLevel="0" collapsed="false">
      <c r="A58" s="6" t="s">
        <v>116</v>
      </c>
      <c r="B58" s="6" t="s">
        <v>117</v>
      </c>
      <c r="C58" s="6" t="s">
        <v>86</v>
      </c>
      <c r="D58" s="6"/>
    </row>
    <row r="59" customFormat="false" ht="15" hidden="false" customHeight="false" outlineLevel="0" collapsed="false">
      <c r="A59" s="6" t="s">
        <v>118</v>
      </c>
      <c r="B59" s="6" t="s">
        <v>119</v>
      </c>
      <c r="C59" s="6" t="s">
        <v>86</v>
      </c>
      <c r="D59" s="6"/>
    </row>
    <row r="60" customFormat="false" ht="68.65" hidden="false" customHeight="false" outlineLevel="0" collapsed="false">
      <c r="A60" s="6" t="s">
        <v>120</v>
      </c>
      <c r="B60" s="6" t="s">
        <v>121</v>
      </c>
      <c r="C60" s="6" t="s">
        <v>89</v>
      </c>
      <c r="D60" s="6" t="s">
        <v>122</v>
      </c>
    </row>
    <row r="61" customFormat="false" ht="41.75" hidden="false" customHeight="false" outlineLevel="0" collapsed="false">
      <c r="A61" s="6" t="s">
        <v>123</v>
      </c>
      <c r="B61" s="6" t="s">
        <v>124</v>
      </c>
      <c r="C61" s="6" t="s">
        <v>89</v>
      </c>
      <c r="D61" s="6" t="s">
        <v>125</v>
      </c>
    </row>
    <row r="62" customFormat="false" ht="15" hidden="false" customHeight="false" outlineLevel="0" collapsed="false">
      <c r="A62" s="6" t="s">
        <v>126</v>
      </c>
      <c r="B62" s="6" t="s">
        <v>127</v>
      </c>
      <c r="C62" s="6" t="s">
        <v>89</v>
      </c>
      <c r="D62" s="6"/>
    </row>
    <row r="63" customFormat="false" ht="15" hidden="false" customHeight="false" outlineLevel="0" collapsed="false">
      <c r="A63" s="6" t="s">
        <v>128</v>
      </c>
      <c r="B63" s="6" t="s">
        <v>129</v>
      </c>
      <c r="C63" s="6" t="s">
        <v>89</v>
      </c>
      <c r="D63" s="6"/>
    </row>
    <row r="64" customFormat="false" ht="15" hidden="false" customHeight="false" outlineLevel="0" collapsed="false">
      <c r="A64" s="6" t="s">
        <v>130</v>
      </c>
      <c r="B64" s="6" t="s">
        <v>131</v>
      </c>
      <c r="C64" s="6" t="s">
        <v>86</v>
      </c>
      <c r="D64" s="6"/>
    </row>
    <row r="65" customFormat="false" ht="15" hidden="false" customHeight="false" outlineLevel="0" collapsed="false">
      <c r="A65" s="6" t="s">
        <v>132</v>
      </c>
      <c r="B65" s="6" t="s">
        <v>133</v>
      </c>
      <c r="C65" s="6" t="s">
        <v>86</v>
      </c>
      <c r="D65" s="6"/>
    </row>
    <row r="66" customFormat="false" ht="15" hidden="false" customHeight="false" outlineLevel="0" collapsed="false">
      <c r="A66" s="6" t="s">
        <v>134</v>
      </c>
      <c r="B66" s="6" t="s">
        <v>135</v>
      </c>
      <c r="C66" s="6" t="s">
        <v>86</v>
      </c>
      <c r="D66" s="6"/>
    </row>
    <row r="67" customFormat="false" ht="15" hidden="false" customHeight="false" outlineLevel="0" collapsed="false">
      <c r="A67" s="6" t="s">
        <v>136</v>
      </c>
      <c r="B67" s="6" t="s">
        <v>137</v>
      </c>
      <c r="C67" s="6" t="s">
        <v>89</v>
      </c>
      <c r="D67" s="6"/>
    </row>
    <row r="68" customFormat="false" ht="15" hidden="false" customHeight="false" outlineLevel="0" collapsed="false">
      <c r="A68" s="6" t="s">
        <v>138</v>
      </c>
      <c r="B68" s="6" t="s">
        <v>139</v>
      </c>
      <c r="C68" s="6" t="s">
        <v>140</v>
      </c>
      <c r="D68" s="6"/>
    </row>
    <row r="69" customFormat="false" ht="15" hidden="false" customHeight="false" outlineLevel="0" collapsed="false">
      <c r="A69" s="6" t="s">
        <v>141</v>
      </c>
      <c r="B69" s="6" t="s">
        <v>142</v>
      </c>
      <c r="C69" s="6" t="s">
        <v>86</v>
      </c>
      <c r="D69" s="6"/>
    </row>
    <row r="70" customFormat="false" ht="15" hidden="false" customHeight="false" outlineLevel="0" collapsed="false">
      <c r="A70" s="6" t="s">
        <v>143</v>
      </c>
      <c r="B70" s="6" t="s">
        <v>144</v>
      </c>
      <c r="C70" s="6" t="s">
        <v>89</v>
      </c>
      <c r="D70" s="6"/>
    </row>
    <row r="71" customFormat="false" ht="15" hidden="false" customHeight="false" outlineLevel="0" collapsed="false">
      <c r="A71" s="6" t="s">
        <v>145</v>
      </c>
      <c r="B71" s="6" t="s">
        <v>146</v>
      </c>
      <c r="C71" s="6" t="s">
        <v>89</v>
      </c>
      <c r="D71" s="6"/>
    </row>
    <row r="72" customFormat="false" ht="28.35" hidden="false" customHeight="false" outlineLevel="0" collapsed="false">
      <c r="A72" s="6" t="s">
        <v>147</v>
      </c>
      <c r="B72" s="6" t="s">
        <v>148</v>
      </c>
      <c r="C72" s="6" t="s">
        <v>140</v>
      </c>
      <c r="D72" s="6"/>
    </row>
    <row r="73" customFormat="false" ht="28.35" hidden="false" customHeight="false" outlineLevel="0" collapsed="false">
      <c r="A73" s="6" t="s">
        <v>149</v>
      </c>
      <c r="B73" s="6" t="s">
        <v>150</v>
      </c>
      <c r="C73" s="6" t="s">
        <v>53</v>
      </c>
      <c r="D73" s="6"/>
    </row>
    <row r="74" customFormat="false" ht="41.75" hidden="false" customHeight="false" outlineLevel="0" collapsed="false">
      <c r="A74" s="6" t="s">
        <v>151</v>
      </c>
      <c r="B74" s="6" t="s">
        <v>152</v>
      </c>
      <c r="C74" s="6" t="s">
        <v>140</v>
      </c>
      <c r="D74" s="6"/>
    </row>
    <row r="75" customFormat="false" ht="28.35" hidden="false" customHeight="false" outlineLevel="0" collapsed="false">
      <c r="A75" s="6" t="s">
        <v>153</v>
      </c>
      <c r="B75" s="6" t="s">
        <v>154</v>
      </c>
      <c r="C75" s="6" t="s">
        <v>53</v>
      </c>
      <c r="D75" s="6"/>
    </row>
    <row r="76" customFormat="false" ht="28.35" hidden="false" customHeight="false" outlineLevel="0" collapsed="false">
      <c r="A76" s="6" t="s">
        <v>155</v>
      </c>
      <c r="B76" s="6" t="s">
        <v>156</v>
      </c>
      <c r="C76" s="6" t="s">
        <v>89</v>
      </c>
      <c r="D76" s="6"/>
    </row>
    <row r="77" customFormat="false" ht="41.75" hidden="false" customHeight="false" outlineLevel="0" collapsed="false">
      <c r="A77" s="6" t="s">
        <v>157</v>
      </c>
      <c r="B77" s="6" t="s">
        <v>158</v>
      </c>
      <c r="C77" s="6" t="s">
        <v>53</v>
      </c>
      <c r="D77" s="6"/>
    </row>
    <row r="78" customFormat="false" ht="28.35" hidden="false" customHeight="false" outlineLevel="0" collapsed="false">
      <c r="A78" s="6" t="s">
        <v>159</v>
      </c>
      <c r="B78" s="6" t="s">
        <v>160</v>
      </c>
      <c r="C78" s="6" t="s">
        <v>89</v>
      </c>
      <c r="D78" s="6"/>
    </row>
    <row r="79" customFormat="false" ht="41.75" hidden="false" customHeight="false" outlineLevel="0" collapsed="false">
      <c r="A79" s="6" t="s">
        <v>161</v>
      </c>
      <c r="B79" s="6" t="s">
        <v>162</v>
      </c>
      <c r="C79" s="6" t="s">
        <v>163</v>
      </c>
      <c r="D79" s="6"/>
    </row>
    <row r="80" customFormat="false" ht="41.75" hidden="false" customHeight="false" outlineLevel="0" collapsed="false">
      <c r="A80" s="6" t="s">
        <v>164</v>
      </c>
      <c r="B80" s="6" t="s">
        <v>165</v>
      </c>
      <c r="C80" s="6" t="s">
        <v>140</v>
      </c>
      <c r="D80" s="6"/>
    </row>
    <row r="81" customFormat="false" ht="82.05" hidden="false" customHeight="false" outlineLevel="0" collapsed="false">
      <c r="A81" s="6" t="s">
        <v>166</v>
      </c>
      <c r="B81" s="6" t="s">
        <v>167</v>
      </c>
      <c r="C81" s="6" t="s">
        <v>140</v>
      </c>
      <c r="D81" s="6"/>
    </row>
    <row r="83" customFormat="false" ht="28.35" hidden="false" customHeight="false" outlineLevel="0" collapsed="false">
      <c r="A83" s="8" t="s">
        <v>168</v>
      </c>
    </row>
    <row r="84" customFormat="false" ht="15" hidden="false" customHeight="false" outlineLevel="0" collapsed="false">
      <c r="A84" s="7" t="s">
        <v>169</v>
      </c>
      <c r="B84" s="7" t="s">
        <v>170</v>
      </c>
      <c r="C84" s="7" t="s">
        <v>171</v>
      </c>
      <c r="D84" s="7" t="s">
        <v>172</v>
      </c>
    </row>
    <row r="85" customFormat="false" ht="28.35" hidden="false" customHeight="false" outlineLevel="0" collapsed="false">
      <c r="A85" s="6" t="s">
        <v>173</v>
      </c>
      <c r="B85" s="6" t="s">
        <v>174</v>
      </c>
      <c r="C85" s="6" t="s">
        <v>175</v>
      </c>
      <c r="D85" s="6" t="s">
        <v>176</v>
      </c>
    </row>
    <row r="86" customFormat="false" ht="15" hidden="false" customHeight="false" outlineLevel="0" collapsed="false">
      <c r="A86" s="6" t="s">
        <v>177</v>
      </c>
      <c r="B86" s="6" t="s">
        <v>178</v>
      </c>
      <c r="C86" s="6" t="s">
        <v>119</v>
      </c>
      <c r="D86" s="6" t="s">
        <v>179</v>
      </c>
    </row>
    <row r="87" customFormat="false" ht="28.35" hidden="false" customHeight="false" outlineLevel="0" collapsed="false">
      <c r="A87" s="6" t="s">
        <v>180</v>
      </c>
      <c r="B87" s="6" t="s">
        <v>181</v>
      </c>
      <c r="C87" s="6" t="s">
        <v>182</v>
      </c>
      <c r="D87" s="6" t="s">
        <v>183</v>
      </c>
    </row>
    <row r="88" customFormat="false" ht="41.75" hidden="false" customHeight="false" outlineLevel="0" collapsed="false">
      <c r="A88" s="6" t="s">
        <v>184</v>
      </c>
      <c r="B88" s="6" t="s">
        <v>185</v>
      </c>
      <c r="C88" s="6" t="s">
        <v>119</v>
      </c>
      <c r="D88" s="6" t="s">
        <v>186</v>
      </c>
    </row>
    <row r="89" customFormat="false" ht="55.2" hidden="false" customHeight="false" outlineLevel="0" collapsed="false">
      <c r="A89" s="6" t="s">
        <v>187</v>
      </c>
      <c r="B89" s="6" t="s">
        <v>188</v>
      </c>
      <c r="C89" s="6" t="s">
        <v>119</v>
      </c>
      <c r="D89" s="6" t="s">
        <v>189</v>
      </c>
    </row>
    <row r="90" customFormat="false" ht="28.35" hidden="false" customHeight="false" outlineLevel="0" collapsed="false">
      <c r="A90" s="6" t="s">
        <v>190</v>
      </c>
      <c r="B90" s="6" t="s">
        <v>191</v>
      </c>
      <c r="C90" s="6" t="s">
        <v>119</v>
      </c>
      <c r="D90" s="6" t="s">
        <v>192</v>
      </c>
    </row>
    <row r="91" customFormat="false" ht="28.35" hidden="false" customHeight="false" outlineLevel="0" collapsed="false">
      <c r="A91" s="6" t="s">
        <v>193</v>
      </c>
      <c r="B91" s="6" t="s">
        <v>194</v>
      </c>
      <c r="C91" s="6" t="s">
        <v>119</v>
      </c>
      <c r="D91" s="6" t="s">
        <v>192</v>
      </c>
    </row>
    <row r="92" customFormat="false" ht="41.75" hidden="false" customHeight="false" outlineLevel="0" collapsed="false">
      <c r="A92" s="6" t="s">
        <v>195</v>
      </c>
      <c r="B92" s="6" t="s">
        <v>196</v>
      </c>
      <c r="C92" s="6" t="s">
        <v>119</v>
      </c>
      <c r="D92" s="6" t="s">
        <v>197</v>
      </c>
    </row>
    <row r="93" customFormat="false" ht="28.35" hidden="false" customHeight="false" outlineLevel="0" collapsed="false">
      <c r="A93" s="6" t="s">
        <v>198</v>
      </c>
      <c r="B93" s="6" t="s">
        <v>199</v>
      </c>
      <c r="C93" s="6" t="s">
        <v>119</v>
      </c>
      <c r="D93" s="6" t="s">
        <v>200</v>
      </c>
    </row>
    <row r="94" customFormat="false" ht="28.35" hidden="false" customHeight="false" outlineLevel="0" collapsed="false">
      <c r="A94" s="6" t="s">
        <v>201</v>
      </c>
      <c r="B94" s="6" t="s">
        <v>202</v>
      </c>
      <c r="C94" s="6" t="s">
        <v>119</v>
      </c>
      <c r="D94" s="6" t="s">
        <v>203</v>
      </c>
    </row>
    <row r="95" customFormat="false" ht="28.35" hidden="false" customHeight="false" outlineLevel="0" collapsed="false">
      <c r="A95" s="6" t="s">
        <v>204</v>
      </c>
      <c r="B95" s="6" t="s">
        <v>205</v>
      </c>
      <c r="C95" s="6" t="s">
        <v>119</v>
      </c>
      <c r="D95" s="6" t="s">
        <v>206</v>
      </c>
    </row>
    <row r="96" customFormat="false" ht="28.35" hidden="false" customHeight="false" outlineLevel="0" collapsed="false">
      <c r="A96" s="6" t="s">
        <v>207</v>
      </c>
      <c r="B96" s="6" t="s">
        <v>208</v>
      </c>
      <c r="C96" s="6" t="s">
        <v>119</v>
      </c>
      <c r="D96" s="6" t="s">
        <v>209</v>
      </c>
    </row>
    <row r="97" customFormat="false" ht="41.75" hidden="false" customHeight="false" outlineLevel="0" collapsed="false">
      <c r="A97" s="6" t="s">
        <v>210</v>
      </c>
      <c r="B97" s="6" t="s">
        <v>211</v>
      </c>
      <c r="C97" s="6" t="s">
        <v>119</v>
      </c>
      <c r="D97" s="6" t="s">
        <v>212</v>
      </c>
    </row>
    <row r="98" customFormat="false" ht="55.2" hidden="false" customHeight="false" outlineLevel="0" collapsed="false">
      <c r="A98" s="6" t="s">
        <v>213</v>
      </c>
      <c r="B98" s="6" t="s">
        <v>214</v>
      </c>
      <c r="C98" s="6" t="s">
        <v>119</v>
      </c>
      <c r="D98" s="6" t="s">
        <v>215</v>
      </c>
    </row>
    <row r="99" customFormat="false" ht="28.35" hidden="false" customHeight="false" outlineLevel="0" collapsed="false">
      <c r="A99" s="6" t="s">
        <v>216</v>
      </c>
      <c r="B99" s="6" t="s">
        <v>217</v>
      </c>
      <c r="C99" s="6" t="s">
        <v>218</v>
      </c>
      <c r="D99" s="6" t="s">
        <v>219</v>
      </c>
    </row>
    <row r="100" customFormat="false" ht="41.75" hidden="false" customHeight="false" outlineLevel="0" collapsed="false">
      <c r="A100" s="6" t="s">
        <v>220</v>
      </c>
      <c r="B100" s="6" t="s">
        <v>221</v>
      </c>
      <c r="C100" s="6" t="s">
        <v>119</v>
      </c>
      <c r="D100" s="6" t="s">
        <v>222</v>
      </c>
    </row>
    <row r="101" customFormat="false" ht="28.35" hidden="false" customHeight="false" outlineLevel="0" collapsed="false">
      <c r="A101" s="6" t="s">
        <v>223</v>
      </c>
      <c r="B101" s="6" t="s">
        <v>224</v>
      </c>
      <c r="C101" s="6" t="s">
        <v>119</v>
      </c>
      <c r="D101" s="6" t="s">
        <v>225</v>
      </c>
    </row>
    <row r="102" customFormat="false" ht="28.35" hidden="false" customHeight="false" outlineLevel="0" collapsed="false">
      <c r="A102" s="6" t="s">
        <v>226</v>
      </c>
      <c r="B102" s="6" t="s">
        <v>227</v>
      </c>
      <c r="C102" s="6" t="s">
        <v>119</v>
      </c>
      <c r="D102" s="6" t="s">
        <v>228</v>
      </c>
    </row>
    <row r="103" customFormat="false" ht="28.35" hidden="false" customHeight="false" outlineLevel="0" collapsed="false">
      <c r="A103" s="6" t="s">
        <v>229</v>
      </c>
      <c r="B103" s="6" t="s">
        <v>230</v>
      </c>
      <c r="C103" s="6" t="s">
        <v>119</v>
      </c>
      <c r="D103" s="6" t="s">
        <v>231</v>
      </c>
    </row>
    <row r="104" customFormat="false" ht="41.75" hidden="false" customHeight="false" outlineLevel="0" collapsed="false">
      <c r="A104" s="6" t="s">
        <v>232</v>
      </c>
      <c r="B104" s="6" t="s">
        <v>233</v>
      </c>
      <c r="C104" s="6" t="s">
        <v>119</v>
      </c>
      <c r="D104" s="6" t="s">
        <v>234</v>
      </c>
    </row>
    <row r="105" customFormat="false" ht="41.75" hidden="false" customHeight="false" outlineLevel="0" collapsed="false">
      <c r="A105" s="6" t="s">
        <v>235</v>
      </c>
      <c r="B105" s="6" t="s">
        <v>236</v>
      </c>
      <c r="C105" s="6" t="s">
        <v>119</v>
      </c>
      <c r="D105" s="6" t="s">
        <v>237</v>
      </c>
    </row>
    <row r="106" customFormat="false" ht="28.35" hidden="false" customHeight="false" outlineLevel="0" collapsed="false">
      <c r="A106" s="6" t="s">
        <v>238</v>
      </c>
      <c r="B106" s="6" t="s">
        <v>239</v>
      </c>
      <c r="C106" s="6" t="s">
        <v>119</v>
      </c>
      <c r="D106" s="6" t="s">
        <v>240</v>
      </c>
    </row>
    <row r="107" customFormat="false" ht="28.35" hidden="false" customHeight="false" outlineLevel="0" collapsed="false">
      <c r="A107" s="6" t="s">
        <v>241</v>
      </c>
      <c r="B107" s="6" t="s">
        <v>242</v>
      </c>
      <c r="C107" s="6" t="s">
        <v>119</v>
      </c>
      <c r="D107" s="6" t="s">
        <v>240</v>
      </c>
    </row>
    <row r="108" customFormat="false" ht="28.35" hidden="false" customHeight="false" outlineLevel="0" collapsed="false">
      <c r="A108" s="6" t="s">
        <v>243</v>
      </c>
      <c r="B108" s="6" t="s">
        <v>244</v>
      </c>
      <c r="C108" s="6" t="s">
        <v>119</v>
      </c>
      <c r="D108" s="6" t="s">
        <v>245</v>
      </c>
    </row>
    <row r="109" customFormat="false" ht="28.35" hidden="false" customHeight="false" outlineLevel="0" collapsed="false">
      <c r="A109" s="6" t="s">
        <v>246</v>
      </c>
      <c r="B109" s="6" t="s">
        <v>247</v>
      </c>
      <c r="C109" s="6" t="s">
        <v>119</v>
      </c>
      <c r="D109" s="6" t="s">
        <v>245</v>
      </c>
    </row>
    <row r="110" customFormat="false" ht="28.35" hidden="false" customHeight="false" outlineLevel="0" collapsed="false">
      <c r="A110" s="6" t="s">
        <v>248</v>
      </c>
      <c r="B110" s="6" t="s">
        <v>249</v>
      </c>
      <c r="C110" s="6" t="s">
        <v>119</v>
      </c>
      <c r="D110" s="6" t="s">
        <v>250</v>
      </c>
    </row>
    <row r="111" customFormat="false" ht="28.35" hidden="false" customHeight="false" outlineLevel="0" collapsed="false">
      <c r="A111" s="6" t="s">
        <v>251</v>
      </c>
      <c r="B111" s="6" t="s">
        <v>252</v>
      </c>
      <c r="C111" s="6" t="s">
        <v>119</v>
      </c>
      <c r="D111" s="6" t="s">
        <v>250</v>
      </c>
    </row>
    <row r="112" customFormat="false" ht="28.35" hidden="false" customHeight="false" outlineLevel="0" collapsed="false">
      <c r="A112" s="6" t="s">
        <v>253</v>
      </c>
      <c r="B112" s="6" t="s">
        <v>254</v>
      </c>
      <c r="C112" s="6" t="s">
        <v>119</v>
      </c>
      <c r="D112" s="6" t="s">
        <v>255</v>
      </c>
    </row>
    <row r="113" customFormat="false" ht="28.35" hidden="false" customHeight="false" outlineLevel="0" collapsed="false">
      <c r="A113" s="6" t="s">
        <v>256</v>
      </c>
      <c r="B113" s="6" t="s">
        <v>257</v>
      </c>
      <c r="C113" s="6" t="s">
        <v>119</v>
      </c>
      <c r="D113" s="6" t="s">
        <v>258</v>
      </c>
    </row>
    <row r="114" customFormat="false" ht="28.35" hidden="false" customHeight="false" outlineLevel="0" collapsed="false">
      <c r="A114" s="6" t="s">
        <v>259</v>
      </c>
      <c r="B114" s="6" t="s">
        <v>260</v>
      </c>
      <c r="C114" s="6" t="s">
        <v>119</v>
      </c>
      <c r="D114" s="6" t="s">
        <v>261</v>
      </c>
    </row>
    <row r="115" customFormat="false" ht="41.75" hidden="false" customHeight="false" outlineLevel="0" collapsed="false">
      <c r="A115" s="6" t="s">
        <v>262</v>
      </c>
      <c r="B115" s="6" t="s">
        <v>263</v>
      </c>
      <c r="C115" s="6" t="s">
        <v>119</v>
      </c>
      <c r="D115" s="6" t="s">
        <v>264</v>
      </c>
    </row>
    <row r="116" customFormat="false" ht="15" hidden="false" customHeight="false" outlineLevel="0" collapsed="false">
      <c r="A116" s="6" t="s">
        <v>265</v>
      </c>
      <c r="B116" s="6" t="s">
        <v>266</v>
      </c>
      <c r="C116" s="6" t="s">
        <v>119</v>
      </c>
      <c r="D116" s="6" t="s">
        <v>267</v>
      </c>
    </row>
    <row r="117" customFormat="false" ht="28.35" hidden="false" customHeight="false" outlineLevel="0" collapsed="false">
      <c r="A117" s="6" t="s">
        <v>268</v>
      </c>
      <c r="B117" s="6" t="s">
        <v>269</v>
      </c>
      <c r="C117" s="6" t="s">
        <v>119</v>
      </c>
      <c r="D117" s="6" t="s">
        <v>270</v>
      </c>
    </row>
    <row r="118" customFormat="false" ht="28.35" hidden="false" customHeight="false" outlineLevel="0" collapsed="false">
      <c r="A118" s="6" t="s">
        <v>271</v>
      </c>
      <c r="B118" s="6" t="s">
        <v>272</v>
      </c>
      <c r="C118" s="6" t="s">
        <v>119</v>
      </c>
      <c r="D118" s="6" t="s">
        <v>273</v>
      </c>
    </row>
    <row r="119" customFormat="false" ht="28.35" hidden="false" customHeight="false" outlineLevel="0" collapsed="false">
      <c r="A119" s="6" t="s">
        <v>274</v>
      </c>
      <c r="B119" s="6" t="s">
        <v>275</v>
      </c>
      <c r="C119" s="6" t="s">
        <v>276</v>
      </c>
      <c r="D119" s="6" t="s">
        <v>277</v>
      </c>
    </row>
    <row r="120" customFormat="false" ht="28.35" hidden="false" customHeight="false" outlineLevel="0" collapsed="false">
      <c r="A120" s="6" t="s">
        <v>278</v>
      </c>
      <c r="B120" s="6" t="s">
        <v>279</v>
      </c>
      <c r="C120" s="6" t="s">
        <v>276</v>
      </c>
      <c r="D120" s="6" t="s">
        <v>277</v>
      </c>
    </row>
    <row r="121" customFormat="false" ht="28.35" hidden="false" customHeight="false" outlineLevel="0" collapsed="false">
      <c r="A121" s="6" t="s">
        <v>280</v>
      </c>
      <c r="B121" s="6" t="s">
        <v>281</v>
      </c>
      <c r="C121" s="6" t="s">
        <v>282</v>
      </c>
      <c r="D121" s="6" t="s">
        <v>277</v>
      </c>
    </row>
    <row r="122" customFormat="false" ht="28.35" hidden="false" customHeight="false" outlineLevel="0" collapsed="false">
      <c r="A122" s="6" t="s">
        <v>283</v>
      </c>
      <c r="B122" s="6" t="s">
        <v>284</v>
      </c>
      <c r="C122" s="6" t="s">
        <v>276</v>
      </c>
      <c r="D122" s="6" t="s">
        <v>277</v>
      </c>
    </row>
    <row r="123" customFormat="false" ht="28.35" hidden="false" customHeight="false" outlineLevel="0" collapsed="false">
      <c r="A123" s="6" t="s">
        <v>285</v>
      </c>
      <c r="B123" s="6" t="s">
        <v>286</v>
      </c>
      <c r="C123" s="6" t="s">
        <v>282</v>
      </c>
      <c r="D123" s="6" t="s">
        <v>287</v>
      </c>
    </row>
    <row r="124" customFormat="false" ht="55.2" hidden="false" customHeight="false" outlineLevel="0" collapsed="false">
      <c r="A124" s="6" t="s">
        <v>288</v>
      </c>
      <c r="B124" s="6" t="s">
        <v>289</v>
      </c>
      <c r="C124" s="6" t="s">
        <v>119</v>
      </c>
      <c r="D124" s="6" t="s">
        <v>290</v>
      </c>
    </row>
    <row r="126" customFormat="false" ht="15" hidden="false" customHeight="false" outlineLevel="0" collapsed="false">
      <c r="A126" s="5" t="s">
        <v>291</v>
      </c>
      <c r="B126" s="5"/>
      <c r="C126" s="5"/>
      <c r="D126" s="5"/>
    </row>
    <row r="127" customFormat="false" ht="15" hidden="false" customHeight="false" outlineLevel="0" collapsed="false">
      <c r="A127" s="9" t="s">
        <v>292</v>
      </c>
      <c r="B127" s="10" t="str">
        <f aca="false">HYPERLINK("#'C01 Borrowing'!A1","Borrowing")</f>
        <v>Borrowing</v>
      </c>
    </row>
    <row r="128" customFormat="false" ht="15" hidden="false" customHeight="false" outlineLevel="0" collapsed="false">
      <c r="A128" s="9" t="s">
        <v>293</v>
      </c>
      <c r="B128" s="10" t="str">
        <f aca="false">HYPERLINK("#'C02 Mortgage repayment'!A1","Mortgage repayment")</f>
        <v>Mortgage repayment</v>
      </c>
    </row>
    <row r="129" customFormat="false" ht="15" hidden="false" customHeight="false" outlineLevel="0" collapsed="false">
      <c r="A129" s="9" t="s">
        <v>294</v>
      </c>
      <c r="B129" s="10" t="str">
        <f aca="false">HYPERLINK("#'C03 Deposit'!A1","Deposit")</f>
        <v>Deposit</v>
      </c>
    </row>
    <row r="130" customFormat="false" ht="15" hidden="false" customHeight="false" outlineLevel="0" collapsed="false">
      <c r="A130" s="9" t="s">
        <v>295</v>
      </c>
      <c r="B130" s="10" t="str">
        <f aca="false">HYPERLINK("#'C04 Mortgage overpayment'!A1","Mortgage overpayment")</f>
        <v>Mortgage overpayment</v>
      </c>
    </row>
    <row r="131" customFormat="false" ht="15" hidden="false" customHeight="false" outlineLevel="0" collapsed="false">
      <c r="A131" s="9" t="s">
        <v>296</v>
      </c>
      <c r="B131" s="10" t="str">
        <f aca="false">HYPERLINK("#'C05 Interest rate impact'!A1","Interest rate impact")</f>
        <v>Interest rate impact</v>
      </c>
    </row>
    <row r="132" customFormat="false" ht="15" hidden="false" customHeight="false" outlineLevel="0" collapsed="false">
      <c r="A132" s="9" t="s">
        <v>297</v>
      </c>
      <c r="B132" s="10" t="str">
        <f aca="false">HYPERLINK("#'C06 Term comparison'!A1","Term comparison")</f>
        <v>Term comparison</v>
      </c>
    </row>
    <row r="133" customFormat="false" ht="15" hidden="false" customHeight="false" outlineLevel="0" collapsed="false">
      <c r="A133" s="9" t="s">
        <v>298</v>
      </c>
      <c r="B133" s="10" t="str">
        <f aca="false">HYPERLINK("#'C07 Rent vs buy'!A1","Rent vs buy")</f>
        <v>Rent vs buy</v>
      </c>
    </row>
    <row r="134" customFormat="false" ht="15" hidden="false" customHeight="false" outlineLevel="0" collapsed="false">
      <c r="A134" s="9" t="s">
        <v>299</v>
      </c>
      <c r="B134" s="10" t="str">
        <f aca="false">HYPERLINK("#'C08 Goal planner'!A1","Goal planner")</f>
        <v>Goal planner</v>
      </c>
    </row>
    <row r="135" customFormat="false" ht="15" hidden="false" customHeight="false" outlineLevel="0" collapsed="false">
      <c r="A135" s="9" t="s">
        <v>300</v>
      </c>
      <c r="B135" s="10" t="str">
        <f aca="false">HYPERLINK("#'C09 Compound growth'!A1","Compound growth")</f>
        <v>Compound growth</v>
      </c>
    </row>
    <row r="136" customFormat="false" ht="15" hidden="false" customHeight="false" outlineLevel="0" collapsed="false">
      <c r="A136" s="9" t="s">
        <v>301</v>
      </c>
      <c r="B136" s="10" t="str">
        <f aca="false">HYPERLINK("#'C10 Lump sum growth'!A1","Lump sum growth")</f>
        <v>Lump sum growth</v>
      </c>
    </row>
    <row r="137" customFormat="false" ht="15" hidden="false" customHeight="false" outlineLevel="0" collapsed="false">
      <c r="A137" s="9" t="s">
        <v>302</v>
      </c>
      <c r="B137" s="10" t="str">
        <f aca="false">HYPERLINK("#'C11 Emergency fund'!A1","Emergency fund")</f>
        <v>Emergency fund</v>
      </c>
    </row>
    <row r="138" customFormat="false" ht="15" hidden="false" customHeight="false" outlineLevel="0" collapsed="false">
      <c r="A138" s="9" t="s">
        <v>303</v>
      </c>
      <c r="B138" s="10" t="str">
        <f aca="false">HYPERLINK("#'C12 Retirement projection'!A1","Retirement projection")</f>
        <v>Retirement projection</v>
      </c>
    </row>
    <row r="139" customFormat="false" ht="15" hidden="false" customHeight="false" outlineLevel="0" collapsed="false">
      <c r="A139" s="9" t="s">
        <v>304</v>
      </c>
      <c r="B139" s="10" t="str">
        <f aca="false">HYPERLINK("#'C13 Contribution impact'!A1","Contribution impact")</f>
        <v>Contribution impact</v>
      </c>
    </row>
    <row r="140" customFormat="false" ht="15" hidden="false" customHeight="false" outlineLevel="0" collapsed="false">
      <c r="A140" s="9" t="s">
        <v>305</v>
      </c>
      <c r="B140" s="10" t="str">
        <f aca="false">HYPERLINK("#'C14 AVC impact'!A1","AVC impact")</f>
        <v>AVC impact</v>
      </c>
    </row>
    <row r="141" customFormat="false" ht="15" hidden="false" customHeight="false" outlineLevel="0" collapsed="false">
      <c r="A141" s="9" t="s">
        <v>306</v>
      </c>
      <c r="B141" s="10" t="str">
        <f aca="false">HYPERLINK("#'C15 Will my money last'!A1","Will my money last")</f>
        <v>Will my money last</v>
      </c>
    </row>
    <row r="142" customFormat="false" ht="15" hidden="false" customHeight="false" outlineLevel="0" collapsed="false">
      <c r="A142" s="9" t="s">
        <v>307</v>
      </c>
      <c r="B142" s="10" t="str">
        <f aca="false">HYPERLINK("#'C16 Drawdown scenarios'!A1","Drawdown scenarios")</f>
        <v>Drawdown scenarios</v>
      </c>
    </row>
    <row r="143" customFormat="false" ht="15" hidden="false" customHeight="false" outlineLevel="0" collapsed="false">
      <c r="A143" s="9" t="s">
        <v>308</v>
      </c>
      <c r="B143" s="10" t="str">
        <f aca="false">HYPERLINK("#'C17 Inflation adjusted return'!A1","Inflation adjusted return")</f>
        <v>Inflation adjusted return</v>
      </c>
    </row>
    <row r="144" customFormat="false" ht="15" hidden="false" customHeight="false" outlineLevel="0" collapsed="false">
      <c r="A144" s="9" t="s">
        <v>309</v>
      </c>
      <c r="B144" s="10" t="str">
        <f aca="false">HYPERLINK("#'C18 Regular investing'!A1","Regular investing")</f>
        <v>Regular investing</v>
      </c>
    </row>
    <row r="145" customFormat="false" ht="15" hidden="false" customHeight="false" outlineLevel="0" collapsed="false">
      <c r="A145" s="9" t="s">
        <v>310</v>
      </c>
      <c r="B145" s="10" t="str">
        <f aca="false">HYPERLINK("#'C19 Fees impact'!A1","Fees impact")</f>
        <v>Fees impact</v>
      </c>
    </row>
    <row r="146" customFormat="false" ht="15" hidden="false" customHeight="false" outlineLevel="0" collapsed="false">
      <c r="A146" s="9" t="s">
        <v>311</v>
      </c>
      <c r="B146" s="10" t="str">
        <f aca="false">HYPERLINK("#'C20 Risk and return'!A1","Risk and return")</f>
        <v>Risk and return</v>
      </c>
    </row>
    <row r="147" customFormat="false" ht="15" hidden="false" customHeight="false" outlineLevel="0" collapsed="false">
      <c r="A147" s="9" t="s">
        <v>312</v>
      </c>
      <c r="B147" s="10" t="str">
        <f aca="false">HYPERLINK("#'C21 Life cover'!A1","Life cover")</f>
        <v>Life cover</v>
      </c>
    </row>
    <row r="148" customFormat="false" ht="15" hidden="false" customHeight="false" outlineLevel="0" collapsed="false">
      <c r="A148" s="9" t="s">
        <v>313</v>
      </c>
      <c r="B148" s="10" t="str">
        <f aca="false">HYPERLINK("#'C22 Income protection gap'!A1","Income protection gap")</f>
        <v>Income protection gap</v>
      </c>
    </row>
    <row r="149" customFormat="false" ht="15" hidden="false" customHeight="false" outlineLevel="0" collapsed="false">
      <c r="A149" s="9" t="s">
        <v>314</v>
      </c>
      <c r="B149" s="10" t="str">
        <f aca="false">HYPERLINK("#'C23 Mortgage protection'!A1","Mortgage protection")</f>
        <v>Mortgage protection</v>
      </c>
    </row>
    <row r="150" customFormat="false" ht="15" hidden="false" customHeight="false" outlineLevel="0" collapsed="false">
      <c r="A150" s="9" t="s">
        <v>315</v>
      </c>
      <c r="B150" s="10" t="str">
        <f aca="false">HYPERLINK("#'C24 Net worth'!A1","Net worth")</f>
        <v>Net worth</v>
      </c>
    </row>
    <row r="151" customFormat="false" ht="15" hidden="false" customHeight="false" outlineLevel="0" collapsed="false">
      <c r="A151" s="9" t="s">
        <v>316</v>
      </c>
      <c r="B151" s="10" t="str">
        <f aca="false">HYPERLINK("#'C25 Monthly surplus'!A1","Monthly surplus")</f>
        <v>Monthly surplus</v>
      </c>
    </row>
    <row r="152" customFormat="false" ht="15" hidden="false" customHeight="false" outlineLevel="0" collapsed="false">
      <c r="A152" s="9" t="s">
        <v>317</v>
      </c>
      <c r="B152" s="10" t="str">
        <f aca="false">HYPERLINK("#'C26 Budget 50 30 20'!A1","Budget 50 30 20")</f>
        <v>Budget 50 30 20</v>
      </c>
    </row>
    <row r="153" customFormat="false" ht="15" hidden="false" customHeight="false" outlineLevel="0" collapsed="false">
      <c r="A153" s="9" t="s">
        <v>318</v>
      </c>
      <c r="B153" s="10" t="str">
        <f aca="false">HYPERLINK("#'C27 Debt repayment'!A1","Debt repayment")</f>
        <v>Debt repayment</v>
      </c>
    </row>
    <row r="154" customFormat="false" ht="15" hidden="false" customHeight="false" outlineLevel="0" collapsed="false">
      <c r="A154" s="9" t="s">
        <v>319</v>
      </c>
      <c r="B154" s="10" t="str">
        <f aca="false">HYPERLINK("#'C28 Loan repayment'!A1","Loan repayment")</f>
        <v>Loan repayment</v>
      </c>
    </row>
    <row r="155" customFormat="false" ht="15" hidden="false" customHeight="false" outlineLevel="0" collapsed="false">
      <c r="A155" s="9" t="s">
        <v>320</v>
      </c>
      <c r="B155" s="10" t="str">
        <f aca="false">HYPERLINK("#'C29 Investment tax'!A1","Investment tax")</f>
        <v>Investment tax</v>
      </c>
    </row>
    <row r="156" customFormat="false" ht="15" hidden="false" customHeight="false" outlineLevel="0" collapsed="false">
      <c r="A156" s="9" t="s">
        <v>321</v>
      </c>
      <c r="B156" s="10" t="str">
        <f aca="false">HYPERLINK("#'C30 Sale gift inheritance'!A1","Sale gift inheritance")</f>
        <v>Sale gift inheritance</v>
      </c>
    </row>
  </sheetData>
  <mergeCells count="22">
    <mergeCell ref="A2:D2"/>
    <mergeCell ref="C3:D3"/>
    <mergeCell ref="B6:D6"/>
    <mergeCell ref="B7:D7"/>
    <mergeCell ref="B8:D8"/>
    <mergeCell ref="B9:D9"/>
    <mergeCell ref="B10:D10"/>
    <mergeCell ref="B11:D11"/>
    <mergeCell ref="B12:D12"/>
    <mergeCell ref="B13:D13"/>
    <mergeCell ref="B14:D14"/>
    <mergeCell ref="B15:D15"/>
    <mergeCell ref="B16:D16"/>
    <mergeCell ref="B17:D17"/>
    <mergeCell ref="B18:D18"/>
    <mergeCell ref="B19:D19"/>
    <mergeCell ref="B22:D22"/>
    <mergeCell ref="B23:D23"/>
    <mergeCell ref="B24:D24"/>
    <mergeCell ref="B25:D25"/>
    <mergeCell ref="B26:D26"/>
    <mergeCell ref="A29:D29"/>
  </mergeCells>
  <dataValidations count="1">
    <dataValidation allowBlank="false" errorStyle="stop" operator="between" showDropDown="false" showErrorMessage="false" showInputMessage="false" sqref="B3"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F9D8F"/>
    <pageSetUpPr fitToPage="false"/>
  </sheetPr>
  <dimension ref="A1:D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2" min="2" style="0" width="90"/>
    <col collapsed="false" customWidth="true" hidden="false" outlineLevel="0" max="3" min="3" style="0" width="18"/>
    <col collapsed="false" customWidth="true" hidden="false" outlineLevel="0" max="4" min="4" style="0" width="40"/>
  </cols>
  <sheetData>
    <row r="1" customFormat="false" ht="19.7" hidden="false" customHeight="false" outlineLevel="0" collapsed="false">
      <c r="A1" s="1" t="s">
        <v>322</v>
      </c>
    </row>
    <row r="2" customFormat="false" ht="43.5" hidden="false" customHeight="true" outlineLevel="0" collapsed="false">
      <c r="A2" s="2" t="s">
        <v>323</v>
      </c>
      <c r="B2" s="2"/>
      <c r="C2" s="2"/>
      <c r="D2" s="2"/>
    </row>
    <row r="3" customFormat="false" ht="28.35" hidden="false" customHeight="false" outlineLevel="0" collapsed="false">
      <c r="A3" s="3" t="s">
        <v>324</v>
      </c>
      <c r="B3" s="11" t="str">
        <f aca="false">IF(AND('C29 Investment tax'!E2="Sample example",'C30 Sale gift inheritance'!E2="Sample example"),"Yes: the numbers below are the sample","No: set E2 to Sample example on C29 and C30")</f>
        <v>Yes: the numbers below are the sample</v>
      </c>
    </row>
    <row r="5" customFormat="false" ht="15" hidden="false" customHeight="false" outlineLevel="0" collapsed="false">
      <c r="A5" s="7" t="s">
        <v>325</v>
      </c>
      <c r="B5" s="7" t="s">
        <v>326</v>
      </c>
      <c r="C5" s="7" t="s">
        <v>327</v>
      </c>
      <c r="D5" s="7" t="s">
        <v>328</v>
      </c>
    </row>
    <row r="6" customFormat="false" ht="31.5" hidden="false" customHeight="true" outlineLevel="0" collapsed="false">
      <c r="A6" s="3" t="s">
        <v>329</v>
      </c>
      <c r="B6" s="6" t="s">
        <v>330</v>
      </c>
      <c r="C6" s="12" t="n">
        <f aca="false">'C29 Investment tax'!B24</f>
        <v>219112.314303342</v>
      </c>
      <c r="D6" s="6" t="s">
        <v>331</v>
      </c>
    </row>
    <row r="7" customFormat="false" ht="31.5" hidden="false" customHeight="true" outlineLevel="0" collapsed="false">
      <c r="A7" s="9"/>
      <c r="B7" s="6" t="s">
        <v>332</v>
      </c>
      <c r="C7" s="12" t="n">
        <f aca="false">'C29 Investment tax'!B28</f>
        <v>31211.712325037</v>
      </c>
      <c r="D7" s="6" t="s">
        <v>333</v>
      </c>
    </row>
    <row r="8" customFormat="false" ht="31.5" hidden="false" customHeight="true" outlineLevel="0" collapsed="false">
      <c r="A8" s="9"/>
      <c r="B8" s="6" t="s">
        <v>334</v>
      </c>
      <c r="C8" s="12" t="n">
        <f aca="false">'C29 Investment tax'!B29</f>
        <v>9741.60271661232</v>
      </c>
      <c r="D8" s="6" t="s">
        <v>335</v>
      </c>
    </row>
    <row r="9" customFormat="false" ht="31.5" hidden="false" customHeight="true" outlineLevel="0" collapsed="false">
      <c r="A9" s="9"/>
      <c r="B9" s="6" t="s">
        <v>336</v>
      </c>
      <c r="C9" s="12" t="n">
        <f aca="false">'C29 Investment tax'!B30</f>
        <v>166818.566646901</v>
      </c>
      <c r="D9" s="6" t="s">
        <v>337</v>
      </c>
    </row>
    <row r="10" customFormat="false" ht="31.5" hidden="false" customHeight="true" outlineLevel="0" collapsed="false">
      <c r="A10" s="9"/>
      <c r="B10" s="6" t="s">
        <v>338</v>
      </c>
      <c r="C10" s="13" t="n">
        <f aca="false">'C29 Investment tax'!B33</f>
        <v>0.0259169832145933</v>
      </c>
      <c r="D10" s="6" t="s">
        <v>339</v>
      </c>
    </row>
    <row r="11" customFormat="false" ht="31.5" hidden="false" customHeight="true" outlineLevel="0" collapsed="false">
      <c r="A11" s="3" t="s">
        <v>340</v>
      </c>
      <c r="B11" s="6" t="s">
        <v>341</v>
      </c>
      <c r="C11" s="12" t="n">
        <f aca="false">'C30 Sale gift inheritance'!B12</f>
        <v>135000</v>
      </c>
      <c r="D11" s="6" t="s">
        <v>342</v>
      </c>
    </row>
    <row r="12" customFormat="false" ht="31.5" hidden="false" customHeight="true" outlineLevel="0" collapsed="false">
      <c r="A12" s="9"/>
      <c r="B12" s="6" t="s">
        <v>343</v>
      </c>
      <c r="C12" s="12" t="n">
        <f aca="false">'C30 Sale gift inheritance'!B15</f>
        <v>41456.3</v>
      </c>
      <c r="D12" s="6" t="s">
        <v>344</v>
      </c>
    </row>
    <row r="13" customFormat="false" ht="31.5" hidden="false" customHeight="true" outlineLevel="0" collapsed="false">
      <c r="A13" s="9"/>
      <c r="B13" s="6" t="s">
        <v>345</v>
      </c>
      <c r="C13" s="12" t="n">
        <f aca="false">'C30 Sale gift inheritance'!B16</f>
        <v>358543.7</v>
      </c>
      <c r="D13" s="6" t="s">
        <v>321</v>
      </c>
    </row>
    <row r="14" customFormat="false" ht="31.5" hidden="false" customHeight="true" outlineLevel="0" collapsed="false">
      <c r="A14" s="3" t="s">
        <v>346</v>
      </c>
      <c r="B14" s="6" t="s">
        <v>347</v>
      </c>
      <c r="C14" s="12" t="n">
        <f aca="false">'C30 Sale gift inheritance'!B26</f>
        <v>140000</v>
      </c>
      <c r="D14" s="6" t="s">
        <v>348</v>
      </c>
    </row>
    <row r="15" customFormat="false" ht="31.5" hidden="false" customHeight="true" outlineLevel="0" collapsed="false">
      <c r="A15" s="9"/>
      <c r="B15" s="6" t="s">
        <v>349</v>
      </c>
      <c r="C15" s="12" t="n">
        <f aca="false">'C30 Sale gift inheritance'!B28</f>
        <v>43006.3</v>
      </c>
      <c r="D15" s="6" t="s">
        <v>348</v>
      </c>
    </row>
    <row r="16" customFormat="false" ht="48" hidden="false" customHeight="true" outlineLevel="0" collapsed="false">
      <c r="A16" s="3" t="s">
        <v>350</v>
      </c>
      <c r="B16" s="6" t="s">
        <v>351</v>
      </c>
      <c r="C16" s="12" t="n">
        <f aca="false">'C30 Sale gift inheritance'!B36</f>
        <v>420000</v>
      </c>
      <c r="D16" s="6" t="s">
        <v>352</v>
      </c>
    </row>
    <row r="17" customFormat="false" ht="31.5" hidden="false" customHeight="true" outlineLevel="0" collapsed="false">
      <c r="A17" s="9"/>
      <c r="B17" s="6" t="s">
        <v>353</v>
      </c>
      <c r="C17" s="12" t="n">
        <f aca="false">'C30 Sale gift inheritance'!B39</f>
        <v>26400</v>
      </c>
      <c r="D17" s="6" t="s">
        <v>352</v>
      </c>
    </row>
    <row r="18" customFormat="false" ht="31.5" hidden="false" customHeight="true" outlineLevel="0" collapsed="false">
      <c r="A18" s="3" t="s">
        <v>354</v>
      </c>
      <c r="B18" s="6" t="s">
        <v>355</v>
      </c>
      <c r="C18" s="12" t="n">
        <f aca="false">'Plan cashflow'!H8</f>
        <v>62293.4466666667</v>
      </c>
      <c r="D18" s="6" t="s">
        <v>356</v>
      </c>
    </row>
    <row r="19" customFormat="false" ht="31.5" hidden="false" customHeight="true" outlineLevel="0" collapsed="false">
      <c r="A19" s="9"/>
      <c r="B19" s="6" t="s">
        <v>357</v>
      </c>
      <c r="C19" s="12" t="n">
        <f aca="false">'Plan pay &amp; tax'!BR234</f>
        <v>14586.5533333333</v>
      </c>
      <c r="D19" s="6" t="s">
        <v>358</v>
      </c>
    </row>
    <row r="20" customFormat="false" ht="31.5" hidden="false" customHeight="true" outlineLevel="0" collapsed="false">
      <c r="A20" s="9"/>
      <c r="B20" s="6" t="s">
        <v>359</v>
      </c>
      <c r="C20" s="12" t="n">
        <f aca="false">'Plan cashflow'!I8</f>
        <v>45000</v>
      </c>
      <c r="D20" s="6" t="s">
        <v>360</v>
      </c>
    </row>
    <row r="21" customFormat="false" ht="31.5" hidden="false" customHeight="true" outlineLevel="0" collapsed="false">
      <c r="A21" s="9"/>
      <c r="B21" s="6" t="s">
        <v>361</v>
      </c>
      <c r="C21" s="12" t="n">
        <f aca="false">'Plan cashflow'!S8</f>
        <v>15797.4861222176</v>
      </c>
      <c r="D21" s="6" t="s">
        <v>360</v>
      </c>
    </row>
    <row r="22" customFormat="false" ht="31.5" hidden="false" customHeight="true" outlineLevel="0" collapsed="false">
      <c r="A22" s="9"/>
      <c r="B22" s="6" t="s">
        <v>362</v>
      </c>
      <c r="C22" s="12" t="n">
        <f aca="false">'Plan cashflow'!H8-'Plan cashflow'!I8-'Plan cashflow'!S8</f>
        <v>1495.96054444905</v>
      </c>
      <c r="D22" s="6" t="s">
        <v>360</v>
      </c>
    </row>
    <row r="23" customFormat="false" ht="31.5" hidden="false" customHeight="true" outlineLevel="0" collapsed="false">
      <c r="A23" s="3" t="s">
        <v>363</v>
      </c>
      <c r="B23" s="6" t="s">
        <v>364</v>
      </c>
      <c r="C23" s="14"/>
      <c r="D23" s="6" t="s">
        <v>365</v>
      </c>
    </row>
    <row r="24" customFormat="false" ht="48" hidden="false" customHeight="true" outlineLevel="0" collapsed="false">
      <c r="A24" s="3" t="s">
        <v>366</v>
      </c>
      <c r="B24" s="6" t="s">
        <v>367</v>
      </c>
      <c r="C24" s="14"/>
      <c r="D24" s="6" t="s">
        <v>368</v>
      </c>
    </row>
  </sheetData>
  <mergeCells count="1">
    <mergeCell ref="A2:D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F9D8F"/>
    <pageSetUpPr fitToPage="false"/>
  </sheetPr>
  <dimension ref="A1:J15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40"/>
    <col collapsed="false" customWidth="true" hidden="false" outlineLevel="0" max="2" min="2" style="0" width="56"/>
    <col collapsed="false" customWidth="true" hidden="false" outlineLevel="0" max="3" min="3" style="0" width="46"/>
    <col collapsed="false" customWidth="true" hidden="false" outlineLevel="0" max="4" min="4" style="0" width="30"/>
    <col collapsed="false" customWidth="true" hidden="false" outlineLevel="0" max="5" min="5" style="0" width="40"/>
    <col collapsed="false" customWidth="true" hidden="false" outlineLevel="0" max="6" min="6" style="0" width="30"/>
    <col collapsed="false" customWidth="true" hidden="false" outlineLevel="0" max="7" min="7" style="0" width="40"/>
    <col collapsed="false" customWidth="true" hidden="false" outlineLevel="0" max="8" min="8" style="0" width="46"/>
    <col collapsed="false" customWidth="true" hidden="false" outlineLevel="0" max="9" min="9" style="0" width="26"/>
    <col collapsed="false" customWidth="true" hidden="false" outlineLevel="0" max="10" min="10" style="0" width="20"/>
  </cols>
  <sheetData>
    <row r="1" customFormat="false" ht="19.7" hidden="false" customHeight="false" outlineLevel="0" collapsed="false">
      <c r="A1" s="1" t="s">
        <v>369</v>
      </c>
    </row>
    <row r="2" customFormat="false" ht="33.75" hidden="false" customHeight="true" outlineLevel="0" collapsed="false">
      <c r="A2" s="2" t="s">
        <v>370</v>
      </c>
      <c r="B2" s="2"/>
      <c r="C2" s="2"/>
      <c r="D2" s="2"/>
      <c r="E2" s="2"/>
      <c r="F2" s="2"/>
      <c r="G2" s="2"/>
      <c r="H2" s="2"/>
      <c r="I2" s="2"/>
      <c r="J2" s="2"/>
    </row>
    <row r="4" customFormat="false" ht="15" hidden="false" customHeight="false" outlineLevel="0" collapsed="false">
      <c r="A4" s="5" t="s">
        <v>371</v>
      </c>
      <c r="B4" s="5" t="s">
        <v>372</v>
      </c>
    </row>
    <row r="5" customFormat="false" ht="15" hidden="false" customHeight="false" outlineLevel="0" collapsed="false">
      <c r="A5" s="15" t="s">
        <v>373</v>
      </c>
    </row>
    <row r="6" customFormat="false" ht="15" hidden="false" customHeight="false" outlineLevel="0" collapsed="false">
      <c r="A6" s="3" t="s">
        <v>374</v>
      </c>
      <c r="B6" s="6" t="str">
        <f aca="false">INDEX(A$20:A$47,MATCH($A$5,$A$20:$A$47,0))</f>
        <v>Selling: other property or land</v>
      </c>
    </row>
    <row r="7" customFormat="false" ht="15" hidden="false" customHeight="false" outlineLevel="0" collapsed="false">
      <c r="A7" s="3" t="s">
        <v>375</v>
      </c>
      <c r="B7" s="6" t="str">
        <f aca="false">INDEX(B$20:B$47,MATCH($A$5,$A$20:$A$47,0))</f>
        <v>Second home, rental property, land</v>
      </c>
    </row>
    <row r="8" customFormat="false" ht="15" hidden="false" customHeight="false" outlineLevel="0" collapsed="false">
      <c r="A8" s="3" t="s">
        <v>376</v>
      </c>
      <c r="B8" s="6" t="str">
        <f aca="false">INDEX(C$20:C$47,MATCH($A$5,$A$20:$A$47,0))</f>
        <v>Capital gains tax (CGT)</v>
      </c>
    </row>
    <row r="9" customFormat="false" ht="15" hidden="false" customHeight="false" outlineLevel="0" collapsed="false">
      <c r="A9" s="3" t="s">
        <v>377</v>
      </c>
      <c r="B9" s="6" t="str">
        <f aca="false">INDEX(D$20:D$47,MATCH($A$5,$A$20:$A$47,0))</f>
        <v>You (file and pay by Revenue deadlines)</v>
      </c>
    </row>
    <row r="10" customFormat="false" ht="15" hidden="false" customHeight="false" outlineLevel="0" collapsed="false">
      <c r="A10" s="3" t="s">
        <v>378</v>
      </c>
      <c r="B10" s="6" t="str">
        <f aca="false">INDEX(E$20:E$47,MATCH($A$5,$A$20:$A$47,0))</f>
        <v>33% before 7 Oct 2026; 31% from 7 Oct 2026</v>
      </c>
    </row>
    <row r="11" customFormat="false" ht="15" hidden="false" customHeight="false" outlineLevel="0" collapsed="false">
      <c r="A11" s="3" t="s">
        <v>379</v>
      </c>
      <c r="B11" s="6" t="str">
        <f aca="false">INDEX(F$20:F$47,MATCH($A$5,$A$20:$A$47,0))</f>
        <v>On the sale date</v>
      </c>
    </row>
    <row r="12" customFormat="false" ht="15" hidden="false" customHeight="false" outlineLevel="0" collapsed="false">
      <c r="A12" s="3" t="s">
        <v>380</v>
      </c>
      <c r="B12" s="6" t="str">
        <f aca="false">INDEX(G$20:G$47,MATCH($A$5,$A$20:$A$47,0))</f>
        <v>Sale price less cost less allowable costs</v>
      </c>
    </row>
    <row r="13" customFormat="false" ht="28.35" hidden="false" customHeight="false" outlineLevel="0" collapsed="false">
      <c r="A13" s="3" t="s">
        <v>381</v>
      </c>
      <c r="B13" s="6" t="str">
        <f aca="false">INDEX(H$20:H$47,MATCH($A$5,$A$20:$A$47,0))</f>
        <v>Annual exemption €1,270 per person; losses; development land stays at 33%</v>
      </c>
    </row>
    <row r="14" customFormat="false" ht="15" hidden="false" customHeight="false" outlineLevel="0" collapsed="false">
      <c r="A14" s="3" t="s">
        <v>382</v>
      </c>
      <c r="B14" s="6" t="str">
        <f aca="false">INDEX(I$20:I$47,MATCH($A$5,$A$20:$A$47,0))</f>
        <v>C30, plan (other assets)</v>
      </c>
    </row>
    <row r="15" customFormat="false" ht="15" hidden="false" customHeight="false" outlineLevel="0" collapsed="false">
      <c r="A15" s="3" t="s">
        <v>383</v>
      </c>
      <c r="B15" s="6" t="str">
        <f aca="false">INDEX(J$20:J$47,MATCH($A$5,$A$20:$A$47,0))</f>
        <v>Requires Verification</v>
      </c>
    </row>
    <row r="19" customFormat="false" ht="15" hidden="false" customHeight="false" outlineLevel="0" collapsed="false">
      <c r="A19" s="7" t="s">
        <v>374</v>
      </c>
      <c r="B19" s="7" t="s">
        <v>375</v>
      </c>
      <c r="C19" s="7" t="s">
        <v>376</v>
      </c>
      <c r="D19" s="7" t="s">
        <v>377</v>
      </c>
      <c r="E19" s="7" t="s">
        <v>378</v>
      </c>
      <c r="F19" s="7" t="s">
        <v>379</v>
      </c>
      <c r="G19" s="7" t="s">
        <v>380</v>
      </c>
      <c r="H19" s="7" t="s">
        <v>381</v>
      </c>
      <c r="I19" s="7" t="s">
        <v>382</v>
      </c>
      <c r="J19" s="7" t="s">
        <v>383</v>
      </c>
    </row>
    <row r="20" customFormat="false" ht="28.35" hidden="false" customHeight="false" outlineLevel="0" collapsed="false">
      <c r="A20" s="6" t="s">
        <v>384</v>
      </c>
      <c r="B20" s="6" t="s">
        <v>385</v>
      </c>
      <c r="C20" s="6" t="s">
        <v>386</v>
      </c>
      <c r="D20" s="6" t="s">
        <v>387</v>
      </c>
      <c r="E20" s="6" t="s">
        <v>388</v>
      </c>
      <c r="F20" s="6" t="s">
        <v>389</v>
      </c>
      <c r="G20" s="6" t="s">
        <v>390</v>
      </c>
      <c r="H20" s="6" t="s">
        <v>391</v>
      </c>
      <c r="I20" s="6" t="s">
        <v>392</v>
      </c>
      <c r="J20" s="16" t="s">
        <v>393</v>
      </c>
    </row>
    <row r="21" customFormat="false" ht="28.35" hidden="false" customHeight="false" outlineLevel="0" collapsed="false">
      <c r="A21" s="6" t="s">
        <v>394</v>
      </c>
      <c r="B21" s="6" t="s">
        <v>395</v>
      </c>
      <c r="C21" s="6" t="s">
        <v>396</v>
      </c>
      <c r="D21" s="6" t="s">
        <v>397</v>
      </c>
      <c r="E21" s="6" t="s">
        <v>398</v>
      </c>
      <c r="F21" s="6" t="s">
        <v>399</v>
      </c>
      <c r="G21" s="6" t="s">
        <v>395</v>
      </c>
      <c r="H21" s="6" t="s">
        <v>400</v>
      </c>
      <c r="I21" s="6" t="s">
        <v>401</v>
      </c>
      <c r="J21" s="16" t="s">
        <v>393</v>
      </c>
    </row>
    <row r="22" customFormat="false" ht="15" hidden="false" customHeight="false" outlineLevel="0" collapsed="false">
      <c r="A22" s="6" t="s">
        <v>402</v>
      </c>
      <c r="B22" s="6" t="s">
        <v>403</v>
      </c>
      <c r="C22" s="6" t="s">
        <v>404</v>
      </c>
      <c r="D22" s="6" t="s">
        <v>405</v>
      </c>
      <c r="E22" s="6" t="s">
        <v>406</v>
      </c>
      <c r="F22" s="6" t="s">
        <v>407</v>
      </c>
      <c r="G22" s="6" t="s">
        <v>408</v>
      </c>
      <c r="H22" s="6" t="s">
        <v>409</v>
      </c>
      <c r="I22" s="6" t="s">
        <v>410</v>
      </c>
      <c r="J22" s="16" t="s">
        <v>393</v>
      </c>
    </row>
    <row r="23" customFormat="false" ht="28.35" hidden="false" customHeight="false" outlineLevel="0" collapsed="false">
      <c r="A23" s="6" t="s">
        <v>411</v>
      </c>
      <c r="B23" s="6" t="s">
        <v>412</v>
      </c>
      <c r="C23" s="6" t="s">
        <v>413</v>
      </c>
      <c r="D23" s="6" t="s">
        <v>414</v>
      </c>
      <c r="E23" s="6" t="s">
        <v>415</v>
      </c>
      <c r="F23" s="6" t="s">
        <v>416</v>
      </c>
      <c r="G23" s="6" t="s">
        <v>417</v>
      </c>
      <c r="H23" s="6" t="s">
        <v>418</v>
      </c>
      <c r="I23" s="6" t="s">
        <v>419</v>
      </c>
      <c r="J23" s="16" t="s">
        <v>393</v>
      </c>
    </row>
    <row r="24" customFormat="false" ht="28.35" hidden="false" customHeight="false" outlineLevel="0" collapsed="false">
      <c r="A24" s="6" t="s">
        <v>420</v>
      </c>
      <c r="B24" s="6" t="s">
        <v>421</v>
      </c>
      <c r="C24" s="6" t="s">
        <v>422</v>
      </c>
      <c r="D24" s="6" t="s">
        <v>423</v>
      </c>
      <c r="E24" s="6" t="s">
        <v>424</v>
      </c>
      <c r="F24" s="6" t="s">
        <v>425</v>
      </c>
      <c r="G24" s="6" t="s">
        <v>426</v>
      </c>
      <c r="H24" s="6" t="s">
        <v>427</v>
      </c>
      <c r="I24" s="6" t="s">
        <v>428</v>
      </c>
      <c r="J24" s="16" t="s">
        <v>393</v>
      </c>
    </row>
    <row r="25" customFormat="false" ht="15" hidden="false" customHeight="false" outlineLevel="0" collapsed="false">
      <c r="A25" s="6" t="s">
        <v>429</v>
      </c>
      <c r="B25" s="6" t="s">
        <v>430</v>
      </c>
      <c r="C25" s="6" t="s">
        <v>431</v>
      </c>
      <c r="D25" s="6" t="s">
        <v>423</v>
      </c>
      <c r="E25" s="6" t="s">
        <v>432</v>
      </c>
      <c r="F25" s="6" t="s">
        <v>433</v>
      </c>
      <c r="G25" s="6" t="s">
        <v>434</v>
      </c>
      <c r="H25" s="6"/>
      <c r="I25" s="6" t="s">
        <v>435</v>
      </c>
      <c r="J25" s="16" t="s">
        <v>393</v>
      </c>
    </row>
    <row r="26" customFormat="false" ht="28.35" hidden="false" customHeight="false" outlineLevel="0" collapsed="false">
      <c r="A26" s="6" t="s">
        <v>436</v>
      </c>
      <c r="B26" s="6" t="s">
        <v>437</v>
      </c>
      <c r="C26" s="6" t="s">
        <v>438</v>
      </c>
      <c r="D26" s="6" t="s">
        <v>423</v>
      </c>
      <c r="E26" s="6" t="s">
        <v>439</v>
      </c>
      <c r="F26" s="6" t="s">
        <v>440</v>
      </c>
      <c r="G26" s="6" t="s">
        <v>441</v>
      </c>
      <c r="H26" s="6" t="s">
        <v>442</v>
      </c>
      <c r="I26" s="6" t="s">
        <v>443</v>
      </c>
      <c r="J26" s="16" t="s">
        <v>393</v>
      </c>
    </row>
    <row r="27" customFormat="false" ht="28.35" hidden="false" customHeight="false" outlineLevel="0" collapsed="false">
      <c r="A27" s="6" t="s">
        <v>444</v>
      </c>
      <c r="B27" s="6" t="s">
        <v>445</v>
      </c>
      <c r="C27" s="6" t="s">
        <v>446</v>
      </c>
      <c r="D27" s="6" t="s">
        <v>423</v>
      </c>
      <c r="E27" s="6" t="s">
        <v>447</v>
      </c>
      <c r="F27" s="6" t="s">
        <v>440</v>
      </c>
      <c r="G27" s="6" t="s">
        <v>448</v>
      </c>
      <c r="H27" s="6" t="s">
        <v>449</v>
      </c>
      <c r="I27" s="6" t="s">
        <v>450</v>
      </c>
      <c r="J27" s="16" t="s">
        <v>393</v>
      </c>
    </row>
    <row r="28" customFormat="false" ht="28.35" hidden="false" customHeight="false" outlineLevel="0" collapsed="false">
      <c r="A28" s="6" t="s">
        <v>451</v>
      </c>
      <c r="B28" s="6" t="s">
        <v>452</v>
      </c>
      <c r="C28" s="6" t="s">
        <v>453</v>
      </c>
      <c r="D28" s="6"/>
      <c r="E28" s="6" t="s">
        <v>454</v>
      </c>
      <c r="F28" s="6" t="s">
        <v>455</v>
      </c>
      <c r="G28" s="6"/>
      <c r="H28" s="6"/>
      <c r="I28" s="6" t="s">
        <v>456</v>
      </c>
      <c r="J28" s="16" t="s">
        <v>393</v>
      </c>
    </row>
    <row r="29" customFormat="false" ht="28.35" hidden="false" customHeight="false" outlineLevel="0" collapsed="false">
      <c r="A29" s="6" t="s">
        <v>457</v>
      </c>
      <c r="B29" s="6" t="s">
        <v>458</v>
      </c>
      <c r="C29" s="6" t="s">
        <v>459</v>
      </c>
      <c r="D29" s="6" t="s">
        <v>460</v>
      </c>
      <c r="E29" s="6" t="s">
        <v>461</v>
      </c>
      <c r="F29" s="6" t="s">
        <v>462</v>
      </c>
      <c r="G29" s="6" t="s">
        <v>463</v>
      </c>
      <c r="H29" s="6"/>
      <c r="I29" s="6" t="s">
        <v>464</v>
      </c>
      <c r="J29" s="16" t="s">
        <v>393</v>
      </c>
    </row>
    <row r="30" customFormat="false" ht="28.35" hidden="false" customHeight="false" outlineLevel="0" collapsed="false">
      <c r="A30" s="6" t="s">
        <v>465</v>
      </c>
      <c r="B30" s="6" t="s">
        <v>466</v>
      </c>
      <c r="C30" s="6" t="s">
        <v>467</v>
      </c>
      <c r="D30" s="6" t="s">
        <v>423</v>
      </c>
      <c r="E30" s="6" t="s">
        <v>468</v>
      </c>
      <c r="F30" s="6" t="s">
        <v>469</v>
      </c>
      <c r="G30" s="6" t="s">
        <v>470</v>
      </c>
      <c r="H30" s="6" t="s">
        <v>471</v>
      </c>
      <c r="I30" s="6" t="s">
        <v>321</v>
      </c>
      <c r="J30" s="16" t="s">
        <v>393</v>
      </c>
    </row>
    <row r="31" customFormat="false" ht="28.35" hidden="false" customHeight="false" outlineLevel="0" collapsed="false">
      <c r="A31" s="6" t="s">
        <v>373</v>
      </c>
      <c r="B31" s="6" t="s">
        <v>472</v>
      </c>
      <c r="C31" s="6" t="s">
        <v>473</v>
      </c>
      <c r="D31" s="6" t="s">
        <v>474</v>
      </c>
      <c r="E31" s="6" t="s">
        <v>475</v>
      </c>
      <c r="F31" s="6" t="s">
        <v>476</v>
      </c>
      <c r="G31" s="6" t="s">
        <v>477</v>
      </c>
      <c r="H31" s="6" t="s">
        <v>478</v>
      </c>
      <c r="I31" s="6" t="s">
        <v>479</v>
      </c>
      <c r="J31" s="16" t="s">
        <v>393</v>
      </c>
    </row>
    <row r="32" customFormat="false" ht="15" hidden="false" customHeight="false" outlineLevel="0" collapsed="false">
      <c r="A32" s="6" t="s">
        <v>480</v>
      </c>
      <c r="B32" s="6" t="s">
        <v>481</v>
      </c>
      <c r="C32" s="6" t="s">
        <v>473</v>
      </c>
      <c r="D32" s="6" t="s">
        <v>423</v>
      </c>
      <c r="E32" s="6" t="s">
        <v>482</v>
      </c>
      <c r="F32" s="6" t="s">
        <v>476</v>
      </c>
      <c r="G32" s="6" t="s">
        <v>483</v>
      </c>
      <c r="H32" s="6" t="s">
        <v>484</v>
      </c>
      <c r="I32" s="6" t="s">
        <v>485</v>
      </c>
      <c r="J32" s="16" t="s">
        <v>393</v>
      </c>
    </row>
    <row r="33" customFormat="false" ht="15" hidden="false" customHeight="false" outlineLevel="0" collapsed="false">
      <c r="A33" s="6" t="s">
        <v>486</v>
      </c>
      <c r="B33" s="6" t="s">
        <v>487</v>
      </c>
      <c r="C33" s="6" t="s">
        <v>488</v>
      </c>
      <c r="D33" s="6" t="s">
        <v>489</v>
      </c>
      <c r="E33" s="6" t="s">
        <v>461</v>
      </c>
      <c r="F33" s="6" t="s">
        <v>469</v>
      </c>
      <c r="G33" s="6" t="s">
        <v>490</v>
      </c>
      <c r="H33" s="6" t="s">
        <v>491</v>
      </c>
      <c r="I33" s="6" t="s">
        <v>485</v>
      </c>
      <c r="J33" s="16" t="s">
        <v>393</v>
      </c>
    </row>
    <row r="34" customFormat="false" ht="28.35" hidden="false" customHeight="false" outlineLevel="0" collapsed="false">
      <c r="A34" s="6" t="s">
        <v>492</v>
      </c>
      <c r="B34" s="6" t="s">
        <v>493</v>
      </c>
      <c r="C34" s="6" t="s">
        <v>473</v>
      </c>
      <c r="D34" s="6" t="s">
        <v>423</v>
      </c>
      <c r="E34" s="6" t="s">
        <v>482</v>
      </c>
      <c r="F34" s="6" t="s">
        <v>494</v>
      </c>
      <c r="G34" s="6" t="s">
        <v>483</v>
      </c>
      <c r="H34" s="6" t="s">
        <v>495</v>
      </c>
      <c r="I34" s="6" t="s">
        <v>496</v>
      </c>
      <c r="J34" s="16" t="s">
        <v>393</v>
      </c>
    </row>
    <row r="35" customFormat="false" ht="15" hidden="false" customHeight="false" outlineLevel="0" collapsed="false">
      <c r="A35" s="6" t="s">
        <v>497</v>
      </c>
      <c r="B35" s="6" t="s">
        <v>498</v>
      </c>
      <c r="C35" s="6" t="s">
        <v>499</v>
      </c>
      <c r="D35" s="6" t="s">
        <v>423</v>
      </c>
      <c r="E35" s="6" t="s">
        <v>500</v>
      </c>
      <c r="F35" s="6" t="s">
        <v>469</v>
      </c>
      <c r="G35" s="6" t="s">
        <v>501</v>
      </c>
      <c r="H35" s="6" t="s">
        <v>502</v>
      </c>
      <c r="I35" s="6" t="s">
        <v>321</v>
      </c>
      <c r="J35" s="16" t="s">
        <v>393</v>
      </c>
    </row>
    <row r="36" customFormat="false" ht="28.35" hidden="false" customHeight="false" outlineLevel="0" collapsed="false">
      <c r="A36" s="6" t="s">
        <v>503</v>
      </c>
      <c r="B36" s="6" t="s">
        <v>504</v>
      </c>
      <c r="C36" s="6" t="s">
        <v>505</v>
      </c>
      <c r="D36" s="6" t="s">
        <v>423</v>
      </c>
      <c r="E36" s="6" t="s">
        <v>506</v>
      </c>
      <c r="F36" s="6" t="s">
        <v>469</v>
      </c>
      <c r="G36" s="6" t="s">
        <v>501</v>
      </c>
      <c r="H36" s="6" t="s">
        <v>507</v>
      </c>
      <c r="I36" s="6" t="s">
        <v>450</v>
      </c>
      <c r="J36" s="16" t="s">
        <v>393</v>
      </c>
    </row>
    <row r="37" customFormat="false" ht="41.75" hidden="false" customHeight="false" outlineLevel="0" collapsed="false">
      <c r="A37" s="6" t="s">
        <v>508</v>
      </c>
      <c r="B37" s="6" t="s">
        <v>509</v>
      </c>
      <c r="C37" s="6" t="s">
        <v>510</v>
      </c>
      <c r="D37" s="6" t="s">
        <v>423</v>
      </c>
      <c r="E37" s="6" t="s">
        <v>511</v>
      </c>
      <c r="F37" s="6" t="s">
        <v>512</v>
      </c>
      <c r="G37" s="6" t="s">
        <v>513</v>
      </c>
      <c r="H37" s="6"/>
      <c r="I37" s="6" t="s">
        <v>514</v>
      </c>
      <c r="J37" s="16" t="s">
        <v>393</v>
      </c>
    </row>
    <row r="38" customFormat="false" ht="41.75" hidden="false" customHeight="false" outlineLevel="0" collapsed="false">
      <c r="A38" s="6" t="s">
        <v>515</v>
      </c>
      <c r="B38" s="6" t="s">
        <v>516</v>
      </c>
      <c r="C38" s="6" t="s">
        <v>517</v>
      </c>
      <c r="D38" s="6" t="s">
        <v>518</v>
      </c>
      <c r="E38" s="6" t="s">
        <v>519</v>
      </c>
      <c r="F38" s="6" t="s">
        <v>520</v>
      </c>
      <c r="G38" s="6" t="s">
        <v>521</v>
      </c>
      <c r="H38" s="6" t="s">
        <v>522</v>
      </c>
      <c r="I38" s="6" t="s">
        <v>523</v>
      </c>
      <c r="J38" s="16" t="s">
        <v>393</v>
      </c>
    </row>
    <row r="39" customFormat="false" ht="15" hidden="false" customHeight="false" outlineLevel="0" collapsed="false">
      <c r="A39" s="6" t="s">
        <v>524</v>
      </c>
      <c r="B39" s="6" t="s">
        <v>525</v>
      </c>
      <c r="C39" s="6" t="s">
        <v>526</v>
      </c>
      <c r="D39" s="6" t="s">
        <v>423</v>
      </c>
      <c r="E39" s="6" t="s">
        <v>527</v>
      </c>
      <c r="F39" s="6" t="s">
        <v>528</v>
      </c>
      <c r="G39" s="6" t="s">
        <v>529</v>
      </c>
      <c r="H39" s="6" t="s">
        <v>530</v>
      </c>
      <c r="I39" s="6" t="s">
        <v>514</v>
      </c>
      <c r="J39" s="16" t="s">
        <v>393</v>
      </c>
    </row>
    <row r="40" customFormat="false" ht="15" hidden="false" customHeight="false" outlineLevel="0" collapsed="false">
      <c r="A40" s="6" t="s">
        <v>531</v>
      </c>
      <c r="B40" s="6" t="s">
        <v>445</v>
      </c>
      <c r="C40" s="6" t="s">
        <v>82</v>
      </c>
      <c r="D40" s="6" t="s">
        <v>532</v>
      </c>
      <c r="E40" s="6" t="s">
        <v>533</v>
      </c>
      <c r="F40" s="6" t="s">
        <v>534</v>
      </c>
      <c r="G40" s="6" t="s">
        <v>535</v>
      </c>
      <c r="H40" s="6" t="s">
        <v>536</v>
      </c>
      <c r="I40" s="6" t="s">
        <v>537</v>
      </c>
      <c r="J40" s="16" t="s">
        <v>393</v>
      </c>
    </row>
    <row r="41" customFormat="false" ht="15" hidden="false" customHeight="false" outlineLevel="0" collapsed="false">
      <c r="A41" s="6" t="s">
        <v>538</v>
      </c>
      <c r="B41" s="6" t="s">
        <v>539</v>
      </c>
      <c r="C41" s="6" t="s">
        <v>82</v>
      </c>
      <c r="D41" s="6" t="s">
        <v>423</v>
      </c>
      <c r="E41" s="6" t="s">
        <v>540</v>
      </c>
      <c r="F41" s="6" t="s">
        <v>541</v>
      </c>
      <c r="G41" s="6" t="s">
        <v>542</v>
      </c>
      <c r="H41" s="6"/>
      <c r="I41" s="6" t="s">
        <v>450</v>
      </c>
      <c r="J41" s="16" t="s">
        <v>393</v>
      </c>
    </row>
    <row r="42" customFormat="false" ht="15" hidden="false" customHeight="false" outlineLevel="0" collapsed="false">
      <c r="A42" s="6" t="s">
        <v>543</v>
      </c>
      <c r="B42" s="6" t="s">
        <v>544</v>
      </c>
      <c r="C42" s="6" t="s">
        <v>545</v>
      </c>
      <c r="D42" s="6"/>
      <c r="E42" s="6" t="s">
        <v>468</v>
      </c>
      <c r="F42" s="6" t="s">
        <v>546</v>
      </c>
      <c r="G42" s="6"/>
      <c r="H42" s="6" t="s">
        <v>547</v>
      </c>
      <c r="I42" s="6" t="s">
        <v>321</v>
      </c>
      <c r="J42" s="16" t="s">
        <v>393</v>
      </c>
    </row>
    <row r="43" customFormat="false" ht="41.75" hidden="false" customHeight="false" outlineLevel="0" collapsed="false">
      <c r="A43" s="6" t="s">
        <v>548</v>
      </c>
      <c r="B43" s="6" t="s">
        <v>549</v>
      </c>
      <c r="C43" s="6" t="s">
        <v>550</v>
      </c>
      <c r="D43" s="6" t="s">
        <v>551</v>
      </c>
      <c r="E43" s="6" t="s">
        <v>552</v>
      </c>
      <c r="F43" s="6" t="s">
        <v>546</v>
      </c>
      <c r="G43" s="6" t="s">
        <v>553</v>
      </c>
      <c r="H43" s="6" t="s">
        <v>554</v>
      </c>
      <c r="I43" s="6" t="s">
        <v>555</v>
      </c>
      <c r="J43" s="16" t="s">
        <v>393</v>
      </c>
    </row>
    <row r="44" customFormat="false" ht="28.35" hidden="false" customHeight="false" outlineLevel="0" collapsed="false">
      <c r="A44" s="6" t="s">
        <v>556</v>
      </c>
      <c r="B44" s="6" t="s">
        <v>557</v>
      </c>
      <c r="C44" s="6" t="s">
        <v>558</v>
      </c>
      <c r="D44" s="6" t="s">
        <v>559</v>
      </c>
      <c r="E44" s="6" t="s">
        <v>560</v>
      </c>
      <c r="F44" s="6" t="s">
        <v>546</v>
      </c>
      <c r="G44" s="6" t="s">
        <v>561</v>
      </c>
      <c r="H44" s="6" t="s">
        <v>562</v>
      </c>
      <c r="I44" s="6" t="s">
        <v>563</v>
      </c>
      <c r="J44" s="16" t="s">
        <v>393</v>
      </c>
    </row>
    <row r="45" customFormat="false" ht="28.35" hidden="false" customHeight="false" outlineLevel="0" collapsed="false">
      <c r="A45" s="6" t="s">
        <v>564</v>
      </c>
      <c r="B45" s="6" t="s">
        <v>544</v>
      </c>
      <c r="C45" s="6" t="s">
        <v>565</v>
      </c>
      <c r="D45" s="6" t="s">
        <v>559</v>
      </c>
      <c r="E45" s="6" t="s">
        <v>566</v>
      </c>
      <c r="F45" s="6" t="s">
        <v>567</v>
      </c>
      <c r="G45" s="6" t="s">
        <v>568</v>
      </c>
      <c r="H45" s="6" t="s">
        <v>569</v>
      </c>
      <c r="I45" s="6" t="s">
        <v>563</v>
      </c>
      <c r="J45" s="16" t="s">
        <v>393</v>
      </c>
    </row>
    <row r="46" customFormat="false" ht="15" hidden="false" customHeight="false" outlineLevel="0" collapsed="false">
      <c r="A46" s="6" t="s">
        <v>570</v>
      </c>
      <c r="B46" s="6" t="s">
        <v>544</v>
      </c>
      <c r="C46" s="6" t="s">
        <v>571</v>
      </c>
      <c r="D46" s="6" t="s">
        <v>559</v>
      </c>
      <c r="E46" s="6" t="s">
        <v>572</v>
      </c>
      <c r="F46" s="6" t="s">
        <v>546</v>
      </c>
      <c r="G46" s="6" t="s">
        <v>573</v>
      </c>
      <c r="H46" s="6" t="s">
        <v>574</v>
      </c>
      <c r="I46" s="6" t="s">
        <v>563</v>
      </c>
      <c r="J46" s="16" t="s">
        <v>393</v>
      </c>
    </row>
    <row r="47" customFormat="false" ht="28.35" hidden="false" customHeight="false" outlineLevel="0" collapsed="false">
      <c r="A47" s="6" t="s">
        <v>575</v>
      </c>
      <c r="B47" s="6" t="s">
        <v>576</v>
      </c>
      <c r="C47" s="6" t="s">
        <v>577</v>
      </c>
      <c r="D47" s="6" t="s">
        <v>559</v>
      </c>
      <c r="E47" s="6" t="s">
        <v>482</v>
      </c>
      <c r="F47" s="6" t="s">
        <v>578</v>
      </c>
      <c r="G47" s="6" t="s">
        <v>579</v>
      </c>
      <c r="H47" s="6" t="s">
        <v>580</v>
      </c>
      <c r="I47" s="6" t="s">
        <v>581</v>
      </c>
      <c r="J47" s="16" t="s">
        <v>393</v>
      </c>
    </row>
    <row r="52" customFormat="false" ht="19.7" hidden="false" customHeight="false" outlineLevel="0" collapsed="false">
      <c r="A52" s="1" t="s">
        <v>582</v>
      </c>
    </row>
    <row r="53" customFormat="false" ht="48" hidden="false" customHeight="true" outlineLevel="0" collapsed="false">
      <c r="A53" s="2" t="s">
        <v>583</v>
      </c>
      <c r="B53" s="2"/>
      <c r="C53" s="2"/>
      <c r="D53" s="2"/>
      <c r="E53" s="2"/>
      <c r="F53" s="2"/>
      <c r="G53" s="2"/>
      <c r="H53" s="2"/>
      <c r="I53" s="2"/>
    </row>
    <row r="54" customFormat="false" ht="15" hidden="false" customHeight="false" outlineLevel="0" collapsed="false">
      <c r="A54" s="7" t="s">
        <v>584</v>
      </c>
      <c r="B54" s="7" t="s">
        <v>585</v>
      </c>
      <c r="C54" s="7" t="s">
        <v>586</v>
      </c>
      <c r="D54" s="7" t="s">
        <v>587</v>
      </c>
      <c r="E54" s="7" t="s">
        <v>383</v>
      </c>
      <c r="F54" s="7" t="s">
        <v>588</v>
      </c>
      <c r="G54" s="7" t="s">
        <v>172</v>
      </c>
      <c r="H54" s="7" t="s">
        <v>50</v>
      </c>
      <c r="I54" s="7" t="s">
        <v>589</v>
      </c>
    </row>
    <row r="55" customFormat="false" ht="55.2" hidden="false" customHeight="false" outlineLevel="0" collapsed="false">
      <c r="A55" s="6" t="s">
        <v>590</v>
      </c>
      <c r="B55" s="6" t="s">
        <v>54</v>
      </c>
      <c r="C55" s="6" t="s">
        <v>591</v>
      </c>
      <c r="D55" s="17" t="n">
        <v>44000</v>
      </c>
      <c r="E55" s="16" t="s">
        <v>393</v>
      </c>
      <c r="F55" s="6" t="s">
        <v>592</v>
      </c>
      <c r="G55" s="6" t="s">
        <v>593</v>
      </c>
      <c r="H55" s="6" t="s">
        <v>594</v>
      </c>
      <c r="I55" s="6" t="s">
        <v>595</v>
      </c>
    </row>
    <row r="56" customFormat="false" ht="55.2" hidden="false" customHeight="false" outlineLevel="0" collapsed="false">
      <c r="A56" s="6" t="s">
        <v>596</v>
      </c>
      <c r="B56" s="6" t="s">
        <v>54</v>
      </c>
      <c r="C56" s="6" t="s">
        <v>597</v>
      </c>
      <c r="D56" s="17" t="n">
        <v>48000</v>
      </c>
      <c r="E56" s="16" t="s">
        <v>393</v>
      </c>
      <c r="F56" s="6" t="s">
        <v>592</v>
      </c>
      <c r="G56" s="6" t="s">
        <v>593</v>
      </c>
      <c r="H56" s="6" t="s">
        <v>598</v>
      </c>
      <c r="I56" s="6" t="s">
        <v>595</v>
      </c>
    </row>
    <row r="57" customFormat="false" ht="55.2" hidden="false" customHeight="false" outlineLevel="0" collapsed="false">
      <c r="A57" s="6" t="s">
        <v>599</v>
      </c>
      <c r="B57" s="6" t="s">
        <v>54</v>
      </c>
      <c r="C57" s="6" t="s">
        <v>600</v>
      </c>
      <c r="D57" s="17" t="n">
        <v>53000</v>
      </c>
      <c r="E57" s="16" t="s">
        <v>393</v>
      </c>
      <c r="F57" s="6" t="s">
        <v>592</v>
      </c>
      <c r="G57" s="6" t="s">
        <v>593</v>
      </c>
      <c r="H57" s="6" t="s">
        <v>601</v>
      </c>
      <c r="I57" s="6" t="s">
        <v>595</v>
      </c>
    </row>
    <row r="58" customFormat="false" ht="55.2" hidden="false" customHeight="false" outlineLevel="0" collapsed="false">
      <c r="A58" s="6" t="s">
        <v>602</v>
      </c>
      <c r="B58" s="6" t="s">
        <v>54</v>
      </c>
      <c r="C58" s="6" t="s">
        <v>603</v>
      </c>
      <c r="D58" s="17" t="n">
        <v>35000</v>
      </c>
      <c r="E58" s="16" t="s">
        <v>393</v>
      </c>
      <c r="F58" s="6" t="s">
        <v>592</v>
      </c>
      <c r="G58" s="6" t="s">
        <v>593</v>
      </c>
      <c r="H58" s="6" t="s">
        <v>604</v>
      </c>
      <c r="I58" s="6" t="s">
        <v>595</v>
      </c>
    </row>
    <row r="59" customFormat="false" ht="28.35" hidden="false" customHeight="false" outlineLevel="0" collapsed="false">
      <c r="A59" s="6" t="s">
        <v>605</v>
      </c>
      <c r="B59" s="6" t="s">
        <v>54</v>
      </c>
      <c r="C59" s="6" t="s">
        <v>606</v>
      </c>
      <c r="D59" s="18" t="n">
        <v>0.2</v>
      </c>
      <c r="E59" s="16" t="s">
        <v>393</v>
      </c>
      <c r="F59" s="6" t="s">
        <v>119</v>
      </c>
      <c r="G59" s="6" t="s">
        <v>607</v>
      </c>
      <c r="H59" s="6"/>
      <c r="I59" s="6" t="s">
        <v>595</v>
      </c>
    </row>
    <row r="60" customFormat="false" ht="28.35" hidden="false" customHeight="false" outlineLevel="0" collapsed="false">
      <c r="A60" s="6" t="s">
        <v>608</v>
      </c>
      <c r="B60" s="6" t="s">
        <v>54</v>
      </c>
      <c r="C60" s="6" t="s">
        <v>609</v>
      </c>
      <c r="D60" s="18" t="n">
        <v>0.4</v>
      </c>
      <c r="E60" s="16" t="s">
        <v>393</v>
      </c>
      <c r="F60" s="6" t="s">
        <v>119</v>
      </c>
      <c r="G60" s="6" t="s">
        <v>607</v>
      </c>
      <c r="H60" s="6"/>
      <c r="I60" s="6" t="s">
        <v>595</v>
      </c>
    </row>
    <row r="61" customFormat="false" ht="55.2" hidden="false" customHeight="false" outlineLevel="0" collapsed="false">
      <c r="A61" s="6" t="s">
        <v>610</v>
      </c>
      <c r="B61" s="6" t="s">
        <v>54</v>
      </c>
      <c r="C61" s="6" t="s">
        <v>611</v>
      </c>
      <c r="D61" s="17" t="n">
        <v>2000</v>
      </c>
      <c r="E61" s="16" t="s">
        <v>393</v>
      </c>
      <c r="F61" s="6" t="s">
        <v>592</v>
      </c>
      <c r="G61" s="6" t="s">
        <v>593</v>
      </c>
      <c r="H61" s="6" t="s">
        <v>612</v>
      </c>
      <c r="I61" s="6" t="s">
        <v>595</v>
      </c>
    </row>
    <row r="62" customFormat="false" ht="55.2" hidden="false" customHeight="false" outlineLevel="0" collapsed="false">
      <c r="A62" s="6" t="s">
        <v>613</v>
      </c>
      <c r="B62" s="6" t="s">
        <v>54</v>
      </c>
      <c r="C62" s="6" t="s">
        <v>614</v>
      </c>
      <c r="D62" s="17" t="n">
        <v>4000</v>
      </c>
      <c r="E62" s="16" t="s">
        <v>393</v>
      </c>
      <c r="F62" s="6" t="s">
        <v>592</v>
      </c>
      <c r="G62" s="6" t="s">
        <v>593</v>
      </c>
      <c r="H62" s="6" t="s">
        <v>615</v>
      </c>
      <c r="I62" s="6" t="s">
        <v>595</v>
      </c>
    </row>
    <row r="63" customFormat="false" ht="55.2" hidden="false" customHeight="false" outlineLevel="0" collapsed="false">
      <c r="A63" s="6" t="s">
        <v>616</v>
      </c>
      <c r="B63" s="6" t="s">
        <v>54</v>
      </c>
      <c r="C63" s="6" t="s">
        <v>617</v>
      </c>
      <c r="D63" s="17" t="n">
        <v>2000</v>
      </c>
      <c r="E63" s="16" t="s">
        <v>393</v>
      </c>
      <c r="F63" s="6" t="s">
        <v>592</v>
      </c>
      <c r="G63" s="6" t="s">
        <v>593</v>
      </c>
      <c r="H63" s="6" t="s">
        <v>618</v>
      </c>
      <c r="I63" s="6" t="s">
        <v>595</v>
      </c>
    </row>
    <row r="64" customFormat="false" ht="55.2" hidden="false" customHeight="false" outlineLevel="0" collapsed="false">
      <c r="A64" s="6" t="s">
        <v>619</v>
      </c>
      <c r="B64" s="6" t="s">
        <v>54</v>
      </c>
      <c r="C64" s="6" t="s">
        <v>620</v>
      </c>
      <c r="D64" s="17" t="n">
        <v>2000</v>
      </c>
      <c r="E64" s="16" t="s">
        <v>393</v>
      </c>
      <c r="F64" s="6" t="s">
        <v>592</v>
      </c>
      <c r="G64" s="6" t="s">
        <v>593</v>
      </c>
      <c r="H64" s="6" t="s">
        <v>621</v>
      </c>
      <c r="I64" s="6" t="s">
        <v>595</v>
      </c>
    </row>
    <row r="65" customFormat="false" ht="41.75" hidden="false" customHeight="false" outlineLevel="0" collapsed="false">
      <c r="A65" s="6" t="s">
        <v>622</v>
      </c>
      <c r="B65" s="6" t="s">
        <v>54</v>
      </c>
      <c r="C65" s="6" t="s">
        <v>623</v>
      </c>
      <c r="D65" s="18" t="n">
        <v>0.2</v>
      </c>
      <c r="E65" s="16" t="s">
        <v>393</v>
      </c>
      <c r="F65" s="6" t="s">
        <v>119</v>
      </c>
      <c r="G65" s="6" t="s">
        <v>624</v>
      </c>
      <c r="H65" s="6"/>
      <c r="I65" s="6" t="s">
        <v>595</v>
      </c>
    </row>
    <row r="66" customFormat="false" ht="55.2" hidden="false" customHeight="false" outlineLevel="0" collapsed="false">
      <c r="A66" s="6" t="s">
        <v>625</v>
      </c>
      <c r="B66" s="6" t="s">
        <v>54</v>
      </c>
      <c r="C66" s="6" t="s">
        <v>626</v>
      </c>
      <c r="D66" s="17" t="n">
        <v>1000</v>
      </c>
      <c r="E66" s="16" t="s">
        <v>393</v>
      </c>
      <c r="F66" s="6" t="s">
        <v>627</v>
      </c>
      <c r="G66" s="6" t="s">
        <v>593</v>
      </c>
      <c r="H66" s="6" t="s">
        <v>628</v>
      </c>
      <c r="I66" s="6" t="s">
        <v>595</v>
      </c>
    </row>
    <row r="67" customFormat="false" ht="55.2" hidden="false" customHeight="false" outlineLevel="0" collapsed="false">
      <c r="A67" s="6" t="s">
        <v>629</v>
      </c>
      <c r="B67" s="6" t="s">
        <v>54</v>
      </c>
      <c r="C67" s="6" t="s">
        <v>630</v>
      </c>
      <c r="D67" s="17" t="n">
        <v>2000</v>
      </c>
      <c r="E67" s="16" t="s">
        <v>393</v>
      </c>
      <c r="F67" s="6" t="s">
        <v>627</v>
      </c>
      <c r="G67" s="6" t="s">
        <v>593</v>
      </c>
      <c r="H67" s="6" t="s">
        <v>631</v>
      </c>
      <c r="I67" s="6" t="s">
        <v>595</v>
      </c>
    </row>
    <row r="68" customFormat="false" ht="15" hidden="false" customHeight="false" outlineLevel="0" collapsed="false">
      <c r="A68" s="6" t="s">
        <v>632</v>
      </c>
      <c r="B68" s="6" t="s">
        <v>54</v>
      </c>
      <c r="C68" s="6" t="s">
        <v>633</v>
      </c>
      <c r="D68" s="17" t="n">
        <v>2028</v>
      </c>
      <c r="E68" s="16" t="s">
        <v>393</v>
      </c>
      <c r="F68" s="6" t="s">
        <v>634</v>
      </c>
      <c r="G68" s="6" t="s">
        <v>635</v>
      </c>
      <c r="H68" s="6"/>
      <c r="I68" s="6" t="s">
        <v>595</v>
      </c>
    </row>
    <row r="69" customFormat="false" ht="28.35" hidden="false" customHeight="false" outlineLevel="0" collapsed="false">
      <c r="A69" s="6" t="s">
        <v>636</v>
      </c>
      <c r="B69" s="6" t="s">
        <v>54</v>
      </c>
      <c r="C69" s="6" t="s">
        <v>637</v>
      </c>
      <c r="D69" s="17" t="n">
        <v>1900</v>
      </c>
      <c r="E69" s="16" t="s">
        <v>393</v>
      </c>
      <c r="F69" s="6" t="s">
        <v>638</v>
      </c>
      <c r="G69" s="6" t="s">
        <v>639</v>
      </c>
      <c r="H69" s="6"/>
      <c r="I69" s="6" t="s">
        <v>595</v>
      </c>
    </row>
    <row r="70" customFormat="false" ht="55.2" hidden="false" customHeight="false" outlineLevel="0" collapsed="false">
      <c r="A70" s="6" t="s">
        <v>640</v>
      </c>
      <c r="B70" s="6" t="s">
        <v>54</v>
      </c>
      <c r="C70" s="6" t="s">
        <v>641</v>
      </c>
      <c r="D70" s="17" t="n">
        <v>1950</v>
      </c>
      <c r="E70" s="16" t="s">
        <v>393</v>
      </c>
      <c r="F70" s="6" t="s">
        <v>592</v>
      </c>
      <c r="G70" s="6" t="s">
        <v>593</v>
      </c>
      <c r="H70" s="6" t="s">
        <v>642</v>
      </c>
      <c r="I70" s="6" t="s">
        <v>595</v>
      </c>
    </row>
    <row r="71" customFormat="false" ht="15" hidden="false" customHeight="false" outlineLevel="0" collapsed="false">
      <c r="A71" s="6" t="s">
        <v>643</v>
      </c>
      <c r="B71" s="6" t="s">
        <v>54</v>
      </c>
      <c r="C71" s="6" t="s">
        <v>644</v>
      </c>
      <c r="D71" s="17" t="n">
        <v>7200</v>
      </c>
      <c r="E71" s="16" t="s">
        <v>393</v>
      </c>
      <c r="F71" s="6" t="s">
        <v>645</v>
      </c>
      <c r="G71" s="6" t="s">
        <v>635</v>
      </c>
      <c r="H71" s="6"/>
      <c r="I71" s="6" t="s">
        <v>595</v>
      </c>
    </row>
    <row r="72" customFormat="false" ht="41.75" hidden="false" customHeight="false" outlineLevel="0" collapsed="false">
      <c r="A72" s="6" t="s">
        <v>646</v>
      </c>
      <c r="B72" s="6" t="s">
        <v>54</v>
      </c>
      <c r="C72" s="6" t="s">
        <v>647</v>
      </c>
      <c r="D72" s="17" t="n">
        <v>65</v>
      </c>
      <c r="E72" s="16" t="s">
        <v>393</v>
      </c>
      <c r="F72" s="6" t="s">
        <v>119</v>
      </c>
      <c r="G72" s="6" t="s">
        <v>648</v>
      </c>
      <c r="H72" s="6"/>
      <c r="I72" s="6" t="s">
        <v>595</v>
      </c>
    </row>
    <row r="73" customFormat="false" ht="41.75" hidden="false" customHeight="false" outlineLevel="0" collapsed="false">
      <c r="A73" s="6" t="s">
        <v>649</v>
      </c>
      <c r="B73" s="6" t="s">
        <v>54</v>
      </c>
      <c r="C73" s="6" t="s">
        <v>650</v>
      </c>
      <c r="D73" s="17" t="n">
        <v>245</v>
      </c>
      <c r="E73" s="16" t="s">
        <v>393</v>
      </c>
      <c r="F73" s="6" t="s">
        <v>119</v>
      </c>
      <c r="G73" s="6" t="s">
        <v>648</v>
      </c>
      <c r="H73" s="6"/>
      <c r="I73" s="6" t="s">
        <v>595</v>
      </c>
    </row>
    <row r="74" customFormat="false" ht="41.75" hidden="false" customHeight="false" outlineLevel="0" collapsed="false">
      <c r="A74" s="6" t="s">
        <v>651</v>
      </c>
      <c r="B74" s="6" t="s">
        <v>54</v>
      </c>
      <c r="C74" s="6" t="s">
        <v>652</v>
      </c>
      <c r="D74" s="17" t="n">
        <v>18000</v>
      </c>
      <c r="E74" s="16" t="s">
        <v>393</v>
      </c>
      <c r="F74" s="6" t="s">
        <v>119</v>
      </c>
      <c r="G74" s="6" t="s">
        <v>648</v>
      </c>
      <c r="H74" s="6"/>
      <c r="I74" s="6" t="s">
        <v>595</v>
      </c>
    </row>
    <row r="75" customFormat="false" ht="41.75" hidden="false" customHeight="false" outlineLevel="0" collapsed="false">
      <c r="A75" s="6" t="s">
        <v>653</v>
      </c>
      <c r="B75" s="6" t="s">
        <v>54</v>
      </c>
      <c r="C75" s="6" t="s">
        <v>654</v>
      </c>
      <c r="D75" s="17" t="n">
        <v>36000</v>
      </c>
      <c r="E75" s="16" t="s">
        <v>393</v>
      </c>
      <c r="F75" s="6" t="s">
        <v>119</v>
      </c>
      <c r="G75" s="6" t="s">
        <v>648</v>
      </c>
      <c r="H75" s="6"/>
      <c r="I75" s="6" t="s">
        <v>595</v>
      </c>
    </row>
    <row r="76" customFormat="false" ht="41.75" hidden="false" customHeight="false" outlineLevel="0" collapsed="false">
      <c r="A76" s="6" t="s">
        <v>655</v>
      </c>
      <c r="B76" s="6" t="s">
        <v>54</v>
      </c>
      <c r="C76" s="6" t="s">
        <v>656</v>
      </c>
      <c r="D76" s="18" t="n">
        <v>0.4</v>
      </c>
      <c r="E76" s="16" t="s">
        <v>393</v>
      </c>
      <c r="F76" s="6" t="s">
        <v>657</v>
      </c>
      <c r="G76" s="6" t="s">
        <v>648</v>
      </c>
      <c r="H76" s="6"/>
      <c r="I76" s="6" t="s">
        <v>595</v>
      </c>
    </row>
    <row r="77" customFormat="false" ht="55.2" hidden="false" customHeight="false" outlineLevel="0" collapsed="false">
      <c r="A77" s="6" t="s">
        <v>658</v>
      </c>
      <c r="B77" s="6" t="s">
        <v>56</v>
      </c>
      <c r="C77" s="6" t="s">
        <v>659</v>
      </c>
      <c r="D77" s="6" t="s">
        <v>660</v>
      </c>
      <c r="E77" s="16" t="s">
        <v>393</v>
      </c>
      <c r="F77" s="6" t="s">
        <v>592</v>
      </c>
      <c r="G77" s="6" t="s">
        <v>593</v>
      </c>
      <c r="H77" s="6" t="s">
        <v>661</v>
      </c>
      <c r="I77" s="6" t="s">
        <v>595</v>
      </c>
    </row>
    <row r="78" customFormat="false" ht="28.35" hidden="false" customHeight="false" outlineLevel="0" collapsed="false">
      <c r="A78" s="6" t="s">
        <v>662</v>
      </c>
      <c r="B78" s="6" t="s">
        <v>56</v>
      </c>
      <c r="C78" s="6" t="s">
        <v>663</v>
      </c>
      <c r="D78" s="17" t="n">
        <v>13000</v>
      </c>
      <c r="E78" s="16" t="s">
        <v>393</v>
      </c>
      <c r="F78" s="6" t="s">
        <v>119</v>
      </c>
      <c r="G78" s="6" t="s">
        <v>607</v>
      </c>
      <c r="H78" s="6"/>
      <c r="I78" s="6" t="s">
        <v>595</v>
      </c>
    </row>
    <row r="79" customFormat="false" ht="41.75" hidden="false" customHeight="false" outlineLevel="0" collapsed="false">
      <c r="A79" s="6" t="s">
        <v>664</v>
      </c>
      <c r="B79" s="6" t="s">
        <v>56</v>
      </c>
      <c r="C79" s="6" t="s">
        <v>665</v>
      </c>
      <c r="D79" s="17" t="n">
        <v>70</v>
      </c>
      <c r="E79" s="16" t="s">
        <v>393</v>
      </c>
      <c r="F79" s="6" t="s">
        <v>119</v>
      </c>
      <c r="G79" s="6" t="s">
        <v>648</v>
      </c>
      <c r="H79" s="6"/>
      <c r="I79" s="6" t="s">
        <v>595</v>
      </c>
    </row>
    <row r="80" customFormat="false" ht="41.75" hidden="false" customHeight="false" outlineLevel="0" collapsed="false">
      <c r="A80" s="6" t="s">
        <v>666</v>
      </c>
      <c r="B80" s="6" t="s">
        <v>56</v>
      </c>
      <c r="C80" s="6" t="s">
        <v>667</v>
      </c>
      <c r="D80" s="17" t="n">
        <v>60000</v>
      </c>
      <c r="E80" s="16" t="s">
        <v>393</v>
      </c>
      <c r="F80" s="6" t="s">
        <v>119</v>
      </c>
      <c r="G80" s="6" t="s">
        <v>648</v>
      </c>
      <c r="H80" s="6"/>
      <c r="I80" s="6" t="s">
        <v>595</v>
      </c>
    </row>
    <row r="81" customFormat="false" ht="41.75" hidden="false" customHeight="false" outlineLevel="0" collapsed="false">
      <c r="A81" s="6" t="s">
        <v>668</v>
      </c>
      <c r="B81" s="6" t="s">
        <v>56</v>
      </c>
      <c r="C81" s="6" t="s">
        <v>669</v>
      </c>
      <c r="D81" s="6" t="s">
        <v>670</v>
      </c>
      <c r="E81" s="16" t="s">
        <v>393</v>
      </c>
      <c r="F81" s="6" t="s">
        <v>119</v>
      </c>
      <c r="G81" s="6" t="s">
        <v>648</v>
      </c>
      <c r="H81" s="6"/>
      <c r="I81" s="6" t="s">
        <v>595</v>
      </c>
    </row>
    <row r="82" customFormat="false" ht="28.35" hidden="false" customHeight="false" outlineLevel="0" collapsed="false">
      <c r="A82" s="6" t="s">
        <v>671</v>
      </c>
      <c r="B82" s="6" t="s">
        <v>56</v>
      </c>
      <c r="C82" s="6" t="s">
        <v>672</v>
      </c>
      <c r="D82" s="18" t="n">
        <v>0.03</v>
      </c>
      <c r="E82" s="16" t="s">
        <v>393</v>
      </c>
      <c r="F82" s="6" t="s">
        <v>119</v>
      </c>
      <c r="G82" s="6" t="s">
        <v>607</v>
      </c>
      <c r="H82" s="6"/>
      <c r="I82" s="6" t="s">
        <v>595</v>
      </c>
    </row>
    <row r="83" customFormat="false" ht="28.35" hidden="false" customHeight="false" outlineLevel="0" collapsed="false">
      <c r="A83" s="6" t="s">
        <v>673</v>
      </c>
      <c r="B83" s="6" t="s">
        <v>56</v>
      </c>
      <c r="C83" s="6" t="s">
        <v>674</v>
      </c>
      <c r="D83" s="17" t="n">
        <v>100000</v>
      </c>
      <c r="E83" s="16" t="s">
        <v>393</v>
      </c>
      <c r="F83" s="6" t="s">
        <v>119</v>
      </c>
      <c r="G83" s="6" t="s">
        <v>607</v>
      </c>
      <c r="H83" s="6"/>
      <c r="I83" s="6" t="s">
        <v>595</v>
      </c>
    </row>
    <row r="84" customFormat="false" ht="55.2" hidden="false" customHeight="false" outlineLevel="0" collapsed="false">
      <c r="A84" s="6" t="s">
        <v>675</v>
      </c>
      <c r="B84" s="6" t="s">
        <v>58</v>
      </c>
      <c r="C84" s="6" t="s">
        <v>676</v>
      </c>
      <c r="D84" s="6" t="s">
        <v>677</v>
      </c>
      <c r="E84" s="16" t="s">
        <v>393</v>
      </c>
      <c r="F84" s="6" t="s">
        <v>678</v>
      </c>
      <c r="G84" s="6" t="s">
        <v>679</v>
      </c>
      <c r="H84" s="6"/>
      <c r="I84" s="6" t="s">
        <v>595</v>
      </c>
    </row>
    <row r="85" customFormat="false" ht="15" hidden="false" customHeight="false" outlineLevel="0" collapsed="false">
      <c r="A85" s="6" t="s">
        <v>680</v>
      </c>
      <c r="B85" s="6" t="s">
        <v>58</v>
      </c>
      <c r="C85" s="6" t="s">
        <v>681</v>
      </c>
      <c r="D85" s="17" t="n">
        <v>352</v>
      </c>
      <c r="E85" s="16" t="s">
        <v>393</v>
      </c>
      <c r="F85" s="6" t="s">
        <v>119</v>
      </c>
      <c r="G85" s="6" t="s">
        <v>682</v>
      </c>
      <c r="H85" s="6"/>
      <c r="I85" s="6" t="s">
        <v>595</v>
      </c>
    </row>
    <row r="86" customFormat="false" ht="15" hidden="false" customHeight="false" outlineLevel="0" collapsed="false">
      <c r="A86" s="6" t="s">
        <v>683</v>
      </c>
      <c r="B86" s="6" t="s">
        <v>58</v>
      </c>
      <c r="C86" s="6" t="s">
        <v>684</v>
      </c>
      <c r="D86" s="17" t="n">
        <v>12</v>
      </c>
      <c r="E86" s="16" t="s">
        <v>393</v>
      </c>
      <c r="F86" s="6" t="s">
        <v>119</v>
      </c>
      <c r="G86" s="6" t="s">
        <v>682</v>
      </c>
      <c r="H86" s="6"/>
      <c r="I86" s="6" t="s">
        <v>595</v>
      </c>
    </row>
    <row r="87" customFormat="false" ht="15" hidden="false" customHeight="false" outlineLevel="0" collapsed="false">
      <c r="A87" s="6" t="s">
        <v>685</v>
      </c>
      <c r="B87" s="6" t="s">
        <v>58</v>
      </c>
      <c r="C87" s="6" t="s">
        <v>686</v>
      </c>
      <c r="D87" s="17" t="n">
        <v>424</v>
      </c>
      <c r="E87" s="16" t="s">
        <v>393</v>
      </c>
      <c r="F87" s="6" t="s">
        <v>119</v>
      </c>
      <c r="G87" s="6" t="s">
        <v>682</v>
      </c>
      <c r="H87" s="6"/>
      <c r="I87" s="6" t="s">
        <v>595</v>
      </c>
    </row>
    <row r="88" customFormat="false" ht="15" hidden="false" customHeight="false" outlineLevel="0" collapsed="false">
      <c r="A88" s="6" t="s">
        <v>687</v>
      </c>
      <c r="B88" s="6" t="s">
        <v>58</v>
      </c>
      <c r="C88" s="6" t="s">
        <v>688</v>
      </c>
      <c r="D88" s="17" t="n">
        <v>6</v>
      </c>
      <c r="E88" s="16" t="s">
        <v>393</v>
      </c>
      <c r="F88" s="6" t="s">
        <v>119</v>
      </c>
      <c r="G88" s="6" t="s">
        <v>682</v>
      </c>
      <c r="H88" s="6"/>
      <c r="I88" s="6" t="s">
        <v>595</v>
      </c>
    </row>
    <row r="89" customFormat="false" ht="28.35" hidden="false" customHeight="false" outlineLevel="0" collapsed="false">
      <c r="A89" s="6" t="s">
        <v>689</v>
      </c>
      <c r="B89" s="6" t="s">
        <v>58</v>
      </c>
      <c r="C89" s="6" t="s">
        <v>690</v>
      </c>
      <c r="D89" s="17" t="n">
        <v>66</v>
      </c>
      <c r="E89" s="16" t="s">
        <v>393</v>
      </c>
      <c r="F89" s="6" t="s">
        <v>657</v>
      </c>
      <c r="G89" s="6" t="s">
        <v>691</v>
      </c>
      <c r="H89" s="6"/>
      <c r="I89" s="6" t="s">
        <v>595</v>
      </c>
    </row>
    <row r="90" customFormat="false" ht="28.35" hidden="false" customHeight="false" outlineLevel="0" collapsed="false">
      <c r="A90" s="6" t="s">
        <v>692</v>
      </c>
      <c r="B90" s="6" t="s">
        <v>58</v>
      </c>
      <c r="C90" s="6" t="s">
        <v>693</v>
      </c>
      <c r="D90" s="17" t="n">
        <v>5000</v>
      </c>
      <c r="E90" s="16" t="s">
        <v>393</v>
      </c>
      <c r="F90" s="6" t="s">
        <v>119</v>
      </c>
      <c r="G90" s="6" t="s">
        <v>694</v>
      </c>
      <c r="H90" s="6"/>
      <c r="I90" s="6" t="s">
        <v>595</v>
      </c>
    </row>
    <row r="91" customFormat="false" ht="28.35" hidden="false" customHeight="false" outlineLevel="0" collapsed="false">
      <c r="A91" s="6" t="s">
        <v>695</v>
      </c>
      <c r="B91" s="6" t="s">
        <v>58</v>
      </c>
      <c r="C91" s="6" t="s">
        <v>696</v>
      </c>
      <c r="D91" s="17" t="n">
        <v>650</v>
      </c>
      <c r="E91" s="16" t="s">
        <v>393</v>
      </c>
      <c r="F91" s="6" t="s">
        <v>119</v>
      </c>
      <c r="G91" s="6" t="s">
        <v>694</v>
      </c>
      <c r="H91" s="6"/>
      <c r="I91" s="6" t="s">
        <v>595</v>
      </c>
    </row>
    <row r="92" customFormat="false" ht="162.65" hidden="false" customHeight="false" outlineLevel="0" collapsed="false">
      <c r="A92" s="6" t="s">
        <v>697</v>
      </c>
      <c r="B92" s="6" t="s">
        <v>58</v>
      </c>
      <c r="C92" s="6" t="s">
        <v>698</v>
      </c>
      <c r="D92" s="17" t="n">
        <f aca="false">TRUE()</f>
        <v>1</v>
      </c>
      <c r="E92" s="16" t="s">
        <v>393</v>
      </c>
      <c r="F92" s="6" t="s">
        <v>699</v>
      </c>
      <c r="G92" s="6" t="s">
        <v>700</v>
      </c>
      <c r="H92" s="6" t="s">
        <v>699</v>
      </c>
      <c r="I92" s="6" t="s">
        <v>595</v>
      </c>
    </row>
    <row r="93" customFormat="false" ht="55.2" hidden="false" customHeight="false" outlineLevel="0" collapsed="false">
      <c r="A93" s="6" t="s">
        <v>701</v>
      </c>
      <c r="B93" s="6" t="s">
        <v>58</v>
      </c>
      <c r="C93" s="6" t="s">
        <v>702</v>
      </c>
      <c r="D93" s="17" t="n">
        <v>70</v>
      </c>
      <c r="E93" s="16" t="s">
        <v>393</v>
      </c>
      <c r="F93" s="6" t="s">
        <v>703</v>
      </c>
      <c r="G93" s="6" t="s">
        <v>700</v>
      </c>
      <c r="H93" s="6" t="s">
        <v>703</v>
      </c>
      <c r="I93" s="6" t="s">
        <v>595</v>
      </c>
    </row>
    <row r="94" customFormat="false" ht="28.35" hidden="false" customHeight="false" outlineLevel="0" collapsed="false">
      <c r="A94" s="6" t="s">
        <v>704</v>
      </c>
      <c r="B94" s="6" t="s">
        <v>58</v>
      </c>
      <c r="C94" s="6" t="s">
        <v>705</v>
      </c>
      <c r="D94" s="17" t="n">
        <v>5000</v>
      </c>
      <c r="E94" s="16" t="s">
        <v>393</v>
      </c>
      <c r="F94" s="6" t="s">
        <v>119</v>
      </c>
      <c r="G94" s="6" t="s">
        <v>694</v>
      </c>
      <c r="H94" s="6"/>
      <c r="I94" s="6" t="s">
        <v>595</v>
      </c>
    </row>
    <row r="95" customFormat="false" ht="28.35" hidden="false" customHeight="false" outlineLevel="0" collapsed="false">
      <c r="A95" s="6" t="s">
        <v>706</v>
      </c>
      <c r="B95" s="6" t="s">
        <v>707</v>
      </c>
      <c r="C95" s="6" t="s">
        <v>708</v>
      </c>
      <c r="D95" s="6" t="s">
        <v>709</v>
      </c>
      <c r="E95" s="16" t="s">
        <v>393</v>
      </c>
      <c r="F95" s="6" t="s">
        <v>710</v>
      </c>
      <c r="G95" s="6" t="s">
        <v>711</v>
      </c>
      <c r="H95" s="6"/>
      <c r="I95" s="6" t="s">
        <v>595</v>
      </c>
    </row>
    <row r="96" customFormat="false" ht="28.35" hidden="false" customHeight="false" outlineLevel="0" collapsed="false">
      <c r="A96" s="6" t="s">
        <v>712</v>
      </c>
      <c r="B96" s="6" t="s">
        <v>707</v>
      </c>
      <c r="C96" s="6" t="s">
        <v>713</v>
      </c>
      <c r="D96" s="17" t="n">
        <v>115000</v>
      </c>
      <c r="E96" s="16" t="s">
        <v>393</v>
      </c>
      <c r="F96" s="6" t="s">
        <v>710</v>
      </c>
      <c r="G96" s="6" t="s">
        <v>711</v>
      </c>
      <c r="H96" s="6"/>
      <c r="I96" s="6" t="s">
        <v>595</v>
      </c>
    </row>
    <row r="97" customFormat="false" ht="28.35" hidden="false" customHeight="false" outlineLevel="0" collapsed="false">
      <c r="A97" s="6" t="s">
        <v>714</v>
      </c>
      <c r="B97" s="6" t="s">
        <v>707</v>
      </c>
      <c r="C97" s="6" t="s">
        <v>715</v>
      </c>
      <c r="D97" s="18" t="n">
        <v>0.25</v>
      </c>
      <c r="E97" s="16" t="s">
        <v>393</v>
      </c>
      <c r="F97" s="6" t="s">
        <v>716</v>
      </c>
      <c r="G97" s="6" t="s">
        <v>717</v>
      </c>
      <c r="H97" s="6"/>
      <c r="I97" s="6" t="s">
        <v>595</v>
      </c>
    </row>
    <row r="98" customFormat="false" ht="28.35" hidden="false" customHeight="false" outlineLevel="0" collapsed="false">
      <c r="A98" s="6" t="s">
        <v>718</v>
      </c>
      <c r="B98" s="6" t="s">
        <v>707</v>
      </c>
      <c r="C98" s="6" t="s">
        <v>719</v>
      </c>
      <c r="D98" s="17" t="n">
        <v>200000</v>
      </c>
      <c r="E98" s="16" t="s">
        <v>393</v>
      </c>
      <c r="F98" s="6" t="s">
        <v>720</v>
      </c>
      <c r="G98" s="6" t="s">
        <v>717</v>
      </c>
      <c r="H98" s="6"/>
      <c r="I98" s="6" t="s">
        <v>595</v>
      </c>
    </row>
    <row r="99" customFormat="false" ht="28.35" hidden="false" customHeight="false" outlineLevel="0" collapsed="false">
      <c r="A99" s="6" t="s">
        <v>721</v>
      </c>
      <c r="B99" s="6" t="s">
        <v>707</v>
      </c>
      <c r="C99" s="6" t="s">
        <v>722</v>
      </c>
      <c r="D99" s="17" t="n">
        <v>500000</v>
      </c>
      <c r="E99" s="16" t="s">
        <v>393</v>
      </c>
      <c r="F99" s="6" t="s">
        <v>723</v>
      </c>
      <c r="G99" s="6" t="s">
        <v>717</v>
      </c>
      <c r="H99" s="6"/>
      <c r="I99" s="6" t="s">
        <v>595</v>
      </c>
    </row>
    <row r="100" customFormat="false" ht="28.35" hidden="false" customHeight="false" outlineLevel="0" collapsed="false">
      <c r="A100" s="6" t="s">
        <v>724</v>
      </c>
      <c r="B100" s="6" t="s">
        <v>707</v>
      </c>
      <c r="C100" s="6" t="s">
        <v>725</v>
      </c>
      <c r="D100" s="18" t="n">
        <v>0.2</v>
      </c>
      <c r="E100" s="16" t="s">
        <v>393</v>
      </c>
      <c r="F100" s="6" t="s">
        <v>716</v>
      </c>
      <c r="G100" s="6" t="s">
        <v>717</v>
      </c>
      <c r="H100" s="6"/>
      <c r="I100" s="6" t="s">
        <v>595</v>
      </c>
    </row>
    <row r="101" customFormat="false" ht="41.75" hidden="false" customHeight="false" outlineLevel="0" collapsed="false">
      <c r="A101" s="6" t="s">
        <v>726</v>
      </c>
      <c r="B101" s="6" t="s">
        <v>707</v>
      </c>
      <c r="C101" s="6" t="s">
        <v>727</v>
      </c>
      <c r="D101" s="6" t="s">
        <v>728</v>
      </c>
      <c r="E101" s="16" t="s">
        <v>393</v>
      </c>
      <c r="F101" s="6" t="s">
        <v>638</v>
      </c>
      <c r="G101" s="6" t="s">
        <v>729</v>
      </c>
      <c r="H101" s="6"/>
      <c r="I101" s="6" t="s">
        <v>595</v>
      </c>
    </row>
    <row r="102" customFormat="false" ht="41.75" hidden="false" customHeight="false" outlineLevel="0" collapsed="false">
      <c r="A102" s="6" t="s">
        <v>730</v>
      </c>
      <c r="B102" s="6" t="s">
        <v>707</v>
      </c>
      <c r="C102" s="6" t="s">
        <v>731</v>
      </c>
      <c r="D102" s="18" t="n">
        <v>0.4</v>
      </c>
      <c r="E102" s="16" t="s">
        <v>393</v>
      </c>
      <c r="F102" s="6" t="s">
        <v>657</v>
      </c>
      <c r="G102" s="6" t="s">
        <v>729</v>
      </c>
      <c r="H102" s="6"/>
      <c r="I102" s="6" t="s">
        <v>595</v>
      </c>
    </row>
    <row r="103" customFormat="false" ht="41.75" hidden="false" customHeight="false" outlineLevel="0" collapsed="false">
      <c r="A103" s="6" t="s">
        <v>732</v>
      </c>
      <c r="B103" s="6" t="s">
        <v>707</v>
      </c>
      <c r="C103" s="6" t="s">
        <v>733</v>
      </c>
      <c r="D103" s="18" t="n">
        <v>0.04</v>
      </c>
      <c r="E103" s="16" t="s">
        <v>393</v>
      </c>
      <c r="F103" s="6" t="s">
        <v>657</v>
      </c>
      <c r="G103" s="6" t="s">
        <v>734</v>
      </c>
      <c r="H103" s="6"/>
      <c r="I103" s="6" t="s">
        <v>595</v>
      </c>
    </row>
    <row r="104" customFormat="false" ht="41.75" hidden="false" customHeight="false" outlineLevel="0" collapsed="false">
      <c r="A104" s="6" t="s">
        <v>735</v>
      </c>
      <c r="B104" s="6" t="s">
        <v>707</v>
      </c>
      <c r="C104" s="6" t="s">
        <v>736</v>
      </c>
      <c r="D104" s="18" t="n">
        <v>0.05</v>
      </c>
      <c r="E104" s="16" t="s">
        <v>393</v>
      </c>
      <c r="F104" s="6" t="s">
        <v>657</v>
      </c>
      <c r="G104" s="6" t="s">
        <v>734</v>
      </c>
      <c r="H104" s="6"/>
      <c r="I104" s="6" t="s">
        <v>595</v>
      </c>
    </row>
    <row r="105" customFormat="false" ht="41.75" hidden="false" customHeight="false" outlineLevel="0" collapsed="false">
      <c r="A105" s="6" t="s">
        <v>737</v>
      </c>
      <c r="B105" s="6" t="s">
        <v>707</v>
      </c>
      <c r="C105" s="6" t="s">
        <v>738</v>
      </c>
      <c r="D105" s="18" t="n">
        <v>0.06</v>
      </c>
      <c r="E105" s="16" t="s">
        <v>393</v>
      </c>
      <c r="F105" s="6" t="s">
        <v>657</v>
      </c>
      <c r="G105" s="6" t="s">
        <v>734</v>
      </c>
      <c r="H105" s="6"/>
      <c r="I105" s="6" t="s">
        <v>595</v>
      </c>
    </row>
    <row r="106" customFormat="false" ht="41.75" hidden="false" customHeight="false" outlineLevel="0" collapsed="false">
      <c r="A106" s="6" t="s">
        <v>739</v>
      </c>
      <c r="B106" s="6" t="s">
        <v>707</v>
      </c>
      <c r="C106" s="6" t="s">
        <v>740</v>
      </c>
      <c r="D106" s="17" t="n">
        <v>2000000</v>
      </c>
      <c r="E106" s="16" t="s">
        <v>393</v>
      </c>
      <c r="F106" s="6" t="s">
        <v>657</v>
      </c>
      <c r="G106" s="6" t="s">
        <v>734</v>
      </c>
      <c r="H106" s="6"/>
      <c r="I106" s="6" t="s">
        <v>595</v>
      </c>
    </row>
    <row r="107" customFormat="false" ht="28.35" hidden="false" customHeight="false" outlineLevel="0" collapsed="false">
      <c r="A107" s="6" t="s">
        <v>741</v>
      </c>
      <c r="B107" s="6" t="s">
        <v>707</v>
      </c>
      <c r="C107" s="6" t="s">
        <v>742</v>
      </c>
      <c r="D107" s="17" t="n">
        <v>60</v>
      </c>
      <c r="E107" s="16" t="s">
        <v>393</v>
      </c>
      <c r="F107" s="6" t="s">
        <v>743</v>
      </c>
      <c r="G107" s="6" t="s">
        <v>744</v>
      </c>
      <c r="H107" s="6"/>
      <c r="I107" s="6" t="s">
        <v>595</v>
      </c>
    </row>
    <row r="108" customFormat="false" ht="41.75" hidden="false" customHeight="false" outlineLevel="0" collapsed="false">
      <c r="A108" s="6" t="s">
        <v>745</v>
      </c>
      <c r="B108" s="6" t="s">
        <v>746</v>
      </c>
      <c r="C108" s="6" t="s">
        <v>747</v>
      </c>
      <c r="D108" s="17" t="n">
        <v>2026</v>
      </c>
      <c r="E108" s="16" t="s">
        <v>393</v>
      </c>
      <c r="F108" s="6" t="s">
        <v>638</v>
      </c>
      <c r="G108" s="6" t="s">
        <v>748</v>
      </c>
      <c r="H108" s="6"/>
      <c r="I108" s="6" t="s">
        <v>595</v>
      </c>
    </row>
    <row r="109" customFormat="false" ht="41.75" hidden="false" customHeight="false" outlineLevel="0" collapsed="false">
      <c r="A109" s="6" t="s">
        <v>749</v>
      </c>
      <c r="B109" s="6" t="s">
        <v>746</v>
      </c>
      <c r="C109" s="6" t="s">
        <v>750</v>
      </c>
      <c r="D109" s="17" t="n">
        <v>23</v>
      </c>
      <c r="E109" s="16" t="s">
        <v>393</v>
      </c>
      <c r="F109" s="6" t="s">
        <v>638</v>
      </c>
      <c r="G109" s="6" t="s">
        <v>748</v>
      </c>
      <c r="H109" s="6"/>
      <c r="I109" s="6" t="s">
        <v>595</v>
      </c>
    </row>
    <row r="110" customFormat="false" ht="41.75" hidden="false" customHeight="false" outlineLevel="0" collapsed="false">
      <c r="A110" s="6" t="s">
        <v>751</v>
      </c>
      <c r="B110" s="6" t="s">
        <v>746</v>
      </c>
      <c r="C110" s="6" t="s">
        <v>752</v>
      </c>
      <c r="D110" s="17" t="n">
        <v>60</v>
      </c>
      <c r="E110" s="16" t="s">
        <v>393</v>
      </c>
      <c r="F110" s="6" t="s">
        <v>638</v>
      </c>
      <c r="G110" s="6" t="s">
        <v>748</v>
      </c>
      <c r="H110" s="6"/>
      <c r="I110" s="6" t="s">
        <v>595</v>
      </c>
    </row>
    <row r="111" customFormat="false" ht="41.75" hidden="false" customHeight="false" outlineLevel="0" collapsed="false">
      <c r="A111" s="6" t="s">
        <v>753</v>
      </c>
      <c r="B111" s="6" t="s">
        <v>746</v>
      </c>
      <c r="C111" s="6" t="s">
        <v>754</v>
      </c>
      <c r="D111" s="17" t="n">
        <v>20000</v>
      </c>
      <c r="E111" s="16" t="s">
        <v>393</v>
      </c>
      <c r="F111" s="6" t="s">
        <v>638</v>
      </c>
      <c r="G111" s="6" t="s">
        <v>748</v>
      </c>
      <c r="H111" s="6"/>
      <c r="I111" s="6" t="s">
        <v>595</v>
      </c>
    </row>
    <row r="112" customFormat="false" ht="41.75" hidden="false" customHeight="false" outlineLevel="0" collapsed="false">
      <c r="A112" s="6" t="s">
        <v>755</v>
      </c>
      <c r="B112" s="6" t="s">
        <v>746</v>
      </c>
      <c r="C112" s="6" t="s">
        <v>756</v>
      </c>
      <c r="D112" s="17" t="n">
        <v>80000</v>
      </c>
      <c r="E112" s="16" t="s">
        <v>393</v>
      </c>
      <c r="F112" s="6" t="s">
        <v>638</v>
      </c>
      <c r="G112" s="6" t="s">
        <v>748</v>
      </c>
      <c r="H112" s="6"/>
      <c r="I112" s="6" t="s">
        <v>595</v>
      </c>
    </row>
    <row r="113" customFormat="false" ht="41.75" hidden="false" customHeight="false" outlineLevel="0" collapsed="false">
      <c r="A113" s="6" t="s">
        <v>757</v>
      </c>
      <c r="B113" s="6" t="s">
        <v>746</v>
      </c>
      <c r="C113" s="6" t="s">
        <v>758</v>
      </c>
      <c r="D113" s="18" t="n">
        <v>0.015</v>
      </c>
      <c r="E113" s="16" t="s">
        <v>393</v>
      </c>
      <c r="F113" s="6" t="s">
        <v>759</v>
      </c>
      <c r="G113" s="6" t="s">
        <v>748</v>
      </c>
      <c r="H113" s="6"/>
      <c r="I113" s="6" t="s">
        <v>595</v>
      </c>
    </row>
    <row r="114" customFormat="false" ht="41.75" hidden="false" customHeight="false" outlineLevel="0" collapsed="false">
      <c r="A114" s="6" t="s">
        <v>760</v>
      </c>
      <c r="B114" s="6" t="s">
        <v>746</v>
      </c>
      <c r="C114" s="6" t="s">
        <v>761</v>
      </c>
      <c r="D114" s="18" t="n">
        <v>0.015</v>
      </c>
      <c r="E114" s="16" t="s">
        <v>393</v>
      </c>
      <c r="F114" s="6" t="s">
        <v>759</v>
      </c>
      <c r="G114" s="6" t="s">
        <v>748</v>
      </c>
      <c r="H114" s="6"/>
      <c r="I114" s="6" t="s">
        <v>595</v>
      </c>
    </row>
    <row r="115" customFormat="false" ht="41.75" hidden="false" customHeight="false" outlineLevel="0" collapsed="false">
      <c r="A115" s="6" t="s">
        <v>762</v>
      </c>
      <c r="B115" s="6" t="s">
        <v>746</v>
      </c>
      <c r="C115" s="6" t="s">
        <v>763</v>
      </c>
      <c r="D115" s="18" t="n">
        <v>0.005</v>
      </c>
      <c r="E115" s="16" t="s">
        <v>393</v>
      </c>
      <c r="F115" s="6" t="s">
        <v>759</v>
      </c>
      <c r="G115" s="6" t="s">
        <v>748</v>
      </c>
      <c r="H115" s="6"/>
      <c r="I115" s="6" t="s">
        <v>595</v>
      </c>
    </row>
    <row r="116" customFormat="false" ht="28.35" hidden="false" customHeight="false" outlineLevel="0" collapsed="false">
      <c r="A116" s="6" t="s">
        <v>764</v>
      </c>
      <c r="B116" s="6" t="s">
        <v>765</v>
      </c>
      <c r="C116" s="6" t="s">
        <v>766</v>
      </c>
      <c r="D116" s="19" t="n">
        <v>299.3</v>
      </c>
      <c r="E116" s="16" t="s">
        <v>393</v>
      </c>
      <c r="F116" s="6" t="s">
        <v>767</v>
      </c>
      <c r="G116" s="6" t="s">
        <v>768</v>
      </c>
      <c r="H116" s="6" t="s">
        <v>769</v>
      </c>
      <c r="I116" s="6" t="s">
        <v>595</v>
      </c>
    </row>
    <row r="117" customFormat="false" ht="28.35" hidden="false" customHeight="false" outlineLevel="0" collapsed="false">
      <c r="A117" s="6" t="s">
        <v>770</v>
      </c>
      <c r="B117" s="6" t="s">
        <v>765</v>
      </c>
      <c r="C117" s="6" t="s">
        <v>771</v>
      </c>
      <c r="D117" s="17" t="n">
        <v>66</v>
      </c>
      <c r="E117" s="16" t="s">
        <v>393</v>
      </c>
      <c r="F117" s="6" t="s">
        <v>657</v>
      </c>
      <c r="G117" s="6" t="s">
        <v>772</v>
      </c>
      <c r="H117" s="6"/>
      <c r="I117" s="6" t="s">
        <v>595</v>
      </c>
    </row>
    <row r="118" customFormat="false" ht="28.35" hidden="false" customHeight="false" outlineLevel="0" collapsed="false">
      <c r="A118" s="6" t="s">
        <v>773</v>
      </c>
      <c r="B118" s="6" t="s">
        <v>765</v>
      </c>
      <c r="C118" s="6" t="s">
        <v>774</v>
      </c>
      <c r="D118" s="17" t="n">
        <v>10</v>
      </c>
      <c r="E118" s="16" t="s">
        <v>393</v>
      </c>
      <c r="F118" s="6" t="s">
        <v>119</v>
      </c>
      <c r="G118" s="6" t="s">
        <v>775</v>
      </c>
      <c r="H118" s="6"/>
      <c r="I118" s="6" t="s">
        <v>595</v>
      </c>
    </row>
    <row r="119" customFormat="false" ht="55.2" hidden="false" customHeight="false" outlineLevel="0" collapsed="false">
      <c r="A119" s="6" t="s">
        <v>776</v>
      </c>
      <c r="B119" s="6" t="s">
        <v>765</v>
      </c>
      <c r="C119" s="6" t="s">
        <v>777</v>
      </c>
      <c r="D119" s="19" t="n">
        <v>268.4</v>
      </c>
      <c r="E119" s="16" t="s">
        <v>393</v>
      </c>
      <c r="F119" s="6" t="s">
        <v>638</v>
      </c>
      <c r="G119" s="6" t="s">
        <v>775</v>
      </c>
      <c r="H119" s="6" t="s">
        <v>778</v>
      </c>
      <c r="I119" s="6" t="s">
        <v>595</v>
      </c>
    </row>
    <row r="120" customFormat="false" ht="55.2" hidden="false" customHeight="false" outlineLevel="0" collapsed="false">
      <c r="A120" s="6" t="s">
        <v>779</v>
      </c>
      <c r="B120" s="6" t="s">
        <v>765</v>
      </c>
      <c r="C120" s="6" t="s">
        <v>780</v>
      </c>
      <c r="D120" s="19" t="n">
        <v>199.4</v>
      </c>
      <c r="E120" s="16" t="s">
        <v>393</v>
      </c>
      <c r="F120" s="6" t="s">
        <v>638</v>
      </c>
      <c r="G120" s="6" t="s">
        <v>781</v>
      </c>
      <c r="H120" s="6" t="s">
        <v>782</v>
      </c>
      <c r="I120" s="6" t="s">
        <v>595</v>
      </c>
    </row>
    <row r="121" customFormat="false" ht="41.75" hidden="false" customHeight="false" outlineLevel="0" collapsed="false">
      <c r="A121" s="6" t="s">
        <v>783</v>
      </c>
      <c r="B121" s="6" t="s">
        <v>765</v>
      </c>
      <c r="C121" s="6" t="s">
        <v>784</v>
      </c>
      <c r="D121" s="17" t="n">
        <v>40</v>
      </c>
      <c r="E121" s="16" t="s">
        <v>393</v>
      </c>
      <c r="F121" s="6" t="s">
        <v>657</v>
      </c>
      <c r="G121" s="6" t="s">
        <v>785</v>
      </c>
      <c r="H121" s="6"/>
      <c r="I121" s="6" t="s">
        <v>595</v>
      </c>
    </row>
    <row r="122" customFormat="false" ht="41.75" hidden="false" customHeight="false" outlineLevel="0" collapsed="false">
      <c r="A122" s="6" t="s">
        <v>786</v>
      </c>
      <c r="B122" s="6" t="s">
        <v>765</v>
      </c>
      <c r="C122" s="6" t="s">
        <v>787</v>
      </c>
      <c r="D122" s="17" t="n">
        <v>10</v>
      </c>
      <c r="E122" s="16" t="s">
        <v>393</v>
      </c>
      <c r="F122" s="6" t="s">
        <v>657</v>
      </c>
      <c r="G122" s="6" t="s">
        <v>785</v>
      </c>
      <c r="H122" s="6"/>
      <c r="I122" s="6" t="s">
        <v>595</v>
      </c>
    </row>
    <row r="123" customFormat="false" ht="55.2" hidden="false" customHeight="false" outlineLevel="0" collapsed="false">
      <c r="A123" s="6" t="s">
        <v>788</v>
      </c>
      <c r="B123" s="6" t="s">
        <v>765</v>
      </c>
      <c r="C123" s="6" t="s">
        <v>789</v>
      </c>
      <c r="D123" s="17" t="n">
        <v>254</v>
      </c>
      <c r="E123" s="16" t="s">
        <v>393</v>
      </c>
      <c r="F123" s="6" t="s">
        <v>638</v>
      </c>
      <c r="G123" s="6" t="s">
        <v>781</v>
      </c>
      <c r="H123" s="6" t="s">
        <v>790</v>
      </c>
      <c r="I123" s="6" t="s">
        <v>595</v>
      </c>
    </row>
    <row r="124" customFormat="false" ht="55.2" hidden="false" customHeight="false" outlineLevel="0" collapsed="false">
      <c r="A124" s="6" t="s">
        <v>791</v>
      </c>
      <c r="B124" s="6" t="s">
        <v>765</v>
      </c>
      <c r="C124" s="6" t="s">
        <v>792</v>
      </c>
      <c r="D124" s="19" t="n">
        <v>259.5</v>
      </c>
      <c r="E124" s="16" t="s">
        <v>393</v>
      </c>
      <c r="F124" s="6" t="s">
        <v>638</v>
      </c>
      <c r="G124" s="6" t="s">
        <v>793</v>
      </c>
      <c r="H124" s="6" t="s">
        <v>794</v>
      </c>
      <c r="I124" s="6" t="s">
        <v>595</v>
      </c>
    </row>
    <row r="125" customFormat="false" ht="55.2" hidden="false" customHeight="false" outlineLevel="0" collapsed="false">
      <c r="A125" s="6" t="s">
        <v>795</v>
      </c>
      <c r="B125" s="6" t="s">
        <v>765</v>
      </c>
      <c r="C125" s="6" t="s">
        <v>796</v>
      </c>
      <c r="D125" s="19" t="n">
        <v>299.3</v>
      </c>
      <c r="E125" s="16" t="s">
        <v>393</v>
      </c>
      <c r="F125" s="6" t="s">
        <v>638</v>
      </c>
      <c r="G125" s="6" t="s">
        <v>793</v>
      </c>
      <c r="H125" s="6" t="s">
        <v>797</v>
      </c>
      <c r="I125" s="6" t="s">
        <v>595</v>
      </c>
    </row>
    <row r="126" customFormat="false" ht="15" hidden="false" customHeight="false" outlineLevel="0" collapsed="false">
      <c r="A126" s="6" t="s">
        <v>798</v>
      </c>
      <c r="B126" s="6" t="s">
        <v>765</v>
      </c>
      <c r="C126" s="6" t="s">
        <v>799</v>
      </c>
      <c r="D126" s="17" t="n">
        <v>52</v>
      </c>
      <c r="E126" s="6" t="s">
        <v>800</v>
      </c>
      <c r="F126" s="6" t="s">
        <v>282</v>
      </c>
      <c r="G126" s="6" t="s">
        <v>801</v>
      </c>
      <c r="H126" s="6"/>
      <c r="I126" s="6" t="s">
        <v>595</v>
      </c>
    </row>
    <row r="127" customFormat="false" ht="68.65" hidden="false" customHeight="false" outlineLevel="0" collapsed="false">
      <c r="A127" s="6" t="s">
        <v>802</v>
      </c>
      <c r="B127" s="6" t="s">
        <v>765</v>
      </c>
      <c r="C127" s="6" t="s">
        <v>803</v>
      </c>
      <c r="D127" s="17" t="n">
        <v>310</v>
      </c>
      <c r="E127" s="6" t="s">
        <v>804</v>
      </c>
      <c r="F127" s="6" t="s">
        <v>805</v>
      </c>
      <c r="G127" s="6" t="s">
        <v>806</v>
      </c>
      <c r="H127" s="6" t="s">
        <v>807</v>
      </c>
      <c r="I127" s="6" t="s">
        <v>595</v>
      </c>
    </row>
    <row r="128" customFormat="false" ht="55.2" hidden="false" customHeight="false" outlineLevel="0" collapsed="false">
      <c r="A128" s="6" t="s">
        <v>808</v>
      </c>
      <c r="B128" s="6" t="s">
        <v>765</v>
      </c>
      <c r="C128" s="6" t="s">
        <v>809</v>
      </c>
      <c r="D128" s="17" t="n">
        <v>288</v>
      </c>
      <c r="E128" s="16" t="s">
        <v>393</v>
      </c>
      <c r="F128" s="6" t="s">
        <v>810</v>
      </c>
      <c r="G128" s="6" t="s">
        <v>811</v>
      </c>
      <c r="H128" s="6" t="s">
        <v>812</v>
      </c>
      <c r="I128" s="6" t="s">
        <v>595</v>
      </c>
    </row>
    <row r="129" customFormat="false" ht="55.2" hidden="false" customHeight="false" outlineLevel="0" collapsed="false">
      <c r="A129" s="6" t="s">
        <v>813</v>
      </c>
      <c r="B129" s="6" t="s">
        <v>765</v>
      </c>
      <c r="C129" s="6" t="s">
        <v>814</v>
      </c>
      <c r="D129" s="19" t="n">
        <v>168.6</v>
      </c>
      <c r="E129" s="16" t="s">
        <v>393</v>
      </c>
      <c r="F129" s="6" t="s">
        <v>810</v>
      </c>
      <c r="G129" s="6" t="s">
        <v>811</v>
      </c>
      <c r="H129" s="6" t="s">
        <v>815</v>
      </c>
      <c r="I129" s="6" t="s">
        <v>595</v>
      </c>
    </row>
    <row r="130" customFormat="false" ht="28.35" hidden="false" customHeight="false" outlineLevel="0" collapsed="false">
      <c r="A130" s="6" t="s">
        <v>816</v>
      </c>
      <c r="B130" s="6" t="s">
        <v>817</v>
      </c>
      <c r="C130" s="6" t="s">
        <v>818</v>
      </c>
      <c r="D130" s="18" t="n">
        <v>0.33</v>
      </c>
      <c r="E130" s="16" t="s">
        <v>393</v>
      </c>
      <c r="F130" s="6" t="s">
        <v>119</v>
      </c>
      <c r="G130" s="6" t="s">
        <v>819</v>
      </c>
      <c r="H130" s="6"/>
      <c r="I130" s="6" t="s">
        <v>820</v>
      </c>
    </row>
    <row r="131" customFormat="false" ht="55.2" hidden="false" customHeight="false" outlineLevel="0" collapsed="false">
      <c r="A131" s="6" t="s">
        <v>821</v>
      </c>
      <c r="B131" s="6" t="s">
        <v>817</v>
      </c>
      <c r="C131" s="6" t="s">
        <v>822</v>
      </c>
      <c r="D131" s="18" t="n">
        <v>0.38</v>
      </c>
      <c r="E131" s="16" t="s">
        <v>393</v>
      </c>
      <c r="F131" s="6" t="s">
        <v>592</v>
      </c>
      <c r="G131" s="6" t="s">
        <v>593</v>
      </c>
      <c r="H131" s="6" t="s">
        <v>823</v>
      </c>
      <c r="I131" s="6" t="s">
        <v>485</v>
      </c>
    </row>
    <row r="132" customFormat="false" ht="15" hidden="false" customHeight="false" outlineLevel="0" collapsed="false">
      <c r="A132" s="6" t="s">
        <v>824</v>
      </c>
      <c r="B132" s="6" t="s">
        <v>817</v>
      </c>
      <c r="C132" s="6" t="s">
        <v>825</v>
      </c>
      <c r="D132" s="17" t="n">
        <v>8</v>
      </c>
      <c r="E132" s="16" t="s">
        <v>393</v>
      </c>
      <c r="F132" s="6" t="s">
        <v>119</v>
      </c>
      <c r="G132" s="6" t="s">
        <v>826</v>
      </c>
      <c r="H132" s="6"/>
      <c r="I132" s="6" t="s">
        <v>827</v>
      </c>
    </row>
    <row r="133" customFormat="false" ht="55.2" hidden="false" customHeight="false" outlineLevel="0" collapsed="false">
      <c r="A133" s="6" t="s">
        <v>828</v>
      </c>
      <c r="B133" s="6" t="s">
        <v>817</v>
      </c>
      <c r="C133" s="6" t="s">
        <v>829</v>
      </c>
      <c r="D133" s="18" t="n">
        <v>0.31</v>
      </c>
      <c r="E133" s="6" t="s">
        <v>804</v>
      </c>
      <c r="F133" s="6" t="s">
        <v>830</v>
      </c>
      <c r="G133" s="6" t="s">
        <v>831</v>
      </c>
      <c r="H133" s="6"/>
      <c r="I133" s="6" t="s">
        <v>485</v>
      </c>
    </row>
    <row r="134" customFormat="false" ht="28.35" hidden="false" customHeight="false" outlineLevel="0" collapsed="false">
      <c r="A134" s="6" t="s">
        <v>832</v>
      </c>
      <c r="B134" s="6" t="s">
        <v>817</v>
      </c>
      <c r="C134" s="6" t="s">
        <v>833</v>
      </c>
      <c r="D134" s="18" t="n">
        <v>0.33</v>
      </c>
      <c r="E134" s="6" t="s">
        <v>804</v>
      </c>
      <c r="F134" s="6" t="s">
        <v>834</v>
      </c>
      <c r="G134" s="6" t="s">
        <v>831</v>
      </c>
      <c r="H134" s="6"/>
      <c r="I134" s="6" t="s">
        <v>485</v>
      </c>
    </row>
    <row r="135" customFormat="false" ht="28.35" hidden="false" customHeight="false" outlineLevel="0" collapsed="false">
      <c r="A135" s="6" t="s">
        <v>835</v>
      </c>
      <c r="B135" s="6" t="s">
        <v>817</v>
      </c>
      <c r="C135" s="6" t="s">
        <v>836</v>
      </c>
      <c r="D135" s="6" t="s">
        <v>837</v>
      </c>
      <c r="E135" s="6" t="s">
        <v>804</v>
      </c>
      <c r="F135" s="6" t="s">
        <v>838</v>
      </c>
      <c r="G135" s="6" t="s">
        <v>831</v>
      </c>
      <c r="H135" s="6"/>
      <c r="I135" s="6" t="s">
        <v>485</v>
      </c>
    </row>
    <row r="136" customFormat="false" ht="28.35" hidden="false" customHeight="false" outlineLevel="0" collapsed="false">
      <c r="A136" s="6" t="s">
        <v>839</v>
      </c>
      <c r="B136" s="6" t="s">
        <v>817</v>
      </c>
      <c r="C136" s="6" t="s">
        <v>840</v>
      </c>
      <c r="D136" s="18" t="n">
        <v>0.33</v>
      </c>
      <c r="E136" s="16" t="s">
        <v>393</v>
      </c>
      <c r="F136" s="6" t="s">
        <v>841</v>
      </c>
      <c r="G136" s="6" t="s">
        <v>831</v>
      </c>
      <c r="H136" s="6"/>
      <c r="I136" s="6" t="s">
        <v>595</v>
      </c>
    </row>
    <row r="137" customFormat="false" ht="122.35" hidden="false" customHeight="false" outlineLevel="0" collapsed="false">
      <c r="A137" s="6" t="s">
        <v>842</v>
      </c>
      <c r="B137" s="6" t="s">
        <v>817</v>
      </c>
      <c r="C137" s="6" t="s">
        <v>843</v>
      </c>
      <c r="D137" s="17" t="n">
        <v>1270</v>
      </c>
      <c r="E137" s="16" t="s">
        <v>393</v>
      </c>
      <c r="F137" s="6" t="s">
        <v>844</v>
      </c>
      <c r="G137" s="6" t="s">
        <v>845</v>
      </c>
      <c r="H137" s="6"/>
      <c r="I137" s="6" t="s">
        <v>485</v>
      </c>
    </row>
    <row r="138" customFormat="false" ht="55.2" hidden="false" customHeight="false" outlineLevel="0" collapsed="false">
      <c r="A138" s="6" t="s">
        <v>846</v>
      </c>
      <c r="B138" s="6" t="s">
        <v>817</v>
      </c>
      <c r="C138" s="6" t="s">
        <v>847</v>
      </c>
      <c r="D138" s="17" t="n">
        <v>420000</v>
      </c>
      <c r="E138" s="16" t="s">
        <v>393</v>
      </c>
      <c r="F138" s="6" t="s">
        <v>848</v>
      </c>
      <c r="G138" s="6" t="s">
        <v>593</v>
      </c>
      <c r="H138" s="6"/>
      <c r="I138" s="6" t="s">
        <v>595</v>
      </c>
    </row>
    <row r="139" customFormat="false" ht="41.75" hidden="false" customHeight="false" outlineLevel="0" collapsed="false">
      <c r="A139" s="6" t="s">
        <v>849</v>
      </c>
      <c r="B139" s="6" t="s">
        <v>850</v>
      </c>
      <c r="C139" s="6" t="s">
        <v>851</v>
      </c>
      <c r="D139" s="17" t="n">
        <v>4</v>
      </c>
      <c r="E139" s="16" t="s">
        <v>393</v>
      </c>
      <c r="F139" s="6" t="s">
        <v>852</v>
      </c>
      <c r="G139" s="6" t="s">
        <v>853</v>
      </c>
      <c r="H139" s="6"/>
      <c r="I139" s="6" t="s">
        <v>595</v>
      </c>
    </row>
    <row r="140" customFormat="false" ht="41.75" hidden="false" customHeight="false" outlineLevel="0" collapsed="false">
      <c r="A140" s="6" t="s">
        <v>854</v>
      </c>
      <c r="B140" s="6" t="s">
        <v>850</v>
      </c>
      <c r="C140" s="6" t="s">
        <v>855</v>
      </c>
      <c r="D140" s="19" t="n">
        <v>3.5</v>
      </c>
      <c r="E140" s="16" t="s">
        <v>393</v>
      </c>
      <c r="F140" s="6" t="s">
        <v>852</v>
      </c>
      <c r="G140" s="6" t="s">
        <v>853</v>
      </c>
      <c r="H140" s="6"/>
      <c r="I140" s="6" t="s">
        <v>595</v>
      </c>
    </row>
    <row r="141" customFormat="false" ht="41.75" hidden="false" customHeight="false" outlineLevel="0" collapsed="false">
      <c r="A141" s="6" t="s">
        <v>856</v>
      </c>
      <c r="B141" s="6" t="s">
        <v>850</v>
      </c>
      <c r="C141" s="6" t="s">
        <v>857</v>
      </c>
      <c r="D141" s="18" t="n">
        <v>0.9</v>
      </c>
      <c r="E141" s="16" t="s">
        <v>393</v>
      </c>
      <c r="F141" s="6" t="s">
        <v>852</v>
      </c>
      <c r="G141" s="6" t="s">
        <v>853</v>
      </c>
      <c r="H141" s="6"/>
      <c r="I141" s="6" t="s">
        <v>595</v>
      </c>
    </row>
    <row r="142" customFormat="false" ht="28.35" hidden="false" customHeight="false" outlineLevel="0" collapsed="false">
      <c r="A142" s="6" t="s">
        <v>858</v>
      </c>
      <c r="B142" s="6" t="s">
        <v>850</v>
      </c>
      <c r="C142" s="6" t="s">
        <v>859</v>
      </c>
      <c r="D142" s="6" t="s">
        <v>860</v>
      </c>
      <c r="E142" s="16" t="s">
        <v>393</v>
      </c>
      <c r="F142" s="6" t="s">
        <v>861</v>
      </c>
      <c r="G142" s="6" t="s">
        <v>862</v>
      </c>
      <c r="H142" s="6"/>
      <c r="I142" s="6" t="s">
        <v>595</v>
      </c>
    </row>
    <row r="143" customFormat="false" ht="55.2" hidden="false" customHeight="false" outlineLevel="0" collapsed="false">
      <c r="A143" s="6" t="s">
        <v>863</v>
      </c>
      <c r="B143" s="6" t="s">
        <v>850</v>
      </c>
      <c r="C143" s="6" t="s">
        <v>864</v>
      </c>
      <c r="D143" s="17" t="n">
        <v>35000</v>
      </c>
      <c r="E143" s="6" t="s">
        <v>800</v>
      </c>
      <c r="F143" s="6" t="s">
        <v>865</v>
      </c>
      <c r="G143" s="6" t="s">
        <v>593</v>
      </c>
      <c r="H143" s="6"/>
      <c r="I143" s="6" t="s">
        <v>595</v>
      </c>
    </row>
    <row r="144" customFormat="false" ht="55.2" hidden="false" customHeight="false" outlineLevel="0" collapsed="false">
      <c r="A144" s="6" t="s">
        <v>866</v>
      </c>
      <c r="B144" s="6" t="s">
        <v>867</v>
      </c>
      <c r="C144" s="6" t="s">
        <v>868</v>
      </c>
      <c r="D144" s="18" t="n">
        <v>0.039</v>
      </c>
      <c r="E144" s="16" t="s">
        <v>393</v>
      </c>
      <c r="F144" s="6" t="s">
        <v>869</v>
      </c>
      <c r="G144" s="6" t="s">
        <v>870</v>
      </c>
      <c r="H144" s="6"/>
      <c r="I144" s="6" t="s">
        <v>595</v>
      </c>
    </row>
    <row r="145" customFormat="false" ht="15" hidden="false" customHeight="false" outlineLevel="0" collapsed="false">
      <c r="A145" s="6" t="s">
        <v>871</v>
      </c>
      <c r="B145" s="6" t="s">
        <v>867</v>
      </c>
      <c r="C145" s="6" t="s">
        <v>872</v>
      </c>
      <c r="D145" s="6" t="s">
        <v>873</v>
      </c>
      <c r="E145" s="16" t="s">
        <v>393</v>
      </c>
      <c r="F145" s="6" t="s">
        <v>874</v>
      </c>
      <c r="G145" s="6" t="s">
        <v>875</v>
      </c>
      <c r="H145" s="6"/>
      <c r="I145" s="6" t="s">
        <v>595</v>
      </c>
    </row>
    <row r="146" customFormat="false" ht="41.75" hidden="false" customHeight="false" outlineLevel="0" collapsed="false">
      <c r="A146" s="6" t="s">
        <v>876</v>
      </c>
      <c r="B146" s="6" t="s">
        <v>877</v>
      </c>
      <c r="C146" s="6" t="s">
        <v>878</v>
      </c>
      <c r="D146" s="18" t="n">
        <v>0.23</v>
      </c>
      <c r="E146" s="16" t="s">
        <v>393</v>
      </c>
      <c r="F146" s="6" t="s">
        <v>879</v>
      </c>
      <c r="G146" s="6" t="s">
        <v>880</v>
      </c>
      <c r="H146" s="6"/>
      <c r="I146" s="6" t="s">
        <v>595</v>
      </c>
    </row>
    <row r="147" customFormat="false" ht="28.35" hidden="false" customHeight="false" outlineLevel="0" collapsed="false">
      <c r="A147" s="6" t="s">
        <v>881</v>
      </c>
      <c r="B147" s="6" t="s">
        <v>877</v>
      </c>
      <c r="C147" s="6" t="s">
        <v>882</v>
      </c>
      <c r="D147" s="17" t="n">
        <v>50</v>
      </c>
      <c r="E147" s="16" t="s">
        <v>393</v>
      </c>
      <c r="F147" s="6" t="s">
        <v>657</v>
      </c>
      <c r="G147" s="6" t="s">
        <v>744</v>
      </c>
      <c r="H147" s="6"/>
      <c r="I147" s="6" t="s">
        <v>595</v>
      </c>
    </row>
    <row r="148" customFormat="false" ht="28.35" hidden="false" customHeight="false" outlineLevel="0" collapsed="false">
      <c r="A148" s="6" t="s">
        <v>883</v>
      </c>
      <c r="B148" s="6" t="s">
        <v>78</v>
      </c>
      <c r="C148" s="6" t="s">
        <v>884</v>
      </c>
      <c r="D148" s="17" t="n">
        <v>400000</v>
      </c>
      <c r="E148" s="16" t="s">
        <v>393</v>
      </c>
      <c r="F148" s="6" t="s">
        <v>885</v>
      </c>
      <c r="G148" s="6" t="s">
        <v>886</v>
      </c>
      <c r="H148" s="6" t="s">
        <v>887</v>
      </c>
      <c r="I148" s="6" t="s">
        <v>321</v>
      </c>
    </row>
    <row r="149" customFormat="false" ht="55.2" hidden="false" customHeight="false" outlineLevel="0" collapsed="false">
      <c r="A149" s="6" t="s">
        <v>888</v>
      </c>
      <c r="B149" s="6" t="s">
        <v>78</v>
      </c>
      <c r="C149" s="6" t="s">
        <v>889</v>
      </c>
      <c r="D149" s="17" t="n">
        <v>420000</v>
      </c>
      <c r="E149" s="16" t="s">
        <v>393</v>
      </c>
      <c r="F149" s="6" t="s">
        <v>890</v>
      </c>
      <c r="G149" s="6" t="s">
        <v>593</v>
      </c>
      <c r="H149" s="6" t="s">
        <v>891</v>
      </c>
      <c r="I149" s="6" t="s">
        <v>321</v>
      </c>
    </row>
    <row r="150" customFormat="false" ht="28.35" hidden="false" customHeight="false" outlineLevel="0" collapsed="false">
      <c r="A150" s="6" t="s">
        <v>892</v>
      </c>
      <c r="B150" s="6" t="s">
        <v>78</v>
      </c>
      <c r="C150" s="6" t="s">
        <v>893</v>
      </c>
      <c r="D150" s="17" t="n">
        <v>40000</v>
      </c>
      <c r="E150" s="16" t="s">
        <v>393</v>
      </c>
      <c r="F150" s="6" t="s">
        <v>885</v>
      </c>
      <c r="G150" s="6" t="s">
        <v>886</v>
      </c>
      <c r="H150" s="6" t="s">
        <v>894</v>
      </c>
      <c r="I150" s="6" t="s">
        <v>321</v>
      </c>
    </row>
    <row r="151" customFormat="false" ht="55.2" hidden="false" customHeight="false" outlineLevel="0" collapsed="false">
      <c r="A151" s="6" t="s">
        <v>895</v>
      </c>
      <c r="B151" s="6" t="s">
        <v>78</v>
      </c>
      <c r="C151" s="6" t="s">
        <v>896</v>
      </c>
      <c r="D151" s="17" t="n">
        <v>44000</v>
      </c>
      <c r="E151" s="16" t="s">
        <v>393</v>
      </c>
      <c r="F151" s="6" t="s">
        <v>890</v>
      </c>
      <c r="G151" s="6" t="s">
        <v>593</v>
      </c>
      <c r="H151" s="6" t="s">
        <v>897</v>
      </c>
      <c r="I151" s="6" t="s">
        <v>321</v>
      </c>
    </row>
    <row r="152" customFormat="false" ht="28.35" hidden="false" customHeight="false" outlineLevel="0" collapsed="false">
      <c r="A152" s="6" t="s">
        <v>898</v>
      </c>
      <c r="B152" s="6" t="s">
        <v>78</v>
      </c>
      <c r="C152" s="6" t="s">
        <v>899</v>
      </c>
      <c r="D152" s="17" t="n">
        <v>20000</v>
      </c>
      <c r="E152" s="16" t="s">
        <v>393</v>
      </c>
      <c r="F152" s="6" t="s">
        <v>885</v>
      </c>
      <c r="G152" s="6" t="s">
        <v>886</v>
      </c>
      <c r="H152" s="6" t="s">
        <v>894</v>
      </c>
      <c r="I152" s="6" t="s">
        <v>321</v>
      </c>
    </row>
    <row r="153" customFormat="false" ht="55.2" hidden="false" customHeight="false" outlineLevel="0" collapsed="false">
      <c r="A153" s="6" t="s">
        <v>900</v>
      </c>
      <c r="B153" s="6" t="s">
        <v>78</v>
      </c>
      <c r="C153" s="6" t="s">
        <v>901</v>
      </c>
      <c r="D153" s="17" t="n">
        <v>22000</v>
      </c>
      <c r="E153" s="16" t="s">
        <v>393</v>
      </c>
      <c r="F153" s="6" t="s">
        <v>890</v>
      </c>
      <c r="G153" s="6" t="s">
        <v>593</v>
      </c>
      <c r="H153" s="6" t="s">
        <v>902</v>
      </c>
      <c r="I153" s="6" t="s">
        <v>321</v>
      </c>
    </row>
    <row r="154" customFormat="false" ht="28.35" hidden="false" customHeight="false" outlineLevel="0" collapsed="false">
      <c r="A154" s="6" t="s">
        <v>903</v>
      </c>
      <c r="B154" s="6" t="s">
        <v>78</v>
      </c>
      <c r="C154" s="6" t="s">
        <v>904</v>
      </c>
      <c r="D154" s="18" t="n">
        <v>0.33</v>
      </c>
      <c r="E154" s="16" t="s">
        <v>393</v>
      </c>
      <c r="F154" s="6" t="s">
        <v>905</v>
      </c>
      <c r="G154" s="6" t="s">
        <v>886</v>
      </c>
      <c r="H154" s="6"/>
      <c r="I154" s="6" t="s">
        <v>321</v>
      </c>
    </row>
    <row r="155" customFormat="false" ht="28.35" hidden="false" customHeight="false" outlineLevel="0" collapsed="false">
      <c r="A155" s="6" t="s">
        <v>906</v>
      </c>
      <c r="B155" s="6" t="s">
        <v>78</v>
      </c>
      <c r="C155" s="6" t="s">
        <v>907</v>
      </c>
      <c r="D155" s="17" t="n">
        <v>3000</v>
      </c>
      <c r="E155" s="16" t="s">
        <v>393</v>
      </c>
      <c r="F155" s="6" t="s">
        <v>905</v>
      </c>
      <c r="G155" s="6" t="s">
        <v>886</v>
      </c>
      <c r="H155" s="6" t="s">
        <v>908</v>
      </c>
      <c r="I155" s="6" t="s">
        <v>321</v>
      </c>
    </row>
  </sheetData>
  <mergeCells count="2">
    <mergeCell ref="A2:J2"/>
    <mergeCell ref="A53:I53"/>
  </mergeCells>
  <dataValidations count="1">
    <dataValidation allowBlank="false" errorStyle="stop" operator="between" showDropDown="false" showErrorMessage="false" showInputMessage="false" sqref="A5" type="list">
      <formula1>$A$20:$A$47</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8B57"/>
    <pageSetUpPr fitToPage="false"/>
  </sheetPr>
  <dimension ref="B1:U1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20" width="2"/>
    <col collapsed="false" customWidth="true" hidden="false" outlineLevel="0" max="2" min="2" style="20" width="66"/>
    <col collapsed="false" customWidth="true" hidden="false" outlineLevel="0" max="3" min="3" style="20" width="16"/>
    <col collapsed="false" customWidth="true" hidden="false" outlineLevel="0" max="4" min="4" style="20" width="12"/>
    <col collapsed="false" customWidth="true" hidden="false" outlineLevel="0" max="5" min="5" style="20" width="38"/>
    <col collapsed="false" customWidth="true" hidden="false" outlineLevel="0" max="7" min="6" style="20" width="16"/>
    <col collapsed="false" customWidth="true" hidden="false" outlineLevel="0" max="8" min="8" style="20" width="8"/>
    <col collapsed="false" customWidth="true" hidden="false" outlineLevel="0" max="9" min="9" style="20" width="40"/>
    <col collapsed="false" customWidth="true" hidden="false" outlineLevel="0" max="12" min="10" style="20" width="14"/>
  </cols>
  <sheetData>
    <row r="1" customFormat="false" ht="17.25" hidden="false" customHeight="true" outlineLevel="0" collapsed="false">
      <c r="B1" s="21" t="s">
        <v>909</v>
      </c>
    </row>
    <row r="2" customFormat="false" ht="61.5" hidden="false" customHeight="true" outlineLevel="0" collapsed="false">
      <c r="B2" s="2" t="s">
        <v>910</v>
      </c>
      <c r="C2" s="2"/>
      <c r="D2" s="2"/>
      <c r="E2" s="2"/>
      <c r="F2" s="2"/>
      <c r="G2" s="2"/>
      <c r="H2" s="2"/>
      <c r="I2" s="2"/>
    </row>
    <row r="3" customFormat="false" ht="30" hidden="false" customHeight="true" outlineLevel="0" collapsed="false">
      <c r="B3" s="22" t="str">
        <f aca="false">Warn_Goals</f>
        <v/>
      </c>
      <c r="C3" s="22"/>
      <c r="D3" s="22"/>
      <c r="E3" s="22"/>
      <c r="F3" s="22"/>
      <c r="G3" s="22"/>
      <c r="H3" s="22"/>
      <c r="I3" s="22"/>
    </row>
    <row r="4" customFormat="false" ht="15" hidden="false" customHeight="true" outlineLevel="0" collapsed="false">
      <c r="B4" s="23" t="s">
        <v>911</v>
      </c>
      <c r="C4" s="23" t="s">
        <v>912</v>
      </c>
      <c r="D4" s="23" t="s">
        <v>913</v>
      </c>
      <c r="E4" s="23" t="s">
        <v>914</v>
      </c>
      <c r="F4" s="23" t="s">
        <v>915</v>
      </c>
      <c r="G4" s="23" t="s">
        <v>916</v>
      </c>
      <c r="H4" s="23" t="s">
        <v>917</v>
      </c>
    </row>
    <row r="5" customFormat="false" ht="15" hidden="false" customHeight="true" outlineLevel="0" collapsed="false">
      <c r="B5" s="20" t="s">
        <v>918</v>
      </c>
      <c r="C5" s="24"/>
      <c r="E5" s="25" t="s">
        <v>919</v>
      </c>
      <c r="F5" s="25" t="s">
        <v>920</v>
      </c>
      <c r="G5" s="26" t="str">
        <f aca="false">IF(ISBLANK(C5),IF(Fill_Example="Yes",F5,""),IF(TRUE(),C5,""))</f>
        <v>Aoife</v>
      </c>
      <c r="H5" s="26" t="n">
        <f aca="false">IF(G5="",0,1)</f>
        <v>1</v>
      </c>
    </row>
    <row r="6" customFormat="false" ht="15" hidden="false" customHeight="true" outlineLevel="0" collapsed="false">
      <c r="B6" s="20" t="s">
        <v>921</v>
      </c>
      <c r="C6" s="27"/>
      <c r="D6" s="20" t="s">
        <v>922</v>
      </c>
      <c r="E6" s="25" t="s">
        <v>923</v>
      </c>
      <c r="F6" s="28" t="n">
        <f aca="false">DATE(AS_Year0-38,8,21)</f>
        <v>32741</v>
      </c>
      <c r="G6" s="26" t="n">
        <f aca="true">IF(ISBLANK(C6),IF(AND(Fill_Example="Yes",F6&lt;&gt;""),AS_Year0-YEAR(F6),0),IF(IF(ISNUMBER(C6),IF(C6&lt;=TODAY(),AND(DATEDIF(C6,TODAY(),"Y")&gt;=18,DATEDIF(C6,TODAY(),"Y")&lt;=80),FALSE()),FALSE()),AS_Year0-YEAR(C6),0))</f>
        <v>38</v>
      </c>
      <c r="H6" s="26" t="n">
        <f aca="true">IF(ISBLANK(C6),IF(AND(Fill_Example="Yes",F6&lt;&gt;""),1,0),IF(IF(ISNUMBER(C6),IF(C6&lt;=TODAY(),AND(DATEDIF(C6,TODAY(),"Y")&gt;=18,DATEDIF(C6,TODAY(),"Y")&lt;=80),FALSE()),FALSE()),1,0))</f>
        <v>1</v>
      </c>
    </row>
    <row r="7" customFormat="false" ht="15" hidden="false" customHeight="true" outlineLevel="0" collapsed="false">
      <c r="B7" s="20" t="s">
        <v>924</v>
      </c>
      <c r="C7" s="24"/>
      <c r="E7" s="25" t="s">
        <v>925</v>
      </c>
      <c r="F7" s="25" t="s">
        <v>3</v>
      </c>
      <c r="G7" s="26" t="str">
        <f aca="false">IF(ISBLANK(C7),IF(Fill_Example="Yes",F7,""),IF(ISNUMBER(MATCH(C7,{"Yes","No"},0)),C7,""))</f>
        <v>Yes</v>
      </c>
      <c r="H7" s="26" t="n">
        <f aca="false">IF(G7="",0,1)</f>
        <v>1</v>
      </c>
    </row>
    <row r="8" customFormat="false" ht="15" hidden="false" customHeight="true" outlineLevel="0" collapsed="false">
      <c r="B8" s="20" t="s">
        <v>926</v>
      </c>
      <c r="C8" s="24"/>
      <c r="E8" s="25" t="s">
        <v>927</v>
      </c>
      <c r="F8" s="25"/>
      <c r="G8" s="26" t="n">
        <f aca="false">IF(ISBLANK(C8),IF(Fill_Example="Yes",F8,""),IF(ISNUMBER(MATCH(C8,{"Yes","No"},0)),C8,""))</f>
        <v>0</v>
      </c>
      <c r="H8" s="26" t="n">
        <f aca="false">IF(G8="",0,1)</f>
        <v>0</v>
      </c>
    </row>
    <row r="9" customFormat="false" ht="15" hidden="false" customHeight="true" outlineLevel="0" collapsed="false">
      <c r="B9" s="20" t="s">
        <v>928</v>
      </c>
      <c r="C9" s="24"/>
      <c r="D9" s="20" t="s">
        <v>929</v>
      </c>
      <c r="E9" s="25" t="s">
        <v>930</v>
      </c>
      <c r="F9" s="25" t="n">
        <v>2</v>
      </c>
      <c r="G9" s="26" t="n">
        <f aca="false">IF(ISBLANK(C9),IF(AND(Fill_Example="Yes",F9&lt;&gt;""),F9,0),IF(IF(ISNUMBER(C9),AND(C9&gt;=0,C9&lt;=20,C9=INT(C9)),FALSE()),C9,0))</f>
        <v>2</v>
      </c>
      <c r="H9" s="26" t="n">
        <f aca="false">IF(ISBLANK(C9),IF(AND(Fill_Example="Yes",F9&lt;&gt;""),1,0),IF(IF(ISNUMBER(C9),AND(C9&gt;=0,C9&lt;=20,C9=INT(C9)),FALSE()),1,0))</f>
        <v>1</v>
      </c>
    </row>
    <row r="10" customFormat="false" ht="15" hidden="false" customHeight="true" outlineLevel="0" collapsed="false">
      <c r="B10" s="20" t="s">
        <v>931</v>
      </c>
      <c r="C10" s="24"/>
      <c r="D10" s="20" t="s">
        <v>932</v>
      </c>
      <c r="E10" s="25" t="s">
        <v>933</v>
      </c>
      <c r="F10" s="25" t="n">
        <v>63</v>
      </c>
      <c r="G10" s="26" t="n">
        <f aca="false">IF(ISBLANK(C10),IF(AND(Fill_Example="Yes",F10&lt;&gt;""),F10,0),IF(IF(ISNUMBER(C10),AND(C10&gt;=18,C10&lt;=105,C10=INT(C10)),FALSE()),C10,0))</f>
        <v>63</v>
      </c>
      <c r="H10" s="26" t="n">
        <f aca="false">IF(ISBLANK(C10),IF(AND(Fill_Example="Yes",F10&lt;&gt;""),1,0),IF(IF(ISNUMBER(C10),AND(C10&gt;=18,C10&lt;=105,C10=INT(C10)),FALSE()),1,0))</f>
        <v>1</v>
      </c>
    </row>
    <row r="11" customFormat="false" ht="15" hidden="false" customHeight="true" outlineLevel="0" collapsed="false">
      <c r="B11" s="20" t="s">
        <v>934</v>
      </c>
      <c r="C11" s="24"/>
      <c r="D11" s="20" t="s">
        <v>932</v>
      </c>
      <c r="E11" s="25" t="s">
        <v>935</v>
      </c>
      <c r="F11" s="25" t="n">
        <v>66</v>
      </c>
      <c r="G11" s="26" t="n">
        <f aca="false">IF(ISBLANK(C11),IF(AND(Fill_Example="Yes",F11&lt;&gt;""),F11,0),IF(IF(ISNUMBER(C11),AND(C11&gt;=18,C11&lt;=105,C11=INT(C11)),FALSE()),C11,0))</f>
        <v>66</v>
      </c>
      <c r="H11" s="26" t="n">
        <f aca="false">IF(ISBLANK(C11),IF(AND(Fill_Example="Yes",F11&lt;&gt;""),1,0),IF(IF(ISNUMBER(C11),AND(C11&gt;=18,C11&lt;=105,C11=INT(C11)),FALSE()),1,0))</f>
        <v>1</v>
      </c>
    </row>
    <row r="12" customFormat="false" ht="15" hidden="false" customHeight="true" outlineLevel="0" collapsed="false">
      <c r="B12" s="20" t="s">
        <v>936</v>
      </c>
      <c r="C12" s="24"/>
      <c r="D12" s="20" t="s">
        <v>937</v>
      </c>
      <c r="E12" s="25" t="s">
        <v>938</v>
      </c>
      <c r="F12" s="29" t="n">
        <f aca="false">Set_infl</f>
        <v>0.02</v>
      </c>
      <c r="G12" s="30" t="n">
        <f aca="false">IF(ISBLANK(C12),IF(AND(Fill_Example="Yes",F12&lt;&gt;""),F12,0),IF(IF(ISNUMBER(C12),AND(C12&gt;=0,C12&lt;=0.1),FALSE()),C12,0))</f>
        <v>0.02</v>
      </c>
      <c r="H12" s="26" t="n">
        <f aca="false">IF(ISBLANK(C12),IF(AND(Fill_Example="Yes",F12&lt;&gt;""),1,0),IF(IF(ISNUMBER(C12),AND(C12&gt;=0,C12&lt;=0.1),FALSE()),1,0))</f>
        <v>1</v>
      </c>
    </row>
    <row r="13" customFormat="false" ht="15" hidden="false" customHeight="true" outlineLevel="0" collapsed="false">
      <c r="B13" s="20" t="s">
        <v>939</v>
      </c>
      <c r="C13" s="24"/>
      <c r="E13" s="25" t="s">
        <v>940</v>
      </c>
      <c r="F13" s="25" t="s">
        <v>169</v>
      </c>
      <c r="G13" s="26" t="str">
        <f aca="false">IF(ISBLANK(C13),IF(Fill_Example="Yes",F13,""),IF(ISNUMBER(MATCH(C13,{"Standard","Cautious"},0)),C13,""))</f>
        <v>Standard</v>
      </c>
      <c r="H13" s="26" t="n">
        <f aca="false">IF(G13="",0,1)</f>
        <v>1</v>
      </c>
    </row>
    <row r="14" customFormat="false" ht="15" hidden="false" customHeight="true" outlineLevel="0" collapsed="false">
      <c r="B14" s="20" t="s">
        <v>941</v>
      </c>
      <c r="C14" s="24"/>
      <c r="D14" s="20" t="s">
        <v>942</v>
      </c>
      <c r="E14" s="25" t="s">
        <v>943</v>
      </c>
      <c r="F14" s="25" t="n">
        <v>2</v>
      </c>
      <c r="G14" s="26" t="n">
        <f aca="false">IF(ISBLANK(C14),IF(AND(Fill_Example="Yes",F14&lt;&gt;""),F14,0),IF(IF(ISNUMBER(C14),AND(C14&gt;=0,C14&lt;=4,C14=INT(C14)),FALSE()),C14,0))</f>
        <v>2</v>
      </c>
      <c r="H14" s="26" t="n">
        <f aca="false">IF(ISBLANK(C14),IF(AND(Fill_Example="Yes",F14&lt;&gt;""),1,0),IF(IF(ISNUMBER(C14),AND(C14&gt;=0,C14&lt;=4,C14=INT(C14)),FALSE()),1,0))</f>
        <v>1</v>
      </c>
    </row>
    <row r="15" customFormat="false" ht="15" hidden="false" customHeight="true" outlineLevel="0" collapsed="false">
      <c r="B15" s="20" t="s">
        <v>944</v>
      </c>
      <c r="C15" s="24"/>
      <c r="D15" s="20" t="s">
        <v>945</v>
      </c>
      <c r="E15" s="25" t="s">
        <v>946</v>
      </c>
      <c r="F15" s="25"/>
      <c r="G15" s="26" t="n">
        <f aca="false">IF(ISBLANK(C15),IF(AND(Fill_Example="Yes",F15&lt;&gt;""),F15,0),IF(IF(ISNUMBER(C15),AND(C15&gt;=0,C15&lt;=1000000),FALSE()),C15,0))</f>
        <v>0</v>
      </c>
      <c r="H15" s="26" t="n">
        <f aca="false">IF(ISBLANK(C15),IF(AND(Fill_Example="Yes",F15&lt;&gt;""),1,0),IF(IF(ISNUMBER(C15),AND(C15&gt;=0,C15&lt;=1000000),FALSE()),1,0))</f>
        <v>0</v>
      </c>
    </row>
    <row r="16" customFormat="false" ht="15" hidden="false" customHeight="true" outlineLevel="0" collapsed="false">
      <c r="B16" s="20" t="s">
        <v>947</v>
      </c>
      <c r="C16" s="24"/>
      <c r="E16" s="25" t="s">
        <v>948</v>
      </c>
      <c r="F16" s="25"/>
      <c r="G16" s="26" t="n">
        <f aca="false">IF(ISBLANK(C16),IF(Fill_Example="Yes",F16,""),IF(ISNUMBER(MATCH(C16,{"Yes","No"},0)),C16,""))</f>
        <v>0</v>
      </c>
      <c r="H16" s="26" t="n">
        <f aca="false">IF(G16="",0,1)</f>
        <v>0</v>
      </c>
    </row>
    <row r="17" customFormat="false" ht="15" hidden="false" customHeight="true" outlineLevel="0" collapsed="false">
      <c r="B17" s="20" t="s">
        <v>949</v>
      </c>
      <c r="C17" s="24"/>
      <c r="D17" s="20" t="s">
        <v>945</v>
      </c>
      <c r="E17" s="25" t="s">
        <v>950</v>
      </c>
      <c r="F17" s="25" t="n">
        <v>0</v>
      </c>
      <c r="G17" s="26" t="n">
        <f aca="false">IF(ISBLANK(C17),IF(AND(Fill_Example="Yes",F17&lt;&gt;""),F17,0),IF(IF(ISNUMBER(C17),AND(C17&gt;=0,C17&lt;=100000),FALSE()),C17,0))</f>
        <v>0</v>
      </c>
      <c r="H17" s="26" t="n">
        <f aca="false">IF(ISBLANK(C17),IF(AND(Fill_Example="Yes",F17&lt;&gt;""),1,0),IF(IF(ISNUMBER(C17),AND(C17&gt;=0,C17&lt;=100000),FALSE()),1,0))</f>
        <v>1</v>
      </c>
    </row>
    <row r="18" customFormat="false" ht="15" hidden="false" customHeight="true" outlineLevel="0" collapsed="false">
      <c r="B18" s="20" t="s">
        <v>951</v>
      </c>
      <c r="C18" s="24"/>
      <c r="E18" s="25" t="s">
        <v>952</v>
      </c>
      <c r="F18" s="25" t="s">
        <v>450</v>
      </c>
      <c r="G18" s="26" t="str">
        <f aca="false">IF(ISBLANK(C18),IF(Fill_Example="Yes",F18,""),IF(ISNUMBER(MATCH(C18,{"Yes","No"},0)),C18,""))</f>
        <v>No</v>
      </c>
      <c r="H18" s="26" t="n">
        <f aca="false">IF(G18="",0,1)</f>
        <v>1</v>
      </c>
    </row>
    <row r="19" customFormat="false" ht="15" hidden="false" customHeight="true" outlineLevel="0" collapsed="false">
      <c r="B19" s="20" t="s">
        <v>953</v>
      </c>
      <c r="C19" s="24"/>
      <c r="E19" s="25" t="s">
        <v>954</v>
      </c>
      <c r="F19" s="25" t="s">
        <v>450</v>
      </c>
      <c r="G19" s="26" t="str">
        <f aca="false">IF(ISBLANK(C19),IF(Fill_Example="Yes",F19,""),IF(ISNUMBER(MATCH(C19,{"Yes","No"},0)),C19,""))</f>
        <v>No</v>
      </c>
      <c r="H19" s="26" t="n">
        <f aca="false">IF(G19="",0,1)</f>
        <v>1</v>
      </c>
    </row>
    <row r="20" customFormat="false" ht="15" hidden="false" customHeight="true" outlineLevel="0" collapsed="false">
      <c r="B20" s="20" t="s">
        <v>955</v>
      </c>
      <c r="C20" s="24"/>
      <c r="E20" s="25" t="s">
        <v>956</v>
      </c>
      <c r="F20" s="25" t="s">
        <v>450</v>
      </c>
      <c r="G20" s="26" t="str">
        <f aca="false">IF(ISBLANK(C20),IF(Fill_Example="Yes",F20,""),IF(ISNUMBER(MATCH(C20,{"Yes","No"},0)),C20,""))</f>
        <v>No</v>
      </c>
      <c r="H20" s="26" t="n">
        <f aca="false">IF(G20="",0,1)</f>
        <v>1</v>
      </c>
    </row>
    <row r="22" customFormat="false" ht="15" hidden="false" customHeight="true" outlineLevel="0" collapsed="false">
      <c r="B22" s="23" t="s">
        <v>957</v>
      </c>
      <c r="C22" s="23" t="s">
        <v>912</v>
      </c>
      <c r="D22" s="23" t="s">
        <v>913</v>
      </c>
      <c r="E22" s="23" t="s">
        <v>914</v>
      </c>
      <c r="F22" s="23" t="s">
        <v>915</v>
      </c>
      <c r="G22" s="23" t="s">
        <v>916</v>
      </c>
      <c r="H22" s="23" t="s">
        <v>917</v>
      </c>
    </row>
    <row r="23" customFormat="false" ht="15" hidden="false" customHeight="true" outlineLevel="0" collapsed="false">
      <c r="B23" s="20" t="s">
        <v>958</v>
      </c>
      <c r="C23" s="24"/>
      <c r="D23" s="20" t="s">
        <v>959</v>
      </c>
      <c r="E23" s="25" t="s">
        <v>960</v>
      </c>
      <c r="F23" s="25"/>
      <c r="G23" s="26" t="n">
        <f aca="false">IF(ISBLANK(C23),IF(AND(Fill_Example="Yes",F23&lt;&gt;""),F23,0),IF(IF(ISNUMBER(C23),AND(C23&gt;=1,C23&lt;=22,C23=INT(C23)),FALSE()),C23,0))</f>
        <v>0</v>
      </c>
      <c r="H23" s="26" t="n">
        <f aca="false">IF(ISBLANK(C23),IF(AND(Fill_Example="Yes",F23&lt;&gt;""),1,0),IF(IF(ISNUMBER(C23),AND(C23&gt;=1,C23&lt;=22,C23=INT(C23)),FALSE()),1,0))</f>
        <v>0</v>
      </c>
    </row>
    <row r="24" customFormat="false" ht="15" hidden="false" customHeight="true" outlineLevel="0" collapsed="false">
      <c r="B24" s="20" t="s">
        <v>961</v>
      </c>
      <c r="C24" s="24"/>
      <c r="D24" s="20" t="s">
        <v>945</v>
      </c>
      <c r="E24" s="25" t="s">
        <v>962</v>
      </c>
      <c r="F24" s="25" t="n">
        <v>0</v>
      </c>
      <c r="G24" s="26" t="n">
        <f aca="false">IF(ISBLANK(C24),IF(AND(Fill_Example="Yes",F24&lt;&gt;""),F24,0),IF(IF(ISNUMBER(C24),AND(C24&gt;=-5000,C24&lt;=10000),FALSE()),C24,0))</f>
        <v>0</v>
      </c>
      <c r="H24" s="26" t="n">
        <f aca="false">IF(ISBLANK(C24),IF(AND(Fill_Example="Yes",F24&lt;&gt;""),1,0),IF(IF(ISNUMBER(C24),AND(C24&gt;=-5000,C24&lt;=10000),FALSE()),1,0))</f>
        <v>1</v>
      </c>
    </row>
    <row r="25" customFormat="false" ht="15" hidden="false" customHeight="true" outlineLevel="0" collapsed="false">
      <c r="B25" s="20" t="s">
        <v>963</v>
      </c>
      <c r="C25" s="24"/>
      <c r="D25" s="20" t="s">
        <v>964</v>
      </c>
      <c r="E25" s="25" t="s">
        <v>965</v>
      </c>
      <c r="F25" s="25" t="n">
        <v>0</v>
      </c>
      <c r="G25" s="26" t="n">
        <f aca="false">IF(ISBLANK(C25),IF(AND(Fill_Example="Yes",F25&lt;&gt;""),F25,0),IF(IF(ISNUMBER(C25),AND(C25&gt;=0,C25&lt;=2000000),FALSE()),C25,0))</f>
        <v>0</v>
      </c>
      <c r="H25" s="26" t="n">
        <f aca="false">IF(ISBLANK(C25),IF(AND(Fill_Example="Yes",F25&lt;&gt;""),1,0),IF(IF(ISNUMBER(C25),AND(C25&gt;=0,C25&lt;=2000000),FALSE()),1,0))</f>
        <v>1</v>
      </c>
    </row>
    <row r="27" customFormat="false" ht="15" hidden="false" customHeight="true" outlineLevel="0" collapsed="false">
      <c r="B27" s="23" t="s">
        <v>966</v>
      </c>
      <c r="C27" s="23" t="s">
        <v>912</v>
      </c>
      <c r="D27" s="23" t="s">
        <v>913</v>
      </c>
      <c r="E27" s="23" t="s">
        <v>914</v>
      </c>
      <c r="F27" s="23" t="s">
        <v>915</v>
      </c>
      <c r="G27" s="23" t="s">
        <v>916</v>
      </c>
      <c r="H27" s="23" t="s">
        <v>917</v>
      </c>
    </row>
    <row r="28" customFormat="false" ht="15" hidden="false" customHeight="true" outlineLevel="0" collapsed="false">
      <c r="B28" s="20" t="s">
        <v>967</v>
      </c>
      <c r="C28" s="24"/>
      <c r="E28" s="25" t="s">
        <v>968</v>
      </c>
      <c r="F28" s="25" t="s">
        <v>969</v>
      </c>
      <c r="G28" s="26" t="str">
        <f aca="false">IF(ISBLANK(C28),IF(Fill_Example="Yes",F28,""),IF(ISNUMBER(MATCH(C28,{"Employed","Self-employed","Not working"},0)),C28,""))</f>
        <v>Employed</v>
      </c>
      <c r="H28" s="26" t="n">
        <f aca="false">IF(G28="",0,1)</f>
        <v>1</v>
      </c>
    </row>
    <row r="29" customFormat="false" ht="15" hidden="false" customHeight="true" outlineLevel="0" collapsed="false">
      <c r="B29" s="20" t="s">
        <v>970</v>
      </c>
      <c r="C29" s="24"/>
      <c r="D29" s="20" t="s">
        <v>964</v>
      </c>
      <c r="E29" s="25" t="s">
        <v>971</v>
      </c>
      <c r="F29" s="25" t="n">
        <v>58000</v>
      </c>
      <c r="G29" s="26" t="n">
        <f aca="false">IF(ISBLANK(C29),IF(AND(Fill_Example="Yes",F29&lt;&gt;""),F29,0),IF(IF(ISNUMBER(C29),AND(C29&gt;=0,C29&lt;=100000000),FALSE()),C29,0))</f>
        <v>58000</v>
      </c>
      <c r="H29" s="26" t="n">
        <f aca="false">IF(ISBLANK(C29),IF(AND(Fill_Example="Yes",F29&lt;&gt;""),1,0),IF(IF(ISNUMBER(C29),AND(C29&gt;=0,C29&lt;=100000000),FALSE()),1,0))</f>
        <v>1</v>
      </c>
    </row>
    <row r="30" customFormat="false" ht="15" hidden="false" customHeight="true" outlineLevel="0" collapsed="false">
      <c r="B30" s="20" t="s">
        <v>972</v>
      </c>
      <c r="C30" s="24"/>
      <c r="D30" s="20" t="s">
        <v>964</v>
      </c>
      <c r="E30" s="25" t="s">
        <v>973</v>
      </c>
      <c r="F30" s="25" t="n">
        <v>22000</v>
      </c>
      <c r="G30" s="26" t="n">
        <f aca="false">IF(ISBLANK(C30),IF(AND(Fill_Example="Yes",F30&lt;&gt;""),F30,0),IF(IF(ISNUMBER(C30),AND(C30&gt;=0,C30&lt;=100000000),FALSE()),C30,0))</f>
        <v>22000</v>
      </c>
      <c r="H30" s="26" t="n">
        <f aca="false">IF(ISBLANK(C30),IF(AND(Fill_Example="Yes",F30&lt;&gt;""),1,0),IF(IF(ISNUMBER(C30),AND(C30&gt;=0,C30&lt;=100000000),FALSE()),1,0))</f>
        <v>1</v>
      </c>
    </row>
    <row r="31" customFormat="false" ht="15" hidden="false" customHeight="true" outlineLevel="0" collapsed="false">
      <c r="B31" s="20" t="s">
        <v>974</v>
      </c>
      <c r="C31" s="27"/>
      <c r="D31" s="20" t="s">
        <v>922</v>
      </c>
      <c r="E31" s="25" t="s">
        <v>975</v>
      </c>
      <c r="F31" s="28" t="n">
        <f aca="false">DATE(AS_Year0-37,3,3)</f>
        <v>32935</v>
      </c>
      <c r="G31" s="26" t="n">
        <f aca="true">IF(ISBLANK(C31),IF(AND(Fill_Example="Yes",F31&lt;&gt;""),AS_Year0-YEAR(F31),0),IF(IF(ISNUMBER(C31),IF(C31&lt;=TODAY(),AND(DATEDIF(C31,TODAY(),"Y")&gt;=18,DATEDIF(C31,TODAY(),"Y")&lt;=85),FALSE()),FALSE()),AS_Year0-YEAR(C31),0))</f>
        <v>37</v>
      </c>
      <c r="H31" s="26" t="n">
        <f aca="true">IF(ISBLANK(C31),IF(AND(Fill_Example="Yes",F31&lt;&gt;""),1,0),IF(IF(ISNUMBER(C31),IF(C31&lt;=TODAY(),AND(DATEDIF(C31,TODAY(),"Y")&gt;=18,DATEDIF(C31,TODAY(),"Y")&lt;=85),FALSE()),FALSE()),1,0))</f>
        <v>1</v>
      </c>
    </row>
    <row r="32" customFormat="false" ht="15" hidden="false" customHeight="true" outlineLevel="0" collapsed="false">
      <c r="B32" s="20" t="s">
        <v>976</v>
      </c>
      <c r="C32" s="24"/>
      <c r="D32" s="20" t="s">
        <v>945</v>
      </c>
      <c r="E32" s="25" t="s">
        <v>977</v>
      </c>
      <c r="F32" s="25" t="n">
        <v>0</v>
      </c>
      <c r="G32" s="26" t="n">
        <f aca="false">IF(ISBLANK(C32),IF(AND(Fill_Example="Yes",F32&lt;&gt;""),F32,0),IF(IF(ISNUMBER(C32),AND(C32&gt;=0,C32&lt;=100000000),FALSE()),C32,0))</f>
        <v>0</v>
      </c>
      <c r="H32" s="26" t="n">
        <f aca="false">IF(ISBLANK(C32),IF(AND(Fill_Example="Yes",F32&lt;&gt;""),1,0),IF(IF(ISNUMBER(C32),AND(C32&gt;=0,C32&lt;=100000000),FALSE()),1,0))</f>
        <v>1</v>
      </c>
    </row>
    <row r="33" customFormat="false" ht="15" hidden="false" customHeight="true" outlineLevel="0" collapsed="false">
      <c r="B33" s="20" t="s">
        <v>978</v>
      </c>
      <c r="C33" s="24"/>
      <c r="D33" s="20" t="s">
        <v>945</v>
      </c>
      <c r="E33" s="25" t="s">
        <v>979</v>
      </c>
      <c r="F33" s="25" t="n">
        <v>3600</v>
      </c>
      <c r="G33" s="26" t="n">
        <f aca="false">IF(ISBLANK(C33),IF(AND(Fill_Example="Yes",F33&lt;&gt;""),F33,0),IF(IF(ISNUMBER(C33),AND(C33&gt;=0,C33&lt;=100000000),FALSE()),C33,0))</f>
        <v>3600</v>
      </c>
      <c r="H33" s="26" t="n">
        <f aca="false">IF(ISBLANK(C33),IF(AND(Fill_Example="Yes",F33&lt;&gt;""),1,0),IF(IF(ISNUMBER(C33),AND(C33&gt;=0,C33&lt;=100000000),FALSE()),1,0))</f>
        <v>1</v>
      </c>
    </row>
    <row r="34" customFormat="false" ht="15" hidden="false" customHeight="true" outlineLevel="0" collapsed="false">
      <c r="B34" s="20" t="s">
        <v>980</v>
      </c>
      <c r="C34" s="24"/>
      <c r="D34" s="20" t="s">
        <v>964</v>
      </c>
      <c r="E34" s="25" t="s">
        <v>981</v>
      </c>
      <c r="F34" s="25" t="n">
        <v>1800</v>
      </c>
      <c r="G34" s="26" t="n">
        <f aca="false">IF(ISBLANK(C34),IF(AND(Fill_Example="Yes",F34&lt;&gt;""),F34,0),IF(IF(ISNUMBER(C34),AND(C34&gt;=0,C34&lt;=100000000),FALSE()),C34,0))</f>
        <v>1800</v>
      </c>
      <c r="H34" s="26" t="n">
        <f aca="false">IF(ISBLANK(C34),IF(AND(Fill_Example="Yes",F34&lt;&gt;""),1,0),IF(IF(ISNUMBER(C34),AND(C34&gt;=0,C34&lt;=100000000),FALSE()),1,0))</f>
        <v>1</v>
      </c>
    </row>
    <row r="35" customFormat="false" ht="15" hidden="false" customHeight="true" outlineLevel="0" collapsed="false">
      <c r="B35" s="20" t="s">
        <v>982</v>
      </c>
      <c r="C35" s="24"/>
      <c r="D35" s="20" t="s">
        <v>964</v>
      </c>
      <c r="E35" s="25" t="s">
        <v>983</v>
      </c>
      <c r="F35" s="25"/>
      <c r="G35" s="26" t="n">
        <f aca="false">IF(ISBLANK(C35),IF(AND(Fill_Example="Yes",F35&lt;&gt;""),F35,0),IF(IF(ISNUMBER(C35),AND(C35&gt;=0,C35&lt;=100000000),FALSE()),C35,0))</f>
        <v>0</v>
      </c>
      <c r="H35" s="26" t="n">
        <f aca="false">IF(ISBLANK(C35),IF(AND(Fill_Example="Yes",F35&lt;&gt;""),1,0),IF(IF(ISNUMBER(C35),AND(C35&gt;=0,C35&lt;=100000000),FALSE()),1,0))</f>
        <v>0</v>
      </c>
    </row>
    <row r="36" customFormat="false" ht="15" hidden="false" customHeight="true" outlineLevel="0" collapsed="false">
      <c r="B36" s="20" t="s">
        <v>984</v>
      </c>
      <c r="C36" s="24"/>
      <c r="D36" s="20" t="s">
        <v>945</v>
      </c>
      <c r="E36" s="25" t="s">
        <v>985</v>
      </c>
      <c r="F36" s="25"/>
      <c r="G36" s="26" t="n">
        <f aca="false">IF(ISBLANK(C36),IF(AND(Fill_Example="Yes",F36&lt;&gt;""),F36,0),IF(IF(ISNUMBER(C36),AND(C36&gt;=0,C36&lt;=100000000),FALSE()),C36,0))</f>
        <v>0</v>
      </c>
      <c r="H36" s="26" t="n">
        <f aca="false">IF(ISBLANK(C36),IF(AND(Fill_Example="Yes",F36&lt;&gt;""),1,0),IF(IF(ISNUMBER(C36),AND(C36&gt;=0,C36&lt;=100000000),FALSE()),1,0))</f>
        <v>0</v>
      </c>
    </row>
    <row r="37" customFormat="false" ht="15" hidden="false" customHeight="true" outlineLevel="0" collapsed="false">
      <c r="B37" s="20" t="s">
        <v>986</v>
      </c>
      <c r="C37" s="24"/>
      <c r="E37" s="25" t="s">
        <v>987</v>
      </c>
      <c r="F37" s="25" t="s">
        <v>988</v>
      </c>
      <c r="G37" s="26" t="str">
        <f aca="false">IF(ISBLANK(C37),IF(Fill_Example="Yes",F37,""),IF(ISNUMBER(MATCH(C37,{"Own outright","Own with mortgage","Rent","Live with family"},0)),C37,""))</f>
        <v>Own with mortgage</v>
      </c>
      <c r="H37" s="26" t="n">
        <f aca="false">IF(G37="",0,1)</f>
        <v>1</v>
      </c>
    </row>
    <row r="38" customFormat="false" ht="15" hidden="false" customHeight="true" outlineLevel="0" collapsed="false">
      <c r="B38" s="20" t="s">
        <v>989</v>
      </c>
      <c r="C38" s="24"/>
      <c r="D38" s="20" t="s">
        <v>964</v>
      </c>
      <c r="E38" s="25" t="s">
        <v>990</v>
      </c>
      <c r="F38" s="25" t="n">
        <v>420000</v>
      </c>
      <c r="G38" s="26" t="n">
        <f aca="false">IF(ISBLANK(C38),IF(AND(Fill_Example="Yes",F38&lt;&gt;""),F38,0),IF(IF(ISNUMBER(C38),AND(C38&gt;=0,C38&lt;=100000000),FALSE()),C38,0))</f>
        <v>420000</v>
      </c>
      <c r="H38" s="26" t="n">
        <f aca="false">IF(ISBLANK(C38),IF(AND(Fill_Example="Yes",F38&lt;&gt;""),1,0),IF(IF(ISNUMBER(C38),AND(C38&gt;=0,C38&lt;=100000000),FALSE()),1,0))</f>
        <v>1</v>
      </c>
    </row>
    <row r="39" customFormat="false" ht="15" hidden="false" customHeight="true" outlineLevel="0" collapsed="false">
      <c r="B39" s="20" t="s">
        <v>991</v>
      </c>
      <c r="C39" s="24"/>
      <c r="D39" s="20" t="s">
        <v>964</v>
      </c>
      <c r="E39" s="25" t="s">
        <v>992</v>
      </c>
      <c r="F39" s="25" t="n">
        <v>9000</v>
      </c>
      <c r="G39" s="26" t="n">
        <f aca="false">IF(ISBLANK(C39),IF(AND(Fill_Example="Yes",F39&lt;&gt;""),F39,0),IF(IF(ISNUMBER(C39),AND(C39&gt;=0,C39&lt;=100000000),FALSE()),C39,0))</f>
        <v>9000</v>
      </c>
      <c r="H39" s="26" t="n">
        <f aca="false">IF(ISBLANK(C39),IF(AND(Fill_Example="Yes",F39&lt;&gt;""),1,0),IF(IF(ISNUMBER(C39),AND(C39&gt;=0,C39&lt;=100000000),FALSE()),1,0))</f>
        <v>1</v>
      </c>
    </row>
    <row r="40" customFormat="false" ht="15" hidden="false" customHeight="true" outlineLevel="0" collapsed="false">
      <c r="B40" s="20" t="s">
        <v>993</v>
      </c>
      <c r="C40" s="24"/>
      <c r="D40" s="20" t="s">
        <v>964</v>
      </c>
      <c r="E40" s="25" t="s">
        <v>994</v>
      </c>
      <c r="F40" s="25" t="n">
        <v>6200</v>
      </c>
      <c r="G40" s="26" t="n">
        <f aca="false">IF(ISBLANK(C40),IF(AND(Fill_Example="Yes",F40&lt;&gt;""),F40,0),IF(IF(ISNUMBER(C40),AND(C40&gt;=0,C40&lt;=100000000),FALSE()),C40,0))</f>
        <v>6200</v>
      </c>
      <c r="H40" s="26" t="n">
        <f aca="false">IF(ISBLANK(C40),IF(AND(Fill_Example="Yes",F40&lt;&gt;""),1,0),IF(IF(ISNUMBER(C40),AND(C40&gt;=0,C40&lt;=100000000),FALSE()),1,0))</f>
        <v>1</v>
      </c>
    </row>
    <row r="41" customFormat="false" ht="15" hidden="false" customHeight="true" outlineLevel="0" collapsed="false">
      <c r="B41" s="20" t="s">
        <v>995</v>
      </c>
      <c r="C41" s="24"/>
      <c r="D41" s="20" t="s">
        <v>964</v>
      </c>
      <c r="E41" s="25" t="s">
        <v>996</v>
      </c>
      <c r="F41" s="25" t="n">
        <v>203700</v>
      </c>
      <c r="G41" s="26" t="n">
        <f aca="false">IF(ISBLANK(C41),IF(AND(Fill_Example="Yes",F41&lt;&gt;""),F41,0),IF(IF(ISNUMBER(C41),AND(C41&gt;=0,C41&lt;=100000000),FALSE()),C41,0))</f>
        <v>203700</v>
      </c>
      <c r="H41" s="26" t="n">
        <f aca="false">IF(ISBLANK(C41),IF(AND(Fill_Example="Yes",F41&lt;&gt;""),1,0),IF(IF(ISNUMBER(C41),AND(C41&gt;=0,C41&lt;=100000000),FALSE()),1,0))</f>
        <v>1</v>
      </c>
    </row>
    <row r="42" customFormat="false" ht="15" hidden="false" customHeight="true" outlineLevel="0" collapsed="false">
      <c r="B42" s="20" t="s">
        <v>997</v>
      </c>
      <c r="C42" s="24"/>
      <c r="D42" s="20" t="s">
        <v>937</v>
      </c>
      <c r="E42" s="25" t="s">
        <v>998</v>
      </c>
      <c r="F42" s="25" t="n">
        <v>0.0385</v>
      </c>
      <c r="G42" s="26" t="n">
        <f aca="false">IF(ISBLANK(C42),IF(AND(Fill_Example="Yes",F42&lt;&gt;""),F42,0),IF(IF(ISNUMBER(C42),AND(C42&gt;=0,C42&lt;=0.3),FALSE()),C42,0))</f>
        <v>0.0385</v>
      </c>
      <c r="H42" s="26" t="n">
        <f aca="false">IF(ISBLANK(C42),IF(AND(Fill_Example="Yes",F42&lt;&gt;""),1,0),IF(IF(ISNUMBER(C42),AND(C42&gt;=0,C42&lt;=0.3),FALSE()),1,0))</f>
        <v>1</v>
      </c>
    </row>
    <row r="43" customFormat="false" ht="15" hidden="false" customHeight="true" outlineLevel="0" collapsed="false">
      <c r="B43" s="20" t="s">
        <v>999</v>
      </c>
      <c r="C43" s="24"/>
      <c r="D43" s="20" t="s">
        <v>945</v>
      </c>
      <c r="E43" s="25" t="s">
        <v>1000</v>
      </c>
      <c r="F43" s="25" t="n">
        <v>1180</v>
      </c>
      <c r="G43" s="26" t="n">
        <f aca="false">IF(ISBLANK(C43),IF(AND(Fill_Example="Yes",F43&lt;&gt;""),F43,0),IF(IF(ISNUMBER(C43),AND(C43&gt;=0,C43&lt;=100000000),FALSE()),C43,0))</f>
        <v>1180</v>
      </c>
      <c r="H43" s="26" t="n">
        <f aca="false">IF(ISBLANK(C43),IF(AND(Fill_Example="Yes",F43&lt;&gt;""),1,0),IF(IF(ISNUMBER(C43),AND(C43&gt;=0,C43&lt;=100000000),FALSE()),1,0))</f>
        <v>1</v>
      </c>
    </row>
    <row r="44" customFormat="false" ht="15" hidden="false" customHeight="true" outlineLevel="0" collapsed="false">
      <c r="B44" s="20" t="s">
        <v>1001</v>
      </c>
      <c r="C44" s="24"/>
      <c r="D44" s="20" t="s">
        <v>1002</v>
      </c>
      <c r="E44" s="25" t="s">
        <v>1003</v>
      </c>
      <c r="F44" s="25" t="n">
        <v>21</v>
      </c>
      <c r="G44" s="26" t="n">
        <f aca="false">IF(ISBLANK(C44),IF(AND(Fill_Example="Yes",F44&lt;&gt;""),F44,0),IF(IF(ISNUMBER(C44),AND(C44&gt;=1,C44&lt;=40,C44=INT(C44)),FALSE()),C44,0))</f>
        <v>21</v>
      </c>
      <c r="H44" s="26" t="n">
        <f aca="false">IF(ISBLANK(C44),IF(AND(Fill_Example="Yes",F44&lt;&gt;""),1,0),IF(IF(ISNUMBER(C44),AND(C44&gt;=1,C44&lt;=40,C44=INT(C44)),FALSE()),1,0))</f>
        <v>1</v>
      </c>
    </row>
    <row r="45" customFormat="false" ht="15" hidden="false" customHeight="true" outlineLevel="0" collapsed="false">
      <c r="B45" s="20" t="s">
        <v>1004</v>
      </c>
      <c r="C45" s="24"/>
      <c r="D45" s="20" t="s">
        <v>964</v>
      </c>
      <c r="E45" s="25" t="s">
        <v>1005</v>
      </c>
      <c r="F45" s="25" t="n">
        <v>400</v>
      </c>
      <c r="G45" s="26" t="n">
        <f aca="false">IF(COUNT(Cards_Owed_Rng)&gt;0,SUM(Cards_Owed_Rng),IF(ISBLANK(C45),IF(AND(Fill_Example="Yes",F45&lt;&gt;""),F45,0),IF(IF(ISNUMBER(C45),AND(C45&gt;=0,C45&lt;=100000000),FALSE()),C45,0)))</f>
        <v>400</v>
      </c>
      <c r="H45" s="26" t="n">
        <f aca="false">IF(COUNT(Cards_Owed_Rng)&gt;0,1,IF(ISBLANK(C45),IF(AND(Fill_Example="Yes",F45&lt;&gt;""),1,0),IF(IF(ISNUMBER(C45),AND(C45&gt;=0,C45&lt;=100000000),FALSE()),1,0)))</f>
        <v>1</v>
      </c>
    </row>
    <row r="46" customFormat="false" ht="15" hidden="false" customHeight="true" outlineLevel="0" collapsed="false">
      <c r="B46" s="20" t="s">
        <v>1006</v>
      </c>
      <c r="C46" s="24"/>
      <c r="D46" s="20" t="s">
        <v>945</v>
      </c>
      <c r="E46" s="25" t="s">
        <v>1007</v>
      </c>
      <c r="F46" s="25" t="n">
        <v>40</v>
      </c>
      <c r="G46" s="26" t="n">
        <f aca="false">IF(COUNT(Cards_Pay_Rng)&gt;0,SUM(Cards_Pay_Rng),IF(ISBLANK(C46),IF(AND(Fill_Example="Yes",F46&lt;&gt;""),F46,0),IF(IF(ISNUMBER(C46),AND(C46&gt;=0,C46&lt;=100000000),FALSE()),C46,0)))</f>
        <v>40</v>
      </c>
      <c r="H46" s="26" t="n">
        <f aca="false">IF(COUNT(Cards_Pay_Rng)&gt;0,1,IF(ISBLANK(C46),IF(AND(Fill_Example="Yes",F46&lt;&gt;""),1,0),IF(IF(ISNUMBER(C46),AND(C46&gt;=0,C46&lt;=100000000),FALSE()),1,0)))</f>
        <v>1</v>
      </c>
    </row>
    <row r="47" customFormat="false" ht="15" hidden="false" customHeight="true" outlineLevel="0" collapsed="false">
      <c r="B47" s="20" t="s">
        <v>1008</v>
      </c>
      <c r="C47" s="24"/>
      <c r="D47" s="20" t="s">
        <v>937</v>
      </c>
      <c r="E47" s="25" t="s">
        <v>1009</v>
      </c>
      <c r="F47" s="25"/>
      <c r="G47" s="26" t="n">
        <f aca="false">IF(ISNUMBER(Cards_Rate_Avg),ROUND(Cards_Rate_Avg,6),IF(ISBLANK(C47),IF(AND(Fill_Example="Yes",F47&lt;&gt;""),F47,0),IF(IF(ISNUMBER(C47),AND(C47&gt;=0,C47&lt;=0.3),FALSE()),C47,0)))</f>
        <v>0</v>
      </c>
      <c r="H47" s="26" t="n">
        <f aca="false">IF(ISBLANK(C47),IF(AND(Fill_Example="Yes",F47&lt;&gt;""),1,0),IF(IF(ISNUMBER(C47),AND(C47&gt;=0,C47&lt;=0.3),FALSE()),1,0))</f>
        <v>0</v>
      </c>
    </row>
    <row r="48" customFormat="false" ht="15" hidden="false" customHeight="true" outlineLevel="0" collapsed="false">
      <c r="B48" s="20" t="s">
        <v>1010</v>
      </c>
      <c r="C48" s="24"/>
      <c r="D48" s="20" t="s">
        <v>964</v>
      </c>
      <c r="E48" s="25" t="s">
        <v>1011</v>
      </c>
      <c r="F48" s="25" t="n">
        <v>3500</v>
      </c>
      <c r="G48" s="26" t="n">
        <f aca="false">IF(COUNT(Loans_Owed_Rng)&gt;0,SUM(Loans_Owed_Rng),IF(ISBLANK(C48),IF(AND(Fill_Example="Yes",F48&lt;&gt;""),F48,0),IF(IF(ISNUMBER(C48),AND(C48&gt;=0,C48&lt;=100000000),FALSE()),C48,0)))</f>
        <v>3500</v>
      </c>
      <c r="H48" s="26" t="n">
        <f aca="false">IF(COUNT(Loans_Owed_Rng)&gt;0,1,IF(ISBLANK(C48),IF(AND(Fill_Example="Yes",F48&lt;&gt;""),1,0),IF(IF(ISNUMBER(C48),AND(C48&gt;=0,C48&lt;=100000000),FALSE()),1,0)))</f>
        <v>1</v>
      </c>
    </row>
    <row r="49" customFormat="false" ht="15" hidden="false" customHeight="true" outlineLevel="0" collapsed="false">
      <c r="B49" s="20" t="s">
        <v>1012</v>
      </c>
      <c r="C49" s="24"/>
      <c r="D49" s="20" t="s">
        <v>945</v>
      </c>
      <c r="E49" s="25" t="s">
        <v>1013</v>
      </c>
      <c r="F49" s="25" t="n">
        <v>100</v>
      </c>
      <c r="G49" s="26" t="n">
        <f aca="false">IF(COUNT(Loans_Pay_Rng)&gt;0,SUM(Loans_Pay_Rng),IF(ISBLANK(C49),IF(AND(Fill_Example="Yes",F49&lt;&gt;""),F49,0),IF(IF(ISNUMBER(C49),AND(C49&gt;=0,C49&lt;=100000000),FALSE()),C49,0)))</f>
        <v>100</v>
      </c>
      <c r="H49" s="26" t="n">
        <f aca="false">IF(COUNT(Loans_Pay_Rng)&gt;0,1,IF(ISBLANK(C49),IF(AND(Fill_Example="Yes",F49&lt;&gt;""),1,0),IF(IF(ISNUMBER(C49),AND(C49&gt;=0,C49&lt;=100000000),FALSE()),1,0)))</f>
        <v>1</v>
      </c>
    </row>
    <row r="50" customFormat="false" ht="15" hidden="false" customHeight="true" outlineLevel="0" collapsed="false">
      <c r="B50" s="20" t="s">
        <v>1014</v>
      </c>
      <c r="C50" s="24"/>
      <c r="D50" s="20" t="s">
        <v>937</v>
      </c>
      <c r="E50" s="25" t="s">
        <v>1015</v>
      </c>
      <c r="F50" s="25"/>
      <c r="G50" s="26" t="n">
        <f aca="false">IF(ISNUMBER(Loans_Rate_Avg),ROUND(Loans_Rate_Avg,6),IF(ISBLANK(C50),IF(AND(Fill_Example="Yes",F50&lt;&gt;""),F50,0),IF(IF(ISNUMBER(C50),AND(C50&gt;=0,C50&lt;=0.3),FALSE()),C50,0)))</f>
        <v>0</v>
      </c>
      <c r="H50" s="26" t="n">
        <f aca="false">IF(ISBLANK(C50),IF(AND(Fill_Example="Yes",F50&lt;&gt;""),1,0),IF(IF(ISNUMBER(C50),AND(C50&gt;=0,C50&lt;=0.3),FALSE()),1,0))</f>
        <v>0</v>
      </c>
    </row>
    <row r="51" customFormat="false" ht="15" hidden="false" customHeight="true" outlineLevel="0" collapsed="false">
      <c r="B51" s="20" t="s">
        <v>1016</v>
      </c>
      <c r="C51" s="24"/>
      <c r="D51" s="20" t="s">
        <v>964</v>
      </c>
      <c r="E51" s="25" t="s">
        <v>1017</v>
      </c>
      <c r="F51" s="25" t="n">
        <v>0</v>
      </c>
      <c r="G51" s="26" t="n">
        <f aca="false">IF(ISBLANK(C51),IF(AND(Fill_Example="Yes",F51&lt;&gt;""),F51,0),IF(IF(ISNUMBER(C51),AND(C51&gt;=0,C51&lt;=100000000),FALSE()),C51,0))</f>
        <v>0</v>
      </c>
      <c r="H51" s="26" t="n">
        <f aca="false">IF(ISBLANK(C51),IF(AND(Fill_Example="Yes",F51&lt;&gt;""),1,0),IF(IF(ISNUMBER(C51),AND(C51&gt;=0,C51&lt;=100000000),FALSE()),1,0))</f>
        <v>1</v>
      </c>
    </row>
    <row r="52" customFormat="false" ht="15" hidden="false" customHeight="true" outlineLevel="0" collapsed="false">
      <c r="B52" s="20" t="s">
        <v>1018</v>
      </c>
      <c r="C52" s="24"/>
      <c r="D52" s="20" t="s">
        <v>945</v>
      </c>
      <c r="E52" s="25" t="s">
        <v>1019</v>
      </c>
      <c r="F52" s="25" t="n">
        <v>0</v>
      </c>
      <c r="G52" s="26" t="n">
        <f aca="false">IF(ISBLANK(C52),IF(AND(Fill_Example="Yes",F52&lt;&gt;""),F52,0),IF(IF(ISNUMBER(C52),AND(C52&gt;=0,C52&lt;=100000000),FALSE()),C52,0))</f>
        <v>0</v>
      </c>
      <c r="H52" s="26" t="n">
        <f aca="false">IF(ISBLANK(C52),IF(AND(Fill_Example="Yes",F52&lt;&gt;""),1,0),IF(IF(ISNUMBER(C52),AND(C52&gt;=0,C52&lt;=100000000),FALSE()),1,0))</f>
        <v>1</v>
      </c>
    </row>
    <row r="53" customFormat="false" ht="15" hidden="false" customHeight="true" outlineLevel="0" collapsed="false">
      <c r="B53" s="20" t="s">
        <v>1020</v>
      </c>
      <c r="C53" s="24"/>
      <c r="D53" s="20" t="s">
        <v>964</v>
      </c>
      <c r="E53" s="25" t="s">
        <v>1021</v>
      </c>
      <c r="F53" s="25" t="n">
        <v>72000</v>
      </c>
      <c r="G53" s="26" t="n">
        <f aca="false">IF(COUNT(Pens_Value_Rng)&gt;0,SUM(Pens_Value_Rng),IF(ISBLANK(C53),IF(AND(Fill_Example="Yes",F53&lt;&gt;""),F53,0),IF(IF(ISNUMBER(C53),AND(C53&gt;=0,C53&lt;=100000000),FALSE()),C53,0)))</f>
        <v>72000</v>
      </c>
      <c r="H53" s="26" t="n">
        <f aca="false">IF(COUNT(Pens_Value_Rng)&gt;0,1,IF(ISBLANK(C53),IF(AND(Fill_Example="Yes",F53&lt;&gt;""),1,0),IF(IF(ISNUMBER(C53),AND(C53&gt;=0,C53&lt;=100000000),FALSE()),1,0)))</f>
        <v>1</v>
      </c>
    </row>
    <row r="54" customFormat="false" ht="15" hidden="false" customHeight="true" outlineLevel="0" collapsed="false">
      <c r="B54" s="20" t="s">
        <v>1022</v>
      </c>
      <c r="C54" s="24"/>
      <c r="D54" s="20" t="s">
        <v>945</v>
      </c>
      <c r="E54" s="25" t="s">
        <v>1023</v>
      </c>
      <c r="F54" s="25" t="n">
        <v>520</v>
      </c>
      <c r="G54" s="26" t="n">
        <f aca="false">IF(COUNT(Pens_Monthly_Rng)&gt;0,SUM(Pens_Monthly_Rng),IF(ISBLANK(C54),IF(AND(Fill_Example="Yes",F54&lt;&gt;""),F54,0),IF(IF(ISNUMBER(C54),AND(C54&gt;=0,C54&lt;=100000000),FALSE()),C54,0)))</f>
        <v>520</v>
      </c>
      <c r="H54" s="26" t="n">
        <f aca="false">IF(COUNT(Pens_Monthly_Rng)&gt;0,1,IF(ISBLANK(C54),IF(AND(Fill_Example="Yes",F54&lt;&gt;""),1,0),IF(IF(ISNUMBER(C54),AND(C54&gt;=0,C54&lt;=100000000),FALSE()),1,0)))</f>
        <v>1</v>
      </c>
    </row>
    <row r="55" customFormat="false" ht="15" hidden="false" customHeight="true" outlineLevel="0" collapsed="false">
      <c r="B55" s="20" t="s">
        <v>1024</v>
      </c>
      <c r="C55" s="24"/>
      <c r="D55" s="20" t="s">
        <v>945</v>
      </c>
      <c r="E55" s="25" t="s">
        <v>1025</v>
      </c>
      <c r="F55" s="25"/>
      <c r="G55" s="26" t="n">
        <f aca="false">IF(COUNT(Pens_Monthly_Rng)&gt;0,IF(Pens_OwnGiven=1,Pens_Own_Total,0),IF(ISBLANK(C55),IF(AND(Fill_Example="Yes",F55&lt;&gt;""),F55,0),IF(IF(ISNUMBER(C55),AND(C55&gt;=0,C55&lt;=100000000),FALSE()),C55,0)))</f>
        <v>0</v>
      </c>
      <c r="H55" s="26" t="n">
        <f aca="false">IF(COUNT(Pens_Monthly_Rng)&gt;0,Pens_OwnGiven,IF(ISBLANK(C55),IF(AND(Fill_Example="Yes",F55&lt;&gt;""),1,0),IF(IF(ISNUMBER(C55),AND(C55&gt;=0,C55&lt;=100000000),FALSE()),1,0)))</f>
        <v>0</v>
      </c>
    </row>
    <row r="56" customFormat="false" ht="15" hidden="false" customHeight="true" outlineLevel="0" collapsed="false">
      <c r="B56" s="20" t="s">
        <v>1026</v>
      </c>
      <c r="C56" s="24"/>
      <c r="D56" s="20" t="s">
        <v>937</v>
      </c>
      <c r="E56" s="25" t="s">
        <v>1027</v>
      </c>
      <c r="F56" s="25"/>
      <c r="G56" s="26" t="n">
        <f aca="false">IF(ISBLANK(C56),IF(AND(Fill_Example="Yes",F56&lt;&gt;""),F56,0),IF(IF(ISNUMBER(C56),AND(C56&gt;=0,C56&lt;=0.05),FALSE()),C56,0))</f>
        <v>0</v>
      </c>
      <c r="H56" s="26" t="n">
        <f aca="false">IF(ISBLANK(C56),IF(AND(Fill_Example="Yes",F56&lt;&gt;""),1,0),IF(IF(ISNUMBER(C56),AND(C56&gt;=0,C56&lt;=0.05),FALSE()),1,0))</f>
        <v>0</v>
      </c>
    </row>
    <row r="57" customFormat="false" ht="15" hidden="false" customHeight="true" outlineLevel="0" collapsed="false">
      <c r="B57" s="20" t="s">
        <v>1028</v>
      </c>
      <c r="C57" s="24"/>
      <c r="E57" s="25" t="s">
        <v>1029</v>
      </c>
      <c r="F57" s="25"/>
      <c r="G57" s="26" t="n">
        <f aca="false">IF(ISBLANK(C57),IF(Fill_Example="Yes",F57,""),IF(ISNUMBER(MATCH(C57,{"Yes","No","Not sure"},0)),C57,""))</f>
        <v>0</v>
      </c>
      <c r="H57" s="26" t="n">
        <f aca="false">IF(G57="",0,1)</f>
        <v>0</v>
      </c>
    </row>
    <row r="58" customFormat="false" ht="15" hidden="false" customHeight="true" outlineLevel="0" collapsed="false">
      <c r="B58" s="20" t="s">
        <v>1030</v>
      </c>
      <c r="C58" s="24"/>
      <c r="E58" s="25" t="s">
        <v>1031</v>
      </c>
      <c r="F58" s="25" t="s">
        <v>1032</v>
      </c>
      <c r="G58" s="26" t="str">
        <f aca="false">IF(ISBLANK(C58),IF(Fill_Example="Yes",F58,""),IF(ISNUMBER(MATCH(C58,{"Expect full","Partly","Not sure"},0)),C58,""))</f>
        <v>Expect full</v>
      </c>
      <c r="H58" s="26" t="n">
        <f aca="false">IF(G58="",0,1)</f>
        <v>1</v>
      </c>
    </row>
    <row r="59" customFormat="false" ht="15" hidden="false" customHeight="true" outlineLevel="0" collapsed="false">
      <c r="B59" s="20" t="s">
        <v>1033</v>
      </c>
      <c r="C59" s="24"/>
      <c r="D59" s="20" t="s">
        <v>1002</v>
      </c>
      <c r="E59" s="25" t="s">
        <v>1034</v>
      </c>
      <c r="F59" s="25"/>
      <c r="G59" s="26" t="n">
        <f aca="false">IF(ISBLANK(C59),IF(AND(Fill_Example="Yes",F59&lt;&gt;""),F59,0),IF(IF(ISNUMBER(C59),AND(C59&gt;=0,C59&lt;=45,C59=INT(C59)),FALSE()),C59,0))</f>
        <v>0</v>
      </c>
      <c r="H59" s="26" t="n">
        <f aca="false">IF(ISBLANK(C59),IF(AND(Fill_Example="Yes",F59&lt;&gt;""),1,0),IF(IF(ISNUMBER(C59),AND(C59&gt;=0,C59&lt;=45,C59=INT(C59)),FALSE()),1,0))</f>
        <v>0</v>
      </c>
    </row>
    <row r="60" customFormat="false" ht="15" hidden="false" customHeight="true" outlineLevel="0" collapsed="false">
      <c r="B60" s="20" t="s">
        <v>1035</v>
      </c>
      <c r="C60" s="24"/>
      <c r="E60" s="25" t="s">
        <v>1036</v>
      </c>
      <c r="F60" s="25"/>
      <c r="G60" s="26" t="n">
        <f aca="false">IF(ISBLANK(C60),IF(Fill_Example="Yes",F60,""),IF(ISNUMBER(MATCH(C60,{"Own full","Own partial","Qualified adult increase","None","Not sure"},0)),C60,""))</f>
        <v>0</v>
      </c>
      <c r="H60" s="26" t="n">
        <f aca="false">IF(G60="",0,1)</f>
        <v>0</v>
      </c>
    </row>
    <row r="61" customFormat="false" ht="15" hidden="false" customHeight="true" outlineLevel="0" collapsed="false">
      <c r="B61" s="20" t="s">
        <v>1037</v>
      </c>
      <c r="C61" s="24"/>
      <c r="E61" s="25" t="s">
        <v>1038</v>
      </c>
      <c r="F61" s="25" t="s">
        <v>3</v>
      </c>
      <c r="G61" s="26" t="str">
        <f aca="false">IF(ISBLANK(C61),IF(Fill_Example="Yes",F61,""),IF(ISNUMBER(MATCH(C61,{"Yes","No","Not sure"},0)),C61,""))</f>
        <v>Yes</v>
      </c>
      <c r="H61" s="26" t="n">
        <f aca="false">IF(G61="",0,1)</f>
        <v>1</v>
      </c>
    </row>
    <row r="62" customFormat="false" ht="15" hidden="false" customHeight="true" outlineLevel="0" collapsed="false">
      <c r="B62" s="20" t="s">
        <v>1039</v>
      </c>
      <c r="C62" s="24"/>
      <c r="E62" s="25" t="s">
        <v>1040</v>
      </c>
      <c r="F62" s="25" t="s">
        <v>450</v>
      </c>
      <c r="G62" s="26" t="str">
        <f aca="false">IF(ISBLANK(C62),IF(Fill_Example="Yes",F62,""),IF(ISNUMBER(MATCH(C62,{"Yes","No","Not sure"},0)),C62,""))</f>
        <v>No</v>
      </c>
      <c r="H62" s="26" t="n">
        <f aca="false">IF(G62="",0,1)</f>
        <v>1</v>
      </c>
    </row>
    <row r="63" customFormat="false" ht="15" hidden="false" customHeight="true" outlineLevel="0" collapsed="false">
      <c r="B63" s="20" t="s">
        <v>1041</v>
      </c>
      <c r="C63" s="24"/>
      <c r="E63" s="25" t="s">
        <v>1042</v>
      </c>
      <c r="F63" s="25" t="s">
        <v>1043</v>
      </c>
      <c r="G63" s="26" t="str">
        <f aca="false">IF(ISBLANK(C63),IF(Fill_Example="Yes",F63,""),IF(ISNUMBER(MATCH(C63,{"Yes","No","Not sure"},0)),C63,""))</f>
        <v>Not sure</v>
      </c>
      <c r="H63" s="26" t="n">
        <f aca="false">IF(G63="",0,1)</f>
        <v>1</v>
      </c>
    </row>
    <row r="64" customFormat="false" ht="15" hidden="false" customHeight="true" outlineLevel="0" collapsed="false">
      <c r="B64" s="20" t="s">
        <v>1044</v>
      </c>
      <c r="C64" s="24"/>
      <c r="E64" s="25" t="s">
        <v>1045</v>
      </c>
      <c r="F64" s="25" t="s">
        <v>3</v>
      </c>
      <c r="G64" s="26" t="str">
        <f aca="false">IF(ISBLANK(C64),IF(Fill_Example="Yes",F64,""),IF(ISNUMBER(MATCH(C64,{"Yes","No","Not sure"},0)),C64,""))</f>
        <v>Yes</v>
      </c>
      <c r="H64" s="26" t="n">
        <f aca="false">IF(G64="",0,1)</f>
        <v>1</v>
      </c>
    </row>
    <row r="65" customFormat="false" ht="15" hidden="false" customHeight="true" outlineLevel="0" collapsed="false">
      <c r="B65" s="20" t="s">
        <v>1046</v>
      </c>
      <c r="C65" s="24"/>
      <c r="E65" s="25" t="s">
        <v>1047</v>
      </c>
      <c r="F65" s="25" t="s">
        <v>3</v>
      </c>
      <c r="G65" s="26" t="str">
        <f aca="false">IF(ISBLANK(C65),IF(Fill_Example="Yes",F65,""),IF(ISNUMBER(MATCH(C65,{"Yes","No","Not sure"},0)),C65,""))</f>
        <v>Yes</v>
      </c>
      <c r="H65" s="26" t="n">
        <f aca="false">IF(G65="",0,1)</f>
        <v>1</v>
      </c>
    </row>
    <row r="67" customFormat="false" ht="15" hidden="false" customHeight="true" outlineLevel="0" collapsed="false">
      <c r="B67" s="23" t="s">
        <v>1048</v>
      </c>
      <c r="C67" s="23" t="s">
        <v>912</v>
      </c>
      <c r="D67" s="23" t="s">
        <v>913</v>
      </c>
      <c r="E67" s="23" t="s">
        <v>914</v>
      </c>
      <c r="F67" s="23" t="s">
        <v>915</v>
      </c>
      <c r="G67" s="23" t="s">
        <v>916</v>
      </c>
      <c r="H67" s="23" t="s">
        <v>917</v>
      </c>
    </row>
    <row r="68" customFormat="false" ht="15" hidden="false" customHeight="true" outlineLevel="0" collapsed="false">
      <c r="B68" s="20" t="s">
        <v>1049</v>
      </c>
      <c r="C68" s="24"/>
      <c r="E68" s="25" t="s">
        <v>1050</v>
      </c>
      <c r="F68" s="25"/>
      <c r="G68" s="26" t="n">
        <f aca="false">IF(ISBLANK(C68),IF(Fill_Example="Yes",F68,""),IF(ISNUMBER(MATCH(C68,{"Yes","No"},0)),C68,""))</f>
        <v>0</v>
      </c>
      <c r="H68" s="26" t="n">
        <f aca="false">IF(G68="",0,1)</f>
        <v>0</v>
      </c>
    </row>
    <row r="69" customFormat="false" ht="15" hidden="false" customHeight="true" outlineLevel="0" collapsed="false">
      <c r="B69" s="20" t="s">
        <v>1051</v>
      </c>
      <c r="C69" s="24"/>
      <c r="E69" s="25" t="s">
        <v>1052</v>
      </c>
      <c r="F69" s="25"/>
      <c r="G69" s="26" t="n">
        <f aca="false">IF(ISBLANK(C69),IF(Fill_Example="Yes",F69,""),IF(TRUE(),C69,""))</f>
        <v>0</v>
      </c>
      <c r="H69" s="26" t="n">
        <f aca="false">IF(G69="",0,1)</f>
        <v>0</v>
      </c>
    </row>
    <row r="70" customFormat="false" ht="15" hidden="false" customHeight="true" outlineLevel="0" collapsed="false">
      <c r="B70" s="20" t="s">
        <v>1053</v>
      </c>
      <c r="C70" s="24"/>
      <c r="E70" s="25" t="s">
        <v>1054</v>
      </c>
      <c r="F70" s="25"/>
      <c r="G70" s="26" t="n">
        <f aca="false">IF(ISBLANK(C70),IF(Fill_Example="Yes",F70,""),IF(ISNUMBER(MATCH(C70,{"Yes","No"},0)),C70,""))</f>
        <v>0</v>
      </c>
      <c r="H70" s="26" t="n">
        <f aca="false">IF(G70="",0,1)</f>
        <v>0</v>
      </c>
    </row>
    <row r="71" customFormat="false" ht="15" hidden="false" customHeight="true" outlineLevel="0" collapsed="false">
      <c r="B71" s="20" t="s">
        <v>1055</v>
      </c>
      <c r="C71" s="24"/>
      <c r="E71" s="25" t="s">
        <v>1056</v>
      </c>
      <c r="F71" s="25"/>
      <c r="G71" s="26" t="n">
        <f aca="false">IF(ISBLANK(C71),IF(Fill_Example="Yes",F71,""),IF(ISNUMBER(MATCH(C71,{"Yes","No"},0)),C71,""))</f>
        <v>0</v>
      </c>
      <c r="H71" s="26" t="n">
        <f aca="false">IF(G71="",0,1)</f>
        <v>0</v>
      </c>
    </row>
    <row r="72" customFormat="false" ht="15" hidden="false" customHeight="true" outlineLevel="0" collapsed="false">
      <c r="B72" s="20" t="s">
        <v>1057</v>
      </c>
      <c r="C72" s="24"/>
      <c r="E72" s="25" t="s">
        <v>1058</v>
      </c>
      <c r="F72" s="25"/>
      <c r="G72" s="26" t="n">
        <f aca="false">IF(ISBLANK(C72),IF(Fill_Example="Yes",F72,""),IF(ISNUMBER(MATCH(C72,{"Yes","No"},0)),C72,""))</f>
        <v>0</v>
      </c>
      <c r="H72" s="26" t="n">
        <f aca="false">IF(G72="",0,1)</f>
        <v>0</v>
      </c>
    </row>
    <row r="73" customFormat="false" ht="15" hidden="false" customHeight="true" outlineLevel="0" collapsed="false">
      <c r="B73" s="20" t="s">
        <v>1059</v>
      </c>
      <c r="C73" s="24"/>
      <c r="E73" s="25" t="s">
        <v>1060</v>
      </c>
      <c r="F73" s="25"/>
      <c r="G73" s="26" t="n">
        <f aca="false">IF(ISBLANK(C73),IF(Fill_Example="Yes",F73,""),IF(ISNUMBER(MATCH(C73,{"Yes","No"},0)),C73,""))</f>
        <v>0</v>
      </c>
      <c r="H73" s="26" t="n">
        <f aca="false">IF(G73="",0,1)</f>
        <v>0</v>
      </c>
    </row>
    <row r="74" customFormat="false" ht="15" hidden="false" customHeight="true" outlineLevel="0" collapsed="false">
      <c r="B74" s="20" t="s">
        <v>1061</v>
      </c>
      <c r="C74" s="24"/>
      <c r="E74" s="25" t="s">
        <v>1062</v>
      </c>
      <c r="F74" s="25"/>
      <c r="G74" s="26" t="n">
        <f aca="false">IF(ISBLANK(C74),IF(Fill_Example="Yes",F74,""),IF(ISNUMBER(MATCH(C74,{"Yes","No"},0)),C74,""))</f>
        <v>0</v>
      </c>
      <c r="H74" s="26" t="n">
        <f aca="false">IF(G74="",0,1)</f>
        <v>0</v>
      </c>
    </row>
    <row r="75" customFormat="false" ht="15" hidden="false" customHeight="true" outlineLevel="0" collapsed="false">
      <c r="B75" s="20" t="s">
        <v>1063</v>
      </c>
      <c r="C75" s="24"/>
      <c r="E75" s="25" t="s">
        <v>1064</v>
      </c>
      <c r="F75" s="25"/>
      <c r="G75" s="26" t="n">
        <f aca="false">IF(ISBLANK(C75),IF(Fill_Example="Yes",F75,""),IF(ISNUMBER(MATCH(C75,{"Yes","No"},0)),C75,""))</f>
        <v>0</v>
      </c>
      <c r="H75" s="26" t="n">
        <f aca="false">IF(G75="",0,1)</f>
        <v>0</v>
      </c>
    </row>
    <row r="76" customFormat="false" ht="15" hidden="false" customHeight="true" outlineLevel="0" collapsed="false">
      <c r="B76" s="20" t="s">
        <v>1065</v>
      </c>
      <c r="C76" s="24"/>
      <c r="E76" s="25" t="s">
        <v>1066</v>
      </c>
      <c r="F76" s="25"/>
      <c r="G76" s="26" t="n">
        <f aca="false">IF(ISBLANK(C76),IF(Fill_Example="Yes",F76,""),IF(ISNUMBER(MATCH(C76,{"Yes","No"},0)),C76,""))</f>
        <v>0</v>
      </c>
      <c r="H76" s="26" t="n">
        <f aca="false">IF(G76="",0,1)</f>
        <v>0</v>
      </c>
    </row>
    <row r="77" customFormat="false" ht="15" hidden="false" customHeight="true" outlineLevel="0" collapsed="false">
      <c r="B77" s="20" t="s">
        <v>1067</v>
      </c>
      <c r="C77" s="24"/>
      <c r="E77" s="25" t="s">
        <v>1068</v>
      </c>
      <c r="F77" s="25"/>
      <c r="G77" s="26" t="n">
        <f aca="false">IF(ISBLANK(C77),IF(Fill_Example="Yes",F77,""),IF(ISNUMBER(MATCH(C77,{"Yes","No"},0)),C77,""))</f>
        <v>0</v>
      </c>
      <c r="H77" s="26" t="n">
        <f aca="false">IF(G77="",0,1)</f>
        <v>0</v>
      </c>
    </row>
    <row r="78" customFormat="false" ht="15" hidden="false" customHeight="true" outlineLevel="0" collapsed="false">
      <c r="B78" s="20" t="s">
        <v>1069</v>
      </c>
      <c r="C78" s="24"/>
      <c r="E78" s="25" t="s">
        <v>1070</v>
      </c>
      <c r="F78" s="25" t="s">
        <v>1071</v>
      </c>
      <c r="G78" s="26" t="str">
        <f aca="false">IF(ISBLANK(C78),IF(Fill_Example="Yes",F78,""),IF(TRUE(),C78,""))</f>
        <v>pension</v>
      </c>
      <c r="H78" s="26" t="n">
        <f aca="false">IF(G78="",0,1)</f>
        <v>1</v>
      </c>
    </row>
    <row r="79" customFormat="false" ht="15" hidden="false" customHeight="true" outlineLevel="0" collapsed="false">
      <c r="B79" s="20" t="s">
        <v>1072</v>
      </c>
      <c r="C79" s="24"/>
      <c r="E79" s="25" t="s">
        <v>1073</v>
      </c>
      <c r="F79" s="25"/>
      <c r="G79" s="26" t="n">
        <f aca="false">IF(ISBLANK(C79),IF(Fill_Example="Yes",F79,""),IF(TRUE(),C79,""))</f>
        <v>0</v>
      </c>
      <c r="H79" s="26" t="n">
        <f aca="false">IF(G79="",0,1)</f>
        <v>0</v>
      </c>
    </row>
    <row r="81" customFormat="false" ht="15" hidden="false" customHeight="true" outlineLevel="0" collapsed="false">
      <c r="B81" s="23" t="s">
        <v>1074</v>
      </c>
      <c r="C81" s="23" t="s">
        <v>912</v>
      </c>
      <c r="D81" s="23" t="s">
        <v>913</v>
      </c>
      <c r="E81" s="23" t="s">
        <v>914</v>
      </c>
      <c r="F81" s="23" t="s">
        <v>915</v>
      </c>
      <c r="G81" s="23" t="s">
        <v>916</v>
      </c>
      <c r="H81" s="23" t="s">
        <v>917</v>
      </c>
    </row>
    <row r="82" customFormat="false" ht="15" hidden="false" customHeight="true" outlineLevel="0" collapsed="false">
      <c r="B82" s="20" t="s">
        <v>1075</v>
      </c>
      <c r="C82" s="24"/>
      <c r="D82" s="20" t="s">
        <v>937</v>
      </c>
      <c r="E82" s="25" t="s">
        <v>1076</v>
      </c>
      <c r="F82" s="29" t="n">
        <f aca="false">Set_inv</f>
        <v>0.026</v>
      </c>
      <c r="G82" s="30" t="n">
        <f aca="false">IF(ISBLANK(C82),IF(AND(Fill_Example="Yes",F82&lt;&gt;""),F82,""),IF(IF(ISNUMBER(C82),AND(C82&gt;=0,C82&lt;=0.07),FALSE()),C82,""))</f>
        <v>0.026</v>
      </c>
      <c r="H82" s="26" t="n">
        <f aca="false">IF(G82="",0,1)</f>
        <v>1</v>
      </c>
    </row>
    <row r="83" customFormat="false" ht="15" hidden="false" customHeight="true" outlineLevel="0" collapsed="false">
      <c r="B83" s="20" t="s">
        <v>1077</v>
      </c>
      <c r="C83" s="24"/>
      <c r="D83" s="20" t="s">
        <v>937</v>
      </c>
      <c r="E83" s="25" t="s">
        <v>1078</v>
      </c>
      <c r="F83" s="29" t="n">
        <f aca="false">Set_cash</f>
        <v>0.01</v>
      </c>
      <c r="G83" s="30" t="n">
        <f aca="false">IF(ISBLANK(C83),IF(AND(Fill_Example="Yes",F83&lt;&gt;""),F83,""),IF(IF(ISNUMBER(C83),AND(C83&gt;=0,C83&lt;=0.04),FALSE()),C83,""))</f>
        <v>0.01</v>
      </c>
      <c r="H83" s="26" t="n">
        <f aca="false">IF(G83="",0,1)</f>
        <v>1</v>
      </c>
    </row>
    <row r="84" customFormat="false" ht="15" hidden="false" customHeight="true" outlineLevel="0" collapsed="false">
      <c r="B84" s="20" t="s">
        <v>1079</v>
      </c>
      <c r="C84" s="24"/>
      <c r="D84" s="20" t="s">
        <v>937</v>
      </c>
      <c r="E84" s="25" t="s">
        <v>1080</v>
      </c>
      <c r="F84" s="29" t="n">
        <f aca="false">Set_pen</f>
        <v>0.045</v>
      </c>
      <c r="G84" s="30" t="n">
        <f aca="false">IF(ISBLANK(C84),IF(AND(Fill_Example="Yes",F84&lt;&gt;""),F84,""),IF(IF(ISNUMBER(C84),AND(C84&gt;=0,C84&lt;=0.07),FALSE()),C84,""))</f>
        <v>0.045</v>
      </c>
      <c r="H84" s="26" t="n">
        <f aca="false">IF(G84="",0,1)</f>
        <v>1</v>
      </c>
    </row>
    <row r="85" customFormat="false" ht="15" hidden="false" customHeight="true" outlineLevel="0" collapsed="false">
      <c r="B85" s="20" t="s">
        <v>1081</v>
      </c>
      <c r="C85" s="24"/>
      <c r="D85" s="20" t="s">
        <v>937</v>
      </c>
      <c r="E85" s="25" t="s">
        <v>1082</v>
      </c>
      <c r="F85" s="29" t="n">
        <f aca="false">Set_penRet</f>
        <v>0.0315</v>
      </c>
      <c r="G85" s="30" t="n">
        <f aca="false">IF(ISBLANK(C85),IF(AND(Fill_Example="Yes",F85&lt;&gt;""),F85,""),IF(IF(ISNUMBER(C85),AND(C85&gt;=0,C85&lt;=0.07),FALSE()),C85,""))</f>
        <v>0.0315</v>
      </c>
      <c r="H85" s="26" t="n">
        <f aca="false">IF(G85="",0,1)</f>
        <v>1</v>
      </c>
    </row>
    <row r="86" customFormat="false" ht="15" hidden="false" customHeight="true" outlineLevel="0" collapsed="false">
      <c r="B86" s="20" t="s">
        <v>1083</v>
      </c>
      <c r="C86" s="24"/>
      <c r="D86" s="20" t="s">
        <v>937</v>
      </c>
      <c r="E86" s="25" t="s">
        <v>1084</v>
      </c>
      <c r="F86" s="29" t="n">
        <f aca="false">Set_wage</f>
        <v>0.03</v>
      </c>
      <c r="G86" s="30" t="n">
        <f aca="false">IF(ISBLANK(C86),IF(AND(Fill_Example="Yes",F86&lt;&gt;""),F86,""),IF(IF(ISNUMBER(C86),AND(C86&gt;=0,C86&lt;=0.06),FALSE()),C86,""))</f>
        <v>0.03</v>
      </c>
      <c r="H86" s="26" t="n">
        <f aca="false">IF(G86="",0,1)</f>
        <v>1</v>
      </c>
    </row>
    <row r="87" customFormat="false" ht="15" hidden="false" customHeight="true" outlineLevel="0" collapsed="false">
      <c r="B87" s="20" t="s">
        <v>1085</v>
      </c>
      <c r="C87" s="24"/>
      <c r="E87" s="25" t="s">
        <v>1086</v>
      </c>
      <c r="F87" s="25" t="str">
        <f aca="false">Set_bands</f>
        <v>prices</v>
      </c>
      <c r="G87" s="26" t="str">
        <f aca="false">IF(ISBLANK(C87),IF(AND(Fill_Example="Yes",F87&lt;&gt;""),F87,""),IF(ISNUMBER(MATCH(C87,{"prices","flat"},0)),C87,""))</f>
        <v>prices</v>
      </c>
      <c r="H87" s="26" t="n">
        <f aca="false">IF(G87="",0,1)</f>
        <v>1</v>
      </c>
    </row>
    <row r="88" customFormat="false" ht="15" hidden="false" customHeight="true" outlineLevel="0" collapsed="false">
      <c r="B88" s="20" t="s">
        <v>1087</v>
      </c>
      <c r="C88" s="24"/>
      <c r="E88" s="25" t="s">
        <v>1088</v>
      </c>
      <c r="F88" s="25" t="str">
        <f aca="false">Set_spGrow</f>
        <v>prices</v>
      </c>
      <c r="G88" s="26" t="str">
        <f aca="false">IF(ISBLANK(C88),IF(AND(Fill_Example="Yes",F88&lt;&gt;""),F88,""),IF(ISNUMBER(MATCH(C88,{"prices","pay","flat"},0)),C88,""))</f>
        <v>prices</v>
      </c>
      <c r="H88" s="26" t="n">
        <f aca="false">IF(G88="",0,1)</f>
        <v>1</v>
      </c>
    </row>
    <row r="89" customFormat="false" ht="15" hidden="false" customHeight="true" outlineLevel="0" collapsed="false">
      <c r="B89" s="20" t="s">
        <v>1089</v>
      </c>
      <c r="C89" s="24"/>
      <c r="D89" s="20" t="s">
        <v>937</v>
      </c>
      <c r="E89" s="25" t="s">
        <v>1090</v>
      </c>
      <c r="F89" s="29" t="n">
        <f aca="false">IF(In_work="Self-employed",1,Set_ownShare)</f>
        <v>0.5</v>
      </c>
      <c r="G89" s="30" t="n">
        <f aca="false">IF(ISBLANK(C89),IF(AND(Fill_Example="Yes",F89&lt;&gt;""),F89,""),IF(IF(ISNUMBER(C89),AND(C89&gt;=0,C89&lt;=1),FALSE()),C89,""))</f>
        <v>0.5</v>
      </c>
      <c r="H89" s="26" t="n">
        <f aca="false">IF(G89="",0,1)</f>
        <v>1</v>
      </c>
    </row>
    <row r="90" customFormat="false" ht="15" hidden="false" customHeight="true" outlineLevel="0" collapsed="false">
      <c r="B90" s="20" t="s">
        <v>1091</v>
      </c>
      <c r="C90" s="24"/>
      <c r="D90" s="20" t="s">
        <v>932</v>
      </c>
      <c r="E90" s="25" t="s">
        <v>1092</v>
      </c>
      <c r="F90" s="25" t="n">
        <f aca="false">Set_accessAge</f>
        <v>60</v>
      </c>
      <c r="G90" s="26" t="n">
        <f aca="false">IF(ISBLANK(C90),IF(AND(Fill_Example="Yes",F90&lt;&gt;""),F90,""),IF(ISNUMBER(MATCH(C90,{50,60},0)),C90,""))</f>
        <v>60</v>
      </c>
      <c r="H90" s="26" t="n">
        <f aca="false">IF(G90="",0,1)</f>
        <v>1</v>
      </c>
    </row>
    <row r="91" customFormat="false" ht="15" hidden="false" customHeight="true" outlineLevel="0" collapsed="false">
      <c r="B91" s="20" t="s">
        <v>1093</v>
      </c>
      <c r="C91" s="24"/>
      <c r="D91" s="20" t="s">
        <v>937</v>
      </c>
      <c r="E91" s="25" t="s">
        <v>1094</v>
      </c>
      <c r="F91" s="29" t="n">
        <f aca="false">Set_retireSpend</f>
        <v>0.8</v>
      </c>
      <c r="G91" s="30" t="n">
        <f aca="false">IF(ISBLANK(C91),IF(AND(Fill_Example="Yes",F91&lt;&gt;""),F91,""),IF(IF(ISNUMBER(C91),AND(C91&gt;=0.5,C91&lt;=1.2),FALSE()),C91,""))</f>
        <v>0.8</v>
      </c>
      <c r="H91" s="26" t="n">
        <f aca="false">IF(G91="",0,1)</f>
        <v>1</v>
      </c>
    </row>
    <row r="92" customFormat="false" ht="15" hidden="false" customHeight="true" outlineLevel="0" collapsed="false">
      <c r="B92" s="20" t="s">
        <v>1095</v>
      </c>
      <c r="C92" s="24"/>
      <c r="D92" s="20" t="s">
        <v>937</v>
      </c>
      <c r="E92" s="25" t="s">
        <v>1096</v>
      </c>
      <c r="F92" s="29" t="n">
        <f aca="false">Set_lumpSum</f>
        <v>0.25</v>
      </c>
      <c r="G92" s="30" t="n">
        <f aca="false">IF(ISBLANK(C92),IF(AND(Fill_Example="Yes",F92&lt;&gt;""),F92,""),IF(IF(ISNUMBER(C92),AND(C92&gt;=0,C92&lt;=0.25),FALSE()),C92,""))</f>
        <v>0.25</v>
      </c>
      <c r="H92" s="26" t="n">
        <f aca="false">IF(G92="",0,1)</f>
        <v>1</v>
      </c>
    </row>
    <row r="93" customFormat="false" ht="15" hidden="false" customHeight="true" outlineLevel="0" collapsed="false">
      <c r="B93" s="20" t="s">
        <v>1097</v>
      </c>
      <c r="C93" s="24"/>
      <c r="E93" s="25" t="s">
        <v>1098</v>
      </c>
      <c r="F93" s="25" t="str">
        <f aca="false">Set_drawRule</f>
        <v>spread</v>
      </c>
      <c r="G93" s="26" t="str">
        <f aca="false">IF(ISBLANK(C93),IF(AND(Fill_Example="Yes",F93&lt;&gt;""),F93,""),IF(ISNUMBER(MATCH(C93,{"spread","min","fixed"},0)),C93,""))</f>
        <v>spread</v>
      </c>
      <c r="H93" s="26" t="n">
        <f aca="false">IF(G93="",0,1)</f>
        <v>1</v>
      </c>
    </row>
    <row r="94" customFormat="false" ht="15" hidden="false" customHeight="true" outlineLevel="0" collapsed="false">
      <c r="B94" s="20" t="s">
        <v>1099</v>
      </c>
      <c r="C94" s="24"/>
      <c r="D94" s="20" t="s">
        <v>964</v>
      </c>
      <c r="E94" s="25" t="s">
        <v>1100</v>
      </c>
      <c r="F94" s="25"/>
      <c r="G94" s="26" t="str">
        <f aca="false">IF(ISBLANK(C94),IF(AND(Fill_Example="Yes",F94&lt;&gt;""),F94,""),IF(IF(ISNUMBER(C94),AND(C94&gt;=0,C94&lt;=200000),FALSE()),C94,""))</f>
        <v/>
      </c>
      <c r="H94" s="26" t="n">
        <f aca="false">IF(G94="",0,1)</f>
        <v>0</v>
      </c>
    </row>
    <row r="95" customFormat="false" ht="15" hidden="false" customHeight="true" outlineLevel="0" collapsed="false">
      <c r="B95" s="20" t="s">
        <v>1101</v>
      </c>
      <c r="C95" s="24"/>
      <c r="D95" s="20" t="s">
        <v>1102</v>
      </c>
      <c r="E95" s="25" t="s">
        <v>1103</v>
      </c>
      <c r="F95" s="25" t="n">
        <f aca="false">IF(AS_TwoSecure=1,Set_safetyMonthsTwo,Set_safetyMonths)</f>
        <v>3</v>
      </c>
      <c r="G95" s="26" t="n">
        <f aca="false">IF(ISBLANK(C95),IF(AND(Fill_Example="Yes",F95&lt;&gt;""),F95,""),IF(IF(ISNUMBER(C95),AND(C95&gt;=1,C95&lt;=12,C95=INT(C95)),FALSE()),C95,""))</f>
        <v>3</v>
      </c>
      <c r="H95" s="26" t="n">
        <f aca="false">IF(G95="",0,1)</f>
        <v>1</v>
      </c>
    </row>
    <row r="96" customFormat="false" ht="15" hidden="false" customHeight="true" outlineLevel="0" collapsed="false">
      <c r="B96" s="20" t="s">
        <v>1104</v>
      </c>
      <c r="C96" s="24"/>
      <c r="D96" s="20" t="s">
        <v>1002</v>
      </c>
      <c r="E96" s="25" t="s">
        <v>1105</v>
      </c>
      <c r="F96" s="25" t="n">
        <f aca="false">Set_cashYears</f>
        <v>5</v>
      </c>
      <c r="G96" s="26" t="n">
        <f aca="false">IF(ISBLANK(C96),IF(AND(Fill_Example="Yes",F96&lt;&gt;""),F96,""),IF(IF(ISNUMBER(C96),AND(C96&gt;=1,C96&lt;=10,C96=INT(C96)),FALSE()),C96,""))</f>
        <v>5</v>
      </c>
      <c r="H96" s="26" t="n">
        <f aca="false">IF(G96="",0,1)</f>
        <v>1</v>
      </c>
    </row>
    <row r="97" customFormat="false" ht="15" hidden="false" customHeight="true" outlineLevel="0" collapsed="false">
      <c r="B97" s="20" t="s">
        <v>1106</v>
      </c>
      <c r="C97" s="24"/>
      <c r="D97" s="20" t="s">
        <v>937</v>
      </c>
      <c r="E97" s="25" t="s">
        <v>1107</v>
      </c>
      <c r="F97" s="29" t="n">
        <f aca="false">Set_investShare</f>
        <v>0.4</v>
      </c>
      <c r="G97" s="30" t="n">
        <f aca="false">IF(ISBLANK(C97),IF(AND(Fill_Example="Yes",F97&lt;&gt;""),F97,""),IF(IF(ISNUMBER(C97),AND(C97&gt;=0,C97&lt;=1),FALSE()),C97,""))</f>
        <v>0.4</v>
      </c>
      <c r="H97" s="26" t="n">
        <f aca="false">IF(G97="",0,1)</f>
        <v>1</v>
      </c>
    </row>
    <row r="98" customFormat="false" ht="15" hidden="false" customHeight="true" outlineLevel="0" collapsed="false">
      <c r="B98" s="20" t="s">
        <v>1108</v>
      </c>
      <c r="C98" s="24"/>
      <c r="D98" s="20" t="s">
        <v>937</v>
      </c>
      <c r="E98" s="25" t="s">
        <v>1109</v>
      </c>
      <c r="F98" s="29" t="n">
        <f aca="false">Set_saveShare</f>
        <v>0.5</v>
      </c>
      <c r="G98" s="30" t="n">
        <f aca="false">IF(ISBLANK(C98),IF(AND(Fill_Example="Yes",F98&lt;&gt;""),F98,""),IF(IF(ISNUMBER(C98),AND(C98&gt;=0,C98&lt;=1),FALSE()),C98,""))</f>
        <v>0.5</v>
      </c>
      <c r="H98" s="26" t="n">
        <f aca="false">IF(G98="",0,1)</f>
        <v>1</v>
      </c>
    </row>
    <row r="99" customFormat="false" ht="15" hidden="false" customHeight="true" outlineLevel="0" collapsed="false">
      <c r="B99" s="20" t="s">
        <v>1110</v>
      </c>
      <c r="C99" s="24"/>
      <c r="D99" s="20" t="s">
        <v>945</v>
      </c>
      <c r="E99" s="25" t="s">
        <v>1111</v>
      </c>
      <c r="F99" s="31" t="n">
        <f aca="false">Set_noAnswer</f>
        <v>300</v>
      </c>
      <c r="G99" s="32" t="n">
        <f aca="false">IF(ISBLANK(C99),IF(AND(Fill_Example="Yes",F99&lt;&gt;""),F99,""),IF(IF(ISNUMBER(C99),AND(C99&gt;=0,C99&lt;=5000),FALSE()),C99,""))</f>
        <v>300</v>
      </c>
      <c r="H99" s="26" t="n">
        <f aca="false">IF(G99="",0,1)</f>
        <v>1</v>
      </c>
    </row>
    <row r="100" customFormat="false" ht="15" hidden="false" customHeight="true" outlineLevel="0" collapsed="false">
      <c r="B100" s="20" t="s">
        <v>1112</v>
      </c>
      <c r="C100" s="24"/>
      <c r="D100" s="20" t="s">
        <v>932</v>
      </c>
      <c r="E100" s="25" t="s">
        <v>1113</v>
      </c>
      <c r="F100" s="25" t="n">
        <v>95</v>
      </c>
      <c r="G100" s="26" t="n">
        <f aca="false">IF(ISBLANK(C100),IF(AND(Fill_Example="Yes",F100&lt;&gt;""),F100,""),IF(IF(ISNUMBER(C100),AND(C100&gt;=50,C100&lt;=100,C100=INT(C100)),FALSE()),C100,""))</f>
        <v>95</v>
      </c>
      <c r="H100" s="26" t="n">
        <f aca="false">IF(G100="",0,1)</f>
        <v>1</v>
      </c>
    </row>
    <row r="101" customFormat="false" ht="15" hidden="false" customHeight="true" outlineLevel="0" collapsed="false">
      <c r="B101" s="20" t="s">
        <v>1114</v>
      </c>
      <c r="C101" s="24"/>
      <c r="D101" s="20" t="s">
        <v>1115</v>
      </c>
      <c r="E101" s="25" t="s">
        <v>1116</v>
      </c>
      <c r="F101" s="25" t="n">
        <f aca="true">IF(TODAY()&gt;PR_StartSwitch,Rules_Year_Next,Rules_Year)</f>
        <v>2027</v>
      </c>
      <c r="G101" s="26" t="n">
        <f aca="false">IF(ISBLANK(C101),IF(AND(Fill_Example="Yes",F101&lt;&gt;""),F101,""),IF(OR(C101=Rules_Year,C101=Rules_Year_Next),C101,""))</f>
        <v>2027</v>
      </c>
      <c r="H101" s="26" t="n">
        <f aca="false">IF(G101="",0,1)</f>
        <v>1</v>
      </c>
    </row>
    <row r="102" customFormat="false" ht="15" hidden="false" customHeight="true" outlineLevel="0" collapsed="false">
      <c r="B102" s="20" t="s">
        <v>1117</v>
      </c>
      <c r="C102" s="24"/>
      <c r="D102" s="20" t="s">
        <v>937</v>
      </c>
      <c r="E102" s="25" t="s">
        <v>1118</v>
      </c>
      <c r="F102" s="25" t="n">
        <v>0.0375</v>
      </c>
      <c r="G102" s="26" t="n">
        <f aca="false">IF(ISBLANK(C102),IF(AND(Fill_Example="Yes",F102&lt;&gt;""),F102,""),IF(IF(ISNUMBER(C102),AND(C102&gt;=0.01,C102&lt;=0.08),FALSE()),C102,""))</f>
        <v>0.0375</v>
      </c>
      <c r="H102" s="26" t="n">
        <f aca="false">IF(G102="",0,1)</f>
        <v>1</v>
      </c>
    </row>
    <row r="103" customFormat="false" ht="15" hidden="false" customHeight="true" outlineLevel="0" collapsed="false">
      <c r="B103" s="20" t="s">
        <v>1119</v>
      </c>
      <c r="C103" s="24"/>
      <c r="D103" s="20" t="s">
        <v>937</v>
      </c>
      <c r="E103" s="25" t="s">
        <v>1120</v>
      </c>
      <c r="F103" s="25" t="n">
        <v>0.2</v>
      </c>
      <c r="G103" s="26" t="n">
        <f aca="false">IF(ISBLANK(C103),IF(AND(Fill_Example="Yes",F103&lt;&gt;""),F103,""),IF(IF(ISNUMBER(C103),AND(C103&gt;=0,C103&lt;=0.35),FALSE()),C103,""))</f>
        <v>0.2</v>
      </c>
      <c r="H103" s="26" t="n">
        <f aca="false">IF(G103="",0,1)</f>
        <v>1</v>
      </c>
    </row>
    <row r="104" customFormat="false" ht="15" hidden="false" customHeight="true" outlineLevel="0" collapsed="false">
      <c r="B104" s="20" t="s">
        <v>1121</v>
      </c>
      <c r="C104" s="24"/>
      <c r="D104" s="20" t="s">
        <v>937</v>
      </c>
      <c r="E104" s="25" t="s">
        <v>1122</v>
      </c>
      <c r="F104" s="25" t="n">
        <v>0.08</v>
      </c>
      <c r="G104" s="26" t="n">
        <f aca="false">IF(ISBLANK(C104),IF(AND(Fill_Example="Yes",F104&lt;&gt;""),F104,""),IF(IF(ISNUMBER(C104),AND(C104&gt;=0,C104&lt;=0.25),FALSE()),C104,""))</f>
        <v>0.08</v>
      </c>
      <c r="H104" s="26" t="n">
        <f aca="false">IF(G104="",0,1)</f>
        <v>1</v>
      </c>
    </row>
    <row r="105" customFormat="false" ht="15" hidden="false" customHeight="true" outlineLevel="0" collapsed="false">
      <c r="B105" s="20" t="s">
        <v>1123</v>
      </c>
      <c r="C105" s="24"/>
      <c r="D105" s="20" t="s">
        <v>1124</v>
      </c>
      <c r="E105" s="25" t="s">
        <v>1125</v>
      </c>
      <c r="F105" s="25"/>
      <c r="G105" s="26" t="str">
        <f aca="false">IF(ISBLANK(C105),IF(AND(Fill_Example="Yes",F105&lt;&gt;""),F105,""),IF(IF(ISNUMBER(C105),AND(C105&gt;=0,C105&lt;=299.3),FALSE()),C105,""))</f>
        <v/>
      </c>
      <c r="H105" s="26" t="n">
        <f aca="false">IF(G105="",0,1)</f>
        <v>0</v>
      </c>
    </row>
    <row r="106" customFormat="false" ht="15" hidden="false" customHeight="true" outlineLevel="0" collapsed="false">
      <c r="B106" s="20" t="s">
        <v>1126</v>
      </c>
      <c r="C106" s="24"/>
      <c r="D106" s="20" t="s">
        <v>1124</v>
      </c>
      <c r="E106" s="25" t="s">
        <v>1127</v>
      </c>
      <c r="F106" s="25" t="n">
        <v>239.44</v>
      </c>
      <c r="G106" s="26" t="n">
        <f aca="false">IF(ISBLANK(C106),IF(AND(Fill_Example="Yes",F106&lt;&gt;""),F106,""),IF(IF(ISNUMBER(C106),AND(C106&gt;=0,C106&lt;=299.3),FALSE()),C106,""))</f>
        <v>239.44</v>
      </c>
      <c r="H106" s="26" t="n">
        <f aca="false">IF(G106="",0,1)</f>
        <v>1</v>
      </c>
    </row>
    <row r="107" customFormat="false" ht="15" hidden="false" customHeight="true" outlineLevel="0" collapsed="false">
      <c r="B107" s="20" t="s">
        <v>1128</v>
      </c>
      <c r="C107" s="24"/>
      <c r="D107" s="20" t="s">
        <v>1002</v>
      </c>
      <c r="E107" s="25" t="s">
        <v>1129</v>
      </c>
      <c r="F107" s="25"/>
      <c r="G107" s="26" t="str">
        <f aca="false">IF(ISBLANK(C107),IF(AND(Fill_Example="Yes",F107&lt;&gt;""),F107,""),IF(IF(ISNUMBER(C107),AND(C107&gt;=0,C107&lt;=45,C107=INT(C107)),FALSE()),C107,""))</f>
        <v/>
      </c>
      <c r="H107" s="26" t="n">
        <f aca="false">IF(G107="",0,1)</f>
        <v>0</v>
      </c>
    </row>
    <row r="108" customFormat="false" ht="15" hidden="false" customHeight="true" outlineLevel="0" collapsed="false">
      <c r="B108" s="20" t="s">
        <v>1130</v>
      </c>
      <c r="C108" s="24"/>
      <c r="D108" s="20" t="s">
        <v>937</v>
      </c>
      <c r="E108" s="25" t="s">
        <v>1131</v>
      </c>
      <c r="F108" s="25"/>
      <c r="G108" s="26" t="str">
        <f aca="false">IF(ISBLANK(C108),IF(AND(Fill_Example="Yes",F108&lt;&gt;""),F108,""),IF(IF(ISNUMBER(C108),AND(C108&gt;=0,C108&lt;=0.025),FALSE()),C108,""))</f>
        <v/>
      </c>
      <c r="H108" s="26" t="n">
        <f aca="false">IF(G108="",0,1)</f>
        <v>0</v>
      </c>
    </row>
    <row r="110" customFormat="false" ht="61.5" hidden="false" customHeight="true" outlineLevel="0" collapsed="false">
      <c r="B110" s="33" t="s">
        <v>1132</v>
      </c>
      <c r="C110" s="33" t="s">
        <v>1133</v>
      </c>
      <c r="D110" s="33" t="s">
        <v>1134</v>
      </c>
      <c r="E110" s="33" t="s">
        <v>1135</v>
      </c>
      <c r="F110" s="33" t="s">
        <v>1136</v>
      </c>
      <c r="G110" s="33" t="s">
        <v>1137</v>
      </c>
      <c r="H110" s="33" t="s">
        <v>1138</v>
      </c>
      <c r="I110" s="33" t="s">
        <v>1139</v>
      </c>
      <c r="J110" s="33" t="s">
        <v>1140</v>
      </c>
      <c r="N110" s="23" t="s">
        <v>1141</v>
      </c>
      <c r="O110" s="23" t="s">
        <v>1142</v>
      </c>
      <c r="P110" s="23" t="s">
        <v>1143</v>
      </c>
      <c r="Q110" s="23" t="s">
        <v>1144</v>
      </c>
      <c r="R110" s="23" t="s">
        <v>1145</v>
      </c>
      <c r="S110" s="23" t="s">
        <v>1146</v>
      </c>
      <c r="T110" s="23" t="s">
        <v>1147</v>
      </c>
      <c r="U110" s="23" t="s">
        <v>1148</v>
      </c>
    </row>
    <row r="111" customFormat="false" ht="15" hidden="false" customHeight="true" outlineLevel="0" collapsed="false">
      <c r="B111" s="20" t="s">
        <v>1149</v>
      </c>
      <c r="C111" s="24"/>
      <c r="D111" s="24"/>
      <c r="E111" s="24"/>
      <c r="F111" s="24"/>
      <c r="G111" s="24"/>
      <c r="H111" s="24"/>
      <c r="I111" s="24"/>
      <c r="J111" s="24"/>
      <c r="N111" s="26" t="str">
        <f aca="false">IF(ISBLANK(C111),IF(Fill_Example="Yes","edu",""),IF(ISNUMBER(MATCH(C111,Goal_Keys,0)),C111,""))</f>
        <v>edu</v>
      </c>
      <c r="O111" s="26" t="str">
        <f aca="false">IF(ISBLANK(D111),IFERROR(INDEX(Goal_Titles,MATCH(N111,Goal_Keys,0)),""),D111)</f>
        <v>Kids' education</v>
      </c>
      <c r="P111" s="26" t="n">
        <f aca="false">IF(ISBLANK(E111),IF(AND(ISBLANK(C111),Fill_Example="Yes"),48,MIN(PR_GoalMaxAge,In_age+IFERROR(INDEX(Goal_DefYrs,MATCH(N111,Goal_Keys,0)),0))),IF(IF(ISNUMBER(E111),AND(E111&gt;=0,E111&lt;=105,E111=INT(E111)),FALSE()),E111,MIN(PR_GoalMaxAge,In_age+IFERROR(INDEX(Goal_DefYrs,MATCH(N111,Goal_Keys,0)),0))))</f>
        <v>48</v>
      </c>
      <c r="Q111" s="26" t="n">
        <f aca="false">IF(ISBLANK(F111),IF(AND(ISBLANK(C111),Fill_Example="Yes"),50000,IFERROR(INDEX(Goal_DefAmt,MATCH(N111,Goal_Keys,0)),0)),IF(IF(ISNUMBER(F111),AND(F111&gt;=0,F111&lt;=100000000),FALSE()),F111,IFERROR(INDEX(Goal_DefAmt,MATCH(N111,Goal_Keys,0)),0)))</f>
        <v>50000</v>
      </c>
      <c r="R111" s="26" t="n">
        <f aca="false">IF(ISBLANK(G111),IF(AND(ISBLANK(C111),Fill_Example="Yes"),0,0),IF(IF(ISNUMBER(G111),AND(G111&gt;=0,G111&lt;=100000000),FALSE()),G111,0))</f>
        <v>0</v>
      </c>
      <c r="S111" s="26" t="str">
        <f aca="false">IF(ISBLANK(H111),IF(AND(ISBLANK(C111),Fill_Example="Yes"),"Must have","Must have"),IF(ISNUMBER(MATCH(H111,{"Must have","Nice to have"},0)),H111,"Must have"))</f>
        <v>Must have</v>
      </c>
      <c r="T111" s="26" t="str">
        <f aca="false">IF(ISBLANK(I111),"",IF(IF(ISNUMBER(I111),AND(I111&gt;=1,I111&lt;=22,I111=INT(I111)),FALSE()),I111,""))</f>
        <v/>
      </c>
      <c r="U111" s="26" t="str">
        <f aca="false">IF(ISBLANK(J111),IF(AND(ISBLANK(C111),Fill_Example="Yes"),"No","No"),IF(ISNUMBER(MATCH(J111,{"Yes","No"},0)),J111,"No"))</f>
        <v>No</v>
      </c>
    </row>
    <row r="112" customFormat="false" ht="15" hidden="false" customHeight="true" outlineLevel="0" collapsed="false">
      <c r="B112" s="20" t="s">
        <v>1150</v>
      </c>
      <c r="C112" s="24"/>
      <c r="D112" s="24"/>
      <c r="E112" s="24"/>
      <c r="F112" s="24"/>
      <c r="G112" s="24"/>
      <c r="H112" s="24"/>
      <c r="I112" s="24"/>
      <c r="J112" s="24"/>
      <c r="N112" s="26" t="str">
        <f aca="false">IF(ISBLANK(C112),IF(Fill_Example="Yes","travel",""),IF(ISNUMBER(MATCH(C112,Goal_Keys,0)),C112,""))</f>
        <v>travel</v>
      </c>
      <c r="O112" s="26" t="str">
        <f aca="false">IF(ISBLANK(D112),IFERROR(INDEX(Goal_Titles,MATCH(N112,Goal_Keys,0)),""),D112)</f>
        <v>Travel</v>
      </c>
      <c r="P112" s="26" t="n">
        <f aca="false">IF(ISBLANK(E112),IF(AND(ISBLANK(C112),Fill_Example="Yes"),41,MIN(PR_GoalMaxAge,In_age+IFERROR(INDEX(Goal_DefYrs,MATCH(N112,Goal_Keys,0)),0))),IF(IF(ISNUMBER(E112),AND(E112&gt;=0,E112&lt;=105,E112=INT(E112)),FALSE()),E112,MIN(PR_GoalMaxAge,In_age+IFERROR(INDEX(Goal_DefYrs,MATCH(N112,Goal_Keys,0)),0))))</f>
        <v>41</v>
      </c>
      <c r="Q112" s="26" t="n">
        <f aca="false">IF(ISBLANK(F112),IF(AND(ISBLANK(C112),Fill_Example="Yes"),12000,IFERROR(INDEX(Goal_DefAmt,MATCH(N112,Goal_Keys,0)),0)),IF(IF(ISNUMBER(F112),AND(F112&gt;=0,F112&lt;=100000000),FALSE()),F112,IFERROR(INDEX(Goal_DefAmt,MATCH(N112,Goal_Keys,0)),0)))</f>
        <v>12000</v>
      </c>
      <c r="R112" s="26" t="n">
        <f aca="false">IF(ISBLANK(G112),IF(AND(ISBLANK(C112),Fill_Example="Yes"),0,0),IF(IF(ISNUMBER(G112),AND(G112&gt;=0,G112&lt;=100000000),FALSE()),G112,0))</f>
        <v>0</v>
      </c>
      <c r="S112" s="26" t="str">
        <f aca="false">IF(ISBLANK(H112),IF(AND(ISBLANK(C112),Fill_Example="Yes"),"Must have","Must have"),IF(ISNUMBER(MATCH(H112,{"Must have","Nice to have"},0)),H112,"Must have"))</f>
        <v>Must have</v>
      </c>
      <c r="T112" s="26" t="str">
        <f aca="false">IF(ISBLANK(I112),"",IF(IF(ISNUMBER(I112),AND(I112&gt;=1,I112&lt;=22,I112=INT(I112)),FALSE()),I112,""))</f>
        <v/>
      </c>
      <c r="U112" s="26" t="str">
        <f aca="false">IF(ISBLANK(J112),IF(AND(ISBLANK(C112),Fill_Example="Yes"),"No","No"),IF(ISNUMBER(MATCH(J112,{"Yes","No"},0)),J112,"No"))</f>
        <v>No</v>
      </c>
    </row>
    <row r="113" customFormat="false" ht="15" hidden="false" customHeight="true" outlineLevel="0" collapsed="false">
      <c r="B113" s="20" t="s">
        <v>1151</v>
      </c>
      <c r="C113" s="24"/>
      <c r="D113" s="24"/>
      <c r="E113" s="24"/>
      <c r="F113" s="24"/>
      <c r="G113" s="24"/>
      <c r="H113" s="24"/>
      <c r="I113" s="24"/>
      <c r="J113" s="24"/>
      <c r="N113" s="26" t="str">
        <f aca="false">IF(ISBLANK(C113),IF(Fill_Example="Yes","mfree",""),IF(ISNUMBER(MATCH(C113,Goal_Keys,0)),C113,""))</f>
        <v>mfree</v>
      </c>
      <c r="O113" s="26" t="str">
        <f aca="false">IF(ISBLANK(D113),IFERROR(INDEX(Goal_Titles,MATCH(N113,Goal_Keys,0)),""),D113)</f>
        <v>Be mortgage-free</v>
      </c>
      <c r="P113" s="26" t="n">
        <f aca="false">IF(ISBLANK(E113),IF(AND(ISBLANK(C113),Fill_Example="Yes"),55,MIN(PR_GoalMaxAge,In_age+IFERROR(INDEX(Goal_DefYrs,MATCH(N113,Goal_Keys,0)),0))),IF(IF(ISNUMBER(E113),AND(E113&gt;=0,E113&lt;=105,E113=INT(E113)),FALSE()),E113,MIN(PR_GoalMaxAge,In_age+IFERROR(INDEX(Goal_DefYrs,MATCH(N113,Goal_Keys,0)),0))))</f>
        <v>55</v>
      </c>
      <c r="Q113" s="26" t="n">
        <f aca="false">IF(ISBLANK(F113),IF(AND(ISBLANK(C113),Fill_Example="Yes"),150000,IFERROR(INDEX(Goal_DefAmt,MATCH(N113,Goal_Keys,0)),0)),IF(IF(ISNUMBER(F113),AND(F113&gt;=0,F113&lt;=100000000),FALSE()),F113,IFERROR(INDEX(Goal_DefAmt,MATCH(N113,Goal_Keys,0)),0)))</f>
        <v>150000</v>
      </c>
      <c r="R113" s="26" t="n">
        <f aca="false">IF(ISBLANK(G113),IF(AND(ISBLANK(C113),Fill_Example="Yes"),0,0),IF(IF(ISNUMBER(G113),AND(G113&gt;=0,G113&lt;=100000000),FALSE()),G113,0))</f>
        <v>0</v>
      </c>
      <c r="S113" s="26" t="str">
        <f aca="false">IF(ISBLANK(H113),IF(AND(ISBLANK(C113),Fill_Example="Yes"),"Must have","Must have"),IF(ISNUMBER(MATCH(H113,{"Must have","Nice to have"},0)),H113,"Must have"))</f>
        <v>Must have</v>
      </c>
      <c r="T113" s="26" t="str">
        <f aca="false">IF(ISBLANK(I113),"",IF(IF(ISNUMBER(I113),AND(I113&gt;=1,I113&lt;=22,I113=INT(I113)),FALSE()),I113,""))</f>
        <v/>
      </c>
      <c r="U113" s="26" t="str">
        <f aca="false">IF(ISBLANK(J113),IF(AND(ISBLANK(C113),Fill_Example="Yes"),"No","No"),IF(ISNUMBER(MATCH(J113,{"Yes","No"},0)),J113,"No"))</f>
        <v>No</v>
      </c>
    </row>
    <row r="114" customFormat="false" ht="15" hidden="false" customHeight="true" outlineLevel="0" collapsed="false">
      <c r="B114" s="20" t="s">
        <v>1152</v>
      </c>
      <c r="C114" s="24"/>
      <c r="D114" s="24"/>
      <c r="E114" s="24"/>
      <c r="F114" s="24"/>
      <c r="G114" s="24"/>
      <c r="H114" s="24"/>
      <c r="I114" s="24"/>
      <c r="J114" s="24"/>
      <c r="N114" s="26" t="str">
        <f aca="false">IF(ISBLANK(C114),IF(Fill_Example="Yes","safety",""),IF(ISNUMBER(MATCH(C114,Goal_Keys,0)),C114,""))</f>
        <v>safety</v>
      </c>
      <c r="O114" s="26" t="str">
        <f aca="false">IF(ISBLANK(D114),IFERROR(INDEX(Goal_Titles,MATCH(N114,Goal_Keys,0)),""),D114)</f>
        <v>Emergency fund</v>
      </c>
      <c r="P114" s="26" t="n">
        <f aca="false">IF(ISBLANK(E114),IF(AND(ISBLANK(C114),Fill_Example="Yes"),40,MIN(PR_GoalMaxAge,In_age+IFERROR(INDEX(Goal_DefYrs,MATCH(N114,Goal_Keys,0)),0))),IF(IF(ISNUMBER(E114),AND(E114&gt;=0,E114&lt;=105,E114=INT(E114)),FALSE()),E114,MIN(PR_GoalMaxAge,In_age+IFERROR(INDEX(Goal_DefYrs,MATCH(N114,Goal_Keys,0)),0))))</f>
        <v>40</v>
      </c>
      <c r="Q114" s="26" t="n">
        <f aca="false">IF(ISBLANK(F114),IF(AND(ISBLANK(C114),Fill_Example="Yes"),15000,IFERROR(INDEX(Goal_DefAmt,MATCH(N114,Goal_Keys,0)),0)),IF(IF(ISNUMBER(F114),AND(F114&gt;=0,F114&lt;=100000000),FALSE()),F114,IFERROR(INDEX(Goal_DefAmt,MATCH(N114,Goal_Keys,0)),0)))</f>
        <v>15000</v>
      </c>
      <c r="R114" s="26" t="n">
        <f aca="false">IF(ISBLANK(G114),IF(AND(ISBLANK(C114),Fill_Example="Yes"),5000,0),IF(IF(ISNUMBER(G114),AND(G114&gt;=0,G114&lt;=100000000),FALSE()),G114,0))</f>
        <v>5000</v>
      </c>
      <c r="S114" s="26" t="str">
        <f aca="false">IF(ISBLANK(H114),IF(AND(ISBLANK(C114),Fill_Example="Yes"),"Must have","Must have"),IF(ISNUMBER(MATCH(H114,{"Must have","Nice to have"},0)),H114,"Must have"))</f>
        <v>Must have</v>
      </c>
      <c r="T114" s="26" t="str">
        <f aca="false">IF(ISBLANK(I114),"",IF(IF(ISNUMBER(I114),AND(I114&gt;=1,I114&lt;=22,I114=INT(I114)),FALSE()),I114,""))</f>
        <v/>
      </c>
      <c r="U114" s="26" t="str">
        <f aca="false">IF(ISBLANK(J114),IF(AND(ISBLANK(C114),Fill_Example="Yes"),"No","No"),IF(ISNUMBER(MATCH(J114,{"Yes","No"},0)),J114,"No"))</f>
        <v>No</v>
      </c>
    </row>
    <row r="115" customFormat="false" ht="15" hidden="false" customHeight="true" outlineLevel="0" collapsed="false">
      <c r="B115" s="20" t="s">
        <v>1153</v>
      </c>
      <c r="C115" s="24"/>
      <c r="D115" s="24"/>
      <c r="E115" s="24"/>
      <c r="F115" s="24"/>
      <c r="G115" s="24"/>
      <c r="H115" s="24"/>
      <c r="I115" s="24"/>
      <c r="J115" s="24"/>
      <c r="N115" s="26" t="str">
        <f aca="false">IF(ISBLANK(C115),IF(Fill_Example="Yes","retire",""),IF(ISNUMBER(MATCH(C115,Goal_Keys,0)),C115,""))</f>
        <v>retire</v>
      </c>
      <c r="O115" s="26" t="str">
        <f aca="false">IF(ISBLANK(D115),IFERROR(INDEX(Goal_Titles,MATCH(N115,Goal_Keys,0)),""),D115)</f>
        <v>Retire comfortably</v>
      </c>
      <c r="P115" s="26" t="n">
        <f aca="false">IF(ISBLANK(E115),IF(AND(ISBLANK(C115),Fill_Example="Yes"),63,MIN(PR_GoalMaxAge,In_age+IFERROR(INDEX(Goal_DefYrs,MATCH(N115,Goal_Keys,0)),0))),IF(IF(ISNUMBER(E115),AND(E115&gt;=0,E115&lt;=105,E115=INT(E115)),FALSE()),E115,MIN(PR_GoalMaxAge,In_age+IFERROR(INDEX(Goal_DefYrs,MATCH(N115,Goal_Keys,0)),0))))</f>
        <v>63</v>
      </c>
      <c r="Q115" s="26" t="n">
        <f aca="false">IF(ISBLANK(F115),IF(AND(ISBLANK(C115),Fill_Example="Yes"),46000,IFERROR(INDEX(Goal_DefAmt,MATCH(N115,Goal_Keys,0)),0)),IF(IF(ISNUMBER(F115),AND(F115&gt;=0,F115&lt;=100000000),FALSE()),F115,IFERROR(INDEX(Goal_DefAmt,MATCH(N115,Goal_Keys,0)),0)))</f>
        <v>46000</v>
      </c>
      <c r="R115" s="26" t="n">
        <f aca="false">IF(ISBLANK(G115),IF(AND(ISBLANK(C115),Fill_Example="Yes"),0,0),IF(IF(ISNUMBER(G115),AND(G115&gt;=0,G115&lt;=100000000),FALSE()),G115,0))</f>
        <v>0</v>
      </c>
      <c r="S115" s="26" t="str">
        <f aca="false">IF(ISBLANK(H115),IF(AND(ISBLANK(C115),Fill_Example="Yes"),"Must have","Must have"),IF(ISNUMBER(MATCH(H115,{"Must have","Nice to have"},0)),H115,"Must have"))</f>
        <v>Must have</v>
      </c>
      <c r="T115" s="26" t="str">
        <f aca="false">IF(ISBLANK(I115),"",IF(IF(ISNUMBER(I115),AND(I115&gt;=1,I115&lt;=22,I115=INT(I115)),FALSE()),I115,""))</f>
        <v/>
      </c>
      <c r="U115" s="26" t="str">
        <f aca="false">IF(ISBLANK(J115),IF(AND(ISBLANK(C115),Fill_Example="Yes"),"No","No"),IF(ISNUMBER(MATCH(J115,{"Yes","No"},0)),J115,"No"))</f>
        <v>No</v>
      </c>
    </row>
    <row r="116" customFormat="false" ht="15" hidden="false" customHeight="true" outlineLevel="0" collapsed="false">
      <c r="B116" s="20" t="s">
        <v>1154</v>
      </c>
      <c r="C116" s="24"/>
      <c r="D116" s="24"/>
      <c r="E116" s="24"/>
      <c r="F116" s="24"/>
      <c r="G116" s="24"/>
      <c r="H116" s="24"/>
      <c r="I116" s="24"/>
      <c r="J116" s="24"/>
      <c r="N116" s="26" t="str">
        <f aca="false">IF(ISBLANK(C116),IF(Fill_Example="Yes","",""),IF(ISNUMBER(MATCH(C116,Goal_Keys,0)),C116,""))</f>
        <v/>
      </c>
      <c r="O116" s="26" t="str">
        <f aca="false">IF(ISBLANK(D116),IFERROR(INDEX(Goal_Titles,MATCH(N116,Goal_Keys,0)),""),D116)</f>
        <v/>
      </c>
      <c r="P116" s="26" t="n">
        <f aca="false">IF(ISBLANK(E116),IF(AND(ISBLANK(C116),Fill_Example="Yes"),0,MIN(PR_GoalMaxAge,In_age+IFERROR(INDEX(Goal_DefYrs,MATCH(N116,Goal_Keys,0)),0))),IF(IF(ISNUMBER(E116),AND(E116&gt;=0,E116&lt;=105,E116=INT(E116)),FALSE()),E116,MIN(PR_GoalMaxAge,In_age+IFERROR(INDEX(Goal_DefYrs,MATCH(N116,Goal_Keys,0)),0))))</f>
        <v>0</v>
      </c>
      <c r="Q116" s="26" t="n">
        <f aca="false">IF(ISBLANK(F116),IF(AND(ISBLANK(C116),Fill_Example="Yes"),0,IFERROR(INDEX(Goal_DefAmt,MATCH(N116,Goal_Keys,0)),0)),IF(IF(ISNUMBER(F116),AND(F116&gt;=0,F116&lt;=100000000),FALSE()),F116,IFERROR(INDEX(Goal_DefAmt,MATCH(N116,Goal_Keys,0)),0)))</f>
        <v>0</v>
      </c>
      <c r="R116" s="26" t="n">
        <f aca="false">IF(ISBLANK(G116),IF(AND(ISBLANK(C116),Fill_Example="Yes"),0,0),IF(IF(ISNUMBER(G116),AND(G116&gt;=0,G116&lt;=100000000),FALSE()),G116,0))</f>
        <v>0</v>
      </c>
      <c r="S116" s="26" t="str">
        <f aca="false">IF(ISBLANK(H116),IF(AND(ISBLANK(C116),Fill_Example="Yes"),"Must have","Must have"),IF(ISNUMBER(MATCH(H116,{"Must have","Nice to have"},0)),H116,"Must have"))</f>
        <v>Must have</v>
      </c>
      <c r="T116" s="26" t="str">
        <f aca="false">IF(ISBLANK(I116),"",IF(IF(ISNUMBER(I116),AND(I116&gt;=1,I116&lt;=22,I116=INT(I116)),FALSE()),I116,""))</f>
        <v/>
      </c>
      <c r="U116" s="26" t="str">
        <f aca="false">IF(ISBLANK(J116),IF(AND(ISBLANK(C116),Fill_Example="Yes"),"No","No"),IF(ISNUMBER(MATCH(J116,{"Yes","No"},0)),J116,"No"))</f>
        <v>No</v>
      </c>
    </row>
    <row r="117" customFormat="false" ht="15" hidden="false" customHeight="true" outlineLevel="0" collapsed="false">
      <c r="B117" s="20" t="s">
        <v>1155</v>
      </c>
      <c r="C117" s="24"/>
      <c r="D117" s="24"/>
      <c r="E117" s="24"/>
      <c r="F117" s="24"/>
      <c r="G117" s="24"/>
      <c r="H117" s="24"/>
      <c r="I117" s="24"/>
      <c r="J117" s="24"/>
      <c r="N117" s="26" t="str">
        <f aca="false">IF(ISBLANK(C117),IF(Fill_Example="Yes","",""),IF(ISNUMBER(MATCH(C117,Goal_Keys,0)),C117,""))</f>
        <v/>
      </c>
      <c r="O117" s="26" t="str">
        <f aca="false">IF(ISBLANK(D117),IFERROR(INDEX(Goal_Titles,MATCH(N117,Goal_Keys,0)),""),D117)</f>
        <v/>
      </c>
      <c r="P117" s="26" t="n">
        <f aca="false">IF(ISBLANK(E117),IF(AND(ISBLANK(C117),Fill_Example="Yes"),0,MIN(PR_GoalMaxAge,In_age+IFERROR(INDEX(Goal_DefYrs,MATCH(N117,Goal_Keys,0)),0))),IF(IF(ISNUMBER(E117),AND(E117&gt;=0,E117&lt;=105,E117=INT(E117)),FALSE()),E117,MIN(PR_GoalMaxAge,In_age+IFERROR(INDEX(Goal_DefYrs,MATCH(N117,Goal_Keys,0)),0))))</f>
        <v>0</v>
      </c>
      <c r="Q117" s="26" t="n">
        <f aca="false">IF(ISBLANK(F117),IF(AND(ISBLANK(C117),Fill_Example="Yes"),0,IFERROR(INDEX(Goal_DefAmt,MATCH(N117,Goal_Keys,0)),0)),IF(IF(ISNUMBER(F117),AND(F117&gt;=0,F117&lt;=100000000),FALSE()),F117,IFERROR(INDEX(Goal_DefAmt,MATCH(N117,Goal_Keys,0)),0)))</f>
        <v>0</v>
      </c>
      <c r="R117" s="26" t="n">
        <f aca="false">IF(ISBLANK(G117),IF(AND(ISBLANK(C117),Fill_Example="Yes"),0,0),IF(IF(ISNUMBER(G117),AND(G117&gt;=0,G117&lt;=100000000),FALSE()),G117,0))</f>
        <v>0</v>
      </c>
      <c r="S117" s="26" t="str">
        <f aca="false">IF(ISBLANK(H117),IF(AND(ISBLANK(C117),Fill_Example="Yes"),"Must have","Must have"),IF(ISNUMBER(MATCH(H117,{"Must have","Nice to have"},0)),H117,"Must have"))</f>
        <v>Must have</v>
      </c>
      <c r="T117" s="26" t="str">
        <f aca="false">IF(ISBLANK(I117),"",IF(IF(ISNUMBER(I117),AND(I117&gt;=1,I117&lt;=22,I117=INT(I117)),FALSE()),I117,""))</f>
        <v/>
      </c>
      <c r="U117" s="26" t="str">
        <f aca="false">IF(ISBLANK(J117),IF(AND(ISBLANK(C117),Fill_Example="Yes"),"No","No"),IF(ISNUMBER(MATCH(J117,{"Yes","No"},0)),J117,"No"))</f>
        <v>No</v>
      </c>
    </row>
    <row r="118" customFormat="false" ht="15" hidden="false" customHeight="true" outlineLevel="0" collapsed="false">
      <c r="B118" s="20" t="s">
        <v>1156</v>
      </c>
      <c r="C118" s="24"/>
      <c r="D118" s="24"/>
      <c r="E118" s="24"/>
      <c r="F118" s="24"/>
      <c r="G118" s="24"/>
      <c r="H118" s="24"/>
      <c r="I118" s="24"/>
      <c r="J118" s="24"/>
      <c r="N118" s="26" t="str">
        <f aca="false">IF(ISBLANK(C118),IF(Fill_Example="Yes","",""),IF(ISNUMBER(MATCH(C118,Goal_Keys,0)),C118,""))</f>
        <v/>
      </c>
      <c r="O118" s="26" t="str">
        <f aca="false">IF(ISBLANK(D118),IFERROR(INDEX(Goal_Titles,MATCH(N118,Goal_Keys,0)),""),D118)</f>
        <v/>
      </c>
      <c r="P118" s="26" t="n">
        <f aca="false">IF(ISBLANK(E118),IF(AND(ISBLANK(C118),Fill_Example="Yes"),0,MIN(PR_GoalMaxAge,In_age+IFERROR(INDEX(Goal_DefYrs,MATCH(N118,Goal_Keys,0)),0))),IF(IF(ISNUMBER(E118),AND(E118&gt;=0,E118&lt;=105,E118=INT(E118)),FALSE()),E118,MIN(PR_GoalMaxAge,In_age+IFERROR(INDEX(Goal_DefYrs,MATCH(N118,Goal_Keys,0)),0))))</f>
        <v>0</v>
      </c>
      <c r="Q118" s="26" t="n">
        <f aca="false">IF(ISBLANK(F118),IF(AND(ISBLANK(C118),Fill_Example="Yes"),0,IFERROR(INDEX(Goal_DefAmt,MATCH(N118,Goal_Keys,0)),0)),IF(IF(ISNUMBER(F118),AND(F118&gt;=0,F118&lt;=100000000),FALSE()),F118,IFERROR(INDEX(Goal_DefAmt,MATCH(N118,Goal_Keys,0)),0)))</f>
        <v>0</v>
      </c>
      <c r="R118" s="26" t="n">
        <f aca="false">IF(ISBLANK(G118),IF(AND(ISBLANK(C118),Fill_Example="Yes"),0,0),IF(IF(ISNUMBER(G118),AND(G118&gt;=0,G118&lt;=100000000),FALSE()),G118,0))</f>
        <v>0</v>
      </c>
      <c r="S118" s="26" t="str">
        <f aca="false">IF(ISBLANK(H118),IF(AND(ISBLANK(C118),Fill_Example="Yes"),"Must have","Must have"),IF(ISNUMBER(MATCH(H118,{"Must have","Nice to have"},0)),H118,"Must have"))</f>
        <v>Must have</v>
      </c>
      <c r="T118" s="26" t="str">
        <f aca="false">IF(ISBLANK(I118),"",IF(IF(ISNUMBER(I118),AND(I118&gt;=1,I118&lt;=22,I118=INT(I118)),FALSE()),I118,""))</f>
        <v/>
      </c>
      <c r="U118" s="26" t="str">
        <f aca="false">IF(ISBLANK(J118),IF(AND(ISBLANK(C118),Fill_Example="Yes"),"No","No"),IF(ISNUMBER(MATCH(J118,{"Yes","No"},0)),J118,"No"))</f>
        <v>No</v>
      </c>
    </row>
    <row r="119" customFormat="false" ht="15" hidden="false" customHeight="true" outlineLevel="0" collapsed="false">
      <c r="B119" s="20" t="s">
        <v>1157</v>
      </c>
      <c r="C119" s="24"/>
      <c r="D119" s="24"/>
      <c r="E119" s="24"/>
      <c r="F119" s="24"/>
      <c r="G119" s="24"/>
      <c r="H119" s="24"/>
      <c r="I119" s="24"/>
      <c r="J119" s="24"/>
      <c r="N119" s="26" t="str">
        <f aca="false">IF(ISBLANK(C119),IF(Fill_Example="Yes","",""),IF(ISNUMBER(MATCH(C119,Goal_Keys,0)),C119,""))</f>
        <v/>
      </c>
      <c r="O119" s="26" t="str">
        <f aca="false">IF(ISBLANK(D119),IFERROR(INDEX(Goal_Titles,MATCH(N119,Goal_Keys,0)),""),D119)</f>
        <v/>
      </c>
      <c r="P119" s="26" t="n">
        <f aca="false">IF(ISBLANK(E119),IF(AND(ISBLANK(C119),Fill_Example="Yes"),0,MIN(PR_GoalMaxAge,In_age+IFERROR(INDEX(Goal_DefYrs,MATCH(N119,Goal_Keys,0)),0))),IF(IF(ISNUMBER(E119),AND(E119&gt;=0,E119&lt;=105,E119=INT(E119)),FALSE()),E119,MIN(PR_GoalMaxAge,In_age+IFERROR(INDEX(Goal_DefYrs,MATCH(N119,Goal_Keys,0)),0))))</f>
        <v>0</v>
      </c>
      <c r="Q119" s="26" t="n">
        <f aca="false">IF(ISBLANK(F119),IF(AND(ISBLANK(C119),Fill_Example="Yes"),0,IFERROR(INDEX(Goal_DefAmt,MATCH(N119,Goal_Keys,0)),0)),IF(IF(ISNUMBER(F119),AND(F119&gt;=0,F119&lt;=100000000),FALSE()),F119,IFERROR(INDEX(Goal_DefAmt,MATCH(N119,Goal_Keys,0)),0)))</f>
        <v>0</v>
      </c>
      <c r="R119" s="26" t="n">
        <f aca="false">IF(ISBLANK(G119),IF(AND(ISBLANK(C119),Fill_Example="Yes"),0,0),IF(IF(ISNUMBER(G119),AND(G119&gt;=0,G119&lt;=100000000),FALSE()),G119,0))</f>
        <v>0</v>
      </c>
      <c r="S119" s="26" t="str">
        <f aca="false">IF(ISBLANK(H119),IF(AND(ISBLANK(C119),Fill_Example="Yes"),"Must have","Must have"),IF(ISNUMBER(MATCH(H119,{"Must have","Nice to have"},0)),H119,"Must have"))</f>
        <v>Must have</v>
      </c>
      <c r="T119" s="26" t="str">
        <f aca="false">IF(ISBLANK(I119),"",IF(IF(ISNUMBER(I119),AND(I119&gt;=1,I119&lt;=22,I119=INT(I119)),FALSE()),I119,""))</f>
        <v/>
      </c>
      <c r="U119" s="26" t="str">
        <f aca="false">IF(ISBLANK(J119),IF(AND(ISBLANK(C119),Fill_Example="Yes"),"No","No"),IF(ISNUMBER(MATCH(J119,{"Yes","No"},0)),J119,"No"))</f>
        <v>No</v>
      </c>
    </row>
    <row r="120" customFormat="false" ht="15" hidden="false" customHeight="true" outlineLevel="0" collapsed="false">
      <c r="B120" s="20" t="s">
        <v>1158</v>
      </c>
      <c r="C120" s="24"/>
      <c r="D120" s="24"/>
      <c r="E120" s="24"/>
      <c r="F120" s="24"/>
      <c r="G120" s="24"/>
      <c r="H120" s="24"/>
      <c r="I120" s="24"/>
      <c r="J120" s="24"/>
      <c r="N120" s="26" t="str">
        <f aca="false">IF(ISBLANK(C120),IF(Fill_Example="Yes","",""),IF(ISNUMBER(MATCH(C120,Goal_Keys,0)),C120,""))</f>
        <v/>
      </c>
      <c r="O120" s="26" t="str">
        <f aca="false">IF(ISBLANK(D120),IFERROR(INDEX(Goal_Titles,MATCH(N120,Goal_Keys,0)),""),D120)</f>
        <v/>
      </c>
      <c r="P120" s="26" t="n">
        <f aca="false">IF(ISBLANK(E120),IF(AND(ISBLANK(C120),Fill_Example="Yes"),0,MIN(PR_GoalMaxAge,In_age+IFERROR(INDEX(Goal_DefYrs,MATCH(N120,Goal_Keys,0)),0))),IF(IF(ISNUMBER(E120),AND(E120&gt;=0,E120&lt;=105,E120=INT(E120)),FALSE()),E120,MIN(PR_GoalMaxAge,In_age+IFERROR(INDEX(Goal_DefYrs,MATCH(N120,Goal_Keys,0)),0))))</f>
        <v>0</v>
      </c>
      <c r="Q120" s="26" t="n">
        <f aca="false">IF(ISBLANK(F120),IF(AND(ISBLANK(C120),Fill_Example="Yes"),0,IFERROR(INDEX(Goal_DefAmt,MATCH(N120,Goal_Keys,0)),0)),IF(IF(ISNUMBER(F120),AND(F120&gt;=0,F120&lt;=100000000),FALSE()),F120,IFERROR(INDEX(Goal_DefAmt,MATCH(N120,Goal_Keys,0)),0)))</f>
        <v>0</v>
      </c>
      <c r="R120" s="26" t="n">
        <f aca="false">IF(ISBLANK(G120),IF(AND(ISBLANK(C120),Fill_Example="Yes"),0,0),IF(IF(ISNUMBER(G120),AND(G120&gt;=0,G120&lt;=100000000),FALSE()),G120,0))</f>
        <v>0</v>
      </c>
      <c r="S120" s="26" t="str">
        <f aca="false">IF(ISBLANK(H120),IF(AND(ISBLANK(C120),Fill_Example="Yes"),"Must have","Must have"),IF(ISNUMBER(MATCH(H120,{"Must have","Nice to have"},0)),H120,"Must have"))</f>
        <v>Must have</v>
      </c>
      <c r="T120" s="26" t="str">
        <f aca="false">IF(ISBLANK(I120),"",IF(IF(ISNUMBER(I120),AND(I120&gt;=1,I120&lt;=22,I120=INT(I120)),FALSE()),I120,""))</f>
        <v/>
      </c>
      <c r="U120" s="26" t="str">
        <f aca="false">IF(ISBLANK(J120),IF(AND(ISBLANK(C120),Fill_Example="Yes"),"No","No"),IF(ISNUMBER(MATCH(J120,{"Yes","No"},0)),J120,"No"))</f>
        <v>No</v>
      </c>
    </row>
    <row r="121" customFormat="false" ht="15" hidden="false" customHeight="true" outlineLevel="0" collapsed="false">
      <c r="B121" s="20" t="s">
        <v>1159</v>
      </c>
      <c r="C121" s="24"/>
      <c r="D121" s="24"/>
      <c r="E121" s="24"/>
      <c r="F121" s="24"/>
      <c r="G121" s="24"/>
      <c r="H121" s="24"/>
      <c r="I121" s="24"/>
      <c r="J121" s="24"/>
      <c r="N121" s="26" t="str">
        <f aca="false">IF(ISBLANK(C121),IF(Fill_Example="Yes","",""),IF(ISNUMBER(MATCH(C121,Goal_Keys,0)),C121,""))</f>
        <v/>
      </c>
      <c r="O121" s="26" t="str">
        <f aca="false">IF(ISBLANK(D121),IFERROR(INDEX(Goal_Titles,MATCH(N121,Goal_Keys,0)),""),D121)</f>
        <v/>
      </c>
      <c r="P121" s="26" t="n">
        <f aca="false">IF(ISBLANK(E121),IF(AND(ISBLANK(C121),Fill_Example="Yes"),0,MIN(PR_GoalMaxAge,In_age+IFERROR(INDEX(Goal_DefYrs,MATCH(N121,Goal_Keys,0)),0))),IF(IF(ISNUMBER(E121),AND(E121&gt;=0,E121&lt;=105,E121=INT(E121)),FALSE()),E121,MIN(PR_GoalMaxAge,In_age+IFERROR(INDEX(Goal_DefYrs,MATCH(N121,Goal_Keys,0)),0))))</f>
        <v>0</v>
      </c>
      <c r="Q121" s="26" t="n">
        <f aca="false">IF(ISBLANK(F121),IF(AND(ISBLANK(C121),Fill_Example="Yes"),0,IFERROR(INDEX(Goal_DefAmt,MATCH(N121,Goal_Keys,0)),0)),IF(IF(ISNUMBER(F121),AND(F121&gt;=0,F121&lt;=100000000),FALSE()),F121,IFERROR(INDEX(Goal_DefAmt,MATCH(N121,Goal_Keys,0)),0)))</f>
        <v>0</v>
      </c>
      <c r="R121" s="26" t="n">
        <f aca="false">IF(ISBLANK(G121),IF(AND(ISBLANK(C121),Fill_Example="Yes"),0,0),IF(IF(ISNUMBER(G121),AND(G121&gt;=0,G121&lt;=100000000),FALSE()),G121,0))</f>
        <v>0</v>
      </c>
      <c r="S121" s="26" t="str">
        <f aca="false">IF(ISBLANK(H121),IF(AND(ISBLANK(C121),Fill_Example="Yes"),"Must have","Must have"),IF(ISNUMBER(MATCH(H121,{"Must have","Nice to have"},0)),H121,"Must have"))</f>
        <v>Must have</v>
      </c>
      <c r="T121" s="26" t="str">
        <f aca="false">IF(ISBLANK(I121),"",IF(IF(ISNUMBER(I121),AND(I121&gt;=1,I121&lt;=22,I121=INT(I121)),FALSE()),I121,""))</f>
        <v/>
      </c>
      <c r="U121" s="26" t="str">
        <f aca="false">IF(ISBLANK(J121),IF(AND(ISBLANK(C121),Fill_Example="Yes"),"No","No"),IF(ISNUMBER(MATCH(J121,{"Yes","No"},0)),J121,"No"))</f>
        <v>No</v>
      </c>
    </row>
    <row r="122" customFormat="false" ht="15" hidden="false" customHeight="true" outlineLevel="0" collapsed="false">
      <c r="B122" s="20" t="s">
        <v>1160</v>
      </c>
      <c r="C122" s="24"/>
      <c r="D122" s="24"/>
      <c r="E122" s="24"/>
      <c r="F122" s="24"/>
      <c r="G122" s="24"/>
      <c r="H122" s="24"/>
      <c r="I122" s="24"/>
      <c r="J122" s="24"/>
      <c r="N122" s="26" t="str">
        <f aca="false">IF(ISBLANK(C122),IF(Fill_Example="Yes","",""),IF(ISNUMBER(MATCH(C122,Goal_Keys,0)),C122,""))</f>
        <v/>
      </c>
      <c r="O122" s="26" t="str">
        <f aca="false">IF(ISBLANK(D122),IFERROR(INDEX(Goal_Titles,MATCH(N122,Goal_Keys,0)),""),D122)</f>
        <v/>
      </c>
      <c r="P122" s="26" t="n">
        <f aca="false">IF(ISBLANK(E122),IF(AND(ISBLANK(C122),Fill_Example="Yes"),0,MIN(PR_GoalMaxAge,In_age+IFERROR(INDEX(Goal_DefYrs,MATCH(N122,Goal_Keys,0)),0))),IF(IF(ISNUMBER(E122),AND(E122&gt;=0,E122&lt;=105,E122=INT(E122)),FALSE()),E122,MIN(PR_GoalMaxAge,In_age+IFERROR(INDEX(Goal_DefYrs,MATCH(N122,Goal_Keys,0)),0))))</f>
        <v>0</v>
      </c>
      <c r="Q122" s="26" t="n">
        <f aca="false">IF(ISBLANK(F122),IF(AND(ISBLANK(C122),Fill_Example="Yes"),0,IFERROR(INDEX(Goal_DefAmt,MATCH(N122,Goal_Keys,0)),0)),IF(IF(ISNUMBER(F122),AND(F122&gt;=0,F122&lt;=100000000),FALSE()),F122,IFERROR(INDEX(Goal_DefAmt,MATCH(N122,Goal_Keys,0)),0)))</f>
        <v>0</v>
      </c>
      <c r="R122" s="26" t="n">
        <f aca="false">IF(ISBLANK(G122),IF(AND(ISBLANK(C122),Fill_Example="Yes"),0,0),IF(IF(ISNUMBER(G122),AND(G122&gt;=0,G122&lt;=100000000),FALSE()),G122,0))</f>
        <v>0</v>
      </c>
      <c r="S122" s="26" t="str">
        <f aca="false">IF(ISBLANK(H122),IF(AND(ISBLANK(C122),Fill_Example="Yes"),"Must have","Must have"),IF(ISNUMBER(MATCH(H122,{"Must have","Nice to have"},0)),H122,"Must have"))</f>
        <v>Must have</v>
      </c>
      <c r="T122" s="26" t="str">
        <f aca="false">IF(ISBLANK(I122),"",IF(IF(ISNUMBER(I122),AND(I122&gt;=1,I122&lt;=22,I122=INT(I122)),FALSE()),I122,""))</f>
        <v/>
      </c>
      <c r="U122" s="26" t="str">
        <f aca="false">IF(ISBLANK(J122),IF(AND(ISBLANK(C122),Fill_Example="Yes"),"No","No"),IF(ISNUMBER(MATCH(J122,{"Yes","No"},0)),J122,"No"))</f>
        <v>No</v>
      </c>
    </row>
    <row r="123" customFormat="false" ht="15" hidden="false" customHeight="true" outlineLevel="0" collapsed="false">
      <c r="B123" s="20" t="s">
        <v>1161</v>
      </c>
      <c r="C123" s="24"/>
      <c r="D123" s="24"/>
      <c r="E123" s="24"/>
      <c r="F123" s="24"/>
      <c r="G123" s="24"/>
      <c r="H123" s="24"/>
      <c r="I123" s="24"/>
      <c r="J123" s="24"/>
      <c r="N123" s="26" t="str">
        <f aca="false">IF(ISBLANK(C123),IF(Fill_Example="Yes","",""),IF(ISNUMBER(MATCH(C123,Goal_Keys,0)),C123,""))</f>
        <v/>
      </c>
      <c r="O123" s="26" t="str">
        <f aca="false">IF(ISBLANK(D123),IFERROR(INDEX(Goal_Titles,MATCH(N123,Goal_Keys,0)),""),D123)</f>
        <v/>
      </c>
      <c r="P123" s="26" t="n">
        <f aca="false">IF(ISBLANK(E123),IF(AND(ISBLANK(C123),Fill_Example="Yes"),0,MIN(PR_GoalMaxAge,In_age+IFERROR(INDEX(Goal_DefYrs,MATCH(N123,Goal_Keys,0)),0))),IF(IF(ISNUMBER(E123),AND(E123&gt;=0,E123&lt;=105,E123=INT(E123)),FALSE()),E123,MIN(PR_GoalMaxAge,In_age+IFERROR(INDEX(Goal_DefYrs,MATCH(N123,Goal_Keys,0)),0))))</f>
        <v>0</v>
      </c>
      <c r="Q123" s="26" t="n">
        <f aca="false">IF(ISBLANK(F123),IF(AND(ISBLANK(C123),Fill_Example="Yes"),0,IFERROR(INDEX(Goal_DefAmt,MATCH(N123,Goal_Keys,0)),0)),IF(IF(ISNUMBER(F123),AND(F123&gt;=0,F123&lt;=100000000),FALSE()),F123,IFERROR(INDEX(Goal_DefAmt,MATCH(N123,Goal_Keys,0)),0)))</f>
        <v>0</v>
      </c>
      <c r="R123" s="26" t="n">
        <f aca="false">IF(ISBLANK(G123),IF(AND(ISBLANK(C123),Fill_Example="Yes"),0,0),IF(IF(ISNUMBER(G123),AND(G123&gt;=0,G123&lt;=100000000),FALSE()),G123,0))</f>
        <v>0</v>
      </c>
      <c r="S123" s="26" t="str">
        <f aca="false">IF(ISBLANK(H123),IF(AND(ISBLANK(C123),Fill_Example="Yes"),"Must have","Must have"),IF(ISNUMBER(MATCH(H123,{"Must have","Nice to have"},0)),H123,"Must have"))</f>
        <v>Must have</v>
      </c>
      <c r="T123" s="26" t="str">
        <f aca="false">IF(ISBLANK(I123),"",IF(IF(ISNUMBER(I123),AND(I123&gt;=1,I123&lt;=22,I123=INT(I123)),FALSE()),I123,""))</f>
        <v/>
      </c>
      <c r="U123" s="26" t="str">
        <f aca="false">IF(ISBLANK(J123),IF(AND(ISBLANK(C123),Fill_Example="Yes"),"No","No"),IF(ISNUMBER(MATCH(J123,{"Yes","No"},0)),J123,"No"))</f>
        <v>No</v>
      </c>
    </row>
    <row r="124" customFormat="false" ht="15" hidden="false" customHeight="true" outlineLevel="0" collapsed="false">
      <c r="B124" s="20" t="s">
        <v>1162</v>
      </c>
      <c r="C124" s="24"/>
      <c r="D124" s="24"/>
      <c r="E124" s="24"/>
      <c r="F124" s="24"/>
      <c r="G124" s="24"/>
      <c r="H124" s="24"/>
      <c r="I124" s="24"/>
      <c r="J124" s="24"/>
      <c r="N124" s="26" t="str">
        <f aca="false">IF(ISBLANK(C124),IF(Fill_Example="Yes","",""),IF(ISNUMBER(MATCH(C124,Goal_Keys,0)),C124,""))</f>
        <v/>
      </c>
      <c r="O124" s="26" t="str">
        <f aca="false">IF(ISBLANK(D124),IFERROR(INDEX(Goal_Titles,MATCH(N124,Goal_Keys,0)),""),D124)</f>
        <v/>
      </c>
      <c r="P124" s="26" t="n">
        <f aca="false">IF(ISBLANK(E124),IF(AND(ISBLANK(C124),Fill_Example="Yes"),0,MIN(PR_GoalMaxAge,In_age+IFERROR(INDEX(Goal_DefYrs,MATCH(N124,Goal_Keys,0)),0))),IF(IF(ISNUMBER(E124),AND(E124&gt;=0,E124&lt;=105,E124=INT(E124)),FALSE()),E124,MIN(PR_GoalMaxAge,In_age+IFERROR(INDEX(Goal_DefYrs,MATCH(N124,Goal_Keys,0)),0))))</f>
        <v>0</v>
      </c>
      <c r="Q124" s="26" t="n">
        <f aca="false">IF(ISBLANK(F124),IF(AND(ISBLANK(C124),Fill_Example="Yes"),0,IFERROR(INDEX(Goal_DefAmt,MATCH(N124,Goal_Keys,0)),0)),IF(IF(ISNUMBER(F124),AND(F124&gt;=0,F124&lt;=100000000),FALSE()),F124,IFERROR(INDEX(Goal_DefAmt,MATCH(N124,Goal_Keys,0)),0)))</f>
        <v>0</v>
      </c>
      <c r="R124" s="26" t="n">
        <f aca="false">IF(ISBLANK(G124),IF(AND(ISBLANK(C124),Fill_Example="Yes"),0,0),IF(IF(ISNUMBER(G124),AND(G124&gt;=0,G124&lt;=100000000),FALSE()),G124,0))</f>
        <v>0</v>
      </c>
      <c r="S124" s="26" t="str">
        <f aca="false">IF(ISBLANK(H124),IF(AND(ISBLANK(C124),Fill_Example="Yes"),"Must have","Must have"),IF(ISNUMBER(MATCH(H124,{"Must have","Nice to have"},0)),H124,"Must have"))</f>
        <v>Must have</v>
      </c>
      <c r="T124" s="26" t="str">
        <f aca="false">IF(ISBLANK(I124),"",IF(IF(ISNUMBER(I124),AND(I124&gt;=1,I124&lt;=22,I124=INT(I124)),FALSE()),I124,""))</f>
        <v/>
      </c>
      <c r="U124" s="26" t="str">
        <f aca="false">IF(ISBLANK(J124),IF(AND(ISBLANK(C124),Fill_Example="Yes"),"No","No"),IF(ISNUMBER(MATCH(J124,{"Yes","No"},0)),J124,"No"))</f>
        <v>No</v>
      </c>
    </row>
    <row r="125" customFormat="false" ht="15" hidden="false" customHeight="true" outlineLevel="0" collapsed="false">
      <c r="B125" s="20" t="s">
        <v>1163</v>
      </c>
      <c r="C125" s="24"/>
      <c r="D125" s="24"/>
      <c r="E125" s="24"/>
      <c r="F125" s="24"/>
      <c r="G125" s="24"/>
      <c r="H125" s="24"/>
      <c r="I125" s="24"/>
      <c r="J125" s="24"/>
      <c r="N125" s="26" t="str">
        <f aca="false">IF(ISBLANK(C125),IF(Fill_Example="Yes","",""),IF(ISNUMBER(MATCH(C125,Goal_Keys,0)),C125,""))</f>
        <v/>
      </c>
      <c r="O125" s="26" t="str">
        <f aca="false">IF(ISBLANK(D125),IFERROR(INDEX(Goal_Titles,MATCH(N125,Goal_Keys,0)),""),D125)</f>
        <v/>
      </c>
      <c r="P125" s="26" t="n">
        <f aca="false">IF(ISBLANK(E125),IF(AND(ISBLANK(C125),Fill_Example="Yes"),0,MIN(PR_GoalMaxAge,In_age+IFERROR(INDEX(Goal_DefYrs,MATCH(N125,Goal_Keys,0)),0))),IF(IF(ISNUMBER(E125),AND(E125&gt;=0,E125&lt;=105,E125=INT(E125)),FALSE()),E125,MIN(PR_GoalMaxAge,In_age+IFERROR(INDEX(Goal_DefYrs,MATCH(N125,Goal_Keys,0)),0))))</f>
        <v>0</v>
      </c>
      <c r="Q125" s="26" t="n">
        <f aca="false">IF(ISBLANK(F125),IF(AND(ISBLANK(C125),Fill_Example="Yes"),0,IFERROR(INDEX(Goal_DefAmt,MATCH(N125,Goal_Keys,0)),0)),IF(IF(ISNUMBER(F125),AND(F125&gt;=0,F125&lt;=100000000),FALSE()),F125,IFERROR(INDEX(Goal_DefAmt,MATCH(N125,Goal_Keys,0)),0)))</f>
        <v>0</v>
      </c>
      <c r="R125" s="26" t="n">
        <f aca="false">IF(ISBLANK(G125),IF(AND(ISBLANK(C125),Fill_Example="Yes"),0,0),IF(IF(ISNUMBER(G125),AND(G125&gt;=0,G125&lt;=100000000),FALSE()),G125,0))</f>
        <v>0</v>
      </c>
      <c r="S125" s="26" t="str">
        <f aca="false">IF(ISBLANK(H125),IF(AND(ISBLANK(C125),Fill_Example="Yes"),"Must have","Must have"),IF(ISNUMBER(MATCH(H125,{"Must have","Nice to have"},0)),H125,"Must have"))</f>
        <v>Must have</v>
      </c>
      <c r="T125" s="26" t="str">
        <f aca="false">IF(ISBLANK(I125),"",IF(IF(ISNUMBER(I125),AND(I125&gt;=1,I125&lt;=22,I125=INT(I125)),FALSE()),I125,""))</f>
        <v/>
      </c>
      <c r="U125" s="26" t="str">
        <f aca="false">IF(ISBLANK(J125),IF(AND(ISBLANK(C125),Fill_Example="Yes"),"No","No"),IF(ISNUMBER(MATCH(J125,{"Yes","No"},0)),J125,"No"))</f>
        <v>No</v>
      </c>
    </row>
    <row r="126" customFormat="false" ht="15" hidden="false" customHeight="true" outlineLevel="0" collapsed="false">
      <c r="B126" s="20" t="s">
        <v>1164</v>
      </c>
      <c r="C126" s="24"/>
      <c r="D126" s="24"/>
      <c r="E126" s="24"/>
      <c r="F126" s="24"/>
      <c r="G126" s="24"/>
      <c r="H126" s="24"/>
      <c r="I126" s="24"/>
      <c r="J126" s="24"/>
      <c r="N126" s="26" t="str">
        <f aca="false">IF(ISBLANK(C126),IF(Fill_Example="Yes","",""),IF(ISNUMBER(MATCH(C126,Goal_Keys,0)),C126,""))</f>
        <v/>
      </c>
      <c r="O126" s="26" t="str">
        <f aca="false">IF(ISBLANK(D126),IFERROR(INDEX(Goal_Titles,MATCH(N126,Goal_Keys,0)),""),D126)</f>
        <v/>
      </c>
      <c r="P126" s="26" t="n">
        <f aca="false">IF(ISBLANK(E126),IF(AND(ISBLANK(C126),Fill_Example="Yes"),0,MIN(PR_GoalMaxAge,In_age+IFERROR(INDEX(Goal_DefYrs,MATCH(N126,Goal_Keys,0)),0))),IF(IF(ISNUMBER(E126),AND(E126&gt;=0,E126&lt;=105,E126=INT(E126)),FALSE()),E126,MIN(PR_GoalMaxAge,In_age+IFERROR(INDEX(Goal_DefYrs,MATCH(N126,Goal_Keys,0)),0))))</f>
        <v>0</v>
      </c>
      <c r="Q126" s="26" t="n">
        <f aca="false">IF(ISBLANK(F126),IF(AND(ISBLANK(C126),Fill_Example="Yes"),0,IFERROR(INDEX(Goal_DefAmt,MATCH(N126,Goal_Keys,0)),0)),IF(IF(ISNUMBER(F126),AND(F126&gt;=0,F126&lt;=100000000),FALSE()),F126,IFERROR(INDEX(Goal_DefAmt,MATCH(N126,Goal_Keys,0)),0)))</f>
        <v>0</v>
      </c>
      <c r="R126" s="26" t="n">
        <f aca="false">IF(ISBLANK(G126),IF(AND(ISBLANK(C126),Fill_Example="Yes"),0,0),IF(IF(ISNUMBER(G126),AND(G126&gt;=0,G126&lt;=100000000),FALSE()),G126,0))</f>
        <v>0</v>
      </c>
      <c r="S126" s="26" t="str">
        <f aca="false">IF(ISBLANK(H126),IF(AND(ISBLANK(C126),Fill_Example="Yes"),"Must have","Must have"),IF(ISNUMBER(MATCH(H126,{"Must have","Nice to have"},0)),H126,"Must have"))</f>
        <v>Must have</v>
      </c>
      <c r="T126" s="26" t="str">
        <f aca="false">IF(ISBLANK(I126),"",IF(IF(ISNUMBER(I126),AND(I126&gt;=1,I126&lt;=22,I126=INT(I126)),FALSE()),I126,""))</f>
        <v/>
      </c>
      <c r="U126" s="26" t="str">
        <f aca="false">IF(ISBLANK(J126),IF(AND(ISBLANK(C126),Fill_Example="Yes"),"No","No"),IF(ISNUMBER(MATCH(J126,{"Yes","No"},0)),J126,"No"))</f>
        <v>No</v>
      </c>
    </row>
    <row r="127" customFormat="false" ht="15" hidden="false" customHeight="true" outlineLevel="0" collapsed="false">
      <c r="B127" s="20" t="s">
        <v>1165</v>
      </c>
      <c r="C127" s="24"/>
      <c r="D127" s="24"/>
      <c r="E127" s="24"/>
      <c r="F127" s="24"/>
      <c r="G127" s="24"/>
      <c r="H127" s="24"/>
      <c r="I127" s="24"/>
      <c r="J127" s="24"/>
      <c r="N127" s="26" t="str">
        <f aca="false">IF(ISBLANK(C127),IF(Fill_Example="Yes","",""),IF(ISNUMBER(MATCH(C127,Goal_Keys,0)),C127,""))</f>
        <v/>
      </c>
      <c r="O127" s="26" t="str">
        <f aca="false">IF(ISBLANK(D127),IFERROR(INDEX(Goal_Titles,MATCH(N127,Goal_Keys,0)),""),D127)</f>
        <v/>
      </c>
      <c r="P127" s="26" t="n">
        <f aca="false">IF(ISBLANK(E127),IF(AND(ISBLANK(C127),Fill_Example="Yes"),0,MIN(PR_GoalMaxAge,In_age+IFERROR(INDEX(Goal_DefYrs,MATCH(N127,Goal_Keys,0)),0))),IF(IF(ISNUMBER(E127),AND(E127&gt;=0,E127&lt;=105,E127=INT(E127)),FALSE()),E127,MIN(PR_GoalMaxAge,In_age+IFERROR(INDEX(Goal_DefYrs,MATCH(N127,Goal_Keys,0)),0))))</f>
        <v>0</v>
      </c>
      <c r="Q127" s="26" t="n">
        <f aca="false">IF(ISBLANK(F127),IF(AND(ISBLANK(C127),Fill_Example="Yes"),0,IFERROR(INDEX(Goal_DefAmt,MATCH(N127,Goal_Keys,0)),0)),IF(IF(ISNUMBER(F127),AND(F127&gt;=0,F127&lt;=100000000),FALSE()),F127,IFERROR(INDEX(Goal_DefAmt,MATCH(N127,Goal_Keys,0)),0)))</f>
        <v>0</v>
      </c>
      <c r="R127" s="26" t="n">
        <f aca="false">IF(ISBLANK(G127),IF(AND(ISBLANK(C127),Fill_Example="Yes"),0,0),IF(IF(ISNUMBER(G127),AND(G127&gt;=0,G127&lt;=100000000),FALSE()),G127,0))</f>
        <v>0</v>
      </c>
      <c r="S127" s="26" t="str">
        <f aca="false">IF(ISBLANK(H127),IF(AND(ISBLANK(C127),Fill_Example="Yes"),"Must have","Must have"),IF(ISNUMBER(MATCH(H127,{"Must have","Nice to have"},0)),H127,"Must have"))</f>
        <v>Must have</v>
      </c>
      <c r="T127" s="26" t="str">
        <f aca="false">IF(ISBLANK(I127),"",IF(IF(ISNUMBER(I127),AND(I127&gt;=1,I127&lt;=22,I127=INT(I127)),FALSE()),I127,""))</f>
        <v/>
      </c>
      <c r="U127" s="26" t="str">
        <f aca="false">IF(ISBLANK(J127),IF(AND(ISBLANK(C127),Fill_Example="Yes"),"No","No"),IF(ISNUMBER(MATCH(J127,{"Yes","No"},0)),J127,"No"))</f>
        <v>No</v>
      </c>
    </row>
    <row r="128" customFormat="false" ht="15" hidden="false" customHeight="true" outlineLevel="0" collapsed="false">
      <c r="B128" s="20" t="s">
        <v>1166</v>
      </c>
      <c r="C128" s="24"/>
      <c r="D128" s="24"/>
      <c r="E128" s="24"/>
      <c r="F128" s="24"/>
      <c r="G128" s="24"/>
      <c r="H128" s="24"/>
      <c r="I128" s="24"/>
      <c r="J128" s="24"/>
      <c r="N128" s="26" t="str">
        <f aca="false">IF(ISBLANK(C128),IF(Fill_Example="Yes","",""),IF(ISNUMBER(MATCH(C128,Goal_Keys,0)),C128,""))</f>
        <v/>
      </c>
      <c r="O128" s="26" t="str">
        <f aca="false">IF(ISBLANK(D128),IFERROR(INDEX(Goal_Titles,MATCH(N128,Goal_Keys,0)),""),D128)</f>
        <v/>
      </c>
      <c r="P128" s="26" t="n">
        <f aca="false">IF(ISBLANK(E128),IF(AND(ISBLANK(C128),Fill_Example="Yes"),0,MIN(PR_GoalMaxAge,In_age+IFERROR(INDEX(Goal_DefYrs,MATCH(N128,Goal_Keys,0)),0))),IF(IF(ISNUMBER(E128),AND(E128&gt;=0,E128&lt;=105,E128=INT(E128)),FALSE()),E128,MIN(PR_GoalMaxAge,In_age+IFERROR(INDEX(Goal_DefYrs,MATCH(N128,Goal_Keys,0)),0))))</f>
        <v>0</v>
      </c>
      <c r="Q128" s="26" t="n">
        <f aca="false">IF(ISBLANK(F128),IF(AND(ISBLANK(C128),Fill_Example="Yes"),0,IFERROR(INDEX(Goal_DefAmt,MATCH(N128,Goal_Keys,0)),0)),IF(IF(ISNUMBER(F128),AND(F128&gt;=0,F128&lt;=100000000),FALSE()),F128,IFERROR(INDEX(Goal_DefAmt,MATCH(N128,Goal_Keys,0)),0)))</f>
        <v>0</v>
      </c>
      <c r="R128" s="26" t="n">
        <f aca="false">IF(ISBLANK(G128),IF(AND(ISBLANK(C128),Fill_Example="Yes"),0,0),IF(IF(ISNUMBER(G128),AND(G128&gt;=0,G128&lt;=100000000),FALSE()),G128,0))</f>
        <v>0</v>
      </c>
      <c r="S128" s="26" t="str">
        <f aca="false">IF(ISBLANK(H128),IF(AND(ISBLANK(C128),Fill_Example="Yes"),"Must have","Must have"),IF(ISNUMBER(MATCH(H128,{"Must have","Nice to have"},0)),H128,"Must have"))</f>
        <v>Must have</v>
      </c>
      <c r="T128" s="26" t="str">
        <f aca="false">IF(ISBLANK(I128),"",IF(IF(ISNUMBER(I128),AND(I128&gt;=1,I128&lt;=22,I128=INT(I128)),FALSE()),I128,""))</f>
        <v/>
      </c>
      <c r="U128" s="26" t="str">
        <f aca="false">IF(ISBLANK(J128),IF(AND(ISBLANK(C128),Fill_Example="Yes"),"No","No"),IF(ISNUMBER(MATCH(J128,{"Yes","No"},0)),J128,"No"))</f>
        <v>No</v>
      </c>
    </row>
    <row r="129" customFormat="false" ht="15" hidden="false" customHeight="true" outlineLevel="0" collapsed="false">
      <c r="B129" s="20" t="s">
        <v>1167</v>
      </c>
      <c r="C129" s="24"/>
      <c r="D129" s="24"/>
      <c r="E129" s="24"/>
      <c r="F129" s="24"/>
      <c r="G129" s="24"/>
      <c r="H129" s="24"/>
      <c r="I129" s="24"/>
      <c r="J129" s="24"/>
      <c r="N129" s="26" t="str">
        <f aca="false">IF(ISBLANK(C129),IF(Fill_Example="Yes","",""),IF(ISNUMBER(MATCH(C129,Goal_Keys,0)),C129,""))</f>
        <v/>
      </c>
      <c r="O129" s="26" t="str">
        <f aca="false">IF(ISBLANK(D129),IFERROR(INDEX(Goal_Titles,MATCH(N129,Goal_Keys,0)),""),D129)</f>
        <v/>
      </c>
      <c r="P129" s="26" t="n">
        <f aca="false">IF(ISBLANK(E129),IF(AND(ISBLANK(C129),Fill_Example="Yes"),0,MIN(PR_GoalMaxAge,In_age+IFERROR(INDEX(Goal_DefYrs,MATCH(N129,Goal_Keys,0)),0))),IF(IF(ISNUMBER(E129),AND(E129&gt;=0,E129&lt;=105,E129=INT(E129)),FALSE()),E129,MIN(PR_GoalMaxAge,In_age+IFERROR(INDEX(Goal_DefYrs,MATCH(N129,Goal_Keys,0)),0))))</f>
        <v>0</v>
      </c>
      <c r="Q129" s="26" t="n">
        <f aca="false">IF(ISBLANK(F129),IF(AND(ISBLANK(C129),Fill_Example="Yes"),0,IFERROR(INDEX(Goal_DefAmt,MATCH(N129,Goal_Keys,0)),0)),IF(IF(ISNUMBER(F129),AND(F129&gt;=0,F129&lt;=100000000),FALSE()),F129,IFERROR(INDEX(Goal_DefAmt,MATCH(N129,Goal_Keys,0)),0)))</f>
        <v>0</v>
      </c>
      <c r="R129" s="26" t="n">
        <f aca="false">IF(ISBLANK(G129),IF(AND(ISBLANK(C129),Fill_Example="Yes"),0,0),IF(IF(ISNUMBER(G129),AND(G129&gt;=0,G129&lt;=100000000),FALSE()),G129,0))</f>
        <v>0</v>
      </c>
      <c r="S129" s="26" t="str">
        <f aca="false">IF(ISBLANK(H129),IF(AND(ISBLANK(C129),Fill_Example="Yes"),"Must have","Must have"),IF(ISNUMBER(MATCH(H129,{"Must have","Nice to have"},0)),H129,"Must have"))</f>
        <v>Must have</v>
      </c>
      <c r="T129" s="26" t="str">
        <f aca="false">IF(ISBLANK(I129),"",IF(IF(ISNUMBER(I129),AND(I129&gt;=1,I129&lt;=22,I129=INT(I129)),FALSE()),I129,""))</f>
        <v/>
      </c>
      <c r="U129" s="26" t="str">
        <f aca="false">IF(ISBLANK(J129),IF(AND(ISBLANK(C129),Fill_Example="Yes"),"No","No"),IF(ISNUMBER(MATCH(J129,{"Yes","No"},0)),J129,"No"))</f>
        <v>No</v>
      </c>
    </row>
    <row r="130" customFormat="false" ht="15" hidden="false" customHeight="true" outlineLevel="0" collapsed="false">
      <c r="B130" s="20" t="s">
        <v>1168</v>
      </c>
      <c r="C130" s="24"/>
      <c r="D130" s="24"/>
      <c r="E130" s="24"/>
      <c r="F130" s="24"/>
      <c r="G130" s="24"/>
      <c r="H130" s="24"/>
      <c r="I130" s="24"/>
      <c r="J130" s="24"/>
      <c r="N130" s="26" t="str">
        <f aca="false">IF(ISBLANK(C130),IF(Fill_Example="Yes","",""),IF(ISNUMBER(MATCH(C130,Goal_Keys,0)),C130,""))</f>
        <v/>
      </c>
      <c r="O130" s="26" t="str">
        <f aca="false">IF(ISBLANK(D130),IFERROR(INDEX(Goal_Titles,MATCH(N130,Goal_Keys,0)),""),D130)</f>
        <v/>
      </c>
      <c r="P130" s="26" t="n">
        <f aca="false">IF(ISBLANK(E130),IF(AND(ISBLANK(C130),Fill_Example="Yes"),0,MIN(PR_GoalMaxAge,In_age+IFERROR(INDEX(Goal_DefYrs,MATCH(N130,Goal_Keys,0)),0))),IF(IF(ISNUMBER(E130),AND(E130&gt;=0,E130&lt;=105,E130=INT(E130)),FALSE()),E130,MIN(PR_GoalMaxAge,In_age+IFERROR(INDEX(Goal_DefYrs,MATCH(N130,Goal_Keys,0)),0))))</f>
        <v>0</v>
      </c>
      <c r="Q130" s="26" t="n">
        <f aca="false">IF(ISBLANK(F130),IF(AND(ISBLANK(C130),Fill_Example="Yes"),0,IFERROR(INDEX(Goal_DefAmt,MATCH(N130,Goal_Keys,0)),0)),IF(IF(ISNUMBER(F130),AND(F130&gt;=0,F130&lt;=100000000),FALSE()),F130,IFERROR(INDEX(Goal_DefAmt,MATCH(N130,Goal_Keys,0)),0)))</f>
        <v>0</v>
      </c>
      <c r="R130" s="26" t="n">
        <f aca="false">IF(ISBLANK(G130),IF(AND(ISBLANK(C130),Fill_Example="Yes"),0,0),IF(IF(ISNUMBER(G130),AND(G130&gt;=0,G130&lt;=100000000),FALSE()),G130,0))</f>
        <v>0</v>
      </c>
      <c r="S130" s="26" t="str">
        <f aca="false">IF(ISBLANK(H130),IF(AND(ISBLANK(C130),Fill_Example="Yes"),"Must have","Must have"),IF(ISNUMBER(MATCH(H130,{"Must have","Nice to have"},0)),H130,"Must have"))</f>
        <v>Must have</v>
      </c>
      <c r="T130" s="26" t="str">
        <f aca="false">IF(ISBLANK(I130),"",IF(IF(ISNUMBER(I130),AND(I130&gt;=1,I130&lt;=22,I130=INT(I130)),FALSE()),I130,""))</f>
        <v/>
      </c>
      <c r="U130" s="26" t="str">
        <f aca="false">IF(ISBLANK(J130),IF(AND(ISBLANK(C130),Fill_Example="Yes"),"No","No"),IF(ISNUMBER(MATCH(J130,{"Yes","No"},0)),J130,"No"))</f>
        <v>No</v>
      </c>
    </row>
    <row r="131" customFormat="false" ht="15" hidden="false" customHeight="true" outlineLevel="0" collapsed="false">
      <c r="B131" s="20" t="s">
        <v>1169</v>
      </c>
      <c r="C131" s="24"/>
      <c r="D131" s="24"/>
      <c r="E131" s="24"/>
      <c r="F131" s="24"/>
      <c r="G131" s="24"/>
      <c r="H131" s="24"/>
      <c r="I131" s="24"/>
      <c r="J131" s="24"/>
      <c r="N131" s="26" t="str">
        <f aca="false">IF(ISBLANK(C131),IF(Fill_Example="Yes","",""),IF(ISNUMBER(MATCH(C131,Goal_Keys,0)),C131,""))</f>
        <v/>
      </c>
      <c r="O131" s="26" t="str">
        <f aca="false">IF(ISBLANK(D131),IFERROR(INDEX(Goal_Titles,MATCH(N131,Goal_Keys,0)),""),D131)</f>
        <v/>
      </c>
      <c r="P131" s="26" t="n">
        <f aca="false">IF(ISBLANK(E131),IF(AND(ISBLANK(C131),Fill_Example="Yes"),0,MIN(PR_GoalMaxAge,In_age+IFERROR(INDEX(Goal_DefYrs,MATCH(N131,Goal_Keys,0)),0))),IF(IF(ISNUMBER(E131),AND(E131&gt;=0,E131&lt;=105,E131=INT(E131)),FALSE()),E131,MIN(PR_GoalMaxAge,In_age+IFERROR(INDEX(Goal_DefYrs,MATCH(N131,Goal_Keys,0)),0))))</f>
        <v>0</v>
      </c>
      <c r="Q131" s="26" t="n">
        <f aca="false">IF(ISBLANK(F131),IF(AND(ISBLANK(C131),Fill_Example="Yes"),0,IFERROR(INDEX(Goal_DefAmt,MATCH(N131,Goal_Keys,0)),0)),IF(IF(ISNUMBER(F131),AND(F131&gt;=0,F131&lt;=100000000),FALSE()),F131,IFERROR(INDEX(Goal_DefAmt,MATCH(N131,Goal_Keys,0)),0)))</f>
        <v>0</v>
      </c>
      <c r="R131" s="26" t="n">
        <f aca="false">IF(ISBLANK(G131),IF(AND(ISBLANK(C131),Fill_Example="Yes"),0,0),IF(IF(ISNUMBER(G131),AND(G131&gt;=0,G131&lt;=100000000),FALSE()),G131,0))</f>
        <v>0</v>
      </c>
      <c r="S131" s="26" t="str">
        <f aca="false">IF(ISBLANK(H131),IF(AND(ISBLANK(C131),Fill_Example="Yes"),"Must have","Must have"),IF(ISNUMBER(MATCH(H131,{"Must have","Nice to have"},0)),H131,"Must have"))</f>
        <v>Must have</v>
      </c>
      <c r="T131" s="26" t="str">
        <f aca="false">IF(ISBLANK(I131),"",IF(IF(ISNUMBER(I131),AND(I131&gt;=1,I131&lt;=22,I131=INT(I131)),FALSE()),I131,""))</f>
        <v/>
      </c>
      <c r="U131" s="26" t="str">
        <f aca="false">IF(ISBLANK(J131),IF(AND(ISBLANK(C131),Fill_Example="Yes"),"No","No"),IF(ISNUMBER(MATCH(J131,{"Yes","No"},0)),J131,"No"))</f>
        <v>No</v>
      </c>
    </row>
    <row r="132" customFormat="false" ht="15" hidden="false" customHeight="true" outlineLevel="0" collapsed="false">
      <c r="B132" s="20" t="s">
        <v>1170</v>
      </c>
      <c r="C132" s="24"/>
      <c r="D132" s="24"/>
      <c r="E132" s="24"/>
      <c r="F132" s="24"/>
      <c r="G132" s="24"/>
      <c r="H132" s="24"/>
      <c r="I132" s="24"/>
      <c r="J132" s="24"/>
      <c r="N132" s="26" t="str">
        <f aca="false">IF(ISBLANK(C132),IF(Fill_Example="Yes","",""),IF(ISNUMBER(MATCH(C132,Goal_Keys,0)),C132,""))</f>
        <v/>
      </c>
      <c r="O132" s="26" t="str">
        <f aca="false">IF(ISBLANK(D132),IFERROR(INDEX(Goal_Titles,MATCH(N132,Goal_Keys,0)),""),D132)</f>
        <v/>
      </c>
      <c r="P132" s="26" t="n">
        <f aca="false">IF(ISBLANK(E132),IF(AND(ISBLANK(C132),Fill_Example="Yes"),0,MIN(PR_GoalMaxAge,In_age+IFERROR(INDEX(Goal_DefYrs,MATCH(N132,Goal_Keys,0)),0))),IF(IF(ISNUMBER(E132),AND(E132&gt;=0,E132&lt;=105,E132=INT(E132)),FALSE()),E132,MIN(PR_GoalMaxAge,In_age+IFERROR(INDEX(Goal_DefYrs,MATCH(N132,Goal_Keys,0)),0))))</f>
        <v>0</v>
      </c>
      <c r="Q132" s="26" t="n">
        <f aca="false">IF(ISBLANK(F132),IF(AND(ISBLANK(C132),Fill_Example="Yes"),0,IFERROR(INDEX(Goal_DefAmt,MATCH(N132,Goal_Keys,0)),0)),IF(IF(ISNUMBER(F132),AND(F132&gt;=0,F132&lt;=100000000),FALSE()),F132,IFERROR(INDEX(Goal_DefAmt,MATCH(N132,Goal_Keys,0)),0)))</f>
        <v>0</v>
      </c>
      <c r="R132" s="26" t="n">
        <f aca="false">IF(ISBLANK(G132),IF(AND(ISBLANK(C132),Fill_Example="Yes"),0,0),IF(IF(ISNUMBER(G132),AND(G132&gt;=0,G132&lt;=100000000),FALSE()),G132,0))</f>
        <v>0</v>
      </c>
      <c r="S132" s="26" t="str">
        <f aca="false">IF(ISBLANK(H132),IF(AND(ISBLANK(C132),Fill_Example="Yes"),"Must have","Must have"),IF(ISNUMBER(MATCH(H132,{"Must have","Nice to have"},0)),H132,"Must have"))</f>
        <v>Must have</v>
      </c>
      <c r="T132" s="26" t="str">
        <f aca="false">IF(ISBLANK(I132),"",IF(IF(ISNUMBER(I132),AND(I132&gt;=1,I132&lt;=22,I132=INT(I132)),FALSE()),I132,""))</f>
        <v/>
      </c>
      <c r="U132" s="26" t="str">
        <f aca="false">IF(ISBLANK(J132),IF(AND(ISBLANK(C132),Fill_Example="Yes"),"No","No"),IF(ISNUMBER(MATCH(J132,{"Yes","No"},0)),J132,"No"))</f>
        <v>No</v>
      </c>
    </row>
  </sheetData>
  <mergeCells count="2">
    <mergeCell ref="B2:I2"/>
    <mergeCell ref="B3:I3"/>
  </mergeCells>
  <conditionalFormatting sqref="B3:I3">
    <cfRule type="expression" priority="2" aboveAverage="0" equalAverage="0" bottom="0" percent="0" rank="0" text="" dxfId="0">
      <formula>LEN($B$3)&gt;0</formula>
    </cfRule>
  </conditionalFormatting>
  <dataValidations count="162">
    <dataValidation allowBlank="true" error="Enter a real date of birth: day, month and year, with an age of 18 to 80 today." errorStyle="stop" errorTitle="Date of birth" operator="between" showDropDown="false" showErrorMessage="true" showInputMessage="false" sqref="C6" type="date">
      <formula1>DATE(1900,1,1)</formula1>
      <formula2>TODAY()</formula2>
    </dataValidation>
    <dataValidation allowBlank="true" error="Choose one of: Yes,No" errorStyle="stop" errorTitle="Not in the list" operator="between" showDropDown="false" showErrorMessage="true" showInputMessage="false" sqref="C7" type="list">
      <formula1>"Yes,No"</formula1>
      <formula2>0</formula2>
    </dataValidation>
    <dataValidation allowBlank="true" error="Choose one of: Yes,No" errorStyle="stop" errorTitle="Not in the list" operator="between" showDropDown="false" showErrorMessage="true" showInputMessage="false" sqref="C8" type="list">
      <formula1>"Yes,No"</formula1>
      <formula2>0</formula2>
    </dataValidation>
    <dataValidation allowBlank="true" error="Children or others who rely on you: allowed 0 to 20 (whole numbers)" errorStyle="stop" errorTitle="Outside the allowed range" operator="between" showDropDown="false" showErrorMessage="true" showInputMessage="false" sqref="C9" type="whole">
      <formula1>0</formula1>
      <formula2>20</formula2>
    </dataValidation>
    <dataValidation allowBlank="true" error="Retirement age (your choice, never filled in for you): allowed 18 to 105 (whole numbers)" errorStyle="stop" errorTitle="Outside the allowed range" operator="between" showDropDown="false" showErrorMessage="true" showInputMessage="false" sqref="C10" type="whole">
      <formula1>18</formula1>
      <formula2>105</formula2>
    </dataValidation>
    <dataValidation allowBlank="true" error="Partner's retirement age (your choice; needed when your partner has income): allowed 18 to 105 (whole numbers)" errorStyle="stop" errorTitle="Outside the allowed range" operator="between" showDropDown="false" showErrorMessage="true" showInputMessage="false" sqref="C11" type="whole">
      <formula1>18</formula1>
      <formula2>105</formula2>
    </dataValidation>
    <dataValidation allowBlank="true" error="Inflation you choose (a rate, e.g. 0.02 = 2%): allowed 0 to 0.1" errorStyle="stop" errorTitle="Outside the allowed range" operator="between" showDropDown="false" showErrorMessage="true" showInputMessage="false" sqref="C12" type="decimal">
      <formula1>0</formula1>
      <formula2>0.1</formula2>
    </dataValidation>
    <dataValidation allowBlank="true" error="Choose one of: Standard,Cautious" errorStyle="stop" errorTitle="Not in the list" operator="between" showDropDown="false" showErrorMessage="true" showInputMessage="false" sqref="C13" type="list">
      <formula1>"Standard,Cautious"</formula1>
      <formula2>0</formula2>
    </dataValidation>
    <dataValidation allowBlank="true" error="Q6 answer: how much could you invest? (0 to 4, blank = not answered): allowed 0 to 4 (whole numbers)" errorStyle="stop" errorTitle="Outside the allowed range" operator="between" showDropDown="false" showErrorMessage="true" showInputMessage="false" sqref="C14" type="whole">
      <formula1>0</formula1>
      <formula2>4</formula2>
    </dataValidation>
    <dataValidation allowBlank="true" error="My monthly saving (today's money, blank = use the rule): allowed 0 to 1e+06" errorStyle="stop" errorTitle="Outside the allowed range" operator="between" showDropDown="false" showErrorMessage="true" showInputMessage="false" sqref="C15" type="decimal">
      <formula1>0</formula1>
      <formula2>1000000</formula2>
    </dataValidation>
    <dataValidation allowBlank="true" error="Choose one of: Yes,No" errorStyle="stop" errorTitle="Not in the list" operator="between" showDropDown="false" showErrorMessage="true" showInputMessage="false" sqref="C16" type="list">
      <formula1>"Yes,No"</formula1>
      <formula2>0</formula2>
    </dataValidation>
    <dataValidation allowBlank="true" error="Extra monthly pension contribution you chose (€ a month): allowed 0 to 100000" errorStyle="stop" errorTitle="Outside the allowed range" operator="between" showDropDown="false" showErrorMessage="true" showInputMessage="false" sqref="C17" type="decimal">
      <formula1>0</formula1>
      <formula2>100000</formula2>
    </dataValidation>
    <dataValidation allowBlank="true" error="Choose one of: Yes,No" errorStyle="stop" errorTitle="Not in the list" operator="between" showDropDown="false" showErrorMessage="true" showInputMessage="false" sqref="C18" type="list">
      <formula1>"Yes,No"</formula1>
      <formula2>0</formula2>
    </dataValidation>
    <dataValidation allowBlank="true" error="Choose one of: Yes,No" errorStyle="stop" errorTitle="Not in the list" operator="between" showDropDown="false" showErrorMessage="true" showInputMessage="false" sqref="C19" type="list">
      <formula1>"Yes,No"</formula1>
      <formula2>0</formula2>
    </dataValidation>
    <dataValidation allowBlank="true" error="Choose one of: Yes,No" errorStyle="stop" errorTitle="Not in the list" operator="between" showDropDown="false" showErrorMessage="true" showInputMessage="false" sqref="C20" type="list">
      <formula1>"Yes,No"</formula1>
      <formula2>0</formula2>
    </dataValidation>
    <dataValidation allowBlank="true" error="What if: put it towards goal number (1 to 22, as listed below; blank = none): allowed 1 to 22 (whole numbers)" errorStyle="stop" errorTitle="Outside the allowed range" operator="between" showDropDown="false" showErrorMessage="true" showInputMessage="false" sqref="C23" type="whole">
      <formula1>1</formula1>
      <formula2>22</formula2>
    </dataValidation>
    <dataValidation allowBlank="true" error="What if: extra (or less) each month: allowed -5000 to 10000" errorStyle="stop" errorTitle="Outside the allowed range" operator="between" showDropDown="false" showErrorMessage="true" showInputMessage="false" sqref="C24" type="decimal">
      <formula1>-5000</formula1>
      <formula2>10000</formula2>
    </dataValidation>
    <dataValidation allowBlank="true" error="What if: one-off amount: allowed 0 to 2e+06" errorStyle="stop" errorTitle="Outside the allowed range" operator="between" showDropDown="false" showErrorMessage="true" showInputMessage="false" sqref="C25" type="decimal">
      <formula1>0</formula1>
      <formula2>2000000</formula2>
    </dataValidation>
    <dataValidation allowBlank="true" error="Choose one of: Employed,Self-employed,Not working" errorStyle="stop" errorTitle="Not in the list" operator="between" showDropDown="false" showErrorMessage="true" showInputMessage="false" sqref="C28" type="list">
      <formula1>"Employed,Self-employed,Not working"</formula1>
      <formula2>0</formula2>
    </dataValidation>
    <dataValidation allowBlank="true" error="Your gross yearly income: allowed 0 to 1e+08" errorStyle="stop" errorTitle="Outside the allowed range" operator="between" showDropDown="false" showErrorMessage="true" showInputMessage="false" sqref="C29" type="decimal">
      <formula1>0</formula1>
      <formula2>100000000</formula2>
    </dataValidation>
    <dataValidation allowBlank="true" error="Partner's gross yearly income: allowed 0 to 1e+08" errorStyle="stop" errorTitle="Outside the allowed range" operator="between" showDropDown="false" showErrorMessage="true" showInputMessage="false" sqref="C30" type="decimal">
      <formula1>0</formula1>
      <formula2>100000000</formula2>
    </dataValidation>
    <dataValidation allowBlank="true" error="Enter a real date of birth: day, month and year, with an age of 18 to 85 today." errorStyle="stop" errorTitle="Date of birth" operator="between" showDropDown="false" showErrorMessage="true" showInputMessage="false" sqref="C31" type="date">
      <formula1>DATE(1900,1,1)</formula1>
      <formula2>TODAY()</formula2>
    </dataValidation>
    <dataValidation allowBlank="true" error="Other income a month (before tax): allowed 0 to 1e+08" errorStyle="stop" errorTitle="Outside the allowed range" operator="between" showDropDown="false" showErrorMessage="true" showInputMessage="false" sqref="C32" type="decimal">
      <formula1>0</formula1>
      <formula2>100000000</formula2>
    </dataValidation>
    <dataValidation allowBlank="true" error="Monthly living costs (leave out mortgage and loan repayments): allowed 0 to 1e+08" errorStyle="stop" errorTitle="Outside the allowed range" operator="between" showDropDown="false" showErrorMessage="true" showInputMessage="false" sqref="C33" type="decimal">
      <formula1>0</formula1>
      <formula2>100000000</formula2>
    </dataValidation>
    <dataValidation allowBlank="true" error="Yearly one-off costs: allowed 0 to 1e+08" errorStyle="stop" errorTitle="Outside the allowed range" operator="between" showDropDown="false" showErrorMessage="true" showInputMessage="false" sqref="C34" type="decimal">
      <formula1>0</formula1>
      <formula2>100000000</formula2>
    </dataValidation>
    <dataValidation allowBlank="true" error="Other property: value (only used for the section status): allowed 0 to 1e+08" errorStyle="stop" errorTitle="Outside the allowed range" operator="between" showDropDown="false" showErrorMessage="true" showInputMessage="false" sqref="C35" type="decimal">
      <formula1>0</formula1>
      <formula2>100000000</formula2>
    </dataValidation>
    <dataValidation allowBlank="true" error="Other property: rent received a month: allowed 0 to 1e+08" errorStyle="stop" errorTitle="Outside the allowed range" operator="between" showDropDown="false" showErrorMessage="true" showInputMessage="false" sqref="C36" type="decimal">
      <formula1>0</formula1>
      <formula2>100000000</formula2>
    </dataValidation>
    <dataValidation allowBlank="true" error="Choose one of: Own outright,Own with mortgage,Rent,Live with family" errorStyle="stop" errorTitle="Not in the list" operator="between" showDropDown="false" showErrorMessage="true" showInputMessage="false" sqref="C37" type="list">
      <formula1>"Own outright,Own with mortgage,Rent,Live with family"</formula1>
      <formula2>0</formula2>
    </dataValidation>
    <dataValidation allowBlank="true" error="Home value: allowed 0 to 1e+08" errorStyle="stop" errorTitle="Outside the allowed range" operator="between" showDropDown="false" showErrorMessage="true" showInputMessage="false" sqref="C38" type="decimal">
      <formula1>0</formula1>
      <formula2>100000000</formula2>
    </dataValidation>
    <dataValidation allowBlank="true" error="Cash savings: allowed 0 to 1e+08" errorStyle="stop" errorTitle="Outside the allowed range" operator="between" showDropDown="false" showErrorMessage="true" showInputMessage="false" sqref="C39" type="decimal">
      <formula1>0</formula1>
      <formula2>100000000</formula2>
    </dataValidation>
    <dataValidation allowBlank="true" error="Investments: allowed 0 to 1e+08" errorStyle="stop" errorTitle="Outside the allowed range" operator="between" showDropDown="false" showErrorMessage="true" showInputMessage="false" sqref="C40" type="decimal">
      <formula1>0</formula1>
      <formula2>100000000</formula2>
    </dataValidation>
    <dataValidation allowBlank="true" error="Mortgage left: allowed 0 to 1e+08" errorStyle="stop" errorTitle="Outside the allowed range" operator="between" showDropDown="false" showErrorMessage="true" showInputMessage="false" sqref="C41" type="decimal">
      <formula1>0</formula1>
      <formula2>100000000</formula2>
    </dataValidation>
    <dataValidation allowBlank="true" error="Mortgage rate, APR (e.g. 0.0385 = 3.85%; blank = your assumption): allowed 0 to 0.3" errorStyle="stop" errorTitle="Outside the allowed range" operator="between" showDropDown="false" showErrorMessage="true" showInputMessage="false" sqref="C42" type="decimal">
      <formula1>0</formula1>
      <formula2>0.3</formula2>
    </dataValidation>
    <dataValidation allowBlank="true" error="Mortgage monthly repayment: allowed 0 to 1e+08" errorStyle="stop" errorTitle="Outside the allowed range" operator="between" showDropDown="false" showErrorMessage="true" showInputMessage="false" sqref="C43" type="decimal">
      <formula1>0</formula1>
      <formula2>100000000</formula2>
    </dataValidation>
    <dataValidation allowBlank="true" error="Mortgage years left: allowed 1 to 40 (whole numbers)" errorStyle="stop" errorTitle="Outside the allowed range" operator="between" showDropDown="false" showErrorMessage="true" showInputMessage="false" sqref="C44" type="whole">
      <formula1>1</formula1>
      <formula2>40</formula2>
    </dataValidation>
    <dataValidation allowBlank="true" error="Credit cards: total owed (a list on &quot;Your lists&quot; wins): allowed 0 to 1e+08" errorStyle="stop" errorTitle="Outside the allowed range" operator="between" showDropDown="false" showErrorMessage="true" showInputMessage="false" sqref="C45" type="decimal">
      <formula1>0</formula1>
      <formula2>100000000</formula2>
    </dataValidation>
    <dataValidation allowBlank="true" error="Credit cards: monthly repayment: allowed 0 to 1e+08" errorStyle="stop" errorTitle="Outside the allowed range" operator="between" showDropDown="false" showErrorMessage="true" showInputMessage="false" sqref="C46" type="decimal">
      <formula1>0</formula1>
      <formula2>100000000</formula2>
    </dataValidation>
    <dataValidation allowBlank="true" error="Credit cards: APR (e.g. 0.22 = 22%; blank = your assumption): allowed 0 to 0.3" errorStyle="stop" errorTitle="Outside the allowed range" operator="between" showDropDown="false" showErrorMessage="true" showInputMessage="false" sqref="C47" type="decimal">
      <formula1>0</formula1>
      <formula2>0.3</formula2>
    </dataValidation>
    <dataValidation allowBlank="true" error="Other loans: total owed: allowed 0 to 1e+08" errorStyle="stop" errorTitle="Outside the allowed range" operator="between" showDropDown="false" showErrorMessage="true" showInputMessage="false" sqref="C48" type="decimal">
      <formula1>0</formula1>
      <formula2>100000000</formula2>
    </dataValidation>
    <dataValidation allowBlank="true" error="Other loans: monthly repayment: allowed 0 to 1e+08" errorStyle="stop" errorTitle="Outside the allowed range" operator="between" showDropDown="false" showErrorMessage="true" showInputMessage="false" sqref="C49" type="decimal">
      <formula1>0</formula1>
      <formula2>100000000</formula2>
    </dataValidation>
    <dataValidation allowBlank="true" error="Other loans: APR (e.g. 0.09 = 9%; blank = your assumption): allowed 0 to 0.3" errorStyle="stop" errorTitle="Outside the allowed range" operator="between" showDropDown="false" showErrorMessage="true" showInputMessage="false" sqref="C50" type="decimal">
      <formula1>0</formula1>
      <formula2>0.3</formula2>
    </dataValidation>
    <dataValidation allowBlank="true" error="Other debt (older single figure): allowed 0 to 1e+08" errorStyle="stop" errorTitle="Outside the allowed range" operator="between" showDropDown="false" showErrorMessage="true" showInputMessage="false" sqref="C51" type="decimal">
      <formula1>0</formula1>
      <formula2>100000000</formula2>
    </dataValidation>
    <dataValidation allowBlank="true" error="Other debt monthly repayment: allowed 0 to 1e+08" errorStyle="stop" errorTitle="Outside the allowed range" operator="between" showDropDown="false" showErrorMessage="true" showInputMessage="false" sqref="C52" type="decimal">
      <formula1>0</formula1>
      <formula2>100000000</formula2>
    </dataValidation>
    <dataValidation allowBlank="true" error="Pension value today (a list on &quot;Your lists&quot; wins): allowed 0 to 1e+08" errorStyle="stop" errorTitle="Outside the allowed range" operator="between" showDropDown="false" showErrorMessage="true" showInputMessage="false" sqref="C53" type="decimal">
      <formula1>0</formula1>
      <formula2>100000000</formula2>
    </dataValidation>
    <dataValidation allowBlank="true" error="Paid into your pension each month, you + employer: allowed 0 to 1e+08" errorStyle="stop" errorTitle="Outside the allowed range" operator="between" showDropDown="false" showErrorMessage="true" showInputMessage="false" sqref="C54" type="decimal">
      <formula1>0</formula1>
      <formula2>100000000</formula2>
    </dataValidation>
    <dataValidation allowBlank="true" error="Of that, paid by you each month (blank = your share assumption): allowed 0 to 1e+08" errorStyle="stop" errorTitle="Outside the allowed range" operator="between" showDropDown="false" showErrorMessage="true" showInputMessage="false" sqref="C55" type="decimal">
      <formula1>0</formula1>
      <formula2>100000000</formula2>
    </dataValidation>
    <dataValidation allowBlank="true" error="Your statement's pension charges, a rate (e.g. 0.01 = 1%; blank = the typical charges are already in the growth rate): allowed 0 to 0.05" errorStyle="stop" errorTitle="Outside the allowed range" operator="between" showDropDown="false" showErrorMessage="true" showInputMessage="false" sqref="C56" type="decimal">
      <formula1>0</formula1>
      <formula2>0.05</formula2>
    </dataValidation>
    <dataValidation allowBlank="true" error="Choose one of: Yes,No,Not sure" errorStyle="stop" errorTitle="Not in the list" operator="between" showDropDown="false" showErrorMessage="true" showInputMessage="false" sqref="C57" type="list">
      <formula1>"Yes,No,Not sure"</formula1>
      <formula2>0</formula2>
    </dataValidation>
    <dataValidation allowBlank="true" error="Choose one of: Expect full,Partly,Not sure" errorStyle="stop" errorTitle="Not in the list" operator="between" showDropDown="false" showErrorMessage="true" showInputMessage="false" sqref="C58" type="list">
      <formula1>"Expect full,Partly,Not sure"</formula1>
      <formula2>0</formula2>
    </dataValidation>
    <dataValidation allowBlank="true" error="PRSI years at 66 (blank = not known): allowed 0 to 45 (whole numbers)" errorStyle="stop" errorTitle="Outside the allowed range" operator="between" showDropDown="false" showErrorMessage="true" showInputMessage="false" sqref="C59" type="whole">
      <formula1>0</formula1>
      <formula2>45</formula2>
    </dataValidation>
    <dataValidation allowBlank="true" error="Choose one of: Own full,Own partial,Qualified adult increase,None,Not sure" errorStyle="stop" errorTitle="Not in the list" operator="between" showDropDown="false" showErrorMessage="true" showInputMessage="false" sqref="C60" type="list">
      <formula1>"Own full,Own partial,Qualified adult increase,None,Not sure"</formula1>
      <formula2>0</formula2>
    </dataValidation>
    <dataValidation allowBlank="true" error="Choose one of: Yes,No,Not sure" errorStyle="stop" errorTitle="Not in the list" operator="between" showDropDown="false" showErrorMessage="true" showInputMessage="false" sqref="C61" type="list">
      <formula1>"Yes,No,Not sure"</formula1>
      <formula2>0</formula2>
    </dataValidation>
    <dataValidation allowBlank="true" error="Choose one of: Yes,No,Not sure" errorStyle="stop" errorTitle="Not in the list" operator="between" showDropDown="false" showErrorMessage="true" showInputMessage="false" sqref="C62" type="list">
      <formula1>"Yes,No,Not sure"</formula1>
      <formula2>0</formula2>
    </dataValidation>
    <dataValidation allowBlank="true" error="Choose one of: Yes,No,Not sure" errorStyle="stop" errorTitle="Not in the list" operator="between" showDropDown="false" showErrorMessage="true" showInputMessage="false" sqref="C63" type="list">
      <formula1>"Yes,No,Not sure"</formula1>
      <formula2>0</formula2>
    </dataValidation>
    <dataValidation allowBlank="true" error="Choose one of: Yes,No,Not sure" errorStyle="stop" errorTitle="Not in the list" operator="between" showDropDown="false" showErrorMessage="true" showInputMessage="false" sqref="C64" type="list">
      <formula1>"Yes,No,Not sure"</formula1>
      <formula2>0</formula2>
    </dataValidation>
    <dataValidation allowBlank="true" error="Choose one of: Yes,No,Not sure" errorStyle="stop" errorTitle="Not in the list" operator="between" showDropDown="false" showErrorMessage="true" showInputMessage="false" sqref="C65" type="list">
      <formula1>"Yes,No,Not sure"</formula1>
      <formula2>0</formula2>
    </dataValidation>
    <dataValidation allowBlank="true" error="Choose one of: Yes,No" errorStyle="stop" errorTitle="Not in the list" operator="between" showDropDown="false" showErrorMessage="true" showInputMessage="false" sqref="C68" type="list">
      <formula1>"Yes,No"</formula1>
      <formula2>0</formula2>
    </dataValidation>
    <dataValidation allowBlank="true" error="Choose one of: Yes,No" errorStyle="stop" errorTitle="Not in the list" operator="between" showDropDown="false" showErrorMessage="true" showInputMessage="false" sqref="C70" type="list">
      <formula1>"Yes,No"</formula1>
      <formula2>0</formula2>
    </dataValidation>
    <dataValidation allowBlank="true" error="Choose one of: Yes,No" errorStyle="stop" errorTitle="Not in the list" operator="between" showDropDown="false" showErrorMessage="true" showInputMessage="false" sqref="C71" type="list">
      <formula1>"Yes,No"</formula1>
      <formula2>0</formula2>
    </dataValidation>
    <dataValidation allowBlank="true" error="Choose one of: Yes,No" errorStyle="stop" errorTitle="Not in the list" operator="between" showDropDown="false" showErrorMessage="true" showInputMessage="false" sqref="C72" type="list">
      <formula1>"Yes,No"</formula1>
      <formula2>0</formula2>
    </dataValidation>
    <dataValidation allowBlank="true" error="Choose one of: Yes,No" errorStyle="stop" errorTitle="Not in the list" operator="between" showDropDown="false" showErrorMessage="true" showInputMessage="false" sqref="C73" type="list">
      <formula1>"Yes,No"</formula1>
      <formula2>0</formula2>
    </dataValidation>
    <dataValidation allowBlank="true" error="Choose one of: Yes,No" errorStyle="stop" errorTitle="Not in the list" operator="between" showDropDown="false" showErrorMessage="true" showInputMessage="false" sqref="C74" type="list">
      <formula1>"Yes,No"</formula1>
      <formula2>0</formula2>
    </dataValidation>
    <dataValidation allowBlank="true" error="Choose one of: Yes,No" errorStyle="stop" errorTitle="Not in the list" operator="between" showDropDown="false" showErrorMessage="true" showInputMessage="false" sqref="C75" type="list">
      <formula1>"Yes,No"</formula1>
      <formula2>0</formula2>
    </dataValidation>
    <dataValidation allowBlank="true" error="Choose one of: Yes,No" errorStyle="stop" errorTitle="Not in the list" operator="between" showDropDown="false" showErrorMessage="true" showInputMessage="false" sqref="C76" type="list">
      <formula1>"Yes,No"</formula1>
      <formula2>0</formula2>
    </dataValidation>
    <dataValidation allowBlank="true" error="Choose one of: Yes,No" errorStyle="stop" errorTitle="Not in the list" operator="between" showDropDown="false" showErrorMessage="true" showInputMessage="false" sqref="C77" type="list">
      <formula1>"Yes,No"</formula1>
      <formula2>0</formula2>
    </dataValidation>
    <dataValidation allowBlank="true" error="Investments grow (a year): allowed 0 to 0.07" errorStyle="stop" errorTitle="Outside the allowed range" operator="between" showDropDown="false" showErrorMessage="true" showInputMessage="false" sqref="C82" type="decimal">
      <formula1>0</formula1>
      <formula2>0.07</formula2>
    </dataValidation>
    <dataValidation allowBlank="true" error="Cash savings earn (a year): allowed 0 to 0.04" errorStyle="stop" errorTitle="Outside the allowed range" operator="between" showDropDown="false" showErrorMessage="true" showInputMessage="false" sqref="C83" type="decimal">
      <formula1>0</formula1>
      <formula2>0.04</formula2>
    </dataValidation>
    <dataValidation allowBlank="true" error="Pension grows while you work (a year): allowed 0 to 0.07" errorStyle="stop" errorTitle="Outside the allowed range" operator="between" showDropDown="false" showErrorMessage="true" showInputMessage="false" sqref="C84" type="decimal">
      <formula1>0</formula1>
      <formula2>0.07</formula2>
    </dataValidation>
    <dataValidation allowBlank="true" error="Pension grows once retired (a year): allowed 0 to 0.07" errorStyle="stop" errorTitle="Outside the allowed range" operator="between" showDropDown="false" showErrorMessage="true" showInputMessage="false" sqref="C85" type="decimal">
      <formula1>0</formula1>
      <formula2>0.07</formula2>
    </dataValidation>
    <dataValidation allowBlank="true" error="Pay rises (a year): allowed 0 to 0.06" errorStyle="stop" errorTitle="Outside the allowed range" operator="between" showDropDown="false" showErrorMessage="true" showInputMessage="false" sqref="C86" type="decimal">
      <formula1>0</formula1>
      <formula2>0.06</formula2>
    </dataValidation>
    <dataValidation allowBlank="true" error="Choose one of: prices,flat" errorStyle="stop" errorTitle="Not in the list" operator="between" showDropDown="false" showErrorMessage="true" showInputMessage="false" sqref="C87" type="list">
      <formula1>"prices,flat"</formula1>
      <formula2>0</formula2>
    </dataValidation>
    <dataValidation allowBlank="true" error="Choose one of: prices,pay,flat" errorStyle="stop" errorTitle="Not in the list" operator="between" showDropDown="false" showErrorMessage="true" showInputMessage="false" sqref="C88" type="list">
      <formula1>"prices,pay,flat"</formula1>
      <formula2>0</formula2>
    </dataValidation>
    <dataValidation allowBlank="true" error="Share of your pension you pay yourself: allowed 0 to 1" errorStyle="stop" errorTitle="Outside the allowed range" operator="between" showDropDown="false" showErrorMessage="true" showInputMessage="false" sqref="C89" type="decimal">
      <formula1>0</formula1>
      <formula2>1</formula2>
    </dataValidation>
    <dataValidation allowBlank="true" error="Choose one of: 50,60" errorStyle="stop" errorTitle="Not in the list" operator="between" showDropDown="false" showErrorMessage="true" showInputMessage="false" sqref="C90" type="list">
      <formula1>"50,60"</formula1>
      <formula2>0</formula2>
    </dataValidation>
    <dataValidation allowBlank="true" error="Retirement spending if no retirement goal (share of today's): allowed 0.5 to 1.2" errorStyle="stop" errorTitle="Outside the allowed range" operator="between" showDropDown="false" showErrorMessage="true" showInputMessage="false" sqref="C91" type="decimal">
      <formula1>0.5</formula1>
      <formula2>1.2</formula2>
    </dataValidation>
    <dataValidation allowBlank="true" error="Tax-free lump sum to take (share of pension): allowed 0 to 0.25" errorStyle="stop" errorTitle="Outside the allowed range" operator="between" showDropDown="false" showErrorMessage="true" showInputMessage="false" sqref="C92" type="decimal">
      <formula1>0</formula1>
      <formula2>0.25</formula2>
    </dataValidation>
    <dataValidation allowBlank="true" error="Choose one of: spread,min,fixed" errorStyle="stop" errorTitle="Not in the list" operator="between" showDropDown="false" showErrorMessage="true" showInputMessage="false" sqref="C93" type="list">
      <formula1>"spread,min,fixed"</formula1>
      <formula2>0</formula2>
    </dataValidation>
    <dataValidation allowBlank="true" error="Fixed amount a year, if you chose fixed (today's money): allowed 0 to 200000" errorStyle="stop" errorTitle="Outside the allowed range" operator="between" showDropDown="false" showErrorMessage="true" showInputMessage="false" sqref="C94" type="decimal">
      <formula1>0</formula1>
      <formula2>200000</formula2>
    </dataValidation>
    <dataValidation allowBlank="true" error="Emergency fund months: allowed 1 to 12 (whole numbers)" errorStyle="stop" errorTitle="Outside the allowed range" operator="between" showDropDown="false" showErrorMessage="true" showInputMessage="false" sqref="C95" type="whole">
      <formula1>1</formula1>
      <formula2>12</formula2>
    </dataValidation>
    <dataValidation allowBlank="true" error="Money for goals sooner than this is kept as cash (years): allowed 1 to 10 (whole numbers)" errorStyle="stop" errorTitle="Outside the allowed range" operator="between" showDropDown="false" showErrorMessage="true" showInputMessage="false" sqref="C96" type="whole">
      <formula1>1</formula1>
      <formula2>10</formula2>
    </dataValidation>
    <dataValidation allowBlank="true" error="Spare savings: share invested: allowed 0 to 1" errorStyle="stop" errorTitle="Outside the allowed range" operator="between" showDropDown="false" showErrorMessage="true" showInputMessage="false" sqref="C97" type="decimal">
      <formula1>0</formula1>
      <formula2>1</formula2>
    </dataValidation>
    <dataValidation allowBlank="true" error="Share of spare money saved, at most: allowed 0 to 1" errorStyle="stop" errorTitle="Outside the allowed range" operator="between" showDropDown="false" showErrorMessage="true" showInputMessage="false" sqref="C98" type="decimal">
      <formula1>0</formula1>
      <formula2>1</formula2>
    </dataValidation>
    <dataValidation allowBlank="true" error="Monthly saving if Q6 not answered: allowed 0 to 5000" errorStyle="stop" errorTitle="Outside the allowed range" operator="between" showDropDown="false" showErrorMessage="true" showInputMessage="false" sqref="C99" type="decimal">
      <formula1>0</formula1>
      <formula2>5000</formula2>
    </dataValidation>
    <dataValidation allowBlank="true" error="Plan until age (your choice, never filled in for you): allowed 50 to 100 (whole numbers)" errorStyle="stop" errorTitle="Outside the allowed range" operator="between" showDropDown="false" showErrorMessage="true" showInputMessage="false" sqref="C100" type="whole">
      <formula1>50</formula1>
      <formula2>100</formula2>
    </dataValidation>
    <dataValidation allowBlank="true" error="Choose one of: 2026,2027" errorStyle="stop" errorTitle="Not in the list" operator="between" showDropDown="false" showErrorMessage="true" showInputMessage="false" sqref="C101" type="list">
      <formula1>"2026,2027"</formula1>
      <formula2>0</formula2>
    </dataValidation>
    <dataValidation allowBlank="true" error="Mortgage rate if the statement does not say: allowed 0.01 to 0.08" errorStyle="stop" errorTitle="Outside the allowed range" operator="between" showDropDown="false" showErrorMessage="true" showInputMessage="false" sqref="C102" type="decimal">
      <formula1>0.01</formula1>
      <formula2>0.08</formula2>
    </dataValidation>
    <dataValidation allowBlank="true" error="Credit-card rate if the statement does not say: allowed 0 to 0.35" errorStyle="stop" errorTitle="Outside the allowed range" operator="between" showDropDown="false" showErrorMessage="true" showInputMessage="false" sqref="C103" type="decimal">
      <formula1>0</formula1>
      <formula2>0.35</formula2>
    </dataValidation>
    <dataValidation allowBlank="true" error="Other loans rate if the statement does not say: allowed 0 to 0.25" errorStyle="stop" errorTitle="Outside the allowed range" operator="between" showDropDown="false" showErrorMessage="true" showInputMessage="false" sqref="C104" type="decimal">
      <formula1>0</formula1>
      <formula2>0.25</formula2>
    </dataValidation>
    <dataValidation allowBlank="true" error="Your State Pension a week at 66 (if you do not know your PRSI years): allowed 0 to 299.3" errorStyle="stop" errorTitle="Outside the allowed range" operator="between" showDropDown="false" showErrorMessage="true" showInputMessage="false" sqref="C105" type="decimal">
      <formula1>0</formula1>
      <formula2>299.3</formula2>
    </dataValidation>
    <dataValidation allowBlank="true" error="Partner's State Pension a week at 66: allowed 0 to 299.3" errorStyle="stop" errorTitle="Outside the allowed range" operator="between" showDropDown="false" showErrorMessage="true" showInputMessage="false" sqref="C106" type="decimal">
      <formula1>0</formula1>
      <formula2>299.3</formula2>
    </dataValidation>
    <dataValidation allowBlank="true" error="PRSI years at 66 (as an assumption): allowed 0 to 45 (whole numbers)" errorStyle="stop" errorTitle="Outside the allowed range" operator="between" showDropDown="false" showErrorMessage="true" showInputMessage="false" sqref="C107" type="whole">
      <formula1>0</formula1>
      <formula2>45</formula2>
    </dataValidation>
    <dataValidation allowBlank="true" error="Typical pension charges already in the growth rate: allowed 0 to 0.025" errorStyle="stop" errorTitle="Outside the allowed range" operator="between" showDropDown="false" showErrorMessage="true" showInputMessage="false" sqref="C108" type="decimal">
      <formula1>0</formula1>
      <formula2>0.025</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11" type="list">
      <formula1>"home,retire,family,edu,travel,business,mfree,safety,wealth,helpfam,legacy,wedding,car,health,other"</formula1>
      <formula2>0</formula2>
    </dataValidation>
    <dataValidation allowBlank="true" error="Target age: allowed 0 to 105 (whole numbers)" errorStyle="stop" errorTitle="Outside the allowed range" operator="between" showDropDown="false" showErrorMessage="true" showInputMessage="false" sqref="E111:E132" type="whole">
      <formula1>0</formula1>
      <formula2>105</formula2>
    </dataValidation>
    <dataValidation allowBlank="true" error="Amount: allowed 0 to 1e+08" errorStyle="stop" errorTitle="Outside the allowed range" operator="between" showDropDown="false" showErrorMessage="true" showInputMessage="false" sqref="F111:F132" type="decimal">
      <formula1>0</formula1>
      <formula2>100000000</formula2>
    </dataValidation>
    <dataValidation allowBlank="true" error="Saved so far: allowed 0 to 1e+08" errorStyle="stop" errorTitle="Outside the allowed range" operator="between" showDropDown="false" showErrorMessage="true" showInputMessage="false" sqref="G111:G132" type="decimal">
      <formula1>0</formula1>
      <formula2>100000000</formula2>
    </dataValidation>
    <dataValidation allowBlank="true" error="Choose one of: Must have,Nice to have" errorStyle="stop" errorTitle="Not in the list" operator="between" showDropDown="false" showErrorMessage="true" showInputMessage="false" sqref="H111" type="list">
      <formula1>"Must have,Nice to have"</formula1>
      <formula2>0</formula2>
    </dataValidation>
    <dataValidation allowBlank="true" error="Rank: allowed 1 to 22 (whole numbers)" errorStyle="stop" errorTitle="Outside the allowed range" operator="between" showDropDown="false" showErrorMessage="true" showInputMessage="false" sqref="I111:I132" type="whole">
      <formula1>1</formula1>
      <formula2>22</formula2>
    </dataValidation>
    <dataValidation allowBlank="true" error="Choose one of: Yes,No" errorStyle="stop" errorTitle="Not in the list" operator="between" showDropDown="false" showErrorMessage="true" showInputMessage="false" sqref="J111"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12"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12" type="list">
      <formula1>"Must have,Nice to have"</formula1>
      <formula2>0</formula2>
    </dataValidation>
    <dataValidation allowBlank="true" error="Choose one of: Yes,No" errorStyle="stop" errorTitle="Not in the list" operator="between" showDropDown="false" showErrorMessage="true" showInputMessage="false" sqref="J112"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13"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13" type="list">
      <formula1>"Must have,Nice to have"</formula1>
      <formula2>0</formula2>
    </dataValidation>
    <dataValidation allowBlank="true" error="Choose one of: Yes,No" errorStyle="stop" errorTitle="Not in the list" operator="between" showDropDown="false" showErrorMessage="true" showInputMessage="false" sqref="J113"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14"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14" type="list">
      <formula1>"Must have,Nice to have"</formula1>
      <formula2>0</formula2>
    </dataValidation>
    <dataValidation allowBlank="true" error="Choose one of: Yes,No" errorStyle="stop" errorTitle="Not in the list" operator="between" showDropDown="false" showErrorMessage="true" showInputMessage="false" sqref="J114"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15"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15" type="list">
      <formula1>"Must have,Nice to have"</formula1>
      <formula2>0</formula2>
    </dataValidation>
    <dataValidation allowBlank="true" error="Choose one of: Yes,No" errorStyle="stop" errorTitle="Not in the list" operator="between" showDropDown="false" showErrorMessage="true" showInputMessage="false" sqref="J115"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16"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16" type="list">
      <formula1>"Must have,Nice to have"</formula1>
      <formula2>0</formula2>
    </dataValidation>
    <dataValidation allowBlank="true" error="Choose one of: Yes,No" errorStyle="stop" errorTitle="Not in the list" operator="between" showDropDown="false" showErrorMessage="true" showInputMessage="false" sqref="J116"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17"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17" type="list">
      <formula1>"Must have,Nice to have"</formula1>
      <formula2>0</formula2>
    </dataValidation>
    <dataValidation allowBlank="true" error="Choose one of: Yes,No" errorStyle="stop" errorTitle="Not in the list" operator="between" showDropDown="false" showErrorMessage="true" showInputMessage="false" sqref="J117"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18"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18" type="list">
      <formula1>"Must have,Nice to have"</formula1>
      <formula2>0</formula2>
    </dataValidation>
    <dataValidation allowBlank="true" error="Choose one of: Yes,No" errorStyle="stop" errorTitle="Not in the list" operator="between" showDropDown="false" showErrorMessage="true" showInputMessage="false" sqref="J118"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19"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19" type="list">
      <formula1>"Must have,Nice to have"</formula1>
      <formula2>0</formula2>
    </dataValidation>
    <dataValidation allowBlank="true" error="Choose one of: Yes,No" errorStyle="stop" errorTitle="Not in the list" operator="between" showDropDown="false" showErrorMessage="true" showInputMessage="false" sqref="J119"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20"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20" type="list">
      <formula1>"Must have,Nice to have"</formula1>
      <formula2>0</formula2>
    </dataValidation>
    <dataValidation allowBlank="true" error="Choose one of: Yes,No" errorStyle="stop" errorTitle="Not in the list" operator="between" showDropDown="false" showErrorMessage="true" showInputMessage="false" sqref="J120"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21"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21" type="list">
      <formula1>"Must have,Nice to have"</formula1>
      <formula2>0</formula2>
    </dataValidation>
    <dataValidation allowBlank="true" error="Choose one of: Yes,No" errorStyle="stop" errorTitle="Not in the list" operator="between" showDropDown="false" showErrorMessage="true" showInputMessage="false" sqref="J121"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22"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22" type="list">
      <formula1>"Must have,Nice to have"</formula1>
      <formula2>0</formula2>
    </dataValidation>
    <dataValidation allowBlank="true" error="Choose one of: Yes,No" errorStyle="stop" errorTitle="Not in the list" operator="between" showDropDown="false" showErrorMessage="true" showInputMessage="false" sqref="J122"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23"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23" type="list">
      <formula1>"Must have,Nice to have"</formula1>
      <formula2>0</formula2>
    </dataValidation>
    <dataValidation allowBlank="true" error="Choose one of: Yes,No" errorStyle="stop" errorTitle="Not in the list" operator="between" showDropDown="false" showErrorMessage="true" showInputMessage="false" sqref="J123"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24"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24" type="list">
      <formula1>"Must have,Nice to have"</formula1>
      <formula2>0</formula2>
    </dataValidation>
    <dataValidation allowBlank="true" error="Choose one of: Yes,No" errorStyle="stop" errorTitle="Not in the list" operator="between" showDropDown="false" showErrorMessage="true" showInputMessage="false" sqref="J124"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25"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25" type="list">
      <formula1>"Must have,Nice to have"</formula1>
      <formula2>0</formula2>
    </dataValidation>
    <dataValidation allowBlank="true" error="Choose one of: Yes,No" errorStyle="stop" errorTitle="Not in the list" operator="between" showDropDown="false" showErrorMessage="true" showInputMessage="false" sqref="J125"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26"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26" type="list">
      <formula1>"Must have,Nice to have"</formula1>
      <formula2>0</formula2>
    </dataValidation>
    <dataValidation allowBlank="true" error="Choose one of: Yes,No" errorStyle="stop" errorTitle="Not in the list" operator="between" showDropDown="false" showErrorMessage="true" showInputMessage="false" sqref="J126"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27"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27" type="list">
      <formula1>"Must have,Nice to have"</formula1>
      <formula2>0</formula2>
    </dataValidation>
    <dataValidation allowBlank="true" error="Choose one of: Yes,No" errorStyle="stop" errorTitle="Not in the list" operator="between" showDropDown="false" showErrorMessage="true" showInputMessage="false" sqref="J127"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28"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28" type="list">
      <formula1>"Must have,Nice to have"</formula1>
      <formula2>0</formula2>
    </dataValidation>
    <dataValidation allowBlank="true" error="Choose one of: Yes,No" errorStyle="stop" errorTitle="Not in the list" operator="between" showDropDown="false" showErrorMessage="true" showInputMessage="false" sqref="J128"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29"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29" type="list">
      <formula1>"Must have,Nice to have"</formula1>
      <formula2>0</formula2>
    </dataValidation>
    <dataValidation allowBlank="true" error="Choose one of: Yes,No" errorStyle="stop" errorTitle="Not in the list" operator="between" showDropDown="false" showErrorMessage="true" showInputMessage="false" sqref="J129"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30"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30" type="list">
      <formula1>"Must have,Nice to have"</formula1>
      <formula2>0</formula2>
    </dataValidation>
    <dataValidation allowBlank="true" error="Choose one of: Yes,No" errorStyle="stop" errorTitle="Not in the list" operator="between" showDropDown="false" showErrorMessage="true" showInputMessage="false" sqref="J130"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31"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31" type="list">
      <formula1>"Must have,Nice to have"</formula1>
      <formula2>0</formula2>
    </dataValidation>
    <dataValidation allowBlank="true" error="Choose one of: Yes,No" errorStyle="stop" errorTitle="Not in the list" operator="between" showDropDown="false" showErrorMessage="true" showInputMessage="false" sqref="J131"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32"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32" type="list">
      <formula1>"Must have,Nice to have"</formula1>
      <formula2>0</formula2>
    </dataValidation>
    <dataValidation allowBlank="true" error="Choose one of: Yes,No" errorStyle="stop" errorTitle="Not in the list" operator="between" showDropDown="false" showErrorMessage="true" showInputMessage="false" sqref="J132"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8B57"/>
    <pageSetUpPr fitToPage="false"/>
  </sheetPr>
  <dimension ref="A1:BT3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233" topLeftCell="C234" activePane="bottomRight" state="frozen"/>
      <selection pane="topLeft" activeCell="A1" activeCellId="0" sqref="A1"/>
      <selection pane="topRight" activeCell="C1" activeCellId="0" sqref="C1"/>
      <selection pane="bottomLeft" activeCell="A234" activeCellId="0" sqref="A234"/>
      <selection pane="bottomRight" activeCell="A1" activeCellId="0" sqref="A1"/>
    </sheetView>
  </sheetViews>
  <sheetFormatPr defaultColWidth="8.5390625" defaultRowHeight="15" zeroHeight="false" outlineLevelRow="0" outlineLevelCol="0"/>
  <cols>
    <col collapsed="false" customWidth="true" hidden="false" outlineLevel="0" max="2" min="2" style="20" width="6"/>
    <col collapsed="false" customWidth="true" hidden="false" outlineLevel="0" max="4" min="3" style="20" width="7"/>
    <col collapsed="false" customWidth="true" hidden="false" outlineLevel="0" max="6" min="5" style="20" width="11"/>
    <col collapsed="false" customWidth="true" hidden="false" outlineLevel="0" max="7" min="7" style="20" width="7"/>
    <col collapsed="false" customWidth="true" hidden="false" outlineLevel="0" max="20" min="8" style="20" width="11"/>
    <col collapsed="false" customWidth="true" hidden="false" outlineLevel="0" max="21" min="21" style="20" width="7"/>
    <col collapsed="false" customWidth="true" hidden="false" outlineLevel="0" max="32" min="22" style="20" width="11"/>
    <col collapsed="false" customWidth="true" hidden="false" outlineLevel="0" max="33" min="33" style="20" width="7"/>
    <col collapsed="false" customWidth="true" hidden="false" outlineLevel="0" max="50" min="34" style="20" width="11"/>
    <col collapsed="false" customWidth="true" hidden="false" outlineLevel="0" max="51" min="51" style="20" width="7"/>
    <col collapsed="false" customWidth="true" hidden="false" outlineLevel="0" max="72" min="52" style="20" width="11"/>
  </cols>
  <sheetData>
    <row r="1" customFormat="false" ht="17.25" hidden="false" customHeight="true" outlineLevel="0" collapsed="false">
      <c r="B1" s="21" t="s">
        <v>1171</v>
      </c>
    </row>
    <row r="3" customFormat="false" ht="15" hidden="false" customHeight="true" outlineLevel="0" collapsed="false">
      <c r="B3" s="23" t="s">
        <v>1172</v>
      </c>
      <c r="C3" s="23" t="s">
        <v>1173</v>
      </c>
      <c r="D3" s="23" t="s">
        <v>1174</v>
      </c>
    </row>
    <row r="4" customFormat="false" ht="15" hidden="false" customHeight="true" outlineLevel="0" collapsed="false">
      <c r="B4" s="20" t="s">
        <v>1175</v>
      </c>
      <c r="C4" s="34" t="n">
        <f aca="false">Band_Single</f>
        <v>44000</v>
      </c>
      <c r="D4" s="25" t="s">
        <v>1176</v>
      </c>
    </row>
    <row r="5" customFormat="false" ht="15" hidden="false" customHeight="true" outlineLevel="0" collapsed="false">
      <c r="B5" s="20" t="s">
        <v>1177</v>
      </c>
      <c r="C5" s="34" t="n">
        <f aca="false">Band_Single_Parent</f>
        <v>48000</v>
      </c>
      <c r="D5" s="25" t="s">
        <v>1178</v>
      </c>
    </row>
    <row r="6" customFormat="false" ht="15" hidden="false" customHeight="true" outlineLevel="0" collapsed="false">
      <c r="B6" s="20" t="s">
        <v>1179</v>
      </c>
      <c r="C6" s="34" t="n">
        <f aca="false">Band_Married</f>
        <v>53000</v>
      </c>
      <c r="D6" s="25" t="s">
        <v>1180</v>
      </c>
    </row>
    <row r="7" customFormat="false" ht="15" hidden="false" customHeight="true" outlineLevel="0" collapsed="false">
      <c r="B7" s="20" t="s">
        <v>1181</v>
      </c>
      <c r="C7" s="34" t="n">
        <f aca="false">Band_Second_Earner_Max</f>
        <v>35000</v>
      </c>
      <c r="D7" s="25" t="s">
        <v>1182</v>
      </c>
    </row>
    <row r="8" customFormat="false" ht="15" hidden="false" customHeight="true" outlineLevel="0" collapsed="false">
      <c r="B8" s="20" t="s">
        <v>1183</v>
      </c>
      <c r="C8" s="35" t="n">
        <f aca="false">Rate_Standard</f>
        <v>0.2</v>
      </c>
      <c r="D8" s="25" t="s">
        <v>1184</v>
      </c>
    </row>
    <row r="9" customFormat="false" ht="15" hidden="false" customHeight="true" outlineLevel="0" collapsed="false">
      <c r="B9" s="20" t="s">
        <v>1185</v>
      </c>
      <c r="C9" s="35" t="n">
        <f aca="false">Rate_Higher</f>
        <v>0.4</v>
      </c>
      <c r="D9" s="25" t="s">
        <v>1186</v>
      </c>
    </row>
    <row r="10" customFormat="false" ht="15" hidden="false" customHeight="true" outlineLevel="0" collapsed="false">
      <c r="B10" s="20" t="s">
        <v>1187</v>
      </c>
      <c r="C10" s="34" t="n">
        <f aca="false">Credit_Personal_Single</f>
        <v>2000</v>
      </c>
      <c r="D10" s="25" t="s">
        <v>1188</v>
      </c>
    </row>
    <row r="11" customFormat="false" ht="15" hidden="false" customHeight="true" outlineLevel="0" collapsed="false">
      <c r="B11" s="20" t="s">
        <v>1189</v>
      </c>
      <c r="C11" s="34" t="n">
        <f aca="false">Credit_Personal_Married</f>
        <v>4000</v>
      </c>
      <c r="D11" s="25" t="s">
        <v>1190</v>
      </c>
    </row>
    <row r="12" customFormat="false" ht="15" hidden="false" customHeight="true" outlineLevel="0" collapsed="false">
      <c r="B12" s="20" t="s">
        <v>1191</v>
      </c>
      <c r="C12" s="34" t="n">
        <f aca="false">Credit_PAYE</f>
        <v>2000</v>
      </c>
      <c r="D12" s="25" t="s">
        <v>1192</v>
      </c>
    </row>
    <row r="13" customFormat="false" ht="15" hidden="false" customHeight="true" outlineLevel="0" collapsed="false">
      <c r="B13" s="20" t="s">
        <v>1193</v>
      </c>
      <c r="C13" s="36" t="n">
        <v>0.2</v>
      </c>
      <c r="D13" s="25" t="s">
        <v>1194</v>
      </c>
    </row>
    <row r="14" customFormat="false" ht="15" hidden="false" customHeight="true" outlineLevel="0" collapsed="false">
      <c r="B14" s="20" t="s">
        <v>626</v>
      </c>
      <c r="C14" s="34" t="n">
        <f aca="false">Credit_Rent_Single</f>
        <v>1000</v>
      </c>
      <c r="D14" s="25" t="s">
        <v>1195</v>
      </c>
    </row>
    <row r="15" customFormat="false" ht="15" hidden="false" customHeight="true" outlineLevel="0" collapsed="false">
      <c r="B15" s="20" t="s">
        <v>1196</v>
      </c>
      <c r="C15" s="34" t="n">
        <f aca="false">Credit_Rent_Joint</f>
        <v>2000</v>
      </c>
      <c r="D15" s="25" t="s">
        <v>1197</v>
      </c>
    </row>
    <row r="16" customFormat="false" ht="15" hidden="false" customHeight="true" outlineLevel="0" collapsed="false">
      <c r="B16" s="20" t="s">
        <v>633</v>
      </c>
      <c r="C16" s="36" t="n">
        <v>2028</v>
      </c>
      <c r="D16" s="25" t="s">
        <v>1198</v>
      </c>
    </row>
    <row r="17" customFormat="false" ht="15" hidden="false" customHeight="true" outlineLevel="0" collapsed="false">
      <c r="B17" s="20" t="s">
        <v>1199</v>
      </c>
      <c r="C17" s="34" t="n">
        <f aca="false">Credit_SPCCC</f>
        <v>1900</v>
      </c>
      <c r="D17" s="25" t="s">
        <v>1200</v>
      </c>
    </row>
    <row r="18" customFormat="false" ht="15" hidden="false" customHeight="true" outlineLevel="0" collapsed="false">
      <c r="B18" s="20" t="s">
        <v>1201</v>
      </c>
      <c r="C18" s="34" t="n">
        <f aca="false">Credit_Home_Carer</f>
        <v>1950</v>
      </c>
      <c r="D18" s="25" t="s">
        <v>1202</v>
      </c>
    </row>
    <row r="19" customFormat="false" ht="15" hidden="false" customHeight="true" outlineLevel="0" collapsed="false">
      <c r="B19" s="20" t="s">
        <v>1203</v>
      </c>
      <c r="C19" s="36" t="n">
        <v>7200</v>
      </c>
      <c r="D19" s="25" t="s">
        <v>1204</v>
      </c>
    </row>
    <row r="20" customFormat="false" ht="15" hidden="false" customHeight="true" outlineLevel="0" collapsed="false">
      <c r="B20" s="20" t="s">
        <v>1205</v>
      </c>
      <c r="C20" s="36" t="n">
        <v>65</v>
      </c>
      <c r="D20" s="25" t="s">
        <v>1206</v>
      </c>
    </row>
    <row r="21" customFormat="false" ht="15" hidden="false" customHeight="true" outlineLevel="0" collapsed="false">
      <c r="B21" s="20" t="s">
        <v>1207</v>
      </c>
      <c r="C21" s="36" t="n">
        <v>245</v>
      </c>
      <c r="D21" s="25" t="s">
        <v>1208</v>
      </c>
    </row>
    <row r="22" customFormat="false" ht="15" hidden="false" customHeight="true" outlineLevel="0" collapsed="false">
      <c r="B22" s="20" t="s">
        <v>1209</v>
      </c>
      <c r="C22" s="36" t="n">
        <v>18000</v>
      </c>
      <c r="D22" s="25" t="s">
        <v>1210</v>
      </c>
    </row>
    <row r="23" customFormat="false" ht="15" hidden="false" customHeight="true" outlineLevel="0" collapsed="false">
      <c r="B23" s="20" t="s">
        <v>1211</v>
      </c>
      <c r="C23" s="36" t="n">
        <v>36000</v>
      </c>
      <c r="D23" s="25" t="s">
        <v>1212</v>
      </c>
    </row>
    <row r="24" customFormat="false" ht="15" hidden="false" customHeight="true" outlineLevel="0" collapsed="false">
      <c r="B24" s="20" t="s">
        <v>1213</v>
      </c>
      <c r="C24" s="36" t="n">
        <v>0.4</v>
      </c>
      <c r="D24" s="25" t="s">
        <v>1214</v>
      </c>
    </row>
    <row r="25" customFormat="false" ht="15" hidden="false" customHeight="true" outlineLevel="0" collapsed="false">
      <c r="B25" s="20" t="s">
        <v>1215</v>
      </c>
      <c r="C25" s="34" t="n">
        <f aca="false">USC_Exempt</f>
        <v>13000</v>
      </c>
      <c r="D25" s="25" t="s">
        <v>1216</v>
      </c>
    </row>
    <row r="26" customFormat="false" ht="15" hidden="false" customHeight="true" outlineLevel="0" collapsed="false">
      <c r="B26" s="20" t="s">
        <v>1217</v>
      </c>
      <c r="C26" s="34" t="n">
        <f aca="false">USC_Band_1</f>
        <v>12012</v>
      </c>
      <c r="D26" s="25" t="s">
        <v>1218</v>
      </c>
    </row>
    <row r="27" customFormat="false" ht="15" hidden="false" customHeight="true" outlineLevel="0" collapsed="false">
      <c r="B27" s="20" t="s">
        <v>1219</v>
      </c>
      <c r="C27" s="34" t="n">
        <f aca="false">USC_Band_2</f>
        <v>28700</v>
      </c>
      <c r="D27" s="25" t="s">
        <v>1220</v>
      </c>
    </row>
    <row r="28" customFormat="false" ht="15" hidden="false" customHeight="true" outlineLevel="0" collapsed="false">
      <c r="B28" s="20" t="s">
        <v>1221</v>
      </c>
      <c r="C28" s="34" t="n">
        <f aca="false">USC_Band_3</f>
        <v>70044</v>
      </c>
      <c r="D28" s="25" t="s">
        <v>1222</v>
      </c>
    </row>
    <row r="29" customFormat="false" ht="15" hidden="false" customHeight="true" outlineLevel="0" collapsed="false">
      <c r="B29" s="20" t="s">
        <v>1223</v>
      </c>
      <c r="C29" s="37" t="n">
        <f aca="false">USC_Rate_1</f>
        <v>0.005</v>
      </c>
      <c r="D29" s="25" t="s">
        <v>1224</v>
      </c>
    </row>
    <row r="30" customFormat="false" ht="15" hidden="false" customHeight="true" outlineLevel="0" collapsed="false">
      <c r="B30" s="20" t="s">
        <v>1225</v>
      </c>
      <c r="C30" s="37" t="n">
        <f aca="false">USC_Rate_2</f>
        <v>0.02</v>
      </c>
      <c r="D30" s="25" t="s">
        <v>1226</v>
      </c>
    </row>
    <row r="31" customFormat="false" ht="15" hidden="false" customHeight="true" outlineLevel="0" collapsed="false">
      <c r="B31" s="20" t="s">
        <v>1227</v>
      </c>
      <c r="C31" s="37" t="n">
        <f aca="false">USC_Rate_3</f>
        <v>0.03</v>
      </c>
      <c r="D31" s="25" t="s">
        <v>1228</v>
      </c>
    </row>
    <row r="32" customFormat="false" ht="15" hidden="false" customHeight="true" outlineLevel="0" collapsed="false">
      <c r="B32" s="20" t="s">
        <v>1229</v>
      </c>
      <c r="C32" s="37" t="n">
        <f aca="false">USC_Rate_4</f>
        <v>0.08</v>
      </c>
      <c r="D32" s="25" t="s">
        <v>1230</v>
      </c>
    </row>
    <row r="33" customFormat="false" ht="15" hidden="false" customHeight="true" outlineLevel="0" collapsed="false">
      <c r="B33" s="20" t="s">
        <v>1231</v>
      </c>
      <c r="C33" s="36" t="n">
        <v>70</v>
      </c>
      <c r="D33" s="25" t="s">
        <v>1232</v>
      </c>
    </row>
    <row r="34" customFormat="false" ht="15" hidden="false" customHeight="true" outlineLevel="0" collapsed="false">
      <c r="B34" s="20" t="s">
        <v>1233</v>
      </c>
      <c r="C34" s="36" t="n">
        <v>60000</v>
      </c>
      <c r="D34" s="25" t="s">
        <v>1234</v>
      </c>
    </row>
    <row r="35" customFormat="false" ht="15" hidden="false" customHeight="true" outlineLevel="0" collapsed="false">
      <c r="B35" s="20" t="s">
        <v>1235</v>
      </c>
      <c r="C35" s="36" t="n">
        <v>12012</v>
      </c>
      <c r="D35" s="25" t="s">
        <v>1236</v>
      </c>
    </row>
    <row r="36" customFormat="false" ht="15" hidden="false" customHeight="true" outlineLevel="0" collapsed="false">
      <c r="B36" s="20" t="s">
        <v>1237</v>
      </c>
      <c r="C36" s="36" t="n">
        <v>0.005</v>
      </c>
      <c r="D36" s="25" t="s">
        <v>1238</v>
      </c>
    </row>
    <row r="37" customFormat="false" ht="15" hidden="false" customHeight="true" outlineLevel="0" collapsed="false">
      <c r="B37" s="20" t="s">
        <v>1239</v>
      </c>
      <c r="C37" s="36" t="n">
        <v>0.02</v>
      </c>
      <c r="D37" s="25" t="s">
        <v>1240</v>
      </c>
    </row>
    <row r="38" customFormat="false" ht="15" hidden="false" customHeight="true" outlineLevel="0" collapsed="false">
      <c r="B38" s="20" t="s">
        <v>1241</v>
      </c>
      <c r="C38" s="36" t="n">
        <v>0.03</v>
      </c>
      <c r="D38" s="25" t="s">
        <v>1242</v>
      </c>
    </row>
    <row r="39" customFormat="false" ht="15" hidden="false" customHeight="true" outlineLevel="0" collapsed="false">
      <c r="B39" s="20" t="s">
        <v>1243</v>
      </c>
      <c r="C39" s="36" t="n">
        <v>100000</v>
      </c>
      <c r="D39" s="25" t="s">
        <v>1244</v>
      </c>
    </row>
    <row r="40" customFormat="false" ht="15" hidden="false" customHeight="true" outlineLevel="0" collapsed="false">
      <c r="B40" s="20" t="s">
        <v>1245</v>
      </c>
      <c r="C40" s="36" t="n">
        <v>0.042</v>
      </c>
      <c r="D40" s="25" t="s">
        <v>1246</v>
      </c>
    </row>
    <row r="41" customFormat="false" ht="15" hidden="false" customHeight="true" outlineLevel="0" collapsed="false">
      <c r="B41" s="20" t="s">
        <v>1247</v>
      </c>
      <c r="C41" s="36" t="n">
        <v>0.0435</v>
      </c>
      <c r="D41" s="25" t="s">
        <v>1248</v>
      </c>
    </row>
    <row r="42" customFormat="false" ht="15" hidden="false" customHeight="true" outlineLevel="0" collapsed="false">
      <c r="B42" s="20" t="s">
        <v>1249</v>
      </c>
      <c r="C42" s="36" t="n">
        <v>0.045</v>
      </c>
      <c r="D42" s="25" t="s">
        <v>1250</v>
      </c>
    </row>
    <row r="43" customFormat="false" ht="15" hidden="false" customHeight="true" outlineLevel="0" collapsed="false">
      <c r="B43" s="20" t="s">
        <v>1251</v>
      </c>
      <c r="C43" s="36" t="n">
        <v>0.047</v>
      </c>
      <c r="D43" s="25" t="s">
        <v>1252</v>
      </c>
    </row>
    <row r="44" customFormat="false" ht="15" hidden="false" customHeight="true" outlineLevel="0" collapsed="false">
      <c r="B44" s="20" t="s">
        <v>1253</v>
      </c>
      <c r="C44" s="36" t="n">
        <v>24321</v>
      </c>
      <c r="D44" s="25" t="s">
        <v>1254</v>
      </c>
    </row>
    <row r="45" customFormat="false" ht="15" hidden="false" customHeight="true" outlineLevel="0" collapsed="false">
      <c r="B45" s="20" t="s">
        <v>1255</v>
      </c>
      <c r="C45" s="36" t="n">
        <v>24333</v>
      </c>
      <c r="D45" s="25" t="s">
        <v>1256</v>
      </c>
    </row>
    <row r="46" customFormat="false" ht="15" hidden="false" customHeight="true" outlineLevel="0" collapsed="false">
      <c r="B46" s="20" t="s">
        <v>1257</v>
      </c>
      <c r="C46" s="36" t="n">
        <v>24345</v>
      </c>
      <c r="D46" s="25" t="s">
        <v>1258</v>
      </c>
    </row>
    <row r="47" customFormat="false" ht="15" hidden="false" customHeight="true" outlineLevel="0" collapsed="false">
      <c r="B47" s="20" t="s">
        <v>1259</v>
      </c>
      <c r="C47" s="34" t="n">
        <f aca="false">PRSI_Free_Week</f>
        <v>352</v>
      </c>
      <c r="D47" s="25" t="s">
        <v>1260</v>
      </c>
    </row>
    <row r="48" customFormat="false" ht="15" hidden="false" customHeight="true" outlineLevel="0" collapsed="false">
      <c r="B48" s="20" t="s">
        <v>1261</v>
      </c>
      <c r="C48" s="34" t="n">
        <f aca="false">PRSI_Credit_Max</f>
        <v>12</v>
      </c>
      <c r="D48" s="25" t="s">
        <v>1262</v>
      </c>
    </row>
    <row r="49" customFormat="false" ht="15" hidden="false" customHeight="true" outlineLevel="0" collapsed="false">
      <c r="B49" s="20" t="s">
        <v>1263</v>
      </c>
      <c r="C49" s="34" t="n">
        <f aca="false">PRSI_Credit_Top</f>
        <v>424</v>
      </c>
      <c r="D49" s="25" t="s">
        <v>1264</v>
      </c>
    </row>
    <row r="50" customFormat="false" ht="15" hidden="false" customHeight="true" outlineLevel="0" collapsed="false">
      <c r="B50" s="20" t="s">
        <v>1265</v>
      </c>
      <c r="C50" s="38" t="n">
        <f aca="false">PRSI_Credit_Taper</f>
        <v>6</v>
      </c>
      <c r="D50" s="25" t="s">
        <v>1266</v>
      </c>
    </row>
    <row r="51" customFormat="false" ht="15" hidden="false" customHeight="true" outlineLevel="0" collapsed="false">
      <c r="B51" s="20" t="s">
        <v>1267</v>
      </c>
      <c r="C51" s="36" t="n">
        <v>66</v>
      </c>
      <c r="D51" s="25" t="s">
        <v>1268</v>
      </c>
    </row>
    <row r="52" customFormat="false" ht="15" hidden="false" customHeight="true" outlineLevel="0" collapsed="false">
      <c r="B52" s="20" t="s">
        <v>1269</v>
      </c>
      <c r="C52" s="36" t="n">
        <v>5000</v>
      </c>
      <c r="D52" s="25" t="s">
        <v>1270</v>
      </c>
    </row>
    <row r="53" customFormat="false" ht="15" hidden="false" customHeight="true" outlineLevel="0" collapsed="false">
      <c r="B53" s="20" t="s">
        <v>1271</v>
      </c>
      <c r="C53" s="36" t="n">
        <v>650</v>
      </c>
      <c r="D53" s="25" t="s">
        <v>1272</v>
      </c>
    </row>
    <row r="54" customFormat="false" ht="15" hidden="false" customHeight="true" outlineLevel="0" collapsed="false">
      <c r="B54" s="20" t="s">
        <v>1273</v>
      </c>
      <c r="C54" s="36" t="n">
        <v>5000</v>
      </c>
      <c r="D54" s="25" t="s">
        <v>1274</v>
      </c>
    </row>
    <row r="55" customFormat="false" ht="15" hidden="false" customHeight="true" outlineLevel="0" collapsed="false">
      <c r="B55" s="20" t="s">
        <v>1275</v>
      </c>
      <c r="C55" s="36" t="n">
        <v>30</v>
      </c>
      <c r="D55" s="25" t="s">
        <v>1276</v>
      </c>
    </row>
    <row r="56" customFormat="false" ht="15" hidden="false" customHeight="true" outlineLevel="0" collapsed="false">
      <c r="C56" s="36" t="n">
        <v>0.15</v>
      </c>
      <c r="D56" s="25" t="s">
        <v>1277</v>
      </c>
    </row>
    <row r="57" customFormat="false" ht="15" hidden="false" customHeight="true" outlineLevel="0" collapsed="false">
      <c r="B57" s="20" t="s">
        <v>1278</v>
      </c>
      <c r="C57" s="36" t="n">
        <v>40</v>
      </c>
      <c r="D57" s="25" t="s">
        <v>1279</v>
      </c>
    </row>
    <row r="58" customFormat="false" ht="15" hidden="false" customHeight="true" outlineLevel="0" collapsed="false">
      <c r="C58" s="36" t="n">
        <v>0.2</v>
      </c>
      <c r="D58" s="25" t="s">
        <v>1280</v>
      </c>
    </row>
    <row r="59" customFormat="false" ht="15" hidden="false" customHeight="true" outlineLevel="0" collapsed="false">
      <c r="B59" s="20" t="s">
        <v>1281</v>
      </c>
      <c r="C59" s="36" t="n">
        <v>50</v>
      </c>
      <c r="D59" s="25" t="s">
        <v>1282</v>
      </c>
    </row>
    <row r="60" customFormat="false" ht="15" hidden="false" customHeight="true" outlineLevel="0" collapsed="false">
      <c r="C60" s="36" t="n">
        <v>0.25</v>
      </c>
      <c r="D60" s="25" t="s">
        <v>1283</v>
      </c>
    </row>
    <row r="61" customFormat="false" ht="15" hidden="false" customHeight="true" outlineLevel="0" collapsed="false">
      <c r="B61" s="20" t="s">
        <v>1284</v>
      </c>
      <c r="C61" s="36" t="n">
        <v>55</v>
      </c>
      <c r="D61" s="25" t="s">
        <v>1285</v>
      </c>
    </row>
    <row r="62" customFormat="false" ht="15" hidden="false" customHeight="true" outlineLevel="0" collapsed="false">
      <c r="C62" s="36" t="n">
        <v>0.3</v>
      </c>
      <c r="D62" s="25" t="s">
        <v>1286</v>
      </c>
    </row>
    <row r="63" customFormat="false" ht="15" hidden="false" customHeight="true" outlineLevel="0" collapsed="false">
      <c r="B63" s="20" t="s">
        <v>1287</v>
      </c>
      <c r="C63" s="36" t="n">
        <v>60</v>
      </c>
      <c r="D63" s="25" t="s">
        <v>1288</v>
      </c>
    </row>
    <row r="64" customFormat="false" ht="15" hidden="false" customHeight="true" outlineLevel="0" collapsed="false">
      <c r="C64" s="36" t="n">
        <v>0.35</v>
      </c>
      <c r="D64" s="25" t="s">
        <v>1289</v>
      </c>
    </row>
    <row r="65" customFormat="false" ht="15" hidden="false" customHeight="true" outlineLevel="0" collapsed="false">
      <c r="B65" s="20" t="s">
        <v>1290</v>
      </c>
      <c r="C65" s="36" t="n">
        <v>0.4</v>
      </c>
      <c r="D65" s="25" t="s">
        <v>1291</v>
      </c>
    </row>
    <row r="66" customFormat="false" ht="15" hidden="false" customHeight="true" outlineLevel="0" collapsed="false">
      <c r="B66" s="20" t="s">
        <v>713</v>
      </c>
      <c r="C66" s="34" t="n">
        <f aca="false">Relief_Earnings_Cap</f>
        <v>115000</v>
      </c>
      <c r="D66" s="25" t="s">
        <v>1292</v>
      </c>
    </row>
    <row r="67" customFormat="false" ht="15" hidden="false" customHeight="true" outlineLevel="0" collapsed="false">
      <c r="B67" s="20" t="s">
        <v>1293</v>
      </c>
      <c r="C67" s="35" t="n">
        <f aca="false">Lump_Sum_Max_Pct</f>
        <v>0.25</v>
      </c>
      <c r="D67" s="25" t="s">
        <v>1294</v>
      </c>
    </row>
    <row r="68" customFormat="false" ht="15" hidden="false" customHeight="true" outlineLevel="0" collapsed="false">
      <c r="B68" s="20" t="s">
        <v>1295</v>
      </c>
      <c r="C68" s="34" t="n">
        <f aca="false">Lump_Sum_Tax_Free</f>
        <v>200000</v>
      </c>
      <c r="D68" s="25" t="s">
        <v>1296</v>
      </c>
    </row>
    <row r="69" customFormat="false" ht="15" hidden="false" customHeight="true" outlineLevel="0" collapsed="false">
      <c r="B69" s="20" t="s">
        <v>1297</v>
      </c>
      <c r="C69" s="34" t="n">
        <f aca="false">Lump_Sum_Cap</f>
        <v>500000</v>
      </c>
      <c r="D69" s="25" t="s">
        <v>1298</v>
      </c>
    </row>
    <row r="70" customFormat="false" ht="15" hidden="false" customHeight="true" outlineLevel="0" collapsed="false">
      <c r="B70" s="20" t="s">
        <v>1299</v>
      </c>
      <c r="C70" s="35" t="n">
        <f aca="false">Lump_Sum_Rate</f>
        <v>0.2</v>
      </c>
      <c r="D70" s="25" t="s">
        <v>1300</v>
      </c>
    </row>
    <row r="71" customFormat="false" ht="15" hidden="false" customHeight="true" outlineLevel="0" collapsed="false">
      <c r="B71" s="20" t="s">
        <v>1301</v>
      </c>
      <c r="C71" s="34" t="n">
        <f aca="false">SFT_2026</f>
        <v>2200000</v>
      </c>
      <c r="D71" s="25" t="s">
        <v>1302</v>
      </c>
    </row>
    <row r="72" customFormat="false" ht="15" hidden="false" customHeight="true" outlineLevel="0" collapsed="false">
      <c r="B72" s="20" t="s">
        <v>1303</v>
      </c>
      <c r="C72" s="36" t="n">
        <v>2400000</v>
      </c>
      <c r="D72" s="25" t="s">
        <v>1304</v>
      </c>
    </row>
    <row r="73" customFormat="false" ht="15" hidden="false" customHeight="true" outlineLevel="0" collapsed="false">
      <c r="B73" s="20" t="s">
        <v>1305</v>
      </c>
      <c r="C73" s="36" t="n">
        <v>2600000</v>
      </c>
      <c r="D73" s="25" t="s">
        <v>1306</v>
      </c>
    </row>
    <row r="74" customFormat="false" ht="15" hidden="false" customHeight="true" outlineLevel="0" collapsed="false">
      <c r="B74" s="20" t="s">
        <v>1307</v>
      </c>
      <c r="C74" s="36" t="n">
        <v>2800000</v>
      </c>
      <c r="D74" s="25" t="s">
        <v>1308</v>
      </c>
    </row>
    <row r="75" customFormat="false" ht="15" hidden="false" customHeight="true" outlineLevel="0" collapsed="false">
      <c r="B75" s="20" t="s">
        <v>1309</v>
      </c>
      <c r="C75" s="35" t="n">
        <f aca="false">SFT_Tax</f>
        <v>0.4</v>
      </c>
      <c r="D75" s="25" t="s">
        <v>1310</v>
      </c>
    </row>
    <row r="76" customFormat="false" ht="15" hidden="false" customHeight="true" outlineLevel="0" collapsed="false">
      <c r="B76" s="20" t="s">
        <v>1311</v>
      </c>
      <c r="C76" s="36" t="n">
        <v>0.04</v>
      </c>
      <c r="D76" s="25" t="s">
        <v>1312</v>
      </c>
    </row>
    <row r="77" customFormat="false" ht="15" hidden="false" customHeight="true" outlineLevel="0" collapsed="false">
      <c r="B77" s="20" t="s">
        <v>1313</v>
      </c>
      <c r="C77" s="36" t="n">
        <v>0.05</v>
      </c>
      <c r="D77" s="25" t="s">
        <v>1314</v>
      </c>
    </row>
    <row r="78" customFormat="false" ht="15" hidden="false" customHeight="true" outlineLevel="0" collapsed="false">
      <c r="B78" s="20" t="s">
        <v>1315</v>
      </c>
      <c r="C78" s="36" t="n">
        <v>0.06</v>
      </c>
      <c r="D78" s="25" t="s">
        <v>1316</v>
      </c>
    </row>
    <row r="79" customFormat="false" ht="15" hidden="false" customHeight="true" outlineLevel="0" collapsed="false">
      <c r="B79" s="20" t="s">
        <v>1317</v>
      </c>
      <c r="C79" s="36" t="n">
        <v>2000000</v>
      </c>
      <c r="D79" s="25" t="s">
        <v>1318</v>
      </c>
    </row>
    <row r="80" customFormat="false" ht="15" hidden="false" customHeight="true" outlineLevel="0" collapsed="false">
      <c r="B80" s="20" t="s">
        <v>1319</v>
      </c>
      <c r="C80" s="36" t="n">
        <v>60</v>
      </c>
      <c r="D80" s="25" t="s">
        <v>1320</v>
      </c>
    </row>
    <row r="81" customFormat="false" ht="15" hidden="false" customHeight="true" outlineLevel="0" collapsed="false">
      <c r="B81" s="20" t="s">
        <v>1321</v>
      </c>
      <c r="C81" s="39" t="n">
        <f aca="false">State_Pension_Week</f>
        <v>299.3</v>
      </c>
      <c r="D81" s="25" t="s">
        <v>1322</v>
      </c>
    </row>
    <row r="82" customFormat="false" ht="15" hidden="false" customHeight="true" outlineLevel="0" collapsed="false">
      <c r="B82" s="20" t="s">
        <v>1323</v>
      </c>
      <c r="C82" s="36" t="n">
        <v>52</v>
      </c>
      <c r="D82" s="25" t="s">
        <v>1324</v>
      </c>
    </row>
    <row r="83" customFormat="false" ht="15" hidden="false" customHeight="true" outlineLevel="0" collapsed="false">
      <c r="B83" s="20" t="s">
        <v>1325</v>
      </c>
      <c r="C83" s="38" t="n">
        <f aca="false">State_Pension_Age</f>
        <v>66</v>
      </c>
      <c r="D83" s="25" t="s">
        <v>1326</v>
      </c>
    </row>
    <row r="84" customFormat="false" ht="15" hidden="false" customHeight="true" outlineLevel="0" collapsed="false">
      <c r="B84" s="20" t="s">
        <v>1327</v>
      </c>
      <c r="C84" s="36" t="n">
        <v>10</v>
      </c>
      <c r="D84" s="25" t="s">
        <v>1328</v>
      </c>
    </row>
    <row r="85" customFormat="false" ht="15" hidden="false" customHeight="true" outlineLevel="0" collapsed="false">
      <c r="B85" s="20" t="s">
        <v>1329</v>
      </c>
      <c r="C85" s="36" t="n">
        <v>268.4</v>
      </c>
      <c r="D85" s="25" t="s">
        <v>1330</v>
      </c>
    </row>
    <row r="86" customFormat="false" ht="15" hidden="false" customHeight="true" outlineLevel="0" collapsed="false">
      <c r="B86" s="20" t="s">
        <v>1331</v>
      </c>
      <c r="C86" s="36" t="n">
        <v>199.4</v>
      </c>
      <c r="D86" s="25" t="s">
        <v>1332</v>
      </c>
    </row>
    <row r="87" customFormat="false" ht="15" hidden="false" customHeight="true" outlineLevel="0" collapsed="false">
      <c r="B87" s="20" t="s">
        <v>1333</v>
      </c>
      <c r="C87" s="36" t="n">
        <v>40</v>
      </c>
      <c r="D87" s="25" t="s">
        <v>1334</v>
      </c>
    </row>
    <row r="88" customFormat="false" ht="15" hidden="false" customHeight="true" outlineLevel="0" collapsed="false">
      <c r="B88" s="20" t="s">
        <v>1335</v>
      </c>
      <c r="C88" s="36" t="n">
        <v>10</v>
      </c>
      <c r="D88" s="25" t="s">
        <v>1336</v>
      </c>
    </row>
    <row r="89" customFormat="false" ht="15" hidden="false" customHeight="true" outlineLevel="0" collapsed="false">
      <c r="B89" s="20" t="s">
        <v>1337</v>
      </c>
      <c r="C89" s="36" t="n">
        <v>23</v>
      </c>
      <c r="D89" s="25" t="s">
        <v>1338</v>
      </c>
    </row>
    <row r="90" customFormat="false" ht="15" hidden="false" customHeight="true" outlineLevel="0" collapsed="false">
      <c r="B90" s="20" t="s">
        <v>1339</v>
      </c>
      <c r="C90" s="36" t="n">
        <v>60</v>
      </c>
      <c r="D90" s="25" t="s">
        <v>1340</v>
      </c>
    </row>
    <row r="91" customFormat="false" ht="15" hidden="false" customHeight="true" outlineLevel="0" collapsed="false">
      <c r="B91" s="20" t="s">
        <v>1341</v>
      </c>
      <c r="C91" s="36" t="n">
        <v>20000</v>
      </c>
      <c r="D91" s="25" t="s">
        <v>1342</v>
      </c>
    </row>
    <row r="92" customFormat="false" ht="15" hidden="false" customHeight="true" outlineLevel="0" collapsed="false">
      <c r="B92" s="20" t="s">
        <v>1343</v>
      </c>
      <c r="C92" s="36" t="n">
        <v>80000</v>
      </c>
      <c r="D92" s="25" t="s">
        <v>1344</v>
      </c>
    </row>
    <row r="93" customFormat="false" ht="15" hidden="false" customHeight="true" outlineLevel="0" collapsed="false">
      <c r="B93" s="20" t="s">
        <v>1345</v>
      </c>
      <c r="C93" s="36" t="n">
        <v>0.015</v>
      </c>
      <c r="D93" s="25" t="s">
        <v>1346</v>
      </c>
    </row>
    <row r="94" customFormat="false" ht="15" hidden="false" customHeight="true" outlineLevel="0" collapsed="false">
      <c r="B94" s="20" t="s">
        <v>1347</v>
      </c>
      <c r="C94" s="36" t="n">
        <v>0.015</v>
      </c>
      <c r="D94" s="25" t="s">
        <v>1348</v>
      </c>
    </row>
    <row r="95" customFormat="false" ht="15" hidden="false" customHeight="true" outlineLevel="0" collapsed="false">
      <c r="B95" s="20" t="s">
        <v>1349</v>
      </c>
      <c r="C95" s="36" t="n">
        <v>0.005</v>
      </c>
      <c r="D95" s="25" t="s">
        <v>1350</v>
      </c>
    </row>
    <row r="96" customFormat="false" ht="15" hidden="false" customHeight="true" outlineLevel="0" collapsed="false">
      <c r="B96" s="20" t="s">
        <v>1351</v>
      </c>
      <c r="C96" s="36" t="n">
        <v>50</v>
      </c>
      <c r="D96" s="25" t="s">
        <v>1352</v>
      </c>
    </row>
    <row r="97" customFormat="false" ht="15" hidden="false" customHeight="true" outlineLevel="0" collapsed="false">
      <c r="B97" s="20" t="s">
        <v>1353</v>
      </c>
      <c r="C97" s="36" t="n">
        <v>200</v>
      </c>
      <c r="D97" s="25" t="s">
        <v>1354</v>
      </c>
    </row>
    <row r="98" customFormat="false" ht="15" hidden="false" customHeight="true" outlineLevel="0" collapsed="false">
      <c r="B98" s="20" t="s">
        <v>1355</v>
      </c>
      <c r="C98" s="36" t="n">
        <v>500</v>
      </c>
      <c r="D98" s="25" t="s">
        <v>1356</v>
      </c>
    </row>
    <row r="99" customFormat="false" ht="15" hidden="false" customHeight="true" outlineLevel="0" collapsed="false">
      <c r="B99" s="20" t="s">
        <v>1357</v>
      </c>
      <c r="C99" s="36" t="n">
        <v>1000</v>
      </c>
      <c r="D99" s="25" t="s">
        <v>1358</v>
      </c>
    </row>
    <row r="100" customFormat="false" ht="15" hidden="false" customHeight="true" outlineLevel="0" collapsed="false">
      <c r="B100" s="20" t="s">
        <v>1359</v>
      </c>
      <c r="C100" s="36" t="n">
        <v>0.33</v>
      </c>
      <c r="D100" s="25" t="s">
        <v>1360</v>
      </c>
    </row>
    <row r="101" customFormat="false" ht="15" hidden="false" customHeight="true" outlineLevel="0" collapsed="false">
      <c r="B101" s="20" t="s">
        <v>1361</v>
      </c>
      <c r="C101" s="36" t="n">
        <v>61</v>
      </c>
      <c r="D101" s="25" t="s">
        <v>1362</v>
      </c>
    </row>
    <row r="102" customFormat="false" ht="15" hidden="false" customHeight="true" outlineLevel="0" collapsed="false">
      <c r="B102" s="20" t="s">
        <v>1363</v>
      </c>
      <c r="C102" s="36" t="n">
        <v>71</v>
      </c>
      <c r="D102" s="25" t="s">
        <v>1364</v>
      </c>
    </row>
    <row r="103" customFormat="false" ht="15" hidden="false" customHeight="true" outlineLevel="0" collapsed="false">
      <c r="B103" s="20" t="s">
        <v>1365</v>
      </c>
      <c r="C103" s="36" t="n">
        <v>80</v>
      </c>
      <c r="D103" s="25" t="s">
        <v>1366</v>
      </c>
    </row>
    <row r="104" customFormat="false" ht="15" hidden="false" customHeight="true" outlineLevel="0" collapsed="false">
      <c r="B104" s="20" t="s">
        <v>1367</v>
      </c>
      <c r="C104" s="36" t="n">
        <v>2026</v>
      </c>
      <c r="D104" s="25" t="s">
        <v>1368</v>
      </c>
    </row>
    <row r="105" customFormat="false" ht="15" hidden="false" customHeight="true" outlineLevel="0" collapsed="false">
      <c r="B105" s="20" t="s">
        <v>1369</v>
      </c>
      <c r="C105" s="36" t="n">
        <v>2029</v>
      </c>
      <c r="D105" s="25" t="s">
        <v>1370</v>
      </c>
    </row>
    <row r="106" customFormat="false" ht="15" hidden="false" customHeight="true" outlineLevel="0" collapsed="false">
      <c r="B106" s="20" t="s">
        <v>1371</v>
      </c>
      <c r="C106" s="36" t="n">
        <v>89</v>
      </c>
      <c r="D106" s="25" t="s">
        <v>1372</v>
      </c>
    </row>
    <row r="107" customFormat="false" ht="15" hidden="false" customHeight="true" outlineLevel="0" collapsed="false">
      <c r="B107" s="20" t="s">
        <v>1373</v>
      </c>
      <c r="C107" s="36" t="n">
        <v>99</v>
      </c>
      <c r="D107" s="25" t="s">
        <v>1374</v>
      </c>
    </row>
    <row r="108" customFormat="false" ht="15" hidden="false" customHeight="true" outlineLevel="0" collapsed="false">
      <c r="B108" s="20" t="s">
        <v>1375</v>
      </c>
      <c r="C108" s="36" t="n">
        <v>50</v>
      </c>
      <c r="D108" s="25" t="s">
        <v>1376</v>
      </c>
    </row>
    <row r="109" customFormat="false" ht="15" hidden="false" customHeight="true" outlineLevel="0" collapsed="false">
      <c r="B109" s="20" t="s">
        <v>1377</v>
      </c>
      <c r="C109" s="36" t="n">
        <v>50</v>
      </c>
      <c r="D109" s="25" t="s">
        <v>1378</v>
      </c>
    </row>
    <row r="110" customFormat="false" ht="15" hidden="false" customHeight="true" outlineLevel="0" collapsed="false">
      <c r="B110" s="20" t="s">
        <v>1379</v>
      </c>
      <c r="C110" s="36" t="n">
        <v>0.5</v>
      </c>
      <c r="D110" s="25" t="s">
        <v>1380</v>
      </c>
    </row>
    <row r="111" customFormat="false" ht="15" hidden="false" customHeight="true" outlineLevel="0" collapsed="false">
      <c r="B111" s="20" t="s">
        <v>1381</v>
      </c>
      <c r="C111" s="36" t="n">
        <v>0.5</v>
      </c>
      <c r="D111" s="25" t="s">
        <v>1382</v>
      </c>
    </row>
    <row r="112" customFormat="false" ht="15" hidden="false" customHeight="true" outlineLevel="0" collapsed="false">
      <c r="B112" s="20" t="s">
        <v>1383</v>
      </c>
      <c r="C112" s="36" t="n">
        <v>1000000</v>
      </c>
      <c r="D112" s="25" t="s">
        <v>1384</v>
      </c>
    </row>
    <row r="113" customFormat="false" ht="15" hidden="false" customHeight="true" outlineLevel="0" collapsed="false">
      <c r="B113" s="20" t="s">
        <v>1385</v>
      </c>
      <c r="C113" s="36" t="n">
        <v>0.2</v>
      </c>
      <c r="D113" s="25" t="s">
        <v>1386</v>
      </c>
    </row>
    <row r="114" customFormat="false" ht="15" hidden="false" customHeight="true" outlineLevel="0" collapsed="false">
      <c r="B114" s="20" t="s">
        <v>1387</v>
      </c>
      <c r="C114" s="36" t="n">
        <v>20000</v>
      </c>
      <c r="D114" s="25" t="s">
        <v>1388</v>
      </c>
    </row>
    <row r="115" customFormat="false" ht="15" hidden="false" customHeight="true" outlineLevel="0" collapsed="false">
      <c r="B115" s="20" t="s">
        <v>1389</v>
      </c>
      <c r="C115" s="36" t="n">
        <v>66</v>
      </c>
      <c r="D115" s="25" t="s">
        <v>1390</v>
      </c>
    </row>
    <row r="116" customFormat="false" ht="15" hidden="false" customHeight="true" outlineLevel="0" collapsed="false">
      <c r="B116" s="20" t="s">
        <v>1391</v>
      </c>
      <c r="C116" s="36" t="n">
        <v>25</v>
      </c>
      <c r="D116" s="25" t="s">
        <v>1392</v>
      </c>
    </row>
    <row r="117" customFormat="false" ht="15" hidden="false" customHeight="true" outlineLevel="0" collapsed="false">
      <c r="B117" s="20" t="s">
        <v>1393</v>
      </c>
      <c r="C117" s="36" t="n">
        <v>0.01</v>
      </c>
      <c r="D117" s="25" t="s">
        <v>1394</v>
      </c>
    </row>
    <row r="118" customFormat="false" ht="15" hidden="false" customHeight="true" outlineLevel="0" collapsed="false">
      <c r="B118" s="20" t="s">
        <v>1395</v>
      </c>
      <c r="C118" s="36" t="n">
        <v>0.6</v>
      </c>
      <c r="D118" s="25" t="s">
        <v>1396</v>
      </c>
    </row>
    <row r="119" customFormat="false" ht="15" hidden="false" customHeight="true" outlineLevel="0" collapsed="false">
      <c r="B119" s="20" t="s">
        <v>1397</v>
      </c>
      <c r="C119" s="36" t="n">
        <v>0.8</v>
      </c>
      <c r="D119" s="25" t="s">
        <v>1398</v>
      </c>
    </row>
    <row r="120" customFormat="false" ht="15" hidden="false" customHeight="true" outlineLevel="0" collapsed="false">
      <c r="B120" s="20" t="s">
        <v>1399</v>
      </c>
      <c r="C120" s="36" t="n">
        <v>90</v>
      </c>
      <c r="D120" s="25" t="s">
        <v>1400</v>
      </c>
    </row>
    <row r="121" customFormat="false" ht="15" hidden="false" customHeight="true" outlineLevel="0" collapsed="false">
      <c r="B121" s="20" t="s">
        <v>1401</v>
      </c>
      <c r="C121" s="36" t="n">
        <v>95</v>
      </c>
      <c r="D121" s="25" t="s">
        <v>1402</v>
      </c>
    </row>
    <row r="122" customFormat="false" ht="15" hidden="false" customHeight="true" outlineLevel="0" collapsed="false">
      <c r="B122" s="20" t="s">
        <v>1403</v>
      </c>
      <c r="C122" s="36" t="n">
        <v>500</v>
      </c>
      <c r="D122" s="25" t="s">
        <v>1404</v>
      </c>
    </row>
    <row r="123" customFormat="false" ht="15" hidden="false" customHeight="true" outlineLevel="0" collapsed="false">
      <c r="B123" s="20" t="s">
        <v>1405</v>
      </c>
      <c r="C123" s="36" t="n">
        <v>0.02</v>
      </c>
      <c r="D123" s="25" t="s">
        <v>1406</v>
      </c>
    </row>
    <row r="124" customFormat="false" ht="15" hidden="false" customHeight="true" outlineLevel="0" collapsed="false">
      <c r="B124" s="20" t="s">
        <v>1407</v>
      </c>
      <c r="C124" s="36" t="n">
        <v>95</v>
      </c>
      <c r="D124" s="25" t="s">
        <v>1408</v>
      </c>
    </row>
    <row r="125" customFormat="false" ht="15" hidden="false" customHeight="true" outlineLevel="0" collapsed="false">
      <c r="B125" s="20" t="s">
        <v>1409</v>
      </c>
      <c r="C125" s="36" t="n">
        <v>70</v>
      </c>
      <c r="D125" s="25" t="s">
        <v>1410</v>
      </c>
    </row>
    <row r="126" customFormat="false" ht="15" hidden="false" customHeight="true" outlineLevel="0" collapsed="false">
      <c r="B126" s="20" t="s">
        <v>1411</v>
      </c>
      <c r="C126" s="40" t="n">
        <f aca="false">DATE(2026,9,30)</f>
        <v>46295</v>
      </c>
      <c r="D126" s="25" t="s">
        <v>1412</v>
      </c>
    </row>
    <row r="128" customFormat="false" ht="15" hidden="false" customHeight="true" outlineLevel="0" collapsed="false">
      <c r="B128" s="23" t="s">
        <v>1413</v>
      </c>
      <c r="C128" s="23" t="s">
        <v>1173</v>
      </c>
      <c r="D128" s="23" t="s">
        <v>1174</v>
      </c>
    </row>
    <row r="129" customFormat="false" ht="15" hidden="false" customHeight="true" outlineLevel="0" collapsed="false">
      <c r="B129" s="20" t="s">
        <v>1414</v>
      </c>
      <c r="C129" s="36" t="n">
        <f aca="false">IF(In_assumeSet="Cautious",1,0)</f>
        <v>0</v>
      </c>
      <c r="D129" s="25"/>
    </row>
    <row r="130" customFormat="false" ht="15" hidden="false" customHeight="true" outlineLevel="0" collapsed="false">
      <c r="B130" s="20" t="s">
        <v>1415</v>
      </c>
      <c r="C130" s="37" t="n">
        <f aca="false">IF(Has_infl=1,In_infl,Set_infl)</f>
        <v>0.02</v>
      </c>
      <c r="D130" s="25" t="s">
        <v>1416</v>
      </c>
    </row>
    <row r="131" customFormat="false" ht="15" hidden="false" customHeight="true" outlineLevel="0" collapsed="false">
      <c r="B131" s="20" t="s">
        <v>1417</v>
      </c>
      <c r="C131" s="37" t="n">
        <f aca="false">IF(Has_a_wage=1,In_a_wage,IF(AS_Cautious=1,Set_wage_Cautious,Set_wage))</f>
        <v>0.03</v>
      </c>
      <c r="D131" s="25"/>
    </row>
    <row r="132" customFormat="false" ht="15" hidden="false" customHeight="true" outlineLevel="0" collapsed="false">
      <c r="B132" s="20" t="s">
        <v>1418</v>
      </c>
      <c r="C132" s="37" t="n">
        <f aca="false">IF(Has_a_cash=1,In_a_cash,IF(AS_Cautious=1,Set_cash_Cautious,Set_cash))</f>
        <v>0.01</v>
      </c>
      <c r="D132" s="25"/>
    </row>
    <row r="133" customFormat="false" ht="15" hidden="false" customHeight="true" outlineLevel="0" collapsed="false">
      <c r="B133" s="20" t="s">
        <v>1419</v>
      </c>
      <c r="C133" s="37" t="n">
        <f aca="false">IF(Has_a_inv=1,In_a_inv,IF(AS_Cautious=1,Set_inv_Cautious,Set_inv))</f>
        <v>0.026</v>
      </c>
      <c r="D133" s="25"/>
    </row>
    <row r="134" customFormat="false" ht="15" hidden="false" customHeight="true" outlineLevel="0" collapsed="false">
      <c r="B134" s="20" t="s">
        <v>1420</v>
      </c>
      <c r="C134" s="37" t="n">
        <f aca="false">IF(Has_a_pen=1,In_a_pen,IF(AS_Cautious=1,Set_pen_Cautious,Set_pen))</f>
        <v>0.045</v>
      </c>
      <c r="D134" s="25"/>
    </row>
    <row r="135" customFormat="false" ht="15" hidden="false" customHeight="true" outlineLevel="0" collapsed="false">
      <c r="B135" s="20" t="s">
        <v>1421</v>
      </c>
      <c r="C135" s="37" t="n">
        <f aca="false">IF(Has_a_penRet=1,In_a_penRet,IF(AS_Cautious=1,Set_penRet_Cautious,Set_penRet))</f>
        <v>0.0315</v>
      </c>
      <c r="D135" s="25"/>
    </row>
    <row r="136" customFormat="false" ht="15" hidden="false" customHeight="true" outlineLevel="0" collapsed="false">
      <c r="B136" s="20" t="s">
        <v>1422</v>
      </c>
      <c r="C136" s="37" t="n">
        <f aca="false">IF(Has_a_mortRate=1,In_a_mortRate,Set_mortRate)</f>
        <v>0.0375</v>
      </c>
      <c r="D136" s="25" t="s">
        <v>1423</v>
      </c>
    </row>
    <row r="137" customFormat="false" ht="15" hidden="false" customHeight="true" outlineLevel="0" collapsed="false">
      <c r="B137" s="20" t="s">
        <v>1424</v>
      </c>
      <c r="C137" s="36" t="n">
        <f aca="false">IF(Has_a_cardRate=1,In_a_cardRate,PR_FbCard)</f>
        <v>0.2</v>
      </c>
      <c r="D137" s="25" t="s">
        <v>1425</v>
      </c>
    </row>
    <row r="138" customFormat="false" ht="15" hidden="false" customHeight="true" outlineLevel="0" collapsed="false">
      <c r="B138" s="20" t="s">
        <v>1426</v>
      </c>
      <c r="C138" s="37" t="n">
        <f aca="false">IF(Has_a_loanRate=1,In_a_loanRate,Set_loanRate)</f>
        <v>0.08</v>
      </c>
      <c r="D138" s="25" t="s">
        <v>1427</v>
      </c>
    </row>
    <row r="139" customFormat="false" ht="15" hidden="false" customHeight="true" outlineLevel="0" collapsed="false">
      <c r="B139" s="20" t="s">
        <v>116</v>
      </c>
      <c r="C139" s="36" t="n">
        <f aca="false">IF(Has_a_planEnd=1,In_a_planEnd,IF(In_partner="Yes",PR_FbPlanEnd2,PR_FbPlanEnd1))</f>
        <v>95</v>
      </c>
      <c r="D139" s="25" t="s">
        <v>1428</v>
      </c>
    </row>
    <row r="140" customFormat="false" ht="15" hidden="false" customHeight="true" outlineLevel="0" collapsed="false">
      <c r="B140" s="20" t="s">
        <v>1429</v>
      </c>
      <c r="C140" s="36" t="n">
        <f aca="true">IF(Has_a_startYear=1,In_a_startYear,IF(TODAY()&gt;PR_StartSwitch,Rules_Year_Next,Rules_Year))</f>
        <v>2027</v>
      </c>
      <c r="D140" s="25"/>
    </row>
    <row r="141" customFormat="false" ht="15" hidden="false" customHeight="true" outlineLevel="0" collapsed="false">
      <c r="B141" s="20" t="s">
        <v>1430</v>
      </c>
      <c r="C141" s="36" t="n">
        <f aca="false">IF(AND(In_partner="Yes",In_income&gt;0,In_pIncome&gt;0,In_work="Employed"),1,0)</f>
        <v>1</v>
      </c>
      <c r="D141" s="25"/>
    </row>
    <row r="142" customFormat="false" ht="15" hidden="false" customHeight="true" outlineLevel="0" collapsed="false">
      <c r="B142" s="20" t="s">
        <v>1101</v>
      </c>
      <c r="C142" s="36" t="n">
        <f aca="false">IF(Has_a_safetyMonths=1,In_a_safetyMonths,IF(AS_TwoSecure=1,Set_safetyMonthsTwo,Set_safetyMonths))</f>
        <v>3</v>
      </c>
      <c r="D142" s="25"/>
    </row>
    <row r="143" customFormat="false" ht="15" hidden="false" customHeight="true" outlineLevel="0" collapsed="false">
      <c r="B143" s="20" t="s">
        <v>1431</v>
      </c>
      <c r="C143" s="36" t="n">
        <f aca="false">IF(Has_a_cashYears=1,In_a_cashYears,Set_cashYears)</f>
        <v>5</v>
      </c>
      <c r="D143" s="25"/>
    </row>
    <row r="144" customFormat="false" ht="15" hidden="false" customHeight="true" outlineLevel="0" collapsed="false">
      <c r="B144" s="20" t="s">
        <v>1108</v>
      </c>
      <c r="C144" s="37" t="n">
        <f aca="false">IF(Has_a_saveShare=1,In_a_saveShare,Set_saveShare)</f>
        <v>0.5</v>
      </c>
      <c r="D144" s="25"/>
    </row>
    <row r="145" customFormat="false" ht="15" hidden="false" customHeight="true" outlineLevel="0" collapsed="false">
      <c r="B145" s="20" t="s">
        <v>1110</v>
      </c>
      <c r="C145" s="41" t="n">
        <f aca="false">IF(Has_a_noAnswer=1,In_a_noAnswer,Set_noAnswer)</f>
        <v>300</v>
      </c>
      <c r="D145" s="25"/>
    </row>
    <row r="146" customFormat="false" ht="15" hidden="false" customHeight="true" outlineLevel="0" collapsed="false">
      <c r="B146" s="20" t="s">
        <v>1432</v>
      </c>
      <c r="C146" s="37" t="n">
        <f aca="false">IF(Has_a_investShare=1,In_a_investShare,Set_investShare)</f>
        <v>0.4</v>
      </c>
      <c r="D146" s="25"/>
    </row>
    <row r="147" customFormat="false" ht="15" hidden="false" customHeight="true" outlineLevel="0" collapsed="false">
      <c r="B147" s="20" t="s">
        <v>120</v>
      </c>
      <c r="C147" s="36" t="n">
        <f aca="false">IF(Has_a_accessAge=1,In_a_accessAge,Set_accessAge)</f>
        <v>60</v>
      </c>
      <c r="D147" s="25"/>
    </row>
    <row r="148" customFormat="false" ht="15" hidden="false" customHeight="true" outlineLevel="0" collapsed="false">
      <c r="B148" s="20" t="s">
        <v>1433</v>
      </c>
      <c r="C148" s="37" t="n">
        <f aca="false">IF(Has_a_lumpSum=1,In_a_lumpSum,Set_lumpSum)</f>
        <v>0.25</v>
      </c>
      <c r="D148" s="25"/>
    </row>
    <row r="149" customFormat="false" ht="15" hidden="false" customHeight="true" outlineLevel="0" collapsed="false">
      <c r="B149" s="20" t="s">
        <v>1434</v>
      </c>
      <c r="C149" s="36" t="str">
        <f aca="false">IF(Has_a_drawRule=1,In_a_drawRule,Set_drawRule)</f>
        <v>spread</v>
      </c>
      <c r="D149" s="25"/>
    </row>
    <row r="150" customFormat="false" ht="15" hidden="false" customHeight="true" outlineLevel="0" collapsed="false">
      <c r="B150" s="20" t="s">
        <v>1435</v>
      </c>
      <c r="C150" s="36" t="n">
        <f aca="false">IF(Has_a_drawFixed=1,In_a_drawFixed,PR_FbDrawFixed)</f>
        <v>20000</v>
      </c>
      <c r="D150" s="25"/>
    </row>
    <row r="151" customFormat="false" ht="15" hidden="false" customHeight="true" outlineLevel="0" collapsed="false">
      <c r="B151" s="20" t="s">
        <v>111</v>
      </c>
      <c r="C151" s="36" t="str">
        <f aca="false">IF(Has_a_bands=1,In_a_bands,Set_bands)</f>
        <v>prices</v>
      </c>
      <c r="D151" s="25"/>
    </row>
    <row r="152" customFormat="false" ht="15" hidden="false" customHeight="true" outlineLevel="0" collapsed="false">
      <c r="B152" s="20" t="s">
        <v>108</v>
      </c>
      <c r="C152" s="36" t="str">
        <f aca="false">IF(Has_a_spGrow=1,In_a_spGrow,Set_spGrow)</f>
        <v>prices</v>
      </c>
      <c r="D152" s="25"/>
    </row>
    <row r="153" customFormat="false" ht="15" hidden="false" customHeight="true" outlineLevel="0" collapsed="false">
      <c r="B153" s="20" t="s">
        <v>1436</v>
      </c>
      <c r="C153" s="37" t="n">
        <f aca="false">IF(Has_a_retireSpend=1,In_a_retireSpend,Set_retireSpend)</f>
        <v>0.8</v>
      </c>
      <c r="D153" s="25"/>
    </row>
    <row r="154" customFormat="false" ht="15" hidden="false" customHeight="true" outlineLevel="0" collapsed="false">
      <c r="B154" s="20" t="s">
        <v>1437</v>
      </c>
      <c r="C154" s="37" t="n">
        <f aca="false">IF(Has_a_ownShare=1,In_a_ownShare,IF(In_work="Self-employed",1,Set_ownShare))</f>
        <v>0.5</v>
      </c>
      <c r="D154" s="25"/>
    </row>
    <row r="155" customFormat="false" ht="15" hidden="false" customHeight="true" outlineLevel="0" collapsed="false">
      <c r="B155" s="20" t="s">
        <v>1438</v>
      </c>
      <c r="C155" s="36" t="n">
        <f aca="false">IF(Has_a_penChg=1,In_a_penChg,PR_FbPenChg)</f>
        <v>0.01</v>
      </c>
      <c r="D155" s="25"/>
    </row>
    <row r="156" customFormat="false" ht="15" hidden="false" customHeight="true" outlineLevel="0" collapsed="false">
      <c r="B156" s="20" t="s">
        <v>1439</v>
      </c>
      <c r="C156" s="36" t="str">
        <f aca="false">IF(In_sp="","Not sure",In_sp)</f>
        <v>Expect full</v>
      </c>
      <c r="D156" s="25"/>
    </row>
    <row r="157" customFormat="false" ht="15" hidden="false" customHeight="true" outlineLevel="0" collapsed="false">
      <c r="B157" s="20" t="s">
        <v>1440</v>
      </c>
      <c r="C157" s="36" t="n">
        <f aca="false">IF(Has_a_spWeek=1,In_a_spWeek,PR_SPweek*IF(AS_SpOwn="Partly",PR_FbSpPartly,PR_FbSpOther))</f>
        <v>239.44</v>
      </c>
      <c r="D157" s="25"/>
    </row>
    <row r="158" customFormat="false" ht="15" hidden="false" customHeight="true" outlineLevel="0" collapsed="false">
      <c r="B158" s="20" t="s">
        <v>1441</v>
      </c>
      <c r="C158" s="36" t="str">
        <f aca="false">IF(In_pSp="","Not sure",In_pSp)</f>
        <v>Not sure</v>
      </c>
      <c r="D158" s="25"/>
    </row>
    <row r="159" customFormat="false" ht="15" hidden="false" customHeight="true" outlineLevel="0" collapsed="false">
      <c r="B159" s="20" t="s">
        <v>1442</v>
      </c>
      <c r="C159" s="36" t="n">
        <f aca="false">IF(Has_a_pSpWeek=1,In_a_pSpWeek,PR_SPweek*IF(AS_PSpOwn="Own partial",PR_FbSpPartly,PR_FbSpOther))</f>
        <v>239.44</v>
      </c>
      <c r="D159" s="25"/>
    </row>
    <row r="160" customFormat="false" ht="15" hidden="false" customHeight="true" outlineLevel="0" collapsed="false">
      <c r="B160" s="20" t="s">
        <v>1443</v>
      </c>
      <c r="C160" s="36" t="n">
        <f aca="false">PR_SPweek*PR_Weeks</f>
        <v>15563.6</v>
      </c>
      <c r="D160" s="25"/>
    </row>
    <row r="162" customFormat="false" ht="15" hidden="false" customHeight="true" outlineLevel="0" collapsed="false">
      <c r="B162" s="23" t="s">
        <v>1444</v>
      </c>
      <c r="C162" s="23" t="s">
        <v>1173</v>
      </c>
      <c r="D162" s="23" t="s">
        <v>1174</v>
      </c>
    </row>
    <row r="163" customFormat="false" ht="15" hidden="false" customHeight="true" outlineLevel="0" collapsed="false">
      <c r="B163" s="20" t="s">
        <v>1445</v>
      </c>
      <c r="C163" s="36" t="str">
        <f aca="false">IF(In_work&lt;&gt;"",In_work,IF(In_income&gt;0,"Employed",""))</f>
        <v>Employed</v>
      </c>
      <c r="D163" s="25"/>
    </row>
    <row r="164" customFormat="false" ht="15" hidden="false" customHeight="true" outlineLevel="0" collapsed="false">
      <c r="B164" s="20" t="s">
        <v>1446</v>
      </c>
      <c r="C164" s="36" t="n">
        <f aca="false">In_age</f>
        <v>38</v>
      </c>
      <c r="D164" s="25"/>
    </row>
    <row r="165" customFormat="false" ht="15" hidden="false" customHeight="true" outlineLevel="0" collapsed="false">
      <c r="B165" s="20" t="s">
        <v>114</v>
      </c>
      <c r="C165" s="36" t="n">
        <f aca="false">IF(Has_retireAge=1,In_retireAge,PR_FbRetireAge)</f>
        <v>63</v>
      </c>
      <c r="D165" s="25"/>
    </row>
    <row r="166" customFormat="false" ht="15" hidden="false" customHeight="true" outlineLevel="0" collapsed="false">
      <c r="B166" s="20" t="s">
        <v>1447</v>
      </c>
      <c r="C166" s="36" t="n">
        <f aca="false">IF(In_partner="Yes",1,0)</f>
        <v>1</v>
      </c>
      <c r="D166" s="25"/>
    </row>
    <row r="167" customFormat="false" ht="15" hidden="false" customHeight="true" outlineLevel="0" collapsed="false">
      <c r="B167" s="20" t="s">
        <v>1448</v>
      </c>
      <c r="C167" s="36" t="n">
        <f aca="false">IF(AND(F_Partner=1,In_married="Yes"),1,0)</f>
        <v>0</v>
      </c>
      <c r="D167" s="25"/>
    </row>
    <row r="168" customFormat="false" ht="15" hidden="false" customHeight="true" outlineLevel="0" collapsed="false">
      <c r="B168" s="20" t="s">
        <v>1449</v>
      </c>
      <c r="C168" s="36" t="n">
        <f aca="false">IF(In_work="Not working",0,In_income)</f>
        <v>58000</v>
      </c>
      <c r="D168" s="25"/>
    </row>
    <row r="169" customFormat="false" ht="15" hidden="false" customHeight="true" outlineLevel="0" collapsed="false">
      <c r="B169" s="20" t="s">
        <v>1450</v>
      </c>
      <c r="C169" s="36" t="n">
        <f aca="false">IF(F_Partner=1,In_pIncome,0)</f>
        <v>22000</v>
      </c>
      <c r="D169" s="25"/>
    </row>
    <row r="170" customFormat="false" ht="15" hidden="false" customHeight="true" outlineLevel="0" collapsed="false">
      <c r="B170" s="20" t="s">
        <v>1451</v>
      </c>
      <c r="C170" s="36" t="n">
        <f aca="false">IF(F_Partner=1,IF(In_pAge&gt;0,In_pAge,In_age),0)</f>
        <v>37</v>
      </c>
      <c r="D170" s="25"/>
    </row>
    <row r="171" customFormat="false" ht="15" hidden="false" customHeight="true" outlineLevel="0" collapsed="false">
      <c r="B171" s="20" t="s">
        <v>1452</v>
      </c>
      <c r="C171" s="36" t="n">
        <f aca="false">IF(Has_pRet=1,In_pRet,0)</f>
        <v>66</v>
      </c>
      <c r="D171" s="25"/>
    </row>
    <row r="172" customFormat="false" ht="15" hidden="false" customHeight="true" outlineLevel="0" collapsed="false">
      <c r="B172" s="20" t="s">
        <v>1453</v>
      </c>
      <c r="C172" s="36" t="n">
        <f aca="false">In_otherM</f>
        <v>0</v>
      </c>
      <c r="D172" s="25"/>
    </row>
    <row r="173" customFormat="false" ht="15" hidden="false" customHeight="true" outlineLevel="0" collapsed="false">
      <c r="B173" s="20" t="s">
        <v>1454</v>
      </c>
      <c r="C173" s="36" t="n">
        <f aca="false">In_costsM</f>
        <v>3600</v>
      </c>
      <c r="D173" s="25"/>
    </row>
    <row r="174" customFormat="false" ht="15" hidden="false" customHeight="true" outlineLevel="0" collapsed="false">
      <c r="B174" s="20" t="s">
        <v>1455</v>
      </c>
      <c r="C174" s="36" t="n">
        <f aca="false">In_oneOffY</f>
        <v>1800</v>
      </c>
      <c r="D174" s="25"/>
    </row>
    <row r="175" customFormat="false" ht="15" hidden="false" customHeight="true" outlineLevel="0" collapsed="false">
      <c r="B175" s="20" t="s">
        <v>557</v>
      </c>
      <c r="C175" s="36" t="n">
        <f aca="false">In_cash</f>
        <v>9000</v>
      </c>
      <c r="D175" s="25"/>
    </row>
    <row r="176" customFormat="false" ht="15" hidden="false" customHeight="true" outlineLevel="0" collapsed="false">
      <c r="B176" s="20" t="s">
        <v>993</v>
      </c>
      <c r="C176" s="36" t="n">
        <f aca="false">In_invest</f>
        <v>6200</v>
      </c>
      <c r="D176" s="25"/>
    </row>
    <row r="177" customFormat="false" ht="15" hidden="false" customHeight="true" outlineLevel="0" collapsed="false">
      <c r="B177" s="20" t="s">
        <v>1456</v>
      </c>
      <c r="C177" s="36" t="n">
        <f aca="false">In_rentM</f>
        <v>0</v>
      </c>
      <c r="D177" s="25"/>
    </row>
    <row r="178" customFormat="false" ht="15" hidden="false" customHeight="true" outlineLevel="0" collapsed="false">
      <c r="B178" s="20" t="s">
        <v>1457</v>
      </c>
      <c r="C178" s="36" t="n">
        <f aca="false">IF(In_home="Own with mortgage",1,0)</f>
        <v>1</v>
      </c>
      <c r="D178" s="25"/>
    </row>
    <row r="179" customFormat="false" ht="15" hidden="false" customHeight="true" outlineLevel="0" collapsed="false">
      <c r="B179" s="20" t="s">
        <v>1458</v>
      </c>
      <c r="C179" s="37" t="n">
        <f aca="false">IF(In_mortRate&gt;0,In_mortRate,AS_MortRate)</f>
        <v>0.0385</v>
      </c>
      <c r="D179" s="25"/>
    </row>
    <row r="180" customFormat="false" ht="15" hidden="false" customHeight="true" outlineLevel="0" collapsed="false">
      <c r="B180" s="20" t="s">
        <v>1459</v>
      </c>
      <c r="C180" s="36" t="n">
        <f aca="false">IF(F_MortOn=1,In_mortPayM,0)</f>
        <v>1180</v>
      </c>
      <c r="D180" s="25"/>
    </row>
    <row r="181" customFormat="false" ht="15" hidden="false" customHeight="true" outlineLevel="0" collapsed="false">
      <c r="B181" s="20" t="s">
        <v>995</v>
      </c>
      <c r="C181" s="36" t="n">
        <f aca="false">IF(F_MortOn=1,In_mortBal,0)</f>
        <v>203700</v>
      </c>
      <c r="D181" s="25"/>
    </row>
    <row r="182" customFormat="false" ht="15" hidden="false" customHeight="true" outlineLevel="0" collapsed="false">
      <c r="B182" s="20" t="s">
        <v>1460</v>
      </c>
      <c r="C182" s="36" t="n">
        <f aca="false">IF(F_MortOn=1,IF(F_MStated&lt;&gt;0,F_MStated,IF(F_MortBal&gt;0,IF(F_MR/12&lt;&gt;0,F_MortBal*(F_MR/12)/(1-(1+F_MR/12)^-MAX(1,ROUND(IF(In_mortYears&lt;&gt;0,In_mortYears,PR_FbMortYears)*12,0))),F_MortBal/MAX(1,ROUND(IF(In_mortYears&lt;&gt;0,In_mortYears,PR_FbMortYears)*12,0))),0)),0)</f>
        <v>1180</v>
      </c>
      <c r="D182" s="25"/>
    </row>
    <row r="183" customFormat="false" ht="15" hidden="false" customHeight="true" outlineLevel="0" collapsed="false">
      <c r="B183" s="20" t="s">
        <v>1461</v>
      </c>
      <c r="C183" s="36" t="n">
        <f aca="false">IF(AND(F_MortOn=1,F_MStated=0),1,0)</f>
        <v>0</v>
      </c>
      <c r="D183" s="25"/>
    </row>
    <row r="184" customFormat="false" ht="15" hidden="false" customHeight="true" outlineLevel="0" collapsed="false">
      <c r="B184" s="20" t="s">
        <v>1462</v>
      </c>
      <c r="C184" s="36" t="n">
        <f aca="false">IF(AND(F_MortOn=1,F_MStated&gt;0,F_MortBal&gt;0,In_mortYears&gt;0,F_MStated&lt;IF(F_MR/12&lt;&gt;0,F_MortBal*(F_MR/12)/(1-(1+F_MR/12)^-MAX(1,ROUND(In_mortYears*12,0))),F_MortBal/MAX(1,ROUND(In_mortYears*12,0)))-1),1,0)</f>
        <v>0</v>
      </c>
      <c r="D184" s="25"/>
    </row>
    <row r="186" customFormat="false" ht="15" hidden="false" customHeight="true" outlineLevel="0" collapsed="false">
      <c r="B186" s="23" t="s">
        <v>1463</v>
      </c>
      <c r="C186" s="23" t="s">
        <v>1173</v>
      </c>
      <c r="D186" s="23" t="s">
        <v>1174</v>
      </c>
    </row>
    <row r="187" customFormat="false" ht="15" hidden="false" customHeight="true" outlineLevel="0" collapsed="false">
      <c r="B187" s="20" t="s">
        <v>1464</v>
      </c>
      <c r="C187" s="36" t="n">
        <f aca="false">Mort2_Bal</f>
        <v>0</v>
      </c>
      <c r="D187" s="25"/>
    </row>
    <row r="188" customFormat="false" ht="15" hidden="false" customHeight="true" outlineLevel="0" collapsed="false">
      <c r="B188" s="20" t="s">
        <v>1465</v>
      </c>
      <c r="C188" s="36" t="n">
        <f aca="false">Mort2_Pay</f>
        <v>0</v>
      </c>
      <c r="D188" s="25"/>
    </row>
    <row r="189" customFormat="false" ht="15" hidden="false" customHeight="true" outlineLevel="0" collapsed="false">
      <c r="B189" s="20" t="s">
        <v>1466</v>
      </c>
      <c r="C189" s="42" t="n">
        <f aca="false">Mort2_Rate</f>
        <v>0</v>
      </c>
      <c r="D189" s="25"/>
    </row>
    <row r="190" customFormat="false" ht="15" hidden="false" customHeight="true" outlineLevel="0" collapsed="false">
      <c r="B190" s="20" t="s">
        <v>1467</v>
      </c>
      <c r="C190" s="36" t="n">
        <f aca="false">IF(In_cardRate&gt;0,In_cardRate,AS_CardRate)</f>
        <v>0.2</v>
      </c>
      <c r="D190" s="25"/>
    </row>
    <row r="191" customFormat="false" ht="15" hidden="false" customHeight="true" outlineLevel="0" collapsed="false">
      <c r="B191" s="20" t="s">
        <v>1468</v>
      </c>
      <c r="C191" s="37" t="n">
        <f aca="false">IF(In_loanRate&gt;0,In_loanRate,AS_LoanRate)</f>
        <v>0.08</v>
      </c>
      <c r="D191" s="25"/>
    </row>
    <row r="192" customFormat="false" ht="15" hidden="false" customHeight="true" outlineLevel="0" collapsed="false">
      <c r="B192" s="20" t="s">
        <v>1469</v>
      </c>
      <c r="C192" s="36" t="n">
        <f aca="false">In_loanBal+In_debt</f>
        <v>3500</v>
      </c>
      <c r="D192" s="25"/>
    </row>
    <row r="193" customFormat="false" ht="15" hidden="false" customHeight="true" outlineLevel="0" collapsed="false">
      <c r="B193" s="20" t="s">
        <v>1470</v>
      </c>
      <c r="C193" s="37" t="n">
        <f aca="false">IF(M2_Bal&gt;0,IF(D_lB0&gt;0,(D_lB0*D_lR0+M2_Bal*M2_Rate)/(D_lB0+M2_Bal),M2_Rate),D_lR0)</f>
        <v>0.08</v>
      </c>
      <c r="D193" s="25"/>
    </row>
    <row r="194" customFormat="false" ht="15" hidden="false" customHeight="true" outlineLevel="0" collapsed="false">
      <c r="B194" s="20" t="s">
        <v>1471</v>
      </c>
      <c r="C194" s="36" t="n">
        <f aca="false">In_cardBal</f>
        <v>400</v>
      </c>
      <c r="D194" s="25"/>
    </row>
    <row r="195" customFormat="false" ht="15" hidden="false" customHeight="true" outlineLevel="0" collapsed="false">
      <c r="B195" s="20" t="s">
        <v>1472</v>
      </c>
      <c r="C195" s="36" t="n">
        <f aca="false">D_lB0+M2_Bal</f>
        <v>3500</v>
      </c>
      <c r="D195" s="25"/>
    </row>
    <row r="196" customFormat="false" ht="15" hidden="false" customHeight="true" outlineLevel="0" collapsed="false">
      <c r="B196" s="20" t="s">
        <v>1473</v>
      </c>
      <c r="C196" s="36" t="n">
        <f aca="false">In_loanPayM+In_debtPayM+M2_Pay</f>
        <v>100</v>
      </c>
      <c r="D196" s="25"/>
    </row>
    <row r="197" customFormat="false" ht="15" hidden="false" customHeight="true" outlineLevel="0" collapsed="false">
      <c r="B197" s="20" t="s">
        <v>1474</v>
      </c>
      <c r="C197" s="36" t="n">
        <f aca="false">(1+D_cR)^(1/12)-1</f>
        <v>0.0153094704997312</v>
      </c>
      <c r="D197" s="25"/>
    </row>
    <row r="198" customFormat="false" ht="15" hidden="false" customHeight="true" outlineLevel="0" collapsed="false">
      <c r="B198" s="20" t="s">
        <v>1475</v>
      </c>
      <c r="C198" s="36" t="n">
        <f aca="false">(1+D_lR)^(1/12)-1</f>
        <v>0.00643403011000343</v>
      </c>
      <c r="D198" s="25"/>
    </row>
    <row r="199" customFormat="false" ht="15" hidden="false" customHeight="true" outlineLevel="0" collapsed="false">
      <c r="B199" s="20" t="s">
        <v>1476</v>
      </c>
      <c r="C199" s="36" t="n">
        <f aca="false">IF(AND(F_CardBal&gt;0,In_cardPayM&gt;F_CardBal*D_iC),1,0)</f>
        <v>1</v>
      </c>
      <c r="D199" s="25"/>
    </row>
    <row r="200" customFormat="false" ht="15" hidden="false" customHeight="true" outlineLevel="0" collapsed="false">
      <c r="B200" s="20" t="s">
        <v>1477</v>
      </c>
      <c r="C200" s="36" t="n">
        <f aca="false">IF(AND(F_LoanBal&gt;0,D_lp&gt;F_LoanBal*D_iL),1,0)</f>
        <v>1</v>
      </c>
      <c r="D200" s="25"/>
    </row>
    <row r="201" customFormat="false" ht="15" hidden="false" customHeight="true" outlineLevel="0" collapsed="false">
      <c r="B201" s="20" t="s">
        <v>1478</v>
      </c>
      <c r="C201" s="36" t="n">
        <f aca="false">IF(F_CardBal&gt;0,IF(D_okC=1,In_cardPayM,IF(D_iC&lt;&gt;0,F_CardBal*D_iC/(1-(1+D_iC)^-60),F_CardBal/60)),0)</f>
        <v>40</v>
      </c>
      <c r="D201" s="25"/>
    </row>
    <row r="202" customFormat="false" ht="15" hidden="false" customHeight="true" outlineLevel="0" collapsed="false">
      <c r="B202" s="20" t="s">
        <v>1479</v>
      </c>
      <c r="C202" s="36" t="n">
        <f aca="false">IF(F_LoanBal&gt;0,IF(D_okL=1,D_lp,IF(D_iL&lt;&gt;0,F_LoanBal*D_iL/(1-(1+D_iL)^-60),F_LoanBal/60)),0)</f>
        <v>100</v>
      </c>
      <c r="D202" s="25"/>
    </row>
    <row r="203" customFormat="false" ht="15" hidden="false" customHeight="true" outlineLevel="0" collapsed="false">
      <c r="B203" s="20" t="s">
        <v>1480</v>
      </c>
      <c r="C203" s="36" t="n">
        <f aca="false">IF(AND(F_CardBal&gt;0,D_okC=0),1,0)</f>
        <v>0</v>
      </c>
      <c r="D203" s="25"/>
    </row>
    <row r="204" customFormat="false" ht="15" hidden="false" customHeight="true" outlineLevel="0" collapsed="false">
      <c r="B204" s="20" t="s">
        <v>1481</v>
      </c>
      <c r="C204" s="36" t="n">
        <f aca="false">IF(AND(F_LoanBal&gt;0,D_okL=0),1,0)</f>
        <v>0</v>
      </c>
      <c r="D204" s="25"/>
    </row>
    <row r="205" customFormat="false" ht="15" hidden="false" customHeight="true" outlineLevel="0" collapsed="false">
      <c r="B205" s="20" t="s">
        <v>1482</v>
      </c>
      <c r="C205" s="36" t="n">
        <f aca="false">F_CardBal+F_LoanBal</f>
        <v>3900</v>
      </c>
      <c r="D205" s="25"/>
    </row>
    <row r="206" customFormat="false" ht="15" hidden="false" customHeight="true" outlineLevel="0" collapsed="false">
      <c r="B206" s="20" t="s">
        <v>1483</v>
      </c>
      <c r="C206" s="36" t="n">
        <f aca="false">F_CardPayM+F_LoanPayM</f>
        <v>140</v>
      </c>
      <c r="D206" s="25"/>
    </row>
    <row r="207" customFormat="false" ht="15" hidden="false" customHeight="true" outlineLevel="0" collapsed="false">
      <c r="B207" s="20" t="s">
        <v>1484</v>
      </c>
      <c r="C207" s="36" t="n">
        <f aca="false">F_CostsM+F_MortPayM+IF(F_Debt&gt;0,F_DebtPayM,0)</f>
        <v>4920</v>
      </c>
      <c r="D207" s="25"/>
    </row>
    <row r="209" customFormat="false" ht="15" hidden="false" customHeight="true" outlineLevel="0" collapsed="false">
      <c r="B209" s="23" t="s">
        <v>1485</v>
      </c>
      <c r="C209" s="23" t="s">
        <v>1173</v>
      </c>
      <c r="D209" s="23" t="s">
        <v>1174</v>
      </c>
    </row>
    <row r="210" customFormat="false" ht="15" hidden="false" customHeight="true" outlineLevel="0" collapsed="false">
      <c r="B210" s="20" t="s">
        <v>1486</v>
      </c>
      <c r="C210" s="36" t="n">
        <f aca="false">IF(AND(In_work&lt;&gt;"Not working",F_Income&gt;0),In_pensionM,0)</f>
        <v>520</v>
      </c>
      <c r="D210" s="25"/>
    </row>
    <row r="211" customFormat="false" ht="15" hidden="false" customHeight="true" outlineLevel="0" collapsed="false">
      <c r="B211" s="20" t="s">
        <v>1487</v>
      </c>
      <c r="C211" s="36" t="n">
        <f aca="false">IF(Has_pensionOwnM=1,MIN(F_PenM,In_pensionOwnM),F_PenM*AS_OwnShare)</f>
        <v>260</v>
      </c>
      <c r="D211" s="25"/>
    </row>
    <row r="212" customFormat="false" ht="15" hidden="false" customHeight="true" outlineLevel="0" collapsed="false">
      <c r="B212" s="20" t="s">
        <v>1488</v>
      </c>
      <c r="C212" s="42" t="n">
        <f aca="false">AS_Pen+IF(Has_penChg=1,AS_PenChgTyp-In_penChg,0)</f>
        <v>0.045</v>
      </c>
      <c r="D212" s="25"/>
    </row>
    <row r="213" customFormat="false" ht="15" hidden="false" customHeight="true" outlineLevel="0" collapsed="false">
      <c r="B213" s="20" t="s">
        <v>1489</v>
      </c>
      <c r="C213" s="36" t="str">
        <f aca="false">IF(Has_spYears=1,In_spYears,IF(Has_a_spYears=1,In_a_spYears,""))</f>
        <v/>
      </c>
      <c r="D213" s="25"/>
    </row>
    <row r="214" customFormat="false" ht="15" hidden="false" customHeight="true" outlineLevel="0" collapsed="false">
      <c r="B214" s="20" t="s">
        <v>1490</v>
      </c>
      <c r="C214" s="36" t="n">
        <f aca="false">IF(F_YrsSP&lt;&gt;"",IF(F_YrsSP&lt;PR_SPmin,0,MIN(1,F_YrsSP/PR_SPfull)),IF(In_sp="Expect full",1,MIN(1,AS_SpWeek/PR_SPweek)))</f>
        <v>1</v>
      </c>
      <c r="D214" s="25"/>
    </row>
    <row r="215" customFormat="false" ht="15" hidden="false" customHeight="true" outlineLevel="0" collapsed="false">
      <c r="B215" s="20" t="s">
        <v>1491</v>
      </c>
      <c r="C215" s="36" t="str">
        <f aca="false">IF(F_Partner=1,AS_PSpOwn,"None")</f>
        <v>Not sure</v>
      </c>
      <c r="D215" s="25"/>
    </row>
    <row r="216" customFormat="false" ht="15" hidden="false" customHeight="true" outlineLevel="0" collapsed="false">
      <c r="B216" s="20" t="s">
        <v>1492</v>
      </c>
      <c r="C216" s="36" t="n">
        <f aca="false">IF(F_PSpO="Qualified adult increase",1,0)</f>
        <v>0</v>
      </c>
      <c r="D216" s="25"/>
    </row>
    <row r="217" customFormat="false" ht="15" hidden="false" customHeight="true" outlineLevel="0" collapsed="false">
      <c r="B217" s="20" t="s">
        <v>1493</v>
      </c>
      <c r="C217" s="36" t="n">
        <f aca="false">IF(F_PSpO="Own full",1,IF(OR(F_PSpO="Own partial",F_PSpO="Not sure"),MIN(1,AS_PSpWeek/PR_SPweek),0))</f>
        <v>0.8</v>
      </c>
      <c r="D217" s="25"/>
    </row>
    <row r="218" customFormat="false" ht="15" hidden="false" customHeight="true" outlineLevel="0" collapsed="false">
      <c r="B218" s="20" t="s">
        <v>1494</v>
      </c>
      <c r="C218" s="36" t="n">
        <f aca="false">IF(AND(F_Work="Employed",In_age&gt;=PR_AEageMin,In_age&lt;=PR_AEageMax,F_Income&gt;PR_AEearnMin,F_PenM=0,In_ae&lt;&gt;"No"),1,0)</f>
        <v>0</v>
      </c>
      <c r="D218" s="25"/>
    </row>
    <row r="219" customFormat="false" ht="15" hidden="false" customHeight="true" outlineLevel="0" collapsed="false">
      <c r="B219" s="20" t="s">
        <v>1495</v>
      </c>
      <c r="C219" s="36" t="n">
        <f aca="false">IF(AND(In_credRent="Yes",In_home="Rent"),1,0)</f>
        <v>0</v>
      </c>
      <c r="D219" s="25"/>
    </row>
    <row r="220" customFormat="false" ht="15" hidden="false" customHeight="true" outlineLevel="0" collapsed="false">
      <c r="B220" s="20" t="s">
        <v>1496</v>
      </c>
      <c r="C220" s="36" t="n">
        <f aca="false">IF(AND(In_credLone="Yes",In_deps&gt;0,F_Partner=0),1,0)</f>
        <v>0</v>
      </c>
      <c r="D220" s="25"/>
    </row>
    <row r="221" customFormat="false" ht="15" hidden="false" customHeight="true" outlineLevel="0" collapsed="false">
      <c r="B221" s="20" t="s">
        <v>1497</v>
      </c>
      <c r="C221" s="36" t="n">
        <f aca="false">IF(AND(In_credCarer="Yes",F_Partner=1,In_married="Yes"),1,0)</f>
        <v>0</v>
      </c>
      <c r="D221" s="25"/>
    </row>
    <row r="222" customFormat="false" ht="15" hidden="false" customHeight="true" outlineLevel="0" collapsed="false">
      <c r="B222" s="20" t="s">
        <v>1498</v>
      </c>
      <c r="C222" s="36" t="n">
        <f aca="false">In_pension+IF(WI_Retire=1,In_wiL,0)</f>
        <v>72000</v>
      </c>
      <c r="D222" s="25"/>
    </row>
    <row r="223" customFormat="false" ht="15" hidden="false" customHeight="true" outlineLevel="0" collapsed="false">
      <c r="B223" s="20" t="s">
        <v>1499</v>
      </c>
      <c r="C223" s="36" t="n">
        <f aca="false">MAX(F_R,AS_AccessAge)</f>
        <v>63</v>
      </c>
      <c r="D223" s="25"/>
    </row>
    <row r="224" customFormat="false" ht="15" hidden="false" customHeight="true" outlineLevel="0" collapsed="false">
      <c r="B224" s="20" t="s">
        <v>1500</v>
      </c>
      <c r="C224" s="36" t="n">
        <f aca="false">AS_End-F_Age</f>
        <v>57</v>
      </c>
      <c r="D224" s="25"/>
    </row>
    <row r="225" customFormat="false" ht="15" hidden="false" customHeight="true" outlineLevel="0" collapsed="false">
      <c r="B225" s="20" t="s">
        <v>1501</v>
      </c>
      <c r="C225" s="36" t="n">
        <f aca="false">IF(In_work="Self-employed",1,0)</f>
        <v>0</v>
      </c>
      <c r="D225" s="25"/>
    </row>
    <row r="226" customFormat="false" ht="15" hidden="false" customHeight="true" outlineLevel="0" collapsed="false">
      <c r="B226" s="20" t="s">
        <v>1502</v>
      </c>
      <c r="C226" s="36" t="n">
        <f aca="false">IF(AND(In_wiGoal&gt;0,INDEX(Goal_Kind_List,MAX(1,In_wiGoal))="retire"),1,0)</f>
        <v>0</v>
      </c>
      <c r="D226" s="25" t="s">
        <v>1503</v>
      </c>
    </row>
    <row r="227" customFormat="false" ht="15" hidden="false" customHeight="true" outlineLevel="0" collapsed="false">
      <c r="B227" s="20" t="s">
        <v>1504</v>
      </c>
      <c r="C227" s="36" t="n">
        <f aca="false">In_wiM</f>
        <v>0</v>
      </c>
      <c r="D227" s="25"/>
    </row>
    <row r="228" customFormat="false" ht="15" hidden="false" customHeight="true" outlineLevel="0" collapsed="false">
      <c r="B228" s="20" t="s">
        <v>1505</v>
      </c>
      <c r="C228" s="36" t="n">
        <f aca="false">In_wiL</f>
        <v>0</v>
      </c>
      <c r="D228" s="25"/>
    </row>
    <row r="232" customFormat="false" ht="108.75" hidden="false" customHeight="true" outlineLevel="0" collapsed="false">
      <c r="A232" s="23" t="s">
        <v>1506</v>
      </c>
      <c r="B232" s="33" t="s">
        <v>1507</v>
      </c>
      <c r="C232" s="33" t="s">
        <v>1446</v>
      </c>
      <c r="D232" s="33" t="s">
        <v>1508</v>
      </c>
      <c r="E232" s="33" t="s">
        <v>1509</v>
      </c>
      <c r="F232" s="33" t="s">
        <v>1510</v>
      </c>
      <c r="G232" s="33" t="s">
        <v>1511</v>
      </c>
      <c r="H232" s="33" t="s">
        <v>1512</v>
      </c>
      <c r="I232" s="33" t="s">
        <v>1513</v>
      </c>
      <c r="J232" s="33" t="s">
        <v>1514</v>
      </c>
      <c r="K232" s="33" t="s">
        <v>1515</v>
      </c>
      <c r="L232" s="33" t="s">
        <v>1516</v>
      </c>
      <c r="M232" s="33" t="s">
        <v>1517</v>
      </c>
      <c r="N232" s="33" t="s">
        <v>1518</v>
      </c>
      <c r="O232" s="33" t="s">
        <v>1519</v>
      </c>
      <c r="P232" s="33" t="s">
        <v>1520</v>
      </c>
      <c r="Q232" s="33" t="s">
        <v>1521</v>
      </c>
      <c r="R232" s="33" t="s">
        <v>1522</v>
      </c>
      <c r="S232" s="33" t="s">
        <v>1523</v>
      </c>
      <c r="T232" s="33" t="s">
        <v>1524</v>
      </c>
      <c r="U232" s="33" t="s">
        <v>1525</v>
      </c>
      <c r="V232" s="33" t="s">
        <v>731</v>
      </c>
      <c r="W232" s="33" t="s">
        <v>1526</v>
      </c>
      <c r="X232" s="33" t="s">
        <v>1527</v>
      </c>
      <c r="Y232" s="33" t="s">
        <v>1528</v>
      </c>
      <c r="Z232" s="33" t="s">
        <v>1529</v>
      </c>
      <c r="AA232" s="33" t="s">
        <v>1530</v>
      </c>
      <c r="AB232" s="33" t="s">
        <v>1531</v>
      </c>
      <c r="AC232" s="33" t="s">
        <v>1532</v>
      </c>
      <c r="AD232" s="33" t="s">
        <v>1533</v>
      </c>
      <c r="AE232" s="33" t="s">
        <v>103</v>
      </c>
      <c r="AF232" s="33" t="s">
        <v>1534</v>
      </c>
      <c r="AG232" s="33" t="s">
        <v>1535</v>
      </c>
      <c r="AH232" s="33" t="s">
        <v>1536</v>
      </c>
      <c r="AI232" s="33" t="s">
        <v>1537</v>
      </c>
      <c r="AJ232" s="33" t="s">
        <v>1538</v>
      </c>
      <c r="AK232" s="33" t="s">
        <v>1539</v>
      </c>
      <c r="AL232" s="33" t="s">
        <v>1540</v>
      </c>
      <c r="AM232" s="33" t="s">
        <v>1541</v>
      </c>
      <c r="AN232" s="33" t="s">
        <v>1542</v>
      </c>
      <c r="AO232" s="33" t="s">
        <v>1543</v>
      </c>
      <c r="AP232" s="33" t="s">
        <v>1544</v>
      </c>
      <c r="AQ232" s="33" t="s">
        <v>1545</v>
      </c>
      <c r="AR232" s="33" t="s">
        <v>1546</v>
      </c>
      <c r="AS232" s="33" t="s">
        <v>1547</v>
      </c>
      <c r="AT232" s="33" t="s">
        <v>1548</v>
      </c>
      <c r="AU232" s="33" t="s">
        <v>1549</v>
      </c>
      <c r="AV232" s="33" t="s">
        <v>1550</v>
      </c>
      <c r="AW232" s="33" t="s">
        <v>1551</v>
      </c>
      <c r="AX232" s="33" t="s">
        <v>1552</v>
      </c>
      <c r="AY232" s="33" t="s">
        <v>1553</v>
      </c>
      <c r="AZ232" s="33" t="s">
        <v>1554</v>
      </c>
      <c r="BA232" s="33" t="s">
        <v>1555</v>
      </c>
      <c r="BB232" s="33" t="s">
        <v>1556</v>
      </c>
      <c r="BC232" s="33" t="s">
        <v>1557</v>
      </c>
      <c r="BD232" s="33" t="s">
        <v>1558</v>
      </c>
      <c r="BE232" s="33" t="s">
        <v>1559</v>
      </c>
      <c r="BF232" s="33" t="s">
        <v>1560</v>
      </c>
      <c r="BG232" s="33" t="s">
        <v>1561</v>
      </c>
      <c r="BH232" s="33" t="s">
        <v>1562</v>
      </c>
      <c r="BI232" s="33" t="s">
        <v>1563</v>
      </c>
      <c r="BJ232" s="33" t="s">
        <v>1564</v>
      </c>
      <c r="BK232" s="33" t="s">
        <v>1565</v>
      </c>
      <c r="BL232" s="33" t="s">
        <v>1566</v>
      </c>
      <c r="BM232" s="33" t="s">
        <v>1567</v>
      </c>
      <c r="BN232" s="33" t="s">
        <v>1568</v>
      </c>
      <c r="BO232" s="33" t="s">
        <v>1569</v>
      </c>
      <c r="BP232" s="33" t="s">
        <v>1570</v>
      </c>
      <c r="BQ232" s="33" t="s">
        <v>1571</v>
      </c>
      <c r="BR232" s="33" t="s">
        <v>1572</v>
      </c>
      <c r="BS232" s="33" t="s">
        <v>1573</v>
      </c>
      <c r="BT232" s="33" t="s">
        <v>1574</v>
      </c>
    </row>
    <row r="233" customFormat="false" ht="15" hidden="false" customHeight="true" outlineLevel="0" collapsed="false">
      <c r="A233" s="20" t="s">
        <v>1575</v>
      </c>
      <c r="AD233" s="43" t="n">
        <f aca="false">F_Pension0</f>
        <v>72000</v>
      </c>
    </row>
    <row r="234" customFormat="false" ht="15" hidden="false" customHeight="true" outlineLevel="0" collapsed="false">
      <c r="B234" s="20" t="n">
        <v>0</v>
      </c>
      <c r="C234" s="20" t="n">
        <f aca="false">F_Age+B234</f>
        <v>38</v>
      </c>
      <c r="D234" s="20" t="n">
        <f aca="false">AS_Year0+B234</f>
        <v>2027</v>
      </c>
      <c r="E234" s="44" t="n">
        <f aca="false">(1+AS_Infl)^B234</f>
        <v>1</v>
      </c>
      <c r="F234" s="44" t="n">
        <f aca="false">(1+AS_Wage)^B234</f>
        <v>1</v>
      </c>
      <c r="G234" s="20" t="n">
        <f aca="false">IF(C234&lt;F_R,1,0)</f>
        <v>1</v>
      </c>
      <c r="H234" s="44" t="n">
        <f aca="false">IF(AS_Bands="flat",1,E234)</f>
        <v>1</v>
      </c>
      <c r="I234" s="44" t="n">
        <f aca="false">IF(AS_SpGrow="pay",F234,IF(AS_SpGrow="flat",1,E234))</f>
        <v>1</v>
      </c>
      <c r="J234" s="44" t="n">
        <f aca="false">(12*PR_PRSIr0+(PR_PRSIr1-PR_PRSIr0)*MAX(0,MIN(12,D234*12+12-PR_PRSIt1))+(PR_PRSIr2-PR_PRSIr1)*MAX(0,MIN(12,D234*12+12-PR_PRSIt2))+(PR_PRSIr3-PR_PRSIr2)*MAX(0,MIN(12,D234*12+12-PR_PRSIt3)))/12</f>
        <v>0.043875</v>
      </c>
      <c r="K234" s="20" t="n">
        <f aca="false">IF(G234=1,F_Income*F234,0)</f>
        <v>58000</v>
      </c>
      <c r="L234" s="20" t="n">
        <f aca="false">IF(G234=1,(F_Own+In_penExtra)*12*F234,0)</f>
        <v>3120</v>
      </c>
      <c r="M234" s="20" t="n">
        <f aca="false">IF(G234=1,(F_PenM+In_penExtra)*12*F234,0)</f>
        <v>6240</v>
      </c>
      <c r="N234" s="45" t="n">
        <f aca="false">IF(C234&lt;PR_RelA1,PR_RelP1,IF(C234&lt;PR_RelA2,PR_RelP2,IF(C234&lt;PR_RelA3,PR_RelP3,IF(C234&lt;PR_RelA4,PR_RelP4,IF(C234&lt;PR_RelA5,PR_RelP5,PR_RelP6)))))</f>
        <v>0.2</v>
      </c>
      <c r="O234" s="20" t="n">
        <f aca="false">IF(G234=1,MIN(L234/H234,N234*MIN(K234/H234,PR_EarnCap))*H234,0)</f>
        <v>3120</v>
      </c>
      <c r="P234" s="20" t="n">
        <f aca="false">IF(AND(G234=1,F_AE=1),MIN(K234/H234,PR_AEcap)*H234,0)</f>
        <v>0</v>
      </c>
      <c r="Q234" s="20" t="n">
        <f aca="false">IF(G234=1,IF(WI_Retire=1,MAX(0,M234+WI_M*12),M234)+(PR_AEee+PR_AEer+PR_AEst)*P234,0)</f>
        <v>6240</v>
      </c>
      <c r="R234" s="20" t="n">
        <f aca="false">L234+PR_AEee*P234</f>
        <v>3120</v>
      </c>
      <c r="S234" s="20" t="n">
        <f aca="false">AD233</f>
        <v>72000</v>
      </c>
      <c r="T234" s="20" t="n">
        <f aca="false">IF(D234&lt;=PR_SFTfrom,PR_SFT2026,IF(D234=PR_SFTfrom+1,PR_SFT2027,IF(D234=PR_SFTfrom+2,PR_SFT2028,IF(D234&lt;=PR_SFTto,PR_SFT2029,PR_SFT2029*(1+AS_Infl)^(D234-PR_SFTto)))))</f>
        <v>2400000</v>
      </c>
      <c r="U234" s="20" t="n">
        <f aca="false">IF(AND(G234=0,C234=F_V),1,0)</f>
        <v>0</v>
      </c>
      <c r="V234" s="20" t="n">
        <f aca="false">IF(U234=1,PR_SFTrate*MAX(0,S234-T234),0)</f>
        <v>0</v>
      </c>
      <c r="W234" s="20" t="n">
        <f aca="false">S234-V234</f>
        <v>72000</v>
      </c>
      <c r="X234" s="20" t="n">
        <f aca="false">IF(AND(U234=1,AS_LumpPct&gt;0),W234*MIN(AS_LumpPct,PR_LSmax),0)</f>
        <v>0</v>
      </c>
      <c r="Y234" s="20" t="n">
        <f aca="false">X234-(PR_LSrate*MAX(0,MIN(X234,PR_LScap)-PR_LSfree)+PR_r2*MAX(0,X234-PR_LScap))</f>
        <v>0</v>
      </c>
      <c r="Z234" s="20" t="n">
        <f aca="false">W234-X234</f>
        <v>72000</v>
      </c>
      <c r="AA234" s="45" t="n">
        <f aca="false">IF(C234&gt;=PR_ARFage1,IF(Z234&gt;PR_ARFbig,PR_ARFbigRate,IF(C234&gt;=PR_ARFage2,PR_ARF71,PR_ARF61)),0)</f>
        <v>0</v>
      </c>
      <c r="AB234" s="20" t="n">
        <f aca="false">IF(AS_DrawRule="min",Z234*AA234,IF(AS_DrawRule="fixed",MAX(AS_DrawFixed*E234,Z234*AA234),Z234*MAX(1/MAX(1,AS_End-C234+1),AA234)))</f>
        <v>1241.37931034483</v>
      </c>
      <c r="AC234" s="20" t="n">
        <f aca="false">IF(AND(G234=0,C234&gt;=F_V),MIN(Z234,AB234),0)</f>
        <v>0</v>
      </c>
      <c r="AD234" s="20" t="n">
        <f aca="false">IF(G234=1,S234*(1+F_PenG)+Q234,IF(C234&lt;F_V,S234*(1+F_PenG),(Z234-AC234)*(1+AS_PenRet)))</f>
        <v>81480</v>
      </c>
      <c r="AE234" s="20" t="n">
        <f aca="false">IF(C234&gt;=PR_SPage,AS_SP*F_SpF*I234+IF(AND(C234&gt;=PR_Over80Age,F_SpF&gt;0),PR_Over80*PR_Weeks*I234,0),0)</f>
        <v>0</v>
      </c>
      <c r="AF234" s="20" t="n">
        <f aca="false">(F_OtherM+F_RentM)*12*E234</f>
        <v>0</v>
      </c>
      <c r="AG234" s="20" t="n">
        <f aca="false">F_PAge+B234</f>
        <v>37</v>
      </c>
      <c r="AH234" s="20" t="n">
        <f aca="false">IF(AND(F_Partner=1,F_PAge&gt;0,AG234&lt;IF(F_PRet&gt;0,F_PRet,PR_SPage)),F_PIncome*F234,0)</f>
        <v>22000</v>
      </c>
      <c r="AI234" s="20" t="n">
        <f aca="false">IF(AND(F_Partner=1,AG234&gt;=PR_SPage,F_PSpQA=0),AS_SP*F_PSpF*I234,0)</f>
        <v>0</v>
      </c>
      <c r="AJ234" s="20" t="n">
        <f aca="false">IF(AND(F_Partner=1,F_PSpQA=1,C234&gt;=PR_SPage,AH234=0),IF(AG234&gt;=PR_SPage,PR_QA66,PR_QAunder)*PR_Weeks*I234,0)</f>
        <v>0</v>
      </c>
      <c r="AK234" s="20" t="n">
        <f aca="false">AE234+AJ234</f>
        <v>0</v>
      </c>
      <c r="AL234" s="20" t="n">
        <f aca="false">K234/H234</f>
        <v>58000</v>
      </c>
      <c r="AM234" s="20" t="n">
        <f aca="false">AK234/H234</f>
        <v>0</v>
      </c>
      <c r="AN234" s="20" t="n">
        <f aca="false">AC234/H234</f>
        <v>0</v>
      </c>
      <c r="AO234" s="20" t="n">
        <f aca="false">AF234/H234</f>
        <v>0</v>
      </c>
      <c r="AP234" s="20" t="n">
        <f aca="false">O234/H234</f>
        <v>3120</v>
      </c>
      <c r="AQ234" s="20" t="n">
        <f aca="false">AH234/H234</f>
        <v>22000</v>
      </c>
      <c r="AR234" s="20" t="n">
        <f aca="false">AI234/H234</f>
        <v>0</v>
      </c>
      <c r="AS234" s="20" t="n">
        <f aca="false">MAX(0,AL234+AN234+AO234+AM234-AP234)</f>
        <v>54880</v>
      </c>
      <c r="AT234" s="20" t="n">
        <f aca="false">MAX(0,AQ234+AR234)</f>
        <v>22000</v>
      </c>
      <c r="AU234" s="20" t="n">
        <f aca="false">MIN(PR_PAYE,PR_PAYEcap*(AL234+AN234+AM234))</f>
        <v>2000</v>
      </c>
      <c r="AV234" s="20" t="n">
        <f aca="false">MIN(PR_PAYE,PR_PAYEcap*(AQ234+AR234))</f>
        <v>2000</v>
      </c>
      <c r="AW234" s="20" t="n">
        <f aca="false">IF(C234&gt;=PR_AgeCrAge,PR_AgeCr,0)</f>
        <v>0</v>
      </c>
      <c r="AX234" s="20" t="n">
        <f aca="false">IF(AG234&gt;=PR_AgeCrAge,PR_AgeCr,0)</f>
        <v>0</v>
      </c>
      <c r="AY234" s="20" t="n">
        <f aca="false">IF(AND(F_RentCred=1,D234&lt;=PR_RentLast),1,0)</f>
        <v>0</v>
      </c>
      <c r="AZ234" s="20" t="n">
        <f aca="false">AS234+AT234</f>
        <v>76880</v>
      </c>
      <c r="BA234" s="20" t="n">
        <f aca="false">PR_PersonalM+AU234+AV234+AW234+AX234+IF(AY234=1,PR_RentJoint,0)</f>
        <v>8000</v>
      </c>
      <c r="BB234" s="20" t="n">
        <f aca="false">PR_BandM+MIN(MIN(AS234,AT234),PR_Uplift)</f>
        <v>75000</v>
      </c>
      <c r="BC234" s="20" t="n">
        <f aca="false">MAX(0,PR_r1*MIN(AZ234,BB234)+PR_r2*MAX(0,AZ234-BB234)-BA234)</f>
        <v>7752</v>
      </c>
      <c r="BD234" s="20" t="n">
        <f aca="false">MAX(0,PR_HomeCarer-MAX(0,MIN(AS234,AT234)-PR_HCLimit)/2)</f>
        <v>0</v>
      </c>
      <c r="BE234" s="20" t="n">
        <f aca="false">IF(F_Carer=1,MIN(BC234,MAX(0,PR_r1*MIN(AZ234,PR_BandM)+PR_r2*MAX(0,AZ234-PR_BandM)-BA234-BD234)),BC234)</f>
        <v>7752</v>
      </c>
      <c r="BF234" s="20" t="n">
        <f aca="false">IF(OR(C234&gt;=PR_AgeCrAge,AG234&gt;=PR_AgeCrAge),IF(AZ234&lt;=PR_AgeExM,0,MIN(BE234,PR_AgeMarg*(AZ234-PR_AgeExM))),BE234)</f>
        <v>7752</v>
      </c>
      <c r="BG234" s="20" t="n">
        <f aca="false">MAX(0,PR_r1*MIN(AS234,IF(F_Spccc=1,PR_BandSPCCC,PR_Band))+PR_r2*MAX(0,AS234-IF(F_Spccc=1,PR_BandSPCCC,PR_Band))-(PR_Personal+AU234+AW234+IF(F_Spccc=1,PR_SPCCC,0)+IF(AY234=1,PR_Rent,0)))</f>
        <v>9152</v>
      </c>
      <c r="BH234" s="20" t="n">
        <f aca="false">IF(C234&gt;=PR_AgeCrAge,IF(AS234&lt;=PR_AgeEx,0,MIN(BG234,PR_AgeMarg*(AS234-PR_AgeEx))),BG234)</f>
        <v>9152</v>
      </c>
      <c r="BI234" s="20" t="n">
        <f aca="false">IF(F_Partner=1,MAX(0,PR_r1*MIN(AT234,PR_Band)+PR_r2*MAX(0,AT234-PR_Band)-(PR_Personal+AV234+AX234+IF(AND(AY234=1,AT234&gt;0),PR_Rent,0))),0)</f>
        <v>400</v>
      </c>
      <c r="BJ234" s="20" t="n">
        <f aca="false">IF(AG234&gt;=PR_AgeCrAge,IF(AT234&lt;=PR_AgeEx,0,MIN(BI234,PR_AgeMarg*(AT234-PR_AgeEx))),BI234)</f>
        <v>400</v>
      </c>
      <c r="BK234" s="20" t="n">
        <f aca="false">IF(F_Partner=1,IF(F_Married=1,BF234,BH234+BJ234),BH234)</f>
        <v>9552</v>
      </c>
      <c r="BL234" s="20" t="n">
        <f aca="false">AL234+AN234+AO234</f>
        <v>58000</v>
      </c>
      <c r="BM234" s="20" t="n">
        <f aca="false">IF(BL234&lt;=PR_USCex,0,IF(IF(AND(C234&gt;=PR_USCredAge,BL234&lt;=PR_USCredMax),1,0)=1,PR_USCr1*MIN(BL234,PR_USCredB1)+PR_USCredR2*MAX(0,BL234-PR_USCredB1),PR_USCr1*MIN(BL234,PR_USCb1)+PR_USCr2*MAX(0,MIN(BL234,PR_USCb2)-PR_USCb1)+PR_USCr3*MAX(0,MIN(BL234,PR_USCb3)-PR_USCb2)+PR_USCr4*MAX(0,BL234-PR_USCb3)))+IF(F_SelfEmp=1,PR_USCse*MAX(0,AL234-PR_USCseOver),0)</f>
        <v>1272.82</v>
      </c>
      <c r="BN234" s="20" t="n">
        <f aca="false">AQ234</f>
        <v>22000</v>
      </c>
      <c r="BO234" s="20" t="n">
        <f aca="false">IF(F_Partner=1,IF(BN234&lt;=PR_USCex,0,IF(IF(AND(AG234&gt;=PR_USCredAge,BN234&lt;=PR_USCredMax),1,0)=1,PR_USCr1*MIN(BN234,PR_USCredB1)+PR_USCredR2*MAX(0,BN234-PR_USCredB1),PR_USCr1*MIN(BN234,PR_USCb1)+PR_USCr2*MAX(0,MIN(BN234,PR_USCb2)-PR_USCb1)+PR_USCr3*MAX(0,MIN(BN234,PR_USCb3)-PR_USCb2)+PR_USCr4*MAX(0,BN234-PR_USCb3))),0)</f>
        <v>259.82</v>
      </c>
      <c r="BP234" s="20" t="n">
        <f aca="false">IF(C234&lt;PR_PRSIend,IF(F_SelfEmp=1,IF(AL234&gt;PR_PRSIsMinInc,MAX(PR_PRSIsMin,AL234*J234),0),IF(AL234/52&lt;=PR_PRSIfree,0,MAX(0,(AL234/52*J234-IF(AL234/52&lt;=PR_PRSIcreditTo,MAX(0,PR_PRSIcreditMax-(AL234/52-(PR_PRSIfree+0.01))/PR_PRSItaper),0))*52)))+J234*AN234+IF(AO234&gt;PR_PRSIunearned,J234*AO234,0),0)</f>
        <v>2544.75</v>
      </c>
      <c r="BQ234" s="20" t="n">
        <f aca="false">IF(AND(F_Partner=1,AG234&lt;PR_PRSIend),IF(AQ234/52&lt;=PR_PRSIfree,0,MAX(0,(AQ234/52*J234-IF(AQ234/52&lt;=PR_PRSIcreditTo,MAX(0,PR_PRSIcreditMax-(AQ234/52-(PR_PRSIfree+0.01))/PR_PRSItaper),0))*52)),0)</f>
        <v>957.163333333333</v>
      </c>
      <c r="BR234" s="20" t="n">
        <f aca="false">BK234+BM234+BO234+BP234+BQ234</f>
        <v>14586.5533333333</v>
      </c>
      <c r="BS234" s="20" t="n">
        <f aca="false">BR234*H234</f>
        <v>14586.5533333333</v>
      </c>
      <c r="BT234" s="20" t="n">
        <f aca="false">K234+AK234+AC234+AF234+AH234+AI234</f>
        <v>80000</v>
      </c>
    </row>
    <row r="235" customFormat="false" ht="15" hidden="false" customHeight="true" outlineLevel="0" collapsed="false">
      <c r="B235" s="20" t="n">
        <v>1</v>
      </c>
      <c r="C235" s="20" t="n">
        <f aca="false">F_Age+B235</f>
        <v>39</v>
      </c>
      <c r="D235" s="20" t="n">
        <f aca="false">AS_Year0+B235</f>
        <v>2028</v>
      </c>
      <c r="E235" s="44" t="n">
        <f aca="false">(1+AS_Infl)^B235</f>
        <v>1.02</v>
      </c>
      <c r="F235" s="44" t="n">
        <f aca="false">(1+AS_Wage)^B235</f>
        <v>1.03</v>
      </c>
      <c r="G235" s="20" t="n">
        <f aca="false">IF(C235&lt;F_R,1,0)</f>
        <v>1</v>
      </c>
      <c r="H235" s="44" t="n">
        <f aca="false">IF(AS_Bands="flat",1,E235)</f>
        <v>1.02</v>
      </c>
      <c r="I235" s="44" t="n">
        <f aca="false">IF(AS_SpGrow="pay",F235,IF(AS_SpGrow="flat",1,E235))</f>
        <v>1.02</v>
      </c>
      <c r="J235" s="44" t="n">
        <f aca="false">(12*PR_PRSIr0+(PR_PRSIr1-PR_PRSIr0)*MAX(0,MIN(12,D235*12+12-PR_PRSIt1))+(PR_PRSIr2-PR_PRSIr1)*MAX(0,MIN(12,D235*12+12-PR_PRSIt2))+(PR_PRSIr3-PR_PRSIr2)*MAX(0,MIN(12,D235*12+12-PR_PRSIt3)))/12</f>
        <v>0.0455</v>
      </c>
      <c r="K235" s="20" t="n">
        <f aca="false">IF(G235=1,F_Income*F235,0)</f>
        <v>59740</v>
      </c>
      <c r="L235" s="20" t="n">
        <f aca="false">IF(G235=1,(F_Own+In_penExtra)*12*F235,0)</f>
        <v>3213.6</v>
      </c>
      <c r="M235" s="20" t="n">
        <f aca="false">IF(G235=1,(F_PenM+In_penExtra)*12*F235,0)</f>
        <v>6427.2</v>
      </c>
      <c r="N235" s="45" t="n">
        <f aca="false">IF(C235&lt;PR_RelA1,PR_RelP1,IF(C235&lt;PR_RelA2,PR_RelP2,IF(C235&lt;PR_RelA3,PR_RelP3,IF(C235&lt;PR_RelA4,PR_RelP4,IF(C235&lt;PR_RelA5,PR_RelP5,PR_RelP6)))))</f>
        <v>0.2</v>
      </c>
      <c r="O235" s="20" t="n">
        <f aca="false">IF(G235=1,MIN(L235/H235,N235*MIN(K235/H235,PR_EarnCap))*H235,0)</f>
        <v>3213.6</v>
      </c>
      <c r="P235" s="20" t="n">
        <f aca="false">IF(AND(G235=1,F_AE=1),MIN(K235/H235,PR_AEcap)*H235,0)</f>
        <v>0</v>
      </c>
      <c r="Q235" s="20" t="n">
        <f aca="false">IF(G235=1,IF(WI_Retire=1,MAX(0,M235+WI_M*12),M235)+(PR_AEee+PR_AEer+PR_AEst)*P235,0)</f>
        <v>6427.2</v>
      </c>
      <c r="R235" s="20" t="n">
        <f aca="false">L235+PR_AEee*P235</f>
        <v>3213.6</v>
      </c>
      <c r="S235" s="20" t="n">
        <f aca="false">AD234</f>
        <v>81480</v>
      </c>
      <c r="T235" s="20" t="n">
        <f aca="false">IF(D235&lt;=PR_SFTfrom,PR_SFT2026,IF(D235=PR_SFTfrom+1,PR_SFT2027,IF(D235=PR_SFTfrom+2,PR_SFT2028,IF(D235&lt;=PR_SFTto,PR_SFT2029,PR_SFT2029*(1+AS_Infl)^(D235-PR_SFTto)))))</f>
        <v>2600000</v>
      </c>
      <c r="U235" s="20" t="n">
        <f aca="false">IF(AND(G235=0,C235=F_V),1,0)</f>
        <v>0</v>
      </c>
      <c r="V235" s="20" t="n">
        <f aca="false">IF(U235=1,PR_SFTrate*MAX(0,S235-T235),0)</f>
        <v>0</v>
      </c>
      <c r="W235" s="20" t="n">
        <f aca="false">S235-V235</f>
        <v>81480</v>
      </c>
      <c r="X235" s="20" t="n">
        <f aca="false">IF(AND(U235=1,AS_LumpPct&gt;0),W235*MIN(AS_LumpPct,PR_LSmax),0)</f>
        <v>0</v>
      </c>
      <c r="Y235" s="20" t="n">
        <f aca="false">X235-(PR_LSrate*MAX(0,MIN(X235,PR_LScap)-PR_LSfree)+PR_r2*MAX(0,X235-PR_LScap))</f>
        <v>0</v>
      </c>
      <c r="Z235" s="20" t="n">
        <f aca="false">W235-X235</f>
        <v>81480</v>
      </c>
      <c r="AA235" s="45" t="n">
        <f aca="false">IF(C235&gt;=PR_ARFage1,IF(Z235&gt;PR_ARFbig,PR_ARFbigRate,IF(C235&gt;=PR_ARFage2,PR_ARF71,PR_ARF61)),0)</f>
        <v>0</v>
      </c>
      <c r="AB235" s="20" t="n">
        <f aca="false">IF(AS_DrawRule="min",Z235*AA235,IF(AS_DrawRule="fixed",MAX(AS_DrawFixed*E235,Z235*AA235),Z235*MAX(1/MAX(1,AS_End-C235+1),AA235)))</f>
        <v>1429.47368421053</v>
      </c>
      <c r="AC235" s="20" t="n">
        <f aca="false">IF(AND(G235=0,C235&gt;=F_V),MIN(Z235,AB235),0)</f>
        <v>0</v>
      </c>
      <c r="AD235" s="20" t="n">
        <f aca="false">IF(G235=1,S235*(1+F_PenG)+Q235,IF(C235&lt;F_V,S235*(1+F_PenG),(Z235-AC235)*(1+AS_PenRet)))</f>
        <v>91573.8</v>
      </c>
      <c r="AE235" s="20" t="n">
        <f aca="false">IF(C235&gt;=PR_SPage,AS_SP*F_SpF*I235+IF(AND(C235&gt;=PR_Over80Age,F_SpF&gt;0),PR_Over80*PR_Weeks*I235,0),0)</f>
        <v>0</v>
      </c>
      <c r="AF235" s="20" t="n">
        <f aca="false">(F_OtherM+F_RentM)*12*E235</f>
        <v>0</v>
      </c>
      <c r="AG235" s="20" t="n">
        <f aca="false">F_PAge+B235</f>
        <v>38</v>
      </c>
      <c r="AH235" s="20" t="n">
        <f aca="false">IF(AND(F_Partner=1,F_PAge&gt;0,AG235&lt;IF(F_PRet&gt;0,F_PRet,PR_SPage)),F_PIncome*F235,0)</f>
        <v>22660</v>
      </c>
      <c r="AI235" s="20" t="n">
        <f aca="false">IF(AND(F_Partner=1,AG235&gt;=PR_SPage,F_PSpQA=0),AS_SP*F_PSpF*I235,0)</f>
        <v>0</v>
      </c>
      <c r="AJ235" s="20" t="n">
        <f aca="false">IF(AND(F_Partner=1,F_PSpQA=1,C235&gt;=PR_SPage,AH235=0),IF(AG235&gt;=PR_SPage,PR_QA66,PR_QAunder)*PR_Weeks*I235,0)</f>
        <v>0</v>
      </c>
      <c r="AK235" s="20" t="n">
        <f aca="false">AE235+AJ235</f>
        <v>0</v>
      </c>
      <c r="AL235" s="20" t="n">
        <f aca="false">K235/H235</f>
        <v>58568.6274509804</v>
      </c>
      <c r="AM235" s="20" t="n">
        <f aca="false">AK235/H235</f>
        <v>0</v>
      </c>
      <c r="AN235" s="20" t="n">
        <f aca="false">AC235/H235</f>
        <v>0</v>
      </c>
      <c r="AO235" s="20" t="n">
        <f aca="false">AF235/H235</f>
        <v>0</v>
      </c>
      <c r="AP235" s="20" t="n">
        <f aca="false">O235/H235</f>
        <v>3150.58823529412</v>
      </c>
      <c r="AQ235" s="20" t="n">
        <f aca="false">AH235/H235</f>
        <v>22215.6862745098</v>
      </c>
      <c r="AR235" s="20" t="n">
        <f aca="false">AI235/H235</f>
        <v>0</v>
      </c>
      <c r="AS235" s="20" t="n">
        <f aca="false">MAX(0,AL235+AN235+AO235+AM235-AP235)</f>
        <v>55418.0392156863</v>
      </c>
      <c r="AT235" s="20" t="n">
        <f aca="false">MAX(0,AQ235+AR235)</f>
        <v>22215.6862745098</v>
      </c>
      <c r="AU235" s="20" t="n">
        <f aca="false">MIN(PR_PAYE,PR_PAYEcap*(AL235+AN235+AM235))</f>
        <v>2000</v>
      </c>
      <c r="AV235" s="20" t="n">
        <f aca="false">MIN(PR_PAYE,PR_PAYEcap*(AQ235+AR235))</f>
        <v>2000</v>
      </c>
      <c r="AW235" s="20" t="n">
        <f aca="false">IF(C235&gt;=PR_AgeCrAge,PR_AgeCr,0)</f>
        <v>0</v>
      </c>
      <c r="AX235" s="20" t="n">
        <f aca="false">IF(AG235&gt;=PR_AgeCrAge,PR_AgeCr,0)</f>
        <v>0</v>
      </c>
      <c r="AY235" s="20" t="n">
        <f aca="false">IF(AND(F_RentCred=1,D235&lt;=PR_RentLast),1,0)</f>
        <v>0</v>
      </c>
      <c r="AZ235" s="20" t="n">
        <f aca="false">AS235+AT235</f>
        <v>77633.7254901961</v>
      </c>
      <c r="BA235" s="20" t="n">
        <f aca="false">PR_PersonalM+AU235+AV235+AW235+AX235+IF(AY235=1,PR_RentJoint,0)</f>
        <v>8000</v>
      </c>
      <c r="BB235" s="20" t="n">
        <f aca="false">PR_BandM+MIN(MIN(AS235,AT235),PR_Uplift)</f>
        <v>75215.6862745098</v>
      </c>
      <c r="BC235" s="20" t="n">
        <f aca="false">MAX(0,PR_r1*MIN(AZ235,BB235)+PR_r2*MAX(0,AZ235-BB235)-BA235)</f>
        <v>8010.35294117647</v>
      </c>
      <c r="BD235" s="20" t="n">
        <f aca="false">MAX(0,PR_HomeCarer-MAX(0,MIN(AS235,AT235)-PR_HCLimit)/2)</f>
        <v>0</v>
      </c>
      <c r="BE235" s="20" t="n">
        <f aca="false">IF(F_Carer=1,MIN(BC235,MAX(0,PR_r1*MIN(AZ235,PR_BandM)+PR_r2*MAX(0,AZ235-PR_BandM)-BA235-BD235)),BC235)</f>
        <v>8010.35294117647</v>
      </c>
      <c r="BF235" s="20" t="n">
        <f aca="false">IF(OR(C235&gt;=PR_AgeCrAge,AG235&gt;=PR_AgeCrAge),IF(AZ235&lt;=PR_AgeExM,0,MIN(BE235,PR_AgeMarg*(AZ235-PR_AgeExM))),BE235)</f>
        <v>8010.35294117647</v>
      </c>
      <c r="BG235" s="20" t="n">
        <f aca="false">MAX(0,PR_r1*MIN(AS235,IF(F_Spccc=1,PR_BandSPCCC,PR_Band))+PR_r2*MAX(0,AS235-IF(F_Spccc=1,PR_BandSPCCC,PR_Band))-(PR_Personal+AU235+AW235+IF(F_Spccc=1,PR_SPCCC,0)+IF(AY235=1,PR_Rent,0)))</f>
        <v>9367.21568627451</v>
      </c>
      <c r="BH235" s="20" t="n">
        <f aca="false">IF(C235&gt;=PR_AgeCrAge,IF(AS235&lt;=PR_AgeEx,0,MIN(BG235,PR_AgeMarg*(AS235-PR_AgeEx))),BG235)</f>
        <v>9367.21568627451</v>
      </c>
      <c r="BI235" s="20" t="n">
        <f aca="false">IF(F_Partner=1,MAX(0,PR_r1*MIN(AT235,PR_Band)+PR_r2*MAX(0,AT235-PR_Band)-(PR_Personal+AV235+AX235+IF(AND(AY235=1,AT235&gt;0),PR_Rent,0))),0)</f>
        <v>443.137254901961</v>
      </c>
      <c r="BJ235" s="20" t="n">
        <f aca="false">IF(AG235&gt;=PR_AgeCrAge,IF(AT235&lt;=PR_AgeEx,0,MIN(BI235,PR_AgeMarg*(AT235-PR_AgeEx))),BI235)</f>
        <v>443.137254901961</v>
      </c>
      <c r="BK235" s="20" t="n">
        <f aca="false">IF(F_Partner=1,IF(F_Married=1,BF235,BH235+BJ235),BH235)</f>
        <v>9810.35294117647</v>
      </c>
      <c r="BL235" s="20" t="n">
        <f aca="false">AL235+AN235+AO235</f>
        <v>58568.6274509804</v>
      </c>
      <c r="BM235" s="20" t="n">
        <f aca="false">IF(BL235&lt;=PR_USCex,0,IF(IF(AND(C235&gt;=PR_USCredAge,BL235&lt;=PR_USCredMax),1,0)=1,PR_USCr1*MIN(BL235,PR_USCredB1)+PR_USCredR2*MAX(0,BL235-PR_USCredB1),PR_USCr1*MIN(BL235,PR_USCb1)+PR_USCr2*MAX(0,MIN(BL235,PR_USCb2)-PR_USCb1)+PR_USCr3*MAX(0,MIN(BL235,PR_USCb3)-PR_USCb2)+PR_USCr4*MAX(0,BL235-PR_USCb3)))+IF(F_SelfEmp=1,PR_USCse*MAX(0,AL235-PR_USCseOver),0)</f>
        <v>1289.87882352941</v>
      </c>
      <c r="BN235" s="20" t="n">
        <f aca="false">AQ235</f>
        <v>22215.6862745098</v>
      </c>
      <c r="BO235" s="20" t="n">
        <f aca="false">IF(F_Partner=1,IF(BN235&lt;=PR_USCex,0,IF(IF(AND(AG235&gt;=PR_USCredAge,BN235&lt;=PR_USCredMax),1,0)=1,PR_USCr1*MIN(BN235,PR_USCredB1)+PR_USCredR2*MAX(0,BN235-PR_USCredB1),PR_USCr1*MIN(BN235,PR_USCb1)+PR_USCr2*MAX(0,MIN(BN235,PR_USCb2)-PR_USCb1)+PR_USCr3*MAX(0,MIN(BN235,PR_USCb3)-PR_USCb2)+PR_USCr4*MAX(0,BN235-PR_USCb3))),0)</f>
        <v>264.133725490196</v>
      </c>
      <c r="BP235" s="20" t="n">
        <f aca="false">IF(C235&lt;PR_PRSIend,IF(F_SelfEmp=1,IF(AL235&gt;PR_PRSIsMinInc,MAX(PR_PRSIsMin,AL235*J235),0),IF(AL235/52&lt;=PR_PRSIfree,0,MAX(0,(AL235/52*J235-IF(AL235/52&lt;=PR_PRSIcreditTo,MAX(0,PR_PRSIcreditMax-(AL235/52-(PR_PRSIfree+0.01))/PR_PRSItaper),0))*52)))+J235*AN235+IF(AO235&gt;PR_PRSIunearned,J235*AO235,0),0)</f>
        <v>2664.87254901961</v>
      </c>
      <c r="BQ235" s="20" t="n">
        <f aca="false">IF(AND(F_Partner=1,AG235&lt;PR_PRSIend),IF(AQ235/52&lt;=PR_PRSIfree,0,MAX(0,(AQ235/52*J235-IF(AQ235/52&lt;=PR_PRSIcreditTo,MAX(0,PR_PRSIcreditMax-(AQ235/52-(PR_PRSIfree+0.01))/PR_PRSItaper),0))*52)),0)</f>
        <v>1010.8137254902</v>
      </c>
      <c r="BR235" s="20" t="n">
        <f aca="false">BK235+BM235+BO235+BP235+BQ235</f>
        <v>15040.0517647059</v>
      </c>
      <c r="BS235" s="20" t="n">
        <f aca="false">BR235*H235</f>
        <v>15340.8528</v>
      </c>
      <c r="BT235" s="20" t="n">
        <f aca="false">K235+AK235+AC235+AF235+AH235+AI235</f>
        <v>82400</v>
      </c>
    </row>
    <row r="236" customFormat="false" ht="15" hidden="false" customHeight="true" outlineLevel="0" collapsed="false">
      <c r="B236" s="20" t="n">
        <v>2</v>
      </c>
      <c r="C236" s="20" t="n">
        <f aca="false">F_Age+B236</f>
        <v>40</v>
      </c>
      <c r="D236" s="20" t="n">
        <f aca="false">AS_Year0+B236</f>
        <v>2029</v>
      </c>
      <c r="E236" s="44" t="n">
        <f aca="false">(1+AS_Infl)^B236</f>
        <v>1.0404</v>
      </c>
      <c r="F236" s="44" t="n">
        <f aca="false">(1+AS_Wage)^B236</f>
        <v>1.0609</v>
      </c>
      <c r="G236" s="20" t="n">
        <f aca="false">IF(C236&lt;F_R,1,0)</f>
        <v>1</v>
      </c>
      <c r="H236" s="44" t="n">
        <f aca="false">IF(AS_Bands="flat",1,E236)</f>
        <v>1.0404</v>
      </c>
      <c r="I236" s="44" t="n">
        <f aca="false">IF(AS_SpGrow="pay",F236,IF(AS_SpGrow="flat",1,E236))</f>
        <v>1.0404</v>
      </c>
      <c r="J236" s="44" t="n">
        <f aca="false">(12*PR_PRSIr0+(PR_PRSIr1-PR_PRSIr0)*MAX(0,MIN(12,D236*12+12-PR_PRSIt1))+(PR_PRSIr2-PR_PRSIr1)*MAX(0,MIN(12,D236*12+12-PR_PRSIt2))+(PR_PRSIr3-PR_PRSIr2)*MAX(0,MIN(12,D236*12+12-PR_PRSIt3)))/12</f>
        <v>0.047</v>
      </c>
      <c r="K236" s="20" t="n">
        <f aca="false">IF(G236=1,F_Income*F236,0)</f>
        <v>61532.2</v>
      </c>
      <c r="L236" s="20" t="n">
        <f aca="false">IF(G236=1,(F_Own+In_penExtra)*12*F236,0)</f>
        <v>3310.008</v>
      </c>
      <c r="M236" s="20" t="n">
        <f aca="false">IF(G236=1,(F_PenM+In_penExtra)*12*F236,0)</f>
        <v>6620.016</v>
      </c>
      <c r="N236" s="45" t="n">
        <f aca="false">IF(C236&lt;PR_RelA1,PR_RelP1,IF(C236&lt;PR_RelA2,PR_RelP2,IF(C236&lt;PR_RelA3,PR_RelP3,IF(C236&lt;PR_RelA4,PR_RelP4,IF(C236&lt;PR_RelA5,PR_RelP5,PR_RelP6)))))</f>
        <v>0.25</v>
      </c>
      <c r="O236" s="20" t="n">
        <f aca="false">IF(G236=1,MIN(L236/H236,N236*MIN(K236/H236,PR_EarnCap))*H236,0)</f>
        <v>3310.008</v>
      </c>
      <c r="P236" s="20" t="n">
        <f aca="false">IF(AND(G236=1,F_AE=1),MIN(K236/H236,PR_AEcap)*H236,0)</f>
        <v>0</v>
      </c>
      <c r="Q236" s="20" t="n">
        <f aca="false">IF(G236=1,IF(WI_Retire=1,MAX(0,M236+WI_M*12),M236)+(PR_AEee+PR_AEer+PR_AEst)*P236,0)</f>
        <v>6620.016</v>
      </c>
      <c r="R236" s="20" t="n">
        <f aca="false">L236+PR_AEee*P236</f>
        <v>3310.008</v>
      </c>
      <c r="S236" s="20" t="n">
        <f aca="false">AD235</f>
        <v>91573.8</v>
      </c>
      <c r="T236" s="20" t="n">
        <f aca="false">IF(D236&lt;=PR_SFTfrom,PR_SFT2026,IF(D236=PR_SFTfrom+1,PR_SFT2027,IF(D236=PR_SFTfrom+2,PR_SFT2028,IF(D236&lt;=PR_SFTto,PR_SFT2029,PR_SFT2029*(1+AS_Infl)^(D236-PR_SFTto)))))</f>
        <v>2800000</v>
      </c>
      <c r="U236" s="20" t="n">
        <f aca="false">IF(AND(G236=0,C236=F_V),1,0)</f>
        <v>0</v>
      </c>
      <c r="V236" s="20" t="n">
        <f aca="false">IF(U236=1,PR_SFTrate*MAX(0,S236-T236),0)</f>
        <v>0</v>
      </c>
      <c r="W236" s="20" t="n">
        <f aca="false">S236-V236</f>
        <v>91573.8</v>
      </c>
      <c r="X236" s="20" t="n">
        <f aca="false">IF(AND(U236=1,AS_LumpPct&gt;0),W236*MIN(AS_LumpPct,PR_LSmax),0)</f>
        <v>0</v>
      </c>
      <c r="Y236" s="20" t="n">
        <f aca="false">X236-(PR_LSrate*MAX(0,MIN(X236,PR_LScap)-PR_LSfree)+PR_r2*MAX(0,X236-PR_LScap))</f>
        <v>0</v>
      </c>
      <c r="Z236" s="20" t="n">
        <f aca="false">W236-X236</f>
        <v>91573.8</v>
      </c>
      <c r="AA236" s="45" t="n">
        <f aca="false">IF(C236&gt;=PR_ARFage1,IF(Z236&gt;PR_ARFbig,PR_ARFbigRate,IF(C236&gt;=PR_ARFage2,PR_ARF71,PR_ARF61)),0)</f>
        <v>0</v>
      </c>
      <c r="AB236" s="20" t="n">
        <f aca="false">IF(AS_DrawRule="min",Z236*AA236,IF(AS_DrawRule="fixed",MAX(AS_DrawFixed*E236,Z236*AA236),Z236*MAX(1/MAX(1,AS_End-C236+1),AA236)))</f>
        <v>1635.24642857143</v>
      </c>
      <c r="AC236" s="20" t="n">
        <f aca="false">IF(AND(G236=0,C236&gt;=F_V),MIN(Z236,AB236),0)</f>
        <v>0</v>
      </c>
      <c r="AD236" s="20" t="n">
        <f aca="false">IF(G236=1,S236*(1+F_PenG)+Q236,IF(C236&lt;F_V,S236*(1+F_PenG),(Z236-AC236)*(1+AS_PenRet)))</f>
        <v>102314.637</v>
      </c>
      <c r="AE236" s="20" t="n">
        <f aca="false">IF(C236&gt;=PR_SPage,AS_SP*F_SpF*I236+IF(AND(C236&gt;=PR_Over80Age,F_SpF&gt;0),PR_Over80*PR_Weeks*I236,0),0)</f>
        <v>0</v>
      </c>
      <c r="AF236" s="20" t="n">
        <f aca="false">(F_OtherM+F_RentM)*12*E236</f>
        <v>0</v>
      </c>
      <c r="AG236" s="20" t="n">
        <f aca="false">F_PAge+B236</f>
        <v>39</v>
      </c>
      <c r="AH236" s="20" t="n">
        <f aca="false">IF(AND(F_Partner=1,F_PAge&gt;0,AG236&lt;IF(F_PRet&gt;0,F_PRet,PR_SPage)),F_PIncome*F236,0)</f>
        <v>23339.8</v>
      </c>
      <c r="AI236" s="20" t="n">
        <f aca="false">IF(AND(F_Partner=1,AG236&gt;=PR_SPage,F_PSpQA=0),AS_SP*F_PSpF*I236,0)</f>
        <v>0</v>
      </c>
      <c r="AJ236" s="20" t="n">
        <f aca="false">IF(AND(F_Partner=1,F_PSpQA=1,C236&gt;=PR_SPage,AH236=0),IF(AG236&gt;=PR_SPage,PR_QA66,PR_QAunder)*PR_Weeks*I236,0)</f>
        <v>0</v>
      </c>
      <c r="AK236" s="20" t="n">
        <f aca="false">AE236+AJ236</f>
        <v>0</v>
      </c>
      <c r="AL236" s="20" t="n">
        <f aca="false">K236/H236</f>
        <v>59142.829680892</v>
      </c>
      <c r="AM236" s="20" t="n">
        <f aca="false">AK236/H236</f>
        <v>0</v>
      </c>
      <c r="AN236" s="20" t="n">
        <f aca="false">AC236/H236</f>
        <v>0</v>
      </c>
      <c r="AO236" s="20" t="n">
        <f aca="false">AF236/H236</f>
        <v>0</v>
      </c>
      <c r="AP236" s="20" t="n">
        <f aca="false">O236/H236</f>
        <v>3181.47635524798</v>
      </c>
      <c r="AQ236" s="20" t="n">
        <f aca="false">AH236/H236</f>
        <v>22433.4871203383</v>
      </c>
      <c r="AR236" s="20" t="n">
        <f aca="false">AI236/H236</f>
        <v>0</v>
      </c>
      <c r="AS236" s="20" t="n">
        <f aca="false">MAX(0,AL236+AN236+AO236+AM236-AP236)</f>
        <v>55961.353325644</v>
      </c>
      <c r="AT236" s="20" t="n">
        <f aca="false">MAX(0,AQ236+AR236)</f>
        <v>22433.4871203383</v>
      </c>
      <c r="AU236" s="20" t="n">
        <f aca="false">MIN(PR_PAYE,PR_PAYEcap*(AL236+AN236+AM236))</f>
        <v>2000</v>
      </c>
      <c r="AV236" s="20" t="n">
        <f aca="false">MIN(PR_PAYE,PR_PAYEcap*(AQ236+AR236))</f>
        <v>2000</v>
      </c>
      <c r="AW236" s="20" t="n">
        <f aca="false">IF(C236&gt;=PR_AgeCrAge,PR_AgeCr,0)</f>
        <v>0</v>
      </c>
      <c r="AX236" s="20" t="n">
        <f aca="false">IF(AG236&gt;=PR_AgeCrAge,PR_AgeCr,0)</f>
        <v>0</v>
      </c>
      <c r="AY236" s="20" t="n">
        <f aca="false">IF(AND(F_RentCred=1,D236&lt;=PR_RentLast),1,0)</f>
        <v>0</v>
      </c>
      <c r="AZ236" s="20" t="n">
        <f aca="false">AS236+AT236</f>
        <v>78394.8404459823</v>
      </c>
      <c r="BA236" s="20" t="n">
        <f aca="false">PR_PersonalM+AU236+AV236+AW236+AX236+IF(AY236=1,PR_RentJoint,0)</f>
        <v>8000</v>
      </c>
      <c r="BB236" s="20" t="n">
        <f aca="false">PR_BandM+MIN(MIN(AS236,AT236),PR_Uplift)</f>
        <v>75433.4871203383</v>
      </c>
      <c r="BC236" s="20" t="n">
        <f aca="false">MAX(0,PR_r1*MIN(AZ236,BB236)+PR_r2*MAX(0,AZ236-BB236)-BA236)</f>
        <v>8271.23875432526</v>
      </c>
      <c r="BD236" s="20" t="n">
        <f aca="false">MAX(0,PR_HomeCarer-MAX(0,MIN(AS236,AT236)-PR_HCLimit)/2)</f>
        <v>0</v>
      </c>
      <c r="BE236" s="20" t="n">
        <f aca="false">IF(F_Carer=1,MIN(BC236,MAX(0,PR_r1*MIN(AZ236,PR_BandM)+PR_r2*MAX(0,AZ236-PR_BandM)-BA236-BD236)),BC236)</f>
        <v>8271.23875432526</v>
      </c>
      <c r="BF236" s="20" t="n">
        <f aca="false">IF(OR(C236&gt;=PR_AgeCrAge,AG236&gt;=PR_AgeCrAge),IF(AZ236&lt;=PR_AgeExM,0,MIN(BE236,PR_AgeMarg*(AZ236-PR_AgeExM))),BE236)</f>
        <v>8271.23875432526</v>
      </c>
      <c r="BG236" s="20" t="n">
        <f aca="false">MAX(0,PR_r1*MIN(AS236,IF(F_Spccc=1,PR_BandSPCCC,PR_Band))+PR_r2*MAX(0,AS236-IF(F_Spccc=1,PR_BandSPCCC,PR_Band))-(PR_Personal+AU236+AW236+IF(F_Spccc=1,PR_SPCCC,0)+IF(AY236=1,PR_Rent,0)))</f>
        <v>9584.54133025759</v>
      </c>
      <c r="BH236" s="20" t="n">
        <f aca="false">IF(C236&gt;=PR_AgeCrAge,IF(AS236&lt;=PR_AgeEx,0,MIN(BG236,PR_AgeMarg*(AS236-PR_AgeEx))),BG236)</f>
        <v>9584.54133025759</v>
      </c>
      <c r="BI236" s="20" t="n">
        <f aca="false">IF(F_Partner=1,MAX(0,PR_r1*MIN(AT236,PR_Band)+PR_r2*MAX(0,AT236-PR_Band)-(PR_Personal+AV236+AX236+IF(AND(AY236=1,AT236&gt;0),PR_Rent,0))),0)</f>
        <v>486.697424067666</v>
      </c>
      <c r="BJ236" s="20" t="n">
        <f aca="false">IF(AG236&gt;=PR_AgeCrAge,IF(AT236&lt;=PR_AgeEx,0,MIN(BI236,PR_AgeMarg*(AT236-PR_AgeEx))),BI236)</f>
        <v>486.697424067666</v>
      </c>
      <c r="BK236" s="20" t="n">
        <f aca="false">IF(F_Partner=1,IF(F_Married=1,BF236,BH236+BJ236),BH236)</f>
        <v>10071.2387543253</v>
      </c>
      <c r="BL236" s="20" t="n">
        <f aca="false">AL236+AN236+AO236</f>
        <v>59142.829680892</v>
      </c>
      <c r="BM236" s="20" t="n">
        <f aca="false">IF(BL236&lt;=PR_USCex,0,IF(IF(AND(C236&gt;=PR_USCredAge,BL236&lt;=PR_USCredMax),1,0)=1,PR_USCr1*MIN(BL236,PR_USCredB1)+PR_USCredR2*MAX(0,BL236-PR_USCredB1),PR_USCr1*MIN(BL236,PR_USCb1)+PR_USCr2*MAX(0,MIN(BL236,PR_USCb2)-PR_USCb1)+PR_USCr3*MAX(0,MIN(BL236,PR_USCb3)-PR_USCb2)+PR_USCr4*MAX(0,BL236-PR_USCb3)))+IF(F_SelfEmp=1,PR_USCse*MAX(0,AL236-PR_USCseOver),0)</f>
        <v>1307.10489042676</v>
      </c>
      <c r="BN236" s="20" t="n">
        <f aca="false">AQ236</f>
        <v>22433.4871203383</v>
      </c>
      <c r="BO236" s="20" t="n">
        <f aca="false">IF(F_Partner=1,IF(BN236&lt;=PR_USCex,0,IF(IF(AND(AG236&gt;=PR_USCredAge,BN236&lt;=PR_USCredMax),1,0)=1,PR_USCr1*MIN(BN236,PR_USCredB1)+PR_USCredR2*MAX(0,BN236-PR_USCredB1),PR_USCr1*MIN(BN236,PR_USCb1)+PR_USCr2*MAX(0,MIN(BN236,PR_USCb2)-PR_USCb1)+PR_USCr3*MAX(0,MIN(BN236,PR_USCb3)-PR_USCb2)+PR_USCr4*MAX(0,BN236-PR_USCb3))),0)</f>
        <v>268.489742406767</v>
      </c>
      <c r="BP236" s="20" t="n">
        <f aca="false">IF(C236&lt;PR_PRSIend,IF(F_SelfEmp=1,IF(AL236&gt;PR_PRSIsMinInc,MAX(PR_PRSIsMin,AL236*J236),0),IF(AL236/52&lt;=PR_PRSIfree,0,MAX(0,(AL236/52*J236-IF(AL236/52&lt;=PR_PRSIcreditTo,MAX(0,PR_PRSIcreditMax-(AL236/52-(PR_PRSIfree+0.01))/PR_PRSItaper),0))*52)))+J236*AN236+IF(AO236&gt;PR_PRSIunearned,J236*AO236,0),0)</f>
        <v>2779.71299500192</v>
      </c>
      <c r="BQ236" s="20" t="n">
        <f aca="false">IF(AND(F_Partner=1,AG236&lt;PR_PRSIend),IF(AQ236/52&lt;=PR_PRSIfree,0,MAX(0,(AQ236/52*J236-IF(AQ236/52&lt;=PR_PRSIcreditTo,MAX(0,PR_PRSIcreditMax-(AQ236/52-(PR_PRSIfree+0.01))/PR_PRSItaper),0))*52)),0)</f>
        <v>1054.3738946559</v>
      </c>
      <c r="BR236" s="20" t="n">
        <f aca="false">BK236+BM236+BO236+BP236+BQ236</f>
        <v>15480.9202768166</v>
      </c>
      <c r="BS236" s="20" t="n">
        <f aca="false">BR236*H236</f>
        <v>16106.349456</v>
      </c>
      <c r="BT236" s="20" t="n">
        <f aca="false">K236+AK236+AC236+AF236+AH236+AI236</f>
        <v>84872</v>
      </c>
    </row>
    <row r="237" customFormat="false" ht="15" hidden="false" customHeight="true" outlineLevel="0" collapsed="false">
      <c r="B237" s="20" t="n">
        <v>3</v>
      </c>
      <c r="C237" s="20" t="n">
        <f aca="false">F_Age+B237</f>
        <v>41</v>
      </c>
      <c r="D237" s="20" t="n">
        <f aca="false">AS_Year0+B237</f>
        <v>2030</v>
      </c>
      <c r="E237" s="44" t="n">
        <f aca="false">(1+AS_Infl)^B237</f>
        <v>1.061208</v>
      </c>
      <c r="F237" s="44" t="n">
        <f aca="false">(1+AS_Wage)^B237</f>
        <v>1.092727</v>
      </c>
      <c r="G237" s="20" t="n">
        <f aca="false">IF(C237&lt;F_R,1,0)</f>
        <v>1</v>
      </c>
      <c r="H237" s="44" t="n">
        <f aca="false">IF(AS_Bands="flat",1,E237)</f>
        <v>1.061208</v>
      </c>
      <c r="I237" s="44" t="n">
        <f aca="false">IF(AS_SpGrow="pay",F237,IF(AS_SpGrow="flat",1,E237))</f>
        <v>1.061208</v>
      </c>
      <c r="J237" s="44" t="n">
        <f aca="false">(12*PR_PRSIr0+(PR_PRSIr1-PR_PRSIr0)*MAX(0,MIN(12,D237*12+12-PR_PRSIt1))+(PR_PRSIr2-PR_PRSIr1)*MAX(0,MIN(12,D237*12+12-PR_PRSIt2))+(PR_PRSIr3-PR_PRSIr2)*MAX(0,MIN(12,D237*12+12-PR_PRSIt3)))/12</f>
        <v>0.047</v>
      </c>
      <c r="K237" s="20" t="n">
        <f aca="false">IF(G237=1,F_Income*F237,0)</f>
        <v>63378.166</v>
      </c>
      <c r="L237" s="20" t="n">
        <f aca="false">IF(G237=1,(F_Own+In_penExtra)*12*F237,0)</f>
        <v>3409.30824</v>
      </c>
      <c r="M237" s="20" t="n">
        <f aca="false">IF(G237=1,(F_PenM+In_penExtra)*12*F237,0)</f>
        <v>6818.61648</v>
      </c>
      <c r="N237" s="45" t="n">
        <f aca="false">IF(C237&lt;PR_RelA1,PR_RelP1,IF(C237&lt;PR_RelA2,PR_RelP2,IF(C237&lt;PR_RelA3,PR_RelP3,IF(C237&lt;PR_RelA4,PR_RelP4,IF(C237&lt;PR_RelA5,PR_RelP5,PR_RelP6)))))</f>
        <v>0.25</v>
      </c>
      <c r="O237" s="20" t="n">
        <f aca="false">IF(G237=1,MIN(L237/H237,N237*MIN(K237/H237,PR_EarnCap))*H237,0)</f>
        <v>3409.30824</v>
      </c>
      <c r="P237" s="20" t="n">
        <f aca="false">IF(AND(G237=1,F_AE=1),MIN(K237/H237,PR_AEcap)*H237,0)</f>
        <v>0</v>
      </c>
      <c r="Q237" s="20" t="n">
        <f aca="false">IF(G237=1,IF(WI_Retire=1,MAX(0,M237+WI_M*12),M237)+(PR_AEee+PR_AEer+PR_AEst)*P237,0)</f>
        <v>6818.61648</v>
      </c>
      <c r="R237" s="20" t="n">
        <f aca="false">L237+PR_AEee*P237</f>
        <v>3409.30824</v>
      </c>
      <c r="S237" s="20" t="n">
        <f aca="false">AD236</f>
        <v>102314.637</v>
      </c>
      <c r="T237" s="20" t="n">
        <f aca="false">IF(D237&lt;=PR_SFTfrom,PR_SFT2026,IF(D237=PR_SFTfrom+1,PR_SFT2027,IF(D237=PR_SFTfrom+2,PR_SFT2028,IF(D237&lt;=PR_SFTto,PR_SFT2029,PR_SFT2029*(1+AS_Infl)^(D237-PR_SFTto)))))</f>
        <v>2856000</v>
      </c>
      <c r="U237" s="20" t="n">
        <f aca="false">IF(AND(G237=0,C237=F_V),1,0)</f>
        <v>0</v>
      </c>
      <c r="V237" s="20" t="n">
        <f aca="false">IF(U237=1,PR_SFTrate*MAX(0,S237-T237),0)</f>
        <v>0</v>
      </c>
      <c r="W237" s="20" t="n">
        <f aca="false">S237-V237</f>
        <v>102314.637</v>
      </c>
      <c r="X237" s="20" t="n">
        <f aca="false">IF(AND(U237=1,AS_LumpPct&gt;0),W237*MIN(AS_LumpPct,PR_LSmax),0)</f>
        <v>0</v>
      </c>
      <c r="Y237" s="20" t="n">
        <f aca="false">X237-(PR_LSrate*MAX(0,MIN(X237,PR_LScap)-PR_LSfree)+PR_r2*MAX(0,X237-PR_LScap))</f>
        <v>0</v>
      </c>
      <c r="Z237" s="20" t="n">
        <f aca="false">W237-X237</f>
        <v>102314.637</v>
      </c>
      <c r="AA237" s="45" t="n">
        <f aca="false">IF(C237&gt;=PR_ARFage1,IF(Z237&gt;PR_ARFbig,PR_ARFbigRate,IF(C237&gt;=PR_ARFage2,PR_ARF71,PR_ARF61)),0)</f>
        <v>0</v>
      </c>
      <c r="AB237" s="20" t="n">
        <f aca="false">IF(AS_DrawRule="min",Z237*AA237,IF(AS_DrawRule="fixed",MAX(AS_DrawFixed*E237,Z237*AA237),Z237*MAX(1/MAX(1,AS_End-C237+1),AA237)))</f>
        <v>1860.26612727273</v>
      </c>
      <c r="AC237" s="20" t="n">
        <f aca="false">IF(AND(G237=0,C237&gt;=F_V),MIN(Z237,AB237),0)</f>
        <v>0</v>
      </c>
      <c r="AD237" s="20" t="n">
        <f aca="false">IF(G237=1,S237*(1+F_PenG)+Q237,IF(C237&lt;F_V,S237*(1+F_PenG),(Z237-AC237)*(1+AS_PenRet)))</f>
        <v>113737.412145</v>
      </c>
      <c r="AE237" s="20" t="n">
        <f aca="false">IF(C237&gt;=PR_SPage,AS_SP*F_SpF*I237+IF(AND(C237&gt;=PR_Over80Age,F_SpF&gt;0),PR_Over80*PR_Weeks*I237,0),0)</f>
        <v>0</v>
      </c>
      <c r="AF237" s="20" t="n">
        <f aca="false">(F_OtherM+F_RentM)*12*E237</f>
        <v>0</v>
      </c>
      <c r="AG237" s="20" t="n">
        <f aca="false">F_PAge+B237</f>
        <v>40</v>
      </c>
      <c r="AH237" s="20" t="n">
        <f aca="false">IF(AND(F_Partner=1,F_PAge&gt;0,AG237&lt;IF(F_PRet&gt;0,F_PRet,PR_SPage)),F_PIncome*F237,0)</f>
        <v>24039.994</v>
      </c>
      <c r="AI237" s="20" t="n">
        <f aca="false">IF(AND(F_Partner=1,AG237&gt;=PR_SPage,F_PSpQA=0),AS_SP*F_PSpF*I237,0)</f>
        <v>0</v>
      </c>
      <c r="AJ237" s="20" t="n">
        <f aca="false">IF(AND(F_Partner=1,F_PSpQA=1,C237&gt;=PR_SPage,AH237=0),IF(AG237&gt;=PR_SPage,PR_QA66,PR_QAunder)*PR_Weeks*I237,0)</f>
        <v>0</v>
      </c>
      <c r="AK237" s="20" t="n">
        <f aca="false">AE237+AJ237</f>
        <v>0</v>
      </c>
      <c r="AL237" s="20" t="n">
        <f aca="false">K237/H237</f>
        <v>59722.6613444301</v>
      </c>
      <c r="AM237" s="20" t="n">
        <f aca="false">AK237/H237</f>
        <v>0</v>
      </c>
      <c r="AN237" s="20" t="n">
        <f aca="false">AC237/H237</f>
        <v>0</v>
      </c>
      <c r="AO237" s="20" t="n">
        <f aca="false">AF237/H237</f>
        <v>0</v>
      </c>
      <c r="AP237" s="20" t="n">
        <f aca="false">O237/H237</f>
        <v>3212.66729990728</v>
      </c>
      <c r="AQ237" s="20" t="n">
        <f aca="false">AH237/H237</f>
        <v>22653.4232685769</v>
      </c>
      <c r="AR237" s="20" t="n">
        <f aca="false">AI237/H237</f>
        <v>0</v>
      </c>
      <c r="AS237" s="20" t="n">
        <f aca="false">MAX(0,AL237+AN237+AO237+AM237-AP237)</f>
        <v>56509.9940445228</v>
      </c>
      <c r="AT237" s="20" t="n">
        <f aca="false">MAX(0,AQ237+AR237)</f>
        <v>22653.4232685769</v>
      </c>
      <c r="AU237" s="20" t="n">
        <f aca="false">MIN(PR_PAYE,PR_PAYEcap*(AL237+AN237+AM237))</f>
        <v>2000</v>
      </c>
      <c r="AV237" s="20" t="n">
        <f aca="false">MIN(PR_PAYE,PR_PAYEcap*(AQ237+AR237))</f>
        <v>2000</v>
      </c>
      <c r="AW237" s="20" t="n">
        <f aca="false">IF(C237&gt;=PR_AgeCrAge,PR_AgeCr,0)</f>
        <v>0</v>
      </c>
      <c r="AX237" s="20" t="n">
        <f aca="false">IF(AG237&gt;=PR_AgeCrAge,PR_AgeCr,0)</f>
        <v>0</v>
      </c>
      <c r="AY237" s="20" t="n">
        <f aca="false">IF(AND(F_RentCred=1,D237&lt;=PR_RentLast),1,0)</f>
        <v>0</v>
      </c>
      <c r="AZ237" s="20" t="n">
        <f aca="false">AS237+AT237</f>
        <v>79163.4173130998</v>
      </c>
      <c r="BA237" s="20" t="n">
        <f aca="false">PR_PersonalM+AU237+AV237+AW237+AX237+IF(AY237=1,PR_RentJoint,0)</f>
        <v>8000</v>
      </c>
      <c r="BB237" s="20" t="n">
        <f aca="false">PR_BandM+MIN(MIN(AS237,AT237),PR_Uplift)</f>
        <v>75653.4232685769</v>
      </c>
      <c r="BC237" s="20" t="n">
        <f aca="false">MAX(0,PR_r1*MIN(AZ237,BB237)+PR_r2*MAX(0,AZ237-BB237)-BA237)</f>
        <v>8534.68227152453</v>
      </c>
      <c r="BD237" s="20" t="n">
        <f aca="false">MAX(0,PR_HomeCarer-MAX(0,MIN(AS237,AT237)-PR_HCLimit)/2)</f>
        <v>0</v>
      </c>
      <c r="BE237" s="20" t="n">
        <f aca="false">IF(F_Carer=1,MIN(BC237,MAX(0,PR_r1*MIN(AZ237,PR_BandM)+PR_r2*MAX(0,AZ237-PR_BandM)-BA237-BD237)),BC237)</f>
        <v>8534.68227152453</v>
      </c>
      <c r="BF237" s="20" t="n">
        <f aca="false">IF(OR(C237&gt;=PR_AgeCrAge,AG237&gt;=PR_AgeCrAge),IF(AZ237&lt;=PR_AgeExM,0,MIN(BE237,PR_AgeMarg*(AZ237-PR_AgeExM))),BE237)</f>
        <v>8534.68227152453</v>
      </c>
      <c r="BG237" s="20" t="n">
        <f aca="false">MAX(0,PR_r1*MIN(AS237,IF(F_Spccc=1,PR_BandSPCCC,PR_Band))+PR_r2*MAX(0,AS237-IF(F_Spccc=1,PR_BandSPCCC,PR_Band))-(PR_Personal+AU237+AW237+IF(F_Spccc=1,PR_SPCCC,0)+IF(AY237=1,PR_Rent,0)))</f>
        <v>9803.99761780914</v>
      </c>
      <c r="BH237" s="20" t="n">
        <f aca="false">IF(C237&gt;=PR_AgeCrAge,IF(AS237&lt;=PR_AgeEx,0,MIN(BG237,PR_AgeMarg*(AS237-PR_AgeEx))),BG237)</f>
        <v>9803.99761780914</v>
      </c>
      <c r="BI237" s="20" t="n">
        <f aca="false">IF(F_Partner=1,MAX(0,PR_r1*MIN(AT237,PR_Band)+PR_r2*MAX(0,AT237-PR_Band)-(PR_Personal+AV237+AX237+IF(AND(AY237=1,AT237&gt;0),PR_Rent,0))),0)</f>
        <v>530.684653715388</v>
      </c>
      <c r="BJ237" s="20" t="n">
        <f aca="false">IF(AG237&gt;=PR_AgeCrAge,IF(AT237&lt;=PR_AgeEx,0,MIN(BI237,PR_AgeMarg*(AT237-PR_AgeEx))),BI237)</f>
        <v>530.684653715388</v>
      </c>
      <c r="BK237" s="20" t="n">
        <f aca="false">IF(F_Partner=1,IF(F_Married=1,BF237,BH237+BJ237),BH237)</f>
        <v>10334.6822715245</v>
      </c>
      <c r="BL237" s="20" t="n">
        <f aca="false">AL237+AN237+AO237</f>
        <v>59722.6613444301</v>
      </c>
      <c r="BM237" s="20" t="n">
        <f aca="false">IF(BL237&lt;=PR_USCex,0,IF(IF(AND(C237&gt;=PR_USCredAge,BL237&lt;=PR_USCredMax),1,0)=1,PR_USCr1*MIN(BL237,PR_USCredB1)+PR_USCredR2*MAX(0,BL237-PR_USCredB1),PR_USCr1*MIN(BL237,PR_USCb1)+PR_USCr2*MAX(0,MIN(BL237,PR_USCb2)-PR_USCb1)+PR_USCr3*MAX(0,MIN(BL237,PR_USCb3)-PR_USCb2)+PR_USCr4*MAX(0,BL237-PR_USCb3)))+IF(F_SelfEmp=1,PR_USCse*MAX(0,AL237-PR_USCseOver),0)</f>
        <v>1324.4998403329</v>
      </c>
      <c r="BN237" s="20" t="n">
        <f aca="false">AQ237</f>
        <v>22653.4232685769</v>
      </c>
      <c r="BO237" s="20" t="n">
        <f aca="false">IF(F_Partner=1,IF(BN237&lt;=PR_USCex,0,IF(IF(AND(AG237&gt;=PR_USCredAge,BN237&lt;=PR_USCredMax),1,0)=1,PR_USCr1*MIN(BN237,PR_USCredB1)+PR_USCredR2*MAX(0,BN237-PR_USCredB1),PR_USCr1*MIN(BN237,PR_USCb1)+PR_USCr2*MAX(0,MIN(BN237,PR_USCb2)-PR_USCb1)+PR_USCr3*MAX(0,MIN(BN237,PR_USCb3)-PR_USCb2)+PR_USCr4*MAX(0,BN237-PR_USCb3))),0)</f>
        <v>272.888465371539</v>
      </c>
      <c r="BP237" s="20" t="n">
        <f aca="false">IF(C237&lt;PR_PRSIend,IF(F_SelfEmp=1,IF(AL237&gt;PR_PRSIsMinInc,MAX(PR_PRSIsMin,AL237*J237),0),IF(AL237/52&lt;=PR_PRSIfree,0,MAX(0,(AL237/52*J237-IF(AL237/52&lt;=PR_PRSIcreditTo,MAX(0,PR_PRSIcreditMax-(AL237/52-(PR_PRSIfree+0.01))/PR_PRSItaper),0))*52)))+J237*AN237+IF(AO237&gt;PR_PRSIunearned,J237*AO237,0),0)</f>
        <v>2806.96508318822</v>
      </c>
      <c r="BQ237" s="20" t="n">
        <f aca="false">IF(AND(F_Partner=1,AG237&lt;PR_PRSIend),IF(AQ237/52&lt;=PR_PRSIfree,0,MAX(0,(AQ237/52*J237-IF(AQ237/52&lt;=PR_PRSIcreditTo,MAX(0,PR_PRSIcreditMax-(AQ237/52-(PR_PRSIfree+0.01))/PR_PRSItaper),0))*52)),0)</f>
        <v>1064.71089362312</v>
      </c>
      <c r="BR237" s="20" t="n">
        <f aca="false">BK237+BM237+BO237+BP237+BQ237</f>
        <v>15803.7465540403</v>
      </c>
      <c r="BS237" s="20" t="n">
        <f aca="false">BR237*H237</f>
        <v>16771.06227312</v>
      </c>
      <c r="BT237" s="20" t="n">
        <f aca="false">K237+AK237+AC237+AF237+AH237+AI237</f>
        <v>87418.16</v>
      </c>
    </row>
    <row r="238" customFormat="false" ht="15" hidden="false" customHeight="true" outlineLevel="0" collapsed="false">
      <c r="B238" s="20" t="n">
        <v>4</v>
      </c>
      <c r="C238" s="20" t="n">
        <f aca="false">F_Age+B238</f>
        <v>42</v>
      </c>
      <c r="D238" s="20" t="n">
        <f aca="false">AS_Year0+B238</f>
        <v>2031</v>
      </c>
      <c r="E238" s="44" t="n">
        <f aca="false">(1+AS_Infl)^B238</f>
        <v>1.08243216</v>
      </c>
      <c r="F238" s="44" t="n">
        <f aca="false">(1+AS_Wage)^B238</f>
        <v>1.12550881</v>
      </c>
      <c r="G238" s="20" t="n">
        <f aca="false">IF(C238&lt;F_R,1,0)</f>
        <v>1</v>
      </c>
      <c r="H238" s="44" t="n">
        <f aca="false">IF(AS_Bands="flat",1,E238)</f>
        <v>1.08243216</v>
      </c>
      <c r="I238" s="44" t="n">
        <f aca="false">IF(AS_SpGrow="pay",F238,IF(AS_SpGrow="flat",1,E238))</f>
        <v>1.08243216</v>
      </c>
      <c r="J238" s="44" t="n">
        <f aca="false">(12*PR_PRSIr0+(PR_PRSIr1-PR_PRSIr0)*MAX(0,MIN(12,D238*12+12-PR_PRSIt1))+(PR_PRSIr2-PR_PRSIr1)*MAX(0,MIN(12,D238*12+12-PR_PRSIt2))+(PR_PRSIr3-PR_PRSIr2)*MAX(0,MIN(12,D238*12+12-PR_PRSIt3)))/12</f>
        <v>0.047</v>
      </c>
      <c r="K238" s="20" t="n">
        <f aca="false">IF(G238=1,F_Income*F238,0)</f>
        <v>65279.51098</v>
      </c>
      <c r="L238" s="20" t="n">
        <f aca="false">IF(G238=1,(F_Own+In_penExtra)*12*F238,0)</f>
        <v>3511.5874872</v>
      </c>
      <c r="M238" s="20" t="n">
        <f aca="false">IF(G238=1,(F_PenM+In_penExtra)*12*F238,0)</f>
        <v>7023.1749744</v>
      </c>
      <c r="N238" s="45" t="n">
        <f aca="false">IF(C238&lt;PR_RelA1,PR_RelP1,IF(C238&lt;PR_RelA2,PR_RelP2,IF(C238&lt;PR_RelA3,PR_RelP3,IF(C238&lt;PR_RelA4,PR_RelP4,IF(C238&lt;PR_RelA5,PR_RelP5,PR_RelP6)))))</f>
        <v>0.25</v>
      </c>
      <c r="O238" s="20" t="n">
        <f aca="false">IF(G238=1,MIN(L238/H238,N238*MIN(K238/H238,PR_EarnCap))*H238,0)</f>
        <v>3511.5874872</v>
      </c>
      <c r="P238" s="20" t="n">
        <f aca="false">IF(AND(G238=1,F_AE=1),MIN(K238/H238,PR_AEcap)*H238,0)</f>
        <v>0</v>
      </c>
      <c r="Q238" s="20" t="n">
        <f aca="false">IF(G238=1,IF(WI_Retire=1,MAX(0,M238+WI_M*12),M238)+(PR_AEee+PR_AEer+PR_AEst)*P238,0)</f>
        <v>7023.1749744</v>
      </c>
      <c r="R238" s="20" t="n">
        <f aca="false">L238+PR_AEee*P238</f>
        <v>3511.5874872</v>
      </c>
      <c r="S238" s="20" t="n">
        <f aca="false">AD237</f>
        <v>113737.412145</v>
      </c>
      <c r="T238" s="20" t="n">
        <f aca="false">IF(D238&lt;=PR_SFTfrom,PR_SFT2026,IF(D238=PR_SFTfrom+1,PR_SFT2027,IF(D238=PR_SFTfrom+2,PR_SFT2028,IF(D238&lt;=PR_SFTto,PR_SFT2029,PR_SFT2029*(1+AS_Infl)^(D238-PR_SFTto)))))</f>
        <v>2913120</v>
      </c>
      <c r="U238" s="20" t="n">
        <f aca="false">IF(AND(G238=0,C238=F_V),1,0)</f>
        <v>0</v>
      </c>
      <c r="V238" s="20" t="n">
        <f aca="false">IF(U238=1,PR_SFTrate*MAX(0,S238-T238),0)</f>
        <v>0</v>
      </c>
      <c r="W238" s="20" t="n">
        <f aca="false">S238-V238</f>
        <v>113737.412145</v>
      </c>
      <c r="X238" s="20" t="n">
        <f aca="false">IF(AND(U238=1,AS_LumpPct&gt;0),W238*MIN(AS_LumpPct,PR_LSmax),0)</f>
        <v>0</v>
      </c>
      <c r="Y238" s="20" t="n">
        <f aca="false">X238-(PR_LSrate*MAX(0,MIN(X238,PR_LScap)-PR_LSfree)+PR_r2*MAX(0,X238-PR_LScap))</f>
        <v>0</v>
      </c>
      <c r="Z238" s="20" t="n">
        <f aca="false">W238-X238</f>
        <v>113737.412145</v>
      </c>
      <c r="AA238" s="45" t="n">
        <f aca="false">IF(C238&gt;=PR_ARFage1,IF(Z238&gt;PR_ARFbig,PR_ARFbigRate,IF(C238&gt;=PR_ARFage2,PR_ARF71,PR_ARF61)),0)</f>
        <v>0</v>
      </c>
      <c r="AB238" s="20" t="n">
        <f aca="false">IF(AS_DrawRule="min",Z238*AA238,IF(AS_DrawRule="fixed",MAX(AS_DrawFixed*E238,Z238*AA238),Z238*MAX(1/MAX(1,AS_End-C238+1),AA238)))</f>
        <v>2106.24837305556</v>
      </c>
      <c r="AC238" s="20" t="n">
        <f aca="false">IF(AND(G238=0,C238&gt;=F_V),MIN(Z238,AB238),0)</f>
        <v>0</v>
      </c>
      <c r="AD238" s="20" t="n">
        <f aca="false">IF(G238=1,S238*(1+F_PenG)+Q238,IF(C238&lt;F_V,S238*(1+F_PenG),(Z238-AC238)*(1+AS_PenRet)))</f>
        <v>125878.770665925</v>
      </c>
      <c r="AE238" s="20" t="n">
        <f aca="false">IF(C238&gt;=PR_SPage,AS_SP*F_SpF*I238+IF(AND(C238&gt;=PR_Over80Age,F_SpF&gt;0),PR_Over80*PR_Weeks*I238,0),0)</f>
        <v>0</v>
      </c>
      <c r="AF238" s="20" t="n">
        <f aca="false">(F_OtherM+F_RentM)*12*E238</f>
        <v>0</v>
      </c>
      <c r="AG238" s="20" t="n">
        <f aca="false">F_PAge+B238</f>
        <v>41</v>
      </c>
      <c r="AH238" s="20" t="n">
        <f aca="false">IF(AND(F_Partner=1,F_PAge&gt;0,AG238&lt;IF(F_PRet&gt;0,F_PRet,PR_SPage)),F_PIncome*F238,0)</f>
        <v>24761.19382</v>
      </c>
      <c r="AI238" s="20" t="n">
        <f aca="false">IF(AND(F_Partner=1,AG238&gt;=PR_SPage,F_PSpQA=0),AS_SP*F_PSpF*I238,0)</f>
        <v>0</v>
      </c>
      <c r="AJ238" s="20" t="n">
        <f aca="false">IF(AND(F_Partner=1,F_PSpQA=1,C238&gt;=PR_SPage,AH238=0),IF(AG238&gt;=PR_SPage,PR_QA66,PR_QAunder)*PR_Weeks*I238,0)</f>
        <v>0</v>
      </c>
      <c r="AK238" s="20" t="n">
        <f aca="false">AE238+AJ238</f>
        <v>0</v>
      </c>
      <c r="AL238" s="20" t="n">
        <f aca="false">K238/H238</f>
        <v>60308.1776321206</v>
      </c>
      <c r="AM238" s="20" t="n">
        <f aca="false">AK238/H238</f>
        <v>0</v>
      </c>
      <c r="AN238" s="20" t="n">
        <f aca="false">AC238/H238</f>
        <v>0</v>
      </c>
      <c r="AO238" s="20" t="n">
        <f aca="false">AF238/H238</f>
        <v>0</v>
      </c>
      <c r="AP238" s="20" t="n">
        <f aca="false">O238/H238</f>
        <v>3244.16403814166</v>
      </c>
      <c r="AQ238" s="20" t="n">
        <f aca="false">AH238/H238</f>
        <v>22875.515653563</v>
      </c>
      <c r="AR238" s="20" t="n">
        <f aca="false">AI238/H238</f>
        <v>0</v>
      </c>
      <c r="AS238" s="20" t="n">
        <f aca="false">MAX(0,AL238+AN238+AO238+AM238-AP238)</f>
        <v>57064.013593979</v>
      </c>
      <c r="AT238" s="20" t="n">
        <f aca="false">MAX(0,AQ238+AR238)</f>
        <v>22875.515653563</v>
      </c>
      <c r="AU238" s="20" t="n">
        <f aca="false">MIN(PR_PAYE,PR_PAYEcap*(AL238+AN238+AM238))</f>
        <v>2000</v>
      </c>
      <c r="AV238" s="20" t="n">
        <f aca="false">MIN(PR_PAYE,PR_PAYEcap*(AQ238+AR238))</f>
        <v>2000</v>
      </c>
      <c r="AW238" s="20" t="n">
        <f aca="false">IF(C238&gt;=PR_AgeCrAge,PR_AgeCr,0)</f>
        <v>0</v>
      </c>
      <c r="AX238" s="20" t="n">
        <f aca="false">IF(AG238&gt;=PR_AgeCrAge,PR_AgeCr,0)</f>
        <v>0</v>
      </c>
      <c r="AY238" s="20" t="n">
        <f aca="false">IF(AND(F_RentCred=1,D238&lt;=PR_RentLast),1,0)</f>
        <v>0</v>
      </c>
      <c r="AZ238" s="20" t="n">
        <f aca="false">AS238+AT238</f>
        <v>79939.529247542</v>
      </c>
      <c r="BA238" s="20" t="n">
        <f aca="false">PR_PersonalM+AU238+AV238+AW238+AX238+IF(AY238=1,PR_RentJoint,0)</f>
        <v>8000</v>
      </c>
      <c r="BB238" s="20" t="n">
        <f aca="false">PR_BandM+MIN(MIN(AS238,AT238),PR_Uplift)</f>
        <v>75875.515653563</v>
      </c>
      <c r="BC238" s="20" t="n">
        <f aca="false">MAX(0,PR_r1*MIN(AZ238,BB238)+PR_r2*MAX(0,AZ238-BB238)-BA238)</f>
        <v>8800.70856830418</v>
      </c>
      <c r="BD238" s="20" t="n">
        <f aca="false">MAX(0,PR_HomeCarer-MAX(0,MIN(AS238,AT238)-PR_HCLimit)/2)</f>
        <v>0</v>
      </c>
      <c r="BE238" s="20" t="n">
        <f aca="false">IF(F_Carer=1,MIN(BC238,MAX(0,PR_r1*MIN(AZ238,PR_BandM)+PR_r2*MAX(0,AZ238-PR_BandM)-BA238-BD238)),BC238)</f>
        <v>8800.70856830418</v>
      </c>
      <c r="BF238" s="20" t="n">
        <f aca="false">IF(OR(C238&gt;=PR_AgeCrAge,AG238&gt;=PR_AgeCrAge),IF(AZ238&lt;=PR_AgeExM,0,MIN(BE238,PR_AgeMarg*(AZ238-PR_AgeExM))),BE238)</f>
        <v>8800.70856830418</v>
      </c>
      <c r="BG238" s="20" t="n">
        <f aca="false">MAX(0,PR_r1*MIN(AS238,IF(F_Spccc=1,PR_BandSPCCC,PR_Band))+PR_r2*MAX(0,AS238-IF(F_Spccc=1,PR_BandSPCCC,PR_Band))-(PR_Personal+AU238+AW238+IF(F_Spccc=1,PR_SPCCC,0)+IF(AY238=1,PR_Rent,0)))</f>
        <v>10025.6054375916</v>
      </c>
      <c r="BH238" s="20" t="n">
        <f aca="false">IF(C238&gt;=PR_AgeCrAge,IF(AS238&lt;=PR_AgeEx,0,MIN(BG238,PR_AgeMarg*(AS238-PR_AgeEx))),BG238)</f>
        <v>10025.6054375916</v>
      </c>
      <c r="BI238" s="20" t="n">
        <f aca="false">IF(F_Partner=1,MAX(0,PR_r1*MIN(AT238,PR_Band)+PR_r2*MAX(0,AT238-PR_Band)-(PR_Personal+AV238+AX238+IF(AND(AY238=1,AT238&gt;0),PR_Rent,0))),0)</f>
        <v>575.103130712599</v>
      </c>
      <c r="BJ238" s="20" t="n">
        <f aca="false">IF(AG238&gt;=PR_AgeCrAge,IF(AT238&lt;=PR_AgeEx,0,MIN(BI238,PR_AgeMarg*(AT238-PR_AgeEx))),BI238)</f>
        <v>575.103130712599</v>
      </c>
      <c r="BK238" s="20" t="n">
        <f aca="false">IF(F_Partner=1,IF(F_Married=1,BF238,BH238+BJ238),BH238)</f>
        <v>10600.7085683042</v>
      </c>
      <c r="BL238" s="20" t="n">
        <f aca="false">AL238+AN238+AO238</f>
        <v>60308.1776321206</v>
      </c>
      <c r="BM238" s="20" t="n">
        <f aca="false">IF(BL238&lt;=PR_USCex,0,IF(IF(AND(C238&gt;=PR_USCredAge,BL238&lt;=PR_USCredMax),1,0)=1,PR_USCr1*MIN(BL238,PR_USCredB1)+PR_USCredR2*MAX(0,BL238-PR_USCredB1),PR_USCr1*MIN(BL238,PR_USCb1)+PR_USCr2*MAX(0,MIN(BL238,PR_USCb2)-PR_USCb1)+PR_USCr3*MAX(0,MIN(BL238,PR_USCb3)-PR_USCb2)+PR_USCr4*MAX(0,BL238-PR_USCb3)))+IF(F_SelfEmp=1,PR_USCse*MAX(0,AL238-PR_USCseOver),0)</f>
        <v>1342.06532896362</v>
      </c>
      <c r="BN238" s="20" t="n">
        <f aca="false">AQ238</f>
        <v>22875.515653563</v>
      </c>
      <c r="BO238" s="20" t="n">
        <f aca="false">IF(F_Partner=1,IF(BN238&lt;=PR_USCex,0,IF(IF(AND(AG238&gt;=PR_USCredAge,BN238&lt;=PR_USCredMax),1,0)=1,PR_USCr1*MIN(BN238,PR_USCredB1)+PR_USCredR2*MAX(0,BN238-PR_USCredB1),PR_USCr1*MIN(BN238,PR_USCb1)+PR_USCr2*MAX(0,MIN(BN238,PR_USCb2)-PR_USCb1)+PR_USCr3*MAX(0,MIN(BN238,PR_USCb3)-PR_USCb2)+PR_USCr4*MAX(0,BN238-PR_USCb3))),0)</f>
        <v>277.33031307126</v>
      </c>
      <c r="BP238" s="20" t="n">
        <f aca="false">IF(C238&lt;PR_PRSIend,IF(F_SelfEmp=1,IF(AL238&gt;PR_PRSIsMinInc,MAX(PR_PRSIsMin,AL238*J238),0),IF(AL238/52&lt;=PR_PRSIfree,0,MAX(0,(AL238/52*J238-IF(AL238/52&lt;=PR_PRSIcreditTo,MAX(0,PR_PRSIcreditMax-(AL238/52-(PR_PRSIfree+0.01))/PR_PRSItaper),0))*52)))+J238*AN238+IF(AO238&gt;PR_PRSIunearned,J238*AO238,0),0)</f>
        <v>2834.48434870967</v>
      </c>
      <c r="BQ238" s="20" t="n">
        <f aca="false">IF(AND(F_Partner=1,AG238&lt;PR_PRSIend),IF(AQ238/52&lt;=PR_PRSIfree,0,MAX(0,(AQ238/52*J238-IF(AQ238/52&lt;=PR_PRSIcreditTo,MAX(0,PR_PRSIcreditMax-(AQ238/52-(PR_PRSIfree+0.01))/PR_PRSItaper),0))*52)),0)</f>
        <v>1075.14923571746</v>
      </c>
      <c r="BR238" s="20" t="n">
        <f aca="false">BK238+BM238+BO238+BP238+BQ238</f>
        <v>16129.7377947662</v>
      </c>
      <c r="BS238" s="20" t="n">
        <f aca="false">BR238*H238</f>
        <v>17459.3469214224</v>
      </c>
      <c r="BT238" s="20" t="n">
        <f aca="false">K238+AK238+AC238+AF238+AH238+AI238</f>
        <v>90040.7048</v>
      </c>
    </row>
    <row r="239" customFormat="false" ht="15" hidden="false" customHeight="true" outlineLevel="0" collapsed="false">
      <c r="B239" s="20" t="n">
        <v>5</v>
      </c>
      <c r="C239" s="20" t="n">
        <f aca="false">F_Age+B239</f>
        <v>43</v>
      </c>
      <c r="D239" s="20" t="n">
        <f aca="false">AS_Year0+B239</f>
        <v>2032</v>
      </c>
      <c r="E239" s="44" t="n">
        <f aca="false">(1+AS_Infl)^B239</f>
        <v>1.1040808032</v>
      </c>
      <c r="F239" s="44" t="n">
        <f aca="false">(1+AS_Wage)^B239</f>
        <v>1.1592740743</v>
      </c>
      <c r="G239" s="20" t="n">
        <f aca="false">IF(C239&lt;F_R,1,0)</f>
        <v>1</v>
      </c>
      <c r="H239" s="44" t="n">
        <f aca="false">IF(AS_Bands="flat",1,E239)</f>
        <v>1.1040808032</v>
      </c>
      <c r="I239" s="44" t="n">
        <f aca="false">IF(AS_SpGrow="pay",F239,IF(AS_SpGrow="flat",1,E239))</f>
        <v>1.1040808032</v>
      </c>
      <c r="J239" s="44" t="n">
        <f aca="false">(12*PR_PRSIr0+(PR_PRSIr1-PR_PRSIr0)*MAX(0,MIN(12,D239*12+12-PR_PRSIt1))+(PR_PRSIr2-PR_PRSIr1)*MAX(0,MIN(12,D239*12+12-PR_PRSIt2))+(PR_PRSIr3-PR_PRSIr2)*MAX(0,MIN(12,D239*12+12-PR_PRSIt3)))/12</f>
        <v>0.047</v>
      </c>
      <c r="K239" s="20" t="n">
        <f aca="false">IF(G239=1,F_Income*F239,0)</f>
        <v>67237.8963094</v>
      </c>
      <c r="L239" s="20" t="n">
        <f aca="false">IF(G239=1,(F_Own+In_penExtra)*12*F239,0)</f>
        <v>3616.935111816</v>
      </c>
      <c r="M239" s="20" t="n">
        <f aca="false">IF(G239=1,(F_PenM+In_penExtra)*12*F239,0)</f>
        <v>7233.870223632</v>
      </c>
      <c r="N239" s="45" t="n">
        <f aca="false">IF(C239&lt;PR_RelA1,PR_RelP1,IF(C239&lt;PR_RelA2,PR_RelP2,IF(C239&lt;PR_RelA3,PR_RelP3,IF(C239&lt;PR_RelA4,PR_RelP4,IF(C239&lt;PR_RelA5,PR_RelP5,PR_RelP6)))))</f>
        <v>0.25</v>
      </c>
      <c r="O239" s="20" t="n">
        <f aca="false">IF(G239=1,MIN(L239/H239,N239*MIN(K239/H239,PR_EarnCap))*H239,0)</f>
        <v>3616.935111816</v>
      </c>
      <c r="P239" s="20" t="n">
        <f aca="false">IF(AND(G239=1,F_AE=1),MIN(K239/H239,PR_AEcap)*H239,0)</f>
        <v>0</v>
      </c>
      <c r="Q239" s="20" t="n">
        <f aca="false">IF(G239=1,IF(WI_Retire=1,MAX(0,M239+WI_M*12),M239)+(PR_AEee+PR_AEer+PR_AEst)*P239,0)</f>
        <v>7233.870223632</v>
      </c>
      <c r="R239" s="20" t="n">
        <f aca="false">L239+PR_AEee*P239</f>
        <v>3616.935111816</v>
      </c>
      <c r="S239" s="20" t="n">
        <f aca="false">AD238</f>
        <v>125878.770665925</v>
      </c>
      <c r="T239" s="20" t="n">
        <f aca="false">IF(D239&lt;=PR_SFTfrom,PR_SFT2026,IF(D239=PR_SFTfrom+1,PR_SFT2027,IF(D239=PR_SFTfrom+2,PR_SFT2028,IF(D239&lt;=PR_SFTto,PR_SFT2029,PR_SFT2029*(1+AS_Infl)^(D239-PR_SFTto)))))</f>
        <v>2971382.4</v>
      </c>
      <c r="U239" s="20" t="n">
        <f aca="false">IF(AND(G239=0,C239=F_V),1,0)</f>
        <v>0</v>
      </c>
      <c r="V239" s="20" t="n">
        <f aca="false">IF(U239=1,PR_SFTrate*MAX(0,S239-T239),0)</f>
        <v>0</v>
      </c>
      <c r="W239" s="20" t="n">
        <f aca="false">S239-V239</f>
        <v>125878.770665925</v>
      </c>
      <c r="X239" s="20" t="n">
        <f aca="false">IF(AND(U239=1,AS_LumpPct&gt;0),W239*MIN(AS_LumpPct,PR_LSmax),0)</f>
        <v>0</v>
      </c>
      <c r="Y239" s="20" t="n">
        <f aca="false">X239-(PR_LSrate*MAX(0,MIN(X239,PR_LScap)-PR_LSfree)+PR_r2*MAX(0,X239-PR_LScap))</f>
        <v>0</v>
      </c>
      <c r="Z239" s="20" t="n">
        <f aca="false">W239-X239</f>
        <v>125878.770665925</v>
      </c>
      <c r="AA239" s="45" t="n">
        <f aca="false">IF(C239&gt;=PR_ARFage1,IF(Z239&gt;PR_ARFbig,PR_ARFbigRate,IF(C239&gt;=PR_ARFage2,PR_ARF71,PR_ARF61)),0)</f>
        <v>0</v>
      </c>
      <c r="AB239" s="20" t="n">
        <f aca="false">IF(AS_DrawRule="min",Z239*AA239,IF(AS_DrawRule="fixed",MAX(AS_DrawFixed*E239,Z239*AA239),Z239*MAX(1/MAX(1,AS_End-C239+1),AA239)))</f>
        <v>2375.07114464009</v>
      </c>
      <c r="AC239" s="20" t="n">
        <f aca="false">IF(AND(G239=0,C239&gt;=F_V),MIN(Z239,AB239),0)</f>
        <v>0</v>
      </c>
      <c r="AD239" s="20" t="n">
        <f aca="false">IF(G239=1,S239*(1+F_PenG)+Q239,IF(C239&lt;F_V,S239*(1+F_PenG),(Z239-AC239)*(1+AS_PenRet)))</f>
        <v>138777.185569524</v>
      </c>
      <c r="AE239" s="20" t="n">
        <f aca="false">IF(C239&gt;=PR_SPage,AS_SP*F_SpF*I239+IF(AND(C239&gt;=PR_Over80Age,F_SpF&gt;0),PR_Over80*PR_Weeks*I239,0),0)</f>
        <v>0</v>
      </c>
      <c r="AF239" s="20" t="n">
        <f aca="false">(F_OtherM+F_RentM)*12*E239</f>
        <v>0</v>
      </c>
      <c r="AG239" s="20" t="n">
        <f aca="false">F_PAge+B239</f>
        <v>42</v>
      </c>
      <c r="AH239" s="20" t="n">
        <f aca="false">IF(AND(F_Partner=1,F_PAge&gt;0,AG239&lt;IF(F_PRet&gt;0,F_PRet,PR_SPage)),F_PIncome*F239,0)</f>
        <v>25504.0296346</v>
      </c>
      <c r="AI239" s="20" t="n">
        <f aca="false">IF(AND(F_Partner=1,AG239&gt;=PR_SPage,F_PSpQA=0),AS_SP*F_PSpF*I239,0)</f>
        <v>0</v>
      </c>
      <c r="AJ239" s="20" t="n">
        <f aca="false">IF(AND(F_Partner=1,F_PSpQA=1,C239&gt;=PR_SPage,AH239=0),IF(AG239&gt;=PR_SPage,PR_QA66,PR_QAunder)*PR_Weeks*I239,0)</f>
        <v>0</v>
      </c>
      <c r="AK239" s="20" t="n">
        <f aca="false">AE239+AJ239</f>
        <v>0</v>
      </c>
      <c r="AL239" s="20" t="n">
        <f aca="false">K239/H239</f>
        <v>60899.4342755728</v>
      </c>
      <c r="AM239" s="20" t="n">
        <f aca="false">AK239/H239</f>
        <v>0</v>
      </c>
      <c r="AN239" s="20" t="n">
        <f aca="false">AC239/H239</f>
        <v>0</v>
      </c>
      <c r="AO239" s="20" t="n">
        <f aca="false">AF239/H239</f>
        <v>0</v>
      </c>
      <c r="AP239" s="20" t="n">
        <f aca="false">O239/H239</f>
        <v>3275.96956792736</v>
      </c>
      <c r="AQ239" s="20" t="n">
        <f aca="false">AH239/H239</f>
        <v>23099.7854148724</v>
      </c>
      <c r="AR239" s="20" t="n">
        <f aca="false">AI239/H239</f>
        <v>0</v>
      </c>
      <c r="AS239" s="20" t="n">
        <f aca="false">MAX(0,AL239+AN239+AO239+AM239-AP239)</f>
        <v>57623.4647076454</v>
      </c>
      <c r="AT239" s="20" t="n">
        <f aca="false">MAX(0,AQ239+AR239)</f>
        <v>23099.7854148724</v>
      </c>
      <c r="AU239" s="20" t="n">
        <f aca="false">MIN(PR_PAYE,PR_PAYEcap*(AL239+AN239+AM239))</f>
        <v>2000</v>
      </c>
      <c r="AV239" s="20" t="n">
        <f aca="false">MIN(PR_PAYE,PR_PAYEcap*(AQ239+AR239))</f>
        <v>2000</v>
      </c>
      <c r="AW239" s="20" t="n">
        <f aca="false">IF(C239&gt;=PR_AgeCrAge,PR_AgeCr,0)</f>
        <v>0</v>
      </c>
      <c r="AX239" s="20" t="n">
        <f aca="false">IF(AG239&gt;=PR_AgeCrAge,PR_AgeCr,0)</f>
        <v>0</v>
      </c>
      <c r="AY239" s="20" t="n">
        <f aca="false">IF(AND(F_RentCred=1,D239&lt;=PR_RentLast),1,0)</f>
        <v>0</v>
      </c>
      <c r="AZ239" s="20" t="n">
        <f aca="false">AS239+AT239</f>
        <v>80723.2501225178</v>
      </c>
      <c r="BA239" s="20" t="n">
        <f aca="false">PR_PersonalM+AU239+AV239+AW239+AX239+IF(AY239=1,PR_RentJoint,0)</f>
        <v>8000</v>
      </c>
      <c r="BB239" s="20" t="n">
        <f aca="false">PR_BandM+MIN(MIN(AS239,AT239),PR_Uplift)</f>
        <v>76099.7854148724</v>
      </c>
      <c r="BC239" s="20" t="n">
        <f aca="false">MAX(0,PR_r1*MIN(AZ239,BB239)+PR_r2*MAX(0,AZ239-BB239)-BA239)</f>
        <v>9069.34296603265</v>
      </c>
      <c r="BD239" s="20" t="n">
        <f aca="false">MAX(0,PR_HomeCarer-MAX(0,MIN(AS239,AT239)-PR_HCLimit)/2)</f>
        <v>0</v>
      </c>
      <c r="BE239" s="20" t="n">
        <f aca="false">IF(F_Carer=1,MIN(BC239,MAX(0,PR_r1*MIN(AZ239,PR_BandM)+PR_r2*MAX(0,AZ239-PR_BandM)-BA239-BD239)),BC239)</f>
        <v>9069.34296603265</v>
      </c>
      <c r="BF239" s="20" t="n">
        <f aca="false">IF(OR(C239&gt;=PR_AgeCrAge,AG239&gt;=PR_AgeCrAge),IF(AZ239&lt;=PR_AgeExM,0,MIN(BE239,PR_AgeMarg*(AZ239-PR_AgeExM))),BE239)</f>
        <v>9069.34296603265</v>
      </c>
      <c r="BG239" s="20" t="n">
        <f aca="false">MAX(0,PR_r1*MIN(AS239,IF(F_Spccc=1,PR_BandSPCCC,PR_Band))+PR_r2*MAX(0,AS239-IF(F_Spccc=1,PR_BandSPCCC,PR_Band))-(PR_Personal+AU239+AW239+IF(F_Spccc=1,PR_SPCCC,0)+IF(AY239=1,PR_Rent,0)))</f>
        <v>10249.3858830582</v>
      </c>
      <c r="BH239" s="20" t="n">
        <f aca="false">IF(C239&gt;=PR_AgeCrAge,IF(AS239&lt;=PR_AgeEx,0,MIN(BG239,PR_AgeMarg*(AS239-PR_AgeEx))),BG239)</f>
        <v>10249.3858830582</v>
      </c>
      <c r="BI239" s="20" t="n">
        <f aca="false">IF(F_Partner=1,MAX(0,PR_r1*MIN(AT239,PR_Band)+PR_r2*MAX(0,AT239-PR_Band)-(PR_Personal+AV239+AX239+IF(AND(AY239=1,AT239&gt;0),PR_Rent,0))),0)</f>
        <v>619.957082974487</v>
      </c>
      <c r="BJ239" s="20" t="n">
        <f aca="false">IF(AG239&gt;=PR_AgeCrAge,IF(AT239&lt;=PR_AgeEx,0,MIN(BI239,PR_AgeMarg*(AT239-PR_AgeEx))),BI239)</f>
        <v>619.957082974487</v>
      </c>
      <c r="BK239" s="20" t="n">
        <f aca="false">IF(F_Partner=1,IF(F_Married=1,BF239,BH239+BJ239),BH239)</f>
        <v>10869.3429660327</v>
      </c>
      <c r="BL239" s="20" t="n">
        <f aca="false">AL239+AN239+AO239</f>
        <v>60899.4342755728</v>
      </c>
      <c r="BM239" s="20" t="n">
        <f aca="false">IF(BL239&lt;=PR_USCex,0,IF(IF(AND(C239&gt;=PR_USCredAge,BL239&lt;=PR_USCredMax),1,0)=1,PR_USCr1*MIN(BL239,PR_USCredB1)+PR_USCredR2*MAX(0,BL239-PR_USCredB1),PR_USCr1*MIN(BL239,PR_USCb1)+PR_USCr2*MAX(0,MIN(BL239,PR_USCb2)-PR_USCb1)+PR_USCr3*MAX(0,MIN(BL239,PR_USCb3)-PR_USCb2)+PR_USCr4*MAX(0,BL239-PR_USCb3)))+IF(F_SelfEmp=1,PR_USCse*MAX(0,AL239-PR_USCseOver),0)</f>
        <v>1359.80302826718</v>
      </c>
      <c r="BN239" s="20" t="n">
        <f aca="false">AQ239</f>
        <v>23099.7854148724</v>
      </c>
      <c r="BO239" s="20" t="n">
        <f aca="false">IF(F_Partner=1,IF(BN239&lt;=PR_USCex,0,IF(IF(AND(AG239&gt;=PR_USCredAge,BN239&lt;=PR_USCredMax),1,0)=1,PR_USCr1*MIN(BN239,PR_USCredB1)+PR_USCredR2*MAX(0,BN239-PR_USCredB1),PR_USCr1*MIN(BN239,PR_USCb1)+PR_USCr2*MAX(0,MIN(BN239,PR_USCb2)-PR_USCb1)+PR_USCr3*MAX(0,MIN(BN239,PR_USCb3)-PR_USCb2)+PR_USCr4*MAX(0,BN239-PR_USCb3))),0)</f>
        <v>281.815708297449</v>
      </c>
      <c r="BP239" s="20" t="n">
        <f aca="false">IF(C239&lt;PR_PRSIend,IF(F_SelfEmp=1,IF(AL239&gt;PR_PRSIsMinInc,MAX(PR_PRSIsMin,AL239*J239),0),IF(AL239/52&lt;=PR_PRSIfree,0,MAX(0,(AL239/52*J239-IF(AL239/52&lt;=PR_PRSIcreditTo,MAX(0,PR_PRSIcreditMax-(AL239/52-(PR_PRSIfree+0.01))/PR_PRSItaper),0))*52)))+J239*AN239+IF(AO239&gt;PR_PRSIunearned,J239*AO239,0),0)</f>
        <v>2862.27341095192</v>
      </c>
      <c r="BQ239" s="20" t="n">
        <f aca="false">IF(AND(F_Partner=1,AG239&lt;PR_PRSIend),IF(AQ239/52&lt;=PR_PRSIfree,0,MAX(0,(AQ239/52*J239-IF(AQ239/52&lt;=PR_PRSIcreditTo,MAX(0,PR_PRSIcreditMax-(AQ239/52-(PR_PRSIfree+0.01))/PR_PRSItaper),0))*52)),0)</f>
        <v>1085.689914499</v>
      </c>
      <c r="BR239" s="20" t="n">
        <f aca="false">BK239+BM239+BO239+BP239+BQ239</f>
        <v>16458.9250280482</v>
      </c>
      <c r="BS239" s="20" t="n">
        <f aca="false">BR239*H239</f>
        <v>18171.9831647761</v>
      </c>
      <c r="BT239" s="20" t="n">
        <f aca="false">K239+AK239+AC239+AF239+AH239+AI239</f>
        <v>92741.925944</v>
      </c>
    </row>
    <row r="240" customFormat="false" ht="15" hidden="false" customHeight="true" outlineLevel="0" collapsed="false">
      <c r="B240" s="20" t="n">
        <v>6</v>
      </c>
      <c r="C240" s="20" t="n">
        <f aca="false">F_Age+B240</f>
        <v>44</v>
      </c>
      <c r="D240" s="20" t="n">
        <f aca="false">AS_Year0+B240</f>
        <v>2033</v>
      </c>
      <c r="E240" s="44" t="n">
        <f aca="false">(1+AS_Infl)^B240</f>
        <v>1.126162419264</v>
      </c>
      <c r="F240" s="44" t="n">
        <f aca="false">(1+AS_Wage)^B240</f>
        <v>1.194052296529</v>
      </c>
      <c r="G240" s="20" t="n">
        <f aca="false">IF(C240&lt;F_R,1,0)</f>
        <v>1</v>
      </c>
      <c r="H240" s="44" t="n">
        <f aca="false">IF(AS_Bands="flat",1,E240)</f>
        <v>1.126162419264</v>
      </c>
      <c r="I240" s="44" t="n">
        <f aca="false">IF(AS_SpGrow="pay",F240,IF(AS_SpGrow="flat",1,E240))</f>
        <v>1.126162419264</v>
      </c>
      <c r="J240" s="44" t="n">
        <f aca="false">(12*PR_PRSIr0+(PR_PRSIr1-PR_PRSIr0)*MAX(0,MIN(12,D240*12+12-PR_PRSIt1))+(PR_PRSIr2-PR_PRSIr1)*MAX(0,MIN(12,D240*12+12-PR_PRSIt2))+(PR_PRSIr3-PR_PRSIr2)*MAX(0,MIN(12,D240*12+12-PR_PRSIt3)))/12</f>
        <v>0.047</v>
      </c>
      <c r="K240" s="20" t="n">
        <f aca="false">IF(G240=1,F_Income*F240,0)</f>
        <v>69255.033198682</v>
      </c>
      <c r="L240" s="20" t="n">
        <f aca="false">IF(G240=1,(F_Own+In_penExtra)*12*F240,0)</f>
        <v>3725.44316517048</v>
      </c>
      <c r="M240" s="20" t="n">
        <f aca="false">IF(G240=1,(F_PenM+In_penExtra)*12*F240,0)</f>
        <v>7450.88633034096</v>
      </c>
      <c r="N240" s="45" t="n">
        <f aca="false">IF(C240&lt;PR_RelA1,PR_RelP1,IF(C240&lt;PR_RelA2,PR_RelP2,IF(C240&lt;PR_RelA3,PR_RelP3,IF(C240&lt;PR_RelA4,PR_RelP4,IF(C240&lt;PR_RelA5,PR_RelP5,PR_RelP6)))))</f>
        <v>0.25</v>
      </c>
      <c r="O240" s="20" t="n">
        <f aca="false">IF(G240=1,MIN(L240/H240,N240*MIN(K240/H240,PR_EarnCap))*H240,0)</f>
        <v>3725.44316517048</v>
      </c>
      <c r="P240" s="20" t="n">
        <f aca="false">IF(AND(G240=1,F_AE=1),MIN(K240/H240,PR_AEcap)*H240,0)</f>
        <v>0</v>
      </c>
      <c r="Q240" s="20" t="n">
        <f aca="false">IF(G240=1,IF(WI_Retire=1,MAX(0,M240+WI_M*12),M240)+(PR_AEee+PR_AEer+PR_AEst)*P240,0)</f>
        <v>7450.88633034096</v>
      </c>
      <c r="R240" s="20" t="n">
        <f aca="false">L240+PR_AEee*P240</f>
        <v>3725.44316517048</v>
      </c>
      <c r="S240" s="20" t="n">
        <f aca="false">AD239</f>
        <v>138777.185569524</v>
      </c>
      <c r="T240" s="20" t="n">
        <f aca="false">IF(D240&lt;=PR_SFTfrom,PR_SFT2026,IF(D240=PR_SFTfrom+1,PR_SFT2027,IF(D240=PR_SFTfrom+2,PR_SFT2028,IF(D240&lt;=PR_SFTto,PR_SFT2029,PR_SFT2029*(1+AS_Infl)^(D240-PR_SFTto)))))</f>
        <v>3030810.048</v>
      </c>
      <c r="U240" s="20" t="n">
        <f aca="false">IF(AND(G240=0,C240=F_V),1,0)</f>
        <v>0</v>
      </c>
      <c r="V240" s="20" t="n">
        <f aca="false">IF(U240=1,PR_SFTrate*MAX(0,S240-T240),0)</f>
        <v>0</v>
      </c>
      <c r="W240" s="20" t="n">
        <f aca="false">S240-V240</f>
        <v>138777.185569524</v>
      </c>
      <c r="X240" s="20" t="n">
        <f aca="false">IF(AND(U240=1,AS_LumpPct&gt;0),W240*MIN(AS_LumpPct,PR_LSmax),0)</f>
        <v>0</v>
      </c>
      <c r="Y240" s="20" t="n">
        <f aca="false">X240-(PR_LSrate*MAX(0,MIN(X240,PR_LScap)-PR_LSfree)+PR_r2*MAX(0,X240-PR_LScap))</f>
        <v>0</v>
      </c>
      <c r="Z240" s="20" t="n">
        <f aca="false">W240-X240</f>
        <v>138777.185569524</v>
      </c>
      <c r="AA240" s="45" t="n">
        <f aca="false">IF(C240&gt;=PR_ARFage1,IF(Z240&gt;PR_ARFbig,PR_ARFbigRate,IF(C240&gt;=PR_ARFage2,PR_ARF71,PR_ARF61)),0)</f>
        <v>0</v>
      </c>
      <c r="AB240" s="20" t="n">
        <f aca="false">IF(AS_DrawRule="min",Z240*AA240,IF(AS_DrawRule="fixed",MAX(AS_DrawFixed*E240,Z240*AA240),Z240*MAX(1/MAX(1,AS_End-C240+1),AA240)))</f>
        <v>2668.79203018315</v>
      </c>
      <c r="AC240" s="20" t="n">
        <f aca="false">IF(AND(G240=0,C240&gt;=F_V),MIN(Z240,AB240),0)</f>
        <v>0</v>
      </c>
      <c r="AD240" s="20" t="n">
        <f aca="false">IF(G240=1,S240*(1+F_PenG)+Q240,IF(C240&lt;F_V,S240*(1+F_PenG),(Z240-AC240)*(1+AS_PenRet)))</f>
        <v>152473.045250493</v>
      </c>
      <c r="AE240" s="20" t="n">
        <f aca="false">IF(C240&gt;=PR_SPage,AS_SP*F_SpF*I240+IF(AND(C240&gt;=PR_Over80Age,F_SpF&gt;0),PR_Over80*PR_Weeks*I240,0),0)</f>
        <v>0</v>
      </c>
      <c r="AF240" s="20" t="n">
        <f aca="false">(F_OtherM+F_RentM)*12*E240</f>
        <v>0</v>
      </c>
      <c r="AG240" s="20" t="n">
        <f aca="false">F_PAge+B240</f>
        <v>43</v>
      </c>
      <c r="AH240" s="20" t="n">
        <f aca="false">IF(AND(F_Partner=1,F_PAge&gt;0,AG240&lt;IF(F_PRet&gt;0,F_PRet,PR_SPage)),F_PIncome*F240,0)</f>
        <v>26269.150523638</v>
      </c>
      <c r="AI240" s="20" t="n">
        <f aca="false">IF(AND(F_Partner=1,AG240&gt;=PR_SPage,F_PSpQA=0),AS_SP*F_PSpF*I240,0)</f>
        <v>0</v>
      </c>
      <c r="AJ240" s="20" t="n">
        <f aca="false">IF(AND(F_Partner=1,F_PSpQA=1,C240&gt;=PR_SPage,AH240=0),IF(AG240&gt;=PR_SPage,PR_QA66,PR_QAunder)*PR_Weeks*I240,0)</f>
        <v>0</v>
      </c>
      <c r="AK240" s="20" t="n">
        <f aca="false">AE240+AJ240</f>
        <v>0</v>
      </c>
      <c r="AL240" s="20" t="n">
        <f aca="false">K240/H240</f>
        <v>61496.4875527843</v>
      </c>
      <c r="AM240" s="20" t="n">
        <f aca="false">AK240/H240</f>
        <v>0</v>
      </c>
      <c r="AN240" s="20" t="n">
        <f aca="false">AC240/H240</f>
        <v>0</v>
      </c>
      <c r="AO240" s="20" t="n">
        <f aca="false">AF240/H240</f>
        <v>0</v>
      </c>
      <c r="AP240" s="20" t="n">
        <f aca="false">O240/H240</f>
        <v>3308.08691663253</v>
      </c>
      <c r="AQ240" s="20" t="n">
        <f aca="false">AH240/H240</f>
        <v>23326.253899332</v>
      </c>
      <c r="AR240" s="20" t="n">
        <f aca="false">AI240/H240</f>
        <v>0</v>
      </c>
      <c r="AS240" s="20" t="n">
        <f aca="false">MAX(0,AL240+AN240+AO240+AM240-AP240)</f>
        <v>58188.4006361517</v>
      </c>
      <c r="AT240" s="20" t="n">
        <f aca="false">MAX(0,AQ240+AR240)</f>
        <v>23326.253899332</v>
      </c>
      <c r="AU240" s="20" t="n">
        <f aca="false">MIN(PR_PAYE,PR_PAYEcap*(AL240+AN240+AM240))</f>
        <v>2000</v>
      </c>
      <c r="AV240" s="20" t="n">
        <f aca="false">MIN(PR_PAYE,PR_PAYEcap*(AQ240+AR240))</f>
        <v>2000</v>
      </c>
      <c r="AW240" s="20" t="n">
        <f aca="false">IF(C240&gt;=PR_AgeCrAge,PR_AgeCr,0)</f>
        <v>0</v>
      </c>
      <c r="AX240" s="20" t="n">
        <f aca="false">IF(AG240&gt;=PR_AgeCrAge,PR_AgeCr,0)</f>
        <v>0</v>
      </c>
      <c r="AY240" s="20" t="n">
        <f aca="false">IF(AND(F_RentCred=1,D240&lt;=PR_RentLast),1,0)</f>
        <v>0</v>
      </c>
      <c r="AZ240" s="20" t="n">
        <f aca="false">AS240+AT240</f>
        <v>81514.6545354837</v>
      </c>
      <c r="BA240" s="20" t="n">
        <f aca="false">PR_PersonalM+AU240+AV240+AW240+AX240+IF(AY240=1,PR_RentJoint,0)</f>
        <v>8000</v>
      </c>
      <c r="BB240" s="20" t="n">
        <f aca="false">PR_BandM+MIN(MIN(AS240,AT240),PR_Uplift)</f>
        <v>76326.253899332</v>
      </c>
      <c r="BC240" s="20" t="n">
        <f aca="false">MAX(0,PR_r1*MIN(AZ240,BB240)+PR_r2*MAX(0,AZ240-BB240)-BA240)</f>
        <v>9340.6110343271</v>
      </c>
      <c r="BD240" s="20" t="n">
        <f aca="false">MAX(0,PR_HomeCarer-MAX(0,MIN(AS240,AT240)-PR_HCLimit)/2)</f>
        <v>0</v>
      </c>
      <c r="BE240" s="20" t="n">
        <f aca="false">IF(F_Carer=1,MIN(BC240,MAX(0,PR_r1*MIN(AZ240,PR_BandM)+PR_r2*MAX(0,AZ240-PR_BandM)-BA240-BD240)),BC240)</f>
        <v>9340.6110343271</v>
      </c>
      <c r="BF240" s="20" t="n">
        <f aca="false">IF(OR(C240&gt;=PR_AgeCrAge,AG240&gt;=PR_AgeCrAge),IF(AZ240&lt;=PR_AgeExM,0,MIN(BE240,PR_AgeMarg*(AZ240-PR_AgeExM))),BE240)</f>
        <v>9340.6110343271</v>
      </c>
      <c r="BG240" s="20" t="n">
        <f aca="false">MAX(0,PR_r1*MIN(AS240,IF(F_Spccc=1,PR_BandSPCCC,PR_Band))+PR_r2*MAX(0,AS240-IF(F_Spccc=1,PR_BandSPCCC,PR_Band))-(PR_Personal+AU240+AW240+IF(F_Spccc=1,PR_SPCCC,0)+IF(AY240=1,PR_Rent,0)))</f>
        <v>10475.3602544607</v>
      </c>
      <c r="BH240" s="20" t="n">
        <f aca="false">IF(C240&gt;=PR_AgeCrAge,IF(AS240&lt;=PR_AgeEx,0,MIN(BG240,PR_AgeMarg*(AS240-PR_AgeEx))),BG240)</f>
        <v>10475.3602544607</v>
      </c>
      <c r="BI240" s="20" t="n">
        <f aca="false">IF(F_Partner=1,MAX(0,PR_r1*MIN(AT240,PR_Band)+PR_r2*MAX(0,AT240-PR_Band)-(PR_Personal+AV240+AX240+IF(AND(AY240=1,AT240&gt;0),PR_Rent,0))),0)</f>
        <v>665.250779866394</v>
      </c>
      <c r="BJ240" s="20" t="n">
        <f aca="false">IF(AG240&gt;=PR_AgeCrAge,IF(AT240&lt;=PR_AgeEx,0,MIN(BI240,PR_AgeMarg*(AT240-PR_AgeEx))),BI240)</f>
        <v>665.250779866394</v>
      </c>
      <c r="BK240" s="20" t="n">
        <f aca="false">IF(F_Partner=1,IF(F_Married=1,BF240,BH240+BJ240),BH240)</f>
        <v>11140.6110343271</v>
      </c>
      <c r="BL240" s="20" t="n">
        <f aca="false">AL240+AN240+AO240</f>
        <v>61496.4875527843</v>
      </c>
      <c r="BM240" s="20" t="n">
        <f aca="false">IF(BL240&lt;=PR_USCex,0,IF(IF(AND(C240&gt;=PR_USCredAge,BL240&lt;=PR_USCredMax),1,0)=1,PR_USCr1*MIN(BL240,PR_USCredB1)+PR_USCredR2*MAX(0,BL240-PR_USCredB1),PR_USCr1*MIN(BL240,PR_USCb1)+PR_USCr2*MAX(0,MIN(BL240,PR_USCb2)-PR_USCb1)+PR_USCr3*MAX(0,MIN(BL240,PR_USCb3)-PR_USCb2)+PR_USCr4*MAX(0,BL240-PR_USCb3)))+IF(F_SelfEmp=1,PR_USCse*MAX(0,AL240-PR_USCseOver),0)</f>
        <v>1377.71462658353</v>
      </c>
      <c r="BN240" s="20" t="n">
        <f aca="false">AQ240</f>
        <v>23326.253899332</v>
      </c>
      <c r="BO240" s="20" t="n">
        <f aca="false">IF(F_Partner=1,IF(BN240&lt;=PR_USCex,0,IF(IF(AND(AG240&gt;=PR_USCredAge,BN240&lt;=PR_USCredMax),1,0)=1,PR_USCr1*MIN(BN240,PR_USCredB1)+PR_USCredR2*MAX(0,BN240-PR_USCredB1),PR_USCr1*MIN(BN240,PR_USCb1)+PR_USCr2*MAX(0,MIN(BN240,PR_USCb2)-PR_USCb1)+PR_USCr3*MAX(0,MIN(BN240,PR_USCb3)-PR_USCb2)+PR_USCr4*MAX(0,BN240-PR_USCb3))),0)</f>
        <v>286.345077986639</v>
      </c>
      <c r="BP240" s="20" t="n">
        <f aca="false">IF(C240&lt;PR_PRSIend,IF(F_SelfEmp=1,IF(AL240&gt;PR_PRSIsMinInc,MAX(PR_PRSIsMin,AL240*J240),0),IF(AL240/52&lt;=PR_PRSIfree,0,MAX(0,(AL240/52*J240-IF(AL240/52&lt;=PR_PRSIcreditTo,MAX(0,PR_PRSIcreditMax-(AL240/52-(PR_PRSIfree+0.01))/PR_PRSItaper),0))*52)))+J240*AN240+IF(AO240&gt;PR_PRSIunearned,J240*AO240,0),0)</f>
        <v>2890.33491498086</v>
      </c>
      <c r="BQ240" s="20" t="n">
        <f aca="false">IF(AND(F_Partner=1,AG240&lt;PR_PRSIend),IF(AQ240/52&lt;=PR_PRSIfree,0,MAX(0,(AQ240/52*J240-IF(AQ240/52&lt;=PR_PRSIcreditTo,MAX(0,PR_PRSIcreditMax-(AQ240/52-(PR_PRSIfree+0.01))/PR_PRSItaper),0))*52)),0)</f>
        <v>1096.3339332686</v>
      </c>
      <c r="BR240" s="20" t="n">
        <f aca="false">BK240+BM240+BO240+BP240+BQ240</f>
        <v>16791.3395871467</v>
      </c>
      <c r="BS240" s="20" t="n">
        <f aca="false">BR240*H240</f>
        <v>18909.7756121445</v>
      </c>
      <c r="BT240" s="20" t="n">
        <f aca="false">K240+AK240+AC240+AF240+AH240+AI240</f>
        <v>95524.18372232</v>
      </c>
    </row>
    <row r="241" customFormat="false" ht="15" hidden="false" customHeight="true" outlineLevel="0" collapsed="false">
      <c r="B241" s="20" t="n">
        <v>7</v>
      </c>
      <c r="C241" s="20" t="n">
        <f aca="false">F_Age+B241</f>
        <v>45</v>
      </c>
      <c r="D241" s="20" t="n">
        <f aca="false">AS_Year0+B241</f>
        <v>2034</v>
      </c>
      <c r="E241" s="44" t="n">
        <f aca="false">(1+AS_Infl)^B241</f>
        <v>1.14868566764928</v>
      </c>
      <c r="F241" s="44" t="n">
        <f aca="false">(1+AS_Wage)^B241</f>
        <v>1.22987386542487</v>
      </c>
      <c r="G241" s="20" t="n">
        <f aca="false">IF(C241&lt;F_R,1,0)</f>
        <v>1</v>
      </c>
      <c r="H241" s="44" t="n">
        <f aca="false">IF(AS_Bands="flat",1,E241)</f>
        <v>1.14868566764928</v>
      </c>
      <c r="I241" s="44" t="n">
        <f aca="false">IF(AS_SpGrow="pay",F241,IF(AS_SpGrow="flat",1,E241))</f>
        <v>1.14868566764928</v>
      </c>
      <c r="J241" s="44" t="n">
        <f aca="false">(12*PR_PRSIr0+(PR_PRSIr1-PR_PRSIr0)*MAX(0,MIN(12,D241*12+12-PR_PRSIt1))+(PR_PRSIr2-PR_PRSIr1)*MAX(0,MIN(12,D241*12+12-PR_PRSIt2))+(PR_PRSIr3-PR_PRSIr2)*MAX(0,MIN(12,D241*12+12-PR_PRSIt3)))/12</f>
        <v>0.047</v>
      </c>
      <c r="K241" s="20" t="n">
        <f aca="false">IF(G241=1,F_Income*F241,0)</f>
        <v>71332.6841946425</v>
      </c>
      <c r="L241" s="20" t="n">
        <f aca="false">IF(G241=1,(F_Own+In_penExtra)*12*F241,0)</f>
        <v>3837.2064601256</v>
      </c>
      <c r="M241" s="20" t="n">
        <f aca="false">IF(G241=1,(F_PenM+In_penExtra)*12*F241,0)</f>
        <v>7674.41292025119</v>
      </c>
      <c r="N241" s="45" t="n">
        <f aca="false">IF(C241&lt;PR_RelA1,PR_RelP1,IF(C241&lt;PR_RelA2,PR_RelP2,IF(C241&lt;PR_RelA3,PR_RelP3,IF(C241&lt;PR_RelA4,PR_RelP4,IF(C241&lt;PR_RelA5,PR_RelP5,PR_RelP6)))))</f>
        <v>0.25</v>
      </c>
      <c r="O241" s="20" t="n">
        <f aca="false">IF(G241=1,MIN(L241/H241,N241*MIN(K241/H241,PR_EarnCap))*H241,0)</f>
        <v>3837.2064601256</v>
      </c>
      <c r="P241" s="20" t="n">
        <f aca="false">IF(AND(G241=1,F_AE=1),MIN(K241/H241,PR_AEcap)*H241,0)</f>
        <v>0</v>
      </c>
      <c r="Q241" s="20" t="n">
        <f aca="false">IF(G241=1,IF(WI_Retire=1,MAX(0,M241+WI_M*12),M241)+(PR_AEee+PR_AEer+PR_AEst)*P241,0)</f>
        <v>7674.41292025119</v>
      </c>
      <c r="R241" s="20" t="n">
        <f aca="false">L241+PR_AEee*P241</f>
        <v>3837.2064601256</v>
      </c>
      <c r="S241" s="20" t="n">
        <f aca="false">AD240</f>
        <v>152473.045250493</v>
      </c>
      <c r="T241" s="20" t="n">
        <f aca="false">IF(D241&lt;=PR_SFTfrom,PR_SFT2026,IF(D241=PR_SFTfrom+1,PR_SFT2027,IF(D241=PR_SFTfrom+2,PR_SFT2028,IF(D241&lt;=PR_SFTto,PR_SFT2029,PR_SFT2029*(1+AS_Infl)^(D241-PR_SFTto)))))</f>
        <v>3091426.24896</v>
      </c>
      <c r="U241" s="20" t="n">
        <f aca="false">IF(AND(G241=0,C241=F_V),1,0)</f>
        <v>0</v>
      </c>
      <c r="V241" s="20" t="n">
        <f aca="false">IF(U241=1,PR_SFTrate*MAX(0,S241-T241),0)</f>
        <v>0</v>
      </c>
      <c r="W241" s="20" t="n">
        <f aca="false">S241-V241</f>
        <v>152473.045250493</v>
      </c>
      <c r="X241" s="20" t="n">
        <f aca="false">IF(AND(U241=1,AS_LumpPct&gt;0),W241*MIN(AS_LumpPct,PR_LSmax),0)</f>
        <v>0</v>
      </c>
      <c r="Y241" s="20" t="n">
        <f aca="false">X241-(PR_LSrate*MAX(0,MIN(X241,PR_LScap)-PR_LSfree)+PR_r2*MAX(0,X241-PR_LScap))</f>
        <v>0</v>
      </c>
      <c r="Z241" s="20" t="n">
        <f aca="false">W241-X241</f>
        <v>152473.045250493</v>
      </c>
      <c r="AA241" s="45" t="n">
        <f aca="false">IF(C241&gt;=PR_ARFage1,IF(Z241&gt;PR_ARFbig,PR_ARFbigRate,IF(C241&gt;=PR_ARFage2,PR_ARF71,PR_ARF61)),0)</f>
        <v>0</v>
      </c>
      <c r="AB241" s="20" t="n">
        <f aca="false">IF(AS_DrawRule="min",Z241*AA241,IF(AS_DrawRule="fixed",MAX(AS_DrawFixed*E241,Z241*AA241),Z241*MAX(1/MAX(1,AS_End-C241+1),AA241)))</f>
        <v>2989.66755393124</v>
      </c>
      <c r="AC241" s="20" t="n">
        <f aca="false">IF(AND(G241=0,C241&gt;=F_V),MIN(Z241,AB241),0)</f>
        <v>0</v>
      </c>
      <c r="AD241" s="20" t="n">
        <f aca="false">IF(G241=1,S241*(1+F_PenG)+Q241,IF(C241&lt;F_V,S241*(1+F_PenG),(Z241-AC241)*(1+AS_PenRet)))</f>
        <v>167008.745207016</v>
      </c>
      <c r="AE241" s="20" t="n">
        <f aca="false">IF(C241&gt;=PR_SPage,AS_SP*F_SpF*I241+IF(AND(C241&gt;=PR_Over80Age,F_SpF&gt;0),PR_Over80*PR_Weeks*I241,0),0)</f>
        <v>0</v>
      </c>
      <c r="AF241" s="20" t="n">
        <f aca="false">(F_OtherM+F_RentM)*12*E241</f>
        <v>0</v>
      </c>
      <c r="AG241" s="20" t="n">
        <f aca="false">F_PAge+B241</f>
        <v>44</v>
      </c>
      <c r="AH241" s="20" t="n">
        <f aca="false">IF(AND(F_Partner=1,F_PAge&gt;0,AG241&lt;IF(F_PRet&gt;0,F_PRet,PR_SPage)),F_PIncome*F241,0)</f>
        <v>27057.2250393471</v>
      </c>
      <c r="AI241" s="20" t="n">
        <f aca="false">IF(AND(F_Partner=1,AG241&gt;=PR_SPage,F_PSpQA=0),AS_SP*F_PSpF*I241,0)</f>
        <v>0</v>
      </c>
      <c r="AJ241" s="20" t="n">
        <f aca="false">IF(AND(F_Partner=1,F_PSpQA=1,C241&gt;=PR_SPage,AH241=0),IF(AG241&gt;=PR_SPage,PR_QA66,PR_QAunder)*PR_Weeks*I241,0)</f>
        <v>0</v>
      </c>
      <c r="AK241" s="20" t="n">
        <f aca="false">AE241+AJ241</f>
        <v>0</v>
      </c>
      <c r="AL241" s="20" t="n">
        <f aca="false">K241/H241</f>
        <v>62099.3942934979</v>
      </c>
      <c r="AM241" s="20" t="n">
        <f aca="false">AK241/H241</f>
        <v>0</v>
      </c>
      <c r="AN241" s="20" t="n">
        <f aca="false">AC241/H241</f>
        <v>0</v>
      </c>
      <c r="AO241" s="20" t="n">
        <f aca="false">AF241/H241</f>
        <v>0</v>
      </c>
      <c r="AP241" s="20" t="n">
        <f aca="false">O241/H241</f>
        <v>3340.5191413054</v>
      </c>
      <c r="AQ241" s="20" t="n">
        <f aca="false">AH241/H241</f>
        <v>23554.9426630509</v>
      </c>
      <c r="AR241" s="20" t="n">
        <f aca="false">AI241/H241</f>
        <v>0</v>
      </c>
      <c r="AS241" s="20" t="n">
        <f aca="false">MAX(0,AL241+AN241+AO241+AM241-AP241)</f>
        <v>58758.8751521924</v>
      </c>
      <c r="AT241" s="20" t="n">
        <f aca="false">MAX(0,AQ241+AR241)</f>
        <v>23554.9426630509</v>
      </c>
      <c r="AU241" s="20" t="n">
        <f aca="false">MIN(PR_PAYE,PR_PAYEcap*(AL241+AN241+AM241))</f>
        <v>2000</v>
      </c>
      <c r="AV241" s="20" t="n">
        <f aca="false">MIN(PR_PAYE,PR_PAYEcap*(AQ241+AR241))</f>
        <v>2000</v>
      </c>
      <c r="AW241" s="20" t="n">
        <f aca="false">IF(C241&gt;=PR_AgeCrAge,PR_AgeCr,0)</f>
        <v>0</v>
      </c>
      <c r="AX241" s="20" t="n">
        <f aca="false">IF(AG241&gt;=PR_AgeCrAge,PR_AgeCr,0)</f>
        <v>0</v>
      </c>
      <c r="AY241" s="20" t="n">
        <f aca="false">IF(AND(F_RentCred=1,D241&lt;=PR_RentLast),1,0)</f>
        <v>0</v>
      </c>
      <c r="AZ241" s="20" t="n">
        <f aca="false">AS241+AT241</f>
        <v>82313.8178152434</v>
      </c>
      <c r="BA241" s="20" t="n">
        <f aca="false">PR_PersonalM+AU241+AV241+AW241+AX241+IF(AY241=1,PR_RentJoint,0)</f>
        <v>8000</v>
      </c>
      <c r="BB241" s="20" t="n">
        <f aca="false">PR_BandM+MIN(MIN(AS241,AT241),PR_Uplift)</f>
        <v>76554.9426630509</v>
      </c>
      <c r="BC241" s="20" t="n">
        <f aca="false">MAX(0,PR_r1*MIN(AZ241,BB241)+PR_r2*MAX(0,AZ241-BB241)-BA241)</f>
        <v>9614.53859348716</v>
      </c>
      <c r="BD241" s="20" t="n">
        <f aca="false">MAX(0,PR_HomeCarer-MAX(0,MIN(AS241,AT241)-PR_HCLimit)/2)</f>
        <v>0</v>
      </c>
      <c r="BE241" s="20" t="n">
        <f aca="false">IF(F_Carer=1,MIN(BC241,MAX(0,PR_r1*MIN(AZ241,PR_BandM)+PR_r2*MAX(0,AZ241-PR_BandM)-BA241-BD241)),BC241)</f>
        <v>9614.53859348716</v>
      </c>
      <c r="BF241" s="20" t="n">
        <f aca="false">IF(OR(C241&gt;=PR_AgeCrAge,AG241&gt;=PR_AgeCrAge),IF(AZ241&lt;=PR_AgeExM,0,MIN(BE241,PR_AgeMarg*(AZ241-PR_AgeExM))),BE241)</f>
        <v>9614.53859348716</v>
      </c>
      <c r="BG241" s="20" t="n">
        <f aca="false">MAX(0,PR_r1*MIN(AS241,IF(F_Spccc=1,PR_BandSPCCC,PR_Band))+PR_r2*MAX(0,AS241-IF(F_Spccc=1,PR_BandSPCCC,PR_Band))-(PR_Personal+AU241+AW241+IF(F_Spccc=1,PR_SPCCC,0)+IF(AY241=1,PR_Rent,0)))</f>
        <v>10703.550060877</v>
      </c>
      <c r="BH241" s="20" t="n">
        <f aca="false">IF(C241&gt;=PR_AgeCrAge,IF(AS241&lt;=PR_AgeEx,0,MIN(BG241,PR_AgeMarg*(AS241-PR_AgeEx))),BG241)</f>
        <v>10703.550060877</v>
      </c>
      <c r="BI241" s="20" t="n">
        <f aca="false">IF(F_Partner=1,MAX(0,PR_r1*MIN(AT241,PR_Band)+PR_r2*MAX(0,AT241-PR_Band)-(PR_Personal+AV241+AX241+IF(AND(AY241=1,AT241&gt;0),PR_Rent,0))),0)</f>
        <v>710.988532610182</v>
      </c>
      <c r="BJ241" s="20" t="n">
        <f aca="false">IF(AG241&gt;=PR_AgeCrAge,IF(AT241&lt;=PR_AgeEx,0,MIN(BI241,PR_AgeMarg*(AT241-PR_AgeEx))),BI241)</f>
        <v>710.988532610182</v>
      </c>
      <c r="BK241" s="20" t="n">
        <f aca="false">IF(F_Partner=1,IF(F_Married=1,BF241,BH241+BJ241),BH241)</f>
        <v>11414.5385934872</v>
      </c>
      <c r="BL241" s="20" t="n">
        <f aca="false">AL241+AN241+AO241</f>
        <v>62099.3942934979</v>
      </c>
      <c r="BM241" s="20" t="n">
        <f aca="false">IF(BL241&lt;=PR_USCex,0,IF(IF(AND(C241&gt;=PR_USCredAge,BL241&lt;=PR_USCredMax),1,0)=1,PR_USCr1*MIN(BL241,PR_USCredB1)+PR_USCredR2*MAX(0,BL241-PR_USCredB1),PR_USCr1*MIN(BL241,PR_USCb1)+PR_USCr2*MAX(0,MIN(BL241,PR_USCb2)-PR_USCb1)+PR_USCr3*MAX(0,MIN(BL241,PR_USCb3)-PR_USCb2)+PR_USCr4*MAX(0,BL241-PR_USCb3)))+IF(F_SelfEmp=1,PR_USCse*MAX(0,AL241-PR_USCseOver),0)</f>
        <v>1395.80182880494</v>
      </c>
      <c r="BN241" s="20" t="n">
        <f aca="false">AQ241</f>
        <v>23554.9426630509</v>
      </c>
      <c r="BO241" s="20" t="n">
        <f aca="false">IF(F_Partner=1,IF(BN241&lt;=PR_USCex,0,IF(IF(AND(AG241&gt;=PR_USCredAge,BN241&lt;=PR_USCredMax),1,0)=1,PR_USCr1*MIN(BN241,PR_USCredB1)+PR_USCredR2*MAX(0,BN241-PR_USCredB1),PR_USCr1*MIN(BN241,PR_USCb1)+PR_USCr2*MAX(0,MIN(BN241,PR_USCb2)-PR_USCb1)+PR_USCr3*MAX(0,MIN(BN241,PR_USCb3)-PR_USCb2)+PR_USCr4*MAX(0,BN241-PR_USCb3))),0)</f>
        <v>290.918853261018</v>
      </c>
      <c r="BP241" s="20" t="n">
        <f aca="false">IF(C241&lt;PR_PRSIend,IF(F_SelfEmp=1,IF(AL241&gt;PR_PRSIsMinInc,MAX(PR_PRSIsMin,AL241*J241),0),IF(AL241/52&lt;=PR_PRSIfree,0,MAX(0,(AL241/52*J241-IF(AL241/52&lt;=PR_PRSIcreditTo,MAX(0,PR_PRSIcreditMax-(AL241/52-(PR_PRSIfree+0.01))/PR_PRSItaper),0))*52)))+J241*AN241+IF(AO241&gt;PR_PRSIunearned,J241*AO241,0),0)</f>
        <v>2918.6715317944</v>
      </c>
      <c r="BQ241" s="20" t="n">
        <f aca="false">IF(AND(F_Partner=1,AG241&lt;PR_PRSIend),IF(AQ241/52&lt;=PR_PRSIfree,0,MAX(0,(AQ241/52*J241-IF(AQ241/52&lt;=PR_PRSIcreditTo,MAX(0,PR_PRSIcreditMax-(AQ241/52-(PR_PRSIfree+0.01))/PR_PRSItaper),0))*52)),0)</f>
        <v>1107.08230516339</v>
      </c>
      <c r="BR241" s="20" t="n">
        <f aca="false">BK241+BM241+BO241+BP241+BQ241</f>
        <v>17127.0131125109</v>
      </c>
      <c r="BS241" s="20" t="n">
        <f aca="false">BR241*H241</f>
        <v>19673.5544919826</v>
      </c>
      <c r="BT241" s="20" t="n">
        <f aca="false">K241+AK241+AC241+AF241+AH241+AI241</f>
        <v>98389.9092339896</v>
      </c>
    </row>
    <row r="242" customFormat="false" ht="15" hidden="false" customHeight="true" outlineLevel="0" collapsed="false">
      <c r="B242" s="20" t="n">
        <v>8</v>
      </c>
      <c r="C242" s="20" t="n">
        <f aca="false">F_Age+B242</f>
        <v>46</v>
      </c>
      <c r="D242" s="20" t="n">
        <f aca="false">AS_Year0+B242</f>
        <v>2035</v>
      </c>
      <c r="E242" s="44" t="n">
        <f aca="false">(1+AS_Infl)^B242</f>
        <v>1.17165938100227</v>
      </c>
      <c r="F242" s="44" t="n">
        <f aca="false">(1+AS_Wage)^B242</f>
        <v>1.26677008138762</v>
      </c>
      <c r="G242" s="20" t="n">
        <f aca="false">IF(C242&lt;F_R,1,0)</f>
        <v>1</v>
      </c>
      <c r="H242" s="44" t="n">
        <f aca="false">IF(AS_Bands="flat",1,E242)</f>
        <v>1.17165938100227</v>
      </c>
      <c r="I242" s="44" t="n">
        <f aca="false">IF(AS_SpGrow="pay",F242,IF(AS_SpGrow="flat",1,E242))</f>
        <v>1.17165938100227</v>
      </c>
      <c r="J242" s="44" t="n">
        <f aca="false">(12*PR_PRSIr0+(PR_PRSIr1-PR_PRSIr0)*MAX(0,MIN(12,D242*12+12-PR_PRSIt1))+(PR_PRSIr2-PR_PRSIr1)*MAX(0,MIN(12,D242*12+12-PR_PRSIt2))+(PR_PRSIr3-PR_PRSIr2)*MAX(0,MIN(12,D242*12+12-PR_PRSIt3)))/12</f>
        <v>0.047</v>
      </c>
      <c r="K242" s="20" t="n">
        <f aca="false">IF(G242=1,F_Income*F242,0)</f>
        <v>73472.6647204818</v>
      </c>
      <c r="L242" s="20" t="n">
        <f aca="false">IF(G242=1,(F_Own+In_penExtra)*12*F242,0)</f>
        <v>3952.32265392936</v>
      </c>
      <c r="M242" s="20" t="n">
        <f aca="false">IF(G242=1,(F_PenM+In_penExtra)*12*F242,0)</f>
        <v>7904.64530785873</v>
      </c>
      <c r="N242" s="45" t="n">
        <f aca="false">IF(C242&lt;PR_RelA1,PR_RelP1,IF(C242&lt;PR_RelA2,PR_RelP2,IF(C242&lt;PR_RelA3,PR_RelP3,IF(C242&lt;PR_RelA4,PR_RelP4,IF(C242&lt;PR_RelA5,PR_RelP5,PR_RelP6)))))</f>
        <v>0.25</v>
      </c>
      <c r="O242" s="20" t="n">
        <f aca="false">IF(G242=1,MIN(L242/H242,N242*MIN(K242/H242,PR_EarnCap))*H242,0)</f>
        <v>3952.32265392936</v>
      </c>
      <c r="P242" s="20" t="n">
        <f aca="false">IF(AND(G242=1,F_AE=1),MIN(K242/H242,PR_AEcap)*H242,0)</f>
        <v>0</v>
      </c>
      <c r="Q242" s="20" t="n">
        <f aca="false">IF(G242=1,IF(WI_Retire=1,MAX(0,M242+WI_M*12),M242)+(PR_AEee+PR_AEer+PR_AEst)*P242,0)</f>
        <v>7904.64530785873</v>
      </c>
      <c r="R242" s="20" t="n">
        <f aca="false">L242+PR_AEee*P242</f>
        <v>3952.32265392936</v>
      </c>
      <c r="S242" s="20" t="n">
        <f aca="false">AD241</f>
        <v>167008.745207016</v>
      </c>
      <c r="T242" s="20" t="n">
        <f aca="false">IF(D242&lt;=PR_SFTfrom,PR_SFT2026,IF(D242=PR_SFTfrom+1,PR_SFT2027,IF(D242=PR_SFTfrom+2,PR_SFT2028,IF(D242&lt;=PR_SFTto,PR_SFT2029,PR_SFT2029*(1+AS_Infl)^(D242-PR_SFTto)))))</f>
        <v>3153254.7739392</v>
      </c>
      <c r="U242" s="20" t="n">
        <f aca="false">IF(AND(G242=0,C242=F_V),1,0)</f>
        <v>0</v>
      </c>
      <c r="V242" s="20" t="n">
        <f aca="false">IF(U242=1,PR_SFTrate*MAX(0,S242-T242),0)</f>
        <v>0</v>
      </c>
      <c r="W242" s="20" t="n">
        <f aca="false">S242-V242</f>
        <v>167008.745207016</v>
      </c>
      <c r="X242" s="20" t="n">
        <f aca="false">IF(AND(U242=1,AS_LumpPct&gt;0),W242*MIN(AS_LumpPct,PR_LSmax),0)</f>
        <v>0</v>
      </c>
      <c r="Y242" s="20" t="n">
        <f aca="false">X242-(PR_LSrate*MAX(0,MIN(X242,PR_LScap)-PR_LSfree)+PR_r2*MAX(0,X242-PR_LScap))</f>
        <v>0</v>
      </c>
      <c r="Z242" s="20" t="n">
        <f aca="false">W242-X242</f>
        <v>167008.745207016</v>
      </c>
      <c r="AA242" s="45" t="n">
        <f aca="false">IF(C242&gt;=PR_ARFage1,IF(Z242&gt;PR_ARFbig,PR_ARFbigRate,IF(C242&gt;=PR_ARFage2,PR_ARF71,PR_ARF61)),0)</f>
        <v>0</v>
      </c>
      <c r="AB242" s="20" t="n">
        <f aca="false">IF(AS_DrawRule="min",Z242*AA242,IF(AS_DrawRule="fixed",MAX(AS_DrawFixed*E242,Z242*AA242),Z242*MAX(1/MAX(1,AS_End-C242+1),AA242)))</f>
        <v>3340.17490414033</v>
      </c>
      <c r="AC242" s="20" t="n">
        <f aca="false">IF(AND(G242=0,C242&gt;=F_V),MIN(Z242,AB242),0)</f>
        <v>0</v>
      </c>
      <c r="AD242" s="20" t="n">
        <f aca="false">IF(G242=1,S242*(1+F_PenG)+Q242,IF(C242&lt;F_V,S242*(1+F_PenG),(Z242-AC242)*(1+AS_PenRet)))</f>
        <v>182428.784049191</v>
      </c>
      <c r="AE242" s="20" t="n">
        <f aca="false">IF(C242&gt;=PR_SPage,AS_SP*F_SpF*I242+IF(AND(C242&gt;=PR_Over80Age,F_SpF&gt;0),PR_Over80*PR_Weeks*I242,0),0)</f>
        <v>0</v>
      </c>
      <c r="AF242" s="20" t="n">
        <f aca="false">(F_OtherM+F_RentM)*12*E242</f>
        <v>0</v>
      </c>
      <c r="AG242" s="20" t="n">
        <f aca="false">F_PAge+B242</f>
        <v>45</v>
      </c>
      <c r="AH242" s="20" t="n">
        <f aca="false">IF(AND(F_Partner=1,F_PAge&gt;0,AG242&lt;IF(F_PRet&gt;0,F_PRet,PR_SPage)),F_PIncome*F242,0)</f>
        <v>27868.9417905276</v>
      </c>
      <c r="AI242" s="20" t="n">
        <f aca="false">IF(AND(F_Partner=1,AG242&gt;=PR_SPage,F_PSpQA=0),AS_SP*F_PSpF*I242,0)</f>
        <v>0</v>
      </c>
      <c r="AJ242" s="20" t="n">
        <f aca="false">IF(AND(F_Partner=1,F_PSpQA=1,C242&gt;=PR_SPage,AH242=0),IF(AG242&gt;=PR_SPage,PR_QA66,PR_QAunder)*PR_Weeks*I242,0)</f>
        <v>0</v>
      </c>
      <c r="AK242" s="20" t="n">
        <f aca="false">AE242+AJ242</f>
        <v>0</v>
      </c>
      <c r="AL242" s="20" t="n">
        <f aca="false">K242/H242</f>
        <v>62708.2118846106</v>
      </c>
      <c r="AM242" s="20" t="n">
        <f aca="false">AK242/H242</f>
        <v>0</v>
      </c>
      <c r="AN242" s="20" t="n">
        <f aca="false">AC242/H242</f>
        <v>0</v>
      </c>
      <c r="AO242" s="20" t="n">
        <f aca="false">AF242/H242</f>
        <v>0</v>
      </c>
      <c r="AP242" s="20" t="n">
        <f aca="false">O242/H242</f>
        <v>3373.26932896526</v>
      </c>
      <c r="AQ242" s="20" t="n">
        <f aca="false">AH242/H242</f>
        <v>23785.873473473</v>
      </c>
      <c r="AR242" s="20" t="n">
        <f aca="false">AI242/H242</f>
        <v>0</v>
      </c>
      <c r="AS242" s="20" t="n">
        <f aca="false">MAX(0,AL242+AN242+AO242+AM242-AP242)</f>
        <v>59334.9425556453</v>
      </c>
      <c r="AT242" s="20" t="n">
        <f aca="false">MAX(0,AQ242+AR242)</f>
        <v>23785.873473473</v>
      </c>
      <c r="AU242" s="20" t="n">
        <f aca="false">MIN(PR_PAYE,PR_PAYEcap*(AL242+AN242+AM242))</f>
        <v>2000</v>
      </c>
      <c r="AV242" s="20" t="n">
        <f aca="false">MIN(PR_PAYE,PR_PAYEcap*(AQ242+AR242))</f>
        <v>2000</v>
      </c>
      <c r="AW242" s="20" t="n">
        <f aca="false">IF(C242&gt;=PR_AgeCrAge,PR_AgeCr,0)</f>
        <v>0</v>
      </c>
      <c r="AX242" s="20" t="n">
        <f aca="false">IF(AG242&gt;=PR_AgeCrAge,PR_AgeCr,0)</f>
        <v>0</v>
      </c>
      <c r="AY242" s="20" t="n">
        <f aca="false">IF(AND(F_RentCred=1,D242&lt;=PR_RentLast),1,0)</f>
        <v>0</v>
      </c>
      <c r="AZ242" s="20" t="n">
        <f aca="false">AS242+AT242</f>
        <v>83120.8160291183</v>
      </c>
      <c r="BA242" s="20" t="n">
        <f aca="false">PR_PersonalM+AU242+AV242+AW242+AX242+IF(AY242=1,PR_RentJoint,0)</f>
        <v>8000</v>
      </c>
      <c r="BB242" s="20" t="n">
        <f aca="false">PR_BandM+MIN(MIN(AS242,AT242),PR_Uplift)</f>
        <v>76785.873473473</v>
      </c>
      <c r="BC242" s="20" t="n">
        <f aca="false">MAX(0,PR_r1*MIN(AZ242,BB242)+PR_r2*MAX(0,AZ242-BB242)-BA242)</f>
        <v>9891.15171695273</v>
      </c>
      <c r="BD242" s="20" t="n">
        <f aca="false">MAX(0,PR_HomeCarer-MAX(0,MIN(AS242,AT242)-PR_HCLimit)/2)</f>
        <v>0</v>
      </c>
      <c r="BE242" s="20" t="n">
        <f aca="false">IF(F_Carer=1,MIN(BC242,MAX(0,PR_r1*MIN(AZ242,PR_BandM)+PR_r2*MAX(0,AZ242-PR_BandM)-BA242-BD242)),BC242)</f>
        <v>9891.15171695273</v>
      </c>
      <c r="BF242" s="20" t="n">
        <f aca="false">IF(OR(C242&gt;=PR_AgeCrAge,AG242&gt;=PR_AgeCrAge),IF(AZ242&lt;=PR_AgeExM,0,MIN(BE242,PR_AgeMarg*(AZ242-PR_AgeExM))),BE242)</f>
        <v>9891.15171695273</v>
      </c>
      <c r="BG242" s="20" t="n">
        <f aca="false">MAX(0,PR_r1*MIN(AS242,IF(F_Spccc=1,PR_BandSPCCC,PR_Band))+PR_r2*MAX(0,AS242-IF(F_Spccc=1,PR_BandSPCCC,PR_Band))-(PR_Personal+AU242+AW242+IF(F_Spccc=1,PR_SPCCC,0)+IF(AY242=1,PR_Rent,0)))</f>
        <v>10933.9770222581</v>
      </c>
      <c r="BH242" s="20" t="n">
        <f aca="false">IF(C242&gt;=PR_AgeCrAge,IF(AS242&lt;=PR_AgeEx,0,MIN(BG242,PR_AgeMarg*(AS242-PR_AgeEx))),BG242)</f>
        <v>10933.9770222581</v>
      </c>
      <c r="BI242" s="20" t="n">
        <f aca="false">IF(F_Partner=1,MAX(0,PR_r1*MIN(AT242,PR_Band)+PR_r2*MAX(0,AT242-PR_Band)-(PR_Personal+AV242+AX242+IF(AND(AY242=1,AT242&gt;0),PR_Rent,0))),0)</f>
        <v>757.174694694596</v>
      </c>
      <c r="BJ242" s="20" t="n">
        <f aca="false">IF(AG242&gt;=PR_AgeCrAge,IF(AT242&lt;=PR_AgeEx,0,MIN(BI242,PR_AgeMarg*(AT242-PR_AgeEx))),BI242)</f>
        <v>757.174694694596</v>
      </c>
      <c r="BK242" s="20" t="n">
        <f aca="false">IF(F_Partner=1,IF(F_Married=1,BF242,BH242+BJ242),BH242)</f>
        <v>11691.1517169527</v>
      </c>
      <c r="BL242" s="20" t="n">
        <f aca="false">AL242+AN242+AO242</f>
        <v>62708.2118846106</v>
      </c>
      <c r="BM242" s="20" t="n">
        <f aca="false">IF(BL242&lt;=PR_USCex,0,IF(IF(AND(C242&gt;=PR_USCredAge,BL242&lt;=PR_USCredMax),1,0)=1,PR_USCr1*MIN(BL242,PR_USCredB1)+PR_USCredR2*MAX(0,BL242-PR_USCredB1),PR_USCr1*MIN(BL242,PR_USCb1)+PR_USCr2*MAX(0,MIN(BL242,PR_USCb2)-PR_USCb1)+PR_USCr3*MAX(0,MIN(BL242,PR_USCb3)-PR_USCb2)+PR_USCr4*MAX(0,BL242-PR_USCb3)))+IF(F_SelfEmp=1,PR_USCse*MAX(0,AL242-PR_USCseOver),0)</f>
        <v>1414.06635653832</v>
      </c>
      <c r="BN242" s="20" t="n">
        <f aca="false">AQ242</f>
        <v>23785.873473473</v>
      </c>
      <c r="BO242" s="20" t="n">
        <f aca="false">IF(F_Partner=1,IF(BN242&lt;=PR_USCex,0,IF(IF(AND(AG242&gt;=PR_USCredAge,BN242&lt;=PR_USCredMax),1,0)=1,PR_USCr1*MIN(BN242,PR_USCredB1)+PR_USCredR2*MAX(0,BN242-PR_USCredB1),PR_USCr1*MIN(BN242,PR_USCb1)+PR_USCr2*MAX(0,MIN(BN242,PR_USCb2)-PR_USCb1)+PR_USCr3*MAX(0,MIN(BN242,PR_USCb3)-PR_USCb2)+PR_USCr4*MAX(0,BN242-PR_USCb3))),0)</f>
        <v>295.53746946946</v>
      </c>
      <c r="BP242" s="20" t="n">
        <f aca="false">IF(C242&lt;PR_PRSIend,IF(F_SelfEmp=1,IF(AL242&gt;PR_PRSIsMinInc,MAX(PR_PRSIsMin,AL242*J242),0),IF(AL242/52&lt;=PR_PRSIfree,0,MAX(0,(AL242/52*J242-IF(AL242/52&lt;=PR_PRSIcreditTo,MAX(0,PR_PRSIcreditMax-(AL242/52-(PR_PRSIfree+0.01))/PR_PRSItaper),0))*52)))+J242*AN242+IF(AO242&gt;PR_PRSIunearned,J242*AO242,0),0)</f>
        <v>2947.2859585767</v>
      </c>
      <c r="BQ242" s="20" t="n">
        <f aca="false">IF(AND(F_Partner=1,AG242&lt;PR_PRSIend),IF(AQ242/52&lt;=PR_PRSIfree,0,MAX(0,(AQ242/52*J242-IF(AQ242/52&lt;=PR_PRSIcreditTo,MAX(0,PR_PRSIcreditMax-(AQ242/52-(PR_PRSIfree+0.01))/PR_PRSItaper),0))*52)),0)</f>
        <v>1117.93605325323</v>
      </c>
      <c r="BR242" s="20" t="n">
        <f aca="false">BK242+BM242+BO242+BP242+BQ242</f>
        <v>17465.9775547904</v>
      </c>
      <c r="BS242" s="20" t="n">
        <f aca="false">BR242*H242</f>
        <v>20464.1764504452</v>
      </c>
      <c r="BT242" s="20" t="n">
        <f aca="false">K242+AK242+AC242+AF242+AH242+AI242</f>
        <v>101341.606511009</v>
      </c>
    </row>
    <row r="243" customFormat="false" ht="15" hidden="false" customHeight="true" outlineLevel="0" collapsed="false">
      <c r="B243" s="20" t="n">
        <v>9</v>
      </c>
      <c r="C243" s="20" t="n">
        <f aca="false">F_Age+B243</f>
        <v>47</v>
      </c>
      <c r="D243" s="20" t="n">
        <f aca="false">AS_Year0+B243</f>
        <v>2036</v>
      </c>
      <c r="E243" s="44" t="n">
        <f aca="false">(1+AS_Infl)^B243</f>
        <v>1.19509256862231</v>
      </c>
      <c r="F243" s="44" t="n">
        <f aca="false">(1+AS_Wage)^B243</f>
        <v>1.30477318382925</v>
      </c>
      <c r="G243" s="20" t="n">
        <f aca="false">IF(C243&lt;F_R,1,0)</f>
        <v>1</v>
      </c>
      <c r="H243" s="44" t="n">
        <f aca="false">IF(AS_Bands="flat",1,E243)</f>
        <v>1.19509256862231</v>
      </c>
      <c r="I243" s="44" t="n">
        <f aca="false">IF(AS_SpGrow="pay",F243,IF(AS_SpGrow="flat",1,E243))</f>
        <v>1.19509256862231</v>
      </c>
      <c r="J243" s="44" t="n">
        <f aca="false">(12*PR_PRSIr0+(PR_PRSIr1-PR_PRSIr0)*MAX(0,MIN(12,D243*12+12-PR_PRSIt1))+(PR_PRSIr2-PR_PRSIr1)*MAX(0,MIN(12,D243*12+12-PR_PRSIt2))+(PR_PRSIr3-PR_PRSIr2)*MAX(0,MIN(12,D243*12+12-PR_PRSIt3)))/12</f>
        <v>0.047</v>
      </c>
      <c r="K243" s="20" t="n">
        <f aca="false">IF(G243=1,F_Income*F243,0)</f>
        <v>75676.8446620962</v>
      </c>
      <c r="L243" s="20" t="n">
        <f aca="false">IF(G243=1,(F_Own+In_penExtra)*12*F243,0)</f>
        <v>4070.89233354724</v>
      </c>
      <c r="M243" s="20" t="n">
        <f aca="false">IF(G243=1,(F_PenM+In_penExtra)*12*F243,0)</f>
        <v>8141.78466709449</v>
      </c>
      <c r="N243" s="45" t="n">
        <f aca="false">IF(C243&lt;PR_RelA1,PR_RelP1,IF(C243&lt;PR_RelA2,PR_RelP2,IF(C243&lt;PR_RelA3,PR_RelP3,IF(C243&lt;PR_RelA4,PR_RelP4,IF(C243&lt;PR_RelA5,PR_RelP5,PR_RelP6)))))</f>
        <v>0.25</v>
      </c>
      <c r="O243" s="20" t="n">
        <f aca="false">IF(G243=1,MIN(L243/H243,N243*MIN(K243/H243,PR_EarnCap))*H243,0)</f>
        <v>4070.89233354724</v>
      </c>
      <c r="P243" s="20" t="n">
        <f aca="false">IF(AND(G243=1,F_AE=1),MIN(K243/H243,PR_AEcap)*H243,0)</f>
        <v>0</v>
      </c>
      <c r="Q243" s="20" t="n">
        <f aca="false">IF(G243=1,IF(WI_Retire=1,MAX(0,M243+WI_M*12),M243)+(PR_AEee+PR_AEer+PR_AEst)*P243,0)</f>
        <v>8141.78466709449</v>
      </c>
      <c r="R243" s="20" t="n">
        <f aca="false">L243+PR_AEee*P243</f>
        <v>4070.89233354724</v>
      </c>
      <c r="S243" s="20" t="n">
        <f aca="false">AD242</f>
        <v>182428.784049191</v>
      </c>
      <c r="T243" s="20" t="n">
        <f aca="false">IF(D243&lt;=PR_SFTfrom,PR_SFT2026,IF(D243=PR_SFTfrom+1,PR_SFT2027,IF(D243=PR_SFTfrom+2,PR_SFT2028,IF(D243&lt;=PR_SFTto,PR_SFT2029,PR_SFT2029*(1+AS_Infl)^(D243-PR_SFTto)))))</f>
        <v>3216319.86941798</v>
      </c>
      <c r="U243" s="20" t="n">
        <f aca="false">IF(AND(G243=0,C243=F_V),1,0)</f>
        <v>0</v>
      </c>
      <c r="V243" s="20" t="n">
        <f aca="false">IF(U243=1,PR_SFTrate*MAX(0,S243-T243),0)</f>
        <v>0</v>
      </c>
      <c r="W243" s="20" t="n">
        <f aca="false">S243-V243</f>
        <v>182428.784049191</v>
      </c>
      <c r="X243" s="20" t="n">
        <f aca="false">IF(AND(U243=1,AS_LumpPct&gt;0),W243*MIN(AS_LumpPct,PR_LSmax),0)</f>
        <v>0</v>
      </c>
      <c r="Y243" s="20" t="n">
        <f aca="false">X243-(PR_LSrate*MAX(0,MIN(X243,PR_LScap)-PR_LSfree)+PR_r2*MAX(0,X243-PR_LScap))</f>
        <v>0</v>
      </c>
      <c r="Z243" s="20" t="n">
        <f aca="false">W243-X243</f>
        <v>182428.784049191</v>
      </c>
      <c r="AA243" s="45" t="n">
        <f aca="false">IF(C243&gt;=PR_ARFage1,IF(Z243&gt;PR_ARFbig,PR_ARFbigRate,IF(C243&gt;=PR_ARFage2,PR_ARF71,PR_ARF61)),0)</f>
        <v>0</v>
      </c>
      <c r="AB243" s="20" t="n">
        <f aca="false">IF(AS_DrawRule="min",Z243*AA243,IF(AS_DrawRule="fixed",MAX(AS_DrawFixed*E243,Z243*AA243),Z243*MAX(1/MAX(1,AS_End-C243+1),AA243)))</f>
        <v>3723.03640916716</v>
      </c>
      <c r="AC243" s="20" t="n">
        <f aca="false">IF(AND(G243=0,C243&gt;=F_V),MIN(Z243,AB243),0)</f>
        <v>0</v>
      </c>
      <c r="AD243" s="20" t="n">
        <f aca="false">IF(G243=1,S243*(1+F_PenG)+Q243,IF(C243&lt;F_V,S243*(1+F_PenG),(Z243-AC243)*(1+AS_PenRet)))</f>
        <v>198779.863998499</v>
      </c>
      <c r="AE243" s="20" t="n">
        <f aca="false">IF(C243&gt;=PR_SPage,AS_SP*F_SpF*I243+IF(AND(C243&gt;=PR_Over80Age,F_SpF&gt;0),PR_Over80*PR_Weeks*I243,0),0)</f>
        <v>0</v>
      </c>
      <c r="AF243" s="20" t="n">
        <f aca="false">(F_OtherM+F_RentM)*12*E243</f>
        <v>0</v>
      </c>
      <c r="AG243" s="20" t="n">
        <f aca="false">F_PAge+B243</f>
        <v>46</v>
      </c>
      <c r="AH243" s="20" t="n">
        <f aca="false">IF(AND(F_Partner=1,F_PAge&gt;0,AG243&lt;IF(F_PRet&gt;0,F_PRet,PR_SPage)),F_PIncome*F243,0)</f>
        <v>28705.0100442434</v>
      </c>
      <c r="AI243" s="20" t="n">
        <f aca="false">IF(AND(F_Partner=1,AG243&gt;=PR_SPage,F_PSpQA=0),AS_SP*F_PSpF*I243,0)</f>
        <v>0</v>
      </c>
      <c r="AJ243" s="20" t="n">
        <f aca="false">IF(AND(F_Partner=1,F_PSpQA=1,C243&gt;=PR_SPage,AH243=0),IF(AG243&gt;=PR_SPage,PR_QA66,PR_QAunder)*PR_Weeks*I243,0)</f>
        <v>0</v>
      </c>
      <c r="AK243" s="20" t="n">
        <f aca="false">AE243+AJ243</f>
        <v>0</v>
      </c>
      <c r="AL243" s="20" t="n">
        <f aca="false">K243/H243</f>
        <v>63322.9982756362</v>
      </c>
      <c r="AM243" s="20" t="n">
        <f aca="false">AK243/H243</f>
        <v>0</v>
      </c>
      <c r="AN243" s="20" t="n">
        <f aca="false">AC243/H243</f>
        <v>0</v>
      </c>
      <c r="AO243" s="20" t="n">
        <f aca="false">AF243/H243</f>
        <v>0</v>
      </c>
      <c r="AP243" s="20" t="n">
        <f aca="false">O243/H243</f>
        <v>3406.34059689629</v>
      </c>
      <c r="AQ243" s="20" t="n">
        <f aca="false">AH243/H243</f>
        <v>24019.0683114482</v>
      </c>
      <c r="AR243" s="20" t="n">
        <f aca="false">AI243/H243</f>
        <v>0</v>
      </c>
      <c r="AS243" s="20" t="n">
        <f aca="false">MAX(0,AL243+AN243+AO243+AM243-AP243)</f>
        <v>59916.6576787399</v>
      </c>
      <c r="AT243" s="20" t="n">
        <f aca="false">MAX(0,AQ243+AR243)</f>
        <v>24019.0683114482</v>
      </c>
      <c r="AU243" s="20" t="n">
        <f aca="false">MIN(PR_PAYE,PR_PAYEcap*(AL243+AN243+AM243))</f>
        <v>2000</v>
      </c>
      <c r="AV243" s="20" t="n">
        <f aca="false">MIN(PR_PAYE,PR_PAYEcap*(AQ243+AR243))</f>
        <v>2000</v>
      </c>
      <c r="AW243" s="20" t="n">
        <f aca="false">IF(C243&gt;=PR_AgeCrAge,PR_AgeCr,0)</f>
        <v>0</v>
      </c>
      <c r="AX243" s="20" t="n">
        <f aca="false">IF(AG243&gt;=PR_AgeCrAge,PR_AgeCr,0)</f>
        <v>0</v>
      </c>
      <c r="AY243" s="20" t="n">
        <f aca="false">IF(AND(F_RentCred=1,D243&lt;=PR_RentLast),1,0)</f>
        <v>0</v>
      </c>
      <c r="AZ243" s="20" t="n">
        <f aca="false">AS243+AT243</f>
        <v>83935.7259901881</v>
      </c>
      <c r="BA243" s="20" t="n">
        <f aca="false">PR_PersonalM+AU243+AV243+AW243+AX243+IF(AY243=1,PR_RentJoint,0)</f>
        <v>8000</v>
      </c>
      <c r="BB243" s="20" t="n">
        <f aca="false">PR_BandM+MIN(MIN(AS243,AT243),PR_Uplift)</f>
        <v>77019.0683114482</v>
      </c>
      <c r="BC243" s="20" t="n">
        <f aca="false">MAX(0,PR_r1*MIN(AZ243,BB243)+PR_r2*MAX(0,AZ243-BB243)-BA243)</f>
        <v>10170.4767337856</v>
      </c>
      <c r="BD243" s="20" t="n">
        <f aca="false">MAX(0,PR_HomeCarer-MAX(0,MIN(AS243,AT243)-PR_HCLimit)/2)</f>
        <v>0</v>
      </c>
      <c r="BE243" s="20" t="n">
        <f aca="false">IF(F_Carer=1,MIN(BC243,MAX(0,PR_r1*MIN(AZ243,PR_BandM)+PR_r2*MAX(0,AZ243-PR_BandM)-BA243-BD243)),BC243)</f>
        <v>10170.4767337856</v>
      </c>
      <c r="BF243" s="20" t="n">
        <f aca="false">IF(OR(C243&gt;=PR_AgeCrAge,AG243&gt;=PR_AgeCrAge),IF(AZ243&lt;=PR_AgeExM,0,MIN(BE243,PR_AgeMarg*(AZ243-PR_AgeExM))),BE243)</f>
        <v>10170.4767337856</v>
      </c>
      <c r="BG243" s="20" t="n">
        <f aca="false">MAX(0,PR_r1*MIN(AS243,IF(F_Spccc=1,PR_BandSPCCC,PR_Band))+PR_r2*MAX(0,AS243-IF(F_Spccc=1,PR_BandSPCCC,PR_Band))-(PR_Personal+AU243+AW243+IF(F_Spccc=1,PR_SPCCC,0)+IF(AY243=1,PR_Rent,0)))</f>
        <v>11166.663071496</v>
      </c>
      <c r="BH243" s="20" t="n">
        <f aca="false">IF(C243&gt;=PR_AgeCrAge,IF(AS243&lt;=PR_AgeEx,0,MIN(BG243,PR_AgeMarg*(AS243-PR_AgeEx))),BG243)</f>
        <v>11166.663071496</v>
      </c>
      <c r="BI243" s="20" t="n">
        <f aca="false">IF(F_Partner=1,MAX(0,PR_r1*MIN(AT243,PR_Band)+PR_r2*MAX(0,AT243-PR_Band)-(PR_Personal+AV243+AX243+IF(AND(AY243=1,AT243&gt;0),PR_Rent,0))),0)</f>
        <v>803.813662289641</v>
      </c>
      <c r="BJ243" s="20" t="n">
        <f aca="false">IF(AG243&gt;=PR_AgeCrAge,IF(AT243&lt;=PR_AgeEx,0,MIN(BI243,PR_AgeMarg*(AT243-PR_AgeEx))),BI243)</f>
        <v>803.813662289641</v>
      </c>
      <c r="BK243" s="20" t="n">
        <f aca="false">IF(F_Partner=1,IF(F_Married=1,BF243,BH243+BJ243),BH243)</f>
        <v>11970.4767337856</v>
      </c>
      <c r="BL243" s="20" t="n">
        <f aca="false">AL243+AN243+AO243</f>
        <v>63322.9982756362</v>
      </c>
      <c r="BM243" s="20" t="n">
        <f aca="false">IF(BL243&lt;=PR_USCex,0,IF(IF(AND(C243&gt;=PR_USCredAge,BL243&lt;=PR_USCredMax),1,0)=1,PR_USCr1*MIN(BL243,PR_USCredB1)+PR_USCredR2*MAX(0,BL243-PR_USCredB1),PR_USCr1*MIN(BL243,PR_USCb1)+PR_USCr2*MAX(0,MIN(BL243,PR_USCb2)-PR_USCb1)+PR_USCr3*MAX(0,MIN(BL243,PR_USCb3)-PR_USCb2)+PR_USCr4*MAX(0,BL243-PR_USCb3)))+IF(F_SelfEmp=1,PR_USCse*MAX(0,AL243-PR_USCseOver),0)</f>
        <v>1432.50994826909</v>
      </c>
      <c r="BN243" s="20" t="n">
        <f aca="false">AQ243</f>
        <v>24019.0683114482</v>
      </c>
      <c r="BO243" s="20" t="n">
        <f aca="false">IF(F_Partner=1,IF(BN243&lt;=PR_USCex,0,IF(IF(AND(AG243&gt;=PR_USCredAge,BN243&lt;=PR_USCredMax),1,0)=1,PR_USCr1*MIN(BN243,PR_USCredB1)+PR_USCredR2*MAX(0,BN243-PR_USCredB1),PR_USCr1*MIN(BN243,PR_USCb1)+PR_USCr2*MAX(0,MIN(BN243,PR_USCb2)-PR_USCb1)+PR_USCr3*MAX(0,MIN(BN243,PR_USCb3)-PR_USCb2)+PR_USCr4*MAX(0,BN243-PR_USCb3))),0)</f>
        <v>300.201366228964</v>
      </c>
      <c r="BP243" s="20" t="n">
        <f aca="false">IF(C243&lt;PR_PRSIend,IF(F_SelfEmp=1,IF(AL243&gt;PR_PRSIsMinInc,MAX(PR_PRSIsMin,AL243*J243),0),IF(AL243/52&lt;=PR_PRSIfree,0,MAX(0,(AL243/52*J243-IF(AL243/52&lt;=PR_PRSIcreditTo,MAX(0,PR_PRSIcreditMax-(AL243/52-(PR_PRSIfree+0.01))/PR_PRSItaper),0))*52)))+J243*AN243+IF(AO243&gt;PR_PRSIunearned,J243*AO243,0),0)</f>
        <v>2976.1809189549</v>
      </c>
      <c r="BQ243" s="20" t="n">
        <f aca="false">IF(AND(F_Partner=1,AG243&lt;PR_PRSIend),IF(AQ243/52&lt;=PR_PRSIfree,0,MAX(0,(AQ243/52*J243-IF(AQ243/52&lt;=PR_PRSIcreditTo,MAX(0,PR_PRSIcreditMax-(AQ243/52-(PR_PRSIfree+0.01))/PR_PRSItaper),0))*52)),0)</f>
        <v>1128.89621063807</v>
      </c>
      <c r="BR243" s="20" t="n">
        <f aca="false">BK243+BM243+BO243+BP243+BQ243</f>
        <v>17808.2651778766</v>
      </c>
      <c r="BS243" s="20" t="n">
        <f aca="false">BR243*H243</f>
        <v>21282.5253741358</v>
      </c>
      <c r="BT243" s="20" t="n">
        <f aca="false">K243+AK243+AC243+AF243+AH243+AI243</f>
        <v>104381.85470634</v>
      </c>
    </row>
    <row r="244" customFormat="false" ht="15" hidden="false" customHeight="true" outlineLevel="0" collapsed="false">
      <c r="B244" s="20" t="n">
        <v>10</v>
      </c>
      <c r="C244" s="20" t="n">
        <f aca="false">F_Age+B244</f>
        <v>48</v>
      </c>
      <c r="D244" s="20" t="n">
        <f aca="false">AS_Year0+B244</f>
        <v>2037</v>
      </c>
      <c r="E244" s="44" t="n">
        <f aca="false">(1+AS_Infl)^B244</f>
        <v>1.21899441999476</v>
      </c>
      <c r="F244" s="44" t="n">
        <f aca="false">(1+AS_Wage)^B244</f>
        <v>1.34391637934412</v>
      </c>
      <c r="G244" s="20" t="n">
        <f aca="false">IF(C244&lt;F_R,1,0)</f>
        <v>1</v>
      </c>
      <c r="H244" s="44" t="n">
        <f aca="false">IF(AS_Bands="flat",1,E244)</f>
        <v>1.21899441999476</v>
      </c>
      <c r="I244" s="44" t="n">
        <f aca="false">IF(AS_SpGrow="pay",F244,IF(AS_SpGrow="flat",1,E244))</f>
        <v>1.21899441999476</v>
      </c>
      <c r="J244" s="44" t="n">
        <f aca="false">(12*PR_PRSIr0+(PR_PRSIr1-PR_PRSIr0)*MAX(0,MIN(12,D244*12+12-PR_PRSIt1))+(PR_PRSIr2-PR_PRSIr1)*MAX(0,MIN(12,D244*12+12-PR_PRSIt2))+(PR_PRSIr3-PR_PRSIr2)*MAX(0,MIN(12,D244*12+12-PR_PRSIt3)))/12</f>
        <v>0.047</v>
      </c>
      <c r="K244" s="20" t="n">
        <f aca="false">IF(G244=1,F_Income*F244,0)</f>
        <v>77947.1500019591</v>
      </c>
      <c r="L244" s="20" t="n">
        <f aca="false">IF(G244=1,(F_Own+In_penExtra)*12*F244,0)</f>
        <v>4193.01910355366</v>
      </c>
      <c r="M244" s="20" t="n">
        <f aca="false">IF(G244=1,(F_PenM+In_penExtra)*12*F244,0)</f>
        <v>8386.03820710732</v>
      </c>
      <c r="N244" s="45" t="n">
        <f aca="false">IF(C244&lt;PR_RelA1,PR_RelP1,IF(C244&lt;PR_RelA2,PR_RelP2,IF(C244&lt;PR_RelA3,PR_RelP3,IF(C244&lt;PR_RelA4,PR_RelP4,IF(C244&lt;PR_RelA5,PR_RelP5,PR_RelP6)))))</f>
        <v>0.25</v>
      </c>
      <c r="O244" s="20" t="n">
        <f aca="false">IF(G244=1,MIN(L244/H244,N244*MIN(K244/H244,PR_EarnCap))*H244,0)</f>
        <v>4193.01910355366</v>
      </c>
      <c r="P244" s="20" t="n">
        <f aca="false">IF(AND(G244=1,F_AE=1),MIN(K244/H244,PR_AEcap)*H244,0)</f>
        <v>0</v>
      </c>
      <c r="Q244" s="20" t="n">
        <f aca="false">IF(G244=1,IF(WI_Retire=1,MAX(0,M244+WI_M*12),M244)+(PR_AEee+PR_AEer+PR_AEst)*P244,0)</f>
        <v>8386.03820710732</v>
      </c>
      <c r="R244" s="20" t="n">
        <f aca="false">L244+PR_AEee*P244</f>
        <v>4193.01910355366</v>
      </c>
      <c r="S244" s="20" t="n">
        <f aca="false">AD243</f>
        <v>198779.863998499</v>
      </c>
      <c r="T244" s="20" t="n">
        <f aca="false">IF(D244&lt;=PR_SFTfrom,PR_SFT2026,IF(D244=PR_SFTfrom+1,PR_SFT2027,IF(D244=PR_SFTfrom+2,PR_SFT2028,IF(D244&lt;=PR_SFTto,PR_SFT2029,PR_SFT2029*(1+AS_Infl)^(D244-PR_SFTto)))))</f>
        <v>3280646.26680634</v>
      </c>
      <c r="U244" s="20" t="n">
        <f aca="false">IF(AND(G244=0,C244=F_V),1,0)</f>
        <v>0</v>
      </c>
      <c r="V244" s="20" t="n">
        <f aca="false">IF(U244=1,PR_SFTrate*MAX(0,S244-T244),0)</f>
        <v>0</v>
      </c>
      <c r="W244" s="20" t="n">
        <f aca="false">S244-V244</f>
        <v>198779.863998499</v>
      </c>
      <c r="X244" s="20" t="n">
        <f aca="false">IF(AND(U244=1,AS_LumpPct&gt;0),W244*MIN(AS_LumpPct,PR_LSmax),0)</f>
        <v>0</v>
      </c>
      <c r="Y244" s="20" t="n">
        <f aca="false">X244-(PR_LSrate*MAX(0,MIN(X244,PR_LScap)-PR_LSfree)+PR_r2*MAX(0,X244-PR_LScap))</f>
        <v>0</v>
      </c>
      <c r="Z244" s="20" t="n">
        <f aca="false">W244-X244</f>
        <v>198779.863998499</v>
      </c>
      <c r="AA244" s="45" t="n">
        <f aca="false">IF(C244&gt;=PR_ARFage1,IF(Z244&gt;PR_ARFbig,PR_ARFbigRate,IF(C244&gt;=PR_ARFage2,PR_ARF71,PR_ARF61)),0)</f>
        <v>0</v>
      </c>
      <c r="AB244" s="20" t="n">
        <f aca="false">IF(AS_DrawRule="min",Z244*AA244,IF(AS_DrawRule="fixed",MAX(AS_DrawFixed*E244,Z244*AA244),Z244*MAX(1/MAX(1,AS_End-C244+1),AA244)))</f>
        <v>4141.2471666354</v>
      </c>
      <c r="AC244" s="20" t="n">
        <f aca="false">IF(AND(G244=0,C244&gt;=F_V),MIN(Z244,AB244),0)</f>
        <v>0</v>
      </c>
      <c r="AD244" s="20" t="n">
        <f aca="false">IF(G244=1,S244*(1+F_PenG)+Q244,IF(C244&lt;F_V,S244*(1+F_PenG),(Z244-AC244)*(1+AS_PenRet)))</f>
        <v>216110.996085539</v>
      </c>
      <c r="AE244" s="20" t="n">
        <f aca="false">IF(C244&gt;=PR_SPage,AS_SP*F_SpF*I244+IF(AND(C244&gt;=PR_Over80Age,F_SpF&gt;0),PR_Over80*PR_Weeks*I244,0),0)</f>
        <v>0</v>
      </c>
      <c r="AF244" s="20" t="n">
        <f aca="false">(F_OtherM+F_RentM)*12*E244</f>
        <v>0</v>
      </c>
      <c r="AG244" s="20" t="n">
        <f aca="false">F_PAge+B244</f>
        <v>47</v>
      </c>
      <c r="AH244" s="20" t="n">
        <f aca="false">IF(AND(F_Partner=1,F_PAge&gt;0,AG244&lt;IF(F_PRet&gt;0,F_PRet,PR_SPage)),F_PIncome*F244,0)</f>
        <v>29566.1603455707</v>
      </c>
      <c r="AI244" s="20" t="n">
        <f aca="false">IF(AND(F_Partner=1,AG244&gt;=PR_SPage,F_PSpQA=0),AS_SP*F_PSpF*I244,0)</f>
        <v>0</v>
      </c>
      <c r="AJ244" s="20" t="n">
        <f aca="false">IF(AND(F_Partner=1,F_PSpQA=1,C244&gt;=PR_SPage,AH244=0),IF(AG244&gt;=PR_SPage,PR_QA66,PR_QAunder)*PR_Weeks*I244,0)</f>
        <v>0</v>
      </c>
      <c r="AK244" s="20" t="n">
        <f aca="false">AE244+AJ244</f>
        <v>0</v>
      </c>
      <c r="AL244" s="20" t="n">
        <f aca="false">K244/H244</f>
        <v>63943.8119842208</v>
      </c>
      <c r="AM244" s="20" t="n">
        <f aca="false">AK244/H244</f>
        <v>0</v>
      </c>
      <c r="AN244" s="20" t="n">
        <f aca="false">AC244/H244</f>
        <v>0</v>
      </c>
      <c r="AO244" s="20" t="n">
        <f aca="false">AF244/H244</f>
        <v>0</v>
      </c>
      <c r="AP244" s="20" t="n">
        <f aca="false">O244/H244</f>
        <v>3439.73609294429</v>
      </c>
      <c r="AQ244" s="20" t="n">
        <f aca="false">AH244/H244</f>
        <v>24254.5493733251</v>
      </c>
      <c r="AR244" s="20" t="n">
        <f aca="false">AI244/H244</f>
        <v>0</v>
      </c>
      <c r="AS244" s="20" t="n">
        <f aca="false">MAX(0,AL244+AN244+AO244+AM244-AP244)</f>
        <v>60504.0758912765</v>
      </c>
      <c r="AT244" s="20" t="n">
        <f aca="false">MAX(0,AQ244+AR244)</f>
        <v>24254.5493733251</v>
      </c>
      <c r="AU244" s="20" t="n">
        <f aca="false">MIN(PR_PAYE,PR_PAYEcap*(AL244+AN244+AM244))</f>
        <v>2000</v>
      </c>
      <c r="AV244" s="20" t="n">
        <f aca="false">MIN(PR_PAYE,PR_PAYEcap*(AQ244+AR244))</f>
        <v>2000</v>
      </c>
      <c r="AW244" s="20" t="n">
        <f aca="false">IF(C244&gt;=PR_AgeCrAge,PR_AgeCr,0)</f>
        <v>0</v>
      </c>
      <c r="AX244" s="20" t="n">
        <f aca="false">IF(AG244&gt;=PR_AgeCrAge,PR_AgeCr,0)</f>
        <v>0</v>
      </c>
      <c r="AY244" s="20" t="n">
        <f aca="false">IF(AND(F_RentCred=1,D244&lt;=PR_RentLast),1,0)</f>
        <v>0</v>
      </c>
      <c r="AZ244" s="20" t="n">
        <f aca="false">AS244+AT244</f>
        <v>84758.6252646017</v>
      </c>
      <c r="BA244" s="20" t="n">
        <f aca="false">PR_PersonalM+AU244+AV244+AW244+AX244+IF(AY244=1,PR_RentJoint,0)</f>
        <v>8000</v>
      </c>
      <c r="BB244" s="20" t="n">
        <f aca="false">PR_BandM+MIN(MIN(AS244,AT244),PR_Uplift)</f>
        <v>77254.5493733252</v>
      </c>
      <c r="BC244" s="20" t="n">
        <f aca="false">MAX(0,PR_r1*MIN(AZ244,BB244)+PR_r2*MAX(0,AZ244-BB244)-BA244)</f>
        <v>10452.5402311756</v>
      </c>
      <c r="BD244" s="20" t="n">
        <f aca="false">MAX(0,PR_HomeCarer-MAX(0,MIN(AS244,AT244)-PR_HCLimit)/2)</f>
        <v>0</v>
      </c>
      <c r="BE244" s="20" t="n">
        <f aca="false">IF(F_Carer=1,MIN(BC244,MAX(0,PR_r1*MIN(AZ244,PR_BandM)+PR_r2*MAX(0,AZ244-PR_BandM)-BA244-BD244)),BC244)</f>
        <v>10452.5402311756</v>
      </c>
      <c r="BF244" s="20" t="n">
        <f aca="false">IF(OR(C244&gt;=PR_AgeCrAge,AG244&gt;=PR_AgeCrAge),IF(AZ244&lt;=PR_AgeExM,0,MIN(BE244,PR_AgeMarg*(AZ244-PR_AgeExM))),BE244)</f>
        <v>10452.5402311756</v>
      </c>
      <c r="BG244" s="20" t="n">
        <f aca="false">MAX(0,PR_r1*MIN(AS244,IF(F_Spccc=1,PR_BandSPCCC,PR_Band))+PR_r2*MAX(0,AS244-IF(F_Spccc=1,PR_BandSPCCC,PR_Band))-(PR_Personal+AU244+AW244+IF(F_Spccc=1,PR_SPCCC,0)+IF(AY244=1,PR_Rent,0)))</f>
        <v>11401.6303565106</v>
      </c>
      <c r="BH244" s="20" t="n">
        <f aca="false">IF(C244&gt;=PR_AgeCrAge,IF(AS244&lt;=PR_AgeEx,0,MIN(BG244,PR_AgeMarg*(AS244-PR_AgeEx))),BG244)</f>
        <v>11401.6303565106</v>
      </c>
      <c r="BI244" s="20" t="n">
        <f aca="false">IF(F_Partner=1,MAX(0,PR_r1*MIN(AT244,PR_Band)+PR_r2*MAX(0,AT244-PR_Band)-(PR_Personal+AV244+AX244+IF(AND(AY244=1,AT244&gt;0),PR_Rent,0))),0)</f>
        <v>850.90987466503</v>
      </c>
      <c r="BJ244" s="20" t="n">
        <f aca="false">IF(AG244&gt;=PR_AgeCrAge,IF(AT244&lt;=PR_AgeEx,0,MIN(BI244,PR_AgeMarg*(AT244-PR_AgeEx))),BI244)</f>
        <v>850.90987466503</v>
      </c>
      <c r="BK244" s="20" t="n">
        <f aca="false">IF(F_Partner=1,IF(F_Married=1,BF244,BH244+BJ244),BH244)</f>
        <v>12252.5402311756</v>
      </c>
      <c r="BL244" s="20" t="n">
        <f aca="false">AL244+AN244+AO244</f>
        <v>63943.8119842208</v>
      </c>
      <c r="BM244" s="20" t="n">
        <f aca="false">IF(BL244&lt;=PR_USCex,0,IF(IF(AND(C244&gt;=PR_USCredAge,BL244&lt;=PR_USCredMax),1,0)=1,PR_USCr1*MIN(BL244,PR_USCredB1)+PR_USCredR2*MAX(0,BL244-PR_USCredB1),PR_USCr1*MIN(BL244,PR_USCb1)+PR_USCr2*MAX(0,MIN(BL244,PR_USCb2)-PR_USCb1)+PR_USCr3*MAX(0,MIN(BL244,PR_USCb3)-PR_USCb2)+PR_USCr4*MAX(0,BL244-PR_USCb3)))+IF(F_SelfEmp=1,PR_USCse*MAX(0,AL244-PR_USCseOver),0)</f>
        <v>1451.13435952662</v>
      </c>
      <c r="BN244" s="20" t="n">
        <f aca="false">AQ244</f>
        <v>24254.5493733251</v>
      </c>
      <c r="BO244" s="20" t="n">
        <f aca="false">IF(F_Partner=1,IF(BN244&lt;=PR_USCex,0,IF(IF(AND(AG244&gt;=PR_USCredAge,BN244&lt;=PR_USCredMax),1,0)=1,PR_USCr1*MIN(BN244,PR_USCredB1)+PR_USCredR2*MAX(0,BN244-PR_USCredB1),PR_USCr1*MIN(BN244,PR_USCb1)+PR_USCr2*MAX(0,MIN(BN244,PR_USCb2)-PR_USCb1)+PR_USCr3*MAX(0,MIN(BN244,PR_USCb3)-PR_USCb2)+PR_USCr4*MAX(0,BN244-PR_USCb3))),0)</f>
        <v>304.910987466503</v>
      </c>
      <c r="BP244" s="20" t="n">
        <f aca="false">IF(C244&lt;PR_PRSIend,IF(F_SelfEmp=1,IF(AL244&gt;PR_PRSIsMinInc,MAX(PR_PRSIsMin,AL244*J244),0),IF(AL244/52&lt;=PR_PRSIfree,0,MAX(0,(AL244/52*J244-IF(AL244/52&lt;=PR_PRSIcreditTo,MAX(0,PR_PRSIcreditMax-(AL244/52-(PR_PRSIfree+0.01))/PR_PRSItaper),0))*52)))+J244*AN244+IF(AO244&gt;PR_PRSIunearned,J244*AO244,0),0)</f>
        <v>3005.35916325838</v>
      </c>
      <c r="BQ244" s="20" t="n">
        <f aca="false">IF(AND(F_Partner=1,AG244&lt;PR_PRSIend),IF(AQ244/52&lt;=PR_PRSIfree,0,MAX(0,(AQ244/52*J244-IF(AQ244/52&lt;=PR_PRSIcreditTo,MAX(0,PR_PRSIcreditMax-(AQ244/52-(PR_PRSIfree+0.01))/PR_PRSItaper),0))*52)),0)</f>
        <v>1139.96382054628</v>
      </c>
      <c r="BR244" s="20" t="n">
        <f aca="false">BK244+BM244+BO244+BP244+BQ244</f>
        <v>18153.9085619734</v>
      </c>
      <c r="BS244" s="20" t="n">
        <f aca="false">BR244*H244</f>
        <v>22129.5132381407</v>
      </c>
      <c r="BT244" s="20" t="n">
        <f aca="false">K244+AK244+AC244+AF244+AH244+AI244</f>
        <v>107513.31034753</v>
      </c>
    </row>
    <row r="245" customFormat="false" ht="15" hidden="false" customHeight="true" outlineLevel="0" collapsed="false">
      <c r="B245" s="20" t="n">
        <v>11</v>
      </c>
      <c r="C245" s="20" t="n">
        <f aca="false">F_Age+B245</f>
        <v>49</v>
      </c>
      <c r="D245" s="20" t="n">
        <f aca="false">AS_Year0+B245</f>
        <v>2038</v>
      </c>
      <c r="E245" s="44" t="n">
        <f aca="false">(1+AS_Infl)^B245</f>
        <v>1.24337430839465</v>
      </c>
      <c r="F245" s="44" t="n">
        <f aca="false">(1+AS_Wage)^B245</f>
        <v>1.38423387072445</v>
      </c>
      <c r="G245" s="20" t="n">
        <f aca="false">IF(C245&lt;F_R,1,0)</f>
        <v>1</v>
      </c>
      <c r="H245" s="44" t="n">
        <f aca="false">IF(AS_Bands="flat",1,E245)</f>
        <v>1.24337430839465</v>
      </c>
      <c r="I245" s="44" t="n">
        <f aca="false">IF(AS_SpGrow="pay",F245,IF(AS_SpGrow="flat",1,E245))</f>
        <v>1.24337430839465</v>
      </c>
      <c r="J245" s="44" t="n">
        <f aca="false">(12*PR_PRSIr0+(PR_PRSIr1-PR_PRSIr0)*MAX(0,MIN(12,D245*12+12-PR_PRSIt1))+(PR_PRSIr2-PR_PRSIr1)*MAX(0,MIN(12,D245*12+12-PR_PRSIt2))+(PR_PRSIr3-PR_PRSIr2)*MAX(0,MIN(12,D245*12+12-PR_PRSIt3)))/12</f>
        <v>0.047</v>
      </c>
      <c r="K245" s="20" t="n">
        <f aca="false">IF(G245=1,F_Income*F245,0)</f>
        <v>80285.5645020179</v>
      </c>
      <c r="L245" s="20" t="n">
        <f aca="false">IF(G245=1,(F_Own+In_penExtra)*12*F245,0)</f>
        <v>4318.80967666027</v>
      </c>
      <c r="M245" s="20" t="n">
        <f aca="false">IF(G245=1,(F_PenM+In_penExtra)*12*F245,0)</f>
        <v>8637.61935332054</v>
      </c>
      <c r="N245" s="45" t="n">
        <f aca="false">IF(C245&lt;PR_RelA1,PR_RelP1,IF(C245&lt;PR_RelA2,PR_RelP2,IF(C245&lt;PR_RelA3,PR_RelP3,IF(C245&lt;PR_RelA4,PR_RelP4,IF(C245&lt;PR_RelA5,PR_RelP5,PR_RelP6)))))</f>
        <v>0.25</v>
      </c>
      <c r="O245" s="20" t="n">
        <f aca="false">IF(G245=1,MIN(L245/H245,N245*MIN(K245/H245,PR_EarnCap))*H245,0)</f>
        <v>4318.80967666027</v>
      </c>
      <c r="P245" s="20" t="n">
        <f aca="false">IF(AND(G245=1,F_AE=1),MIN(K245/H245,PR_AEcap)*H245,0)</f>
        <v>0</v>
      </c>
      <c r="Q245" s="20" t="n">
        <f aca="false">IF(G245=1,IF(WI_Retire=1,MAX(0,M245+WI_M*12),M245)+(PR_AEee+PR_AEer+PR_AEst)*P245,0)</f>
        <v>8637.61935332054</v>
      </c>
      <c r="R245" s="20" t="n">
        <f aca="false">L245+PR_AEee*P245</f>
        <v>4318.80967666027</v>
      </c>
      <c r="S245" s="20" t="n">
        <f aca="false">AD244</f>
        <v>216110.996085539</v>
      </c>
      <c r="T245" s="20" t="n">
        <f aca="false">IF(D245&lt;=PR_SFTfrom,PR_SFT2026,IF(D245=PR_SFTfrom+1,PR_SFT2027,IF(D245=PR_SFTfrom+2,PR_SFT2028,IF(D245&lt;=PR_SFTto,PR_SFT2029,PR_SFT2029*(1+AS_Infl)^(D245-PR_SFTto)))))</f>
        <v>3346259.19214247</v>
      </c>
      <c r="U245" s="20" t="n">
        <f aca="false">IF(AND(G245=0,C245=F_V),1,0)</f>
        <v>0</v>
      </c>
      <c r="V245" s="20" t="n">
        <f aca="false">IF(U245=1,PR_SFTrate*MAX(0,S245-T245),0)</f>
        <v>0</v>
      </c>
      <c r="W245" s="20" t="n">
        <f aca="false">S245-V245</f>
        <v>216110.996085539</v>
      </c>
      <c r="X245" s="20" t="n">
        <f aca="false">IF(AND(U245=1,AS_LumpPct&gt;0),W245*MIN(AS_LumpPct,PR_LSmax),0)</f>
        <v>0</v>
      </c>
      <c r="Y245" s="20" t="n">
        <f aca="false">X245-(PR_LSrate*MAX(0,MIN(X245,PR_LScap)-PR_LSfree)+PR_r2*MAX(0,X245-PR_LScap))</f>
        <v>0</v>
      </c>
      <c r="Z245" s="20" t="n">
        <f aca="false">W245-X245</f>
        <v>216110.996085539</v>
      </c>
      <c r="AA245" s="45" t="n">
        <f aca="false">IF(C245&gt;=PR_ARFage1,IF(Z245&gt;PR_ARFbig,PR_ARFbigRate,IF(C245&gt;=PR_ARFage2,PR_ARF71,PR_ARF61)),0)</f>
        <v>0</v>
      </c>
      <c r="AB245" s="20" t="n">
        <f aca="false">IF(AS_DrawRule="min",Z245*AA245,IF(AS_DrawRule="fixed",MAX(AS_DrawFixed*E245,Z245*AA245),Z245*MAX(1/MAX(1,AS_End-C245+1),AA245)))</f>
        <v>4598.10629969231</v>
      </c>
      <c r="AC245" s="20" t="n">
        <f aca="false">IF(AND(G245=0,C245&gt;=F_V),MIN(Z245,AB245),0)</f>
        <v>0</v>
      </c>
      <c r="AD245" s="20" t="n">
        <f aca="false">IF(G245=1,S245*(1+F_PenG)+Q245,IF(C245&lt;F_V,S245*(1+F_PenG),(Z245-AC245)*(1+AS_PenRet)))</f>
        <v>234473.610262709</v>
      </c>
      <c r="AE245" s="20" t="n">
        <f aca="false">IF(C245&gt;=PR_SPage,AS_SP*F_SpF*I245+IF(AND(C245&gt;=PR_Over80Age,F_SpF&gt;0),PR_Over80*PR_Weeks*I245,0),0)</f>
        <v>0</v>
      </c>
      <c r="AF245" s="20" t="n">
        <f aca="false">(F_OtherM+F_RentM)*12*E245</f>
        <v>0</v>
      </c>
      <c r="AG245" s="20" t="n">
        <f aca="false">F_PAge+B245</f>
        <v>48</v>
      </c>
      <c r="AH245" s="20" t="n">
        <f aca="false">IF(AND(F_Partner=1,F_PAge&gt;0,AG245&lt;IF(F_PRet&gt;0,F_PRet,PR_SPage)),F_PIncome*F245,0)</f>
        <v>30453.1451559378</v>
      </c>
      <c r="AI245" s="20" t="n">
        <f aca="false">IF(AND(F_Partner=1,AG245&gt;=PR_SPage,F_PSpQA=0),AS_SP*F_PSpF*I245,0)</f>
        <v>0</v>
      </c>
      <c r="AJ245" s="20" t="n">
        <f aca="false">IF(AND(F_Partner=1,F_PSpQA=1,C245&gt;=PR_SPage,AH245=0),IF(AG245&gt;=PR_SPage,PR_QA66,PR_QAunder)*PR_Weeks*I245,0)</f>
        <v>0</v>
      </c>
      <c r="AK245" s="20" t="n">
        <f aca="false">AE245+AJ245</f>
        <v>0</v>
      </c>
      <c r="AL245" s="20" t="n">
        <f aca="false">K245/H245</f>
        <v>64570.7121017132</v>
      </c>
      <c r="AM245" s="20" t="n">
        <f aca="false">AK245/H245</f>
        <v>0</v>
      </c>
      <c r="AN245" s="20" t="n">
        <f aca="false">AC245/H245</f>
        <v>0</v>
      </c>
      <c r="AO245" s="20" t="n">
        <f aca="false">AF245/H245</f>
        <v>0</v>
      </c>
      <c r="AP245" s="20" t="n">
        <f aca="false">O245/H245</f>
        <v>3473.4589958163</v>
      </c>
      <c r="AQ245" s="20" t="n">
        <f aca="false">AH245/H245</f>
        <v>24492.3390730636</v>
      </c>
      <c r="AR245" s="20" t="n">
        <f aca="false">AI245/H245</f>
        <v>0</v>
      </c>
      <c r="AS245" s="20" t="n">
        <f aca="false">MAX(0,AL245+AN245+AO245+AM245-AP245)</f>
        <v>61097.2531058969</v>
      </c>
      <c r="AT245" s="20" t="n">
        <f aca="false">MAX(0,AQ245+AR245)</f>
        <v>24492.3390730636</v>
      </c>
      <c r="AU245" s="20" t="n">
        <f aca="false">MIN(PR_PAYE,PR_PAYEcap*(AL245+AN245+AM245))</f>
        <v>2000</v>
      </c>
      <c r="AV245" s="20" t="n">
        <f aca="false">MIN(PR_PAYE,PR_PAYEcap*(AQ245+AR245))</f>
        <v>2000</v>
      </c>
      <c r="AW245" s="20" t="n">
        <f aca="false">IF(C245&gt;=PR_AgeCrAge,PR_AgeCr,0)</f>
        <v>0</v>
      </c>
      <c r="AX245" s="20" t="n">
        <f aca="false">IF(AG245&gt;=PR_AgeCrAge,PR_AgeCr,0)</f>
        <v>0</v>
      </c>
      <c r="AY245" s="20" t="n">
        <f aca="false">IF(AND(F_RentCred=1,D245&lt;=PR_RentLast),1,0)</f>
        <v>0</v>
      </c>
      <c r="AZ245" s="20" t="n">
        <f aca="false">AS245+AT245</f>
        <v>85589.5921789605</v>
      </c>
      <c r="BA245" s="20" t="n">
        <f aca="false">PR_PersonalM+AU245+AV245+AW245+AX245+IF(AY245=1,PR_RentJoint,0)</f>
        <v>8000</v>
      </c>
      <c r="BB245" s="20" t="n">
        <f aca="false">PR_BandM+MIN(MIN(AS245,AT245),PR_Uplift)</f>
        <v>77492.3390730636</v>
      </c>
      <c r="BC245" s="20" t="n">
        <f aca="false">MAX(0,PR_r1*MIN(AZ245,BB245)+PR_r2*MAX(0,AZ245-BB245)-BA245)</f>
        <v>10737.3690569715</v>
      </c>
      <c r="BD245" s="20" t="n">
        <f aca="false">MAX(0,PR_HomeCarer-MAX(0,MIN(AS245,AT245)-PR_HCLimit)/2)</f>
        <v>0</v>
      </c>
      <c r="BE245" s="20" t="n">
        <f aca="false">IF(F_Carer=1,MIN(BC245,MAX(0,PR_r1*MIN(AZ245,PR_BandM)+PR_r2*MAX(0,AZ245-PR_BandM)-BA245-BD245)),BC245)</f>
        <v>10737.3690569715</v>
      </c>
      <c r="BF245" s="20" t="n">
        <f aca="false">IF(OR(C245&gt;=PR_AgeCrAge,AG245&gt;=PR_AgeCrAge),IF(AZ245&lt;=PR_AgeExM,0,MIN(BE245,PR_AgeMarg*(AZ245-PR_AgeExM))),BE245)</f>
        <v>10737.3690569715</v>
      </c>
      <c r="BG245" s="20" t="n">
        <f aca="false">MAX(0,PR_r1*MIN(AS245,IF(F_Spccc=1,PR_BandSPCCC,PR_Band))+PR_r2*MAX(0,AS245-IF(F_Spccc=1,PR_BandSPCCC,PR_Band))-(PR_Personal+AU245+AW245+IF(F_Spccc=1,PR_SPCCC,0)+IF(AY245=1,PR_Rent,0)))</f>
        <v>11638.9012423588</v>
      </c>
      <c r="BH245" s="20" t="n">
        <f aca="false">IF(C245&gt;=PR_AgeCrAge,IF(AS245&lt;=PR_AgeEx,0,MIN(BG245,PR_AgeMarg*(AS245-PR_AgeEx))),BG245)</f>
        <v>11638.9012423588</v>
      </c>
      <c r="BI245" s="20" t="n">
        <f aca="false">IF(F_Partner=1,MAX(0,PR_r1*MIN(AT245,PR_Band)+PR_r2*MAX(0,AT245-PR_Band)-(PR_Personal+AV245+AX245+IF(AND(AY245=1,AT245&gt;0),PR_Rent,0))),0)</f>
        <v>898.467814612725</v>
      </c>
      <c r="BJ245" s="20" t="n">
        <f aca="false">IF(AG245&gt;=PR_AgeCrAge,IF(AT245&lt;=PR_AgeEx,0,MIN(BI245,PR_AgeMarg*(AT245-PR_AgeEx))),BI245)</f>
        <v>898.467814612725</v>
      </c>
      <c r="BK245" s="20" t="n">
        <f aca="false">IF(F_Partner=1,IF(F_Married=1,BF245,BH245+BJ245),BH245)</f>
        <v>12537.3690569715</v>
      </c>
      <c r="BL245" s="20" t="n">
        <f aca="false">AL245+AN245+AO245</f>
        <v>64570.7121017132</v>
      </c>
      <c r="BM245" s="20" t="n">
        <f aca="false">IF(BL245&lt;=PR_USCex,0,IF(IF(AND(C245&gt;=PR_USCredAge,BL245&lt;=PR_USCredMax),1,0)=1,PR_USCr1*MIN(BL245,PR_USCredB1)+PR_USCredR2*MAX(0,BL245-PR_USCredB1),PR_USCr1*MIN(BL245,PR_USCb1)+PR_USCr2*MAX(0,MIN(BL245,PR_USCb2)-PR_USCb1)+PR_USCr3*MAX(0,MIN(BL245,PR_USCb3)-PR_USCb2)+PR_USCr4*MAX(0,BL245-PR_USCb3)))+IF(F_SelfEmp=1,PR_USCse*MAX(0,AL245-PR_USCseOver),0)</f>
        <v>1469.9413630514</v>
      </c>
      <c r="BN245" s="20" t="n">
        <f aca="false">AQ245</f>
        <v>24492.3390730636</v>
      </c>
      <c r="BO245" s="20" t="n">
        <f aca="false">IF(F_Partner=1,IF(BN245&lt;=PR_USCex,0,IF(IF(AND(AG245&gt;=PR_USCredAge,BN245&lt;=PR_USCredMax),1,0)=1,PR_USCr1*MIN(BN245,PR_USCredB1)+PR_USCredR2*MAX(0,BN245-PR_USCredB1),PR_USCr1*MIN(BN245,PR_USCb1)+PR_USCr2*MAX(0,MIN(BN245,PR_USCb2)-PR_USCb1)+PR_USCr3*MAX(0,MIN(BN245,PR_USCb3)-PR_USCb2)+PR_USCr4*MAX(0,BN245-PR_USCb3))),0)</f>
        <v>309.666781461273</v>
      </c>
      <c r="BP245" s="20" t="n">
        <f aca="false">IF(C245&lt;PR_PRSIend,IF(F_SelfEmp=1,IF(AL245&gt;PR_PRSIsMinInc,MAX(PR_PRSIsMin,AL245*J245),0),IF(AL245/52&lt;=PR_PRSIfree,0,MAX(0,(AL245/52*J245-IF(AL245/52&lt;=PR_PRSIcreditTo,MAX(0,PR_PRSIcreditMax-(AL245/52-(PR_PRSIfree+0.01))/PR_PRSItaper),0))*52)))+J245*AN245+IF(AO245&gt;PR_PRSIunearned,J245*AO245,0),0)</f>
        <v>3034.82346878052</v>
      </c>
      <c r="BQ245" s="20" t="n">
        <f aca="false">IF(AND(F_Partner=1,AG245&lt;PR_PRSIend),IF(AQ245/52&lt;=PR_PRSIfree,0,MAX(0,(AQ245/52*J245-IF(AQ245/52&lt;=PR_PRSIcreditTo,MAX(0,PR_PRSIcreditMax-(AQ245/52-(PR_PRSIfree+0.01))/PR_PRSItaper),0))*52)),0)</f>
        <v>1151.13993643399</v>
      </c>
      <c r="BR245" s="20" t="n">
        <f aca="false">BK245+BM245+BO245+BP245+BQ245</f>
        <v>18502.9406066987</v>
      </c>
      <c r="BS245" s="20" t="n">
        <f aca="false">BR245*H245</f>
        <v>23006.0809801213</v>
      </c>
      <c r="BT245" s="20" t="n">
        <f aca="false">K245+AK245+AC245+AF245+AH245+AI245</f>
        <v>110738.709657956</v>
      </c>
    </row>
    <row r="246" customFormat="false" ht="15" hidden="false" customHeight="true" outlineLevel="0" collapsed="false">
      <c r="B246" s="20" t="n">
        <v>12</v>
      </c>
      <c r="C246" s="20" t="n">
        <f aca="false">F_Age+B246</f>
        <v>50</v>
      </c>
      <c r="D246" s="20" t="n">
        <f aca="false">AS_Year0+B246</f>
        <v>2039</v>
      </c>
      <c r="E246" s="44" t="n">
        <f aca="false">(1+AS_Infl)^B246</f>
        <v>1.26824179456255</v>
      </c>
      <c r="F246" s="44" t="n">
        <f aca="false">(1+AS_Wage)^B246</f>
        <v>1.42576088684618</v>
      </c>
      <c r="G246" s="20" t="n">
        <f aca="false">IF(C246&lt;F_R,1,0)</f>
        <v>1</v>
      </c>
      <c r="H246" s="44" t="n">
        <f aca="false">IF(AS_Bands="flat",1,E246)</f>
        <v>1.26824179456255</v>
      </c>
      <c r="I246" s="44" t="n">
        <f aca="false">IF(AS_SpGrow="pay",F246,IF(AS_SpGrow="flat",1,E246))</f>
        <v>1.26824179456255</v>
      </c>
      <c r="J246" s="44" t="n">
        <f aca="false">(12*PR_PRSIr0+(PR_PRSIr1-PR_PRSIr0)*MAX(0,MIN(12,D246*12+12-PR_PRSIt1))+(PR_PRSIr2-PR_PRSIr1)*MAX(0,MIN(12,D246*12+12-PR_PRSIt2))+(PR_PRSIr3-PR_PRSIr2)*MAX(0,MIN(12,D246*12+12-PR_PRSIt3)))/12</f>
        <v>0.047</v>
      </c>
      <c r="K246" s="20" t="n">
        <f aca="false">IF(G246=1,F_Income*F246,0)</f>
        <v>82694.1314370784</v>
      </c>
      <c r="L246" s="20" t="n">
        <f aca="false">IF(G246=1,(F_Own+In_penExtra)*12*F246,0)</f>
        <v>4448.37396696008</v>
      </c>
      <c r="M246" s="20" t="n">
        <f aca="false">IF(G246=1,(F_PenM+In_penExtra)*12*F246,0)</f>
        <v>8896.74793392016</v>
      </c>
      <c r="N246" s="45" t="n">
        <f aca="false">IF(C246&lt;PR_RelA1,PR_RelP1,IF(C246&lt;PR_RelA2,PR_RelP2,IF(C246&lt;PR_RelA3,PR_RelP3,IF(C246&lt;PR_RelA4,PR_RelP4,IF(C246&lt;PR_RelA5,PR_RelP5,PR_RelP6)))))</f>
        <v>0.3</v>
      </c>
      <c r="O246" s="20" t="n">
        <f aca="false">IF(G246=1,MIN(L246/H246,N246*MIN(K246/H246,PR_EarnCap))*H246,0)</f>
        <v>4448.37396696008</v>
      </c>
      <c r="P246" s="20" t="n">
        <f aca="false">IF(AND(G246=1,F_AE=1),MIN(K246/H246,PR_AEcap)*H246,0)</f>
        <v>0</v>
      </c>
      <c r="Q246" s="20" t="n">
        <f aca="false">IF(G246=1,IF(WI_Retire=1,MAX(0,M246+WI_M*12),M246)+(PR_AEee+PR_AEer+PR_AEst)*P246,0)</f>
        <v>8896.74793392016</v>
      </c>
      <c r="R246" s="20" t="n">
        <f aca="false">L246+PR_AEee*P246</f>
        <v>4448.37396696008</v>
      </c>
      <c r="S246" s="20" t="n">
        <f aca="false">AD245</f>
        <v>234473.610262709</v>
      </c>
      <c r="T246" s="20" t="n">
        <f aca="false">IF(D246&lt;=PR_SFTfrom,PR_SFT2026,IF(D246=PR_SFTfrom+1,PR_SFT2027,IF(D246=PR_SFTfrom+2,PR_SFT2028,IF(D246&lt;=PR_SFTto,PR_SFT2029,PR_SFT2029*(1+AS_Infl)^(D246-PR_SFTto)))))</f>
        <v>3413184.37598532</v>
      </c>
      <c r="U246" s="20" t="n">
        <f aca="false">IF(AND(G246=0,C246=F_V),1,0)</f>
        <v>0</v>
      </c>
      <c r="V246" s="20" t="n">
        <f aca="false">IF(U246=1,PR_SFTrate*MAX(0,S246-T246),0)</f>
        <v>0</v>
      </c>
      <c r="W246" s="20" t="n">
        <f aca="false">S246-V246</f>
        <v>234473.610262709</v>
      </c>
      <c r="X246" s="20" t="n">
        <f aca="false">IF(AND(U246=1,AS_LumpPct&gt;0),W246*MIN(AS_LumpPct,PR_LSmax),0)</f>
        <v>0</v>
      </c>
      <c r="Y246" s="20" t="n">
        <f aca="false">X246-(PR_LSrate*MAX(0,MIN(X246,PR_LScap)-PR_LSfree)+PR_r2*MAX(0,X246-PR_LScap))</f>
        <v>0</v>
      </c>
      <c r="Z246" s="20" t="n">
        <f aca="false">W246-X246</f>
        <v>234473.610262709</v>
      </c>
      <c r="AA246" s="45" t="n">
        <f aca="false">IF(C246&gt;=PR_ARFage1,IF(Z246&gt;PR_ARFbig,PR_ARFbigRate,IF(C246&gt;=PR_ARFage2,PR_ARF71,PR_ARF61)),0)</f>
        <v>0</v>
      </c>
      <c r="AB246" s="20" t="n">
        <f aca="false">IF(AS_DrawRule="min",Z246*AA246,IF(AS_DrawRule="fixed",MAX(AS_DrawFixed*E246,Z246*AA246),Z246*MAX(1/MAX(1,AS_End-C246+1),AA246)))</f>
        <v>5097.2523970154</v>
      </c>
      <c r="AC246" s="20" t="n">
        <f aca="false">IF(AND(G246=0,C246&gt;=F_V),MIN(Z246,AB246),0)</f>
        <v>0</v>
      </c>
      <c r="AD246" s="20" t="n">
        <f aca="false">IF(G246=1,S246*(1+F_PenG)+Q246,IF(C246&lt;F_V,S246*(1+F_PenG),(Z246-AC246)*(1+AS_PenRet)))</f>
        <v>253921.670658451</v>
      </c>
      <c r="AE246" s="20" t="n">
        <f aca="false">IF(C246&gt;=PR_SPage,AS_SP*F_SpF*I246+IF(AND(C246&gt;=PR_Over80Age,F_SpF&gt;0),PR_Over80*PR_Weeks*I246,0),0)</f>
        <v>0</v>
      </c>
      <c r="AF246" s="20" t="n">
        <f aca="false">(F_OtherM+F_RentM)*12*E246</f>
        <v>0</v>
      </c>
      <c r="AG246" s="20" t="n">
        <f aca="false">F_PAge+B246</f>
        <v>49</v>
      </c>
      <c r="AH246" s="20" t="n">
        <f aca="false">IF(AND(F_Partner=1,F_PAge&gt;0,AG246&lt;IF(F_PRet&gt;0,F_PRet,PR_SPage)),F_PIncome*F246,0)</f>
        <v>31366.7395106159</v>
      </c>
      <c r="AI246" s="20" t="n">
        <f aca="false">IF(AND(F_Partner=1,AG246&gt;=PR_SPage,F_PSpQA=0),AS_SP*F_PSpF*I246,0)</f>
        <v>0</v>
      </c>
      <c r="AJ246" s="20" t="n">
        <f aca="false">IF(AND(F_Partner=1,F_PSpQA=1,C246&gt;=PR_SPage,AH246=0),IF(AG246&gt;=PR_SPage,PR_QA66,PR_QAunder)*PR_Weeks*I246,0)</f>
        <v>0</v>
      </c>
      <c r="AK246" s="20" t="n">
        <f aca="false">AE246+AJ246</f>
        <v>0</v>
      </c>
      <c r="AL246" s="20" t="n">
        <f aca="false">K246/H246</f>
        <v>65203.7582987888</v>
      </c>
      <c r="AM246" s="20" t="n">
        <f aca="false">AK246/H246</f>
        <v>0</v>
      </c>
      <c r="AN246" s="20" t="n">
        <f aca="false">AC246/H246</f>
        <v>0</v>
      </c>
      <c r="AO246" s="20" t="n">
        <f aca="false">AF246/H246</f>
        <v>0</v>
      </c>
      <c r="AP246" s="20" t="n">
        <f aca="false">O246/H246</f>
        <v>3507.51251538312</v>
      </c>
      <c r="AQ246" s="20" t="n">
        <f aca="false">AH246/H246</f>
        <v>24732.4600443682</v>
      </c>
      <c r="AR246" s="20" t="n">
        <f aca="false">AI246/H246</f>
        <v>0</v>
      </c>
      <c r="AS246" s="20" t="n">
        <f aca="false">MAX(0,AL246+AN246+AO246+AM246-AP246)</f>
        <v>61696.2457834057</v>
      </c>
      <c r="AT246" s="20" t="n">
        <f aca="false">MAX(0,AQ246+AR246)</f>
        <v>24732.4600443682</v>
      </c>
      <c r="AU246" s="20" t="n">
        <f aca="false">MIN(PR_PAYE,PR_PAYEcap*(AL246+AN246+AM246))</f>
        <v>2000</v>
      </c>
      <c r="AV246" s="20" t="n">
        <f aca="false">MIN(PR_PAYE,PR_PAYEcap*(AQ246+AR246))</f>
        <v>2000</v>
      </c>
      <c r="AW246" s="20" t="n">
        <f aca="false">IF(C246&gt;=PR_AgeCrAge,PR_AgeCr,0)</f>
        <v>0</v>
      </c>
      <c r="AX246" s="20" t="n">
        <f aca="false">IF(AG246&gt;=PR_AgeCrAge,PR_AgeCr,0)</f>
        <v>0</v>
      </c>
      <c r="AY246" s="20" t="n">
        <f aca="false">IF(AND(F_RentCred=1,D246&lt;=PR_RentLast),1,0)</f>
        <v>0</v>
      </c>
      <c r="AZ246" s="20" t="n">
        <f aca="false">AS246+AT246</f>
        <v>86428.7058277739</v>
      </c>
      <c r="BA246" s="20" t="n">
        <f aca="false">PR_PersonalM+AU246+AV246+AW246+AX246+IF(AY246=1,PR_RentJoint,0)</f>
        <v>8000</v>
      </c>
      <c r="BB246" s="20" t="n">
        <f aca="false">PR_BandM+MIN(MIN(AS246,AT246),PR_Uplift)</f>
        <v>77732.4600443682</v>
      </c>
      <c r="BC246" s="20" t="n">
        <f aca="false">MAX(0,PR_r1*MIN(AZ246,BB246)+PR_r2*MAX(0,AZ246-BB246)-BA246)</f>
        <v>11024.9903222359</v>
      </c>
      <c r="BD246" s="20" t="n">
        <f aca="false">MAX(0,PR_HomeCarer-MAX(0,MIN(AS246,AT246)-PR_HCLimit)/2)</f>
        <v>0</v>
      </c>
      <c r="BE246" s="20" t="n">
        <f aca="false">IF(F_Carer=1,MIN(BC246,MAX(0,PR_r1*MIN(AZ246,PR_BandM)+PR_r2*MAX(0,AZ246-PR_BandM)-BA246-BD246)),BC246)</f>
        <v>11024.9903222359</v>
      </c>
      <c r="BF246" s="20" t="n">
        <f aca="false">IF(OR(C246&gt;=PR_AgeCrAge,AG246&gt;=PR_AgeCrAge),IF(AZ246&lt;=PR_AgeExM,0,MIN(BE246,PR_AgeMarg*(AZ246-PR_AgeExM))),BE246)</f>
        <v>11024.9903222359</v>
      </c>
      <c r="BG246" s="20" t="n">
        <f aca="false">MAX(0,PR_r1*MIN(AS246,IF(F_Spccc=1,PR_BandSPCCC,PR_Band))+PR_r2*MAX(0,AS246-IF(F_Spccc=1,PR_BandSPCCC,PR_Band))-(PR_Personal+AU246+AW246+IF(F_Spccc=1,PR_SPCCC,0)+IF(AY246=1,PR_Rent,0)))</f>
        <v>11878.4983133623</v>
      </c>
      <c r="BH246" s="20" t="n">
        <f aca="false">IF(C246&gt;=PR_AgeCrAge,IF(AS246&lt;=PR_AgeEx,0,MIN(BG246,PR_AgeMarg*(AS246-PR_AgeEx))),BG246)</f>
        <v>11878.4983133623</v>
      </c>
      <c r="BI246" s="20" t="n">
        <f aca="false">IF(F_Partner=1,MAX(0,PR_r1*MIN(AT246,PR_Band)+PR_r2*MAX(0,AT246-PR_Band)-(PR_Personal+AV246+AX246+IF(AND(AY246=1,AT246&gt;0),PR_Rent,0))),0)</f>
        <v>946.492008873635</v>
      </c>
      <c r="BJ246" s="20" t="n">
        <f aca="false">IF(AG246&gt;=PR_AgeCrAge,IF(AT246&lt;=PR_AgeEx,0,MIN(BI246,PR_AgeMarg*(AT246-PR_AgeEx))),BI246)</f>
        <v>946.492008873635</v>
      </c>
      <c r="BK246" s="20" t="n">
        <f aca="false">IF(F_Partner=1,IF(F_Married=1,BF246,BH246+BJ246),BH246)</f>
        <v>12824.9903222359</v>
      </c>
      <c r="BL246" s="20" t="n">
        <f aca="false">AL246+AN246+AO246</f>
        <v>65203.7582987888</v>
      </c>
      <c r="BM246" s="20" t="n">
        <f aca="false">IF(BL246&lt;=PR_USCex,0,IF(IF(AND(C246&gt;=PR_USCredAge,BL246&lt;=PR_USCredMax),1,0)=1,PR_USCr1*MIN(BL246,PR_USCredB1)+PR_USCredR2*MAX(0,BL246-PR_USCredB1),PR_USCr1*MIN(BL246,PR_USCb1)+PR_USCr2*MAX(0,MIN(BL246,PR_USCb2)-PR_USCb1)+PR_USCr3*MAX(0,MIN(BL246,PR_USCb3)-PR_USCb2)+PR_USCr4*MAX(0,BL246-PR_USCb3)))+IF(F_SelfEmp=1,PR_USCse*MAX(0,AL246-PR_USCseOver),0)</f>
        <v>1488.93274896366</v>
      </c>
      <c r="BN246" s="20" t="n">
        <f aca="false">AQ246</f>
        <v>24732.4600443682</v>
      </c>
      <c r="BO246" s="20" t="n">
        <f aca="false">IF(F_Partner=1,IF(BN246&lt;=PR_USCex,0,IF(IF(AND(AG246&gt;=PR_USCredAge,BN246&lt;=PR_USCredMax),1,0)=1,PR_USCr1*MIN(BN246,PR_USCredB1)+PR_USCredR2*MAX(0,BN246-PR_USCredB1),PR_USCr1*MIN(BN246,PR_USCb1)+PR_USCr2*MAX(0,MIN(BN246,PR_USCb2)-PR_USCb1)+PR_USCr3*MAX(0,MIN(BN246,PR_USCb3)-PR_USCb2)+PR_USCr4*MAX(0,BN246-PR_USCb3))),0)</f>
        <v>314.469200887364</v>
      </c>
      <c r="BP246" s="20" t="n">
        <f aca="false">IF(C246&lt;PR_PRSIend,IF(F_SelfEmp=1,IF(AL246&gt;PR_PRSIsMinInc,MAX(PR_PRSIsMin,AL246*J246),0),IF(AL246/52&lt;=PR_PRSIfree,0,MAX(0,(AL246/52*J246-IF(AL246/52&lt;=PR_PRSIcreditTo,MAX(0,PR_PRSIcreditMax-(AL246/52-(PR_PRSIfree+0.01))/PR_PRSItaper),0))*52)))+J246*AN246+IF(AO246&gt;PR_PRSIunearned,J246*AO246,0),0)</f>
        <v>3064.57664004307</v>
      </c>
      <c r="BQ246" s="20" t="n">
        <f aca="false">IF(AND(F_Partner=1,AG246&lt;PR_PRSIend),IF(AQ246/52&lt;=PR_PRSIfree,0,MAX(0,(AQ246/52*J246-IF(AQ246/52&lt;=PR_PRSIcreditTo,MAX(0,PR_PRSIcreditMax-(AQ246/52-(PR_PRSIfree+0.01))/PR_PRSItaper),0))*52)),0)</f>
        <v>1162.4256220853</v>
      </c>
      <c r="BR246" s="20" t="n">
        <f aca="false">BK246+BM246+BO246+BP246+BQ246</f>
        <v>18855.3945342153</v>
      </c>
      <c r="BS246" s="20" t="n">
        <f aca="false">BR246*H246</f>
        <v>23913.199401258</v>
      </c>
      <c r="BT246" s="20" t="n">
        <f aca="false">K246+AK246+AC246+AF246+AH246+AI246</f>
        <v>114060.870947694</v>
      </c>
    </row>
    <row r="247" customFormat="false" ht="15" hidden="false" customHeight="true" outlineLevel="0" collapsed="false">
      <c r="B247" s="20" t="n">
        <v>13</v>
      </c>
      <c r="C247" s="20" t="n">
        <f aca="false">F_Age+B247</f>
        <v>51</v>
      </c>
      <c r="D247" s="20" t="n">
        <f aca="false">AS_Year0+B247</f>
        <v>2040</v>
      </c>
      <c r="E247" s="44" t="n">
        <f aca="false">(1+AS_Infl)^B247</f>
        <v>1.2936066304538</v>
      </c>
      <c r="F247" s="44" t="n">
        <f aca="false">(1+AS_Wage)^B247</f>
        <v>1.46853371345156</v>
      </c>
      <c r="G247" s="20" t="n">
        <f aca="false">IF(C247&lt;F_R,1,0)</f>
        <v>1</v>
      </c>
      <c r="H247" s="44" t="n">
        <f aca="false">IF(AS_Bands="flat",1,E247)</f>
        <v>1.2936066304538</v>
      </c>
      <c r="I247" s="44" t="n">
        <f aca="false">IF(AS_SpGrow="pay",F247,IF(AS_SpGrow="flat",1,E247))</f>
        <v>1.2936066304538</v>
      </c>
      <c r="J247" s="44" t="n">
        <f aca="false">(12*PR_PRSIr0+(PR_PRSIr1-PR_PRSIr0)*MAX(0,MIN(12,D247*12+12-PR_PRSIt1))+(PR_PRSIr2-PR_PRSIr1)*MAX(0,MIN(12,D247*12+12-PR_PRSIt2))+(PR_PRSIr3-PR_PRSIr2)*MAX(0,MIN(12,D247*12+12-PR_PRSIt3)))/12</f>
        <v>0.047</v>
      </c>
      <c r="K247" s="20" t="n">
        <f aca="false">IF(G247=1,F_Income*F247,0)</f>
        <v>85174.9553801908</v>
      </c>
      <c r="L247" s="20" t="n">
        <f aca="false">IF(G247=1,(F_Own+In_penExtra)*12*F247,0)</f>
        <v>4581.82518596888</v>
      </c>
      <c r="M247" s="20" t="n">
        <f aca="false">IF(G247=1,(F_PenM+In_penExtra)*12*F247,0)</f>
        <v>9163.65037193777</v>
      </c>
      <c r="N247" s="45" t="n">
        <f aca="false">IF(C247&lt;PR_RelA1,PR_RelP1,IF(C247&lt;PR_RelA2,PR_RelP2,IF(C247&lt;PR_RelA3,PR_RelP3,IF(C247&lt;PR_RelA4,PR_RelP4,IF(C247&lt;PR_RelA5,PR_RelP5,PR_RelP6)))))</f>
        <v>0.3</v>
      </c>
      <c r="O247" s="20" t="n">
        <f aca="false">IF(G247=1,MIN(L247/H247,N247*MIN(K247/H247,PR_EarnCap))*H247,0)</f>
        <v>4581.82518596888</v>
      </c>
      <c r="P247" s="20" t="n">
        <f aca="false">IF(AND(G247=1,F_AE=1),MIN(K247/H247,PR_AEcap)*H247,0)</f>
        <v>0</v>
      </c>
      <c r="Q247" s="20" t="n">
        <f aca="false">IF(G247=1,IF(WI_Retire=1,MAX(0,M247+WI_M*12),M247)+(PR_AEee+PR_AEer+PR_AEst)*P247,0)</f>
        <v>9163.65037193777</v>
      </c>
      <c r="R247" s="20" t="n">
        <f aca="false">L247+PR_AEee*P247</f>
        <v>4581.82518596888</v>
      </c>
      <c r="S247" s="20" t="n">
        <f aca="false">AD246</f>
        <v>253921.670658451</v>
      </c>
      <c r="T247" s="20" t="n">
        <f aca="false">IF(D247&lt;=PR_SFTfrom,PR_SFT2026,IF(D247=PR_SFTfrom+1,PR_SFT2027,IF(D247=PR_SFTfrom+2,PR_SFT2028,IF(D247&lt;=PR_SFTto,PR_SFT2029,PR_SFT2029*(1+AS_Infl)^(D247-PR_SFTto)))))</f>
        <v>3481448.06350503</v>
      </c>
      <c r="U247" s="20" t="n">
        <f aca="false">IF(AND(G247=0,C247=F_V),1,0)</f>
        <v>0</v>
      </c>
      <c r="V247" s="20" t="n">
        <f aca="false">IF(U247=1,PR_SFTrate*MAX(0,S247-T247),0)</f>
        <v>0</v>
      </c>
      <c r="W247" s="20" t="n">
        <f aca="false">S247-V247</f>
        <v>253921.670658451</v>
      </c>
      <c r="X247" s="20" t="n">
        <f aca="false">IF(AND(U247=1,AS_LumpPct&gt;0),W247*MIN(AS_LumpPct,PR_LSmax),0)</f>
        <v>0</v>
      </c>
      <c r="Y247" s="20" t="n">
        <f aca="false">X247-(PR_LSrate*MAX(0,MIN(X247,PR_LScap)-PR_LSfree)+PR_r2*MAX(0,X247-PR_LScap))</f>
        <v>0</v>
      </c>
      <c r="Z247" s="20" t="n">
        <f aca="false">W247-X247</f>
        <v>253921.670658451</v>
      </c>
      <c r="AA247" s="45" t="n">
        <f aca="false">IF(C247&gt;=PR_ARFage1,IF(Z247&gt;PR_ARFbig,PR_ARFbigRate,IF(C247&gt;=PR_ARFage2,PR_ARF71,PR_ARF61)),0)</f>
        <v>0</v>
      </c>
      <c r="AB247" s="20" t="n">
        <f aca="false">IF(AS_DrawRule="min",Z247*AA247,IF(AS_DrawRule="fixed",MAX(AS_DrawFixed*E247,Z247*AA247),Z247*MAX(1/MAX(1,AS_End-C247+1),AA247)))</f>
        <v>5642.70379241001</v>
      </c>
      <c r="AC247" s="20" t="n">
        <f aca="false">IF(AND(G247=0,C247&gt;=F_V),MIN(Z247,AB247),0)</f>
        <v>0</v>
      </c>
      <c r="AD247" s="20" t="n">
        <f aca="false">IF(G247=1,S247*(1+F_PenG)+Q247,IF(C247&lt;F_V,S247*(1+F_PenG),(Z247-AC247)*(1+AS_PenRet)))</f>
        <v>274511.796210019</v>
      </c>
      <c r="AE247" s="20" t="n">
        <f aca="false">IF(C247&gt;=PR_SPage,AS_SP*F_SpF*I247+IF(AND(C247&gt;=PR_Over80Age,F_SpF&gt;0),PR_Over80*PR_Weeks*I247,0),0)</f>
        <v>0</v>
      </c>
      <c r="AF247" s="20" t="n">
        <f aca="false">(F_OtherM+F_RentM)*12*E247</f>
        <v>0</v>
      </c>
      <c r="AG247" s="20" t="n">
        <f aca="false">F_PAge+B247</f>
        <v>50</v>
      </c>
      <c r="AH247" s="20" t="n">
        <f aca="false">IF(AND(F_Partner=1,F_PAge&gt;0,AG247&lt;IF(F_PRet&gt;0,F_PRet,PR_SPage)),F_PIncome*F247,0)</f>
        <v>32307.7416959344</v>
      </c>
      <c r="AI247" s="20" t="n">
        <f aca="false">IF(AND(F_Partner=1,AG247&gt;=PR_SPage,F_PSpQA=0),AS_SP*F_PSpF*I247,0)</f>
        <v>0</v>
      </c>
      <c r="AJ247" s="20" t="n">
        <f aca="false">IF(AND(F_Partner=1,F_PSpQA=1,C247&gt;=PR_SPage,AH247=0),IF(AG247&gt;=PR_SPage,PR_QA66,PR_QAunder)*PR_Weeks*I247,0)</f>
        <v>0</v>
      </c>
      <c r="AK247" s="20" t="n">
        <f aca="false">AE247+AJ247</f>
        <v>0</v>
      </c>
      <c r="AL247" s="20" t="n">
        <f aca="false">K247/H247</f>
        <v>65843.0108311299</v>
      </c>
      <c r="AM247" s="20" t="n">
        <f aca="false">AK247/H247</f>
        <v>0</v>
      </c>
      <c r="AN247" s="20" t="n">
        <f aca="false">AC247/H247</f>
        <v>0</v>
      </c>
      <c r="AO247" s="20" t="n">
        <f aca="false">AF247/H247</f>
        <v>0</v>
      </c>
      <c r="AP247" s="20" t="n">
        <f aca="false">O247/H247</f>
        <v>3541.89989298492</v>
      </c>
      <c r="AQ247" s="20" t="n">
        <f aca="false">AH247/H247</f>
        <v>24974.9351428424</v>
      </c>
      <c r="AR247" s="20" t="n">
        <f aca="false">AI247/H247</f>
        <v>0</v>
      </c>
      <c r="AS247" s="20" t="n">
        <f aca="false">MAX(0,AL247+AN247+AO247+AM247-AP247)</f>
        <v>62301.110938145</v>
      </c>
      <c r="AT247" s="20" t="n">
        <f aca="false">MAX(0,AQ247+AR247)</f>
        <v>24974.9351428424</v>
      </c>
      <c r="AU247" s="20" t="n">
        <f aca="false">MIN(PR_PAYE,PR_PAYEcap*(AL247+AN247+AM247))</f>
        <v>2000</v>
      </c>
      <c r="AV247" s="20" t="n">
        <f aca="false">MIN(PR_PAYE,PR_PAYEcap*(AQ247+AR247))</f>
        <v>2000</v>
      </c>
      <c r="AW247" s="20" t="n">
        <f aca="false">IF(C247&gt;=PR_AgeCrAge,PR_AgeCr,0)</f>
        <v>0</v>
      </c>
      <c r="AX247" s="20" t="n">
        <f aca="false">IF(AG247&gt;=PR_AgeCrAge,PR_AgeCr,0)</f>
        <v>0</v>
      </c>
      <c r="AY247" s="20" t="n">
        <f aca="false">IF(AND(F_RentCred=1,D247&lt;=PR_RentLast),1,0)</f>
        <v>0</v>
      </c>
      <c r="AZ247" s="20" t="n">
        <f aca="false">AS247+AT247</f>
        <v>87276.0460809873</v>
      </c>
      <c r="BA247" s="20" t="n">
        <f aca="false">PR_PersonalM+AU247+AV247+AW247+AX247+IF(AY247=1,PR_RentJoint,0)</f>
        <v>8000</v>
      </c>
      <c r="BB247" s="20" t="n">
        <f aca="false">PR_BandM+MIN(MIN(AS247,AT247),PR_Uplift)</f>
        <v>77974.9351428424</v>
      </c>
      <c r="BC247" s="20" t="n">
        <f aca="false">MAX(0,PR_r1*MIN(AZ247,BB247)+PR_r2*MAX(0,AZ247-BB247)-BA247)</f>
        <v>11315.4314038265</v>
      </c>
      <c r="BD247" s="20" t="n">
        <f aca="false">MAX(0,PR_HomeCarer-MAX(0,MIN(AS247,AT247)-PR_HCLimit)/2)</f>
        <v>0</v>
      </c>
      <c r="BE247" s="20" t="n">
        <f aca="false">IF(F_Carer=1,MIN(BC247,MAX(0,PR_r1*MIN(AZ247,PR_BandM)+PR_r2*MAX(0,AZ247-PR_BandM)-BA247-BD247)),BC247)</f>
        <v>11315.4314038265</v>
      </c>
      <c r="BF247" s="20" t="n">
        <f aca="false">IF(OR(C247&gt;=PR_AgeCrAge,AG247&gt;=PR_AgeCrAge),IF(AZ247&lt;=PR_AgeExM,0,MIN(BE247,PR_AgeMarg*(AZ247-PR_AgeExM))),BE247)</f>
        <v>11315.4314038265</v>
      </c>
      <c r="BG247" s="20" t="n">
        <f aca="false">MAX(0,PR_r1*MIN(AS247,IF(F_Spccc=1,PR_BandSPCCC,PR_Band))+PR_r2*MAX(0,AS247-IF(F_Spccc=1,PR_BandSPCCC,PR_Band))-(PR_Personal+AU247+AW247+IF(F_Spccc=1,PR_SPCCC,0)+IF(AY247=1,PR_Rent,0)))</f>
        <v>12120.444375258</v>
      </c>
      <c r="BH247" s="20" t="n">
        <f aca="false">IF(C247&gt;=PR_AgeCrAge,IF(AS247&lt;=PR_AgeEx,0,MIN(BG247,PR_AgeMarg*(AS247-PR_AgeEx))),BG247)</f>
        <v>12120.444375258</v>
      </c>
      <c r="BI247" s="20" t="n">
        <f aca="false">IF(F_Partner=1,MAX(0,PR_r1*MIN(AT247,PR_Band)+PR_r2*MAX(0,AT247-PR_Band)-(PR_Personal+AV247+AX247+IF(AND(AY247=1,AT247&gt;0),PR_Rent,0))),0)</f>
        <v>994.987028568474</v>
      </c>
      <c r="BJ247" s="20" t="n">
        <f aca="false">IF(AG247&gt;=PR_AgeCrAge,IF(AT247&lt;=PR_AgeEx,0,MIN(BI247,PR_AgeMarg*(AT247-PR_AgeEx))),BI247)</f>
        <v>994.987028568474</v>
      </c>
      <c r="BK247" s="20" t="n">
        <f aca="false">IF(F_Partner=1,IF(F_Married=1,BF247,BH247+BJ247),BH247)</f>
        <v>13115.4314038265</v>
      </c>
      <c r="BL247" s="20" t="n">
        <f aca="false">AL247+AN247+AO247</f>
        <v>65843.0108311299</v>
      </c>
      <c r="BM247" s="20" t="n">
        <f aca="false">IF(BL247&lt;=PR_USCex,0,IF(IF(AND(C247&gt;=PR_USCredAge,BL247&lt;=PR_USCredMax),1,0)=1,PR_USCr1*MIN(BL247,PR_USCredB1)+PR_USCredR2*MAX(0,BL247-PR_USCredB1),PR_USCr1*MIN(BL247,PR_USCb1)+PR_USCr2*MAX(0,MIN(BL247,PR_USCb2)-PR_USCb1)+PR_USCr3*MAX(0,MIN(BL247,PR_USCb3)-PR_USCb2)+PR_USCr4*MAX(0,BL247-PR_USCb3)))+IF(F_SelfEmp=1,PR_USCse*MAX(0,AL247-PR_USCseOver),0)</f>
        <v>1508.1103249339</v>
      </c>
      <c r="BN247" s="20" t="n">
        <f aca="false">AQ247</f>
        <v>24974.9351428424</v>
      </c>
      <c r="BO247" s="20" t="n">
        <f aca="false">IF(F_Partner=1,IF(BN247&lt;=PR_USCex,0,IF(IF(AND(AG247&gt;=PR_USCredAge,BN247&lt;=PR_USCredMax),1,0)=1,PR_USCr1*MIN(BN247,PR_USCredB1)+PR_USCredR2*MAX(0,BN247-PR_USCredB1),PR_USCr1*MIN(BN247,PR_USCb1)+PR_USCr2*MAX(0,MIN(BN247,PR_USCb2)-PR_USCb1)+PR_USCr3*MAX(0,MIN(BN247,PR_USCb3)-PR_USCb2)+PR_USCr4*MAX(0,BN247-PR_USCb3))),0)</f>
        <v>319.318702856847</v>
      </c>
      <c r="BP247" s="20" t="n">
        <f aca="false">IF(C247&lt;PR_PRSIend,IF(F_SelfEmp=1,IF(AL247&gt;PR_PRSIsMinInc,MAX(PR_PRSIsMin,AL247*J247),0),IF(AL247/52&lt;=PR_PRSIfree,0,MAX(0,(AL247/52*J247-IF(AL247/52&lt;=PR_PRSIcreditTo,MAX(0,PR_PRSIcreditMax-(AL247/52-(PR_PRSIfree+0.01))/PR_PRSItaper),0))*52)))+J247*AN247+IF(AO247&gt;PR_PRSIunearned,J247*AO247,0),0)</f>
        <v>3094.6215090631</v>
      </c>
      <c r="BQ247" s="20" t="n">
        <f aca="false">IF(AND(F_Partner=1,AG247&lt;PR_PRSIend),IF(AQ247/52&lt;=PR_PRSIfree,0,MAX(0,(AQ247/52*J247-IF(AQ247/52&lt;=PR_PRSIcreditTo,MAX(0,PR_PRSIcreditMax-(AQ247/52-(PR_PRSIfree+0.01))/PR_PRSItaper),0))*52)),0)</f>
        <v>1173.82195171359</v>
      </c>
      <c r="BR247" s="20" t="n">
        <f aca="false">BK247+BM247+BO247+BP247+BQ247</f>
        <v>19211.3038923939</v>
      </c>
      <c r="BS247" s="20" t="n">
        <f aca="false">BR247*H247</f>
        <v>24851.8700948636</v>
      </c>
      <c r="BT247" s="20" t="n">
        <f aca="false">K247+AK247+AC247+AF247+AH247+AI247</f>
        <v>117482.697076125</v>
      </c>
    </row>
    <row r="248" customFormat="false" ht="15" hidden="false" customHeight="true" outlineLevel="0" collapsed="false">
      <c r="B248" s="20" t="n">
        <v>14</v>
      </c>
      <c r="C248" s="20" t="n">
        <f aca="false">F_Age+B248</f>
        <v>52</v>
      </c>
      <c r="D248" s="20" t="n">
        <f aca="false">AS_Year0+B248</f>
        <v>2041</v>
      </c>
      <c r="E248" s="44" t="n">
        <f aca="false">(1+AS_Infl)^B248</f>
        <v>1.31947876306287</v>
      </c>
      <c r="F248" s="44" t="n">
        <f aca="false">(1+AS_Wage)^B248</f>
        <v>1.51258972485511</v>
      </c>
      <c r="G248" s="20" t="n">
        <f aca="false">IF(C248&lt;F_R,1,0)</f>
        <v>1</v>
      </c>
      <c r="H248" s="44" t="n">
        <f aca="false">IF(AS_Bands="flat",1,E248)</f>
        <v>1.31947876306287</v>
      </c>
      <c r="I248" s="44" t="n">
        <f aca="false">IF(AS_SpGrow="pay",F248,IF(AS_SpGrow="flat",1,E248))</f>
        <v>1.31947876306287</v>
      </c>
      <c r="J248" s="44" t="n">
        <f aca="false">(12*PR_PRSIr0+(PR_PRSIr1-PR_PRSIr0)*MAX(0,MIN(12,D248*12+12-PR_PRSIt1))+(PR_PRSIr2-PR_PRSIr1)*MAX(0,MIN(12,D248*12+12-PR_PRSIt2))+(PR_PRSIr3-PR_PRSIr2)*MAX(0,MIN(12,D248*12+12-PR_PRSIt3)))/12</f>
        <v>0.047</v>
      </c>
      <c r="K248" s="20" t="n">
        <f aca="false">IF(G248=1,F_Income*F248,0)</f>
        <v>87730.2040415965</v>
      </c>
      <c r="L248" s="20" t="n">
        <f aca="false">IF(G248=1,(F_Own+In_penExtra)*12*F248,0)</f>
        <v>4719.27994154795</v>
      </c>
      <c r="M248" s="20" t="n">
        <f aca="false">IF(G248=1,(F_PenM+In_penExtra)*12*F248,0)</f>
        <v>9438.5598830959</v>
      </c>
      <c r="N248" s="45" t="n">
        <f aca="false">IF(C248&lt;PR_RelA1,PR_RelP1,IF(C248&lt;PR_RelA2,PR_RelP2,IF(C248&lt;PR_RelA3,PR_RelP3,IF(C248&lt;PR_RelA4,PR_RelP4,IF(C248&lt;PR_RelA5,PR_RelP5,PR_RelP6)))))</f>
        <v>0.3</v>
      </c>
      <c r="O248" s="20" t="n">
        <f aca="false">IF(G248=1,MIN(L248/H248,N248*MIN(K248/H248,PR_EarnCap))*H248,0)</f>
        <v>4719.27994154795</v>
      </c>
      <c r="P248" s="20" t="n">
        <f aca="false">IF(AND(G248=1,F_AE=1),MIN(K248/H248,PR_AEcap)*H248,0)</f>
        <v>0</v>
      </c>
      <c r="Q248" s="20" t="n">
        <f aca="false">IF(G248=1,IF(WI_Retire=1,MAX(0,M248+WI_M*12),M248)+(PR_AEee+PR_AEer+PR_AEst)*P248,0)</f>
        <v>9438.5598830959</v>
      </c>
      <c r="R248" s="20" t="n">
        <f aca="false">L248+PR_AEee*P248</f>
        <v>4719.27994154795</v>
      </c>
      <c r="S248" s="20" t="n">
        <f aca="false">AD247</f>
        <v>274511.796210019</v>
      </c>
      <c r="T248" s="20" t="n">
        <f aca="false">IF(D248&lt;=PR_SFTfrom,PR_SFT2026,IF(D248=PR_SFTfrom+1,PR_SFT2027,IF(D248=PR_SFTfrom+2,PR_SFT2028,IF(D248&lt;=PR_SFTto,PR_SFT2029,PR_SFT2029*(1+AS_Infl)^(D248-PR_SFTto)))))</f>
        <v>3551077.02477513</v>
      </c>
      <c r="U248" s="20" t="n">
        <f aca="false">IF(AND(G248=0,C248=F_V),1,0)</f>
        <v>0</v>
      </c>
      <c r="V248" s="20" t="n">
        <f aca="false">IF(U248=1,PR_SFTrate*MAX(0,S248-T248),0)</f>
        <v>0</v>
      </c>
      <c r="W248" s="20" t="n">
        <f aca="false">S248-V248</f>
        <v>274511.796210019</v>
      </c>
      <c r="X248" s="20" t="n">
        <f aca="false">IF(AND(U248=1,AS_LumpPct&gt;0),W248*MIN(AS_LumpPct,PR_LSmax),0)</f>
        <v>0</v>
      </c>
      <c r="Y248" s="20" t="n">
        <f aca="false">X248-(PR_LSrate*MAX(0,MIN(X248,PR_LScap)-PR_LSfree)+PR_r2*MAX(0,X248-PR_LScap))</f>
        <v>0</v>
      </c>
      <c r="Z248" s="20" t="n">
        <f aca="false">W248-X248</f>
        <v>274511.796210019</v>
      </c>
      <c r="AA248" s="45" t="n">
        <f aca="false">IF(C248&gt;=PR_ARFage1,IF(Z248&gt;PR_ARFbig,PR_ARFbigRate,IF(C248&gt;=PR_ARFage2,PR_ARF71,PR_ARF61)),0)</f>
        <v>0</v>
      </c>
      <c r="AB248" s="20" t="n">
        <f aca="false">IF(AS_DrawRule="min",Z248*AA248,IF(AS_DrawRule="fixed",MAX(AS_DrawFixed*E248,Z248*AA248),Z248*MAX(1/MAX(1,AS_End-C248+1),AA248)))</f>
        <v>6238.9044593186</v>
      </c>
      <c r="AC248" s="20" t="n">
        <f aca="false">IF(AND(G248=0,C248&gt;=F_V),MIN(Z248,AB248),0)</f>
        <v>0</v>
      </c>
      <c r="AD248" s="20" t="n">
        <f aca="false">IF(G248=1,S248*(1+F_PenG)+Q248,IF(C248&lt;F_V,S248*(1+F_PenG),(Z248-AC248)*(1+AS_PenRet)))</f>
        <v>296303.386922565</v>
      </c>
      <c r="AE248" s="20" t="n">
        <f aca="false">IF(C248&gt;=PR_SPage,AS_SP*F_SpF*I248+IF(AND(C248&gt;=PR_Over80Age,F_SpF&gt;0),PR_Over80*PR_Weeks*I248,0),0)</f>
        <v>0</v>
      </c>
      <c r="AF248" s="20" t="n">
        <f aca="false">(F_OtherM+F_RentM)*12*E248</f>
        <v>0</v>
      </c>
      <c r="AG248" s="20" t="n">
        <f aca="false">F_PAge+B248</f>
        <v>51</v>
      </c>
      <c r="AH248" s="20" t="n">
        <f aca="false">IF(AND(F_Partner=1,F_PAge&gt;0,AG248&lt;IF(F_PRet&gt;0,F_PRet,PR_SPage)),F_PIncome*F248,0)</f>
        <v>33276.9739468125</v>
      </c>
      <c r="AI248" s="20" t="n">
        <f aca="false">IF(AND(F_Partner=1,AG248&gt;=PR_SPage,F_PSpQA=0),AS_SP*F_PSpF*I248,0)</f>
        <v>0</v>
      </c>
      <c r="AJ248" s="20" t="n">
        <f aca="false">IF(AND(F_Partner=1,F_PSpQA=1,C248&gt;=PR_SPage,AH248=0),IF(AG248&gt;=PR_SPage,PR_QA66,PR_QAunder)*PR_Weeks*I248,0)</f>
        <v>0</v>
      </c>
      <c r="AK248" s="20" t="n">
        <f aca="false">AE248+AJ248</f>
        <v>0</v>
      </c>
      <c r="AL248" s="20" t="n">
        <f aca="false">K248/H248</f>
        <v>66488.5305451606</v>
      </c>
      <c r="AM248" s="20" t="n">
        <f aca="false">AK248/H248</f>
        <v>0</v>
      </c>
      <c r="AN248" s="20" t="n">
        <f aca="false">AC248/H248</f>
        <v>0</v>
      </c>
      <c r="AO248" s="20" t="n">
        <f aca="false">AF248/H248</f>
        <v>0</v>
      </c>
      <c r="AP248" s="20" t="n">
        <f aca="false">O248/H248</f>
        <v>3576.62440173967</v>
      </c>
      <c r="AQ248" s="20" t="n">
        <f aca="false">AH248/H248</f>
        <v>25219.7874481644</v>
      </c>
      <c r="AR248" s="20" t="n">
        <f aca="false">AI248/H248</f>
        <v>0</v>
      </c>
      <c r="AS248" s="20" t="n">
        <f aca="false">MAX(0,AL248+AN248+AO248+AM248-AP248)</f>
        <v>62911.9061434209</v>
      </c>
      <c r="AT248" s="20" t="n">
        <f aca="false">MAX(0,AQ248+AR248)</f>
        <v>25219.7874481644</v>
      </c>
      <c r="AU248" s="20" t="n">
        <f aca="false">MIN(PR_PAYE,PR_PAYEcap*(AL248+AN248+AM248))</f>
        <v>2000</v>
      </c>
      <c r="AV248" s="20" t="n">
        <f aca="false">MIN(PR_PAYE,PR_PAYEcap*(AQ248+AR248))</f>
        <v>2000</v>
      </c>
      <c r="AW248" s="20" t="n">
        <f aca="false">IF(C248&gt;=PR_AgeCrAge,PR_AgeCr,0)</f>
        <v>0</v>
      </c>
      <c r="AX248" s="20" t="n">
        <f aca="false">IF(AG248&gt;=PR_AgeCrAge,PR_AgeCr,0)</f>
        <v>0</v>
      </c>
      <c r="AY248" s="20" t="n">
        <f aca="false">IF(AND(F_RentCred=1,D248&lt;=PR_RentLast),1,0)</f>
        <v>0</v>
      </c>
      <c r="AZ248" s="20" t="n">
        <f aca="false">AS248+AT248</f>
        <v>88131.6935915853</v>
      </c>
      <c r="BA248" s="20" t="n">
        <f aca="false">PR_PersonalM+AU248+AV248+AW248+AX248+IF(AY248=1,PR_RentJoint,0)</f>
        <v>8000</v>
      </c>
      <c r="BB248" s="20" t="n">
        <f aca="false">PR_BandM+MIN(MIN(AS248,AT248),PR_Uplift)</f>
        <v>78219.7874481644</v>
      </c>
      <c r="BC248" s="20" t="n">
        <f aca="false">MAX(0,PR_r1*MIN(AZ248,BB248)+PR_r2*MAX(0,AZ248-BB248)-BA248)</f>
        <v>11608.7199470012</v>
      </c>
      <c r="BD248" s="20" t="n">
        <f aca="false">MAX(0,PR_HomeCarer-MAX(0,MIN(AS248,AT248)-PR_HCLimit)/2)</f>
        <v>0</v>
      </c>
      <c r="BE248" s="20" t="n">
        <f aca="false">IF(F_Carer=1,MIN(BC248,MAX(0,PR_r1*MIN(AZ248,PR_BandM)+PR_r2*MAX(0,AZ248-PR_BandM)-BA248-BD248)),BC248)</f>
        <v>11608.7199470012</v>
      </c>
      <c r="BF248" s="20" t="n">
        <f aca="false">IF(OR(C248&gt;=PR_AgeCrAge,AG248&gt;=PR_AgeCrAge),IF(AZ248&lt;=PR_AgeExM,0,MIN(BE248,PR_AgeMarg*(AZ248-PR_AgeExM))),BE248)</f>
        <v>11608.7199470012</v>
      </c>
      <c r="BG248" s="20" t="n">
        <f aca="false">MAX(0,PR_r1*MIN(AS248,IF(F_Spccc=1,PR_BandSPCCC,PR_Band))+PR_r2*MAX(0,AS248-IF(F_Spccc=1,PR_BandSPCCC,PR_Band))-(PR_Personal+AU248+AW248+IF(F_Spccc=1,PR_SPCCC,0)+IF(AY248=1,PR_Rent,0)))</f>
        <v>12364.7624573684</v>
      </c>
      <c r="BH248" s="20" t="n">
        <f aca="false">IF(C248&gt;=PR_AgeCrAge,IF(AS248&lt;=PR_AgeEx,0,MIN(BG248,PR_AgeMarg*(AS248-PR_AgeEx))),BG248)</f>
        <v>12364.7624573684</v>
      </c>
      <c r="BI248" s="20" t="n">
        <f aca="false">IF(F_Partner=1,MAX(0,PR_r1*MIN(AT248,PR_Band)+PR_r2*MAX(0,AT248-PR_Band)-(PR_Personal+AV248+AX248+IF(AND(AY248=1,AT248&gt;0),PR_Rent,0))),0)</f>
        <v>1043.95748963287</v>
      </c>
      <c r="BJ248" s="20" t="n">
        <f aca="false">IF(AG248&gt;=PR_AgeCrAge,IF(AT248&lt;=PR_AgeEx,0,MIN(BI248,PR_AgeMarg*(AT248-PR_AgeEx))),BI248)</f>
        <v>1043.95748963287</v>
      </c>
      <c r="BK248" s="20" t="n">
        <f aca="false">IF(F_Partner=1,IF(F_Married=1,BF248,BH248+BJ248),BH248)</f>
        <v>13408.7199470012</v>
      </c>
      <c r="BL248" s="20" t="n">
        <f aca="false">AL248+AN248+AO248</f>
        <v>66488.5305451606</v>
      </c>
      <c r="BM248" s="20" t="n">
        <f aca="false">IF(BL248&lt;=PR_USCex,0,IF(IF(AND(C248&gt;=PR_USCredAge,BL248&lt;=PR_USCredMax),1,0)=1,PR_USCr1*MIN(BL248,PR_USCredB1)+PR_USCredR2*MAX(0,BL248-PR_USCredB1),PR_USCr1*MIN(BL248,PR_USCb1)+PR_USCr2*MAX(0,MIN(BL248,PR_USCb2)-PR_USCb1)+PR_USCr3*MAX(0,MIN(BL248,PR_USCb3)-PR_USCb2)+PR_USCr4*MAX(0,BL248-PR_USCb3)))+IF(F_SelfEmp=1,PR_USCse*MAX(0,AL248-PR_USCseOver),0)</f>
        <v>1527.47591635482</v>
      </c>
      <c r="BN248" s="20" t="n">
        <f aca="false">AQ248</f>
        <v>25219.7874481644</v>
      </c>
      <c r="BO248" s="20" t="n">
        <f aca="false">IF(F_Partner=1,IF(BN248&lt;=PR_USCex,0,IF(IF(AND(AG248&gt;=PR_USCredAge,BN248&lt;=PR_USCredMax),1,0)=1,PR_USCr1*MIN(BN248,PR_USCredB1)+PR_USCredR2*MAX(0,BN248-PR_USCredB1),PR_USCr1*MIN(BN248,PR_USCb1)+PR_USCr2*MAX(0,MIN(BN248,PR_USCb2)-PR_USCb1)+PR_USCr3*MAX(0,MIN(BN248,PR_USCb3)-PR_USCb2)+PR_USCr4*MAX(0,BN248-PR_USCb3))),0)</f>
        <v>324.215748963287</v>
      </c>
      <c r="BP248" s="20" t="n">
        <f aca="false">IF(C248&lt;PR_PRSIend,IF(F_SelfEmp=1,IF(AL248&gt;PR_PRSIsMinInc,MAX(PR_PRSIsMin,AL248*J248),0),IF(AL248/52&lt;=PR_PRSIfree,0,MAX(0,(AL248/52*J248-IF(AL248/52&lt;=PR_PRSIcreditTo,MAX(0,PR_PRSIcreditMax-(AL248/52-(PR_PRSIfree+0.01))/PR_PRSItaper),0))*52)))+J248*AN248+IF(AO248&gt;PR_PRSIunearned,J248*AO248,0),0)</f>
        <v>3124.96093562255</v>
      </c>
      <c r="BQ248" s="20" t="n">
        <f aca="false">IF(AND(F_Partner=1,AG248&lt;PR_PRSIend),IF(AQ248/52&lt;=PR_PRSIfree,0,MAX(0,(AQ248/52*J248-IF(AQ248/52&lt;=PR_PRSIcreditTo,MAX(0,PR_PRSIcreditMax-(AQ248/52-(PR_PRSIfree+0.01))/PR_PRSItaper),0))*52)),0)</f>
        <v>1185.33001006372</v>
      </c>
      <c r="BR248" s="20" t="n">
        <f aca="false">BK248+BM248+BO248+BP248+BQ248</f>
        <v>19570.7025580056</v>
      </c>
      <c r="BS248" s="20" t="n">
        <f aca="false">BR248*H248</f>
        <v>25823.1264035086</v>
      </c>
      <c r="BT248" s="20" t="n">
        <f aca="false">K248+AK248+AC248+AF248+AH248+AI248</f>
        <v>121007.177988409</v>
      </c>
    </row>
    <row r="249" customFormat="false" ht="15" hidden="false" customHeight="true" outlineLevel="0" collapsed="false">
      <c r="B249" s="20" t="n">
        <v>15</v>
      </c>
      <c r="C249" s="20" t="n">
        <f aca="false">F_Age+B249</f>
        <v>53</v>
      </c>
      <c r="D249" s="20" t="n">
        <f aca="false">AS_Year0+B249</f>
        <v>2042</v>
      </c>
      <c r="E249" s="44" t="n">
        <f aca="false">(1+AS_Infl)^B249</f>
        <v>1.34586833832413</v>
      </c>
      <c r="F249" s="44" t="n">
        <f aca="false">(1+AS_Wage)^B249</f>
        <v>1.55796741660077</v>
      </c>
      <c r="G249" s="20" t="n">
        <f aca="false">IF(C249&lt;F_R,1,0)</f>
        <v>1</v>
      </c>
      <c r="H249" s="44" t="n">
        <f aca="false">IF(AS_Bands="flat",1,E249)</f>
        <v>1.34586833832413</v>
      </c>
      <c r="I249" s="44" t="n">
        <f aca="false">IF(AS_SpGrow="pay",F249,IF(AS_SpGrow="flat",1,E249))</f>
        <v>1.34586833832413</v>
      </c>
      <c r="J249" s="44" t="n">
        <f aca="false">(12*PR_PRSIr0+(PR_PRSIr1-PR_PRSIr0)*MAX(0,MIN(12,D249*12+12-PR_PRSIt1))+(PR_PRSIr2-PR_PRSIr1)*MAX(0,MIN(12,D249*12+12-PR_PRSIt2))+(PR_PRSIr3-PR_PRSIr2)*MAX(0,MIN(12,D249*12+12-PR_PRSIt3)))/12</f>
        <v>0.047</v>
      </c>
      <c r="K249" s="20" t="n">
        <f aca="false">IF(G249=1,F_Income*F249,0)</f>
        <v>90362.1101628444</v>
      </c>
      <c r="L249" s="20" t="n">
        <f aca="false">IF(G249=1,(F_Own+In_penExtra)*12*F249,0)</f>
        <v>4860.85833979439</v>
      </c>
      <c r="M249" s="20" t="n">
        <f aca="false">IF(G249=1,(F_PenM+In_penExtra)*12*F249,0)</f>
        <v>9721.71667958877</v>
      </c>
      <c r="N249" s="45" t="n">
        <f aca="false">IF(C249&lt;PR_RelA1,PR_RelP1,IF(C249&lt;PR_RelA2,PR_RelP2,IF(C249&lt;PR_RelA3,PR_RelP3,IF(C249&lt;PR_RelA4,PR_RelP4,IF(C249&lt;PR_RelA5,PR_RelP5,PR_RelP6)))))</f>
        <v>0.3</v>
      </c>
      <c r="O249" s="20" t="n">
        <f aca="false">IF(G249=1,MIN(L249/H249,N249*MIN(K249/H249,PR_EarnCap))*H249,0)</f>
        <v>4860.85833979439</v>
      </c>
      <c r="P249" s="20" t="n">
        <f aca="false">IF(AND(G249=1,F_AE=1),MIN(K249/H249,PR_AEcap)*H249,0)</f>
        <v>0</v>
      </c>
      <c r="Q249" s="20" t="n">
        <f aca="false">IF(G249=1,IF(WI_Retire=1,MAX(0,M249+WI_M*12),M249)+(PR_AEee+PR_AEer+PR_AEst)*P249,0)</f>
        <v>9721.71667958877</v>
      </c>
      <c r="R249" s="20" t="n">
        <f aca="false">L249+PR_AEee*P249</f>
        <v>4860.85833979439</v>
      </c>
      <c r="S249" s="20" t="n">
        <f aca="false">AD248</f>
        <v>296303.386922565</v>
      </c>
      <c r="T249" s="20" t="n">
        <f aca="false">IF(D249&lt;=PR_SFTfrom,PR_SFT2026,IF(D249=PR_SFTfrom+1,PR_SFT2027,IF(D249=PR_SFTfrom+2,PR_SFT2028,IF(D249&lt;=PR_SFTto,PR_SFT2029,PR_SFT2029*(1+AS_Infl)^(D249-PR_SFTto)))))</f>
        <v>3622098.56527063</v>
      </c>
      <c r="U249" s="20" t="n">
        <f aca="false">IF(AND(G249=0,C249=F_V),1,0)</f>
        <v>0</v>
      </c>
      <c r="V249" s="20" t="n">
        <f aca="false">IF(U249=1,PR_SFTrate*MAX(0,S249-T249),0)</f>
        <v>0</v>
      </c>
      <c r="W249" s="20" t="n">
        <f aca="false">S249-V249</f>
        <v>296303.386922565</v>
      </c>
      <c r="X249" s="20" t="n">
        <f aca="false">IF(AND(U249=1,AS_LumpPct&gt;0),W249*MIN(AS_LumpPct,PR_LSmax),0)</f>
        <v>0</v>
      </c>
      <c r="Y249" s="20" t="n">
        <f aca="false">X249-(PR_LSrate*MAX(0,MIN(X249,PR_LScap)-PR_LSfree)+PR_r2*MAX(0,X249-PR_LScap))</f>
        <v>0</v>
      </c>
      <c r="Z249" s="20" t="n">
        <f aca="false">W249-X249</f>
        <v>296303.386922565</v>
      </c>
      <c r="AA249" s="45" t="n">
        <f aca="false">IF(C249&gt;=PR_ARFage1,IF(Z249&gt;PR_ARFbig,PR_ARFbigRate,IF(C249&gt;=PR_ARFage2,PR_ARF71,PR_ARF61)),0)</f>
        <v>0</v>
      </c>
      <c r="AB249" s="20" t="n">
        <f aca="false">IF(AS_DrawRule="min",Z249*AA249,IF(AS_DrawRule="fixed",MAX(AS_DrawFixed*E249,Z249*AA249),Z249*MAX(1/MAX(1,AS_End-C249+1),AA249)))</f>
        <v>6890.77644005966</v>
      </c>
      <c r="AC249" s="20" t="n">
        <f aca="false">IF(AND(G249=0,C249&gt;=F_V),MIN(Z249,AB249),0)</f>
        <v>0</v>
      </c>
      <c r="AD249" s="20" t="n">
        <f aca="false">IF(G249=1,S249*(1+F_PenG)+Q249,IF(C249&lt;F_V,S249*(1+F_PenG),(Z249-AC249)*(1+AS_PenRet)))</f>
        <v>319358.75601367</v>
      </c>
      <c r="AE249" s="20" t="n">
        <f aca="false">IF(C249&gt;=PR_SPage,AS_SP*F_SpF*I249+IF(AND(C249&gt;=PR_Over80Age,F_SpF&gt;0),PR_Over80*PR_Weeks*I249,0),0)</f>
        <v>0</v>
      </c>
      <c r="AF249" s="20" t="n">
        <f aca="false">(F_OtherM+F_RentM)*12*E249</f>
        <v>0</v>
      </c>
      <c r="AG249" s="20" t="n">
        <f aca="false">F_PAge+B249</f>
        <v>52</v>
      </c>
      <c r="AH249" s="20" t="n">
        <f aca="false">IF(AND(F_Partner=1,F_PAge&gt;0,AG249&lt;IF(F_PRet&gt;0,F_PRet,PR_SPage)),F_PIncome*F249,0)</f>
        <v>34275.2831652168</v>
      </c>
      <c r="AI249" s="20" t="n">
        <f aca="false">IF(AND(F_Partner=1,AG249&gt;=PR_SPage,F_PSpQA=0),AS_SP*F_PSpF*I249,0)</f>
        <v>0</v>
      </c>
      <c r="AJ249" s="20" t="n">
        <f aca="false">IF(AND(F_Partner=1,F_PSpQA=1,C249&gt;=PR_SPage,AH249=0),IF(AG249&gt;=PR_SPage,PR_QA66,PR_QAunder)*PR_Weeks*I249,0)</f>
        <v>0</v>
      </c>
      <c r="AK249" s="20" t="n">
        <f aca="false">AE249+AJ249</f>
        <v>0</v>
      </c>
      <c r="AL249" s="20" t="n">
        <f aca="false">K249/H249</f>
        <v>67140.3788838386</v>
      </c>
      <c r="AM249" s="20" t="n">
        <f aca="false">AK249/H249</f>
        <v>0</v>
      </c>
      <c r="AN249" s="20" t="n">
        <f aca="false">AC249/H249</f>
        <v>0</v>
      </c>
      <c r="AO249" s="20" t="n">
        <f aca="false">AF249/H249</f>
        <v>0</v>
      </c>
      <c r="AP249" s="20" t="n">
        <f aca="false">O249/H249</f>
        <v>3611.68934685477</v>
      </c>
      <c r="AQ249" s="20" t="n">
        <f aca="false">AH249/H249</f>
        <v>25467.0402662836</v>
      </c>
      <c r="AR249" s="20" t="n">
        <f aca="false">AI249/H249</f>
        <v>0</v>
      </c>
      <c r="AS249" s="20" t="n">
        <f aca="false">MAX(0,AL249+AN249+AO249+AM249-AP249)</f>
        <v>63528.6895369838</v>
      </c>
      <c r="AT249" s="20" t="n">
        <f aca="false">MAX(0,AQ249+AR249)</f>
        <v>25467.0402662836</v>
      </c>
      <c r="AU249" s="20" t="n">
        <f aca="false">MIN(PR_PAYE,PR_PAYEcap*(AL249+AN249+AM249))</f>
        <v>2000</v>
      </c>
      <c r="AV249" s="20" t="n">
        <f aca="false">MIN(PR_PAYE,PR_PAYEcap*(AQ249+AR249))</f>
        <v>2000</v>
      </c>
      <c r="AW249" s="20" t="n">
        <f aca="false">IF(C249&gt;=PR_AgeCrAge,PR_AgeCr,0)</f>
        <v>0</v>
      </c>
      <c r="AX249" s="20" t="n">
        <f aca="false">IF(AG249&gt;=PR_AgeCrAge,PR_AgeCr,0)</f>
        <v>0</v>
      </c>
      <c r="AY249" s="20" t="n">
        <f aca="false">IF(AND(F_RentCred=1,D249&lt;=PR_RentLast),1,0)</f>
        <v>0</v>
      </c>
      <c r="AZ249" s="20" t="n">
        <f aca="false">AS249+AT249</f>
        <v>88995.7298032675</v>
      </c>
      <c r="BA249" s="20" t="n">
        <f aca="false">PR_PersonalM+AU249+AV249+AW249+AX249+IF(AY249=1,PR_RentJoint,0)</f>
        <v>8000</v>
      </c>
      <c r="BB249" s="20" t="n">
        <f aca="false">PR_BandM+MIN(MIN(AS249,AT249),PR_Uplift)</f>
        <v>78467.0402662836</v>
      </c>
      <c r="BC249" s="20" t="n">
        <f aca="false">MAX(0,PR_r1*MIN(AZ249,BB249)+PR_r2*MAX(0,AZ249-BB249)-BA249)</f>
        <v>11904.8838680503</v>
      </c>
      <c r="BD249" s="20" t="n">
        <f aca="false">MAX(0,PR_HomeCarer-MAX(0,MIN(AS249,AT249)-PR_HCLimit)/2)</f>
        <v>0</v>
      </c>
      <c r="BE249" s="20" t="n">
        <f aca="false">IF(F_Carer=1,MIN(BC249,MAX(0,PR_r1*MIN(AZ249,PR_BandM)+PR_r2*MAX(0,AZ249-PR_BandM)-BA249-BD249)),BC249)</f>
        <v>11904.8838680503</v>
      </c>
      <c r="BF249" s="20" t="n">
        <f aca="false">IF(OR(C249&gt;=PR_AgeCrAge,AG249&gt;=PR_AgeCrAge),IF(AZ249&lt;=PR_AgeExM,0,MIN(BE249,PR_AgeMarg*(AZ249-PR_AgeExM))),BE249)</f>
        <v>11904.8838680503</v>
      </c>
      <c r="BG249" s="20" t="n">
        <f aca="false">MAX(0,PR_r1*MIN(AS249,IF(F_Spccc=1,PR_BandSPCCC,PR_Band))+PR_r2*MAX(0,AS249-IF(F_Spccc=1,PR_BandSPCCC,PR_Band))-(PR_Personal+AU249+AW249+IF(F_Spccc=1,PR_SPCCC,0)+IF(AY249=1,PR_Rent,0)))</f>
        <v>12611.4758147935</v>
      </c>
      <c r="BH249" s="20" t="n">
        <f aca="false">IF(C249&gt;=PR_AgeCrAge,IF(AS249&lt;=PR_AgeEx,0,MIN(BG249,PR_AgeMarg*(AS249-PR_AgeEx))),BG249)</f>
        <v>12611.4758147935</v>
      </c>
      <c r="BI249" s="20" t="n">
        <f aca="false">IF(F_Partner=1,MAX(0,PR_r1*MIN(AT249,PR_Band)+PR_r2*MAX(0,AT249-PR_Band)-(PR_Personal+AV249+AX249+IF(AND(AY249=1,AT249&gt;0),PR_Rent,0))),0)</f>
        <v>1093.40805325672</v>
      </c>
      <c r="BJ249" s="20" t="n">
        <f aca="false">IF(AG249&gt;=PR_AgeCrAge,IF(AT249&lt;=PR_AgeEx,0,MIN(BI249,PR_AgeMarg*(AT249-PR_AgeEx))),BI249)</f>
        <v>1093.40805325672</v>
      </c>
      <c r="BK249" s="20" t="n">
        <f aca="false">IF(F_Partner=1,IF(F_Married=1,BF249,BH249+BJ249),BH249)</f>
        <v>13704.8838680503</v>
      </c>
      <c r="BL249" s="20" t="n">
        <f aca="false">AL249+AN249+AO249</f>
        <v>67140.3788838386</v>
      </c>
      <c r="BM249" s="20" t="n">
        <f aca="false">IF(BL249&lt;=PR_USCex,0,IF(IF(AND(C249&gt;=PR_USCredAge,BL249&lt;=PR_USCredMax),1,0)=1,PR_USCr1*MIN(BL249,PR_USCredB1)+PR_USCredR2*MAX(0,BL249-PR_USCredB1),PR_USCr1*MIN(BL249,PR_USCb1)+PR_USCr2*MAX(0,MIN(BL249,PR_USCb2)-PR_USCb1)+PR_USCr3*MAX(0,MIN(BL249,PR_USCb3)-PR_USCb2)+PR_USCr4*MAX(0,BL249-PR_USCb3)))+IF(F_SelfEmp=1,PR_USCse*MAX(0,AL249-PR_USCseOver),0)</f>
        <v>1547.03136651516</v>
      </c>
      <c r="BN249" s="20" t="n">
        <f aca="false">AQ249</f>
        <v>25467.0402662836</v>
      </c>
      <c r="BO249" s="20" t="n">
        <f aca="false">IF(F_Partner=1,IF(BN249&lt;=PR_USCex,0,IF(IF(AND(AG249&gt;=PR_USCredAge,BN249&lt;=PR_USCredMax),1,0)=1,PR_USCr1*MIN(BN249,PR_USCredB1)+PR_USCredR2*MAX(0,BN249-PR_USCredB1),PR_USCr1*MIN(BN249,PR_USCb1)+PR_USCr2*MAX(0,MIN(BN249,PR_USCb2)-PR_USCb1)+PR_USCr3*MAX(0,MIN(BN249,PR_USCb3)-PR_USCb2)+PR_USCr4*MAX(0,BN249-PR_USCb3))),0)</f>
        <v>329.160805325672</v>
      </c>
      <c r="BP249" s="20" t="n">
        <f aca="false">IF(C249&lt;PR_PRSIend,IF(F_SelfEmp=1,IF(AL249&gt;PR_PRSIsMinInc,MAX(PR_PRSIsMin,AL249*J249),0),IF(AL249/52&lt;=PR_PRSIfree,0,MAX(0,(AL249/52*J249-IF(AL249/52&lt;=PR_PRSIcreditTo,MAX(0,PR_PRSIcreditMax-(AL249/52-(PR_PRSIfree+0.01))/PR_PRSItaper),0))*52)))+J249*AN249+IF(AO249&gt;PR_PRSIunearned,J249*AO249,0),0)</f>
        <v>3155.59780754041</v>
      </c>
      <c r="BQ249" s="20" t="n">
        <f aca="false">IF(AND(F_Partner=1,AG249&lt;PR_PRSIend),IF(AQ249/52&lt;=PR_PRSIfree,0,MAX(0,(AQ249/52*J249-IF(AQ249/52&lt;=PR_PRSIcreditTo,MAX(0,PR_PRSIcreditMax-(AQ249/52-(PR_PRSIfree+0.01))/PR_PRSItaper),0))*52)),0)</f>
        <v>1196.95089251533</v>
      </c>
      <c r="BR249" s="20" t="n">
        <f aca="false">BK249+BM249+BO249+BP249+BQ249</f>
        <v>19933.6247399468</v>
      </c>
      <c r="BS249" s="20" t="n">
        <f aca="false">BR249*H249</f>
        <v>26828.034405529</v>
      </c>
      <c r="BT249" s="20" t="n">
        <f aca="false">K249+AK249+AC249+AF249+AH249+AI249</f>
        <v>124637.393328061</v>
      </c>
    </row>
    <row r="250" customFormat="false" ht="15" hidden="false" customHeight="true" outlineLevel="0" collapsed="false">
      <c r="B250" s="20" t="n">
        <v>16</v>
      </c>
      <c r="C250" s="20" t="n">
        <f aca="false">F_Age+B250</f>
        <v>54</v>
      </c>
      <c r="D250" s="20" t="n">
        <f aca="false">AS_Year0+B250</f>
        <v>2043</v>
      </c>
      <c r="E250" s="44" t="n">
        <f aca="false">(1+AS_Infl)^B250</f>
        <v>1.37278570509061</v>
      </c>
      <c r="F250" s="44" t="n">
        <f aca="false">(1+AS_Wage)^B250</f>
        <v>1.60470643909879</v>
      </c>
      <c r="G250" s="20" t="n">
        <f aca="false">IF(C250&lt;F_R,1,0)</f>
        <v>1</v>
      </c>
      <c r="H250" s="44" t="n">
        <f aca="false">IF(AS_Bands="flat",1,E250)</f>
        <v>1.37278570509061</v>
      </c>
      <c r="I250" s="44" t="n">
        <f aca="false">IF(AS_SpGrow="pay",F250,IF(AS_SpGrow="flat",1,E250))</f>
        <v>1.37278570509061</v>
      </c>
      <c r="J250" s="44" t="n">
        <f aca="false">(12*PR_PRSIr0+(PR_PRSIr1-PR_PRSIr0)*MAX(0,MIN(12,D250*12+12-PR_PRSIt1))+(PR_PRSIr2-PR_PRSIr1)*MAX(0,MIN(12,D250*12+12-PR_PRSIt2))+(PR_PRSIr3-PR_PRSIr2)*MAX(0,MIN(12,D250*12+12-PR_PRSIt3)))/12</f>
        <v>0.047</v>
      </c>
      <c r="K250" s="20" t="n">
        <f aca="false">IF(G250=1,F_Income*F250,0)</f>
        <v>93072.9734677297</v>
      </c>
      <c r="L250" s="20" t="n">
        <f aca="false">IF(G250=1,(F_Own+In_penExtra)*12*F250,0)</f>
        <v>5006.68408998822</v>
      </c>
      <c r="M250" s="20" t="n">
        <f aca="false">IF(G250=1,(F_PenM+In_penExtra)*12*F250,0)</f>
        <v>10013.3681799764</v>
      </c>
      <c r="N250" s="45" t="n">
        <f aca="false">IF(C250&lt;PR_RelA1,PR_RelP1,IF(C250&lt;PR_RelA2,PR_RelP2,IF(C250&lt;PR_RelA3,PR_RelP3,IF(C250&lt;PR_RelA4,PR_RelP4,IF(C250&lt;PR_RelA5,PR_RelP5,PR_RelP6)))))</f>
        <v>0.3</v>
      </c>
      <c r="O250" s="20" t="n">
        <f aca="false">IF(G250=1,MIN(L250/H250,N250*MIN(K250/H250,PR_EarnCap))*H250,0)</f>
        <v>5006.68408998822</v>
      </c>
      <c r="P250" s="20" t="n">
        <f aca="false">IF(AND(G250=1,F_AE=1),MIN(K250/H250,PR_AEcap)*H250,0)</f>
        <v>0</v>
      </c>
      <c r="Q250" s="20" t="n">
        <f aca="false">IF(G250=1,IF(WI_Retire=1,MAX(0,M250+WI_M*12),M250)+(PR_AEee+PR_AEer+PR_AEst)*P250,0)</f>
        <v>10013.3681799764</v>
      </c>
      <c r="R250" s="20" t="n">
        <f aca="false">L250+PR_AEee*P250</f>
        <v>5006.68408998822</v>
      </c>
      <c r="S250" s="20" t="n">
        <f aca="false">AD249</f>
        <v>319358.75601367</v>
      </c>
      <c r="T250" s="20" t="n">
        <f aca="false">IF(D250&lt;=PR_SFTfrom,PR_SFT2026,IF(D250=PR_SFTfrom+1,PR_SFT2027,IF(D250=PR_SFTfrom+2,PR_SFT2028,IF(D250&lt;=PR_SFTto,PR_SFT2029,PR_SFT2029*(1+AS_Infl)^(D250-PR_SFTto)))))</f>
        <v>3694540.53657604</v>
      </c>
      <c r="U250" s="20" t="n">
        <f aca="false">IF(AND(G250=0,C250=F_V),1,0)</f>
        <v>0</v>
      </c>
      <c r="V250" s="20" t="n">
        <f aca="false">IF(U250=1,PR_SFTrate*MAX(0,S250-T250),0)</f>
        <v>0</v>
      </c>
      <c r="W250" s="20" t="n">
        <f aca="false">S250-V250</f>
        <v>319358.75601367</v>
      </c>
      <c r="X250" s="20" t="n">
        <f aca="false">IF(AND(U250=1,AS_LumpPct&gt;0),W250*MIN(AS_LumpPct,PR_LSmax),0)</f>
        <v>0</v>
      </c>
      <c r="Y250" s="20" t="n">
        <f aca="false">X250-(PR_LSrate*MAX(0,MIN(X250,PR_LScap)-PR_LSfree)+PR_r2*MAX(0,X250-PR_LScap))</f>
        <v>0</v>
      </c>
      <c r="Z250" s="20" t="n">
        <f aca="false">W250-X250</f>
        <v>319358.75601367</v>
      </c>
      <c r="AA250" s="45" t="n">
        <f aca="false">IF(C250&gt;=PR_ARFage1,IF(Z250&gt;PR_ARFbig,PR_ARFbigRate,IF(C250&gt;=PR_ARFage2,PR_ARF71,PR_ARF61)),0)</f>
        <v>0</v>
      </c>
      <c r="AB250" s="20" t="n">
        <f aca="false">IF(AS_DrawRule="min",Z250*AA250,IF(AS_DrawRule="fixed",MAX(AS_DrawFixed*E250,Z250*AA250),Z250*MAX(1/MAX(1,AS_End-C250+1),AA250)))</f>
        <v>7603.77990508737</v>
      </c>
      <c r="AC250" s="20" t="n">
        <f aca="false">IF(AND(G250=0,C250&gt;=F_V),MIN(Z250,AB250),0)</f>
        <v>0</v>
      </c>
      <c r="AD250" s="20" t="n">
        <f aca="false">IF(G250=1,S250*(1+F_PenG)+Q250,IF(C250&lt;F_V,S250*(1+F_PenG),(Z250-AC250)*(1+AS_PenRet)))</f>
        <v>343743.268214261</v>
      </c>
      <c r="AE250" s="20" t="n">
        <f aca="false">IF(C250&gt;=PR_SPage,AS_SP*F_SpF*I250+IF(AND(C250&gt;=PR_Over80Age,F_SpF&gt;0),PR_Over80*PR_Weeks*I250,0),0)</f>
        <v>0</v>
      </c>
      <c r="AF250" s="20" t="n">
        <f aca="false">(F_OtherM+F_RentM)*12*E250</f>
        <v>0</v>
      </c>
      <c r="AG250" s="20" t="n">
        <f aca="false">F_PAge+B250</f>
        <v>53</v>
      </c>
      <c r="AH250" s="20" t="n">
        <f aca="false">IF(AND(F_Partner=1,F_PAge&gt;0,AG250&lt;IF(F_PRet&gt;0,F_PRet,PR_SPage)),F_PIncome*F250,0)</f>
        <v>35303.5416601733</v>
      </c>
      <c r="AI250" s="20" t="n">
        <f aca="false">IF(AND(F_Partner=1,AG250&gt;=PR_SPage,F_PSpQA=0),AS_SP*F_PSpF*I250,0)</f>
        <v>0</v>
      </c>
      <c r="AJ250" s="20" t="n">
        <f aca="false">IF(AND(F_Partner=1,F_PSpQA=1,C250&gt;=PR_SPage,AH250=0),IF(AG250&gt;=PR_SPage,PR_QA66,PR_QAunder)*PR_Weeks*I250,0)</f>
        <v>0</v>
      </c>
      <c r="AK250" s="20" t="n">
        <f aca="false">AE250+AJ250</f>
        <v>0</v>
      </c>
      <c r="AL250" s="20" t="n">
        <f aca="false">K250/H250</f>
        <v>67798.6178925037</v>
      </c>
      <c r="AM250" s="20" t="n">
        <f aca="false">AK250/H250</f>
        <v>0</v>
      </c>
      <c r="AN250" s="20" t="n">
        <f aca="false">AC250/H250</f>
        <v>0</v>
      </c>
      <c r="AO250" s="20" t="n">
        <f aca="false">AF250/H250</f>
        <v>0</v>
      </c>
      <c r="AP250" s="20" t="n">
        <f aca="false">O250/H250</f>
        <v>3647.09806594158</v>
      </c>
      <c r="AQ250" s="20" t="n">
        <f aca="false">AH250/H250</f>
        <v>25716.7171316393</v>
      </c>
      <c r="AR250" s="20" t="n">
        <f aca="false">AI250/H250</f>
        <v>0</v>
      </c>
      <c r="AS250" s="20" t="n">
        <f aca="false">MAX(0,AL250+AN250+AO250+AM250-AP250)</f>
        <v>64151.5198265621</v>
      </c>
      <c r="AT250" s="20" t="n">
        <f aca="false">MAX(0,AQ250+AR250)</f>
        <v>25716.7171316393</v>
      </c>
      <c r="AU250" s="20" t="n">
        <f aca="false">MIN(PR_PAYE,PR_PAYEcap*(AL250+AN250+AM250))</f>
        <v>2000</v>
      </c>
      <c r="AV250" s="20" t="n">
        <f aca="false">MIN(PR_PAYE,PR_PAYEcap*(AQ250+AR250))</f>
        <v>2000</v>
      </c>
      <c r="AW250" s="20" t="n">
        <f aca="false">IF(C250&gt;=PR_AgeCrAge,PR_AgeCr,0)</f>
        <v>0</v>
      </c>
      <c r="AX250" s="20" t="n">
        <f aca="false">IF(AG250&gt;=PR_AgeCrAge,PR_AgeCr,0)</f>
        <v>0</v>
      </c>
      <c r="AY250" s="20" t="n">
        <f aca="false">IF(AND(F_RentCred=1,D250&lt;=PR_RentLast),1,0)</f>
        <v>0</v>
      </c>
      <c r="AZ250" s="20" t="n">
        <f aca="false">AS250+AT250</f>
        <v>89868.2369582015</v>
      </c>
      <c r="BA250" s="20" t="n">
        <f aca="false">PR_PersonalM+AU250+AV250+AW250+AX250+IF(AY250=1,PR_RentJoint,0)</f>
        <v>8000</v>
      </c>
      <c r="BB250" s="20" t="n">
        <f aca="false">PR_BandM+MIN(MIN(AS250,AT250),PR_Uplift)</f>
        <v>78716.7171316393</v>
      </c>
      <c r="BC250" s="20" t="n">
        <f aca="false">MAX(0,PR_r1*MIN(AZ250,BB250)+PR_r2*MAX(0,AZ250-BB250)-BA250)</f>
        <v>12203.9513569527</v>
      </c>
      <c r="BD250" s="20" t="n">
        <f aca="false">MAX(0,PR_HomeCarer-MAX(0,MIN(AS250,AT250)-PR_HCLimit)/2)</f>
        <v>0</v>
      </c>
      <c r="BE250" s="20" t="n">
        <f aca="false">IF(F_Carer=1,MIN(BC250,MAX(0,PR_r1*MIN(AZ250,PR_BandM)+PR_r2*MAX(0,AZ250-PR_BandM)-BA250-BD250)),BC250)</f>
        <v>12203.9513569527</v>
      </c>
      <c r="BF250" s="20" t="n">
        <f aca="false">IF(OR(C250&gt;=PR_AgeCrAge,AG250&gt;=PR_AgeCrAge),IF(AZ250&lt;=PR_AgeExM,0,MIN(BE250,PR_AgeMarg*(AZ250-PR_AgeExM))),BE250)</f>
        <v>12203.9513569527</v>
      </c>
      <c r="BG250" s="20" t="n">
        <f aca="false">MAX(0,PR_r1*MIN(AS250,IF(F_Spccc=1,PR_BandSPCCC,PR_Band))+PR_r2*MAX(0,AS250-IF(F_Spccc=1,PR_BandSPCCC,PR_Band))-(PR_Personal+AU250+AW250+IF(F_Spccc=1,PR_SPCCC,0)+IF(AY250=1,PR_Rent,0)))</f>
        <v>12860.6079306248</v>
      </c>
      <c r="BH250" s="20" t="n">
        <f aca="false">IF(C250&gt;=PR_AgeCrAge,IF(AS250&lt;=PR_AgeEx,0,MIN(BG250,PR_AgeMarg*(AS250-PR_AgeEx))),BG250)</f>
        <v>12860.6079306248</v>
      </c>
      <c r="BI250" s="20" t="n">
        <f aca="false">IF(F_Partner=1,MAX(0,PR_r1*MIN(AT250,PR_Band)+PR_r2*MAX(0,AT250-PR_Band)-(PR_Personal+AV250+AX250+IF(AND(AY250=1,AT250&gt;0),PR_Rent,0))),0)</f>
        <v>1143.34342632787</v>
      </c>
      <c r="BJ250" s="20" t="n">
        <f aca="false">IF(AG250&gt;=PR_AgeCrAge,IF(AT250&lt;=PR_AgeEx,0,MIN(BI250,PR_AgeMarg*(AT250-PR_AgeEx))),BI250)</f>
        <v>1143.34342632787</v>
      </c>
      <c r="BK250" s="20" t="n">
        <f aca="false">IF(F_Partner=1,IF(F_Married=1,BF250,BH250+BJ250),BH250)</f>
        <v>14003.9513569527</v>
      </c>
      <c r="BL250" s="20" t="n">
        <f aca="false">AL250+AN250+AO250</f>
        <v>67798.6178925037</v>
      </c>
      <c r="BM250" s="20" t="n">
        <f aca="false">IF(BL250&lt;=PR_USCex,0,IF(IF(AND(C250&gt;=PR_USCredAge,BL250&lt;=PR_USCredMax),1,0)=1,PR_USCr1*MIN(BL250,PR_USCredB1)+PR_USCredR2*MAX(0,BL250-PR_USCredB1),PR_USCr1*MIN(BL250,PR_USCb1)+PR_USCr2*MAX(0,MIN(BL250,PR_USCb2)-PR_USCb1)+PR_USCr3*MAX(0,MIN(BL250,PR_USCb3)-PR_USCb2)+PR_USCr4*MAX(0,BL250-PR_USCb3)))+IF(F_SelfEmp=1,PR_USCse*MAX(0,AL250-PR_USCseOver),0)</f>
        <v>1566.77853677511</v>
      </c>
      <c r="BN250" s="20" t="n">
        <f aca="false">AQ250</f>
        <v>25716.7171316393</v>
      </c>
      <c r="BO250" s="20" t="n">
        <f aca="false">IF(F_Partner=1,IF(BN250&lt;=PR_USCex,0,IF(IF(AND(AG250&gt;=PR_USCredAge,BN250&lt;=PR_USCredMax),1,0)=1,PR_USCr1*MIN(BN250,PR_USCredB1)+PR_USCredR2*MAX(0,BN250-PR_USCredB1),PR_USCr1*MIN(BN250,PR_USCb1)+PR_USCr2*MAX(0,MIN(BN250,PR_USCb2)-PR_USCb1)+PR_USCr3*MAX(0,MIN(BN250,PR_USCb3)-PR_USCb2)+PR_USCr4*MAX(0,BN250-PR_USCb3))),0)</f>
        <v>334.154342632787</v>
      </c>
      <c r="BP250" s="20" t="n">
        <f aca="false">IF(C250&lt;PR_PRSIend,IF(F_SelfEmp=1,IF(AL250&gt;PR_PRSIsMinInc,MAX(PR_PRSIsMin,AL250*J250),0),IF(AL250/52&lt;=PR_PRSIfree,0,MAX(0,(AL250/52*J250-IF(AL250/52&lt;=PR_PRSIcreditTo,MAX(0,PR_PRSIcreditMax-(AL250/52-(PR_PRSIfree+0.01))/PR_PRSItaper),0))*52)))+J250*AN250+IF(AO250&gt;PR_PRSIunearned,J250*AO250,0),0)</f>
        <v>3186.53504094767</v>
      </c>
      <c r="BQ250" s="20" t="n">
        <f aca="false">IF(AND(F_Partner=1,AG250&lt;PR_PRSIend),IF(AQ250/52&lt;=PR_PRSIfree,0,MAX(0,(AQ250/52*J250-IF(AQ250/52&lt;=PR_PRSIcreditTo,MAX(0,PR_PRSIcreditMax-(AQ250/52-(PR_PRSIfree+0.01))/PR_PRSItaper),0))*52)),0)</f>
        <v>1208.68570518705</v>
      </c>
      <c r="BR250" s="20" t="n">
        <f aca="false">BK250+BM250+BO250+BP250+BQ250</f>
        <v>20300.1049824953</v>
      </c>
      <c r="BS250" s="20" t="n">
        <f aca="false">BR250*H250</f>
        <v>27867.6939318083</v>
      </c>
      <c r="BT250" s="20" t="n">
        <f aca="false">K250+AK250+AC250+AF250+AH250+AI250</f>
        <v>128376.515127903</v>
      </c>
    </row>
    <row r="251" customFormat="false" ht="15" hidden="false" customHeight="true" outlineLevel="0" collapsed="false">
      <c r="B251" s="20" t="n">
        <v>17</v>
      </c>
      <c r="C251" s="20" t="n">
        <f aca="false">F_Age+B251</f>
        <v>55</v>
      </c>
      <c r="D251" s="20" t="n">
        <f aca="false">AS_Year0+B251</f>
        <v>2044</v>
      </c>
      <c r="E251" s="44" t="n">
        <f aca="false">(1+AS_Infl)^B251</f>
        <v>1.40024141919242</v>
      </c>
      <c r="F251" s="44" t="n">
        <f aca="false">(1+AS_Wage)^B251</f>
        <v>1.65284763227175</v>
      </c>
      <c r="G251" s="20" t="n">
        <f aca="false">IF(C251&lt;F_R,1,0)</f>
        <v>1</v>
      </c>
      <c r="H251" s="44" t="n">
        <f aca="false">IF(AS_Bands="flat",1,E251)</f>
        <v>1.40024141919242</v>
      </c>
      <c r="I251" s="44" t="n">
        <f aca="false">IF(AS_SpGrow="pay",F251,IF(AS_SpGrow="flat",1,E251))</f>
        <v>1.40024141919242</v>
      </c>
      <c r="J251" s="44" t="n">
        <f aca="false">(12*PR_PRSIr0+(PR_PRSIr1-PR_PRSIr0)*MAX(0,MIN(12,D251*12+12-PR_PRSIt1))+(PR_PRSIr2-PR_PRSIr1)*MAX(0,MIN(12,D251*12+12-PR_PRSIt2))+(PR_PRSIr3-PR_PRSIr2)*MAX(0,MIN(12,D251*12+12-PR_PRSIt3)))/12</f>
        <v>0.047</v>
      </c>
      <c r="K251" s="20" t="n">
        <f aca="false">IF(G251=1,F_Income*F251,0)</f>
        <v>95865.1626717616</v>
      </c>
      <c r="L251" s="20" t="n">
        <f aca="false">IF(G251=1,(F_Own+In_penExtra)*12*F251,0)</f>
        <v>5156.88461268787</v>
      </c>
      <c r="M251" s="20" t="n">
        <f aca="false">IF(G251=1,(F_PenM+In_penExtra)*12*F251,0)</f>
        <v>10313.7692253757</v>
      </c>
      <c r="N251" s="45" t="n">
        <f aca="false">IF(C251&lt;PR_RelA1,PR_RelP1,IF(C251&lt;PR_RelA2,PR_RelP2,IF(C251&lt;PR_RelA3,PR_RelP3,IF(C251&lt;PR_RelA4,PR_RelP4,IF(C251&lt;PR_RelA5,PR_RelP5,PR_RelP6)))))</f>
        <v>0.35</v>
      </c>
      <c r="O251" s="20" t="n">
        <f aca="false">IF(G251=1,MIN(L251/H251,N251*MIN(K251/H251,PR_EarnCap))*H251,0)</f>
        <v>5156.88461268787</v>
      </c>
      <c r="P251" s="20" t="n">
        <f aca="false">IF(AND(G251=1,F_AE=1),MIN(K251/H251,PR_AEcap)*H251,0)</f>
        <v>0</v>
      </c>
      <c r="Q251" s="20" t="n">
        <f aca="false">IF(G251=1,IF(WI_Retire=1,MAX(0,M251+WI_M*12),M251)+(PR_AEee+PR_AEer+PR_AEst)*P251,0)</f>
        <v>10313.7692253757</v>
      </c>
      <c r="R251" s="20" t="n">
        <f aca="false">L251+PR_AEee*P251</f>
        <v>5156.88461268787</v>
      </c>
      <c r="S251" s="20" t="n">
        <f aca="false">AD250</f>
        <v>343743.268214261</v>
      </c>
      <c r="T251" s="20" t="n">
        <f aca="false">IF(D251&lt;=PR_SFTfrom,PR_SFT2026,IF(D251=PR_SFTfrom+1,PR_SFT2027,IF(D251=PR_SFTfrom+2,PR_SFT2028,IF(D251&lt;=PR_SFTto,PR_SFT2029,PR_SFT2029*(1+AS_Infl)^(D251-PR_SFTto)))))</f>
        <v>3768431.34730756</v>
      </c>
      <c r="U251" s="20" t="n">
        <f aca="false">IF(AND(G251=0,C251=F_V),1,0)</f>
        <v>0</v>
      </c>
      <c r="V251" s="20" t="n">
        <f aca="false">IF(U251=1,PR_SFTrate*MAX(0,S251-T251),0)</f>
        <v>0</v>
      </c>
      <c r="W251" s="20" t="n">
        <f aca="false">S251-V251</f>
        <v>343743.268214261</v>
      </c>
      <c r="X251" s="20" t="n">
        <f aca="false">IF(AND(U251=1,AS_LumpPct&gt;0),W251*MIN(AS_LumpPct,PR_LSmax),0)</f>
        <v>0</v>
      </c>
      <c r="Y251" s="20" t="n">
        <f aca="false">X251-(PR_LSrate*MAX(0,MIN(X251,PR_LScap)-PR_LSfree)+PR_r2*MAX(0,X251-PR_LScap))</f>
        <v>0</v>
      </c>
      <c r="Z251" s="20" t="n">
        <f aca="false">W251-X251</f>
        <v>343743.268214261</v>
      </c>
      <c r="AA251" s="45" t="n">
        <f aca="false">IF(C251&gt;=PR_ARFage1,IF(Z251&gt;PR_ARFbig,PR_ARFbigRate,IF(C251&gt;=PR_ARFage2,PR_ARF71,PR_ARF61)),0)</f>
        <v>0</v>
      </c>
      <c r="AB251" s="20" t="n">
        <f aca="false">IF(AS_DrawRule="min",Z251*AA251,IF(AS_DrawRule="fixed",MAX(AS_DrawFixed*E251,Z251*AA251),Z251*MAX(1/MAX(1,AS_End-C251+1),AA251)))</f>
        <v>8383.98215156734</v>
      </c>
      <c r="AC251" s="20" t="n">
        <f aca="false">IF(AND(G251=0,C251&gt;=F_V),MIN(Z251,AB251),0)</f>
        <v>0</v>
      </c>
      <c r="AD251" s="20" t="n">
        <f aca="false">IF(G251=1,S251*(1+F_PenG)+Q251,IF(C251&lt;F_V,S251*(1+F_PenG),(Z251-AC251)*(1+AS_PenRet)))</f>
        <v>369525.484509278</v>
      </c>
      <c r="AE251" s="20" t="n">
        <f aca="false">IF(C251&gt;=PR_SPage,AS_SP*F_SpF*I251+IF(AND(C251&gt;=PR_Over80Age,F_SpF&gt;0),PR_Over80*PR_Weeks*I251,0),0)</f>
        <v>0</v>
      </c>
      <c r="AF251" s="20" t="n">
        <f aca="false">(F_OtherM+F_RentM)*12*E251</f>
        <v>0</v>
      </c>
      <c r="AG251" s="20" t="n">
        <f aca="false">F_PAge+B251</f>
        <v>54</v>
      </c>
      <c r="AH251" s="20" t="n">
        <f aca="false">IF(AND(F_Partner=1,F_PAge&gt;0,AG251&lt;IF(F_PRet&gt;0,F_PRet,PR_SPage)),F_PIncome*F251,0)</f>
        <v>36362.6479099785</v>
      </c>
      <c r="AI251" s="20" t="n">
        <f aca="false">IF(AND(F_Partner=1,AG251&gt;=PR_SPage,F_PSpQA=0),AS_SP*F_PSpF*I251,0)</f>
        <v>0</v>
      </c>
      <c r="AJ251" s="20" t="n">
        <f aca="false">IF(AND(F_Partner=1,F_PSpQA=1,C251&gt;=PR_SPage,AH251=0),IF(AG251&gt;=PR_SPage,PR_QA66,PR_QAunder)*PR_Weeks*I251,0)</f>
        <v>0</v>
      </c>
      <c r="AK251" s="20" t="n">
        <f aca="false">AE251+AJ251</f>
        <v>0</v>
      </c>
      <c r="AL251" s="20" t="n">
        <f aca="false">K251/H251</f>
        <v>68463.3102247831</v>
      </c>
      <c r="AM251" s="20" t="n">
        <f aca="false">AK251/H251</f>
        <v>0</v>
      </c>
      <c r="AN251" s="20" t="n">
        <f aca="false">AC251/H251</f>
        <v>0</v>
      </c>
      <c r="AO251" s="20" t="n">
        <f aca="false">AF251/H251</f>
        <v>0</v>
      </c>
      <c r="AP251" s="20" t="n">
        <f aca="false">O251/H251</f>
        <v>3682.85392933316</v>
      </c>
      <c r="AQ251" s="20" t="n">
        <f aca="false">AH251/H251</f>
        <v>25968.8418094005</v>
      </c>
      <c r="AR251" s="20" t="n">
        <f aca="false">AI251/H251</f>
        <v>0</v>
      </c>
      <c r="AS251" s="20" t="n">
        <f aca="false">MAX(0,AL251+AN251+AO251+AM251-AP251)</f>
        <v>64780.45629545</v>
      </c>
      <c r="AT251" s="20" t="n">
        <f aca="false">MAX(0,AQ251+AR251)</f>
        <v>25968.8418094005</v>
      </c>
      <c r="AU251" s="20" t="n">
        <f aca="false">MIN(PR_PAYE,PR_PAYEcap*(AL251+AN251+AM251))</f>
        <v>2000</v>
      </c>
      <c r="AV251" s="20" t="n">
        <f aca="false">MIN(PR_PAYE,PR_PAYEcap*(AQ251+AR251))</f>
        <v>2000</v>
      </c>
      <c r="AW251" s="20" t="n">
        <f aca="false">IF(C251&gt;=PR_AgeCrAge,PR_AgeCr,0)</f>
        <v>0</v>
      </c>
      <c r="AX251" s="20" t="n">
        <f aca="false">IF(AG251&gt;=PR_AgeCrAge,PR_AgeCr,0)</f>
        <v>0</v>
      </c>
      <c r="AY251" s="20" t="n">
        <f aca="false">IF(AND(F_RentCred=1,D251&lt;=PR_RentLast),1,0)</f>
        <v>0</v>
      </c>
      <c r="AZ251" s="20" t="n">
        <f aca="false">AS251+AT251</f>
        <v>90749.2981048505</v>
      </c>
      <c r="BA251" s="20" t="n">
        <f aca="false">PR_PersonalM+AU251+AV251+AW251+AX251+IF(AY251=1,PR_RentJoint,0)</f>
        <v>8000</v>
      </c>
      <c r="BB251" s="20" t="n">
        <f aca="false">PR_BandM+MIN(MIN(AS251,AT251),PR_Uplift)</f>
        <v>78968.8418094005</v>
      </c>
      <c r="BC251" s="20" t="n">
        <f aca="false">MAX(0,PR_r1*MIN(AZ251,BB251)+PR_r2*MAX(0,AZ251-BB251)-BA251)</f>
        <v>12505.9508800601</v>
      </c>
      <c r="BD251" s="20" t="n">
        <f aca="false">MAX(0,PR_HomeCarer-MAX(0,MIN(AS251,AT251)-PR_HCLimit)/2)</f>
        <v>0</v>
      </c>
      <c r="BE251" s="20" t="n">
        <f aca="false">IF(F_Carer=1,MIN(BC251,MAX(0,PR_r1*MIN(AZ251,PR_BandM)+PR_r2*MAX(0,AZ251-PR_BandM)-BA251-BD251)),BC251)</f>
        <v>12505.9508800601</v>
      </c>
      <c r="BF251" s="20" t="n">
        <f aca="false">IF(OR(C251&gt;=PR_AgeCrAge,AG251&gt;=PR_AgeCrAge),IF(AZ251&lt;=PR_AgeExM,0,MIN(BE251,PR_AgeMarg*(AZ251-PR_AgeExM))),BE251)</f>
        <v>12505.9508800601</v>
      </c>
      <c r="BG251" s="20" t="n">
        <f aca="false">MAX(0,PR_r1*MIN(AS251,IF(F_Spccc=1,PR_BandSPCCC,PR_Band))+PR_r2*MAX(0,AS251-IF(F_Spccc=1,PR_BandSPCCC,PR_Band))-(PR_Personal+AU251+AW251+IF(F_Spccc=1,PR_SPCCC,0)+IF(AY251=1,PR_Rent,0)))</f>
        <v>13112.18251818</v>
      </c>
      <c r="BH251" s="20" t="n">
        <f aca="false">IF(C251&gt;=PR_AgeCrAge,IF(AS251&lt;=PR_AgeEx,0,MIN(BG251,PR_AgeMarg*(AS251-PR_AgeEx))),BG251)</f>
        <v>13112.18251818</v>
      </c>
      <c r="BI251" s="20" t="n">
        <f aca="false">IF(F_Partner=1,MAX(0,PR_r1*MIN(AT251,PR_Band)+PR_r2*MAX(0,AT251-PR_Band)-(PR_Personal+AV251+AX251+IF(AND(AY251=1,AT251&gt;0),PR_Rent,0))),0)</f>
        <v>1193.7683618801</v>
      </c>
      <c r="BJ251" s="20" t="n">
        <f aca="false">IF(AG251&gt;=PR_AgeCrAge,IF(AT251&lt;=PR_AgeEx,0,MIN(BI251,PR_AgeMarg*(AT251-PR_AgeEx))),BI251)</f>
        <v>1193.7683618801</v>
      </c>
      <c r="BK251" s="20" t="n">
        <f aca="false">IF(F_Partner=1,IF(F_Married=1,BF251,BH251+BJ251),BH251)</f>
        <v>14305.9508800601</v>
      </c>
      <c r="BL251" s="20" t="n">
        <f aca="false">AL251+AN251+AO251</f>
        <v>68463.3102247831</v>
      </c>
      <c r="BM251" s="20" t="n">
        <f aca="false">IF(BL251&lt;=PR_USCex,0,IF(IF(AND(C251&gt;=PR_USCredAge,BL251&lt;=PR_USCredMax),1,0)=1,PR_USCr1*MIN(BL251,PR_USCredB1)+PR_USCredR2*MAX(0,BL251-PR_USCredB1),PR_USCr1*MIN(BL251,PR_USCb1)+PR_USCr2*MAX(0,MIN(BL251,PR_USCb2)-PR_USCb1)+PR_USCr3*MAX(0,MIN(BL251,PR_USCb3)-PR_USCb2)+PR_USCr4*MAX(0,BL251-PR_USCb3)))+IF(F_SelfEmp=1,PR_USCse*MAX(0,AL251-PR_USCseOver),0)</f>
        <v>1586.71930674349</v>
      </c>
      <c r="BN251" s="20" t="n">
        <f aca="false">AQ251</f>
        <v>25968.8418094005</v>
      </c>
      <c r="BO251" s="20" t="n">
        <f aca="false">IF(F_Partner=1,IF(BN251&lt;=PR_USCex,0,IF(IF(AND(AG251&gt;=PR_USCredAge,BN251&lt;=PR_USCredMax),1,0)=1,PR_USCr1*MIN(BN251,PR_USCredB1)+PR_USCredR2*MAX(0,BN251-PR_USCredB1),PR_USCr1*MIN(BN251,PR_USCb1)+PR_USCr2*MAX(0,MIN(BN251,PR_USCb2)-PR_USCb1)+PR_USCr3*MAX(0,MIN(BN251,PR_USCb3)-PR_USCb2)+PR_USCr4*MAX(0,BN251-PR_USCb3))),0)</f>
        <v>339.19683618801</v>
      </c>
      <c r="BP251" s="20" t="n">
        <f aca="false">IF(C251&lt;PR_PRSIend,IF(F_SelfEmp=1,IF(AL251&gt;PR_PRSIsMinInc,MAX(PR_PRSIsMin,AL251*J251),0),IF(AL251/52&lt;=PR_PRSIfree,0,MAX(0,(AL251/52*J251-IF(AL251/52&lt;=PR_PRSIcreditTo,MAX(0,PR_PRSIcreditMax-(AL251/52-(PR_PRSIfree+0.01))/PR_PRSItaper),0))*52)))+J251*AN251+IF(AO251&gt;PR_PRSIunearned,J251*AO251,0),0)</f>
        <v>3217.77558056481</v>
      </c>
      <c r="BQ251" s="20" t="n">
        <f aca="false">IF(AND(F_Partner=1,AG251&lt;PR_PRSIend),IF(AQ251/52&lt;=PR_PRSIfree,0,MAX(0,(AQ251/52*J251-IF(AQ251/52&lt;=PR_PRSIcreditTo,MAX(0,PR_PRSIcreditMax-(AQ251/52-(PR_PRSIfree+0.01))/PR_PRSItaper),0))*52)),0)</f>
        <v>1220.53556504182</v>
      </c>
      <c r="BR251" s="20" t="n">
        <f aca="false">BK251+BM251+BO251+BP251+BQ251</f>
        <v>20670.1781685982</v>
      </c>
      <c r="BS251" s="20" t="n">
        <f aca="false">BR251*H251</f>
        <v>28943.2396137583</v>
      </c>
      <c r="BT251" s="20" t="n">
        <f aca="false">K251+AK251+AC251+AF251+AH251+AI251</f>
        <v>132227.81058174</v>
      </c>
    </row>
    <row r="252" customFormat="false" ht="15" hidden="false" customHeight="true" outlineLevel="0" collapsed="false">
      <c r="B252" s="20" t="n">
        <v>18</v>
      </c>
      <c r="C252" s="20" t="n">
        <f aca="false">F_Age+B252</f>
        <v>56</v>
      </c>
      <c r="D252" s="20" t="n">
        <f aca="false">AS_Year0+B252</f>
        <v>2045</v>
      </c>
      <c r="E252" s="44" t="n">
        <f aca="false">(1+AS_Infl)^B252</f>
        <v>1.42824624757627</v>
      </c>
      <c r="F252" s="44" t="n">
        <f aca="false">(1+AS_Wage)^B252</f>
        <v>1.7024330612399</v>
      </c>
      <c r="G252" s="20" t="n">
        <f aca="false">IF(C252&lt;F_R,1,0)</f>
        <v>1</v>
      </c>
      <c r="H252" s="44" t="n">
        <f aca="false">IF(AS_Bands="flat",1,E252)</f>
        <v>1.42824624757627</v>
      </c>
      <c r="I252" s="44" t="n">
        <f aca="false">IF(AS_SpGrow="pay",F252,IF(AS_SpGrow="flat",1,E252))</f>
        <v>1.42824624757627</v>
      </c>
      <c r="J252" s="44" t="n">
        <f aca="false">(12*PR_PRSIr0+(PR_PRSIr1-PR_PRSIr0)*MAX(0,MIN(12,D252*12+12-PR_PRSIt1))+(PR_PRSIr2-PR_PRSIr1)*MAX(0,MIN(12,D252*12+12-PR_PRSIt2))+(PR_PRSIr3-PR_PRSIr2)*MAX(0,MIN(12,D252*12+12-PR_PRSIt3)))/12</f>
        <v>0.047</v>
      </c>
      <c r="K252" s="20" t="n">
        <f aca="false">IF(G252=1,F_Income*F252,0)</f>
        <v>98741.1175519145</v>
      </c>
      <c r="L252" s="20" t="n">
        <f aca="false">IF(G252=1,(F_Own+In_penExtra)*12*F252,0)</f>
        <v>5311.5911510685</v>
      </c>
      <c r="M252" s="20" t="n">
        <f aca="false">IF(G252=1,(F_PenM+In_penExtra)*12*F252,0)</f>
        <v>10623.182302137</v>
      </c>
      <c r="N252" s="45" t="n">
        <f aca="false">IF(C252&lt;PR_RelA1,PR_RelP1,IF(C252&lt;PR_RelA2,PR_RelP2,IF(C252&lt;PR_RelA3,PR_RelP3,IF(C252&lt;PR_RelA4,PR_RelP4,IF(C252&lt;PR_RelA5,PR_RelP5,PR_RelP6)))))</f>
        <v>0.35</v>
      </c>
      <c r="O252" s="20" t="n">
        <f aca="false">IF(G252=1,MIN(L252/H252,N252*MIN(K252/H252,PR_EarnCap))*H252,0)</f>
        <v>5311.5911510685</v>
      </c>
      <c r="P252" s="20" t="n">
        <f aca="false">IF(AND(G252=1,F_AE=1),MIN(K252/H252,PR_AEcap)*H252,0)</f>
        <v>0</v>
      </c>
      <c r="Q252" s="20" t="n">
        <f aca="false">IF(G252=1,IF(WI_Retire=1,MAX(0,M252+WI_M*12),M252)+(PR_AEee+PR_AEer+PR_AEst)*P252,0)</f>
        <v>10623.182302137</v>
      </c>
      <c r="R252" s="20" t="n">
        <f aca="false">L252+PR_AEee*P252</f>
        <v>5311.5911510685</v>
      </c>
      <c r="S252" s="20" t="n">
        <f aca="false">AD251</f>
        <v>369525.484509278</v>
      </c>
      <c r="T252" s="20" t="n">
        <f aca="false">IF(D252&lt;=PR_SFTfrom,PR_SFT2026,IF(D252=PR_SFTfrom+1,PR_SFT2027,IF(D252=PR_SFTfrom+2,PR_SFT2028,IF(D252&lt;=PR_SFTto,PR_SFT2029,PR_SFT2029*(1+AS_Infl)^(D252-PR_SFTto)))))</f>
        <v>3843799.97425372</v>
      </c>
      <c r="U252" s="20" t="n">
        <f aca="false">IF(AND(G252=0,C252=F_V),1,0)</f>
        <v>0</v>
      </c>
      <c r="V252" s="20" t="n">
        <f aca="false">IF(U252=1,PR_SFTrate*MAX(0,S252-T252),0)</f>
        <v>0</v>
      </c>
      <c r="W252" s="20" t="n">
        <f aca="false">S252-V252</f>
        <v>369525.484509278</v>
      </c>
      <c r="X252" s="20" t="n">
        <f aca="false">IF(AND(U252=1,AS_LumpPct&gt;0),W252*MIN(AS_LumpPct,PR_LSmax),0)</f>
        <v>0</v>
      </c>
      <c r="Y252" s="20" t="n">
        <f aca="false">X252-(PR_LSrate*MAX(0,MIN(X252,PR_LScap)-PR_LSfree)+PR_r2*MAX(0,X252-PR_LScap))</f>
        <v>0</v>
      </c>
      <c r="Z252" s="20" t="n">
        <f aca="false">W252-X252</f>
        <v>369525.484509278</v>
      </c>
      <c r="AA252" s="45" t="n">
        <f aca="false">IF(C252&gt;=PR_ARFage1,IF(Z252&gt;PR_ARFbig,PR_ARFbigRate,IF(C252&gt;=PR_ARFage2,PR_ARF71,PR_ARF61)),0)</f>
        <v>0</v>
      </c>
      <c r="AB252" s="20" t="n">
        <f aca="false">IF(AS_DrawRule="min",Z252*AA252,IF(AS_DrawRule="fixed",MAX(AS_DrawFixed*E252,Z252*AA252),Z252*MAX(1/MAX(1,AS_End-C252+1),AA252)))</f>
        <v>9238.13711273196</v>
      </c>
      <c r="AC252" s="20" t="n">
        <f aca="false">IF(AND(G252=0,C252&gt;=F_V),MIN(Z252,AB252),0)</f>
        <v>0</v>
      </c>
      <c r="AD252" s="20" t="n">
        <f aca="false">IF(G252=1,S252*(1+F_PenG)+Q252,IF(C252&lt;F_V,S252*(1+F_PenG),(Z252-AC252)*(1+AS_PenRet)))</f>
        <v>396777.313614333</v>
      </c>
      <c r="AE252" s="20" t="n">
        <f aca="false">IF(C252&gt;=PR_SPage,AS_SP*F_SpF*I252+IF(AND(C252&gt;=PR_Over80Age,F_SpF&gt;0),PR_Over80*PR_Weeks*I252,0),0)</f>
        <v>0</v>
      </c>
      <c r="AF252" s="20" t="n">
        <f aca="false">(F_OtherM+F_RentM)*12*E252</f>
        <v>0</v>
      </c>
      <c r="AG252" s="20" t="n">
        <f aca="false">F_PAge+B252</f>
        <v>55</v>
      </c>
      <c r="AH252" s="20" t="n">
        <f aca="false">IF(AND(F_Partner=1,F_PAge&gt;0,AG252&lt;IF(F_PRet&gt;0,F_PRet,PR_SPage)),F_PIncome*F252,0)</f>
        <v>37453.5273472779</v>
      </c>
      <c r="AI252" s="20" t="n">
        <f aca="false">IF(AND(F_Partner=1,AG252&gt;=PR_SPage,F_PSpQA=0),AS_SP*F_PSpF*I252,0)</f>
        <v>0</v>
      </c>
      <c r="AJ252" s="20" t="n">
        <f aca="false">IF(AND(F_Partner=1,F_PSpQA=1,C252&gt;=PR_SPage,AH252=0),IF(AG252&gt;=PR_SPage,PR_QA66,PR_QAunder)*PR_Weeks*I252,0)</f>
        <v>0</v>
      </c>
      <c r="AK252" s="20" t="n">
        <f aca="false">AE252+AJ252</f>
        <v>0</v>
      </c>
      <c r="AL252" s="20" t="n">
        <f aca="false">K252/H252</f>
        <v>69134.5191485555</v>
      </c>
      <c r="AM252" s="20" t="n">
        <f aca="false">AK252/H252</f>
        <v>0</v>
      </c>
      <c r="AN252" s="20" t="n">
        <f aca="false">AC252/H252</f>
        <v>0</v>
      </c>
      <c r="AO252" s="20" t="n">
        <f aca="false">AF252/H252</f>
        <v>0</v>
      </c>
      <c r="AP252" s="20" t="n">
        <f aca="false">O252/H252</f>
        <v>3718.96034040506</v>
      </c>
      <c r="AQ252" s="20" t="n">
        <f aca="false">AH252/H252</f>
        <v>26223.438297728</v>
      </c>
      <c r="AR252" s="20" t="n">
        <f aca="false">AI252/H252</f>
        <v>0</v>
      </c>
      <c r="AS252" s="20" t="n">
        <f aca="false">MAX(0,AL252+AN252+AO252+AM252-AP252)</f>
        <v>65415.5588081505</v>
      </c>
      <c r="AT252" s="20" t="n">
        <f aca="false">MAX(0,AQ252+AR252)</f>
        <v>26223.438297728</v>
      </c>
      <c r="AU252" s="20" t="n">
        <f aca="false">MIN(PR_PAYE,PR_PAYEcap*(AL252+AN252+AM252))</f>
        <v>2000</v>
      </c>
      <c r="AV252" s="20" t="n">
        <f aca="false">MIN(PR_PAYE,PR_PAYEcap*(AQ252+AR252))</f>
        <v>2000</v>
      </c>
      <c r="AW252" s="20" t="n">
        <f aca="false">IF(C252&gt;=PR_AgeCrAge,PR_AgeCr,0)</f>
        <v>0</v>
      </c>
      <c r="AX252" s="20" t="n">
        <f aca="false">IF(AG252&gt;=PR_AgeCrAge,PR_AgeCr,0)</f>
        <v>0</v>
      </c>
      <c r="AY252" s="20" t="n">
        <f aca="false">IF(AND(F_RentCred=1,D252&lt;=PR_RentLast),1,0)</f>
        <v>0</v>
      </c>
      <c r="AZ252" s="20" t="n">
        <f aca="false">AS252+AT252</f>
        <v>91638.9971058784</v>
      </c>
      <c r="BA252" s="20" t="n">
        <f aca="false">PR_PersonalM+AU252+AV252+AW252+AX252+IF(AY252=1,PR_RentJoint,0)</f>
        <v>8000</v>
      </c>
      <c r="BB252" s="20" t="n">
        <f aca="false">PR_BandM+MIN(MIN(AS252,AT252),PR_Uplift)</f>
        <v>79223.438297728</v>
      </c>
      <c r="BC252" s="20" t="n">
        <f aca="false">MAX(0,PR_r1*MIN(AZ252,BB252)+PR_r2*MAX(0,AZ252-BB252)-BA252)</f>
        <v>12810.9111828058</v>
      </c>
      <c r="BD252" s="20" t="n">
        <f aca="false">MAX(0,PR_HomeCarer-MAX(0,MIN(AS252,AT252)-PR_HCLimit)/2)</f>
        <v>0</v>
      </c>
      <c r="BE252" s="20" t="n">
        <f aca="false">IF(F_Carer=1,MIN(BC252,MAX(0,PR_r1*MIN(AZ252,PR_BandM)+PR_r2*MAX(0,AZ252-PR_BandM)-BA252-BD252)),BC252)</f>
        <v>12810.9111828058</v>
      </c>
      <c r="BF252" s="20" t="n">
        <f aca="false">IF(OR(C252&gt;=PR_AgeCrAge,AG252&gt;=PR_AgeCrAge),IF(AZ252&lt;=PR_AgeExM,0,MIN(BE252,PR_AgeMarg*(AZ252-PR_AgeExM))),BE252)</f>
        <v>12810.9111828058</v>
      </c>
      <c r="BG252" s="20" t="n">
        <f aca="false">MAX(0,PR_r1*MIN(AS252,IF(F_Spccc=1,PR_BandSPCCC,PR_Band))+PR_r2*MAX(0,AS252-IF(F_Spccc=1,PR_BandSPCCC,PR_Band))-(PR_Personal+AU252+AW252+IF(F_Spccc=1,PR_SPCCC,0)+IF(AY252=1,PR_Rent,0)))</f>
        <v>13366.2235232602</v>
      </c>
      <c r="BH252" s="20" t="n">
        <f aca="false">IF(C252&gt;=PR_AgeCrAge,IF(AS252&lt;=PR_AgeEx,0,MIN(BG252,PR_AgeMarg*(AS252-PR_AgeEx))),BG252)</f>
        <v>13366.2235232602</v>
      </c>
      <c r="BI252" s="20" t="n">
        <f aca="false">IF(F_Partner=1,MAX(0,PR_r1*MIN(AT252,PR_Band)+PR_r2*MAX(0,AT252-PR_Band)-(PR_Personal+AV252+AX252+IF(AND(AY252=1,AT252&gt;0),PR_Rent,0))),0)</f>
        <v>1244.68765954559</v>
      </c>
      <c r="BJ252" s="20" t="n">
        <f aca="false">IF(AG252&gt;=PR_AgeCrAge,IF(AT252&lt;=PR_AgeEx,0,MIN(BI252,PR_AgeMarg*(AT252-PR_AgeEx))),BI252)</f>
        <v>1244.68765954559</v>
      </c>
      <c r="BK252" s="20" t="n">
        <f aca="false">IF(F_Partner=1,IF(F_Married=1,BF252,BH252+BJ252),BH252)</f>
        <v>14610.9111828058</v>
      </c>
      <c r="BL252" s="20" t="n">
        <f aca="false">AL252+AN252+AO252</f>
        <v>69134.5191485555</v>
      </c>
      <c r="BM252" s="20" t="n">
        <f aca="false">IF(BL252&lt;=PR_USCex,0,IF(IF(AND(C252&gt;=PR_USCredAge,BL252&lt;=PR_USCredMax),1,0)=1,PR_USCr1*MIN(BL252,PR_USCredB1)+PR_USCredR2*MAX(0,BL252-PR_USCredB1),PR_USCr1*MIN(BL252,PR_USCb1)+PR_USCr2*MAX(0,MIN(BL252,PR_USCb2)-PR_USCb1)+PR_USCr3*MAX(0,MIN(BL252,PR_USCb3)-PR_USCb2)+PR_USCr4*MAX(0,BL252-PR_USCb3)))+IF(F_SelfEmp=1,PR_USCse*MAX(0,AL252-PR_USCseOver),0)</f>
        <v>1606.85557445667</v>
      </c>
      <c r="BN252" s="20" t="n">
        <f aca="false">AQ252</f>
        <v>26223.438297728</v>
      </c>
      <c r="BO252" s="20" t="n">
        <f aca="false">IF(F_Partner=1,IF(BN252&lt;=PR_USCex,0,IF(IF(AND(AG252&gt;=PR_USCredAge,BN252&lt;=PR_USCredMax),1,0)=1,PR_USCr1*MIN(BN252,PR_USCredB1)+PR_USCredR2*MAX(0,BN252-PR_USCredB1),PR_USCr1*MIN(BN252,PR_USCb1)+PR_USCr2*MAX(0,MIN(BN252,PR_USCb2)-PR_USCb1)+PR_USCr3*MAX(0,MIN(BN252,PR_USCb3)-PR_USCb2)+PR_USCr4*MAX(0,BN252-PR_USCb3))),0)</f>
        <v>344.288765954559</v>
      </c>
      <c r="BP252" s="20" t="n">
        <f aca="false">IF(C252&lt;PR_PRSIend,IF(F_SelfEmp=1,IF(AL252&gt;PR_PRSIsMinInc,MAX(PR_PRSIsMin,AL252*J252),0),IF(AL252/52&lt;=PR_PRSIfree,0,MAX(0,(AL252/52*J252-IF(AL252/52&lt;=PR_PRSIcreditTo,MAX(0,PR_PRSIcreditMax-(AL252/52-(PR_PRSIfree+0.01))/PR_PRSItaper),0))*52)))+J252*AN252+IF(AO252&gt;PR_PRSIunearned,J252*AO252,0),0)</f>
        <v>3249.32239998211</v>
      </c>
      <c r="BQ252" s="20" t="n">
        <f aca="false">IF(AND(F_Partner=1,AG252&lt;PR_PRSIend),IF(AQ252/52&lt;=PR_PRSIfree,0,MAX(0,(AQ252/52*J252-IF(AQ252/52&lt;=PR_PRSIcreditTo,MAX(0,PR_PRSIcreditMax-(AQ252/52-(PR_PRSIfree+0.01))/PR_PRSItaper),0))*52)),0)</f>
        <v>1232.50159999321</v>
      </c>
      <c r="BR252" s="20" t="n">
        <f aca="false">BK252+BM252+BO252+BP252+BQ252</f>
        <v>21043.8795231923</v>
      </c>
      <c r="BS252" s="20" t="n">
        <f aca="false">BR252*H252</f>
        <v>30055.8419634466</v>
      </c>
      <c r="BT252" s="20" t="n">
        <f aca="false">K252+AK252+AC252+AF252+AH252+AI252</f>
        <v>136194.644899192</v>
      </c>
    </row>
    <row r="253" customFormat="false" ht="15" hidden="false" customHeight="true" outlineLevel="0" collapsed="false">
      <c r="B253" s="20" t="n">
        <v>19</v>
      </c>
      <c r="C253" s="20" t="n">
        <f aca="false">F_Age+B253</f>
        <v>57</v>
      </c>
      <c r="D253" s="20" t="n">
        <f aca="false">AS_Year0+B253</f>
        <v>2046</v>
      </c>
      <c r="E253" s="44" t="n">
        <f aca="false">(1+AS_Infl)^B253</f>
        <v>1.4568111725278</v>
      </c>
      <c r="F253" s="44" t="n">
        <f aca="false">(1+AS_Wage)^B253</f>
        <v>1.7535060530771</v>
      </c>
      <c r="G253" s="20" t="n">
        <f aca="false">IF(C253&lt;F_R,1,0)</f>
        <v>1</v>
      </c>
      <c r="H253" s="44" t="n">
        <f aca="false">IF(AS_Bands="flat",1,E253)</f>
        <v>1.4568111725278</v>
      </c>
      <c r="I253" s="44" t="n">
        <f aca="false">IF(AS_SpGrow="pay",F253,IF(AS_SpGrow="flat",1,E253))</f>
        <v>1.4568111725278</v>
      </c>
      <c r="J253" s="44" t="n">
        <f aca="false">(12*PR_PRSIr0+(PR_PRSIr1-PR_PRSIr0)*MAX(0,MIN(12,D253*12+12-PR_PRSIt1))+(PR_PRSIr2-PR_PRSIr1)*MAX(0,MIN(12,D253*12+12-PR_PRSIt2))+(PR_PRSIr3-PR_PRSIr2)*MAX(0,MIN(12,D253*12+12-PR_PRSIt3)))/12</f>
        <v>0.047</v>
      </c>
      <c r="K253" s="20" t="n">
        <f aca="false">IF(G253=1,F_Income*F253,0)</f>
        <v>101703.351078472</v>
      </c>
      <c r="L253" s="20" t="n">
        <f aca="false">IF(G253=1,(F_Own+In_penExtra)*12*F253,0)</f>
        <v>5470.93888560056</v>
      </c>
      <c r="M253" s="20" t="n">
        <f aca="false">IF(G253=1,(F_PenM+In_penExtra)*12*F253,0)</f>
        <v>10941.8777712011</v>
      </c>
      <c r="N253" s="45" t="n">
        <f aca="false">IF(C253&lt;PR_RelA1,PR_RelP1,IF(C253&lt;PR_RelA2,PR_RelP2,IF(C253&lt;PR_RelA3,PR_RelP3,IF(C253&lt;PR_RelA4,PR_RelP4,IF(C253&lt;PR_RelA5,PR_RelP5,PR_RelP6)))))</f>
        <v>0.35</v>
      </c>
      <c r="O253" s="20" t="n">
        <f aca="false">IF(G253=1,MIN(L253/H253,N253*MIN(K253/H253,PR_EarnCap))*H253,0)</f>
        <v>5470.93888560056</v>
      </c>
      <c r="P253" s="20" t="n">
        <f aca="false">IF(AND(G253=1,F_AE=1),MIN(K253/H253,PR_AEcap)*H253,0)</f>
        <v>0</v>
      </c>
      <c r="Q253" s="20" t="n">
        <f aca="false">IF(G253=1,IF(WI_Retire=1,MAX(0,M253+WI_M*12),M253)+(PR_AEee+PR_AEer+PR_AEst)*P253,0)</f>
        <v>10941.8777712011</v>
      </c>
      <c r="R253" s="20" t="n">
        <f aca="false">L253+PR_AEee*P253</f>
        <v>5470.93888560056</v>
      </c>
      <c r="S253" s="20" t="n">
        <f aca="false">AD252</f>
        <v>396777.313614333</v>
      </c>
      <c r="T253" s="20" t="n">
        <f aca="false">IF(D253&lt;=PR_SFTfrom,PR_SFT2026,IF(D253=PR_SFTfrom+1,PR_SFT2027,IF(D253=PR_SFTfrom+2,PR_SFT2028,IF(D253&lt;=PR_SFTto,PR_SFT2029,PR_SFT2029*(1+AS_Infl)^(D253-PR_SFTto)))))</f>
        <v>3920675.97373879</v>
      </c>
      <c r="U253" s="20" t="n">
        <f aca="false">IF(AND(G253=0,C253=F_V),1,0)</f>
        <v>0</v>
      </c>
      <c r="V253" s="20" t="n">
        <f aca="false">IF(U253=1,PR_SFTrate*MAX(0,S253-T253),0)</f>
        <v>0</v>
      </c>
      <c r="W253" s="20" t="n">
        <f aca="false">S253-V253</f>
        <v>396777.313614333</v>
      </c>
      <c r="X253" s="20" t="n">
        <f aca="false">IF(AND(U253=1,AS_LumpPct&gt;0),W253*MIN(AS_LumpPct,PR_LSmax),0)</f>
        <v>0</v>
      </c>
      <c r="Y253" s="20" t="n">
        <f aca="false">X253-(PR_LSrate*MAX(0,MIN(X253,PR_LScap)-PR_LSfree)+PR_r2*MAX(0,X253-PR_LScap))</f>
        <v>0</v>
      </c>
      <c r="Z253" s="20" t="n">
        <f aca="false">W253-X253</f>
        <v>396777.313614333</v>
      </c>
      <c r="AA253" s="45" t="n">
        <f aca="false">IF(C253&gt;=PR_ARFage1,IF(Z253&gt;PR_ARFbig,PR_ARFbigRate,IF(C253&gt;=PR_ARFage2,PR_ARF71,PR_ARF61)),0)</f>
        <v>0</v>
      </c>
      <c r="AB253" s="20" t="n">
        <f aca="false">IF(AS_DrawRule="min",Z253*AA253,IF(AS_DrawRule="fixed",MAX(AS_DrawFixed*E253,Z253*AA253),Z253*MAX(1/MAX(1,AS_End-C253+1),AA253)))</f>
        <v>10173.7772721624</v>
      </c>
      <c r="AC253" s="20" t="n">
        <f aca="false">IF(AND(G253=0,C253&gt;=F_V),MIN(Z253,AB253),0)</f>
        <v>0</v>
      </c>
      <c r="AD253" s="20" t="n">
        <f aca="false">IF(G253=1,S253*(1+F_PenG)+Q253,IF(C253&lt;F_V,S253*(1+F_PenG),(Z253-AC253)*(1+AS_PenRet)))</f>
        <v>425574.170498179</v>
      </c>
      <c r="AE253" s="20" t="n">
        <f aca="false">IF(C253&gt;=PR_SPage,AS_SP*F_SpF*I253+IF(AND(C253&gt;=PR_Over80Age,F_SpF&gt;0),PR_Over80*PR_Weeks*I253,0),0)</f>
        <v>0</v>
      </c>
      <c r="AF253" s="20" t="n">
        <f aca="false">(F_OtherM+F_RentM)*12*E253</f>
        <v>0</v>
      </c>
      <c r="AG253" s="20" t="n">
        <f aca="false">F_PAge+B253</f>
        <v>56</v>
      </c>
      <c r="AH253" s="20" t="n">
        <f aca="false">IF(AND(F_Partner=1,F_PAge&gt;0,AG253&lt;IF(F_PRet&gt;0,F_PRet,PR_SPage)),F_PIncome*F253,0)</f>
        <v>38577.1331676962</v>
      </c>
      <c r="AI253" s="20" t="n">
        <f aca="false">IF(AND(F_Partner=1,AG253&gt;=PR_SPage,F_PSpQA=0),AS_SP*F_PSpF*I253,0)</f>
        <v>0</v>
      </c>
      <c r="AJ253" s="20" t="n">
        <f aca="false">IF(AND(F_Partner=1,F_PSpQA=1,C253&gt;=PR_SPage,AH253=0),IF(AG253&gt;=PR_SPage,PR_QA66,PR_QAunder)*PR_Weeks*I253,0)</f>
        <v>0</v>
      </c>
      <c r="AK253" s="20" t="n">
        <f aca="false">AE253+AJ253</f>
        <v>0</v>
      </c>
      <c r="AL253" s="20" t="n">
        <f aca="false">K253/H253</f>
        <v>69812.3085519728</v>
      </c>
      <c r="AM253" s="20" t="n">
        <f aca="false">AK253/H253</f>
        <v>0</v>
      </c>
      <c r="AN253" s="20" t="n">
        <f aca="false">AC253/H253</f>
        <v>0</v>
      </c>
      <c r="AO253" s="20" t="n">
        <f aca="false">AF253/H253</f>
        <v>0</v>
      </c>
      <c r="AP253" s="20" t="n">
        <f aca="false">O253/H253</f>
        <v>3755.42073589922</v>
      </c>
      <c r="AQ253" s="20" t="n">
        <f aca="false">AH253/H253</f>
        <v>26480.5308300586</v>
      </c>
      <c r="AR253" s="20" t="n">
        <f aca="false">AI253/H253</f>
        <v>0</v>
      </c>
      <c r="AS253" s="20" t="n">
        <f aca="false">MAX(0,AL253+AN253+AO253+AM253-AP253)</f>
        <v>66056.8878160735</v>
      </c>
      <c r="AT253" s="20" t="n">
        <f aca="false">MAX(0,AQ253+AR253)</f>
        <v>26480.5308300586</v>
      </c>
      <c r="AU253" s="20" t="n">
        <f aca="false">MIN(PR_PAYE,PR_PAYEcap*(AL253+AN253+AM253))</f>
        <v>2000</v>
      </c>
      <c r="AV253" s="20" t="n">
        <f aca="false">MIN(PR_PAYE,PR_PAYEcap*(AQ253+AR253))</f>
        <v>2000</v>
      </c>
      <c r="AW253" s="20" t="n">
        <f aca="false">IF(C253&gt;=PR_AgeCrAge,PR_AgeCr,0)</f>
        <v>0</v>
      </c>
      <c r="AX253" s="20" t="n">
        <f aca="false">IF(AG253&gt;=PR_AgeCrAge,PR_AgeCr,0)</f>
        <v>0</v>
      </c>
      <c r="AY253" s="20" t="n">
        <f aca="false">IF(AND(F_RentCred=1,D253&lt;=PR_RentLast),1,0)</f>
        <v>0</v>
      </c>
      <c r="AZ253" s="20" t="n">
        <f aca="false">AS253+AT253</f>
        <v>92537.4186461322</v>
      </c>
      <c r="BA253" s="20" t="n">
        <f aca="false">PR_PersonalM+AU253+AV253+AW253+AX253+IF(AY253=1,PR_RentJoint,0)</f>
        <v>8000</v>
      </c>
      <c r="BB253" s="20" t="n">
        <f aca="false">PR_BandM+MIN(MIN(AS253,AT253),PR_Uplift)</f>
        <v>79480.5308300586</v>
      </c>
      <c r="BC253" s="20" t="n">
        <f aca="false">MAX(0,PR_r1*MIN(AZ253,BB253)+PR_r2*MAX(0,AZ253-BB253)-BA253)</f>
        <v>13118.8612924411</v>
      </c>
      <c r="BD253" s="20" t="n">
        <f aca="false">MAX(0,PR_HomeCarer-MAX(0,MIN(AS253,AT253)-PR_HCLimit)/2)</f>
        <v>0</v>
      </c>
      <c r="BE253" s="20" t="n">
        <f aca="false">IF(F_Carer=1,MIN(BC253,MAX(0,PR_r1*MIN(AZ253,PR_BandM)+PR_r2*MAX(0,AZ253-PR_BandM)-BA253-BD253)),BC253)</f>
        <v>13118.8612924411</v>
      </c>
      <c r="BF253" s="20" t="n">
        <f aca="false">IF(OR(C253&gt;=PR_AgeCrAge,AG253&gt;=PR_AgeCrAge),IF(AZ253&lt;=PR_AgeExM,0,MIN(BE253,PR_AgeMarg*(AZ253-PR_AgeExM))),BE253)</f>
        <v>13118.8612924411</v>
      </c>
      <c r="BG253" s="20" t="n">
        <f aca="false">MAX(0,PR_r1*MIN(AS253,IF(F_Spccc=1,PR_BandSPCCC,PR_Band))+PR_r2*MAX(0,AS253-IF(F_Spccc=1,PR_BandSPCCC,PR_Band))-(PR_Personal+AU253+AW253+IF(F_Spccc=1,PR_SPCCC,0)+IF(AY253=1,PR_Rent,0)))</f>
        <v>13622.7551264294</v>
      </c>
      <c r="BH253" s="20" t="n">
        <f aca="false">IF(C253&gt;=PR_AgeCrAge,IF(AS253&lt;=PR_AgeEx,0,MIN(BG253,PR_AgeMarg*(AS253-PR_AgeEx))),BG253)</f>
        <v>13622.7551264294</v>
      </c>
      <c r="BI253" s="20" t="n">
        <f aca="false">IF(F_Partner=1,MAX(0,PR_r1*MIN(AT253,PR_Band)+PR_r2*MAX(0,AT253-PR_Band)-(PR_Personal+AV253+AX253+IF(AND(AY253=1,AT253&gt;0),PR_Rent,0))),0)</f>
        <v>1296.10616601173</v>
      </c>
      <c r="BJ253" s="20" t="n">
        <f aca="false">IF(AG253&gt;=PR_AgeCrAge,IF(AT253&lt;=PR_AgeEx,0,MIN(BI253,PR_AgeMarg*(AT253-PR_AgeEx))),BI253)</f>
        <v>1296.10616601173</v>
      </c>
      <c r="BK253" s="20" t="n">
        <f aca="false">IF(F_Partner=1,IF(F_Married=1,BF253,BH253+BJ253),BH253)</f>
        <v>14918.8612924411</v>
      </c>
      <c r="BL253" s="20" t="n">
        <f aca="false">AL253+AN253+AO253</f>
        <v>69812.3085519728</v>
      </c>
      <c r="BM253" s="20" t="n">
        <f aca="false">IF(BL253&lt;=PR_USCex,0,IF(IF(AND(C253&gt;=PR_USCredAge,BL253&lt;=PR_USCredMax),1,0)=1,PR_USCr1*MIN(BL253,PR_USCredB1)+PR_USCredR2*MAX(0,BL253-PR_USCredB1),PR_USCr1*MIN(BL253,PR_USCb1)+PR_USCr2*MAX(0,MIN(BL253,PR_USCb2)-PR_USCb1)+PR_USCr3*MAX(0,MIN(BL253,PR_USCb3)-PR_USCb2)+PR_USCr4*MAX(0,BL253-PR_USCb3)))+IF(F_SelfEmp=1,PR_USCse*MAX(0,AL253-PR_USCseOver),0)</f>
        <v>1627.18925655918</v>
      </c>
      <c r="BN253" s="20" t="n">
        <f aca="false">AQ253</f>
        <v>26480.5308300586</v>
      </c>
      <c r="BO253" s="20" t="n">
        <f aca="false">IF(F_Partner=1,IF(BN253&lt;=PR_USCex,0,IF(IF(AND(AG253&gt;=PR_USCredAge,BN253&lt;=PR_USCredMax),1,0)=1,PR_USCr1*MIN(BN253,PR_USCredB1)+PR_USCredR2*MAX(0,BN253-PR_USCredB1),PR_USCr1*MIN(BN253,PR_USCb1)+PR_USCr2*MAX(0,MIN(BN253,PR_USCb2)-PR_USCb1)+PR_USCr3*MAX(0,MIN(BN253,PR_USCb3)-PR_USCb2)+PR_USCr4*MAX(0,BN253-PR_USCb3))),0)</f>
        <v>349.430616601173</v>
      </c>
      <c r="BP253" s="20" t="n">
        <f aca="false">IF(C253&lt;PR_PRSIend,IF(F_SelfEmp=1,IF(AL253&gt;PR_PRSIsMinInc,MAX(PR_PRSIsMin,AL253*J253),0),IF(AL253/52&lt;=PR_PRSIfree,0,MAX(0,(AL253/52*J253-IF(AL253/52&lt;=PR_PRSIcreditTo,MAX(0,PR_PRSIcreditMax-(AL253/52-(PR_PRSIfree+0.01))/PR_PRSItaper),0))*52)))+J253*AN253+IF(AO253&gt;PR_PRSIunearned,J253*AO253,0),0)</f>
        <v>3281.17850194272</v>
      </c>
      <c r="BQ253" s="20" t="n">
        <f aca="false">IF(AND(F_Partner=1,AG253&lt;PR_PRSIend),IF(AQ253/52&lt;=PR_PRSIfree,0,MAX(0,(AQ253/52*J253-IF(AQ253/52&lt;=PR_PRSIcreditTo,MAX(0,PR_PRSIcreditMax-(AQ253/52-(PR_PRSIfree+0.01))/PR_PRSItaper),0))*52)),0)</f>
        <v>1244.58494901276</v>
      </c>
      <c r="BR253" s="20" t="n">
        <f aca="false">BK253+BM253+BO253+BP253+BQ253</f>
        <v>21421.244616557</v>
      </c>
      <c r="BS253" s="20" t="n">
        <f aca="false">BR253*H253</f>
        <v>31206.7084868512</v>
      </c>
      <c r="BT253" s="20" t="n">
        <f aca="false">K253+AK253+AC253+AF253+AH253+AI253</f>
        <v>140280.484246168</v>
      </c>
    </row>
    <row r="254" customFormat="false" ht="15" hidden="false" customHeight="true" outlineLevel="0" collapsed="false">
      <c r="B254" s="20" t="n">
        <v>20</v>
      </c>
      <c r="C254" s="20" t="n">
        <f aca="false">F_Age+B254</f>
        <v>58</v>
      </c>
      <c r="D254" s="20" t="n">
        <f aca="false">AS_Year0+B254</f>
        <v>2047</v>
      </c>
      <c r="E254" s="44" t="n">
        <f aca="false">(1+AS_Infl)^B254</f>
        <v>1.48594739597836</v>
      </c>
      <c r="F254" s="44" t="n">
        <f aca="false">(1+AS_Wage)^B254</f>
        <v>1.80611123466941</v>
      </c>
      <c r="G254" s="20" t="n">
        <f aca="false">IF(C254&lt;F_R,1,0)</f>
        <v>1</v>
      </c>
      <c r="H254" s="44" t="n">
        <f aca="false">IF(AS_Bands="flat",1,E254)</f>
        <v>1.48594739597836</v>
      </c>
      <c r="I254" s="44" t="n">
        <f aca="false">IF(AS_SpGrow="pay",F254,IF(AS_SpGrow="flat",1,E254))</f>
        <v>1.48594739597836</v>
      </c>
      <c r="J254" s="44" t="n">
        <f aca="false">(12*PR_PRSIr0+(PR_PRSIr1-PR_PRSIr0)*MAX(0,MIN(12,D254*12+12-PR_PRSIt1))+(PR_PRSIr2-PR_PRSIr1)*MAX(0,MIN(12,D254*12+12-PR_PRSIt2))+(PR_PRSIr3-PR_PRSIr2)*MAX(0,MIN(12,D254*12+12-PR_PRSIt3)))/12</f>
        <v>0.047</v>
      </c>
      <c r="K254" s="20" t="n">
        <f aca="false">IF(G254=1,F_Income*F254,0)</f>
        <v>104754.451610826</v>
      </c>
      <c r="L254" s="20" t="n">
        <f aca="false">IF(G254=1,(F_Own+In_penExtra)*12*F254,0)</f>
        <v>5635.06705216857</v>
      </c>
      <c r="M254" s="20" t="n">
        <f aca="false">IF(G254=1,(F_PenM+In_penExtra)*12*F254,0)</f>
        <v>11270.1341043371</v>
      </c>
      <c r="N254" s="45" t="n">
        <f aca="false">IF(C254&lt;PR_RelA1,PR_RelP1,IF(C254&lt;PR_RelA2,PR_RelP2,IF(C254&lt;PR_RelA3,PR_RelP3,IF(C254&lt;PR_RelA4,PR_RelP4,IF(C254&lt;PR_RelA5,PR_RelP5,PR_RelP6)))))</f>
        <v>0.35</v>
      </c>
      <c r="O254" s="20" t="n">
        <f aca="false">IF(G254=1,MIN(L254/H254,N254*MIN(K254/H254,PR_EarnCap))*H254,0)</f>
        <v>5635.06705216857</v>
      </c>
      <c r="P254" s="20" t="n">
        <f aca="false">IF(AND(G254=1,F_AE=1),MIN(K254/H254,PR_AEcap)*H254,0)</f>
        <v>0</v>
      </c>
      <c r="Q254" s="20" t="n">
        <f aca="false">IF(G254=1,IF(WI_Retire=1,MAX(0,M254+WI_M*12),M254)+(PR_AEee+PR_AEer+PR_AEst)*P254,0)</f>
        <v>11270.1341043371</v>
      </c>
      <c r="R254" s="20" t="n">
        <f aca="false">L254+PR_AEee*P254</f>
        <v>5635.06705216857</v>
      </c>
      <c r="S254" s="20" t="n">
        <f aca="false">AD253</f>
        <v>425574.170498179</v>
      </c>
      <c r="T254" s="20" t="n">
        <f aca="false">IF(D254&lt;=PR_SFTfrom,PR_SFT2026,IF(D254=PR_SFTfrom+1,PR_SFT2027,IF(D254=PR_SFTfrom+2,PR_SFT2028,IF(D254&lt;=PR_SFTto,PR_SFT2029,PR_SFT2029*(1+AS_Infl)^(D254-PR_SFTto)))))</f>
        <v>3999089.49321357</v>
      </c>
      <c r="U254" s="20" t="n">
        <f aca="false">IF(AND(G254=0,C254=F_V),1,0)</f>
        <v>0</v>
      </c>
      <c r="V254" s="20" t="n">
        <f aca="false">IF(U254=1,PR_SFTrate*MAX(0,S254-T254),0)</f>
        <v>0</v>
      </c>
      <c r="W254" s="20" t="n">
        <f aca="false">S254-V254</f>
        <v>425574.170498179</v>
      </c>
      <c r="X254" s="20" t="n">
        <f aca="false">IF(AND(U254=1,AS_LumpPct&gt;0),W254*MIN(AS_LumpPct,PR_LSmax),0)</f>
        <v>0</v>
      </c>
      <c r="Y254" s="20" t="n">
        <f aca="false">X254-(PR_LSrate*MAX(0,MIN(X254,PR_LScap)-PR_LSfree)+PR_r2*MAX(0,X254-PR_LScap))</f>
        <v>0</v>
      </c>
      <c r="Z254" s="20" t="n">
        <f aca="false">W254-X254</f>
        <v>425574.170498179</v>
      </c>
      <c r="AA254" s="45" t="n">
        <f aca="false">IF(C254&gt;=PR_ARFage1,IF(Z254&gt;PR_ARFbig,PR_ARFbigRate,IF(C254&gt;=PR_ARFage2,PR_ARF71,PR_ARF61)),0)</f>
        <v>0</v>
      </c>
      <c r="AB254" s="20" t="n">
        <f aca="false">IF(AS_DrawRule="min",Z254*AA254,IF(AS_DrawRule="fixed",MAX(AS_DrawFixed*E254,Z254*AA254),Z254*MAX(1/MAX(1,AS_End-C254+1),AA254)))</f>
        <v>11199.3202762679</v>
      </c>
      <c r="AC254" s="20" t="n">
        <f aca="false">IF(AND(G254=0,C254&gt;=F_V),MIN(Z254,AB254),0)</f>
        <v>0</v>
      </c>
      <c r="AD254" s="20" t="n">
        <f aca="false">IF(G254=1,S254*(1+F_PenG)+Q254,IF(C254&lt;F_V,S254*(1+F_PenG),(Z254-AC254)*(1+AS_PenRet)))</f>
        <v>455995.142274934</v>
      </c>
      <c r="AE254" s="20" t="n">
        <f aca="false">IF(C254&gt;=PR_SPage,AS_SP*F_SpF*I254+IF(AND(C254&gt;=PR_Over80Age,F_SpF&gt;0),PR_Over80*PR_Weeks*I254,0),0)</f>
        <v>0</v>
      </c>
      <c r="AF254" s="20" t="n">
        <f aca="false">(F_OtherM+F_RentM)*12*E254</f>
        <v>0</v>
      </c>
      <c r="AG254" s="20" t="n">
        <f aca="false">F_PAge+B254</f>
        <v>57</v>
      </c>
      <c r="AH254" s="20" t="n">
        <f aca="false">IF(AND(F_Partner=1,F_PAge&gt;0,AG254&lt;IF(F_PRet&gt;0,F_PRet,PR_SPage)),F_PIncome*F254,0)</f>
        <v>39734.4471627271</v>
      </c>
      <c r="AI254" s="20" t="n">
        <f aca="false">IF(AND(F_Partner=1,AG254&gt;=PR_SPage,F_PSpQA=0),AS_SP*F_PSpF*I254,0)</f>
        <v>0</v>
      </c>
      <c r="AJ254" s="20" t="n">
        <f aca="false">IF(AND(F_Partner=1,F_PSpQA=1,C254&gt;=PR_SPage,AH254=0),IF(AG254&gt;=PR_SPage,PR_QA66,PR_QAunder)*PR_Weeks*I254,0)</f>
        <v>0</v>
      </c>
      <c r="AK254" s="20" t="n">
        <f aca="false">AE254+AJ254</f>
        <v>0</v>
      </c>
      <c r="AL254" s="20" t="n">
        <f aca="false">K254/H254</f>
        <v>70496.7429495411</v>
      </c>
      <c r="AM254" s="20" t="n">
        <f aca="false">AK254/H254</f>
        <v>0</v>
      </c>
      <c r="AN254" s="20" t="n">
        <f aca="false">AC254/H254</f>
        <v>0</v>
      </c>
      <c r="AO254" s="20" t="n">
        <f aca="false">AF254/H254</f>
        <v>0</v>
      </c>
      <c r="AP254" s="20" t="n">
        <f aca="false">O254/H254</f>
        <v>3792.23858625118</v>
      </c>
      <c r="AQ254" s="20" t="n">
        <f aca="false">AH254/H254</f>
        <v>26740.1438774121</v>
      </c>
      <c r="AR254" s="20" t="n">
        <f aca="false">AI254/H254</f>
        <v>0</v>
      </c>
      <c r="AS254" s="20" t="n">
        <f aca="false">MAX(0,AL254+AN254+AO254+AM254-AP254)</f>
        <v>66704.5043632899</v>
      </c>
      <c r="AT254" s="20" t="n">
        <f aca="false">MAX(0,AQ254+AR254)</f>
        <v>26740.1438774121</v>
      </c>
      <c r="AU254" s="20" t="n">
        <f aca="false">MIN(PR_PAYE,PR_PAYEcap*(AL254+AN254+AM254))</f>
        <v>2000</v>
      </c>
      <c r="AV254" s="20" t="n">
        <f aca="false">MIN(PR_PAYE,PR_PAYEcap*(AQ254+AR254))</f>
        <v>2000</v>
      </c>
      <c r="AW254" s="20" t="n">
        <f aca="false">IF(C254&gt;=PR_AgeCrAge,PR_AgeCr,0)</f>
        <v>0</v>
      </c>
      <c r="AX254" s="20" t="n">
        <f aca="false">IF(AG254&gt;=PR_AgeCrAge,PR_AgeCr,0)</f>
        <v>0</v>
      </c>
      <c r="AY254" s="20" t="n">
        <f aca="false">IF(AND(F_RentCred=1,D254&lt;=PR_RentLast),1,0)</f>
        <v>0</v>
      </c>
      <c r="AZ254" s="20" t="n">
        <f aca="false">AS254+AT254</f>
        <v>93444.6482407021</v>
      </c>
      <c r="BA254" s="20" t="n">
        <f aca="false">PR_PersonalM+AU254+AV254+AW254+AX254+IF(AY254=1,PR_RentJoint,0)</f>
        <v>8000</v>
      </c>
      <c r="BB254" s="20" t="n">
        <f aca="false">PR_BandM+MIN(MIN(AS254,AT254),PR_Uplift)</f>
        <v>79740.1438774122</v>
      </c>
      <c r="BC254" s="20" t="n">
        <f aca="false">MAX(0,PR_r1*MIN(AZ254,BB254)+PR_r2*MAX(0,AZ254-BB254)-BA254)</f>
        <v>13429.8305207984</v>
      </c>
      <c r="BD254" s="20" t="n">
        <f aca="false">MAX(0,PR_HomeCarer-MAX(0,MIN(AS254,AT254)-PR_HCLimit)/2)</f>
        <v>0</v>
      </c>
      <c r="BE254" s="20" t="n">
        <f aca="false">IF(F_Carer=1,MIN(BC254,MAX(0,PR_r1*MIN(AZ254,PR_BandM)+PR_r2*MAX(0,AZ254-PR_BandM)-BA254-BD254)),BC254)</f>
        <v>13429.8305207984</v>
      </c>
      <c r="BF254" s="20" t="n">
        <f aca="false">IF(OR(C254&gt;=PR_AgeCrAge,AG254&gt;=PR_AgeCrAge),IF(AZ254&lt;=PR_AgeExM,0,MIN(BE254,PR_AgeMarg*(AZ254-PR_AgeExM))),BE254)</f>
        <v>13429.8305207984</v>
      </c>
      <c r="BG254" s="20" t="n">
        <f aca="false">MAX(0,PR_r1*MIN(AS254,IF(F_Spccc=1,PR_BandSPCCC,PR_Band))+PR_r2*MAX(0,AS254-IF(F_Spccc=1,PR_BandSPCCC,PR_Band))-(PR_Personal+AU254+AW254+IF(F_Spccc=1,PR_SPCCC,0)+IF(AY254=1,PR_Rent,0)))</f>
        <v>13881.801745316</v>
      </c>
      <c r="BH254" s="20" t="n">
        <f aca="false">IF(C254&gt;=PR_AgeCrAge,IF(AS254&lt;=PR_AgeEx,0,MIN(BG254,PR_AgeMarg*(AS254-PR_AgeEx))),BG254)</f>
        <v>13881.801745316</v>
      </c>
      <c r="BI254" s="20" t="n">
        <f aca="false">IF(F_Partner=1,MAX(0,PR_r1*MIN(AT254,PR_Band)+PR_r2*MAX(0,AT254-PR_Band)-(PR_Personal+AV254+AX254+IF(AND(AY254=1,AT254&gt;0),PR_Rent,0))),0)</f>
        <v>1348.02877548243</v>
      </c>
      <c r="BJ254" s="20" t="n">
        <f aca="false">IF(AG254&gt;=PR_AgeCrAge,IF(AT254&lt;=PR_AgeEx,0,MIN(BI254,PR_AgeMarg*(AT254-PR_AgeEx))),BI254)</f>
        <v>1348.02877548243</v>
      </c>
      <c r="BK254" s="20" t="n">
        <f aca="false">IF(F_Partner=1,IF(F_Married=1,BF254,BH254+BJ254),BH254)</f>
        <v>15229.8305207984</v>
      </c>
      <c r="BL254" s="20" t="n">
        <f aca="false">AL254+AN254+AO254</f>
        <v>70496.7429495411</v>
      </c>
      <c r="BM254" s="20" t="n">
        <f aca="false">IF(BL254&lt;=PR_USCex,0,IF(IF(AND(C254&gt;=PR_USCredAge,BL254&lt;=PR_USCredMax),1,0)=1,PR_USCr1*MIN(BL254,PR_USCredB1)+PR_USCredR2*MAX(0,BL254-PR_USCredB1),PR_USCr1*MIN(BL254,PR_USCb1)+PR_USCr2*MAX(0,MIN(BL254,PR_USCb2)-PR_USCb1)+PR_USCr3*MAX(0,MIN(BL254,PR_USCb3)-PR_USCb2)+PR_USCr4*MAX(0,BL254-PR_USCb3)))+IF(F_SelfEmp=1,PR_USCse*MAX(0,AL254-PR_USCseOver),0)</f>
        <v>1670.35943596329</v>
      </c>
      <c r="BN254" s="20" t="n">
        <f aca="false">AQ254</f>
        <v>26740.1438774121</v>
      </c>
      <c r="BO254" s="20" t="n">
        <f aca="false">IF(F_Partner=1,IF(BN254&lt;=PR_USCex,0,IF(IF(AND(AG254&gt;=PR_USCredAge,BN254&lt;=PR_USCredMax),1,0)=1,PR_USCr1*MIN(BN254,PR_USCredB1)+PR_USCredR2*MAX(0,BN254-PR_USCredB1),PR_USCr1*MIN(BN254,PR_USCb1)+PR_USCr2*MAX(0,MIN(BN254,PR_USCb2)-PR_USCb1)+PR_USCr3*MAX(0,MIN(BN254,PR_USCb3)-PR_USCb2)+PR_USCr4*MAX(0,BN254-PR_USCb3))),0)</f>
        <v>354.622877548243</v>
      </c>
      <c r="BP254" s="20" t="n">
        <f aca="false">IF(C254&lt;PR_PRSIend,IF(F_SelfEmp=1,IF(AL254&gt;PR_PRSIsMinInc,MAX(PR_PRSIsMin,AL254*J254),0),IF(AL254/52&lt;=PR_PRSIfree,0,MAX(0,(AL254/52*J254-IF(AL254/52&lt;=PR_PRSIcreditTo,MAX(0,PR_PRSIcreditMax-(AL254/52-(PR_PRSIfree+0.01))/PR_PRSItaper),0))*52)))+J254*AN254+IF(AO254&gt;PR_PRSIunearned,J254*AO254,0),0)</f>
        <v>3313.34691862843</v>
      </c>
      <c r="BQ254" s="20" t="n">
        <f aca="false">IF(AND(F_Partner=1,AG254&lt;PR_PRSIend),IF(AQ254/52&lt;=PR_PRSIfree,0,MAX(0,(AQ254/52*J254-IF(AQ254/52&lt;=PR_PRSIcreditTo,MAX(0,PR_PRSIcreditMax-(AQ254/52-(PR_PRSIfree+0.01))/PR_PRSItaper),0))*52)),0)</f>
        <v>1256.78676223837</v>
      </c>
      <c r="BR254" s="20" t="n">
        <f aca="false">BK254+BM254+BO254+BP254+BQ254</f>
        <v>21824.9465151767</v>
      </c>
      <c r="BS254" s="20" t="n">
        <f aca="false">BR254*H254</f>
        <v>32430.7224415937</v>
      </c>
      <c r="BT254" s="20" t="n">
        <f aca="false">K254+AK254+AC254+AF254+AH254+AI254</f>
        <v>144488.898773553</v>
      </c>
    </row>
    <row r="255" customFormat="false" ht="15" hidden="false" customHeight="true" outlineLevel="0" collapsed="false">
      <c r="B255" s="20" t="n">
        <v>21</v>
      </c>
      <c r="C255" s="20" t="n">
        <f aca="false">F_Age+B255</f>
        <v>59</v>
      </c>
      <c r="D255" s="20" t="n">
        <f aca="false">AS_Year0+B255</f>
        <v>2048</v>
      </c>
      <c r="E255" s="44" t="n">
        <f aca="false">(1+AS_Infl)^B255</f>
        <v>1.51566634389792</v>
      </c>
      <c r="F255" s="44" t="n">
        <f aca="false">(1+AS_Wage)^B255</f>
        <v>1.8602945717095</v>
      </c>
      <c r="G255" s="20" t="n">
        <f aca="false">IF(C255&lt;F_R,1,0)</f>
        <v>1</v>
      </c>
      <c r="H255" s="44" t="n">
        <f aca="false">IF(AS_Bands="flat",1,E255)</f>
        <v>1.51566634389792</v>
      </c>
      <c r="I255" s="44" t="n">
        <f aca="false">IF(AS_SpGrow="pay",F255,IF(AS_SpGrow="flat",1,E255))</f>
        <v>1.51566634389792</v>
      </c>
      <c r="J255" s="44" t="n">
        <f aca="false">(12*PR_PRSIr0+(PR_PRSIr1-PR_PRSIr0)*MAX(0,MIN(12,D255*12+12-PR_PRSIt1))+(PR_PRSIr2-PR_PRSIr1)*MAX(0,MIN(12,D255*12+12-PR_PRSIt2))+(PR_PRSIr3-PR_PRSIr2)*MAX(0,MIN(12,D255*12+12-PR_PRSIt3)))/12</f>
        <v>0.047</v>
      </c>
      <c r="K255" s="20" t="n">
        <f aca="false">IF(G255=1,F_Income*F255,0)</f>
        <v>107897.085159151</v>
      </c>
      <c r="L255" s="20" t="n">
        <f aca="false">IF(G255=1,(F_Own+In_penExtra)*12*F255,0)</f>
        <v>5804.11906373363</v>
      </c>
      <c r="M255" s="20" t="n">
        <f aca="false">IF(G255=1,(F_PenM+In_penExtra)*12*F255,0)</f>
        <v>11608.2381274673</v>
      </c>
      <c r="N255" s="45" t="n">
        <f aca="false">IF(C255&lt;PR_RelA1,PR_RelP1,IF(C255&lt;PR_RelA2,PR_RelP2,IF(C255&lt;PR_RelA3,PR_RelP3,IF(C255&lt;PR_RelA4,PR_RelP4,IF(C255&lt;PR_RelA5,PR_RelP5,PR_RelP6)))))</f>
        <v>0.35</v>
      </c>
      <c r="O255" s="20" t="n">
        <f aca="false">IF(G255=1,MIN(L255/H255,N255*MIN(K255/H255,PR_EarnCap))*H255,0)</f>
        <v>5804.11906373363</v>
      </c>
      <c r="P255" s="20" t="n">
        <f aca="false">IF(AND(G255=1,F_AE=1),MIN(K255/H255,PR_AEcap)*H255,0)</f>
        <v>0</v>
      </c>
      <c r="Q255" s="20" t="n">
        <f aca="false">IF(G255=1,IF(WI_Retire=1,MAX(0,M255+WI_M*12),M255)+(PR_AEee+PR_AEer+PR_AEst)*P255,0)</f>
        <v>11608.2381274673</v>
      </c>
      <c r="R255" s="20" t="n">
        <f aca="false">L255+PR_AEee*P255</f>
        <v>5804.11906373363</v>
      </c>
      <c r="S255" s="20" t="n">
        <f aca="false">AD254</f>
        <v>455995.142274934</v>
      </c>
      <c r="T255" s="20" t="n">
        <f aca="false">IF(D255&lt;=PR_SFTfrom,PR_SFT2026,IF(D255=PR_SFTfrom+1,PR_SFT2027,IF(D255=PR_SFTfrom+2,PR_SFT2028,IF(D255&lt;=PR_SFTto,PR_SFT2029,PR_SFT2029*(1+AS_Infl)^(D255-PR_SFTto)))))</f>
        <v>4079071.28307784</v>
      </c>
      <c r="U255" s="20" t="n">
        <f aca="false">IF(AND(G255=0,C255=F_V),1,0)</f>
        <v>0</v>
      </c>
      <c r="V255" s="20" t="n">
        <f aca="false">IF(U255=1,PR_SFTrate*MAX(0,S255-T255),0)</f>
        <v>0</v>
      </c>
      <c r="W255" s="20" t="n">
        <f aca="false">S255-V255</f>
        <v>455995.142274934</v>
      </c>
      <c r="X255" s="20" t="n">
        <f aca="false">IF(AND(U255=1,AS_LumpPct&gt;0),W255*MIN(AS_LumpPct,PR_LSmax),0)</f>
        <v>0</v>
      </c>
      <c r="Y255" s="20" t="n">
        <f aca="false">X255-(PR_LSrate*MAX(0,MIN(X255,PR_LScap)-PR_LSfree)+PR_r2*MAX(0,X255-PR_LScap))</f>
        <v>0</v>
      </c>
      <c r="Z255" s="20" t="n">
        <f aca="false">W255-X255</f>
        <v>455995.142274934</v>
      </c>
      <c r="AA255" s="45" t="n">
        <f aca="false">IF(C255&gt;=PR_ARFage1,IF(Z255&gt;PR_ARFbig,PR_ARFbigRate,IF(C255&gt;=PR_ARFage2,PR_ARF71,PR_ARF61)),0)</f>
        <v>0</v>
      </c>
      <c r="AB255" s="20" t="n">
        <f aca="false">IF(AS_DrawRule="min",Z255*AA255,IF(AS_DrawRule="fixed",MAX(AS_DrawFixed*E255,Z255*AA255),Z255*MAX(1/MAX(1,AS_End-C255+1),AA255)))</f>
        <v>12324.1930344577</v>
      </c>
      <c r="AC255" s="20" t="n">
        <f aca="false">IF(AND(G255=0,C255&gt;=F_V),MIN(Z255,AB255),0)</f>
        <v>0</v>
      </c>
      <c r="AD255" s="20" t="n">
        <f aca="false">IF(G255=1,S255*(1+F_PenG)+Q255,IF(C255&lt;F_V,S255*(1+F_PenG),(Z255-AC255)*(1+AS_PenRet)))</f>
        <v>488123.161804774</v>
      </c>
      <c r="AE255" s="20" t="n">
        <f aca="false">IF(C255&gt;=PR_SPage,AS_SP*F_SpF*I255+IF(AND(C255&gt;=PR_Over80Age,F_SpF&gt;0),PR_Over80*PR_Weeks*I255,0),0)</f>
        <v>0</v>
      </c>
      <c r="AF255" s="20" t="n">
        <f aca="false">(F_OtherM+F_RentM)*12*E255</f>
        <v>0</v>
      </c>
      <c r="AG255" s="20" t="n">
        <f aca="false">F_PAge+B255</f>
        <v>58</v>
      </c>
      <c r="AH255" s="20" t="n">
        <f aca="false">IF(AND(F_Partner=1,F_PAge&gt;0,AG255&lt;IF(F_PRet&gt;0,F_PRet,PR_SPage)),F_PIncome*F255,0)</f>
        <v>40926.4805776089</v>
      </c>
      <c r="AI255" s="20" t="n">
        <f aca="false">IF(AND(F_Partner=1,AG255&gt;=PR_SPage,F_PSpQA=0),AS_SP*F_PSpF*I255,0)</f>
        <v>0</v>
      </c>
      <c r="AJ255" s="20" t="n">
        <f aca="false">IF(AND(F_Partner=1,F_PSpQA=1,C255&gt;=PR_SPage,AH255=0),IF(AG255&gt;=PR_SPage,PR_QA66,PR_QAunder)*PR_Weeks*I255,0)</f>
        <v>0</v>
      </c>
      <c r="AK255" s="20" t="n">
        <f aca="false">AE255+AJ255</f>
        <v>0</v>
      </c>
      <c r="AL255" s="20" t="n">
        <f aca="false">K255/H255</f>
        <v>71187.8874882621</v>
      </c>
      <c r="AM255" s="20" t="n">
        <f aca="false">AK255/H255</f>
        <v>0</v>
      </c>
      <c r="AN255" s="20" t="n">
        <f aca="false">AC255/H255</f>
        <v>0</v>
      </c>
      <c r="AO255" s="20" t="n">
        <f aca="false">AF255/H255</f>
        <v>0</v>
      </c>
      <c r="AP255" s="20" t="n">
        <f aca="false">O255/H255</f>
        <v>3829.41739592031</v>
      </c>
      <c r="AQ255" s="20" t="n">
        <f aca="false">AH255/H255</f>
        <v>27002.3021507201</v>
      </c>
      <c r="AR255" s="20" t="n">
        <f aca="false">AI255/H255</f>
        <v>0</v>
      </c>
      <c r="AS255" s="20" t="n">
        <f aca="false">MAX(0,AL255+AN255+AO255+AM255-AP255)</f>
        <v>67358.4700923418</v>
      </c>
      <c r="AT255" s="20" t="n">
        <f aca="false">MAX(0,AQ255+AR255)</f>
        <v>27002.3021507201</v>
      </c>
      <c r="AU255" s="20" t="n">
        <f aca="false">MIN(PR_PAYE,PR_PAYEcap*(AL255+AN255+AM255))</f>
        <v>2000</v>
      </c>
      <c r="AV255" s="20" t="n">
        <f aca="false">MIN(PR_PAYE,PR_PAYEcap*(AQ255+AR255))</f>
        <v>2000</v>
      </c>
      <c r="AW255" s="20" t="n">
        <f aca="false">IF(C255&gt;=PR_AgeCrAge,PR_AgeCr,0)</f>
        <v>0</v>
      </c>
      <c r="AX255" s="20" t="n">
        <f aca="false">IF(AG255&gt;=PR_AgeCrAge,PR_AgeCr,0)</f>
        <v>0</v>
      </c>
      <c r="AY255" s="20" t="n">
        <f aca="false">IF(AND(F_RentCred=1,D255&lt;=PR_RentLast),1,0)</f>
        <v>0</v>
      </c>
      <c r="AZ255" s="20" t="n">
        <f aca="false">AS255+AT255</f>
        <v>94360.7722430619</v>
      </c>
      <c r="BA255" s="20" t="n">
        <f aca="false">PR_PersonalM+AU255+AV255+AW255+AX255+IF(AY255=1,PR_RentJoint,0)</f>
        <v>8000</v>
      </c>
      <c r="BB255" s="20" t="n">
        <f aca="false">PR_BandM+MIN(MIN(AS255,AT255),PR_Uplift)</f>
        <v>80002.3021507201</v>
      </c>
      <c r="BC255" s="20" t="n">
        <f aca="false">MAX(0,PR_r1*MIN(AZ255,BB255)+PR_r2*MAX(0,AZ255-BB255)-BA255)</f>
        <v>13743.8484670807</v>
      </c>
      <c r="BD255" s="20" t="n">
        <f aca="false">MAX(0,PR_HomeCarer-MAX(0,MIN(AS255,AT255)-PR_HCLimit)/2)</f>
        <v>0</v>
      </c>
      <c r="BE255" s="20" t="n">
        <f aca="false">IF(F_Carer=1,MIN(BC255,MAX(0,PR_r1*MIN(AZ255,PR_BandM)+PR_r2*MAX(0,AZ255-PR_BandM)-BA255-BD255)),BC255)</f>
        <v>13743.8484670807</v>
      </c>
      <c r="BF255" s="20" t="n">
        <f aca="false">IF(OR(C255&gt;=PR_AgeCrAge,AG255&gt;=PR_AgeCrAge),IF(AZ255&lt;=PR_AgeExM,0,MIN(BE255,PR_AgeMarg*(AZ255-PR_AgeExM))),BE255)</f>
        <v>13743.8484670807</v>
      </c>
      <c r="BG255" s="20" t="n">
        <f aca="false">MAX(0,PR_r1*MIN(AS255,IF(F_Spccc=1,PR_BandSPCCC,PR_Band))+PR_r2*MAX(0,AS255-IF(F_Spccc=1,PR_BandSPCCC,PR_Band))-(PR_Personal+AU255+AW255+IF(F_Spccc=1,PR_SPCCC,0)+IF(AY255=1,PR_Rent,0)))</f>
        <v>14143.3880369367</v>
      </c>
      <c r="BH255" s="20" t="n">
        <f aca="false">IF(C255&gt;=PR_AgeCrAge,IF(AS255&lt;=PR_AgeEx,0,MIN(BG255,PR_AgeMarg*(AS255-PR_AgeEx))),BG255)</f>
        <v>14143.3880369367</v>
      </c>
      <c r="BI255" s="20" t="n">
        <f aca="false">IF(F_Partner=1,MAX(0,PR_r1*MIN(AT255,PR_Band)+PR_r2*MAX(0,AT255-PR_Band)-(PR_Personal+AV255+AX255+IF(AND(AY255=1,AT255&gt;0),PR_Rent,0))),0)</f>
        <v>1400.46043014402</v>
      </c>
      <c r="BJ255" s="20" t="n">
        <f aca="false">IF(AG255&gt;=PR_AgeCrAge,IF(AT255&lt;=PR_AgeEx,0,MIN(BI255,PR_AgeMarg*(AT255-PR_AgeEx))),BI255)</f>
        <v>1400.46043014402</v>
      </c>
      <c r="BK255" s="20" t="n">
        <f aca="false">IF(F_Partner=1,IF(F_Married=1,BF255,BH255+BJ255),BH255)</f>
        <v>15543.8484670807</v>
      </c>
      <c r="BL255" s="20" t="n">
        <f aca="false">AL255+AN255+AO255</f>
        <v>71187.8874882621</v>
      </c>
      <c r="BM255" s="20" t="n">
        <f aca="false">IF(BL255&lt;=PR_USCex,0,IF(IF(AND(C255&gt;=PR_USCredAge,BL255&lt;=PR_USCredMax),1,0)=1,PR_USCr1*MIN(BL255,PR_USCredB1)+PR_USCredR2*MAX(0,BL255-PR_USCredB1),PR_USCr1*MIN(BL255,PR_USCb1)+PR_USCr2*MAX(0,MIN(BL255,PR_USCb2)-PR_USCb1)+PR_USCr3*MAX(0,MIN(BL255,PR_USCb3)-PR_USCb2)+PR_USCr4*MAX(0,BL255-PR_USCb3)))+IF(F_SelfEmp=1,PR_USCse*MAX(0,AL255-PR_USCseOver),0)</f>
        <v>1725.65099906097</v>
      </c>
      <c r="BN255" s="20" t="n">
        <f aca="false">AQ255</f>
        <v>27002.3021507201</v>
      </c>
      <c r="BO255" s="20" t="n">
        <f aca="false">IF(F_Partner=1,IF(BN255&lt;=PR_USCex,0,IF(IF(AND(AG255&gt;=PR_USCredAge,BN255&lt;=PR_USCredMax),1,0)=1,PR_USCr1*MIN(BN255,PR_USCredB1)+PR_USCredR2*MAX(0,BN255-PR_USCredB1),PR_USCr1*MIN(BN255,PR_USCb1)+PR_USCr2*MAX(0,MIN(BN255,PR_USCb2)-PR_USCb1)+PR_USCr3*MAX(0,MIN(BN255,PR_USCb3)-PR_USCb2)+PR_USCr4*MAX(0,BN255-PR_USCb3))),0)</f>
        <v>359.866043014402</v>
      </c>
      <c r="BP255" s="20" t="n">
        <f aca="false">IF(C255&lt;PR_PRSIend,IF(F_SelfEmp=1,IF(AL255&gt;PR_PRSIsMinInc,MAX(PR_PRSIsMin,AL255*J255),0),IF(AL255/52&lt;=PR_PRSIfree,0,MAX(0,(AL255/52*J255-IF(AL255/52&lt;=PR_PRSIcreditTo,MAX(0,PR_PRSIcreditMax-(AL255/52-(PR_PRSIfree+0.01))/PR_PRSItaper),0))*52)))+J255*AN255+IF(AO255&gt;PR_PRSIunearned,J255*AO255,0),0)</f>
        <v>3345.83071194832</v>
      </c>
      <c r="BQ255" s="20" t="n">
        <f aca="false">IF(AND(F_Partner=1,AG255&lt;PR_PRSIend),IF(AQ255/52&lt;=PR_PRSIfree,0,MAX(0,(AQ255/52*J255-IF(AQ255/52&lt;=PR_PRSIcreditTo,MAX(0,PR_PRSIcreditMax-(AQ255/52-(PR_PRSIfree+0.01))/PR_PRSItaper),0))*52)),0)</f>
        <v>1269.10820108385</v>
      </c>
      <c r="BR255" s="20" t="n">
        <f aca="false">BK255+BM255+BO255+BP255+BQ255</f>
        <v>22244.3044221883</v>
      </c>
      <c r="BS255" s="20" t="n">
        <f aca="false">BR255*H255</f>
        <v>33714.9435561305</v>
      </c>
      <c r="BT255" s="20" t="n">
        <f aca="false">K255+AK255+AC255+AF255+AH255+AI255</f>
        <v>148823.56573676</v>
      </c>
    </row>
    <row r="256" customFormat="false" ht="15" hidden="false" customHeight="true" outlineLevel="0" collapsed="false">
      <c r="B256" s="20" t="n">
        <v>22</v>
      </c>
      <c r="C256" s="20" t="n">
        <f aca="false">F_Age+B256</f>
        <v>60</v>
      </c>
      <c r="D256" s="20" t="n">
        <f aca="false">AS_Year0+B256</f>
        <v>2049</v>
      </c>
      <c r="E256" s="44" t="n">
        <f aca="false">(1+AS_Infl)^B256</f>
        <v>1.54597967077588</v>
      </c>
      <c r="F256" s="44" t="n">
        <f aca="false">(1+AS_Wage)^B256</f>
        <v>1.91610340886078</v>
      </c>
      <c r="G256" s="20" t="n">
        <f aca="false">IF(C256&lt;F_R,1,0)</f>
        <v>1</v>
      </c>
      <c r="H256" s="44" t="n">
        <f aca="false">IF(AS_Bands="flat",1,E256)</f>
        <v>1.54597967077588</v>
      </c>
      <c r="I256" s="44" t="n">
        <f aca="false">IF(AS_SpGrow="pay",F256,IF(AS_SpGrow="flat",1,E256))</f>
        <v>1.54597967077588</v>
      </c>
      <c r="J256" s="44" t="n">
        <f aca="false">(12*PR_PRSIr0+(PR_PRSIr1-PR_PRSIr0)*MAX(0,MIN(12,D256*12+12-PR_PRSIt1))+(PR_PRSIr2-PR_PRSIr1)*MAX(0,MIN(12,D256*12+12-PR_PRSIt2))+(PR_PRSIr3-PR_PRSIr2)*MAX(0,MIN(12,D256*12+12-PR_PRSIt3)))/12</f>
        <v>0.047</v>
      </c>
      <c r="K256" s="20" t="n">
        <f aca="false">IF(G256=1,F_Income*F256,0)</f>
        <v>111133.997713925</v>
      </c>
      <c r="L256" s="20" t="n">
        <f aca="false">IF(G256=1,(F_Own+In_penExtra)*12*F256,0)</f>
        <v>5978.24263564564</v>
      </c>
      <c r="M256" s="20" t="n">
        <f aca="false">IF(G256=1,(F_PenM+In_penExtra)*12*F256,0)</f>
        <v>11956.4852712913</v>
      </c>
      <c r="N256" s="45" t="n">
        <f aca="false">IF(C256&lt;PR_RelA1,PR_RelP1,IF(C256&lt;PR_RelA2,PR_RelP2,IF(C256&lt;PR_RelA3,PR_RelP3,IF(C256&lt;PR_RelA4,PR_RelP4,IF(C256&lt;PR_RelA5,PR_RelP5,PR_RelP6)))))</f>
        <v>0.4</v>
      </c>
      <c r="O256" s="20" t="n">
        <f aca="false">IF(G256=1,MIN(L256/H256,N256*MIN(K256/H256,PR_EarnCap))*H256,0)</f>
        <v>5978.24263564564</v>
      </c>
      <c r="P256" s="20" t="n">
        <f aca="false">IF(AND(G256=1,F_AE=1),MIN(K256/H256,PR_AEcap)*H256,0)</f>
        <v>0</v>
      </c>
      <c r="Q256" s="20" t="n">
        <f aca="false">IF(G256=1,IF(WI_Retire=1,MAX(0,M256+WI_M*12),M256)+(PR_AEee+PR_AEer+PR_AEst)*P256,0)</f>
        <v>11956.4852712913</v>
      </c>
      <c r="R256" s="20" t="n">
        <f aca="false">L256+PR_AEee*P256</f>
        <v>5978.24263564564</v>
      </c>
      <c r="S256" s="20" t="n">
        <f aca="false">AD255</f>
        <v>488123.161804774</v>
      </c>
      <c r="T256" s="20" t="n">
        <f aca="false">IF(D256&lt;=PR_SFTfrom,PR_SFT2026,IF(D256=PR_SFTfrom+1,PR_SFT2027,IF(D256=PR_SFTfrom+2,PR_SFT2028,IF(D256&lt;=PR_SFTto,PR_SFT2029,PR_SFT2029*(1+AS_Infl)^(D256-PR_SFTto)))))</f>
        <v>4160652.70873939</v>
      </c>
      <c r="U256" s="20" t="n">
        <f aca="false">IF(AND(G256=0,C256=F_V),1,0)</f>
        <v>0</v>
      </c>
      <c r="V256" s="20" t="n">
        <f aca="false">IF(U256=1,PR_SFTrate*MAX(0,S256-T256),0)</f>
        <v>0</v>
      </c>
      <c r="W256" s="20" t="n">
        <f aca="false">S256-V256</f>
        <v>488123.161804774</v>
      </c>
      <c r="X256" s="20" t="n">
        <f aca="false">IF(AND(U256=1,AS_LumpPct&gt;0),W256*MIN(AS_LumpPct,PR_LSmax),0)</f>
        <v>0</v>
      </c>
      <c r="Y256" s="20" t="n">
        <f aca="false">X256-(PR_LSrate*MAX(0,MIN(X256,PR_LScap)-PR_LSfree)+PR_r2*MAX(0,X256-PR_LScap))</f>
        <v>0</v>
      </c>
      <c r="Z256" s="20" t="n">
        <f aca="false">W256-X256</f>
        <v>488123.161804774</v>
      </c>
      <c r="AA256" s="45" t="n">
        <f aca="false">IF(C256&gt;=PR_ARFage1,IF(Z256&gt;PR_ARFbig,PR_ARFbigRate,IF(C256&gt;=PR_ARFage2,PR_ARF71,PR_ARF61)),0)</f>
        <v>0</v>
      </c>
      <c r="AB256" s="20" t="n">
        <f aca="false">IF(AS_DrawRule="min",Z256*AA256,IF(AS_DrawRule="fixed",MAX(AS_DrawFixed*E256,Z256*AA256),Z256*MAX(1/MAX(1,AS_End-C256+1),AA256)))</f>
        <v>13558.9767167993</v>
      </c>
      <c r="AC256" s="20" t="n">
        <f aca="false">IF(AND(G256=0,C256&gt;=F_V),MIN(Z256,AB256),0)</f>
        <v>0</v>
      </c>
      <c r="AD256" s="20" t="n">
        <f aca="false">IF(G256=1,S256*(1+F_PenG)+Q256,IF(C256&lt;F_V,S256*(1+F_PenG),(Z256-AC256)*(1+AS_PenRet)))</f>
        <v>522045.18935728</v>
      </c>
      <c r="AE256" s="20" t="n">
        <f aca="false">IF(C256&gt;=PR_SPage,AS_SP*F_SpF*I256+IF(AND(C256&gt;=PR_Over80Age,F_SpF&gt;0),PR_Over80*PR_Weeks*I256,0),0)</f>
        <v>0</v>
      </c>
      <c r="AF256" s="20" t="n">
        <f aca="false">(F_OtherM+F_RentM)*12*E256</f>
        <v>0</v>
      </c>
      <c r="AG256" s="20" t="n">
        <f aca="false">F_PAge+B256</f>
        <v>59</v>
      </c>
      <c r="AH256" s="20" t="n">
        <f aca="false">IF(AND(F_Partner=1,F_PAge&gt;0,AG256&lt;IF(F_PRet&gt;0,F_PRet,PR_SPage)),F_PIncome*F256,0)</f>
        <v>42154.2749949372</v>
      </c>
      <c r="AI256" s="20" t="n">
        <f aca="false">IF(AND(F_Partner=1,AG256&gt;=PR_SPage,F_PSpQA=0),AS_SP*F_PSpF*I256,0)</f>
        <v>0</v>
      </c>
      <c r="AJ256" s="20" t="n">
        <f aca="false">IF(AND(F_Partner=1,F_PSpQA=1,C256&gt;=PR_SPage,AH256=0),IF(AG256&gt;=PR_SPage,PR_QA66,PR_QAunder)*PR_Weeks*I256,0)</f>
        <v>0</v>
      </c>
      <c r="AK256" s="20" t="n">
        <f aca="false">AE256+AJ256</f>
        <v>0</v>
      </c>
      <c r="AL256" s="20" t="n">
        <f aca="false">K256/H256</f>
        <v>71885.8079538333</v>
      </c>
      <c r="AM256" s="20" t="n">
        <f aca="false">AK256/H256</f>
        <v>0</v>
      </c>
      <c r="AN256" s="20" t="n">
        <f aca="false">AC256/H256</f>
        <v>0</v>
      </c>
      <c r="AO256" s="20" t="n">
        <f aca="false">AF256/H256</f>
        <v>0</v>
      </c>
      <c r="AP256" s="20" t="n">
        <f aca="false">O256/H256</f>
        <v>3866.96070372345</v>
      </c>
      <c r="AQ256" s="20" t="n">
        <f aca="false">AH256/H256</f>
        <v>27267.0306031781</v>
      </c>
      <c r="AR256" s="20" t="n">
        <f aca="false">AI256/H256</f>
        <v>0</v>
      </c>
      <c r="AS256" s="20" t="n">
        <f aca="false">MAX(0,AL256+AN256+AO256+AM256-AP256)</f>
        <v>68018.8472501098</v>
      </c>
      <c r="AT256" s="20" t="n">
        <f aca="false">MAX(0,AQ256+AR256)</f>
        <v>27267.0306031781</v>
      </c>
      <c r="AU256" s="20" t="n">
        <f aca="false">MIN(PR_PAYE,PR_PAYEcap*(AL256+AN256+AM256))</f>
        <v>2000</v>
      </c>
      <c r="AV256" s="20" t="n">
        <f aca="false">MIN(PR_PAYE,PR_PAYEcap*(AQ256+AR256))</f>
        <v>2000</v>
      </c>
      <c r="AW256" s="20" t="n">
        <f aca="false">IF(C256&gt;=PR_AgeCrAge,PR_AgeCr,0)</f>
        <v>0</v>
      </c>
      <c r="AX256" s="20" t="n">
        <f aca="false">IF(AG256&gt;=PR_AgeCrAge,PR_AgeCr,0)</f>
        <v>0</v>
      </c>
      <c r="AY256" s="20" t="n">
        <f aca="false">IF(AND(F_RentCred=1,D256&lt;=PR_RentLast),1,0)</f>
        <v>0</v>
      </c>
      <c r="AZ256" s="20" t="n">
        <f aca="false">AS256+AT256</f>
        <v>95285.877853288</v>
      </c>
      <c r="BA256" s="20" t="n">
        <f aca="false">PR_PersonalM+AU256+AV256+AW256+AX256+IF(AY256=1,PR_RentJoint,0)</f>
        <v>8000</v>
      </c>
      <c r="BB256" s="20" t="n">
        <f aca="false">PR_BandM+MIN(MIN(AS256,AT256),PR_Uplift)</f>
        <v>80267.0306031782</v>
      </c>
      <c r="BC256" s="20" t="n">
        <f aca="false">MAX(0,PR_r1*MIN(AZ256,BB256)+PR_r2*MAX(0,AZ256-BB256)-BA256)</f>
        <v>14060.9450206796</v>
      </c>
      <c r="BD256" s="20" t="n">
        <f aca="false">MAX(0,PR_HomeCarer-MAX(0,MIN(AS256,AT256)-PR_HCLimit)/2)</f>
        <v>0</v>
      </c>
      <c r="BE256" s="20" t="n">
        <f aca="false">IF(F_Carer=1,MIN(BC256,MAX(0,PR_r1*MIN(AZ256,PR_BandM)+PR_r2*MAX(0,AZ256-PR_BandM)-BA256-BD256)),BC256)</f>
        <v>14060.9450206796</v>
      </c>
      <c r="BF256" s="20" t="n">
        <f aca="false">IF(OR(C256&gt;=PR_AgeCrAge,AG256&gt;=PR_AgeCrAge),IF(AZ256&lt;=PR_AgeExM,0,MIN(BE256,PR_AgeMarg*(AZ256-PR_AgeExM))),BE256)</f>
        <v>14060.9450206796</v>
      </c>
      <c r="BG256" s="20" t="n">
        <f aca="false">MAX(0,PR_r1*MIN(AS256,IF(F_Spccc=1,PR_BandSPCCC,PR_Band))+PR_r2*MAX(0,AS256-IF(F_Spccc=1,PR_BandSPCCC,PR_Band))-(PR_Personal+AU256+AW256+IF(F_Spccc=1,PR_SPCCC,0)+IF(AY256=1,PR_Rent,0)))</f>
        <v>14407.5389000439</v>
      </c>
      <c r="BH256" s="20" t="n">
        <f aca="false">IF(C256&gt;=PR_AgeCrAge,IF(AS256&lt;=PR_AgeEx,0,MIN(BG256,PR_AgeMarg*(AS256-PR_AgeEx))),BG256)</f>
        <v>14407.5389000439</v>
      </c>
      <c r="BI256" s="20" t="n">
        <f aca="false">IF(F_Partner=1,MAX(0,PR_r1*MIN(AT256,PR_Band)+PR_r2*MAX(0,AT256-PR_Band)-(PR_Personal+AV256+AX256+IF(AND(AY256=1,AT256&gt;0),PR_Rent,0))),0)</f>
        <v>1453.40612063563</v>
      </c>
      <c r="BJ256" s="20" t="n">
        <f aca="false">IF(AG256&gt;=PR_AgeCrAge,IF(AT256&lt;=PR_AgeEx,0,MIN(BI256,PR_AgeMarg*(AT256-PR_AgeEx))),BI256)</f>
        <v>1453.40612063563</v>
      </c>
      <c r="BK256" s="20" t="n">
        <f aca="false">IF(F_Partner=1,IF(F_Married=1,BF256,BH256+BJ256),BH256)</f>
        <v>15860.9450206796</v>
      </c>
      <c r="BL256" s="20" t="n">
        <f aca="false">AL256+AN256+AO256</f>
        <v>71885.8079538333</v>
      </c>
      <c r="BM256" s="20" t="n">
        <f aca="false">IF(BL256&lt;=PR_USCex,0,IF(IF(AND(C256&gt;=PR_USCredAge,BL256&lt;=PR_USCredMax),1,0)=1,PR_USCr1*MIN(BL256,PR_USCredB1)+PR_USCredR2*MAX(0,BL256-PR_USCredB1),PR_USCr1*MIN(BL256,PR_USCb1)+PR_USCr2*MAX(0,MIN(BL256,PR_USCb2)-PR_USCb1)+PR_USCr3*MAX(0,MIN(BL256,PR_USCb3)-PR_USCb2)+PR_USCr4*MAX(0,BL256-PR_USCb3)))+IF(F_SelfEmp=1,PR_USCse*MAX(0,AL256-PR_USCseOver),0)</f>
        <v>1781.48463630666</v>
      </c>
      <c r="BN256" s="20" t="n">
        <f aca="false">AQ256</f>
        <v>27267.0306031781</v>
      </c>
      <c r="BO256" s="20" t="n">
        <f aca="false">IF(F_Partner=1,IF(BN256&lt;=PR_USCex,0,IF(IF(AND(AG256&gt;=PR_USCredAge,BN256&lt;=PR_USCredMax),1,0)=1,PR_USCr1*MIN(BN256,PR_USCredB1)+PR_USCredR2*MAX(0,BN256-PR_USCredB1),PR_USCr1*MIN(BN256,PR_USCb1)+PR_USCr2*MAX(0,MIN(BN256,PR_USCb2)-PR_USCb1)+PR_USCr3*MAX(0,MIN(BN256,PR_USCb3)-PR_USCb2)+PR_USCr4*MAX(0,BN256-PR_USCb3))),0)</f>
        <v>365.160612063563</v>
      </c>
      <c r="BP256" s="20" t="n">
        <f aca="false">IF(C256&lt;PR_PRSIend,IF(F_SelfEmp=1,IF(AL256&gt;PR_PRSIsMinInc,MAX(PR_PRSIsMin,AL256*J256),0),IF(AL256/52&lt;=PR_PRSIfree,0,MAX(0,(AL256/52*J256-IF(AL256/52&lt;=PR_PRSIcreditTo,MAX(0,PR_PRSIcreditMax-(AL256/52-(PR_PRSIfree+0.01))/PR_PRSItaper),0))*52)))+J256*AN256+IF(AO256&gt;PR_PRSIunearned,J256*AO256,0),0)</f>
        <v>3378.63297383016</v>
      </c>
      <c r="BQ256" s="20" t="n">
        <f aca="false">IF(AND(F_Partner=1,AG256&lt;PR_PRSIend),IF(AQ256/52&lt;=PR_PRSIfree,0,MAX(0,(AQ256/52*J256-IF(AQ256/52&lt;=PR_PRSIcreditTo,MAX(0,PR_PRSIcreditMax-(AQ256/52-(PR_PRSIfree+0.01))/PR_PRSItaper),0))*52)),0)</f>
        <v>1281.55043834937</v>
      </c>
      <c r="BR256" s="20" t="n">
        <f aca="false">BK256+BM256+BO256+BP256+BQ256</f>
        <v>22667.7736812293</v>
      </c>
      <c r="BS256" s="20" t="n">
        <f aca="false">BR256*H256</f>
        <v>35043.9172929291</v>
      </c>
      <c r="BT256" s="20" t="n">
        <f aca="false">K256+AK256+AC256+AF256+AH256+AI256</f>
        <v>153288.272708863</v>
      </c>
    </row>
    <row r="257" customFormat="false" ht="15" hidden="false" customHeight="true" outlineLevel="0" collapsed="false">
      <c r="B257" s="20" t="n">
        <v>23</v>
      </c>
      <c r="C257" s="20" t="n">
        <f aca="false">F_Age+B257</f>
        <v>61</v>
      </c>
      <c r="D257" s="20" t="n">
        <f aca="false">AS_Year0+B257</f>
        <v>2050</v>
      </c>
      <c r="E257" s="44" t="n">
        <f aca="false">(1+AS_Infl)^B257</f>
        <v>1.5768992641914</v>
      </c>
      <c r="F257" s="44" t="n">
        <f aca="false">(1+AS_Wage)^B257</f>
        <v>1.97358651112661</v>
      </c>
      <c r="G257" s="20" t="n">
        <f aca="false">IF(C257&lt;F_R,1,0)</f>
        <v>1</v>
      </c>
      <c r="H257" s="44" t="n">
        <f aca="false">IF(AS_Bands="flat",1,E257)</f>
        <v>1.5768992641914</v>
      </c>
      <c r="I257" s="44" t="n">
        <f aca="false">IF(AS_SpGrow="pay",F257,IF(AS_SpGrow="flat",1,E257))</f>
        <v>1.5768992641914</v>
      </c>
      <c r="J257" s="44" t="n">
        <f aca="false">(12*PR_PRSIr0+(PR_PRSIr1-PR_PRSIr0)*MAX(0,MIN(12,D257*12+12-PR_PRSIt1))+(PR_PRSIr2-PR_PRSIr1)*MAX(0,MIN(12,D257*12+12-PR_PRSIt2))+(PR_PRSIr3-PR_PRSIr2)*MAX(0,MIN(12,D257*12+12-PR_PRSIt3)))/12</f>
        <v>0.047</v>
      </c>
      <c r="K257" s="20" t="n">
        <f aca="false">IF(G257=1,F_Income*F257,0)</f>
        <v>114468.017645343</v>
      </c>
      <c r="L257" s="20" t="n">
        <f aca="false">IF(G257=1,(F_Own+In_penExtra)*12*F257,0)</f>
        <v>6157.58991471501</v>
      </c>
      <c r="M257" s="20" t="n">
        <f aca="false">IF(G257=1,(F_PenM+In_penExtra)*12*F257,0)</f>
        <v>12315.17982943</v>
      </c>
      <c r="N257" s="45" t="n">
        <f aca="false">IF(C257&lt;PR_RelA1,PR_RelP1,IF(C257&lt;PR_RelA2,PR_RelP2,IF(C257&lt;PR_RelA3,PR_RelP3,IF(C257&lt;PR_RelA4,PR_RelP4,IF(C257&lt;PR_RelA5,PR_RelP5,PR_RelP6)))))</f>
        <v>0.4</v>
      </c>
      <c r="O257" s="20" t="n">
        <f aca="false">IF(G257=1,MIN(L257/H257,N257*MIN(K257/H257,PR_EarnCap))*H257,0)</f>
        <v>6157.58991471501</v>
      </c>
      <c r="P257" s="20" t="n">
        <f aca="false">IF(AND(G257=1,F_AE=1),MIN(K257/H257,PR_AEcap)*H257,0)</f>
        <v>0</v>
      </c>
      <c r="Q257" s="20" t="n">
        <f aca="false">IF(G257=1,IF(WI_Retire=1,MAX(0,M257+WI_M*12),M257)+(PR_AEee+PR_AEer+PR_AEst)*P257,0)</f>
        <v>12315.17982943</v>
      </c>
      <c r="R257" s="20" t="n">
        <f aca="false">L257+PR_AEee*P257</f>
        <v>6157.58991471501</v>
      </c>
      <c r="S257" s="20" t="n">
        <f aca="false">AD256</f>
        <v>522045.18935728</v>
      </c>
      <c r="T257" s="20" t="n">
        <f aca="false">IF(D257&lt;=PR_SFTfrom,PR_SFT2026,IF(D257=PR_SFTfrom+1,PR_SFT2027,IF(D257=PR_SFTfrom+2,PR_SFT2028,IF(D257&lt;=PR_SFTto,PR_SFT2029,PR_SFT2029*(1+AS_Infl)^(D257-PR_SFTto)))))</f>
        <v>4243865.76291418</v>
      </c>
      <c r="U257" s="20" t="n">
        <f aca="false">IF(AND(G257=0,C257=F_V),1,0)</f>
        <v>0</v>
      </c>
      <c r="V257" s="20" t="n">
        <f aca="false">IF(U257=1,PR_SFTrate*MAX(0,S257-T257),0)</f>
        <v>0</v>
      </c>
      <c r="W257" s="20" t="n">
        <f aca="false">S257-V257</f>
        <v>522045.18935728</v>
      </c>
      <c r="X257" s="20" t="n">
        <f aca="false">IF(AND(U257=1,AS_LumpPct&gt;0),W257*MIN(AS_LumpPct,PR_LSmax),0)</f>
        <v>0</v>
      </c>
      <c r="Y257" s="20" t="n">
        <f aca="false">X257-(PR_LSrate*MAX(0,MIN(X257,PR_LScap)-PR_LSfree)+PR_r2*MAX(0,X257-PR_LScap))</f>
        <v>0</v>
      </c>
      <c r="Z257" s="20" t="n">
        <f aca="false">W257-X257</f>
        <v>522045.18935728</v>
      </c>
      <c r="AA257" s="45" t="n">
        <f aca="false">IF(C257&gt;=PR_ARFage1,IF(Z257&gt;PR_ARFbig,PR_ARFbigRate,IF(C257&gt;=PR_ARFage2,PR_ARF71,PR_ARF61)),0)</f>
        <v>0.04</v>
      </c>
      <c r="AB257" s="20" t="n">
        <f aca="false">IF(AS_DrawRule="min",Z257*AA257,IF(AS_DrawRule="fixed",MAX(AS_DrawFixed*E257,Z257*AA257),Z257*MAX(1/MAX(1,AS_End-C257+1),AA257)))</f>
        <v>20881.8075742912</v>
      </c>
      <c r="AC257" s="20" t="n">
        <f aca="false">IF(AND(G257=0,C257&gt;=F_V),MIN(Z257,AB257),0)</f>
        <v>0</v>
      </c>
      <c r="AD257" s="20" t="n">
        <f aca="false">IF(G257=1,S257*(1+F_PenG)+Q257,IF(C257&lt;F_V,S257*(1+F_PenG),(Z257-AC257)*(1+AS_PenRet)))</f>
        <v>557852.402707787</v>
      </c>
      <c r="AE257" s="20" t="n">
        <f aca="false">IF(C257&gt;=PR_SPage,AS_SP*F_SpF*I257+IF(AND(C257&gt;=PR_Over80Age,F_SpF&gt;0),PR_Over80*PR_Weeks*I257,0),0)</f>
        <v>0</v>
      </c>
      <c r="AF257" s="20" t="n">
        <f aca="false">(F_OtherM+F_RentM)*12*E257</f>
        <v>0</v>
      </c>
      <c r="AG257" s="20" t="n">
        <f aca="false">F_PAge+B257</f>
        <v>60</v>
      </c>
      <c r="AH257" s="20" t="n">
        <f aca="false">IF(AND(F_Partner=1,F_PAge&gt;0,AG257&lt;IF(F_PRet&gt;0,F_PRet,PR_SPage)),F_PIncome*F257,0)</f>
        <v>43418.9032447853</v>
      </c>
      <c r="AI257" s="20" t="n">
        <f aca="false">IF(AND(F_Partner=1,AG257&gt;=PR_SPage,F_PSpQA=0),AS_SP*F_PSpF*I257,0)</f>
        <v>0</v>
      </c>
      <c r="AJ257" s="20" t="n">
        <f aca="false">IF(AND(F_Partner=1,F_PSpQA=1,C257&gt;=PR_SPage,AH257=0),IF(AG257&gt;=PR_SPage,PR_QA66,PR_QAunder)*PR_Weeks*I257,0)</f>
        <v>0</v>
      </c>
      <c r="AK257" s="20" t="n">
        <f aca="false">AE257+AJ257</f>
        <v>0</v>
      </c>
      <c r="AL257" s="20" t="n">
        <f aca="false">K257/H257</f>
        <v>72590.5707769101</v>
      </c>
      <c r="AM257" s="20" t="n">
        <f aca="false">AK257/H257</f>
        <v>0</v>
      </c>
      <c r="AN257" s="20" t="n">
        <f aca="false">AC257/H257</f>
        <v>0</v>
      </c>
      <c r="AO257" s="20" t="n">
        <f aca="false">AF257/H257</f>
        <v>0</v>
      </c>
      <c r="AP257" s="20" t="n">
        <f aca="false">O257/H257</f>
        <v>3904.87208317172</v>
      </c>
      <c r="AQ257" s="20" t="n">
        <f aca="false">AH257/H257</f>
        <v>27534.3544326211</v>
      </c>
      <c r="AR257" s="20" t="n">
        <f aca="false">AI257/H257</f>
        <v>0</v>
      </c>
      <c r="AS257" s="20" t="n">
        <f aca="false">MAX(0,AL257+AN257+AO257+AM257-AP257)</f>
        <v>68685.6986937384</v>
      </c>
      <c r="AT257" s="20" t="n">
        <f aca="false">MAX(0,AQ257+AR257)</f>
        <v>27534.3544326211</v>
      </c>
      <c r="AU257" s="20" t="n">
        <f aca="false">MIN(PR_PAYE,PR_PAYEcap*(AL257+AN257+AM257))</f>
        <v>2000</v>
      </c>
      <c r="AV257" s="20" t="n">
        <f aca="false">MIN(PR_PAYE,PR_PAYEcap*(AQ257+AR257))</f>
        <v>2000</v>
      </c>
      <c r="AW257" s="20" t="n">
        <f aca="false">IF(C257&gt;=PR_AgeCrAge,PR_AgeCr,0)</f>
        <v>0</v>
      </c>
      <c r="AX257" s="20" t="n">
        <f aca="false">IF(AG257&gt;=PR_AgeCrAge,PR_AgeCr,0)</f>
        <v>0</v>
      </c>
      <c r="AY257" s="20" t="n">
        <f aca="false">IF(AND(F_RentCred=1,D257&lt;=PR_RentLast),1,0)</f>
        <v>0</v>
      </c>
      <c r="AZ257" s="20" t="n">
        <f aca="false">AS257+AT257</f>
        <v>96220.0531263595</v>
      </c>
      <c r="BA257" s="20" t="n">
        <f aca="false">PR_PersonalM+AU257+AV257+AW257+AX257+IF(AY257=1,PR_RentJoint,0)</f>
        <v>8000</v>
      </c>
      <c r="BB257" s="20" t="n">
        <f aca="false">PR_BandM+MIN(MIN(AS257,AT257),PR_Uplift)</f>
        <v>80534.3544326211</v>
      </c>
      <c r="BC257" s="20" t="n">
        <f aca="false">MAX(0,PR_r1*MIN(AZ257,BB257)+PR_r2*MAX(0,AZ257-BB257)-BA257)</f>
        <v>14381.1503640196</v>
      </c>
      <c r="BD257" s="20" t="n">
        <f aca="false">MAX(0,PR_HomeCarer-MAX(0,MIN(AS257,AT257)-PR_HCLimit)/2)</f>
        <v>0</v>
      </c>
      <c r="BE257" s="20" t="n">
        <f aca="false">IF(F_Carer=1,MIN(BC257,MAX(0,PR_r1*MIN(AZ257,PR_BandM)+PR_r2*MAX(0,AZ257-PR_BandM)-BA257-BD257)),BC257)</f>
        <v>14381.1503640196</v>
      </c>
      <c r="BF257" s="20" t="n">
        <f aca="false">IF(OR(C257&gt;=PR_AgeCrAge,AG257&gt;=PR_AgeCrAge),IF(AZ257&lt;=PR_AgeExM,0,MIN(BE257,PR_AgeMarg*(AZ257-PR_AgeExM))),BE257)</f>
        <v>14381.1503640196</v>
      </c>
      <c r="BG257" s="20" t="n">
        <f aca="false">MAX(0,PR_r1*MIN(AS257,IF(F_Spccc=1,PR_BandSPCCC,PR_Band))+PR_r2*MAX(0,AS257-IF(F_Spccc=1,PR_BandSPCCC,PR_Band))-(PR_Personal+AU257+AW257+IF(F_Spccc=1,PR_SPCCC,0)+IF(AY257=1,PR_Rent,0)))</f>
        <v>14674.2794774954</v>
      </c>
      <c r="BH257" s="20" t="n">
        <f aca="false">IF(C257&gt;=PR_AgeCrAge,IF(AS257&lt;=PR_AgeEx,0,MIN(BG257,PR_AgeMarg*(AS257-PR_AgeEx))),BG257)</f>
        <v>14674.2794774954</v>
      </c>
      <c r="BI257" s="20" t="n">
        <f aca="false">IF(F_Partner=1,MAX(0,PR_r1*MIN(AT257,PR_Band)+PR_r2*MAX(0,AT257-PR_Band)-(PR_Personal+AV257+AX257+IF(AND(AY257=1,AT257&gt;0),PR_Rent,0))),0)</f>
        <v>1506.87088652421</v>
      </c>
      <c r="BJ257" s="20" t="n">
        <f aca="false">IF(AG257&gt;=PR_AgeCrAge,IF(AT257&lt;=PR_AgeEx,0,MIN(BI257,PR_AgeMarg*(AT257-PR_AgeEx))),BI257)</f>
        <v>1506.87088652421</v>
      </c>
      <c r="BK257" s="20" t="n">
        <f aca="false">IF(F_Partner=1,IF(F_Married=1,BF257,BH257+BJ257),BH257)</f>
        <v>16181.1503640196</v>
      </c>
      <c r="BL257" s="20" t="n">
        <f aca="false">AL257+AN257+AO257</f>
        <v>72590.5707769101</v>
      </c>
      <c r="BM257" s="20" t="n">
        <f aca="false">IF(BL257&lt;=PR_USCex,0,IF(IF(AND(C257&gt;=PR_USCredAge,BL257&lt;=PR_USCredMax),1,0)=1,PR_USCr1*MIN(BL257,PR_USCredB1)+PR_USCredR2*MAX(0,BL257-PR_USCredB1),PR_USCr1*MIN(BL257,PR_USCb1)+PR_USCr2*MAX(0,MIN(BL257,PR_USCb2)-PR_USCb1)+PR_USCr3*MAX(0,MIN(BL257,PR_USCb3)-PR_USCb2)+PR_USCr4*MAX(0,BL257-PR_USCb3)))+IF(F_SelfEmp=1,PR_USCse*MAX(0,AL257-PR_USCseOver),0)</f>
        <v>1837.86566215281</v>
      </c>
      <c r="BN257" s="20" t="n">
        <f aca="false">AQ257</f>
        <v>27534.3544326211</v>
      </c>
      <c r="BO257" s="20" t="n">
        <f aca="false">IF(F_Partner=1,IF(BN257&lt;=PR_USCex,0,IF(IF(AND(AG257&gt;=PR_USCredAge,BN257&lt;=PR_USCredMax),1,0)=1,PR_USCr1*MIN(BN257,PR_USCredB1)+PR_USCredR2*MAX(0,BN257-PR_USCredB1),PR_USCr1*MIN(BN257,PR_USCb1)+PR_USCr2*MAX(0,MIN(BN257,PR_USCb2)-PR_USCb1)+PR_USCr3*MAX(0,MIN(BN257,PR_USCb3)-PR_USCb2)+PR_USCr4*MAX(0,BN257-PR_USCb3))),0)</f>
        <v>370.507088652421</v>
      </c>
      <c r="BP257" s="20" t="n">
        <f aca="false">IF(C257&lt;PR_PRSIend,IF(F_SelfEmp=1,IF(AL257&gt;PR_PRSIsMinInc,MAX(PR_PRSIsMin,AL257*J257),0),IF(AL257/52&lt;=PR_PRSIfree,0,MAX(0,(AL257/52*J257-IF(AL257/52&lt;=PR_PRSIcreditTo,MAX(0,PR_PRSIcreditMax-(AL257/52-(PR_PRSIfree+0.01))/PR_PRSItaper),0))*52)))+J257*AN257+IF(AO257&gt;PR_PRSIunearned,J257*AO257,0),0)</f>
        <v>3411.75682651477</v>
      </c>
      <c r="BQ257" s="20" t="n">
        <f aca="false">IF(AND(F_Partner=1,AG257&lt;PR_PRSIend),IF(AQ257/52&lt;=PR_PRSIfree,0,MAX(0,(AQ257/52*J257-IF(AQ257/52&lt;=PR_PRSIcreditTo,MAX(0,PR_PRSIcreditMax-(AQ257/52-(PR_PRSIfree+0.01))/PR_PRSItaper),0))*52)),0)</f>
        <v>1294.11465833319</v>
      </c>
      <c r="BR257" s="20" t="n">
        <f aca="false">BK257+BM257+BO257+BP257+BQ257</f>
        <v>23095.3945996728</v>
      </c>
      <c r="BS257" s="20" t="n">
        <f aca="false">BR257*H257</f>
        <v>36419.110750434</v>
      </c>
      <c r="BT257" s="20" t="n">
        <f aca="false">K257+AK257+AC257+AF257+AH257+AI257</f>
        <v>157886.920890128</v>
      </c>
    </row>
    <row r="258" customFormat="false" ht="15" hidden="false" customHeight="true" outlineLevel="0" collapsed="false">
      <c r="B258" s="20" t="n">
        <v>24</v>
      </c>
      <c r="C258" s="20" t="n">
        <f aca="false">F_Age+B258</f>
        <v>62</v>
      </c>
      <c r="D258" s="20" t="n">
        <f aca="false">AS_Year0+B258</f>
        <v>2051</v>
      </c>
      <c r="E258" s="44" t="n">
        <f aca="false">(1+AS_Infl)^B258</f>
        <v>1.60843724947523</v>
      </c>
      <c r="F258" s="44" t="n">
        <f aca="false">(1+AS_Wage)^B258</f>
        <v>2.0327941064604</v>
      </c>
      <c r="G258" s="20" t="n">
        <f aca="false">IF(C258&lt;F_R,1,0)</f>
        <v>1</v>
      </c>
      <c r="H258" s="44" t="n">
        <f aca="false">IF(AS_Bands="flat",1,E258)</f>
        <v>1.60843724947523</v>
      </c>
      <c r="I258" s="44" t="n">
        <f aca="false">IF(AS_SpGrow="pay",F258,IF(AS_SpGrow="flat",1,E258))</f>
        <v>1.60843724947523</v>
      </c>
      <c r="J258" s="44" t="n">
        <f aca="false">(12*PR_PRSIr0+(PR_PRSIr1-PR_PRSIr0)*MAX(0,MIN(12,D258*12+12-PR_PRSIt1))+(PR_PRSIr2-PR_PRSIr1)*MAX(0,MIN(12,D258*12+12-PR_PRSIt2))+(PR_PRSIr3-PR_PRSIr2)*MAX(0,MIN(12,D258*12+12-PR_PRSIt3)))/12</f>
        <v>0.047</v>
      </c>
      <c r="K258" s="20" t="n">
        <f aca="false">IF(G258=1,F_Income*F258,0)</f>
        <v>117902.058174703</v>
      </c>
      <c r="L258" s="20" t="n">
        <f aca="false">IF(G258=1,(F_Own+In_penExtra)*12*F258,0)</f>
        <v>6342.31761215646</v>
      </c>
      <c r="M258" s="20" t="n">
        <f aca="false">IF(G258=1,(F_PenM+In_penExtra)*12*F258,0)</f>
        <v>12684.6352243129</v>
      </c>
      <c r="N258" s="45" t="n">
        <f aca="false">IF(C258&lt;PR_RelA1,PR_RelP1,IF(C258&lt;PR_RelA2,PR_RelP2,IF(C258&lt;PR_RelA3,PR_RelP3,IF(C258&lt;PR_RelA4,PR_RelP4,IF(C258&lt;PR_RelA5,PR_RelP5,PR_RelP6)))))</f>
        <v>0.4</v>
      </c>
      <c r="O258" s="20" t="n">
        <f aca="false">IF(G258=1,MIN(L258/H258,N258*MIN(K258/H258,PR_EarnCap))*H258,0)</f>
        <v>6342.31761215646</v>
      </c>
      <c r="P258" s="20" t="n">
        <f aca="false">IF(AND(G258=1,F_AE=1),MIN(K258/H258,PR_AEcap)*H258,0)</f>
        <v>0</v>
      </c>
      <c r="Q258" s="20" t="n">
        <f aca="false">IF(G258=1,IF(WI_Retire=1,MAX(0,M258+WI_M*12),M258)+(PR_AEee+PR_AEer+PR_AEst)*P258,0)</f>
        <v>12684.6352243129</v>
      </c>
      <c r="R258" s="20" t="n">
        <f aca="false">L258+PR_AEee*P258</f>
        <v>6342.31761215646</v>
      </c>
      <c r="S258" s="20" t="n">
        <f aca="false">AD257</f>
        <v>557852.402707787</v>
      </c>
      <c r="T258" s="20" t="n">
        <f aca="false">IF(D258&lt;=PR_SFTfrom,PR_SFT2026,IF(D258=PR_SFTfrom+1,PR_SFT2027,IF(D258=PR_SFTfrom+2,PR_SFT2028,IF(D258&lt;=PR_SFTto,PR_SFT2029,PR_SFT2029*(1+AS_Infl)^(D258-PR_SFTto)))))</f>
        <v>4328743.07817247</v>
      </c>
      <c r="U258" s="20" t="n">
        <f aca="false">IF(AND(G258=0,C258=F_V),1,0)</f>
        <v>0</v>
      </c>
      <c r="V258" s="20" t="n">
        <f aca="false">IF(U258=1,PR_SFTrate*MAX(0,S258-T258),0)</f>
        <v>0</v>
      </c>
      <c r="W258" s="20" t="n">
        <f aca="false">S258-V258</f>
        <v>557852.402707787</v>
      </c>
      <c r="X258" s="20" t="n">
        <f aca="false">IF(AND(U258=1,AS_LumpPct&gt;0),W258*MIN(AS_LumpPct,PR_LSmax),0)</f>
        <v>0</v>
      </c>
      <c r="Y258" s="20" t="n">
        <f aca="false">X258-(PR_LSrate*MAX(0,MIN(X258,PR_LScap)-PR_LSfree)+PR_r2*MAX(0,X258-PR_LScap))</f>
        <v>0</v>
      </c>
      <c r="Z258" s="20" t="n">
        <f aca="false">W258-X258</f>
        <v>557852.402707787</v>
      </c>
      <c r="AA258" s="45" t="n">
        <f aca="false">IF(C258&gt;=PR_ARFage1,IF(Z258&gt;PR_ARFbig,PR_ARFbigRate,IF(C258&gt;=PR_ARFage2,PR_ARF71,PR_ARF61)),0)</f>
        <v>0.04</v>
      </c>
      <c r="AB258" s="20" t="n">
        <f aca="false">IF(AS_DrawRule="min",Z258*AA258,IF(AS_DrawRule="fixed",MAX(AS_DrawFixed*E258,Z258*AA258),Z258*MAX(1/MAX(1,AS_End-C258+1),AA258)))</f>
        <v>22314.0961083115</v>
      </c>
      <c r="AC258" s="20" t="n">
        <f aca="false">IF(AND(G258=0,C258&gt;=F_V),MIN(Z258,AB258),0)</f>
        <v>0</v>
      </c>
      <c r="AD258" s="20" t="n">
        <f aca="false">IF(G258=1,S258*(1+F_PenG)+Q258,IF(C258&lt;F_V,S258*(1+F_PenG),(Z258-AC258)*(1+AS_PenRet)))</f>
        <v>595640.396053951</v>
      </c>
      <c r="AE258" s="20" t="n">
        <f aca="false">IF(C258&gt;=PR_SPage,AS_SP*F_SpF*I258+IF(AND(C258&gt;=PR_Over80Age,F_SpF&gt;0),PR_Over80*PR_Weeks*I258,0),0)</f>
        <v>0</v>
      </c>
      <c r="AF258" s="20" t="n">
        <f aca="false">(F_OtherM+F_RentM)*12*E258</f>
        <v>0</v>
      </c>
      <c r="AG258" s="20" t="n">
        <f aca="false">F_PAge+B258</f>
        <v>61</v>
      </c>
      <c r="AH258" s="20" t="n">
        <f aca="false">IF(AND(F_Partner=1,F_PAge&gt;0,AG258&lt;IF(F_PRet&gt;0,F_PRet,PR_SPage)),F_PIncome*F258,0)</f>
        <v>44721.4703421289</v>
      </c>
      <c r="AI258" s="20" t="n">
        <f aca="false">IF(AND(F_Partner=1,AG258&gt;=PR_SPage,F_PSpQA=0),AS_SP*F_PSpF*I258,0)</f>
        <v>0</v>
      </c>
      <c r="AJ258" s="20" t="n">
        <f aca="false">IF(AND(F_Partner=1,F_PSpQA=1,C258&gt;=PR_SPage,AH258=0),IF(AG258&gt;=PR_SPage,PR_QA66,PR_QAunder)*PR_Weeks*I258,0)</f>
        <v>0</v>
      </c>
      <c r="AK258" s="20" t="n">
        <f aca="false">AE258+AJ258</f>
        <v>0</v>
      </c>
      <c r="AL258" s="20" t="n">
        <f aca="false">K258/H258</f>
        <v>73302.2430394288</v>
      </c>
      <c r="AM258" s="20" t="n">
        <f aca="false">AK258/H258</f>
        <v>0</v>
      </c>
      <c r="AN258" s="20" t="n">
        <f aca="false">AC258/H258</f>
        <v>0</v>
      </c>
      <c r="AO258" s="20" t="n">
        <f aca="false">AF258/H258</f>
        <v>0</v>
      </c>
      <c r="AP258" s="20" t="n">
        <f aca="false">O258/H258</f>
        <v>3943.15514281065</v>
      </c>
      <c r="AQ258" s="20" t="n">
        <f aca="false">AH258/H258</f>
        <v>27804.2990839213</v>
      </c>
      <c r="AR258" s="20" t="n">
        <f aca="false">AI258/H258</f>
        <v>0</v>
      </c>
      <c r="AS258" s="20" t="n">
        <f aca="false">MAX(0,AL258+AN258+AO258+AM258-AP258)</f>
        <v>69359.0878966182</v>
      </c>
      <c r="AT258" s="20" t="n">
        <f aca="false">MAX(0,AQ258+AR258)</f>
        <v>27804.2990839213</v>
      </c>
      <c r="AU258" s="20" t="n">
        <f aca="false">MIN(PR_PAYE,PR_PAYEcap*(AL258+AN258+AM258))</f>
        <v>2000</v>
      </c>
      <c r="AV258" s="20" t="n">
        <f aca="false">MIN(PR_PAYE,PR_PAYEcap*(AQ258+AR258))</f>
        <v>2000</v>
      </c>
      <c r="AW258" s="20" t="n">
        <f aca="false">IF(C258&gt;=PR_AgeCrAge,PR_AgeCr,0)</f>
        <v>0</v>
      </c>
      <c r="AX258" s="20" t="n">
        <f aca="false">IF(AG258&gt;=PR_AgeCrAge,PR_AgeCr,0)</f>
        <v>0</v>
      </c>
      <c r="AY258" s="20" t="n">
        <f aca="false">IF(AND(F_RentCred=1,D258&lt;=PR_RentLast),1,0)</f>
        <v>0</v>
      </c>
      <c r="AZ258" s="20" t="n">
        <f aca="false">AS258+AT258</f>
        <v>97163.3869805395</v>
      </c>
      <c r="BA258" s="20" t="n">
        <f aca="false">PR_PersonalM+AU258+AV258+AW258+AX258+IF(AY258=1,PR_RentJoint,0)</f>
        <v>8000</v>
      </c>
      <c r="BB258" s="20" t="n">
        <f aca="false">PR_BandM+MIN(MIN(AS258,AT258),PR_Uplift)</f>
        <v>80804.2990839213</v>
      </c>
      <c r="BC258" s="20" t="n">
        <f aca="false">MAX(0,PR_r1*MIN(AZ258,BB258)+PR_r2*MAX(0,AZ258-BB258)-BA258)</f>
        <v>14704.4949754315</v>
      </c>
      <c r="BD258" s="20" t="n">
        <f aca="false">MAX(0,PR_HomeCarer-MAX(0,MIN(AS258,AT258)-PR_HCLimit)/2)</f>
        <v>0</v>
      </c>
      <c r="BE258" s="20" t="n">
        <f aca="false">IF(F_Carer=1,MIN(BC258,MAX(0,PR_r1*MIN(AZ258,PR_BandM)+PR_r2*MAX(0,AZ258-PR_BandM)-BA258-BD258)),BC258)</f>
        <v>14704.4949754315</v>
      </c>
      <c r="BF258" s="20" t="n">
        <f aca="false">IF(OR(C258&gt;=PR_AgeCrAge,AG258&gt;=PR_AgeCrAge),IF(AZ258&lt;=PR_AgeExM,0,MIN(BE258,PR_AgeMarg*(AZ258-PR_AgeExM))),BE258)</f>
        <v>14704.4949754315</v>
      </c>
      <c r="BG258" s="20" t="n">
        <f aca="false">MAX(0,PR_r1*MIN(AS258,IF(F_Spccc=1,PR_BandSPCCC,PR_Band))+PR_r2*MAX(0,AS258-IF(F_Spccc=1,PR_BandSPCCC,PR_Band))-(PR_Personal+AU258+AW258+IF(F_Spccc=1,PR_SPCCC,0)+IF(AY258=1,PR_Rent,0)))</f>
        <v>14943.6351586473</v>
      </c>
      <c r="BH258" s="20" t="n">
        <f aca="false">IF(C258&gt;=PR_AgeCrAge,IF(AS258&lt;=PR_AgeEx,0,MIN(BG258,PR_AgeMarg*(AS258-PR_AgeEx))),BG258)</f>
        <v>14943.6351586473</v>
      </c>
      <c r="BI258" s="20" t="n">
        <f aca="false">IF(F_Partner=1,MAX(0,PR_r1*MIN(AT258,PR_Band)+PR_r2*MAX(0,AT258-PR_Band)-(PR_Personal+AV258+AX258+IF(AND(AY258=1,AT258&gt;0),PR_Rent,0))),0)</f>
        <v>1560.85981678426</v>
      </c>
      <c r="BJ258" s="20" t="n">
        <f aca="false">IF(AG258&gt;=PR_AgeCrAge,IF(AT258&lt;=PR_AgeEx,0,MIN(BI258,PR_AgeMarg*(AT258-PR_AgeEx))),BI258)</f>
        <v>1560.85981678426</v>
      </c>
      <c r="BK258" s="20" t="n">
        <f aca="false">IF(F_Partner=1,IF(F_Married=1,BF258,BH258+BJ258),BH258)</f>
        <v>16504.4949754315</v>
      </c>
      <c r="BL258" s="20" t="n">
        <f aca="false">AL258+AN258+AO258</f>
        <v>73302.2430394288</v>
      </c>
      <c r="BM258" s="20" t="n">
        <f aca="false">IF(BL258&lt;=PR_USCex,0,IF(IF(AND(C258&gt;=PR_USCredAge,BL258&lt;=PR_USCredMax),1,0)=1,PR_USCr1*MIN(BL258,PR_USCredB1)+PR_USCredR2*MAX(0,BL258-PR_USCredB1),PR_USCr1*MIN(BL258,PR_USCb1)+PR_USCr2*MAX(0,MIN(BL258,PR_USCb2)-PR_USCb1)+PR_USCr3*MAX(0,MIN(BL258,PR_USCb3)-PR_USCb2)+PR_USCr4*MAX(0,BL258-PR_USCb3)))+IF(F_SelfEmp=1,PR_USCse*MAX(0,AL258-PR_USCseOver),0)</f>
        <v>1894.79944315431</v>
      </c>
      <c r="BN258" s="20" t="n">
        <f aca="false">AQ258</f>
        <v>27804.2990839213</v>
      </c>
      <c r="BO258" s="20" t="n">
        <f aca="false">IF(F_Partner=1,IF(BN258&lt;=PR_USCex,0,IF(IF(AND(AG258&gt;=PR_USCredAge,BN258&lt;=PR_USCredMax),1,0)=1,PR_USCr1*MIN(BN258,PR_USCredB1)+PR_USCredR2*MAX(0,BN258-PR_USCredB1),PR_USCr1*MIN(BN258,PR_USCb1)+PR_USCr2*MAX(0,MIN(BN258,PR_USCb2)-PR_USCb1)+PR_USCr3*MAX(0,MIN(BN258,PR_USCb3)-PR_USCb2)+PR_USCr4*MAX(0,BN258-PR_USCb3))),0)</f>
        <v>375.905981678426</v>
      </c>
      <c r="BP258" s="20" t="n">
        <f aca="false">IF(C258&lt;PR_PRSIend,IF(F_SelfEmp=1,IF(AL258&gt;PR_PRSIsMinInc,MAX(PR_PRSIsMin,AL258*J258),0),IF(AL258/52&lt;=PR_PRSIfree,0,MAX(0,(AL258/52*J258-IF(AL258/52&lt;=PR_PRSIcreditTo,MAX(0,PR_PRSIcreditMax-(AL258/52-(PR_PRSIfree+0.01))/PR_PRSItaper),0))*52)))+J258*AN258+IF(AO258&gt;PR_PRSIunearned,J258*AO258,0),0)</f>
        <v>3445.20542285315</v>
      </c>
      <c r="BQ258" s="20" t="n">
        <f aca="false">IF(AND(F_Partner=1,AG258&lt;PR_PRSIend),IF(AQ258/52&lt;=PR_PRSIfree,0,MAX(0,(AQ258/52*J258-IF(AQ258/52&lt;=PR_PRSIcreditTo,MAX(0,PR_PRSIcreditMax-(AQ258/52-(PR_PRSIfree+0.01))/PR_PRSItaper),0))*52)),0)</f>
        <v>1306.8020569443</v>
      </c>
      <c r="BR258" s="20" t="n">
        <f aca="false">BK258+BM258+BO258+BP258+BQ258</f>
        <v>23527.2078800617</v>
      </c>
      <c r="BS258" s="20" t="n">
        <f aca="false">BR258*H258</f>
        <v>37842.0375304383</v>
      </c>
      <c r="BT258" s="20" t="n">
        <f aca="false">K258+AK258+AC258+AF258+AH258+AI258</f>
        <v>162623.528516832</v>
      </c>
    </row>
    <row r="259" customFormat="false" ht="15" hidden="false" customHeight="true" outlineLevel="0" collapsed="false">
      <c r="B259" s="20" t="n">
        <v>25</v>
      </c>
      <c r="C259" s="20" t="n">
        <f aca="false">F_Age+B259</f>
        <v>63</v>
      </c>
      <c r="D259" s="20" t="n">
        <f aca="false">AS_Year0+B259</f>
        <v>2052</v>
      </c>
      <c r="E259" s="44" t="n">
        <f aca="false">(1+AS_Infl)^B259</f>
        <v>1.64060599446473</v>
      </c>
      <c r="F259" s="44" t="n">
        <f aca="false">(1+AS_Wage)^B259</f>
        <v>2.09377792965422</v>
      </c>
      <c r="G259" s="20" t="n">
        <f aca="false">IF(C259&lt;F_R,1,0)</f>
        <v>0</v>
      </c>
      <c r="H259" s="44" t="n">
        <f aca="false">IF(AS_Bands="flat",1,E259)</f>
        <v>1.64060599446473</v>
      </c>
      <c r="I259" s="44" t="n">
        <f aca="false">IF(AS_SpGrow="pay",F259,IF(AS_SpGrow="flat",1,E259))</f>
        <v>1.64060599446473</v>
      </c>
      <c r="J259" s="44" t="n">
        <f aca="false">(12*PR_PRSIr0+(PR_PRSIr1-PR_PRSIr0)*MAX(0,MIN(12,D259*12+12-PR_PRSIt1))+(PR_PRSIr2-PR_PRSIr1)*MAX(0,MIN(12,D259*12+12-PR_PRSIt2))+(PR_PRSIr3-PR_PRSIr2)*MAX(0,MIN(12,D259*12+12-PR_PRSIt3)))/12</f>
        <v>0.047</v>
      </c>
      <c r="K259" s="20" t="n">
        <f aca="false">IF(G259=1,F_Income*F259,0)</f>
        <v>0</v>
      </c>
      <c r="L259" s="20" t="n">
        <f aca="false">IF(G259=1,(F_Own+In_penExtra)*12*F259,0)</f>
        <v>0</v>
      </c>
      <c r="M259" s="20" t="n">
        <f aca="false">IF(G259=1,(F_PenM+In_penExtra)*12*F259,0)</f>
        <v>0</v>
      </c>
      <c r="N259" s="45" t="n">
        <f aca="false">IF(C259&lt;PR_RelA1,PR_RelP1,IF(C259&lt;PR_RelA2,PR_RelP2,IF(C259&lt;PR_RelA3,PR_RelP3,IF(C259&lt;PR_RelA4,PR_RelP4,IF(C259&lt;PR_RelA5,PR_RelP5,PR_RelP6)))))</f>
        <v>0.4</v>
      </c>
      <c r="O259" s="20" t="n">
        <f aca="false">IF(G259=1,MIN(L259/H259,N259*MIN(K259/H259,PR_EarnCap))*H259,0)</f>
        <v>0</v>
      </c>
      <c r="P259" s="20" t="n">
        <f aca="false">IF(AND(G259=1,F_AE=1),MIN(K259/H259,PR_AEcap)*H259,0)</f>
        <v>0</v>
      </c>
      <c r="Q259" s="20" t="n">
        <f aca="false">IF(G259=1,IF(WI_Retire=1,MAX(0,M259+WI_M*12),M259)+(PR_AEee+PR_AEer+PR_AEst)*P259,0)</f>
        <v>0</v>
      </c>
      <c r="R259" s="20" t="n">
        <f aca="false">L259+PR_AEee*P259</f>
        <v>0</v>
      </c>
      <c r="S259" s="20" t="n">
        <f aca="false">AD258</f>
        <v>595640.396053951</v>
      </c>
      <c r="T259" s="20" t="n">
        <f aca="false">IF(D259&lt;=PR_SFTfrom,PR_SFT2026,IF(D259=PR_SFTfrom+1,PR_SFT2027,IF(D259=PR_SFTfrom+2,PR_SFT2028,IF(D259&lt;=PR_SFTto,PR_SFT2029,PR_SFT2029*(1+AS_Infl)^(D259-PR_SFTto)))))</f>
        <v>4415317.93973592</v>
      </c>
      <c r="U259" s="20" t="n">
        <f aca="false">IF(AND(G259=0,C259=F_V),1,0)</f>
        <v>1</v>
      </c>
      <c r="V259" s="20" t="n">
        <f aca="false">IF(U259=1,PR_SFTrate*MAX(0,S259-T259),0)</f>
        <v>0</v>
      </c>
      <c r="W259" s="20" t="n">
        <f aca="false">S259-V259</f>
        <v>595640.396053951</v>
      </c>
      <c r="X259" s="20" t="n">
        <f aca="false">IF(AND(U259=1,AS_LumpPct&gt;0),W259*MIN(AS_LumpPct,PR_LSmax),0)</f>
        <v>148910.099013488</v>
      </c>
      <c r="Y259" s="20" t="n">
        <f aca="false">X259-(PR_LSrate*MAX(0,MIN(X259,PR_LScap)-PR_LSfree)+PR_r2*MAX(0,X259-PR_LScap))</f>
        <v>148910.099013488</v>
      </c>
      <c r="Z259" s="20" t="n">
        <f aca="false">W259-X259</f>
        <v>446730.297040463</v>
      </c>
      <c r="AA259" s="45" t="n">
        <f aca="false">IF(C259&gt;=PR_ARFage1,IF(Z259&gt;PR_ARFbig,PR_ARFbigRate,IF(C259&gt;=PR_ARFage2,PR_ARF71,PR_ARF61)),0)</f>
        <v>0.04</v>
      </c>
      <c r="AB259" s="20" t="n">
        <f aca="false">IF(AS_DrawRule="min",Z259*AA259,IF(AS_DrawRule="fixed",MAX(AS_DrawFixed*E259,Z259*AA259),Z259*MAX(1/MAX(1,AS_End-C259+1),AA259)))</f>
        <v>17869.2118816185</v>
      </c>
      <c r="AC259" s="20" t="n">
        <f aca="false">IF(AND(G259=0,C259&gt;=F_V),MIN(Z259,AB259),0)</f>
        <v>17869.2118816185</v>
      </c>
      <c r="AD259" s="20" t="n">
        <f aca="false">IF(G259=1,S259*(1+F_PenG)+Q259,IF(C259&lt;F_V,S259*(1+F_PenG),(Z259-AC259)*(1+AS_PenRet)))</f>
        <v>442370.209341348</v>
      </c>
      <c r="AE259" s="20" t="n">
        <f aca="false">IF(C259&gt;=PR_SPage,AS_SP*F_SpF*I259+IF(AND(C259&gt;=PR_Over80Age,F_SpF&gt;0),PR_Over80*PR_Weeks*I259,0),0)</f>
        <v>0</v>
      </c>
      <c r="AF259" s="20" t="n">
        <f aca="false">(F_OtherM+F_RentM)*12*E259</f>
        <v>0</v>
      </c>
      <c r="AG259" s="20" t="n">
        <f aca="false">F_PAge+B259</f>
        <v>62</v>
      </c>
      <c r="AH259" s="20" t="n">
        <f aca="false">IF(AND(F_Partner=1,F_PAge&gt;0,AG259&lt;IF(F_PRet&gt;0,F_PRet,PR_SPage)),F_PIncome*F259,0)</f>
        <v>46063.1144523928</v>
      </c>
      <c r="AI259" s="20" t="n">
        <f aca="false">IF(AND(F_Partner=1,AG259&gt;=PR_SPage,F_PSpQA=0),AS_SP*F_PSpF*I259,0)</f>
        <v>0</v>
      </c>
      <c r="AJ259" s="20" t="n">
        <f aca="false">IF(AND(F_Partner=1,F_PSpQA=1,C259&gt;=PR_SPage,AH259=0),IF(AG259&gt;=PR_SPage,PR_QA66,PR_QAunder)*PR_Weeks*I259,0)</f>
        <v>0</v>
      </c>
      <c r="AK259" s="20" t="n">
        <f aca="false">AE259+AJ259</f>
        <v>0</v>
      </c>
      <c r="AL259" s="20" t="n">
        <f aca="false">K259/H259</f>
        <v>0</v>
      </c>
      <c r="AM259" s="20" t="n">
        <f aca="false">AK259/H259</f>
        <v>0</v>
      </c>
      <c r="AN259" s="20" t="n">
        <f aca="false">AC259/H259</f>
        <v>10891.8362738572</v>
      </c>
      <c r="AO259" s="20" t="n">
        <f aca="false">AF259/H259</f>
        <v>0</v>
      </c>
      <c r="AP259" s="20" t="n">
        <f aca="false">O259/H259</f>
        <v>0</v>
      </c>
      <c r="AQ259" s="20" t="n">
        <f aca="false">AH259/H259</f>
        <v>28076.8902514107</v>
      </c>
      <c r="AR259" s="20" t="n">
        <f aca="false">AI259/H259</f>
        <v>0</v>
      </c>
      <c r="AS259" s="20" t="n">
        <f aca="false">MAX(0,AL259+AN259+AO259+AM259-AP259)</f>
        <v>10891.8362738572</v>
      </c>
      <c r="AT259" s="20" t="n">
        <f aca="false">MAX(0,AQ259+AR259)</f>
        <v>28076.8902514107</v>
      </c>
      <c r="AU259" s="20" t="n">
        <f aca="false">MIN(PR_PAYE,PR_PAYEcap*(AL259+AN259+AM259))</f>
        <v>2000</v>
      </c>
      <c r="AV259" s="20" t="n">
        <f aca="false">MIN(PR_PAYE,PR_PAYEcap*(AQ259+AR259))</f>
        <v>2000</v>
      </c>
      <c r="AW259" s="20" t="n">
        <f aca="false">IF(C259&gt;=PR_AgeCrAge,PR_AgeCr,0)</f>
        <v>0</v>
      </c>
      <c r="AX259" s="20" t="n">
        <f aca="false">IF(AG259&gt;=PR_AgeCrAge,PR_AgeCr,0)</f>
        <v>0</v>
      </c>
      <c r="AY259" s="20" t="n">
        <f aca="false">IF(AND(F_RentCred=1,D259&lt;=PR_RentLast),1,0)</f>
        <v>0</v>
      </c>
      <c r="AZ259" s="20" t="n">
        <f aca="false">AS259+AT259</f>
        <v>38968.7265252679</v>
      </c>
      <c r="BA259" s="20" t="n">
        <f aca="false">PR_PersonalM+AU259+AV259+AW259+AX259+IF(AY259=1,PR_RentJoint,0)</f>
        <v>8000</v>
      </c>
      <c r="BB259" s="20" t="n">
        <f aca="false">PR_BandM+MIN(MIN(AS259,AT259),PR_Uplift)</f>
        <v>63891.8362738572</v>
      </c>
      <c r="BC259" s="20" t="n">
        <f aca="false">MAX(0,PR_r1*MIN(AZ259,BB259)+PR_r2*MAX(0,AZ259-BB259)-BA259)</f>
        <v>0</v>
      </c>
      <c r="BD259" s="20" t="n">
        <f aca="false">MAX(0,PR_HomeCarer-MAX(0,MIN(AS259,AT259)-PR_HCLimit)/2)</f>
        <v>104.0818630714</v>
      </c>
      <c r="BE259" s="20" t="n">
        <f aca="false">IF(F_Carer=1,MIN(BC259,MAX(0,PR_r1*MIN(AZ259,PR_BandM)+PR_r2*MAX(0,AZ259-PR_BandM)-BA259-BD259)),BC259)</f>
        <v>0</v>
      </c>
      <c r="BF259" s="20" t="n">
        <f aca="false">IF(OR(C259&gt;=PR_AgeCrAge,AG259&gt;=PR_AgeCrAge),IF(AZ259&lt;=PR_AgeExM,0,MIN(BE259,PR_AgeMarg*(AZ259-PR_AgeExM))),BE259)</f>
        <v>0</v>
      </c>
      <c r="BG259" s="20" t="n">
        <f aca="false">MAX(0,PR_r1*MIN(AS259,IF(F_Spccc=1,PR_BandSPCCC,PR_Band))+PR_r2*MAX(0,AS259-IF(F_Spccc=1,PR_BandSPCCC,PR_Band))-(PR_Personal+AU259+AW259+IF(F_Spccc=1,PR_SPCCC,0)+IF(AY259=1,PR_Rent,0)))</f>
        <v>0</v>
      </c>
      <c r="BH259" s="20" t="n">
        <f aca="false">IF(C259&gt;=PR_AgeCrAge,IF(AS259&lt;=PR_AgeEx,0,MIN(BG259,PR_AgeMarg*(AS259-PR_AgeEx))),BG259)</f>
        <v>0</v>
      </c>
      <c r="BI259" s="20" t="n">
        <f aca="false">IF(F_Partner=1,MAX(0,PR_r1*MIN(AT259,PR_Band)+PR_r2*MAX(0,AT259-PR_Band)-(PR_Personal+AV259+AX259+IF(AND(AY259=1,AT259&gt;0),PR_Rent,0))),0)</f>
        <v>1615.37805028214</v>
      </c>
      <c r="BJ259" s="20" t="n">
        <f aca="false">IF(AG259&gt;=PR_AgeCrAge,IF(AT259&lt;=PR_AgeEx,0,MIN(BI259,PR_AgeMarg*(AT259-PR_AgeEx))),BI259)</f>
        <v>1615.37805028214</v>
      </c>
      <c r="BK259" s="20" t="n">
        <f aca="false">IF(F_Partner=1,IF(F_Married=1,BF259,BH259+BJ259),BH259)</f>
        <v>1615.37805028214</v>
      </c>
      <c r="BL259" s="20" t="n">
        <f aca="false">AL259+AN259+AO259</f>
        <v>10891.8362738572</v>
      </c>
      <c r="BM259" s="20" t="n">
        <f aca="false">IF(BL259&lt;=PR_USCex,0,IF(IF(AND(C259&gt;=PR_USCredAge,BL259&lt;=PR_USCredMax),1,0)=1,PR_USCr1*MIN(BL259,PR_USCredB1)+PR_USCredR2*MAX(0,BL259-PR_USCredB1),PR_USCr1*MIN(BL259,PR_USCb1)+PR_USCr2*MAX(0,MIN(BL259,PR_USCb2)-PR_USCb1)+PR_USCr3*MAX(0,MIN(BL259,PR_USCb3)-PR_USCb2)+PR_USCr4*MAX(0,BL259-PR_USCb3)))+IF(F_SelfEmp=1,PR_USCse*MAX(0,AL259-PR_USCseOver),0)</f>
        <v>0</v>
      </c>
      <c r="BN259" s="20" t="n">
        <f aca="false">AQ259</f>
        <v>28076.8902514107</v>
      </c>
      <c r="BO259" s="20" t="n">
        <f aca="false">IF(F_Partner=1,IF(BN259&lt;=PR_USCex,0,IF(IF(AND(AG259&gt;=PR_USCredAge,BN259&lt;=PR_USCredMax),1,0)=1,PR_USCr1*MIN(BN259,PR_USCredB1)+PR_USCredR2*MAX(0,BN259-PR_USCredB1),PR_USCr1*MIN(BN259,PR_USCb1)+PR_USCr2*MAX(0,MIN(BN259,PR_USCb2)-PR_USCb1)+PR_USCr3*MAX(0,MIN(BN259,PR_USCb3)-PR_USCb2)+PR_USCr4*MAX(0,BN259-PR_USCb3))),0)</f>
        <v>381.357805028214</v>
      </c>
      <c r="BP259" s="20" t="n">
        <f aca="false">IF(C259&lt;PR_PRSIend,IF(F_SelfEmp=1,IF(AL259&gt;PR_PRSIsMinInc,MAX(PR_PRSIsMin,AL259*J259),0),IF(AL259/52&lt;=PR_PRSIfree,0,MAX(0,(AL259/52*J259-IF(AL259/52&lt;=PR_PRSIcreditTo,MAX(0,PR_PRSIcreditMax-(AL259/52-(PR_PRSIfree+0.01))/PR_PRSItaper),0))*52)))+J259*AN259+IF(AO259&gt;PR_PRSIunearned,J259*AO259,0),0)</f>
        <v>511.916304871288</v>
      </c>
      <c r="BQ259" s="20" t="n">
        <f aca="false">IF(AND(F_Partner=1,AG259&lt;PR_PRSIend),IF(AQ259/52&lt;=PR_PRSIfree,0,MAX(0,(AQ259/52*J259-IF(AQ259/52&lt;=PR_PRSIcreditTo,MAX(0,PR_PRSIcreditMax-(AQ259/52-(PR_PRSIfree+0.01))/PR_PRSItaper),0))*52)),0)</f>
        <v>1319.6138418163</v>
      </c>
      <c r="BR259" s="20" t="n">
        <f aca="false">BK259+BM259+BO259+BP259+BQ259</f>
        <v>3828.26600199795</v>
      </c>
      <c r="BS259" s="20" t="n">
        <f aca="false">BR259*H259</f>
        <v>6280.67615128336</v>
      </c>
      <c r="BT259" s="20" t="n">
        <f aca="false">K259+AK259+AC259+AF259+AH259+AI259</f>
        <v>63932.3263340113</v>
      </c>
    </row>
    <row r="260" customFormat="false" ht="15" hidden="false" customHeight="true" outlineLevel="0" collapsed="false">
      <c r="B260" s="20" t="n">
        <v>26</v>
      </c>
      <c r="C260" s="20" t="n">
        <f aca="false">F_Age+B260</f>
        <v>64</v>
      </c>
      <c r="D260" s="20" t="n">
        <f aca="false">AS_Year0+B260</f>
        <v>2053</v>
      </c>
      <c r="E260" s="44" t="n">
        <f aca="false">(1+AS_Infl)^B260</f>
        <v>1.67341811435403</v>
      </c>
      <c r="F260" s="44" t="n">
        <f aca="false">(1+AS_Wage)^B260</f>
        <v>2.15659126754384</v>
      </c>
      <c r="G260" s="20" t="n">
        <f aca="false">IF(C260&lt;F_R,1,0)</f>
        <v>0</v>
      </c>
      <c r="H260" s="44" t="n">
        <f aca="false">IF(AS_Bands="flat",1,E260)</f>
        <v>1.67341811435403</v>
      </c>
      <c r="I260" s="44" t="n">
        <f aca="false">IF(AS_SpGrow="pay",F260,IF(AS_SpGrow="flat",1,E260))</f>
        <v>1.67341811435403</v>
      </c>
      <c r="J260" s="44" t="n">
        <f aca="false">(12*PR_PRSIr0+(PR_PRSIr1-PR_PRSIr0)*MAX(0,MIN(12,D260*12+12-PR_PRSIt1))+(PR_PRSIr2-PR_PRSIr1)*MAX(0,MIN(12,D260*12+12-PR_PRSIt2))+(PR_PRSIr3-PR_PRSIr2)*MAX(0,MIN(12,D260*12+12-PR_PRSIt3)))/12</f>
        <v>0.047</v>
      </c>
      <c r="K260" s="20" t="n">
        <f aca="false">IF(G260=1,F_Income*F260,0)</f>
        <v>0</v>
      </c>
      <c r="L260" s="20" t="n">
        <f aca="false">IF(G260=1,(F_Own+In_penExtra)*12*F260,0)</f>
        <v>0</v>
      </c>
      <c r="M260" s="20" t="n">
        <f aca="false">IF(G260=1,(F_PenM+In_penExtra)*12*F260,0)</f>
        <v>0</v>
      </c>
      <c r="N260" s="45" t="n">
        <f aca="false">IF(C260&lt;PR_RelA1,PR_RelP1,IF(C260&lt;PR_RelA2,PR_RelP2,IF(C260&lt;PR_RelA3,PR_RelP3,IF(C260&lt;PR_RelA4,PR_RelP4,IF(C260&lt;PR_RelA5,PR_RelP5,PR_RelP6)))))</f>
        <v>0.4</v>
      </c>
      <c r="O260" s="20" t="n">
        <f aca="false">IF(G260=1,MIN(L260/H260,N260*MIN(K260/H260,PR_EarnCap))*H260,0)</f>
        <v>0</v>
      </c>
      <c r="P260" s="20" t="n">
        <f aca="false">IF(AND(G260=1,F_AE=1),MIN(K260/H260,PR_AEcap)*H260,0)</f>
        <v>0</v>
      </c>
      <c r="Q260" s="20" t="n">
        <f aca="false">IF(G260=1,IF(WI_Retire=1,MAX(0,M260+WI_M*12),M260)+(PR_AEee+PR_AEer+PR_AEst)*P260,0)</f>
        <v>0</v>
      </c>
      <c r="R260" s="20" t="n">
        <f aca="false">L260+PR_AEee*P260</f>
        <v>0</v>
      </c>
      <c r="S260" s="20" t="n">
        <f aca="false">AD259</f>
        <v>442370.209341348</v>
      </c>
      <c r="T260" s="20" t="n">
        <f aca="false">IF(D260&lt;=PR_SFTfrom,PR_SFT2026,IF(D260=PR_SFTfrom+1,PR_SFT2027,IF(D260=PR_SFTfrom+2,PR_SFT2028,IF(D260&lt;=PR_SFTto,PR_SFT2029,PR_SFT2029*(1+AS_Infl)^(D260-PR_SFTto)))))</f>
        <v>4503624.29853063</v>
      </c>
      <c r="U260" s="20" t="n">
        <f aca="false">IF(AND(G260=0,C260=F_V),1,0)</f>
        <v>0</v>
      </c>
      <c r="V260" s="20" t="n">
        <f aca="false">IF(U260=1,PR_SFTrate*MAX(0,S260-T260),0)</f>
        <v>0</v>
      </c>
      <c r="W260" s="20" t="n">
        <f aca="false">S260-V260</f>
        <v>442370.209341348</v>
      </c>
      <c r="X260" s="20" t="n">
        <f aca="false">IF(AND(U260=1,AS_LumpPct&gt;0),W260*MIN(AS_LumpPct,PR_LSmax),0)</f>
        <v>0</v>
      </c>
      <c r="Y260" s="20" t="n">
        <f aca="false">X260-(PR_LSrate*MAX(0,MIN(X260,PR_LScap)-PR_LSfree)+PR_r2*MAX(0,X260-PR_LScap))</f>
        <v>0</v>
      </c>
      <c r="Z260" s="20" t="n">
        <f aca="false">W260-X260</f>
        <v>442370.209341348</v>
      </c>
      <c r="AA260" s="45" t="n">
        <f aca="false">IF(C260&gt;=PR_ARFage1,IF(Z260&gt;PR_ARFbig,PR_ARFbigRate,IF(C260&gt;=PR_ARFage2,PR_ARF71,PR_ARF61)),0)</f>
        <v>0.04</v>
      </c>
      <c r="AB260" s="20" t="n">
        <f aca="false">IF(AS_DrawRule="min",Z260*AA260,IF(AS_DrawRule="fixed",MAX(AS_DrawFixed*E260,Z260*AA260),Z260*MAX(1/MAX(1,AS_End-C260+1),AA260)))</f>
        <v>17694.8083736539</v>
      </c>
      <c r="AC260" s="20" t="n">
        <f aca="false">IF(AND(G260=0,C260&gt;=F_V),MIN(Z260,AB260),0)</f>
        <v>17694.8083736539</v>
      </c>
      <c r="AD260" s="20" t="n">
        <f aca="false">IF(G260=1,S260*(1+F_PenG)+Q260,IF(C260&lt;F_V,S260*(1+F_PenG),(Z260-AC260)*(1+AS_PenRet)))</f>
        <v>438052.676098176</v>
      </c>
      <c r="AE260" s="20" t="n">
        <f aca="false">IF(C260&gt;=PR_SPage,AS_SP*F_SpF*I260+IF(AND(C260&gt;=PR_Over80Age,F_SpF&gt;0),PR_Over80*PR_Weeks*I260,0),0)</f>
        <v>0</v>
      </c>
      <c r="AF260" s="20" t="n">
        <f aca="false">(F_OtherM+F_RentM)*12*E260</f>
        <v>0</v>
      </c>
      <c r="AG260" s="20" t="n">
        <f aca="false">F_PAge+B260</f>
        <v>63</v>
      </c>
      <c r="AH260" s="20" t="n">
        <f aca="false">IF(AND(F_Partner=1,F_PAge&gt;0,AG260&lt;IF(F_PRet&gt;0,F_PRet,PR_SPage)),F_PIncome*F260,0)</f>
        <v>47445.0078859645</v>
      </c>
      <c r="AI260" s="20" t="n">
        <f aca="false">IF(AND(F_Partner=1,AG260&gt;=PR_SPage,F_PSpQA=0),AS_SP*F_PSpF*I260,0)</f>
        <v>0</v>
      </c>
      <c r="AJ260" s="20" t="n">
        <f aca="false">IF(AND(F_Partner=1,F_PSpQA=1,C260&gt;=PR_SPage,AH260=0),IF(AG260&gt;=PR_SPage,PR_QA66,PR_QAunder)*PR_Weeks*I260,0)</f>
        <v>0</v>
      </c>
      <c r="AK260" s="20" t="n">
        <f aca="false">AE260+AJ260</f>
        <v>0</v>
      </c>
      <c r="AL260" s="20" t="n">
        <f aca="false">K260/H260</f>
        <v>0</v>
      </c>
      <c r="AM260" s="20" t="n">
        <f aca="false">AK260/H260</f>
        <v>0</v>
      </c>
      <c r="AN260" s="20" t="n">
        <f aca="false">AC260/H260</f>
        <v>10574.0509331611</v>
      </c>
      <c r="AO260" s="20" t="n">
        <f aca="false">AF260/H260</f>
        <v>0</v>
      </c>
      <c r="AP260" s="20" t="n">
        <f aca="false">O260/H260</f>
        <v>0</v>
      </c>
      <c r="AQ260" s="20" t="n">
        <f aca="false">AH260/H260</f>
        <v>28352.1538813265</v>
      </c>
      <c r="AR260" s="20" t="n">
        <f aca="false">AI260/H260</f>
        <v>0</v>
      </c>
      <c r="AS260" s="20" t="n">
        <f aca="false">MAX(0,AL260+AN260+AO260+AM260-AP260)</f>
        <v>10574.0509331611</v>
      </c>
      <c r="AT260" s="20" t="n">
        <f aca="false">MAX(0,AQ260+AR260)</f>
        <v>28352.1538813265</v>
      </c>
      <c r="AU260" s="20" t="n">
        <f aca="false">MIN(PR_PAYE,PR_PAYEcap*(AL260+AN260+AM260))</f>
        <v>2000</v>
      </c>
      <c r="AV260" s="20" t="n">
        <f aca="false">MIN(PR_PAYE,PR_PAYEcap*(AQ260+AR260))</f>
        <v>2000</v>
      </c>
      <c r="AW260" s="20" t="n">
        <f aca="false">IF(C260&gt;=PR_AgeCrAge,PR_AgeCr,0)</f>
        <v>0</v>
      </c>
      <c r="AX260" s="20" t="n">
        <f aca="false">IF(AG260&gt;=PR_AgeCrAge,PR_AgeCr,0)</f>
        <v>0</v>
      </c>
      <c r="AY260" s="20" t="n">
        <f aca="false">IF(AND(F_RentCred=1,D260&lt;=PR_RentLast),1,0)</f>
        <v>0</v>
      </c>
      <c r="AZ260" s="20" t="n">
        <f aca="false">AS260+AT260</f>
        <v>38926.2048144876</v>
      </c>
      <c r="BA260" s="20" t="n">
        <f aca="false">PR_PersonalM+AU260+AV260+AW260+AX260+IF(AY260=1,PR_RentJoint,0)</f>
        <v>8000</v>
      </c>
      <c r="BB260" s="20" t="n">
        <f aca="false">PR_BandM+MIN(MIN(AS260,AT260),PR_Uplift)</f>
        <v>63574.0509331611</v>
      </c>
      <c r="BC260" s="20" t="n">
        <f aca="false">MAX(0,PR_r1*MIN(AZ260,BB260)+PR_r2*MAX(0,AZ260-BB260)-BA260)</f>
        <v>0</v>
      </c>
      <c r="BD260" s="20" t="n">
        <f aca="false">MAX(0,PR_HomeCarer-MAX(0,MIN(AS260,AT260)-PR_HCLimit)/2)</f>
        <v>262.974533419435</v>
      </c>
      <c r="BE260" s="20" t="n">
        <f aca="false">IF(F_Carer=1,MIN(BC260,MAX(0,PR_r1*MIN(AZ260,PR_BandM)+PR_r2*MAX(0,AZ260-PR_BandM)-BA260-BD260)),BC260)</f>
        <v>0</v>
      </c>
      <c r="BF260" s="20" t="n">
        <f aca="false">IF(OR(C260&gt;=PR_AgeCrAge,AG260&gt;=PR_AgeCrAge),IF(AZ260&lt;=PR_AgeExM,0,MIN(BE260,PR_AgeMarg*(AZ260-PR_AgeExM))),BE260)</f>
        <v>0</v>
      </c>
      <c r="BG260" s="20" t="n">
        <f aca="false">MAX(0,PR_r1*MIN(AS260,IF(F_Spccc=1,PR_BandSPCCC,PR_Band))+PR_r2*MAX(0,AS260-IF(F_Spccc=1,PR_BandSPCCC,PR_Band))-(PR_Personal+AU260+AW260+IF(F_Spccc=1,PR_SPCCC,0)+IF(AY260=1,PR_Rent,0)))</f>
        <v>0</v>
      </c>
      <c r="BH260" s="20" t="n">
        <f aca="false">IF(C260&gt;=PR_AgeCrAge,IF(AS260&lt;=PR_AgeEx,0,MIN(BG260,PR_AgeMarg*(AS260-PR_AgeEx))),BG260)</f>
        <v>0</v>
      </c>
      <c r="BI260" s="20" t="n">
        <f aca="false">IF(F_Partner=1,MAX(0,PR_r1*MIN(AT260,PR_Band)+PR_r2*MAX(0,AT260-PR_Band)-(PR_Personal+AV260+AX260+IF(AND(AY260=1,AT260&gt;0),PR_Rent,0))),0)</f>
        <v>1670.4307762653</v>
      </c>
      <c r="BJ260" s="20" t="n">
        <f aca="false">IF(AG260&gt;=PR_AgeCrAge,IF(AT260&lt;=PR_AgeEx,0,MIN(BI260,PR_AgeMarg*(AT260-PR_AgeEx))),BI260)</f>
        <v>1670.4307762653</v>
      </c>
      <c r="BK260" s="20" t="n">
        <f aca="false">IF(F_Partner=1,IF(F_Married=1,BF260,BH260+BJ260),BH260)</f>
        <v>1670.4307762653</v>
      </c>
      <c r="BL260" s="20" t="n">
        <f aca="false">AL260+AN260+AO260</f>
        <v>10574.0509331611</v>
      </c>
      <c r="BM260" s="20" t="n">
        <f aca="false">IF(BL260&lt;=PR_USCex,0,IF(IF(AND(C260&gt;=PR_USCredAge,BL260&lt;=PR_USCredMax),1,0)=1,PR_USCr1*MIN(BL260,PR_USCredB1)+PR_USCredR2*MAX(0,BL260-PR_USCredB1),PR_USCr1*MIN(BL260,PR_USCb1)+PR_USCr2*MAX(0,MIN(BL260,PR_USCb2)-PR_USCb1)+PR_USCr3*MAX(0,MIN(BL260,PR_USCb3)-PR_USCb2)+PR_USCr4*MAX(0,BL260-PR_USCb3)))+IF(F_SelfEmp=1,PR_USCse*MAX(0,AL260-PR_USCseOver),0)</f>
        <v>0</v>
      </c>
      <c r="BN260" s="20" t="n">
        <f aca="false">AQ260</f>
        <v>28352.1538813265</v>
      </c>
      <c r="BO260" s="20" t="n">
        <f aca="false">IF(F_Partner=1,IF(BN260&lt;=PR_USCex,0,IF(IF(AND(AG260&gt;=PR_USCredAge,BN260&lt;=PR_USCredMax),1,0)=1,PR_USCr1*MIN(BN260,PR_USCredB1)+PR_USCredR2*MAX(0,BN260-PR_USCredB1),PR_USCr1*MIN(BN260,PR_USCb1)+PR_USCr2*MAX(0,MIN(BN260,PR_USCb2)-PR_USCb1)+PR_USCr3*MAX(0,MIN(BN260,PR_USCb3)-PR_USCb2)+PR_USCr4*MAX(0,BN260-PR_USCb3))),0)</f>
        <v>386.86307762653</v>
      </c>
      <c r="BP260" s="20" t="n">
        <f aca="false">IF(C260&lt;PR_PRSIend,IF(F_SelfEmp=1,IF(AL260&gt;PR_PRSIsMinInc,MAX(PR_PRSIsMin,AL260*J260),0),IF(AL260/52&lt;=PR_PRSIfree,0,MAX(0,(AL260/52*J260-IF(AL260/52&lt;=PR_PRSIcreditTo,MAX(0,PR_PRSIcreditMax-(AL260/52-(PR_PRSIfree+0.01))/PR_PRSItaper),0))*52)))+J260*AN260+IF(AO260&gt;PR_PRSIunearned,J260*AO260,0),0)</f>
        <v>496.980393858573</v>
      </c>
      <c r="BQ260" s="20" t="n">
        <f aca="false">IF(AND(F_Partner=1,AG260&lt;PR_PRSIend),IF(AQ260/52&lt;=PR_PRSIfree,0,MAX(0,(AQ260/52*J260-IF(AQ260/52&lt;=PR_PRSIcreditTo,MAX(0,PR_PRSIcreditMax-(AQ260/52-(PR_PRSIfree+0.01))/PR_PRSItaper),0))*52)),0)</f>
        <v>1332.55123242235</v>
      </c>
      <c r="BR260" s="20" t="n">
        <f aca="false">BK260+BM260+BO260+BP260+BQ260</f>
        <v>3886.82548017275</v>
      </c>
      <c r="BS260" s="20" t="n">
        <f aca="false">BR260*H260</f>
        <v>6504.28416585386</v>
      </c>
      <c r="BT260" s="20" t="n">
        <f aca="false">K260+AK260+AC260+AF260+AH260+AI260</f>
        <v>65139.8162596185</v>
      </c>
    </row>
    <row r="261" customFormat="false" ht="15" hidden="false" customHeight="true" outlineLevel="0" collapsed="false">
      <c r="B261" s="20" t="n">
        <v>27</v>
      </c>
      <c r="C261" s="20" t="n">
        <f aca="false">F_Age+B261</f>
        <v>65</v>
      </c>
      <c r="D261" s="20" t="n">
        <f aca="false">AS_Year0+B261</f>
        <v>2054</v>
      </c>
      <c r="E261" s="44" t="n">
        <f aca="false">(1+AS_Infl)^B261</f>
        <v>1.70688647664111</v>
      </c>
      <c r="F261" s="44" t="n">
        <f aca="false">(1+AS_Wage)^B261</f>
        <v>2.22128900557016</v>
      </c>
      <c r="G261" s="20" t="n">
        <f aca="false">IF(C261&lt;F_R,1,0)</f>
        <v>0</v>
      </c>
      <c r="H261" s="44" t="n">
        <f aca="false">IF(AS_Bands="flat",1,E261)</f>
        <v>1.70688647664111</v>
      </c>
      <c r="I261" s="44" t="n">
        <f aca="false">IF(AS_SpGrow="pay",F261,IF(AS_SpGrow="flat",1,E261))</f>
        <v>1.70688647664111</v>
      </c>
      <c r="J261" s="44" t="n">
        <f aca="false">(12*PR_PRSIr0+(PR_PRSIr1-PR_PRSIr0)*MAX(0,MIN(12,D261*12+12-PR_PRSIt1))+(PR_PRSIr2-PR_PRSIr1)*MAX(0,MIN(12,D261*12+12-PR_PRSIt2))+(PR_PRSIr3-PR_PRSIr2)*MAX(0,MIN(12,D261*12+12-PR_PRSIt3)))/12</f>
        <v>0.047</v>
      </c>
      <c r="K261" s="20" t="n">
        <f aca="false">IF(G261=1,F_Income*F261,0)</f>
        <v>0</v>
      </c>
      <c r="L261" s="20" t="n">
        <f aca="false">IF(G261=1,(F_Own+In_penExtra)*12*F261,0)</f>
        <v>0</v>
      </c>
      <c r="M261" s="20" t="n">
        <f aca="false">IF(G261=1,(F_PenM+In_penExtra)*12*F261,0)</f>
        <v>0</v>
      </c>
      <c r="N261" s="45" t="n">
        <f aca="false">IF(C261&lt;PR_RelA1,PR_RelP1,IF(C261&lt;PR_RelA2,PR_RelP2,IF(C261&lt;PR_RelA3,PR_RelP3,IF(C261&lt;PR_RelA4,PR_RelP4,IF(C261&lt;PR_RelA5,PR_RelP5,PR_RelP6)))))</f>
        <v>0.4</v>
      </c>
      <c r="O261" s="20" t="n">
        <f aca="false">IF(G261=1,MIN(L261/H261,N261*MIN(K261/H261,PR_EarnCap))*H261,0)</f>
        <v>0</v>
      </c>
      <c r="P261" s="20" t="n">
        <f aca="false">IF(AND(G261=1,F_AE=1),MIN(K261/H261,PR_AEcap)*H261,0)</f>
        <v>0</v>
      </c>
      <c r="Q261" s="20" t="n">
        <f aca="false">IF(G261=1,IF(WI_Retire=1,MAX(0,M261+WI_M*12),M261)+(PR_AEee+PR_AEer+PR_AEst)*P261,0)</f>
        <v>0</v>
      </c>
      <c r="R261" s="20" t="n">
        <f aca="false">L261+PR_AEee*P261</f>
        <v>0</v>
      </c>
      <c r="S261" s="20" t="n">
        <f aca="false">AD260</f>
        <v>438052.676098176</v>
      </c>
      <c r="T261" s="20" t="n">
        <f aca="false">IF(D261&lt;=PR_SFTfrom,PR_SFT2026,IF(D261=PR_SFTfrom+1,PR_SFT2027,IF(D261=PR_SFTfrom+2,PR_SFT2028,IF(D261&lt;=PR_SFTto,PR_SFT2029,PR_SFT2029*(1+AS_Infl)^(D261-PR_SFTto)))))</f>
        <v>4593696.78450125</v>
      </c>
      <c r="U261" s="20" t="n">
        <f aca="false">IF(AND(G261=0,C261=F_V),1,0)</f>
        <v>0</v>
      </c>
      <c r="V261" s="20" t="n">
        <f aca="false">IF(U261=1,PR_SFTrate*MAX(0,S261-T261),0)</f>
        <v>0</v>
      </c>
      <c r="W261" s="20" t="n">
        <f aca="false">S261-V261</f>
        <v>438052.676098176</v>
      </c>
      <c r="X261" s="20" t="n">
        <f aca="false">IF(AND(U261=1,AS_LumpPct&gt;0),W261*MIN(AS_LumpPct,PR_LSmax),0)</f>
        <v>0</v>
      </c>
      <c r="Y261" s="20" t="n">
        <f aca="false">X261-(PR_LSrate*MAX(0,MIN(X261,PR_LScap)-PR_LSfree)+PR_r2*MAX(0,X261-PR_LScap))</f>
        <v>0</v>
      </c>
      <c r="Z261" s="20" t="n">
        <f aca="false">W261-X261</f>
        <v>438052.676098176</v>
      </c>
      <c r="AA261" s="45" t="n">
        <f aca="false">IF(C261&gt;=PR_ARFage1,IF(Z261&gt;PR_ARFbig,PR_ARFbigRate,IF(C261&gt;=PR_ARFage2,PR_ARF71,PR_ARF61)),0)</f>
        <v>0.04</v>
      </c>
      <c r="AB261" s="20" t="n">
        <f aca="false">IF(AS_DrawRule="min",Z261*AA261,IF(AS_DrawRule="fixed",MAX(AS_DrawFixed*E261,Z261*AA261),Z261*MAX(1/MAX(1,AS_End-C261+1),AA261)))</f>
        <v>17522.1070439271</v>
      </c>
      <c r="AC261" s="20" t="n">
        <f aca="false">IF(AND(G261=0,C261&gt;=F_V),MIN(Z261,AB261),0)</f>
        <v>17522.1070439271</v>
      </c>
      <c r="AD261" s="20" t="n">
        <f aca="false">IF(G261=1,S261*(1+F_PenG)+Q261,IF(C261&lt;F_V,S261*(1+F_PenG),(Z261-AC261)*(1+AS_PenRet)))</f>
        <v>433777.281979458</v>
      </c>
      <c r="AE261" s="20" t="n">
        <f aca="false">IF(C261&gt;=PR_SPage,AS_SP*F_SpF*I261+IF(AND(C261&gt;=PR_Over80Age,F_SpF&gt;0),PR_Over80*PR_Weeks*I261,0),0)</f>
        <v>0</v>
      </c>
      <c r="AF261" s="20" t="n">
        <f aca="false">(F_OtherM+F_RentM)*12*E261</f>
        <v>0</v>
      </c>
      <c r="AG261" s="20" t="n">
        <f aca="false">F_PAge+B261</f>
        <v>64</v>
      </c>
      <c r="AH261" s="20" t="n">
        <f aca="false">IF(AND(F_Partner=1,F_PAge&gt;0,AG261&lt;IF(F_PRet&gt;0,F_PRet,PR_SPage)),F_PIncome*F261,0)</f>
        <v>48868.3581225435</v>
      </c>
      <c r="AI261" s="20" t="n">
        <f aca="false">IF(AND(F_Partner=1,AG261&gt;=PR_SPage,F_PSpQA=0),AS_SP*F_PSpF*I261,0)</f>
        <v>0</v>
      </c>
      <c r="AJ261" s="20" t="n">
        <f aca="false">IF(AND(F_Partner=1,F_PSpQA=1,C261&gt;=PR_SPage,AH261=0),IF(AG261&gt;=PR_SPage,PR_QA66,PR_QAunder)*PR_Weeks*I261,0)</f>
        <v>0</v>
      </c>
      <c r="AK261" s="20" t="n">
        <f aca="false">AE261+AJ261</f>
        <v>0</v>
      </c>
      <c r="AL261" s="20" t="n">
        <f aca="false">K261/H261</f>
        <v>0</v>
      </c>
      <c r="AM261" s="20" t="n">
        <f aca="false">AK261/H261</f>
        <v>0</v>
      </c>
      <c r="AN261" s="20" t="n">
        <f aca="false">AC261/H261</f>
        <v>10265.5374471113</v>
      </c>
      <c r="AO261" s="20" t="n">
        <f aca="false">AF261/H261</f>
        <v>0</v>
      </c>
      <c r="AP261" s="20" t="n">
        <f aca="false">O261/H261</f>
        <v>0</v>
      </c>
      <c r="AQ261" s="20" t="n">
        <f aca="false">AH261/H261</f>
        <v>28630.1161742807</v>
      </c>
      <c r="AR261" s="20" t="n">
        <f aca="false">AI261/H261</f>
        <v>0</v>
      </c>
      <c r="AS261" s="20" t="n">
        <f aca="false">MAX(0,AL261+AN261+AO261+AM261-AP261)</f>
        <v>10265.5374471113</v>
      </c>
      <c r="AT261" s="20" t="n">
        <f aca="false">MAX(0,AQ261+AR261)</f>
        <v>28630.1161742807</v>
      </c>
      <c r="AU261" s="20" t="n">
        <f aca="false">MIN(PR_PAYE,PR_PAYEcap*(AL261+AN261+AM261))</f>
        <v>2000</v>
      </c>
      <c r="AV261" s="20" t="n">
        <f aca="false">MIN(PR_PAYE,PR_PAYEcap*(AQ261+AR261))</f>
        <v>2000</v>
      </c>
      <c r="AW261" s="20" t="n">
        <f aca="false">IF(C261&gt;=PR_AgeCrAge,PR_AgeCr,0)</f>
        <v>245</v>
      </c>
      <c r="AX261" s="20" t="n">
        <f aca="false">IF(AG261&gt;=PR_AgeCrAge,PR_AgeCr,0)</f>
        <v>0</v>
      </c>
      <c r="AY261" s="20" t="n">
        <f aca="false">IF(AND(F_RentCred=1,D261&lt;=PR_RentLast),1,0)</f>
        <v>0</v>
      </c>
      <c r="AZ261" s="20" t="n">
        <f aca="false">AS261+AT261</f>
        <v>38895.6536213919</v>
      </c>
      <c r="BA261" s="20" t="n">
        <f aca="false">PR_PersonalM+AU261+AV261+AW261+AX261+IF(AY261=1,PR_RentJoint,0)</f>
        <v>8245</v>
      </c>
      <c r="BB261" s="20" t="n">
        <f aca="false">PR_BandM+MIN(MIN(AS261,AT261),PR_Uplift)</f>
        <v>63265.5374471113</v>
      </c>
      <c r="BC261" s="20" t="n">
        <f aca="false">MAX(0,PR_r1*MIN(AZ261,BB261)+PR_r2*MAX(0,AZ261-BB261)-BA261)</f>
        <v>0</v>
      </c>
      <c r="BD261" s="20" t="n">
        <f aca="false">MAX(0,PR_HomeCarer-MAX(0,MIN(AS261,AT261)-PR_HCLimit)/2)</f>
        <v>417.231276444373</v>
      </c>
      <c r="BE261" s="20" t="n">
        <f aca="false">IF(F_Carer=1,MIN(BC261,MAX(0,PR_r1*MIN(AZ261,PR_BandM)+PR_r2*MAX(0,AZ261-PR_BandM)-BA261-BD261)),BC261)</f>
        <v>0</v>
      </c>
      <c r="BF261" s="20" t="n">
        <f aca="false">IF(OR(C261&gt;=PR_AgeCrAge,AG261&gt;=PR_AgeCrAge),IF(AZ261&lt;=PR_AgeExM,0,MIN(BE261,PR_AgeMarg*(AZ261-PR_AgeExM))),BE261)</f>
        <v>0</v>
      </c>
      <c r="BG261" s="20" t="n">
        <f aca="false">MAX(0,PR_r1*MIN(AS261,IF(F_Spccc=1,PR_BandSPCCC,PR_Band))+PR_r2*MAX(0,AS261-IF(F_Spccc=1,PR_BandSPCCC,PR_Band))-(PR_Personal+AU261+AW261+IF(F_Spccc=1,PR_SPCCC,0)+IF(AY261=1,PR_Rent,0)))</f>
        <v>0</v>
      </c>
      <c r="BH261" s="20" t="n">
        <f aca="false">IF(C261&gt;=PR_AgeCrAge,IF(AS261&lt;=PR_AgeEx,0,MIN(BG261,PR_AgeMarg*(AS261-PR_AgeEx))),BG261)</f>
        <v>0</v>
      </c>
      <c r="BI261" s="20" t="n">
        <f aca="false">IF(F_Partner=1,MAX(0,PR_r1*MIN(AT261,PR_Band)+PR_r2*MAX(0,AT261-PR_Band)-(PR_Personal+AV261+AX261+IF(AND(AY261=1,AT261&gt;0),PR_Rent,0))),0)</f>
        <v>1726.02323485614</v>
      </c>
      <c r="BJ261" s="20" t="n">
        <f aca="false">IF(AG261&gt;=PR_AgeCrAge,IF(AT261&lt;=PR_AgeEx,0,MIN(BI261,PR_AgeMarg*(AT261-PR_AgeEx))),BI261)</f>
        <v>1726.02323485614</v>
      </c>
      <c r="BK261" s="20" t="n">
        <f aca="false">IF(F_Partner=1,IF(F_Married=1,BF261,BH261+BJ261),BH261)</f>
        <v>1726.02323485614</v>
      </c>
      <c r="BL261" s="20" t="n">
        <f aca="false">AL261+AN261+AO261</f>
        <v>10265.5374471113</v>
      </c>
      <c r="BM261" s="20" t="n">
        <f aca="false">IF(BL261&lt;=PR_USCex,0,IF(IF(AND(C261&gt;=PR_USCredAge,BL261&lt;=PR_USCredMax),1,0)=1,PR_USCr1*MIN(BL261,PR_USCredB1)+PR_USCredR2*MAX(0,BL261-PR_USCredB1),PR_USCr1*MIN(BL261,PR_USCb1)+PR_USCr2*MAX(0,MIN(BL261,PR_USCb2)-PR_USCb1)+PR_USCr3*MAX(0,MIN(BL261,PR_USCb3)-PR_USCb2)+PR_USCr4*MAX(0,BL261-PR_USCb3)))+IF(F_SelfEmp=1,PR_USCse*MAX(0,AL261-PR_USCseOver),0)</f>
        <v>0</v>
      </c>
      <c r="BN261" s="20" t="n">
        <f aca="false">AQ261</f>
        <v>28630.1161742807</v>
      </c>
      <c r="BO261" s="20" t="n">
        <f aca="false">IF(F_Partner=1,IF(BN261&lt;=PR_USCex,0,IF(IF(AND(AG261&gt;=PR_USCredAge,BN261&lt;=PR_USCredMax),1,0)=1,PR_USCr1*MIN(BN261,PR_USCredB1)+PR_USCredR2*MAX(0,BN261-PR_USCredB1),PR_USCr1*MIN(BN261,PR_USCb1)+PR_USCr2*MAX(0,MIN(BN261,PR_USCb2)-PR_USCb1)+PR_USCr3*MAX(0,MIN(BN261,PR_USCb3)-PR_USCb2)+PR_USCr4*MAX(0,BN261-PR_USCb3))),0)</f>
        <v>392.422323485614</v>
      </c>
      <c r="BP261" s="20" t="n">
        <f aca="false">IF(C261&lt;PR_PRSIend,IF(F_SelfEmp=1,IF(AL261&gt;PR_PRSIsMinInc,MAX(PR_PRSIsMin,AL261*J261),0),IF(AL261/52&lt;=PR_PRSIfree,0,MAX(0,(AL261/52*J261-IF(AL261/52&lt;=PR_PRSIcreditTo,MAX(0,PR_PRSIcreditMax-(AL261/52-(PR_PRSIfree+0.01))/PR_PRSItaper),0))*52)))+J261*AN261+IF(AO261&gt;PR_PRSIunearned,J261*AO261,0),0)</f>
        <v>482.480260014229</v>
      </c>
      <c r="BQ261" s="20" t="n">
        <f aca="false">IF(AND(F_Partner=1,AG261&lt;PR_PRSIend),IF(AQ261/52&lt;=PR_PRSIfree,0,MAX(0,(AQ261/52*J261-IF(AQ261/52&lt;=PR_PRSIcreditTo,MAX(0,PR_PRSIcreditMax-(AQ261/52-(PR_PRSIfree+0.01))/PR_PRSItaper),0))*52)),0)</f>
        <v>1345.61546019119</v>
      </c>
      <c r="BR261" s="20" t="n">
        <f aca="false">BK261+BM261+BO261+BP261+BQ261</f>
        <v>3946.54127854717</v>
      </c>
      <c r="BS261" s="20" t="n">
        <f aca="false">BR261*H261</f>
        <v>6736.29793785807</v>
      </c>
      <c r="BT261" s="20" t="n">
        <f aca="false">K261+AK261+AC261+AF261+AH261+AI261</f>
        <v>66390.4651664706</v>
      </c>
    </row>
    <row r="262" customFormat="false" ht="15" hidden="false" customHeight="true" outlineLevel="0" collapsed="false">
      <c r="B262" s="20" t="n">
        <v>28</v>
      </c>
      <c r="C262" s="20" t="n">
        <f aca="false">F_Age+B262</f>
        <v>66</v>
      </c>
      <c r="D262" s="20" t="n">
        <f aca="false">AS_Year0+B262</f>
        <v>2055</v>
      </c>
      <c r="E262" s="44" t="n">
        <f aca="false">(1+AS_Infl)^B262</f>
        <v>1.74102420617393</v>
      </c>
      <c r="F262" s="44" t="n">
        <f aca="false">(1+AS_Wage)^B262</f>
        <v>2.28792767573726</v>
      </c>
      <c r="G262" s="20" t="n">
        <f aca="false">IF(C262&lt;F_R,1,0)</f>
        <v>0</v>
      </c>
      <c r="H262" s="44" t="n">
        <f aca="false">IF(AS_Bands="flat",1,E262)</f>
        <v>1.74102420617393</v>
      </c>
      <c r="I262" s="44" t="n">
        <f aca="false">IF(AS_SpGrow="pay",F262,IF(AS_SpGrow="flat",1,E262))</f>
        <v>1.74102420617393</v>
      </c>
      <c r="J262" s="44" t="n">
        <f aca="false">(12*PR_PRSIr0+(PR_PRSIr1-PR_PRSIr0)*MAX(0,MIN(12,D262*12+12-PR_PRSIt1))+(PR_PRSIr2-PR_PRSIr1)*MAX(0,MIN(12,D262*12+12-PR_PRSIt2))+(PR_PRSIr3-PR_PRSIr2)*MAX(0,MIN(12,D262*12+12-PR_PRSIt3)))/12</f>
        <v>0.047</v>
      </c>
      <c r="K262" s="20" t="n">
        <f aca="false">IF(G262=1,F_Income*F262,0)</f>
        <v>0</v>
      </c>
      <c r="L262" s="20" t="n">
        <f aca="false">IF(G262=1,(F_Own+In_penExtra)*12*F262,0)</f>
        <v>0</v>
      </c>
      <c r="M262" s="20" t="n">
        <f aca="false">IF(G262=1,(F_PenM+In_penExtra)*12*F262,0)</f>
        <v>0</v>
      </c>
      <c r="N262" s="45" t="n">
        <f aca="false">IF(C262&lt;PR_RelA1,PR_RelP1,IF(C262&lt;PR_RelA2,PR_RelP2,IF(C262&lt;PR_RelA3,PR_RelP3,IF(C262&lt;PR_RelA4,PR_RelP4,IF(C262&lt;PR_RelA5,PR_RelP5,PR_RelP6)))))</f>
        <v>0.4</v>
      </c>
      <c r="O262" s="20" t="n">
        <f aca="false">IF(G262=1,MIN(L262/H262,N262*MIN(K262/H262,PR_EarnCap))*H262,0)</f>
        <v>0</v>
      </c>
      <c r="P262" s="20" t="n">
        <f aca="false">IF(AND(G262=1,F_AE=1),MIN(K262/H262,PR_AEcap)*H262,0)</f>
        <v>0</v>
      </c>
      <c r="Q262" s="20" t="n">
        <f aca="false">IF(G262=1,IF(WI_Retire=1,MAX(0,M262+WI_M*12),M262)+(PR_AEee+PR_AEer+PR_AEst)*P262,0)</f>
        <v>0</v>
      </c>
      <c r="R262" s="20" t="n">
        <f aca="false">L262+PR_AEee*P262</f>
        <v>0</v>
      </c>
      <c r="S262" s="20" t="n">
        <f aca="false">AD261</f>
        <v>433777.281979458</v>
      </c>
      <c r="T262" s="20" t="n">
        <f aca="false">IF(D262&lt;=PR_SFTfrom,PR_SFT2026,IF(D262=PR_SFTfrom+1,PR_SFT2027,IF(D262=PR_SFTfrom+2,PR_SFT2028,IF(D262&lt;=PR_SFTto,PR_SFT2029,PR_SFT2029*(1+AS_Infl)^(D262-PR_SFTto)))))</f>
        <v>4685570.72019127</v>
      </c>
      <c r="U262" s="20" t="n">
        <f aca="false">IF(AND(G262=0,C262=F_V),1,0)</f>
        <v>0</v>
      </c>
      <c r="V262" s="20" t="n">
        <f aca="false">IF(U262=1,PR_SFTrate*MAX(0,S262-T262),0)</f>
        <v>0</v>
      </c>
      <c r="W262" s="20" t="n">
        <f aca="false">S262-V262</f>
        <v>433777.281979458</v>
      </c>
      <c r="X262" s="20" t="n">
        <f aca="false">IF(AND(U262=1,AS_LumpPct&gt;0),W262*MIN(AS_LumpPct,PR_LSmax),0)</f>
        <v>0</v>
      </c>
      <c r="Y262" s="20" t="n">
        <f aca="false">X262-(PR_LSrate*MAX(0,MIN(X262,PR_LScap)-PR_LSfree)+PR_r2*MAX(0,X262-PR_LScap))</f>
        <v>0</v>
      </c>
      <c r="Z262" s="20" t="n">
        <f aca="false">W262-X262</f>
        <v>433777.281979458</v>
      </c>
      <c r="AA262" s="45" t="n">
        <f aca="false">IF(C262&gt;=PR_ARFage1,IF(Z262&gt;PR_ARFbig,PR_ARFbigRate,IF(C262&gt;=PR_ARFage2,PR_ARF71,PR_ARF61)),0)</f>
        <v>0.04</v>
      </c>
      <c r="AB262" s="20" t="n">
        <f aca="false">IF(AS_DrawRule="min",Z262*AA262,IF(AS_DrawRule="fixed",MAX(AS_DrawFixed*E262,Z262*AA262),Z262*MAX(1/MAX(1,AS_End-C262+1),AA262)))</f>
        <v>17351.0912791783</v>
      </c>
      <c r="AC262" s="20" t="n">
        <f aca="false">IF(AND(G262=0,C262&gt;=F_V),MIN(Z262,AB262),0)</f>
        <v>17351.0912791783</v>
      </c>
      <c r="AD262" s="20" t="n">
        <f aca="false">IF(G262=1,S262*(1+F_PenG)+Q262,IF(C262&lt;F_V,S262*(1+F_PenG),(Z262-AC262)*(1+AS_PenRet)))</f>
        <v>429543.615707339</v>
      </c>
      <c r="AE262" s="20" t="n">
        <f aca="false">IF(C262&gt;=PR_SPage,AS_SP*F_SpF*I262+IF(AND(C262&gt;=PR_Over80Age,F_SpF&gt;0),PR_Over80*PR_Weeks*I262,0),0)</f>
        <v>27096.6043352085</v>
      </c>
      <c r="AF262" s="20" t="n">
        <f aca="false">(F_OtherM+F_RentM)*12*E262</f>
        <v>0</v>
      </c>
      <c r="AG262" s="20" t="n">
        <f aca="false">F_PAge+B262</f>
        <v>65</v>
      </c>
      <c r="AH262" s="20" t="n">
        <f aca="false">IF(AND(F_Partner=1,F_PAge&gt;0,AG262&lt;IF(F_PRet&gt;0,F_PRet,PR_SPage)),F_PIncome*F262,0)</f>
        <v>50334.4088662198</v>
      </c>
      <c r="AI262" s="20" t="n">
        <f aca="false">IF(AND(F_Partner=1,AG262&gt;=PR_SPage,F_PSpQA=0),AS_SP*F_PSpF*I262,0)</f>
        <v>0</v>
      </c>
      <c r="AJ262" s="20" t="n">
        <f aca="false">IF(AND(F_Partner=1,F_PSpQA=1,C262&gt;=PR_SPage,AH262=0),IF(AG262&gt;=PR_SPage,PR_QA66,PR_QAunder)*PR_Weeks*I262,0)</f>
        <v>0</v>
      </c>
      <c r="AK262" s="20" t="n">
        <f aca="false">AE262+AJ262</f>
        <v>27096.6043352085</v>
      </c>
      <c r="AL262" s="20" t="n">
        <f aca="false">K262/H262</f>
        <v>0</v>
      </c>
      <c r="AM262" s="20" t="n">
        <f aca="false">AK262/H262</f>
        <v>15563.6</v>
      </c>
      <c r="AN262" s="20" t="n">
        <f aca="false">AC262/H262</f>
        <v>9966.02529571318</v>
      </c>
      <c r="AO262" s="20" t="n">
        <f aca="false">AF262/H262</f>
        <v>0</v>
      </c>
      <c r="AP262" s="20" t="n">
        <f aca="false">O262/H262</f>
        <v>0</v>
      </c>
      <c r="AQ262" s="20" t="n">
        <f aca="false">AH262/H262</f>
        <v>28910.803587754</v>
      </c>
      <c r="AR262" s="20" t="n">
        <f aca="false">AI262/H262</f>
        <v>0</v>
      </c>
      <c r="AS262" s="20" t="n">
        <f aca="false">MAX(0,AL262+AN262+AO262+AM262-AP262)</f>
        <v>25529.6252957132</v>
      </c>
      <c r="AT262" s="20" t="n">
        <f aca="false">MAX(0,AQ262+AR262)</f>
        <v>28910.803587754</v>
      </c>
      <c r="AU262" s="20" t="n">
        <f aca="false">MIN(PR_PAYE,PR_PAYEcap*(AL262+AN262+AM262))</f>
        <v>2000</v>
      </c>
      <c r="AV262" s="20" t="n">
        <f aca="false">MIN(PR_PAYE,PR_PAYEcap*(AQ262+AR262))</f>
        <v>2000</v>
      </c>
      <c r="AW262" s="20" t="n">
        <f aca="false">IF(C262&gt;=PR_AgeCrAge,PR_AgeCr,0)</f>
        <v>245</v>
      </c>
      <c r="AX262" s="20" t="n">
        <f aca="false">IF(AG262&gt;=PR_AgeCrAge,PR_AgeCr,0)</f>
        <v>245</v>
      </c>
      <c r="AY262" s="20" t="n">
        <f aca="false">IF(AND(F_RentCred=1,D262&lt;=PR_RentLast),1,0)</f>
        <v>0</v>
      </c>
      <c r="AZ262" s="20" t="n">
        <f aca="false">AS262+AT262</f>
        <v>54440.4288834672</v>
      </c>
      <c r="BA262" s="20" t="n">
        <f aca="false">PR_PersonalM+AU262+AV262+AW262+AX262+IF(AY262=1,PR_RentJoint,0)</f>
        <v>8490</v>
      </c>
      <c r="BB262" s="20" t="n">
        <f aca="false">PR_BandM+MIN(MIN(AS262,AT262),PR_Uplift)</f>
        <v>78529.6252957132</v>
      </c>
      <c r="BC262" s="20" t="n">
        <f aca="false">MAX(0,PR_r1*MIN(AZ262,BB262)+PR_r2*MAX(0,AZ262-BB262)-BA262)</f>
        <v>2398.08577669344</v>
      </c>
      <c r="BD262" s="20" t="n">
        <f aca="false">MAX(0,PR_HomeCarer-MAX(0,MIN(AS262,AT262)-PR_HCLimit)/2)</f>
        <v>0</v>
      </c>
      <c r="BE262" s="20" t="n">
        <f aca="false">IF(F_Carer=1,MIN(BC262,MAX(0,PR_r1*MIN(AZ262,PR_BandM)+PR_r2*MAX(0,AZ262-PR_BandM)-BA262-BD262)),BC262)</f>
        <v>2398.08577669344</v>
      </c>
      <c r="BF262" s="20" t="n">
        <f aca="false">IF(OR(C262&gt;=PR_AgeCrAge,AG262&gt;=PR_AgeCrAge),IF(AZ262&lt;=PR_AgeExM,0,MIN(BE262,PR_AgeMarg*(AZ262-PR_AgeExM))),BE262)</f>
        <v>2398.08577669344</v>
      </c>
      <c r="BG262" s="20" t="n">
        <f aca="false">MAX(0,PR_r1*MIN(AS262,IF(F_Spccc=1,PR_BandSPCCC,PR_Band))+PR_r2*MAX(0,AS262-IF(F_Spccc=1,PR_BandSPCCC,PR_Band))-(PR_Personal+AU262+AW262+IF(F_Spccc=1,PR_SPCCC,0)+IF(AY262=1,PR_Rent,0)))</f>
        <v>860.925059142637</v>
      </c>
      <c r="BH262" s="20" t="n">
        <f aca="false">IF(C262&gt;=PR_AgeCrAge,IF(AS262&lt;=PR_AgeEx,0,MIN(BG262,PR_AgeMarg*(AS262-PR_AgeEx))),BG262)</f>
        <v>860.925059142637</v>
      </c>
      <c r="BI262" s="20" t="n">
        <f aca="false">IF(F_Partner=1,MAX(0,PR_r1*MIN(AT262,PR_Band)+PR_r2*MAX(0,AT262-PR_Band)-(PR_Personal+AV262+AX262+IF(AND(AY262=1,AT262&gt;0),PR_Rent,0))),0)</f>
        <v>1537.1607175508</v>
      </c>
      <c r="BJ262" s="20" t="n">
        <f aca="false">IF(AG262&gt;=PR_AgeCrAge,IF(AT262&lt;=PR_AgeEx,0,MIN(BI262,PR_AgeMarg*(AT262-PR_AgeEx))),BI262)</f>
        <v>1537.1607175508</v>
      </c>
      <c r="BK262" s="20" t="n">
        <f aca="false">IF(F_Partner=1,IF(F_Married=1,BF262,BH262+BJ262),BH262)</f>
        <v>2398.08577669344</v>
      </c>
      <c r="BL262" s="20" t="n">
        <f aca="false">AL262+AN262+AO262</f>
        <v>9966.02529571318</v>
      </c>
      <c r="BM262" s="20" t="n">
        <f aca="false">IF(BL262&lt;=PR_USCex,0,IF(IF(AND(C262&gt;=PR_USCredAge,BL262&lt;=PR_USCredMax),1,0)=1,PR_USCr1*MIN(BL262,PR_USCredB1)+PR_USCredR2*MAX(0,BL262-PR_USCredB1),PR_USCr1*MIN(BL262,PR_USCb1)+PR_USCr2*MAX(0,MIN(BL262,PR_USCb2)-PR_USCb1)+PR_USCr3*MAX(0,MIN(BL262,PR_USCb3)-PR_USCb2)+PR_USCr4*MAX(0,BL262-PR_USCb3)))+IF(F_SelfEmp=1,PR_USCse*MAX(0,AL262-PR_USCseOver),0)</f>
        <v>0</v>
      </c>
      <c r="BN262" s="20" t="n">
        <f aca="false">AQ262</f>
        <v>28910.803587754</v>
      </c>
      <c r="BO262" s="20" t="n">
        <f aca="false">IF(F_Partner=1,IF(BN262&lt;=PR_USCex,0,IF(IF(AND(AG262&gt;=PR_USCredAge,BN262&lt;=PR_USCredMax),1,0)=1,PR_USCr1*MIN(BN262,PR_USCredB1)+PR_USCredR2*MAX(0,BN262-PR_USCredB1),PR_USCr1*MIN(BN262,PR_USCb1)+PR_USCr2*MAX(0,MIN(BN262,PR_USCb2)-PR_USCb1)+PR_USCr3*MAX(0,MIN(BN262,PR_USCb3)-PR_USCb2)+PR_USCr4*MAX(0,BN262-PR_USCb3))),0)</f>
        <v>400.14410763262</v>
      </c>
      <c r="BP262" s="20" t="n">
        <f aca="false">IF(C262&lt;PR_PRSIend,IF(F_SelfEmp=1,IF(AL262&gt;PR_PRSIsMinInc,MAX(PR_PRSIsMin,AL262*J262),0),IF(AL262/52&lt;=PR_PRSIfree,0,MAX(0,(AL262/52*J262-IF(AL262/52&lt;=PR_PRSIcreditTo,MAX(0,PR_PRSIcreditMax-(AL262/52-(PR_PRSIfree+0.01))/PR_PRSItaper),0))*52)))+J262*AN262+IF(AO262&gt;PR_PRSIunearned,J262*AO262,0),0)</f>
        <v>0</v>
      </c>
      <c r="BQ262" s="20" t="n">
        <f aca="false">IF(AND(F_Partner=1,AG262&lt;PR_PRSIend),IF(AQ262/52&lt;=PR_PRSIfree,0,MAX(0,(AQ262/52*J262-IF(AQ262/52&lt;=PR_PRSIcreditTo,MAX(0,PR_PRSIcreditMax-(AQ262/52-(PR_PRSIfree+0.01))/PR_PRSItaper),0))*52)),0)</f>
        <v>1358.80776862444</v>
      </c>
      <c r="BR262" s="20" t="n">
        <f aca="false">BK262+BM262+BO262+BP262+BQ262</f>
        <v>4157.0376529505</v>
      </c>
      <c r="BS262" s="20" t="n">
        <f aca="false">BR262*H262</f>
        <v>7237.50317976327</v>
      </c>
      <c r="BT262" s="20" t="n">
        <f aca="false">K262+AK262+AC262+AF262+AH262+AI262</f>
        <v>94782.1044806067</v>
      </c>
    </row>
    <row r="263" customFormat="false" ht="15" hidden="false" customHeight="true" outlineLevel="0" collapsed="false">
      <c r="B263" s="20" t="n">
        <v>29</v>
      </c>
      <c r="C263" s="20" t="n">
        <f aca="false">F_Age+B263</f>
        <v>67</v>
      </c>
      <c r="D263" s="20" t="n">
        <f aca="false">AS_Year0+B263</f>
        <v>2056</v>
      </c>
      <c r="E263" s="44" t="n">
        <f aca="false">(1+AS_Infl)^B263</f>
        <v>1.77584469029741</v>
      </c>
      <c r="F263" s="44" t="n">
        <f aca="false">(1+AS_Wage)^B263</f>
        <v>2.35656550600938</v>
      </c>
      <c r="G263" s="20" t="n">
        <f aca="false">IF(C263&lt;F_R,1,0)</f>
        <v>0</v>
      </c>
      <c r="H263" s="44" t="n">
        <f aca="false">IF(AS_Bands="flat",1,E263)</f>
        <v>1.77584469029741</v>
      </c>
      <c r="I263" s="44" t="n">
        <f aca="false">IF(AS_SpGrow="pay",F263,IF(AS_SpGrow="flat",1,E263))</f>
        <v>1.77584469029741</v>
      </c>
      <c r="J263" s="44" t="n">
        <f aca="false">(12*PR_PRSIr0+(PR_PRSIr1-PR_PRSIr0)*MAX(0,MIN(12,D263*12+12-PR_PRSIt1))+(PR_PRSIr2-PR_PRSIr1)*MAX(0,MIN(12,D263*12+12-PR_PRSIt2))+(PR_PRSIr3-PR_PRSIr2)*MAX(0,MIN(12,D263*12+12-PR_PRSIt3)))/12</f>
        <v>0.047</v>
      </c>
      <c r="K263" s="20" t="n">
        <f aca="false">IF(G263=1,F_Income*F263,0)</f>
        <v>0</v>
      </c>
      <c r="L263" s="20" t="n">
        <f aca="false">IF(G263=1,(F_Own+In_penExtra)*12*F263,0)</f>
        <v>0</v>
      </c>
      <c r="M263" s="20" t="n">
        <f aca="false">IF(G263=1,(F_PenM+In_penExtra)*12*F263,0)</f>
        <v>0</v>
      </c>
      <c r="N263" s="45" t="n">
        <f aca="false">IF(C263&lt;PR_RelA1,PR_RelP1,IF(C263&lt;PR_RelA2,PR_RelP2,IF(C263&lt;PR_RelA3,PR_RelP3,IF(C263&lt;PR_RelA4,PR_RelP4,IF(C263&lt;PR_RelA5,PR_RelP5,PR_RelP6)))))</f>
        <v>0.4</v>
      </c>
      <c r="O263" s="20" t="n">
        <f aca="false">IF(G263=1,MIN(L263/H263,N263*MIN(K263/H263,PR_EarnCap))*H263,0)</f>
        <v>0</v>
      </c>
      <c r="P263" s="20" t="n">
        <f aca="false">IF(AND(G263=1,F_AE=1),MIN(K263/H263,PR_AEcap)*H263,0)</f>
        <v>0</v>
      </c>
      <c r="Q263" s="20" t="n">
        <f aca="false">IF(G263=1,IF(WI_Retire=1,MAX(0,M263+WI_M*12),M263)+(PR_AEee+PR_AEer+PR_AEst)*P263,0)</f>
        <v>0</v>
      </c>
      <c r="R263" s="20" t="n">
        <f aca="false">L263+PR_AEee*P263</f>
        <v>0</v>
      </c>
      <c r="S263" s="20" t="n">
        <f aca="false">AD262</f>
        <v>429543.615707339</v>
      </c>
      <c r="T263" s="20" t="n">
        <f aca="false">IF(D263&lt;=PR_SFTfrom,PR_SFT2026,IF(D263=PR_SFTfrom+1,PR_SFT2027,IF(D263=PR_SFTfrom+2,PR_SFT2028,IF(D263&lt;=PR_SFTto,PR_SFT2029,PR_SFT2029*(1+AS_Infl)^(D263-PR_SFTto)))))</f>
        <v>4779282.1345951</v>
      </c>
      <c r="U263" s="20" t="n">
        <f aca="false">IF(AND(G263=0,C263=F_V),1,0)</f>
        <v>0</v>
      </c>
      <c r="V263" s="20" t="n">
        <f aca="false">IF(U263=1,PR_SFTrate*MAX(0,S263-T263),0)</f>
        <v>0</v>
      </c>
      <c r="W263" s="20" t="n">
        <f aca="false">S263-V263</f>
        <v>429543.615707339</v>
      </c>
      <c r="X263" s="20" t="n">
        <f aca="false">IF(AND(U263=1,AS_LumpPct&gt;0),W263*MIN(AS_LumpPct,PR_LSmax),0)</f>
        <v>0</v>
      </c>
      <c r="Y263" s="20" t="n">
        <f aca="false">X263-(PR_LSrate*MAX(0,MIN(X263,PR_LScap)-PR_LSfree)+PR_r2*MAX(0,X263-PR_LScap))</f>
        <v>0</v>
      </c>
      <c r="Z263" s="20" t="n">
        <f aca="false">W263-X263</f>
        <v>429543.615707339</v>
      </c>
      <c r="AA263" s="45" t="n">
        <f aca="false">IF(C263&gt;=PR_ARFage1,IF(Z263&gt;PR_ARFbig,PR_ARFbigRate,IF(C263&gt;=PR_ARFage2,PR_ARF71,PR_ARF61)),0)</f>
        <v>0.04</v>
      </c>
      <c r="AB263" s="20" t="n">
        <f aca="false">IF(AS_DrawRule="min",Z263*AA263,IF(AS_DrawRule="fixed",MAX(AS_DrawFixed*E263,Z263*AA263),Z263*MAX(1/MAX(1,AS_End-C263+1),AA263)))</f>
        <v>17181.7446282936</v>
      </c>
      <c r="AC263" s="20" t="n">
        <f aca="false">IF(AND(G263=0,C263&gt;=F_V),MIN(Z263,AB263),0)</f>
        <v>17181.7446282936</v>
      </c>
      <c r="AD263" s="20" t="n">
        <f aca="false">IF(G263=1,S263*(1+F_PenG)+Q263,IF(C263&lt;F_V,S263*(1+F_PenG),(Z263-AC263)*(1+AS_PenRet)))</f>
        <v>425351.270018035</v>
      </c>
      <c r="AE263" s="20" t="n">
        <f aca="false">IF(C263&gt;=PR_SPage,AS_SP*F_SpF*I263+IF(AND(C263&gt;=PR_Over80Age,F_SpF&gt;0),PR_Over80*PR_Weeks*I263,0),0)</f>
        <v>27638.5364219127</v>
      </c>
      <c r="AF263" s="20" t="n">
        <f aca="false">(F_OtherM+F_RentM)*12*E263</f>
        <v>0</v>
      </c>
      <c r="AG263" s="20" t="n">
        <f aca="false">F_PAge+B263</f>
        <v>66</v>
      </c>
      <c r="AH263" s="20" t="n">
        <f aca="false">IF(AND(F_Partner=1,F_PAge&gt;0,AG263&lt;IF(F_PRet&gt;0,F_PRet,PR_SPage)),F_PIncome*F263,0)</f>
        <v>0</v>
      </c>
      <c r="AI263" s="20" t="n">
        <f aca="false">IF(AND(F_Partner=1,AG263&gt;=PR_SPage,F_PSpQA=0),AS_SP*F_PSpF*I263,0)</f>
        <v>22110.8291375302</v>
      </c>
      <c r="AJ263" s="20" t="n">
        <f aca="false">IF(AND(F_Partner=1,F_PSpQA=1,C263&gt;=PR_SPage,AH263=0),IF(AG263&gt;=PR_SPage,PR_QA66,PR_QAunder)*PR_Weeks*I263,0)</f>
        <v>0</v>
      </c>
      <c r="AK263" s="20" t="n">
        <f aca="false">AE263+AJ263</f>
        <v>27638.5364219127</v>
      </c>
      <c r="AL263" s="20" t="n">
        <f aca="false">K263/H263</f>
        <v>0</v>
      </c>
      <c r="AM263" s="20" t="n">
        <f aca="false">AK263/H263</f>
        <v>15563.6</v>
      </c>
      <c r="AN263" s="20" t="n">
        <f aca="false">AC263/H263</f>
        <v>9675.2518517912</v>
      </c>
      <c r="AO263" s="20" t="n">
        <f aca="false">AF263/H263</f>
        <v>0</v>
      </c>
      <c r="AP263" s="20" t="n">
        <f aca="false">O263/H263</f>
        <v>0</v>
      </c>
      <c r="AQ263" s="20" t="n">
        <f aca="false">AH263/H263</f>
        <v>0</v>
      </c>
      <c r="AR263" s="20" t="n">
        <f aca="false">AI263/H263</f>
        <v>12450.88</v>
      </c>
      <c r="AS263" s="20" t="n">
        <f aca="false">MAX(0,AL263+AN263+AO263+AM263-AP263)</f>
        <v>25238.8518517912</v>
      </c>
      <c r="AT263" s="20" t="n">
        <f aca="false">MAX(0,AQ263+AR263)</f>
        <v>12450.88</v>
      </c>
      <c r="AU263" s="20" t="n">
        <f aca="false">MIN(PR_PAYE,PR_PAYEcap*(AL263+AN263+AM263))</f>
        <v>2000</v>
      </c>
      <c r="AV263" s="20" t="n">
        <f aca="false">MIN(PR_PAYE,PR_PAYEcap*(AQ263+AR263))</f>
        <v>2000</v>
      </c>
      <c r="AW263" s="20" t="n">
        <f aca="false">IF(C263&gt;=PR_AgeCrAge,PR_AgeCr,0)</f>
        <v>245</v>
      </c>
      <c r="AX263" s="20" t="n">
        <f aca="false">IF(AG263&gt;=PR_AgeCrAge,PR_AgeCr,0)</f>
        <v>245</v>
      </c>
      <c r="AY263" s="20" t="n">
        <f aca="false">IF(AND(F_RentCred=1,D263&lt;=PR_RentLast),1,0)</f>
        <v>0</v>
      </c>
      <c r="AZ263" s="20" t="n">
        <f aca="false">AS263+AT263</f>
        <v>37689.7318517912</v>
      </c>
      <c r="BA263" s="20" t="n">
        <f aca="false">PR_PersonalM+AU263+AV263+AW263+AX263+IF(AY263=1,PR_RentJoint,0)</f>
        <v>8490</v>
      </c>
      <c r="BB263" s="20" t="n">
        <f aca="false">PR_BandM+MIN(MIN(AS263,AT263),PR_Uplift)</f>
        <v>65450.88</v>
      </c>
      <c r="BC263" s="20" t="n">
        <f aca="false">MAX(0,PR_r1*MIN(AZ263,BB263)+PR_r2*MAX(0,AZ263-BB263)-BA263)</f>
        <v>0</v>
      </c>
      <c r="BD263" s="20" t="n">
        <f aca="false">MAX(0,PR_HomeCarer-MAX(0,MIN(AS263,AT263)-PR_HCLimit)/2)</f>
        <v>0</v>
      </c>
      <c r="BE263" s="20" t="n">
        <f aca="false">IF(F_Carer=1,MIN(BC263,MAX(0,PR_r1*MIN(AZ263,PR_BandM)+PR_r2*MAX(0,AZ263-PR_BandM)-BA263-BD263)),BC263)</f>
        <v>0</v>
      </c>
      <c r="BF263" s="20" t="n">
        <f aca="false">IF(OR(C263&gt;=PR_AgeCrAge,AG263&gt;=PR_AgeCrAge),IF(AZ263&lt;=PR_AgeExM,0,MIN(BE263,PR_AgeMarg*(AZ263-PR_AgeExM))),BE263)</f>
        <v>0</v>
      </c>
      <c r="BG263" s="20" t="n">
        <f aca="false">MAX(0,PR_r1*MIN(AS263,IF(F_Spccc=1,PR_BandSPCCC,PR_Band))+PR_r2*MAX(0,AS263-IF(F_Spccc=1,PR_BandSPCCC,PR_Band))-(PR_Personal+AU263+AW263+IF(F_Spccc=1,PR_SPCCC,0)+IF(AY263=1,PR_Rent,0)))</f>
        <v>802.770370358241</v>
      </c>
      <c r="BH263" s="20" t="n">
        <f aca="false">IF(C263&gt;=PR_AgeCrAge,IF(AS263&lt;=PR_AgeEx,0,MIN(BG263,PR_AgeMarg*(AS263-PR_AgeEx))),BG263)</f>
        <v>802.770370358241</v>
      </c>
      <c r="BI263" s="20" t="n">
        <f aca="false">IF(F_Partner=1,MAX(0,PR_r1*MIN(AT263,PR_Band)+PR_r2*MAX(0,AT263-PR_Band)-(PR_Personal+AV263+AX263+IF(AND(AY263=1,AT263&gt;0),PR_Rent,0))),0)</f>
        <v>0</v>
      </c>
      <c r="BJ263" s="20" t="n">
        <f aca="false">IF(AG263&gt;=PR_AgeCrAge,IF(AT263&lt;=PR_AgeEx,0,MIN(BI263,PR_AgeMarg*(AT263-PR_AgeEx))),BI263)</f>
        <v>0</v>
      </c>
      <c r="BK263" s="20" t="n">
        <f aca="false">IF(F_Partner=1,IF(F_Married=1,BF263,BH263+BJ263),BH263)</f>
        <v>802.770370358241</v>
      </c>
      <c r="BL263" s="20" t="n">
        <f aca="false">AL263+AN263+AO263</f>
        <v>9675.2518517912</v>
      </c>
      <c r="BM263" s="20" t="n">
        <f aca="false">IF(BL263&lt;=PR_USCex,0,IF(IF(AND(C263&gt;=PR_USCredAge,BL263&lt;=PR_USCredMax),1,0)=1,PR_USCr1*MIN(BL263,PR_USCredB1)+PR_USCredR2*MAX(0,BL263-PR_USCredB1),PR_USCr1*MIN(BL263,PR_USCb1)+PR_USCr2*MAX(0,MIN(BL263,PR_USCb2)-PR_USCb1)+PR_USCr3*MAX(0,MIN(BL263,PR_USCb3)-PR_USCb2)+PR_USCr4*MAX(0,BL263-PR_USCb3)))+IF(F_SelfEmp=1,PR_USCse*MAX(0,AL263-PR_USCseOver),0)</f>
        <v>0</v>
      </c>
      <c r="BN263" s="20" t="n">
        <f aca="false">AQ263</f>
        <v>0</v>
      </c>
      <c r="BO263" s="20" t="n">
        <f aca="false">IF(F_Partner=1,IF(BN263&lt;=PR_USCex,0,IF(IF(AND(AG263&gt;=PR_USCredAge,BN263&lt;=PR_USCredMax),1,0)=1,PR_USCr1*MIN(BN263,PR_USCredB1)+PR_USCredR2*MAX(0,BN263-PR_USCredB1),PR_USCr1*MIN(BN263,PR_USCb1)+PR_USCr2*MAX(0,MIN(BN263,PR_USCb2)-PR_USCb1)+PR_USCr3*MAX(0,MIN(BN263,PR_USCb3)-PR_USCb2)+PR_USCr4*MAX(0,BN263-PR_USCb3))),0)</f>
        <v>0</v>
      </c>
      <c r="BP263" s="20" t="n">
        <f aca="false">IF(C263&lt;PR_PRSIend,IF(F_SelfEmp=1,IF(AL263&gt;PR_PRSIsMinInc,MAX(PR_PRSIsMin,AL263*J263),0),IF(AL263/52&lt;=PR_PRSIfree,0,MAX(0,(AL263/52*J263-IF(AL263/52&lt;=PR_PRSIcreditTo,MAX(0,PR_PRSIcreditMax-(AL263/52-(PR_PRSIfree+0.01))/PR_PRSItaper),0))*52)))+J263*AN263+IF(AO263&gt;PR_PRSIunearned,J263*AO263,0),0)</f>
        <v>0</v>
      </c>
      <c r="BQ263" s="20" t="n">
        <f aca="false">IF(AND(F_Partner=1,AG263&lt;PR_PRSIend),IF(AQ263/52&lt;=PR_PRSIfree,0,MAX(0,(AQ263/52*J263-IF(AQ263/52&lt;=PR_PRSIcreditTo,MAX(0,PR_PRSIcreditMax-(AQ263/52-(PR_PRSIfree+0.01))/PR_PRSItaper),0))*52)),0)</f>
        <v>0</v>
      </c>
      <c r="BR263" s="20" t="n">
        <f aca="false">BK263+BM263+BO263+BP263+BQ263</f>
        <v>802.770370358241</v>
      </c>
      <c r="BS263" s="20" t="n">
        <f aca="false">BR263*H263</f>
        <v>1425.59549972877</v>
      </c>
      <c r="BT263" s="20" t="n">
        <f aca="false">K263+AK263+AC263+AF263+AH263+AI263</f>
        <v>66931.1101877364</v>
      </c>
    </row>
    <row r="264" customFormat="false" ht="15" hidden="false" customHeight="true" outlineLevel="0" collapsed="false">
      <c r="B264" s="20" t="n">
        <v>30</v>
      </c>
      <c r="C264" s="20" t="n">
        <f aca="false">F_Age+B264</f>
        <v>68</v>
      </c>
      <c r="D264" s="20" t="n">
        <f aca="false">AS_Year0+B264</f>
        <v>2057</v>
      </c>
      <c r="E264" s="44" t="n">
        <f aca="false">(1+AS_Infl)^B264</f>
        <v>1.81136158410335</v>
      </c>
      <c r="F264" s="44" t="n">
        <f aca="false">(1+AS_Wage)^B264</f>
        <v>2.42726247118966</v>
      </c>
      <c r="G264" s="20" t="n">
        <f aca="false">IF(C264&lt;F_R,1,0)</f>
        <v>0</v>
      </c>
      <c r="H264" s="44" t="n">
        <f aca="false">IF(AS_Bands="flat",1,E264)</f>
        <v>1.81136158410335</v>
      </c>
      <c r="I264" s="44" t="n">
        <f aca="false">IF(AS_SpGrow="pay",F264,IF(AS_SpGrow="flat",1,E264))</f>
        <v>1.81136158410335</v>
      </c>
      <c r="J264" s="44" t="n">
        <f aca="false">(12*PR_PRSIr0+(PR_PRSIr1-PR_PRSIr0)*MAX(0,MIN(12,D264*12+12-PR_PRSIt1))+(PR_PRSIr2-PR_PRSIr1)*MAX(0,MIN(12,D264*12+12-PR_PRSIt2))+(PR_PRSIr3-PR_PRSIr2)*MAX(0,MIN(12,D264*12+12-PR_PRSIt3)))/12</f>
        <v>0.047</v>
      </c>
      <c r="K264" s="20" t="n">
        <f aca="false">IF(G264=1,F_Income*F264,0)</f>
        <v>0</v>
      </c>
      <c r="L264" s="20" t="n">
        <f aca="false">IF(G264=1,(F_Own+In_penExtra)*12*F264,0)</f>
        <v>0</v>
      </c>
      <c r="M264" s="20" t="n">
        <f aca="false">IF(G264=1,(F_PenM+In_penExtra)*12*F264,0)</f>
        <v>0</v>
      </c>
      <c r="N264" s="45" t="n">
        <f aca="false">IF(C264&lt;PR_RelA1,PR_RelP1,IF(C264&lt;PR_RelA2,PR_RelP2,IF(C264&lt;PR_RelA3,PR_RelP3,IF(C264&lt;PR_RelA4,PR_RelP4,IF(C264&lt;PR_RelA5,PR_RelP5,PR_RelP6)))))</f>
        <v>0.4</v>
      </c>
      <c r="O264" s="20" t="n">
        <f aca="false">IF(G264=1,MIN(L264/H264,N264*MIN(K264/H264,PR_EarnCap))*H264,0)</f>
        <v>0</v>
      </c>
      <c r="P264" s="20" t="n">
        <f aca="false">IF(AND(G264=1,F_AE=1),MIN(K264/H264,PR_AEcap)*H264,0)</f>
        <v>0</v>
      </c>
      <c r="Q264" s="20" t="n">
        <f aca="false">IF(G264=1,IF(WI_Retire=1,MAX(0,M264+WI_M*12),M264)+(PR_AEee+PR_AEer+PR_AEst)*P264,0)</f>
        <v>0</v>
      </c>
      <c r="R264" s="20" t="n">
        <f aca="false">L264+PR_AEee*P264</f>
        <v>0</v>
      </c>
      <c r="S264" s="20" t="n">
        <f aca="false">AD263</f>
        <v>425351.270018035</v>
      </c>
      <c r="T264" s="20" t="n">
        <f aca="false">IF(D264&lt;=PR_SFTfrom,PR_SFT2026,IF(D264=PR_SFTfrom+1,PR_SFT2027,IF(D264=PR_SFTfrom+2,PR_SFT2028,IF(D264&lt;=PR_SFTto,PR_SFT2029,PR_SFT2029*(1+AS_Infl)^(D264-PR_SFTto)))))</f>
        <v>4874867.777287</v>
      </c>
      <c r="U264" s="20" t="n">
        <f aca="false">IF(AND(G264=0,C264=F_V),1,0)</f>
        <v>0</v>
      </c>
      <c r="V264" s="20" t="n">
        <f aca="false">IF(U264=1,PR_SFTrate*MAX(0,S264-T264),0)</f>
        <v>0</v>
      </c>
      <c r="W264" s="20" t="n">
        <f aca="false">S264-V264</f>
        <v>425351.270018035</v>
      </c>
      <c r="X264" s="20" t="n">
        <f aca="false">IF(AND(U264=1,AS_LumpPct&gt;0),W264*MIN(AS_LumpPct,PR_LSmax),0)</f>
        <v>0</v>
      </c>
      <c r="Y264" s="20" t="n">
        <f aca="false">X264-(PR_LSrate*MAX(0,MIN(X264,PR_LScap)-PR_LSfree)+PR_r2*MAX(0,X264-PR_LScap))</f>
        <v>0</v>
      </c>
      <c r="Z264" s="20" t="n">
        <f aca="false">W264-X264</f>
        <v>425351.270018035</v>
      </c>
      <c r="AA264" s="45" t="n">
        <f aca="false">IF(C264&gt;=PR_ARFage1,IF(Z264&gt;PR_ARFbig,PR_ARFbigRate,IF(C264&gt;=PR_ARFage2,PR_ARF71,PR_ARF61)),0)</f>
        <v>0.04</v>
      </c>
      <c r="AB264" s="20" t="n">
        <f aca="false">IF(AS_DrawRule="min",Z264*AA264,IF(AS_DrawRule="fixed",MAX(AS_DrawFixed*E264,Z264*AA264),Z264*MAX(1/MAX(1,AS_End-C264+1),AA264)))</f>
        <v>17014.0508007214</v>
      </c>
      <c r="AC264" s="20" t="n">
        <f aca="false">IF(AND(G264=0,C264&gt;=F_V),MIN(Z264,AB264),0)</f>
        <v>17014.0508007214</v>
      </c>
      <c r="AD264" s="20" t="n">
        <f aca="false">IF(G264=1,S264*(1+F_PenG)+Q264,IF(C264&lt;F_V,S264*(1+F_PenG),(Z264-AC264)*(1+AS_PenRet)))</f>
        <v>421199.841622659</v>
      </c>
      <c r="AE264" s="20" t="n">
        <f aca="false">IF(C264&gt;=PR_SPage,AS_SP*F_SpF*I264+IF(AND(C264&gt;=PR_Over80Age,F_SpF&gt;0),PR_Over80*PR_Weeks*I264,0),0)</f>
        <v>28191.307150351</v>
      </c>
      <c r="AF264" s="20" t="n">
        <f aca="false">(F_OtherM+F_RentM)*12*E264</f>
        <v>0</v>
      </c>
      <c r="AG264" s="20" t="n">
        <f aca="false">F_PAge+B264</f>
        <v>67</v>
      </c>
      <c r="AH264" s="20" t="n">
        <f aca="false">IF(AND(F_Partner=1,F_PAge&gt;0,AG264&lt;IF(F_PRet&gt;0,F_PRet,PR_SPage)),F_PIncome*F264,0)</f>
        <v>0</v>
      </c>
      <c r="AI264" s="20" t="n">
        <f aca="false">IF(AND(F_Partner=1,AG264&gt;=PR_SPage,F_PSpQA=0),AS_SP*F_PSpF*I264,0)</f>
        <v>22553.0457202808</v>
      </c>
      <c r="AJ264" s="20" t="n">
        <f aca="false">IF(AND(F_Partner=1,F_PSpQA=1,C264&gt;=PR_SPage,AH264=0),IF(AG264&gt;=PR_SPage,PR_QA66,PR_QAunder)*PR_Weeks*I264,0)</f>
        <v>0</v>
      </c>
      <c r="AK264" s="20" t="n">
        <f aca="false">AE264+AJ264</f>
        <v>28191.307150351</v>
      </c>
      <c r="AL264" s="20" t="n">
        <f aca="false">K264/H264</f>
        <v>0</v>
      </c>
      <c r="AM264" s="20" t="n">
        <f aca="false">AK264/H264</f>
        <v>15563.6</v>
      </c>
      <c r="AN264" s="20" t="n">
        <f aca="false">AC264/H264</f>
        <v>9392.96215070365</v>
      </c>
      <c r="AO264" s="20" t="n">
        <f aca="false">AF264/H264</f>
        <v>0</v>
      </c>
      <c r="AP264" s="20" t="n">
        <f aca="false">O264/H264</f>
        <v>0</v>
      </c>
      <c r="AQ264" s="20" t="n">
        <f aca="false">AH264/H264</f>
        <v>0</v>
      </c>
      <c r="AR264" s="20" t="n">
        <f aca="false">AI264/H264</f>
        <v>12450.88</v>
      </c>
      <c r="AS264" s="20" t="n">
        <f aca="false">MAX(0,AL264+AN264+AO264+AM264-AP264)</f>
        <v>24956.5621507036</v>
      </c>
      <c r="AT264" s="20" t="n">
        <f aca="false">MAX(0,AQ264+AR264)</f>
        <v>12450.88</v>
      </c>
      <c r="AU264" s="20" t="n">
        <f aca="false">MIN(PR_PAYE,PR_PAYEcap*(AL264+AN264+AM264))</f>
        <v>2000</v>
      </c>
      <c r="AV264" s="20" t="n">
        <f aca="false">MIN(PR_PAYE,PR_PAYEcap*(AQ264+AR264))</f>
        <v>2000</v>
      </c>
      <c r="AW264" s="20" t="n">
        <f aca="false">IF(C264&gt;=PR_AgeCrAge,PR_AgeCr,0)</f>
        <v>245</v>
      </c>
      <c r="AX264" s="20" t="n">
        <f aca="false">IF(AG264&gt;=PR_AgeCrAge,PR_AgeCr,0)</f>
        <v>245</v>
      </c>
      <c r="AY264" s="20" t="n">
        <f aca="false">IF(AND(F_RentCred=1,D264&lt;=PR_RentLast),1,0)</f>
        <v>0</v>
      </c>
      <c r="AZ264" s="20" t="n">
        <f aca="false">AS264+AT264</f>
        <v>37407.4421507036</v>
      </c>
      <c r="BA264" s="20" t="n">
        <f aca="false">PR_PersonalM+AU264+AV264+AW264+AX264+IF(AY264=1,PR_RentJoint,0)</f>
        <v>8490</v>
      </c>
      <c r="BB264" s="20" t="n">
        <f aca="false">PR_BandM+MIN(MIN(AS264,AT264),PR_Uplift)</f>
        <v>65450.88</v>
      </c>
      <c r="BC264" s="20" t="n">
        <f aca="false">MAX(0,PR_r1*MIN(AZ264,BB264)+PR_r2*MAX(0,AZ264-BB264)-BA264)</f>
        <v>0</v>
      </c>
      <c r="BD264" s="20" t="n">
        <f aca="false">MAX(0,PR_HomeCarer-MAX(0,MIN(AS264,AT264)-PR_HCLimit)/2)</f>
        <v>0</v>
      </c>
      <c r="BE264" s="20" t="n">
        <f aca="false">IF(F_Carer=1,MIN(BC264,MAX(0,PR_r1*MIN(AZ264,PR_BandM)+PR_r2*MAX(0,AZ264-PR_BandM)-BA264-BD264)),BC264)</f>
        <v>0</v>
      </c>
      <c r="BF264" s="20" t="n">
        <f aca="false">IF(OR(C264&gt;=PR_AgeCrAge,AG264&gt;=PR_AgeCrAge),IF(AZ264&lt;=PR_AgeExM,0,MIN(BE264,PR_AgeMarg*(AZ264-PR_AgeExM))),BE264)</f>
        <v>0</v>
      </c>
      <c r="BG264" s="20" t="n">
        <f aca="false">MAX(0,PR_r1*MIN(AS264,IF(F_Spccc=1,PR_BandSPCCC,PR_Band))+PR_r2*MAX(0,AS264-IF(F_Spccc=1,PR_BandSPCCC,PR_Band))-(PR_Personal+AU264+AW264+IF(F_Spccc=1,PR_SPCCC,0)+IF(AY264=1,PR_Rent,0)))</f>
        <v>746.31243014073</v>
      </c>
      <c r="BH264" s="20" t="n">
        <f aca="false">IF(C264&gt;=PR_AgeCrAge,IF(AS264&lt;=PR_AgeEx,0,MIN(BG264,PR_AgeMarg*(AS264-PR_AgeEx))),BG264)</f>
        <v>746.31243014073</v>
      </c>
      <c r="BI264" s="20" t="n">
        <f aca="false">IF(F_Partner=1,MAX(0,PR_r1*MIN(AT264,PR_Band)+PR_r2*MAX(0,AT264-PR_Band)-(PR_Personal+AV264+AX264+IF(AND(AY264=1,AT264&gt;0),PR_Rent,0))),0)</f>
        <v>0</v>
      </c>
      <c r="BJ264" s="20" t="n">
        <f aca="false">IF(AG264&gt;=PR_AgeCrAge,IF(AT264&lt;=PR_AgeEx,0,MIN(BI264,PR_AgeMarg*(AT264-PR_AgeEx))),BI264)</f>
        <v>0</v>
      </c>
      <c r="BK264" s="20" t="n">
        <f aca="false">IF(F_Partner=1,IF(F_Married=1,BF264,BH264+BJ264),BH264)</f>
        <v>746.31243014073</v>
      </c>
      <c r="BL264" s="20" t="n">
        <f aca="false">AL264+AN264+AO264</f>
        <v>9392.96215070365</v>
      </c>
      <c r="BM264" s="20" t="n">
        <f aca="false">IF(BL264&lt;=PR_USCex,0,IF(IF(AND(C264&gt;=PR_USCredAge,BL264&lt;=PR_USCredMax),1,0)=1,PR_USCr1*MIN(BL264,PR_USCredB1)+PR_USCredR2*MAX(0,BL264-PR_USCredB1),PR_USCr1*MIN(BL264,PR_USCb1)+PR_USCr2*MAX(0,MIN(BL264,PR_USCb2)-PR_USCb1)+PR_USCr3*MAX(0,MIN(BL264,PR_USCb3)-PR_USCb2)+PR_USCr4*MAX(0,BL264-PR_USCb3)))+IF(F_SelfEmp=1,PR_USCse*MAX(0,AL264-PR_USCseOver),0)</f>
        <v>0</v>
      </c>
      <c r="BN264" s="20" t="n">
        <f aca="false">AQ264</f>
        <v>0</v>
      </c>
      <c r="BO264" s="20" t="n">
        <f aca="false">IF(F_Partner=1,IF(BN264&lt;=PR_USCex,0,IF(IF(AND(AG264&gt;=PR_USCredAge,BN264&lt;=PR_USCredMax),1,0)=1,PR_USCr1*MIN(BN264,PR_USCredB1)+PR_USCredR2*MAX(0,BN264-PR_USCredB1),PR_USCr1*MIN(BN264,PR_USCb1)+PR_USCr2*MAX(0,MIN(BN264,PR_USCb2)-PR_USCb1)+PR_USCr3*MAX(0,MIN(BN264,PR_USCb3)-PR_USCb2)+PR_USCr4*MAX(0,BN264-PR_USCb3))),0)</f>
        <v>0</v>
      </c>
      <c r="BP264" s="20" t="n">
        <f aca="false">IF(C264&lt;PR_PRSIend,IF(F_SelfEmp=1,IF(AL264&gt;PR_PRSIsMinInc,MAX(PR_PRSIsMin,AL264*J264),0),IF(AL264/52&lt;=PR_PRSIfree,0,MAX(0,(AL264/52*J264-IF(AL264/52&lt;=PR_PRSIcreditTo,MAX(0,PR_PRSIcreditMax-(AL264/52-(PR_PRSIfree+0.01))/PR_PRSItaper),0))*52)))+J264*AN264+IF(AO264&gt;PR_PRSIunearned,J264*AO264,0),0)</f>
        <v>0</v>
      </c>
      <c r="BQ264" s="20" t="n">
        <f aca="false">IF(AND(F_Partner=1,AG264&lt;PR_PRSIend),IF(AQ264/52&lt;=PR_PRSIfree,0,MAX(0,(AQ264/52*J264-IF(AQ264/52&lt;=PR_PRSIcreditTo,MAX(0,PR_PRSIcreditMax-(AQ264/52-(PR_PRSIfree+0.01))/PR_PRSItaper),0))*52)),0)</f>
        <v>0</v>
      </c>
      <c r="BR264" s="20" t="n">
        <f aca="false">BK264+BM264+BO264+BP264+BQ264</f>
        <v>746.31243014073</v>
      </c>
      <c r="BS264" s="20" t="n">
        <f aca="false">BR264*H264</f>
        <v>1351.84166569574</v>
      </c>
      <c r="BT264" s="20" t="n">
        <f aca="false">K264+AK264+AC264+AF264+AH264+AI264</f>
        <v>67758.4036713532</v>
      </c>
    </row>
    <row r="265" customFormat="false" ht="15" hidden="false" customHeight="true" outlineLevel="0" collapsed="false">
      <c r="B265" s="20" t="n">
        <v>31</v>
      </c>
      <c r="C265" s="20" t="n">
        <f aca="false">F_Age+B265</f>
        <v>69</v>
      </c>
      <c r="D265" s="20" t="n">
        <f aca="false">AS_Year0+B265</f>
        <v>2058</v>
      </c>
      <c r="E265" s="44" t="n">
        <f aca="false">(1+AS_Infl)^B265</f>
        <v>1.84758881578542</v>
      </c>
      <c r="F265" s="44" t="n">
        <f aca="false">(1+AS_Wage)^B265</f>
        <v>2.50008034532535</v>
      </c>
      <c r="G265" s="20" t="n">
        <f aca="false">IF(C265&lt;F_R,1,0)</f>
        <v>0</v>
      </c>
      <c r="H265" s="44" t="n">
        <f aca="false">IF(AS_Bands="flat",1,E265)</f>
        <v>1.84758881578542</v>
      </c>
      <c r="I265" s="44" t="n">
        <f aca="false">IF(AS_SpGrow="pay",F265,IF(AS_SpGrow="flat",1,E265))</f>
        <v>1.84758881578542</v>
      </c>
      <c r="J265" s="44" t="n">
        <f aca="false">(12*PR_PRSIr0+(PR_PRSIr1-PR_PRSIr0)*MAX(0,MIN(12,D265*12+12-PR_PRSIt1))+(PR_PRSIr2-PR_PRSIr1)*MAX(0,MIN(12,D265*12+12-PR_PRSIt2))+(PR_PRSIr3-PR_PRSIr2)*MAX(0,MIN(12,D265*12+12-PR_PRSIt3)))/12</f>
        <v>0.047</v>
      </c>
      <c r="K265" s="20" t="n">
        <f aca="false">IF(G265=1,F_Income*F265,0)</f>
        <v>0</v>
      </c>
      <c r="L265" s="20" t="n">
        <f aca="false">IF(G265=1,(F_Own+In_penExtra)*12*F265,0)</f>
        <v>0</v>
      </c>
      <c r="M265" s="20" t="n">
        <f aca="false">IF(G265=1,(F_PenM+In_penExtra)*12*F265,0)</f>
        <v>0</v>
      </c>
      <c r="N265" s="45" t="n">
        <f aca="false">IF(C265&lt;PR_RelA1,PR_RelP1,IF(C265&lt;PR_RelA2,PR_RelP2,IF(C265&lt;PR_RelA3,PR_RelP3,IF(C265&lt;PR_RelA4,PR_RelP4,IF(C265&lt;PR_RelA5,PR_RelP5,PR_RelP6)))))</f>
        <v>0.4</v>
      </c>
      <c r="O265" s="20" t="n">
        <f aca="false">IF(G265=1,MIN(L265/H265,N265*MIN(K265/H265,PR_EarnCap))*H265,0)</f>
        <v>0</v>
      </c>
      <c r="P265" s="20" t="n">
        <f aca="false">IF(AND(G265=1,F_AE=1),MIN(K265/H265,PR_AEcap)*H265,0)</f>
        <v>0</v>
      </c>
      <c r="Q265" s="20" t="n">
        <f aca="false">IF(G265=1,IF(WI_Retire=1,MAX(0,M265+WI_M*12),M265)+(PR_AEee+PR_AEer+PR_AEst)*P265,0)</f>
        <v>0</v>
      </c>
      <c r="R265" s="20" t="n">
        <f aca="false">L265+PR_AEee*P265</f>
        <v>0</v>
      </c>
      <c r="S265" s="20" t="n">
        <f aca="false">AD264</f>
        <v>421199.841622659</v>
      </c>
      <c r="T265" s="20" t="n">
        <f aca="false">IF(D265&lt;=PR_SFTfrom,PR_SFT2026,IF(D265=PR_SFTfrom+1,PR_SFT2027,IF(D265=PR_SFTfrom+2,PR_SFT2028,IF(D265&lt;=PR_SFTto,PR_SFT2029,PR_SFT2029*(1+AS_Infl)^(D265-PR_SFTto)))))</f>
        <v>4972365.13283274</v>
      </c>
      <c r="U265" s="20" t="n">
        <f aca="false">IF(AND(G265=0,C265=F_V),1,0)</f>
        <v>0</v>
      </c>
      <c r="V265" s="20" t="n">
        <f aca="false">IF(U265=1,PR_SFTrate*MAX(0,S265-T265),0)</f>
        <v>0</v>
      </c>
      <c r="W265" s="20" t="n">
        <f aca="false">S265-V265</f>
        <v>421199.841622659</v>
      </c>
      <c r="X265" s="20" t="n">
        <f aca="false">IF(AND(U265=1,AS_LumpPct&gt;0),W265*MIN(AS_LumpPct,PR_LSmax),0)</f>
        <v>0</v>
      </c>
      <c r="Y265" s="20" t="n">
        <f aca="false">X265-(PR_LSrate*MAX(0,MIN(X265,PR_LScap)-PR_LSfree)+PR_r2*MAX(0,X265-PR_LScap))</f>
        <v>0</v>
      </c>
      <c r="Z265" s="20" t="n">
        <f aca="false">W265-X265</f>
        <v>421199.841622659</v>
      </c>
      <c r="AA265" s="45" t="n">
        <f aca="false">IF(C265&gt;=PR_ARFage1,IF(Z265&gt;PR_ARFbig,PR_ARFbigRate,IF(C265&gt;=PR_ARFage2,PR_ARF71,PR_ARF61)),0)</f>
        <v>0.04</v>
      </c>
      <c r="AB265" s="20" t="n">
        <f aca="false">IF(AS_DrawRule="min",Z265*AA265,IF(AS_DrawRule="fixed",MAX(AS_DrawFixed*E265,Z265*AA265),Z265*MAX(1/MAX(1,AS_End-C265+1),AA265)))</f>
        <v>16847.9936649064</v>
      </c>
      <c r="AC265" s="20" t="n">
        <f aca="false">IF(AND(G265=0,C265&gt;=F_V),MIN(Z265,AB265),0)</f>
        <v>16847.9936649064</v>
      </c>
      <c r="AD265" s="20" t="n">
        <f aca="false">IF(G265=1,S265*(1+F_PenG)+Q265,IF(C265&lt;F_V,S265*(1+F_PenG),(Z265-AC265)*(1+AS_PenRet)))</f>
        <v>417088.931168422</v>
      </c>
      <c r="AE265" s="20" t="n">
        <f aca="false">IF(C265&gt;=PR_SPage,AS_SP*F_SpF*I265+IF(AND(C265&gt;=PR_Over80Age,F_SpF&gt;0),PR_Over80*PR_Weeks*I265,0),0)</f>
        <v>28755.133293358</v>
      </c>
      <c r="AF265" s="20" t="n">
        <f aca="false">(F_OtherM+F_RentM)*12*E265</f>
        <v>0</v>
      </c>
      <c r="AG265" s="20" t="n">
        <f aca="false">F_PAge+B265</f>
        <v>68</v>
      </c>
      <c r="AH265" s="20" t="n">
        <f aca="false">IF(AND(F_Partner=1,F_PAge&gt;0,AG265&lt;IF(F_PRet&gt;0,F_PRet,PR_SPage)),F_PIncome*F265,0)</f>
        <v>0</v>
      </c>
      <c r="AI265" s="20" t="n">
        <f aca="false">IF(AND(F_Partner=1,AG265&gt;=PR_SPage,F_PSpQA=0),AS_SP*F_PSpF*I265,0)</f>
        <v>23004.1066346864</v>
      </c>
      <c r="AJ265" s="20" t="n">
        <f aca="false">IF(AND(F_Partner=1,F_PSpQA=1,C265&gt;=PR_SPage,AH265=0),IF(AG265&gt;=PR_SPage,PR_QA66,PR_QAunder)*PR_Weeks*I265,0)</f>
        <v>0</v>
      </c>
      <c r="AK265" s="20" t="n">
        <f aca="false">AE265+AJ265</f>
        <v>28755.133293358</v>
      </c>
      <c r="AL265" s="20" t="n">
        <f aca="false">K265/H265</f>
        <v>0</v>
      </c>
      <c r="AM265" s="20" t="n">
        <f aca="false">AK265/H265</f>
        <v>15563.6</v>
      </c>
      <c r="AN265" s="20" t="n">
        <f aca="false">AC265/H265</f>
        <v>9118.90866677724</v>
      </c>
      <c r="AO265" s="20" t="n">
        <f aca="false">AF265/H265</f>
        <v>0</v>
      </c>
      <c r="AP265" s="20" t="n">
        <f aca="false">O265/H265</f>
        <v>0</v>
      </c>
      <c r="AQ265" s="20" t="n">
        <f aca="false">AH265/H265</f>
        <v>0</v>
      </c>
      <c r="AR265" s="20" t="n">
        <f aca="false">AI265/H265</f>
        <v>12450.88</v>
      </c>
      <c r="AS265" s="20" t="n">
        <f aca="false">MAX(0,AL265+AN265+AO265+AM265-AP265)</f>
        <v>24682.5086667772</v>
      </c>
      <c r="AT265" s="20" t="n">
        <f aca="false">MAX(0,AQ265+AR265)</f>
        <v>12450.88</v>
      </c>
      <c r="AU265" s="20" t="n">
        <f aca="false">MIN(PR_PAYE,PR_PAYEcap*(AL265+AN265+AM265))</f>
        <v>2000</v>
      </c>
      <c r="AV265" s="20" t="n">
        <f aca="false">MIN(PR_PAYE,PR_PAYEcap*(AQ265+AR265))</f>
        <v>2000</v>
      </c>
      <c r="AW265" s="20" t="n">
        <f aca="false">IF(C265&gt;=PR_AgeCrAge,PR_AgeCr,0)</f>
        <v>245</v>
      </c>
      <c r="AX265" s="20" t="n">
        <f aca="false">IF(AG265&gt;=PR_AgeCrAge,PR_AgeCr,0)</f>
        <v>245</v>
      </c>
      <c r="AY265" s="20" t="n">
        <f aca="false">IF(AND(F_RentCred=1,D265&lt;=PR_RentLast),1,0)</f>
        <v>0</v>
      </c>
      <c r="AZ265" s="20" t="n">
        <f aca="false">AS265+AT265</f>
        <v>37133.3886667772</v>
      </c>
      <c r="BA265" s="20" t="n">
        <f aca="false">PR_PersonalM+AU265+AV265+AW265+AX265+IF(AY265=1,PR_RentJoint,0)</f>
        <v>8490</v>
      </c>
      <c r="BB265" s="20" t="n">
        <f aca="false">PR_BandM+MIN(MIN(AS265,AT265),PR_Uplift)</f>
        <v>65450.88</v>
      </c>
      <c r="BC265" s="20" t="n">
        <f aca="false">MAX(0,PR_r1*MIN(AZ265,BB265)+PR_r2*MAX(0,AZ265-BB265)-BA265)</f>
        <v>0</v>
      </c>
      <c r="BD265" s="20" t="n">
        <f aca="false">MAX(0,PR_HomeCarer-MAX(0,MIN(AS265,AT265)-PR_HCLimit)/2)</f>
        <v>0</v>
      </c>
      <c r="BE265" s="20" t="n">
        <f aca="false">IF(F_Carer=1,MIN(BC265,MAX(0,PR_r1*MIN(AZ265,PR_BandM)+PR_r2*MAX(0,AZ265-PR_BandM)-BA265-BD265)),BC265)</f>
        <v>0</v>
      </c>
      <c r="BF265" s="20" t="n">
        <f aca="false">IF(OR(C265&gt;=PR_AgeCrAge,AG265&gt;=PR_AgeCrAge),IF(AZ265&lt;=PR_AgeExM,0,MIN(BE265,PR_AgeMarg*(AZ265-PR_AgeExM))),BE265)</f>
        <v>0</v>
      </c>
      <c r="BG265" s="20" t="n">
        <f aca="false">MAX(0,PR_r1*MIN(AS265,IF(F_Spccc=1,PR_BandSPCCC,PR_Band))+PR_r2*MAX(0,AS265-IF(F_Spccc=1,PR_BandSPCCC,PR_Band))-(PR_Personal+AU265+AW265+IF(F_Spccc=1,PR_SPCCC,0)+IF(AY265=1,PR_Rent,0)))</f>
        <v>691.501733355447</v>
      </c>
      <c r="BH265" s="20" t="n">
        <f aca="false">IF(C265&gt;=PR_AgeCrAge,IF(AS265&lt;=PR_AgeEx,0,MIN(BG265,PR_AgeMarg*(AS265-PR_AgeEx))),BG265)</f>
        <v>691.501733355447</v>
      </c>
      <c r="BI265" s="20" t="n">
        <f aca="false">IF(F_Partner=1,MAX(0,PR_r1*MIN(AT265,PR_Band)+PR_r2*MAX(0,AT265-PR_Band)-(PR_Personal+AV265+AX265+IF(AND(AY265=1,AT265&gt;0),PR_Rent,0))),0)</f>
        <v>0</v>
      </c>
      <c r="BJ265" s="20" t="n">
        <f aca="false">IF(AG265&gt;=PR_AgeCrAge,IF(AT265&lt;=PR_AgeEx,0,MIN(BI265,PR_AgeMarg*(AT265-PR_AgeEx))),BI265)</f>
        <v>0</v>
      </c>
      <c r="BK265" s="20" t="n">
        <f aca="false">IF(F_Partner=1,IF(F_Married=1,BF265,BH265+BJ265),BH265)</f>
        <v>691.501733355447</v>
      </c>
      <c r="BL265" s="20" t="n">
        <f aca="false">AL265+AN265+AO265</f>
        <v>9118.90866677724</v>
      </c>
      <c r="BM265" s="20" t="n">
        <f aca="false">IF(BL265&lt;=PR_USCex,0,IF(IF(AND(C265&gt;=PR_USCredAge,BL265&lt;=PR_USCredMax),1,0)=1,PR_USCr1*MIN(BL265,PR_USCredB1)+PR_USCredR2*MAX(0,BL265-PR_USCredB1),PR_USCr1*MIN(BL265,PR_USCb1)+PR_USCr2*MAX(0,MIN(BL265,PR_USCb2)-PR_USCb1)+PR_USCr3*MAX(0,MIN(BL265,PR_USCb3)-PR_USCb2)+PR_USCr4*MAX(0,BL265-PR_USCb3)))+IF(F_SelfEmp=1,PR_USCse*MAX(0,AL265-PR_USCseOver),0)</f>
        <v>0</v>
      </c>
      <c r="BN265" s="20" t="n">
        <f aca="false">AQ265</f>
        <v>0</v>
      </c>
      <c r="BO265" s="20" t="n">
        <f aca="false">IF(F_Partner=1,IF(BN265&lt;=PR_USCex,0,IF(IF(AND(AG265&gt;=PR_USCredAge,BN265&lt;=PR_USCredMax),1,0)=1,PR_USCr1*MIN(BN265,PR_USCredB1)+PR_USCredR2*MAX(0,BN265-PR_USCredB1),PR_USCr1*MIN(BN265,PR_USCb1)+PR_USCr2*MAX(0,MIN(BN265,PR_USCb2)-PR_USCb1)+PR_USCr3*MAX(0,MIN(BN265,PR_USCb3)-PR_USCb2)+PR_USCr4*MAX(0,BN265-PR_USCb3))),0)</f>
        <v>0</v>
      </c>
      <c r="BP265" s="20" t="n">
        <f aca="false">IF(C265&lt;PR_PRSIend,IF(F_SelfEmp=1,IF(AL265&gt;PR_PRSIsMinInc,MAX(PR_PRSIsMin,AL265*J265),0),IF(AL265/52&lt;=PR_PRSIfree,0,MAX(0,(AL265/52*J265-IF(AL265/52&lt;=PR_PRSIcreditTo,MAX(0,PR_PRSIcreditMax-(AL265/52-(PR_PRSIfree+0.01))/PR_PRSItaper),0))*52)))+J265*AN265+IF(AO265&gt;PR_PRSIunearned,J265*AO265,0),0)</f>
        <v>0</v>
      </c>
      <c r="BQ265" s="20" t="n">
        <f aca="false">IF(AND(F_Partner=1,AG265&lt;PR_PRSIend),IF(AQ265/52&lt;=PR_PRSIfree,0,MAX(0,(AQ265/52*J265-IF(AQ265/52&lt;=PR_PRSIcreditTo,MAX(0,PR_PRSIcreditMax-(AQ265/52-(PR_PRSIfree+0.01))/PR_PRSItaper),0))*52)),0)</f>
        <v>0</v>
      </c>
      <c r="BR265" s="20" t="n">
        <f aca="false">BK265+BM265+BO265+BP265+BQ265</f>
        <v>691.501733355447</v>
      </c>
      <c r="BS265" s="20" t="n">
        <f aca="false">BR265*H265</f>
        <v>1277.61086864376</v>
      </c>
      <c r="BT265" s="20" t="n">
        <f aca="false">K265+AK265+AC265+AF265+AH265+AI265</f>
        <v>68607.2335929508</v>
      </c>
    </row>
    <row r="266" customFormat="false" ht="15" hidden="false" customHeight="true" outlineLevel="0" collapsed="false">
      <c r="B266" s="20" t="n">
        <v>32</v>
      </c>
      <c r="C266" s="20" t="n">
        <f aca="false">F_Age+B266</f>
        <v>70</v>
      </c>
      <c r="D266" s="20" t="n">
        <f aca="false">AS_Year0+B266</f>
        <v>2059</v>
      </c>
      <c r="E266" s="44" t="n">
        <f aca="false">(1+AS_Infl)^B266</f>
        <v>1.88454059210113</v>
      </c>
      <c r="F266" s="44" t="n">
        <f aca="false">(1+AS_Wage)^B266</f>
        <v>2.57508275568511</v>
      </c>
      <c r="G266" s="20" t="n">
        <f aca="false">IF(C266&lt;F_R,1,0)</f>
        <v>0</v>
      </c>
      <c r="H266" s="44" t="n">
        <f aca="false">IF(AS_Bands="flat",1,E266)</f>
        <v>1.88454059210113</v>
      </c>
      <c r="I266" s="44" t="n">
        <f aca="false">IF(AS_SpGrow="pay",F266,IF(AS_SpGrow="flat",1,E266))</f>
        <v>1.88454059210113</v>
      </c>
      <c r="J266" s="44" t="n">
        <f aca="false">(12*PR_PRSIr0+(PR_PRSIr1-PR_PRSIr0)*MAX(0,MIN(12,D266*12+12-PR_PRSIt1))+(PR_PRSIr2-PR_PRSIr1)*MAX(0,MIN(12,D266*12+12-PR_PRSIt2))+(PR_PRSIr3-PR_PRSIr2)*MAX(0,MIN(12,D266*12+12-PR_PRSIt3)))/12</f>
        <v>0.047</v>
      </c>
      <c r="K266" s="20" t="n">
        <f aca="false">IF(G266=1,F_Income*F266,0)</f>
        <v>0</v>
      </c>
      <c r="L266" s="20" t="n">
        <f aca="false">IF(G266=1,(F_Own+In_penExtra)*12*F266,0)</f>
        <v>0</v>
      </c>
      <c r="M266" s="20" t="n">
        <f aca="false">IF(G266=1,(F_PenM+In_penExtra)*12*F266,0)</f>
        <v>0</v>
      </c>
      <c r="N266" s="45" t="n">
        <f aca="false">IF(C266&lt;PR_RelA1,PR_RelP1,IF(C266&lt;PR_RelA2,PR_RelP2,IF(C266&lt;PR_RelA3,PR_RelP3,IF(C266&lt;PR_RelA4,PR_RelP4,IF(C266&lt;PR_RelA5,PR_RelP5,PR_RelP6)))))</f>
        <v>0.4</v>
      </c>
      <c r="O266" s="20" t="n">
        <f aca="false">IF(G266=1,MIN(L266/H266,N266*MIN(K266/H266,PR_EarnCap))*H266,0)</f>
        <v>0</v>
      </c>
      <c r="P266" s="20" t="n">
        <f aca="false">IF(AND(G266=1,F_AE=1),MIN(K266/H266,PR_AEcap)*H266,0)</f>
        <v>0</v>
      </c>
      <c r="Q266" s="20" t="n">
        <f aca="false">IF(G266=1,IF(WI_Retire=1,MAX(0,M266+WI_M*12),M266)+(PR_AEee+PR_AEer+PR_AEst)*P266,0)</f>
        <v>0</v>
      </c>
      <c r="R266" s="20" t="n">
        <f aca="false">L266+PR_AEee*P266</f>
        <v>0</v>
      </c>
      <c r="S266" s="20" t="n">
        <f aca="false">AD265</f>
        <v>417088.931168422</v>
      </c>
      <c r="T266" s="20" t="n">
        <f aca="false">IF(D266&lt;=PR_SFTfrom,PR_SFT2026,IF(D266=PR_SFTfrom+1,PR_SFT2027,IF(D266=PR_SFTfrom+2,PR_SFT2028,IF(D266&lt;=PR_SFTto,PR_SFT2029,PR_SFT2029*(1+AS_Infl)^(D266-PR_SFTto)))))</f>
        <v>5071812.43548939</v>
      </c>
      <c r="U266" s="20" t="n">
        <f aca="false">IF(AND(G266=0,C266=F_V),1,0)</f>
        <v>0</v>
      </c>
      <c r="V266" s="20" t="n">
        <f aca="false">IF(U266=1,PR_SFTrate*MAX(0,S266-T266),0)</f>
        <v>0</v>
      </c>
      <c r="W266" s="20" t="n">
        <f aca="false">S266-V266</f>
        <v>417088.931168422</v>
      </c>
      <c r="X266" s="20" t="n">
        <f aca="false">IF(AND(U266=1,AS_LumpPct&gt;0),W266*MIN(AS_LumpPct,PR_LSmax),0)</f>
        <v>0</v>
      </c>
      <c r="Y266" s="20" t="n">
        <f aca="false">X266-(PR_LSrate*MAX(0,MIN(X266,PR_LScap)-PR_LSfree)+PR_r2*MAX(0,X266-PR_LScap))</f>
        <v>0</v>
      </c>
      <c r="Z266" s="20" t="n">
        <f aca="false">W266-X266</f>
        <v>417088.931168422</v>
      </c>
      <c r="AA266" s="45" t="n">
        <f aca="false">IF(C266&gt;=PR_ARFage1,IF(Z266&gt;PR_ARFbig,PR_ARFbigRate,IF(C266&gt;=PR_ARFage2,PR_ARF71,PR_ARF61)),0)</f>
        <v>0.04</v>
      </c>
      <c r="AB266" s="20" t="n">
        <f aca="false">IF(AS_DrawRule="min",Z266*AA266,IF(AS_DrawRule="fixed",MAX(AS_DrawFixed*E266,Z266*AA266),Z266*MAX(1/MAX(1,AS_End-C266+1),AA266)))</f>
        <v>16683.5572467369</v>
      </c>
      <c r="AC266" s="20" t="n">
        <f aca="false">IF(AND(G266=0,C266&gt;=F_V),MIN(Z266,AB266),0)</f>
        <v>16683.5572467369</v>
      </c>
      <c r="AD266" s="20" t="n">
        <f aca="false">IF(G266=1,S266*(1+F_PenG)+Q266,IF(C266&lt;F_V,S266*(1+F_PenG),(Z266-AC266)*(1+AS_PenRet)))</f>
        <v>413018.143200218</v>
      </c>
      <c r="AE266" s="20" t="n">
        <f aca="false">IF(C266&gt;=PR_SPage,AS_SP*F_SpF*I266+IF(AND(C266&gt;=PR_Over80Age,F_SpF&gt;0),PR_Over80*PR_Weeks*I266,0),0)</f>
        <v>29330.2359592252</v>
      </c>
      <c r="AF266" s="20" t="n">
        <f aca="false">(F_OtherM+F_RentM)*12*E266</f>
        <v>0</v>
      </c>
      <c r="AG266" s="20" t="n">
        <f aca="false">F_PAge+B266</f>
        <v>69</v>
      </c>
      <c r="AH266" s="20" t="n">
        <f aca="false">IF(AND(F_Partner=1,F_PAge&gt;0,AG266&lt;IF(F_PRet&gt;0,F_PRet,PR_SPage)),F_PIncome*F266,0)</f>
        <v>0</v>
      </c>
      <c r="AI266" s="20" t="n">
        <f aca="false">IF(AND(F_Partner=1,AG266&gt;=PR_SPage,F_PSpQA=0),AS_SP*F_PSpF*I266,0)</f>
        <v>23464.1887673801</v>
      </c>
      <c r="AJ266" s="20" t="n">
        <f aca="false">IF(AND(F_Partner=1,F_PSpQA=1,C266&gt;=PR_SPage,AH266=0),IF(AG266&gt;=PR_SPage,PR_QA66,PR_QAunder)*PR_Weeks*I266,0)</f>
        <v>0</v>
      </c>
      <c r="AK266" s="20" t="n">
        <f aca="false">AE266+AJ266</f>
        <v>29330.2359592252</v>
      </c>
      <c r="AL266" s="20" t="n">
        <f aca="false">K266/H266</f>
        <v>0</v>
      </c>
      <c r="AM266" s="20" t="n">
        <f aca="false">AK266/H266</f>
        <v>15563.6</v>
      </c>
      <c r="AN266" s="20" t="n">
        <f aca="false">AC266/H266</f>
        <v>8852.85109626421</v>
      </c>
      <c r="AO266" s="20" t="n">
        <f aca="false">AF266/H266</f>
        <v>0</v>
      </c>
      <c r="AP266" s="20" t="n">
        <f aca="false">O266/H266</f>
        <v>0</v>
      </c>
      <c r="AQ266" s="20" t="n">
        <f aca="false">AH266/H266</f>
        <v>0</v>
      </c>
      <c r="AR266" s="20" t="n">
        <f aca="false">AI266/H266</f>
        <v>12450.88</v>
      </c>
      <c r="AS266" s="20" t="n">
        <f aca="false">MAX(0,AL266+AN266+AO266+AM266-AP266)</f>
        <v>24416.4510962642</v>
      </c>
      <c r="AT266" s="20" t="n">
        <f aca="false">MAX(0,AQ266+AR266)</f>
        <v>12450.88</v>
      </c>
      <c r="AU266" s="20" t="n">
        <f aca="false">MIN(PR_PAYE,PR_PAYEcap*(AL266+AN266+AM266))</f>
        <v>2000</v>
      </c>
      <c r="AV266" s="20" t="n">
        <f aca="false">MIN(PR_PAYE,PR_PAYEcap*(AQ266+AR266))</f>
        <v>2000</v>
      </c>
      <c r="AW266" s="20" t="n">
        <f aca="false">IF(C266&gt;=PR_AgeCrAge,PR_AgeCr,0)</f>
        <v>245</v>
      </c>
      <c r="AX266" s="20" t="n">
        <f aca="false">IF(AG266&gt;=PR_AgeCrAge,PR_AgeCr,0)</f>
        <v>245</v>
      </c>
      <c r="AY266" s="20" t="n">
        <f aca="false">IF(AND(F_RentCred=1,D266&lt;=PR_RentLast),1,0)</f>
        <v>0</v>
      </c>
      <c r="AZ266" s="20" t="n">
        <f aca="false">AS266+AT266</f>
        <v>36867.3310962642</v>
      </c>
      <c r="BA266" s="20" t="n">
        <f aca="false">PR_PersonalM+AU266+AV266+AW266+AX266+IF(AY266=1,PR_RentJoint,0)</f>
        <v>8490</v>
      </c>
      <c r="BB266" s="20" t="n">
        <f aca="false">PR_BandM+MIN(MIN(AS266,AT266),PR_Uplift)</f>
        <v>65450.88</v>
      </c>
      <c r="BC266" s="20" t="n">
        <f aca="false">MAX(0,PR_r1*MIN(AZ266,BB266)+PR_r2*MAX(0,AZ266-BB266)-BA266)</f>
        <v>0</v>
      </c>
      <c r="BD266" s="20" t="n">
        <f aca="false">MAX(0,PR_HomeCarer-MAX(0,MIN(AS266,AT266)-PR_HCLimit)/2)</f>
        <v>0</v>
      </c>
      <c r="BE266" s="20" t="n">
        <f aca="false">IF(F_Carer=1,MIN(BC266,MAX(0,PR_r1*MIN(AZ266,PR_BandM)+PR_r2*MAX(0,AZ266-PR_BandM)-BA266-BD266)),BC266)</f>
        <v>0</v>
      </c>
      <c r="BF266" s="20" t="n">
        <f aca="false">IF(OR(C266&gt;=PR_AgeCrAge,AG266&gt;=PR_AgeCrAge),IF(AZ266&lt;=PR_AgeExM,0,MIN(BE266,PR_AgeMarg*(AZ266-PR_AgeExM))),BE266)</f>
        <v>0</v>
      </c>
      <c r="BG266" s="20" t="n">
        <f aca="false">MAX(0,PR_r1*MIN(AS266,IF(F_Spccc=1,PR_BandSPCCC,PR_Band))+PR_r2*MAX(0,AS266-IF(F_Spccc=1,PR_BandSPCCC,PR_Band))-(PR_Personal+AU266+AW266+IF(F_Spccc=1,PR_SPCCC,0)+IF(AY266=1,PR_Rent,0)))</f>
        <v>638.290219252841</v>
      </c>
      <c r="BH266" s="20" t="n">
        <f aca="false">IF(C266&gt;=PR_AgeCrAge,IF(AS266&lt;=PR_AgeEx,0,MIN(BG266,PR_AgeMarg*(AS266-PR_AgeEx))),BG266)</f>
        <v>638.290219252841</v>
      </c>
      <c r="BI266" s="20" t="n">
        <f aca="false">IF(F_Partner=1,MAX(0,PR_r1*MIN(AT266,PR_Band)+PR_r2*MAX(0,AT266-PR_Band)-(PR_Personal+AV266+AX266+IF(AND(AY266=1,AT266&gt;0),PR_Rent,0))),0)</f>
        <v>0</v>
      </c>
      <c r="BJ266" s="20" t="n">
        <f aca="false">IF(AG266&gt;=PR_AgeCrAge,IF(AT266&lt;=PR_AgeEx,0,MIN(BI266,PR_AgeMarg*(AT266-PR_AgeEx))),BI266)</f>
        <v>0</v>
      </c>
      <c r="BK266" s="20" t="n">
        <f aca="false">IF(F_Partner=1,IF(F_Married=1,BF266,BH266+BJ266),BH266)</f>
        <v>638.290219252841</v>
      </c>
      <c r="BL266" s="20" t="n">
        <f aca="false">AL266+AN266+AO266</f>
        <v>8852.85109626421</v>
      </c>
      <c r="BM266" s="20" t="n">
        <f aca="false">IF(BL266&lt;=PR_USCex,0,IF(IF(AND(C266&gt;=PR_USCredAge,BL266&lt;=PR_USCredMax),1,0)=1,PR_USCr1*MIN(BL266,PR_USCredB1)+PR_USCredR2*MAX(0,BL266-PR_USCredB1),PR_USCr1*MIN(BL266,PR_USCb1)+PR_USCr2*MAX(0,MIN(BL266,PR_USCb2)-PR_USCb1)+PR_USCr3*MAX(0,MIN(BL266,PR_USCb3)-PR_USCb2)+PR_USCr4*MAX(0,BL266-PR_USCb3)))+IF(F_SelfEmp=1,PR_USCse*MAX(0,AL266-PR_USCseOver),0)</f>
        <v>0</v>
      </c>
      <c r="BN266" s="20" t="n">
        <f aca="false">AQ266</f>
        <v>0</v>
      </c>
      <c r="BO266" s="20" t="n">
        <f aca="false">IF(F_Partner=1,IF(BN266&lt;=PR_USCex,0,IF(IF(AND(AG266&gt;=PR_USCredAge,BN266&lt;=PR_USCredMax),1,0)=1,PR_USCr1*MIN(BN266,PR_USCredB1)+PR_USCredR2*MAX(0,BN266-PR_USCredB1),PR_USCr1*MIN(BN266,PR_USCb1)+PR_USCr2*MAX(0,MIN(BN266,PR_USCb2)-PR_USCb1)+PR_USCr3*MAX(0,MIN(BN266,PR_USCb3)-PR_USCb2)+PR_USCr4*MAX(0,BN266-PR_USCb3))),0)</f>
        <v>0</v>
      </c>
      <c r="BP266" s="20" t="n">
        <f aca="false">IF(C266&lt;PR_PRSIend,IF(F_SelfEmp=1,IF(AL266&gt;PR_PRSIsMinInc,MAX(PR_PRSIsMin,AL266*J266),0),IF(AL266/52&lt;=PR_PRSIfree,0,MAX(0,(AL266/52*J266-IF(AL266/52&lt;=PR_PRSIcreditTo,MAX(0,PR_PRSIcreditMax-(AL266/52-(PR_PRSIfree+0.01))/PR_PRSItaper),0))*52)))+J266*AN266+IF(AO266&gt;PR_PRSIunearned,J266*AO266,0),0)</f>
        <v>0</v>
      </c>
      <c r="BQ266" s="20" t="n">
        <f aca="false">IF(AND(F_Partner=1,AG266&lt;PR_PRSIend),IF(AQ266/52&lt;=PR_PRSIfree,0,MAX(0,(AQ266/52*J266-IF(AQ266/52&lt;=PR_PRSIcreditTo,MAX(0,PR_PRSIcreditMax-(AQ266/52-(PR_PRSIfree+0.01))/PR_PRSItaper),0))*52)),0)</f>
        <v>0</v>
      </c>
      <c r="BR266" s="20" t="n">
        <f aca="false">BK266+BM266+BO266+BP266+BQ266</f>
        <v>638.290219252841</v>
      </c>
      <c r="BS266" s="20" t="n">
        <f aca="false">BR266*H266</f>
        <v>1202.88382772311</v>
      </c>
      <c r="BT266" s="20" t="n">
        <f aca="false">K266+AK266+AC266+AF266+AH266+AI266</f>
        <v>69477.9819733422</v>
      </c>
    </row>
    <row r="267" customFormat="false" ht="15" hidden="false" customHeight="true" outlineLevel="0" collapsed="false">
      <c r="B267" s="20" t="n">
        <v>33</v>
      </c>
      <c r="C267" s="20" t="n">
        <f aca="false">F_Age+B267</f>
        <v>71</v>
      </c>
      <c r="D267" s="20" t="n">
        <f aca="false">AS_Year0+B267</f>
        <v>2060</v>
      </c>
      <c r="E267" s="44" t="n">
        <f aca="false">(1+AS_Infl)^B267</f>
        <v>1.92223140394315</v>
      </c>
      <c r="F267" s="44" t="n">
        <f aca="false">(1+AS_Wage)^B267</f>
        <v>2.65233523835567</v>
      </c>
      <c r="G267" s="20" t="n">
        <f aca="false">IF(C267&lt;F_R,1,0)</f>
        <v>0</v>
      </c>
      <c r="H267" s="44" t="n">
        <f aca="false">IF(AS_Bands="flat",1,E267)</f>
        <v>1.92223140394315</v>
      </c>
      <c r="I267" s="44" t="n">
        <f aca="false">IF(AS_SpGrow="pay",F267,IF(AS_SpGrow="flat",1,E267))</f>
        <v>1.92223140394315</v>
      </c>
      <c r="J267" s="44" t="n">
        <f aca="false">(12*PR_PRSIr0+(PR_PRSIr1-PR_PRSIr0)*MAX(0,MIN(12,D267*12+12-PR_PRSIt1))+(PR_PRSIr2-PR_PRSIr1)*MAX(0,MIN(12,D267*12+12-PR_PRSIt2))+(PR_PRSIr3-PR_PRSIr2)*MAX(0,MIN(12,D267*12+12-PR_PRSIt3)))/12</f>
        <v>0.047</v>
      </c>
      <c r="K267" s="20" t="n">
        <f aca="false">IF(G267=1,F_Income*F267,0)</f>
        <v>0</v>
      </c>
      <c r="L267" s="20" t="n">
        <f aca="false">IF(G267=1,(F_Own+In_penExtra)*12*F267,0)</f>
        <v>0</v>
      </c>
      <c r="M267" s="20" t="n">
        <f aca="false">IF(G267=1,(F_PenM+In_penExtra)*12*F267,0)</f>
        <v>0</v>
      </c>
      <c r="N267" s="45" t="n">
        <f aca="false">IF(C267&lt;PR_RelA1,PR_RelP1,IF(C267&lt;PR_RelA2,PR_RelP2,IF(C267&lt;PR_RelA3,PR_RelP3,IF(C267&lt;PR_RelA4,PR_RelP4,IF(C267&lt;PR_RelA5,PR_RelP5,PR_RelP6)))))</f>
        <v>0.4</v>
      </c>
      <c r="O267" s="20" t="n">
        <f aca="false">IF(G267=1,MIN(L267/H267,N267*MIN(K267/H267,PR_EarnCap))*H267,0)</f>
        <v>0</v>
      </c>
      <c r="P267" s="20" t="n">
        <f aca="false">IF(AND(G267=1,F_AE=1),MIN(K267/H267,PR_AEcap)*H267,0)</f>
        <v>0</v>
      </c>
      <c r="Q267" s="20" t="n">
        <f aca="false">IF(G267=1,IF(WI_Retire=1,MAX(0,M267+WI_M*12),M267)+(PR_AEee+PR_AEer+PR_AEst)*P267,0)</f>
        <v>0</v>
      </c>
      <c r="R267" s="20" t="n">
        <f aca="false">L267+PR_AEee*P267</f>
        <v>0</v>
      </c>
      <c r="S267" s="20" t="n">
        <f aca="false">AD266</f>
        <v>413018.143200218</v>
      </c>
      <c r="T267" s="20" t="n">
        <f aca="false">IF(D267&lt;=PR_SFTfrom,PR_SFT2026,IF(D267=PR_SFTfrom+1,PR_SFT2027,IF(D267=PR_SFTfrom+2,PR_SFT2028,IF(D267&lt;=PR_SFTto,PR_SFT2029,PR_SFT2029*(1+AS_Infl)^(D267-PR_SFTto)))))</f>
        <v>5173248.68419918</v>
      </c>
      <c r="U267" s="20" t="n">
        <f aca="false">IF(AND(G267=0,C267=F_V),1,0)</f>
        <v>0</v>
      </c>
      <c r="V267" s="20" t="n">
        <f aca="false">IF(U267=1,PR_SFTrate*MAX(0,S267-T267),0)</f>
        <v>0</v>
      </c>
      <c r="W267" s="20" t="n">
        <f aca="false">S267-V267</f>
        <v>413018.143200218</v>
      </c>
      <c r="X267" s="20" t="n">
        <f aca="false">IF(AND(U267=1,AS_LumpPct&gt;0),W267*MIN(AS_LumpPct,PR_LSmax),0)</f>
        <v>0</v>
      </c>
      <c r="Y267" s="20" t="n">
        <f aca="false">X267-(PR_LSrate*MAX(0,MIN(X267,PR_LScap)-PR_LSfree)+PR_r2*MAX(0,X267-PR_LScap))</f>
        <v>0</v>
      </c>
      <c r="Z267" s="20" t="n">
        <f aca="false">W267-X267</f>
        <v>413018.143200218</v>
      </c>
      <c r="AA267" s="45" t="n">
        <f aca="false">IF(C267&gt;=PR_ARFage1,IF(Z267&gt;PR_ARFbig,PR_ARFbigRate,IF(C267&gt;=PR_ARFage2,PR_ARF71,PR_ARF61)),0)</f>
        <v>0.05</v>
      </c>
      <c r="AB267" s="20" t="n">
        <f aca="false">IF(AS_DrawRule="min",Z267*AA267,IF(AS_DrawRule="fixed",MAX(AS_DrawFixed*E267,Z267*AA267),Z267*MAX(1/MAX(1,AS_End-C267+1),AA267)))</f>
        <v>20650.9071600109</v>
      </c>
      <c r="AC267" s="20" t="n">
        <f aca="false">IF(AND(G267=0,C267&gt;=F_V),MIN(Z267,AB267),0)</f>
        <v>20650.9071600109</v>
      </c>
      <c r="AD267" s="20" t="n">
        <f aca="false">IF(G267=1,S267*(1+F_PenG)+Q267,IF(C267&lt;F_V,S267*(1+F_PenG),(Z267-AC267)*(1+AS_PenRet)))</f>
        <v>404726.803975474</v>
      </c>
      <c r="AE267" s="20" t="n">
        <f aca="false">IF(C267&gt;=PR_SPage,AS_SP*F_SpF*I267+IF(AND(C267&gt;=PR_Over80Age,F_SpF&gt;0),PR_Over80*PR_Weeks*I267,0),0)</f>
        <v>29916.8406784097</v>
      </c>
      <c r="AF267" s="20" t="n">
        <f aca="false">(F_OtherM+F_RentM)*12*E267</f>
        <v>0</v>
      </c>
      <c r="AG267" s="20" t="n">
        <f aca="false">F_PAge+B267</f>
        <v>70</v>
      </c>
      <c r="AH267" s="20" t="n">
        <f aca="false">IF(AND(F_Partner=1,F_PAge&gt;0,AG267&lt;IF(F_PRet&gt;0,F_PRet,PR_SPage)),F_PIncome*F267,0)</f>
        <v>0</v>
      </c>
      <c r="AI267" s="20" t="n">
        <f aca="false">IF(AND(F_Partner=1,AG267&gt;=PR_SPage,F_PSpQA=0),AS_SP*F_PSpF*I267,0)</f>
        <v>23933.4725427277</v>
      </c>
      <c r="AJ267" s="20" t="n">
        <f aca="false">IF(AND(F_Partner=1,F_PSpQA=1,C267&gt;=PR_SPage,AH267=0),IF(AG267&gt;=PR_SPage,PR_QA66,PR_QAunder)*PR_Weeks*I267,0)</f>
        <v>0</v>
      </c>
      <c r="AK267" s="20" t="n">
        <f aca="false">AE267+AJ267</f>
        <v>29916.8406784097</v>
      </c>
      <c r="AL267" s="20" t="n">
        <f aca="false">K267/H267</f>
        <v>0</v>
      </c>
      <c r="AM267" s="20" t="n">
        <f aca="false">AK267/H267</f>
        <v>15563.6</v>
      </c>
      <c r="AN267" s="20" t="n">
        <f aca="false">AC267/H267</f>
        <v>10743.19518329</v>
      </c>
      <c r="AO267" s="20" t="n">
        <f aca="false">AF267/H267</f>
        <v>0</v>
      </c>
      <c r="AP267" s="20" t="n">
        <f aca="false">O267/H267</f>
        <v>0</v>
      </c>
      <c r="AQ267" s="20" t="n">
        <f aca="false">AH267/H267</f>
        <v>0</v>
      </c>
      <c r="AR267" s="20" t="n">
        <f aca="false">AI267/H267</f>
        <v>12450.88</v>
      </c>
      <c r="AS267" s="20" t="n">
        <f aca="false">MAX(0,AL267+AN267+AO267+AM267-AP267)</f>
        <v>26306.79518329</v>
      </c>
      <c r="AT267" s="20" t="n">
        <f aca="false">MAX(0,AQ267+AR267)</f>
        <v>12450.88</v>
      </c>
      <c r="AU267" s="20" t="n">
        <f aca="false">MIN(PR_PAYE,PR_PAYEcap*(AL267+AN267+AM267))</f>
        <v>2000</v>
      </c>
      <c r="AV267" s="20" t="n">
        <f aca="false">MIN(PR_PAYE,PR_PAYEcap*(AQ267+AR267))</f>
        <v>2000</v>
      </c>
      <c r="AW267" s="20" t="n">
        <f aca="false">IF(C267&gt;=PR_AgeCrAge,PR_AgeCr,0)</f>
        <v>245</v>
      </c>
      <c r="AX267" s="20" t="n">
        <f aca="false">IF(AG267&gt;=PR_AgeCrAge,PR_AgeCr,0)</f>
        <v>245</v>
      </c>
      <c r="AY267" s="20" t="n">
        <f aca="false">IF(AND(F_RentCred=1,D267&lt;=PR_RentLast),1,0)</f>
        <v>0</v>
      </c>
      <c r="AZ267" s="20" t="n">
        <f aca="false">AS267+AT267</f>
        <v>38757.67518329</v>
      </c>
      <c r="BA267" s="20" t="n">
        <f aca="false">PR_PersonalM+AU267+AV267+AW267+AX267+IF(AY267=1,PR_RentJoint,0)</f>
        <v>8490</v>
      </c>
      <c r="BB267" s="20" t="n">
        <f aca="false">PR_BandM+MIN(MIN(AS267,AT267),PR_Uplift)</f>
        <v>65450.88</v>
      </c>
      <c r="BC267" s="20" t="n">
        <f aca="false">MAX(0,PR_r1*MIN(AZ267,BB267)+PR_r2*MAX(0,AZ267-BB267)-BA267)</f>
        <v>0</v>
      </c>
      <c r="BD267" s="20" t="n">
        <f aca="false">MAX(0,PR_HomeCarer-MAX(0,MIN(AS267,AT267)-PR_HCLimit)/2)</f>
        <v>0</v>
      </c>
      <c r="BE267" s="20" t="n">
        <f aca="false">IF(F_Carer=1,MIN(BC267,MAX(0,PR_r1*MIN(AZ267,PR_BandM)+PR_r2*MAX(0,AZ267-PR_BandM)-BA267-BD267)),BC267)</f>
        <v>0</v>
      </c>
      <c r="BF267" s="20" t="n">
        <f aca="false">IF(OR(C267&gt;=PR_AgeCrAge,AG267&gt;=PR_AgeCrAge),IF(AZ267&lt;=PR_AgeExM,0,MIN(BE267,PR_AgeMarg*(AZ267-PR_AgeExM))),BE267)</f>
        <v>0</v>
      </c>
      <c r="BG267" s="20" t="n">
        <f aca="false">MAX(0,PR_r1*MIN(AS267,IF(F_Spccc=1,PR_BandSPCCC,PR_Band))+PR_r2*MAX(0,AS267-IF(F_Spccc=1,PR_BandSPCCC,PR_Band))-(PR_Personal+AU267+AW267+IF(F_Spccc=1,PR_SPCCC,0)+IF(AY267=1,PR_Rent,0)))</f>
        <v>1016.35903665801</v>
      </c>
      <c r="BH267" s="20" t="n">
        <f aca="false">IF(C267&gt;=PR_AgeCrAge,IF(AS267&lt;=PR_AgeEx,0,MIN(BG267,PR_AgeMarg*(AS267-PR_AgeEx))),BG267)</f>
        <v>1016.35903665801</v>
      </c>
      <c r="BI267" s="20" t="n">
        <f aca="false">IF(F_Partner=1,MAX(0,PR_r1*MIN(AT267,PR_Band)+PR_r2*MAX(0,AT267-PR_Band)-(PR_Personal+AV267+AX267+IF(AND(AY267=1,AT267&gt;0),PR_Rent,0))),0)</f>
        <v>0</v>
      </c>
      <c r="BJ267" s="20" t="n">
        <f aca="false">IF(AG267&gt;=PR_AgeCrAge,IF(AT267&lt;=PR_AgeEx,0,MIN(BI267,PR_AgeMarg*(AT267-PR_AgeEx))),BI267)</f>
        <v>0</v>
      </c>
      <c r="BK267" s="20" t="n">
        <f aca="false">IF(F_Partner=1,IF(F_Married=1,BF267,BH267+BJ267),BH267)</f>
        <v>1016.35903665801</v>
      </c>
      <c r="BL267" s="20" t="n">
        <f aca="false">AL267+AN267+AO267</f>
        <v>10743.19518329</v>
      </c>
      <c r="BM267" s="20" t="n">
        <f aca="false">IF(BL267&lt;=PR_USCex,0,IF(IF(AND(C267&gt;=PR_USCredAge,BL267&lt;=PR_USCredMax),1,0)=1,PR_USCr1*MIN(BL267,PR_USCredB1)+PR_USCredR2*MAX(0,BL267-PR_USCredB1),PR_USCr1*MIN(BL267,PR_USCb1)+PR_USCr2*MAX(0,MIN(BL267,PR_USCb2)-PR_USCb1)+PR_USCr3*MAX(0,MIN(BL267,PR_USCb3)-PR_USCb2)+PR_USCr4*MAX(0,BL267-PR_USCb3)))+IF(F_SelfEmp=1,PR_USCse*MAX(0,AL267-PR_USCseOver),0)</f>
        <v>0</v>
      </c>
      <c r="BN267" s="20" t="n">
        <f aca="false">AQ267</f>
        <v>0</v>
      </c>
      <c r="BO267" s="20" t="n">
        <f aca="false">IF(F_Partner=1,IF(BN267&lt;=PR_USCex,0,IF(IF(AND(AG267&gt;=PR_USCredAge,BN267&lt;=PR_USCredMax),1,0)=1,PR_USCr1*MIN(BN267,PR_USCredB1)+PR_USCredR2*MAX(0,BN267-PR_USCredB1),PR_USCr1*MIN(BN267,PR_USCb1)+PR_USCr2*MAX(0,MIN(BN267,PR_USCb2)-PR_USCb1)+PR_USCr3*MAX(0,MIN(BN267,PR_USCb3)-PR_USCb2)+PR_USCr4*MAX(0,BN267-PR_USCb3))),0)</f>
        <v>0</v>
      </c>
      <c r="BP267" s="20" t="n">
        <f aca="false">IF(C267&lt;PR_PRSIend,IF(F_SelfEmp=1,IF(AL267&gt;PR_PRSIsMinInc,MAX(PR_PRSIsMin,AL267*J267),0),IF(AL267/52&lt;=PR_PRSIfree,0,MAX(0,(AL267/52*J267-IF(AL267/52&lt;=PR_PRSIcreditTo,MAX(0,PR_PRSIcreditMax-(AL267/52-(PR_PRSIfree+0.01))/PR_PRSItaper),0))*52)))+J267*AN267+IF(AO267&gt;PR_PRSIunearned,J267*AO267,0),0)</f>
        <v>0</v>
      </c>
      <c r="BQ267" s="20" t="n">
        <f aca="false">IF(AND(F_Partner=1,AG267&lt;PR_PRSIend),IF(AQ267/52&lt;=PR_PRSIfree,0,MAX(0,(AQ267/52*J267-IF(AQ267/52&lt;=PR_PRSIcreditTo,MAX(0,PR_PRSIcreditMax-(AQ267/52-(PR_PRSIfree+0.01))/PR_PRSItaper),0))*52)),0)</f>
        <v>0</v>
      </c>
      <c r="BR267" s="20" t="n">
        <f aca="false">BK267+BM267+BO267+BP267+BQ267</f>
        <v>1016.35903665801</v>
      </c>
      <c r="BS267" s="20" t="n">
        <f aca="false">BR267*H267</f>
        <v>1953.67725794543</v>
      </c>
      <c r="BT267" s="20" t="n">
        <f aca="false">K267+AK267+AC267+AF267+AH267+AI267</f>
        <v>74501.2203811483</v>
      </c>
    </row>
    <row r="268" customFormat="false" ht="15" hidden="false" customHeight="true" outlineLevel="0" collapsed="false">
      <c r="B268" s="20" t="n">
        <v>34</v>
      </c>
      <c r="C268" s="20" t="n">
        <f aca="false">F_Age+B268</f>
        <v>72</v>
      </c>
      <c r="D268" s="20" t="n">
        <f aca="false">AS_Year0+B268</f>
        <v>2061</v>
      </c>
      <c r="E268" s="44" t="n">
        <f aca="false">(1+AS_Infl)^B268</f>
        <v>1.96067603202202</v>
      </c>
      <c r="F268" s="44" t="n">
        <f aca="false">(1+AS_Wage)^B268</f>
        <v>2.73190529550634</v>
      </c>
      <c r="G268" s="20" t="n">
        <f aca="false">IF(C268&lt;F_R,1,0)</f>
        <v>0</v>
      </c>
      <c r="H268" s="44" t="n">
        <f aca="false">IF(AS_Bands="flat",1,E268)</f>
        <v>1.96067603202202</v>
      </c>
      <c r="I268" s="44" t="n">
        <f aca="false">IF(AS_SpGrow="pay",F268,IF(AS_SpGrow="flat",1,E268))</f>
        <v>1.96067603202202</v>
      </c>
      <c r="J268" s="44" t="n">
        <f aca="false">(12*PR_PRSIr0+(PR_PRSIr1-PR_PRSIr0)*MAX(0,MIN(12,D268*12+12-PR_PRSIt1))+(PR_PRSIr2-PR_PRSIr1)*MAX(0,MIN(12,D268*12+12-PR_PRSIt2))+(PR_PRSIr3-PR_PRSIr2)*MAX(0,MIN(12,D268*12+12-PR_PRSIt3)))/12</f>
        <v>0.047</v>
      </c>
      <c r="K268" s="20" t="n">
        <f aca="false">IF(G268=1,F_Income*F268,0)</f>
        <v>0</v>
      </c>
      <c r="L268" s="20" t="n">
        <f aca="false">IF(G268=1,(F_Own+In_penExtra)*12*F268,0)</f>
        <v>0</v>
      </c>
      <c r="M268" s="20" t="n">
        <f aca="false">IF(G268=1,(F_PenM+In_penExtra)*12*F268,0)</f>
        <v>0</v>
      </c>
      <c r="N268" s="45" t="n">
        <f aca="false">IF(C268&lt;PR_RelA1,PR_RelP1,IF(C268&lt;PR_RelA2,PR_RelP2,IF(C268&lt;PR_RelA3,PR_RelP3,IF(C268&lt;PR_RelA4,PR_RelP4,IF(C268&lt;PR_RelA5,PR_RelP5,PR_RelP6)))))</f>
        <v>0.4</v>
      </c>
      <c r="O268" s="20" t="n">
        <f aca="false">IF(G268=1,MIN(L268/H268,N268*MIN(K268/H268,PR_EarnCap))*H268,0)</f>
        <v>0</v>
      </c>
      <c r="P268" s="20" t="n">
        <f aca="false">IF(AND(G268=1,F_AE=1),MIN(K268/H268,PR_AEcap)*H268,0)</f>
        <v>0</v>
      </c>
      <c r="Q268" s="20" t="n">
        <f aca="false">IF(G268=1,IF(WI_Retire=1,MAX(0,M268+WI_M*12),M268)+(PR_AEee+PR_AEer+PR_AEst)*P268,0)</f>
        <v>0</v>
      </c>
      <c r="R268" s="20" t="n">
        <f aca="false">L268+PR_AEee*P268</f>
        <v>0</v>
      </c>
      <c r="S268" s="20" t="n">
        <f aca="false">AD267</f>
        <v>404726.803975474</v>
      </c>
      <c r="T268" s="20" t="n">
        <f aca="false">IF(D268&lt;=PR_SFTfrom,PR_SFT2026,IF(D268=PR_SFTfrom+1,PR_SFT2027,IF(D268=PR_SFTfrom+2,PR_SFT2028,IF(D268&lt;=PR_SFTto,PR_SFT2029,PR_SFT2029*(1+AS_Infl)^(D268-PR_SFTto)))))</f>
        <v>5276713.65788316</v>
      </c>
      <c r="U268" s="20" t="n">
        <f aca="false">IF(AND(G268=0,C268=F_V),1,0)</f>
        <v>0</v>
      </c>
      <c r="V268" s="20" t="n">
        <f aca="false">IF(U268=1,PR_SFTrate*MAX(0,S268-T268),0)</f>
        <v>0</v>
      </c>
      <c r="W268" s="20" t="n">
        <f aca="false">S268-V268</f>
        <v>404726.803975474</v>
      </c>
      <c r="X268" s="20" t="n">
        <f aca="false">IF(AND(U268=1,AS_LumpPct&gt;0),W268*MIN(AS_LumpPct,PR_LSmax),0)</f>
        <v>0</v>
      </c>
      <c r="Y268" s="20" t="n">
        <f aca="false">X268-(PR_LSrate*MAX(0,MIN(X268,PR_LScap)-PR_LSfree)+PR_r2*MAX(0,X268-PR_LScap))</f>
        <v>0</v>
      </c>
      <c r="Z268" s="20" t="n">
        <f aca="false">W268-X268</f>
        <v>404726.803975474</v>
      </c>
      <c r="AA268" s="45" t="n">
        <f aca="false">IF(C268&gt;=PR_ARFage1,IF(Z268&gt;PR_ARFbig,PR_ARFbigRate,IF(C268&gt;=PR_ARFage2,PR_ARF71,PR_ARF61)),0)</f>
        <v>0.05</v>
      </c>
      <c r="AB268" s="20" t="n">
        <f aca="false">IF(AS_DrawRule="min",Z268*AA268,IF(AS_DrawRule="fixed",MAX(AS_DrawFixed*E268,Z268*AA268),Z268*MAX(1/MAX(1,AS_End-C268+1),AA268)))</f>
        <v>20236.3401987737</v>
      </c>
      <c r="AC268" s="20" t="n">
        <f aca="false">IF(AND(G268=0,C268&gt;=F_V),MIN(Z268,AB268),0)</f>
        <v>20236.3401987737</v>
      </c>
      <c r="AD268" s="20" t="n">
        <f aca="false">IF(G268=1,S268*(1+F_PenG)+Q268,IF(C268&lt;F_V,S268*(1+F_PenG),(Z268-AC268)*(1+AS_PenRet)))</f>
        <v>396601.913385666</v>
      </c>
      <c r="AE268" s="20" t="n">
        <f aca="false">IF(C268&gt;=PR_SPage,AS_SP*F_SpF*I268+IF(AND(C268&gt;=PR_Over80Age,F_SpF&gt;0),PR_Over80*PR_Weeks*I268,0),0)</f>
        <v>30515.1774919779</v>
      </c>
      <c r="AF268" s="20" t="n">
        <f aca="false">(F_OtherM+F_RentM)*12*E268</f>
        <v>0</v>
      </c>
      <c r="AG268" s="20" t="n">
        <f aca="false">F_PAge+B268</f>
        <v>71</v>
      </c>
      <c r="AH268" s="20" t="n">
        <f aca="false">IF(AND(F_Partner=1,F_PAge&gt;0,AG268&lt;IF(F_PRet&gt;0,F_PRet,PR_SPage)),F_PIncome*F268,0)</f>
        <v>0</v>
      </c>
      <c r="AI268" s="20" t="n">
        <f aca="false">IF(AND(F_Partner=1,AG268&gt;=PR_SPage,F_PSpQA=0),AS_SP*F_PSpF*I268,0)</f>
        <v>24412.1419935823</v>
      </c>
      <c r="AJ268" s="20" t="n">
        <f aca="false">IF(AND(F_Partner=1,F_PSpQA=1,C268&gt;=PR_SPage,AH268=0),IF(AG268&gt;=PR_SPage,PR_QA66,PR_QAunder)*PR_Weeks*I268,0)</f>
        <v>0</v>
      </c>
      <c r="AK268" s="20" t="n">
        <f aca="false">AE268+AJ268</f>
        <v>30515.1774919779</v>
      </c>
      <c r="AL268" s="20" t="n">
        <f aca="false">K268/H268</f>
        <v>0</v>
      </c>
      <c r="AM268" s="20" t="n">
        <f aca="false">AK268/H268</f>
        <v>15563.6</v>
      </c>
      <c r="AN268" s="20" t="n">
        <f aca="false">AC268/H268</f>
        <v>10321.103470574</v>
      </c>
      <c r="AO268" s="20" t="n">
        <f aca="false">AF268/H268</f>
        <v>0</v>
      </c>
      <c r="AP268" s="20" t="n">
        <f aca="false">O268/H268</f>
        <v>0</v>
      </c>
      <c r="AQ268" s="20" t="n">
        <f aca="false">AH268/H268</f>
        <v>0</v>
      </c>
      <c r="AR268" s="20" t="n">
        <f aca="false">AI268/H268</f>
        <v>12450.88</v>
      </c>
      <c r="AS268" s="20" t="n">
        <f aca="false">MAX(0,AL268+AN268+AO268+AM268-AP268)</f>
        <v>25884.703470574</v>
      </c>
      <c r="AT268" s="20" t="n">
        <f aca="false">MAX(0,AQ268+AR268)</f>
        <v>12450.88</v>
      </c>
      <c r="AU268" s="20" t="n">
        <f aca="false">MIN(PR_PAYE,PR_PAYEcap*(AL268+AN268+AM268))</f>
        <v>2000</v>
      </c>
      <c r="AV268" s="20" t="n">
        <f aca="false">MIN(PR_PAYE,PR_PAYEcap*(AQ268+AR268))</f>
        <v>2000</v>
      </c>
      <c r="AW268" s="20" t="n">
        <f aca="false">IF(C268&gt;=PR_AgeCrAge,PR_AgeCr,0)</f>
        <v>245</v>
      </c>
      <c r="AX268" s="20" t="n">
        <f aca="false">IF(AG268&gt;=PR_AgeCrAge,PR_AgeCr,0)</f>
        <v>245</v>
      </c>
      <c r="AY268" s="20" t="n">
        <f aca="false">IF(AND(F_RentCred=1,D268&lt;=PR_RentLast),1,0)</f>
        <v>0</v>
      </c>
      <c r="AZ268" s="20" t="n">
        <f aca="false">AS268+AT268</f>
        <v>38335.583470574</v>
      </c>
      <c r="BA268" s="20" t="n">
        <f aca="false">PR_PersonalM+AU268+AV268+AW268+AX268+IF(AY268=1,PR_RentJoint,0)</f>
        <v>8490</v>
      </c>
      <c r="BB268" s="20" t="n">
        <f aca="false">PR_BandM+MIN(MIN(AS268,AT268),PR_Uplift)</f>
        <v>65450.88</v>
      </c>
      <c r="BC268" s="20" t="n">
        <f aca="false">MAX(0,PR_r1*MIN(AZ268,BB268)+PR_r2*MAX(0,AZ268-BB268)-BA268)</f>
        <v>0</v>
      </c>
      <c r="BD268" s="20" t="n">
        <f aca="false">MAX(0,PR_HomeCarer-MAX(0,MIN(AS268,AT268)-PR_HCLimit)/2)</f>
        <v>0</v>
      </c>
      <c r="BE268" s="20" t="n">
        <f aca="false">IF(F_Carer=1,MIN(BC268,MAX(0,PR_r1*MIN(AZ268,PR_BandM)+PR_r2*MAX(0,AZ268-PR_BandM)-BA268-BD268)),BC268)</f>
        <v>0</v>
      </c>
      <c r="BF268" s="20" t="n">
        <f aca="false">IF(OR(C268&gt;=PR_AgeCrAge,AG268&gt;=PR_AgeCrAge),IF(AZ268&lt;=PR_AgeExM,0,MIN(BE268,PR_AgeMarg*(AZ268-PR_AgeExM))),BE268)</f>
        <v>0</v>
      </c>
      <c r="BG268" s="20" t="n">
        <f aca="false">MAX(0,PR_r1*MIN(AS268,IF(F_Spccc=1,PR_BandSPCCC,PR_Band))+PR_r2*MAX(0,AS268-IF(F_Spccc=1,PR_BandSPCCC,PR_Band))-(PR_Personal+AU268+AW268+IF(F_Spccc=1,PR_SPCCC,0)+IF(AY268=1,PR_Rent,0)))</f>
        <v>931.940694114802</v>
      </c>
      <c r="BH268" s="20" t="n">
        <f aca="false">IF(C268&gt;=PR_AgeCrAge,IF(AS268&lt;=PR_AgeEx,0,MIN(BG268,PR_AgeMarg*(AS268-PR_AgeEx))),BG268)</f>
        <v>931.940694114802</v>
      </c>
      <c r="BI268" s="20" t="n">
        <f aca="false">IF(F_Partner=1,MAX(0,PR_r1*MIN(AT268,PR_Band)+PR_r2*MAX(0,AT268-PR_Band)-(PR_Personal+AV268+AX268+IF(AND(AY268=1,AT268&gt;0),PR_Rent,0))),0)</f>
        <v>0</v>
      </c>
      <c r="BJ268" s="20" t="n">
        <f aca="false">IF(AG268&gt;=PR_AgeCrAge,IF(AT268&lt;=PR_AgeEx,0,MIN(BI268,PR_AgeMarg*(AT268-PR_AgeEx))),BI268)</f>
        <v>0</v>
      </c>
      <c r="BK268" s="20" t="n">
        <f aca="false">IF(F_Partner=1,IF(F_Married=1,BF268,BH268+BJ268),BH268)</f>
        <v>931.940694114802</v>
      </c>
      <c r="BL268" s="20" t="n">
        <f aca="false">AL268+AN268+AO268</f>
        <v>10321.103470574</v>
      </c>
      <c r="BM268" s="20" t="n">
        <f aca="false">IF(BL268&lt;=PR_USCex,0,IF(IF(AND(C268&gt;=PR_USCredAge,BL268&lt;=PR_USCredMax),1,0)=1,PR_USCr1*MIN(BL268,PR_USCredB1)+PR_USCredR2*MAX(0,BL268-PR_USCredB1),PR_USCr1*MIN(BL268,PR_USCb1)+PR_USCr2*MAX(0,MIN(BL268,PR_USCb2)-PR_USCb1)+PR_USCr3*MAX(0,MIN(BL268,PR_USCb3)-PR_USCb2)+PR_USCr4*MAX(0,BL268-PR_USCb3)))+IF(F_SelfEmp=1,PR_USCse*MAX(0,AL268-PR_USCseOver),0)</f>
        <v>0</v>
      </c>
      <c r="BN268" s="20" t="n">
        <f aca="false">AQ268</f>
        <v>0</v>
      </c>
      <c r="BO268" s="20" t="n">
        <f aca="false">IF(F_Partner=1,IF(BN268&lt;=PR_USCex,0,IF(IF(AND(AG268&gt;=PR_USCredAge,BN268&lt;=PR_USCredMax),1,0)=1,PR_USCr1*MIN(BN268,PR_USCredB1)+PR_USCredR2*MAX(0,BN268-PR_USCredB1),PR_USCr1*MIN(BN268,PR_USCb1)+PR_USCr2*MAX(0,MIN(BN268,PR_USCb2)-PR_USCb1)+PR_USCr3*MAX(0,MIN(BN268,PR_USCb3)-PR_USCb2)+PR_USCr4*MAX(0,BN268-PR_USCb3))),0)</f>
        <v>0</v>
      </c>
      <c r="BP268" s="20" t="n">
        <f aca="false">IF(C268&lt;PR_PRSIend,IF(F_SelfEmp=1,IF(AL268&gt;PR_PRSIsMinInc,MAX(PR_PRSIsMin,AL268*J268),0),IF(AL268/52&lt;=PR_PRSIfree,0,MAX(0,(AL268/52*J268-IF(AL268/52&lt;=PR_PRSIcreditTo,MAX(0,PR_PRSIcreditMax-(AL268/52-(PR_PRSIfree+0.01))/PR_PRSItaper),0))*52)))+J268*AN268+IF(AO268&gt;PR_PRSIunearned,J268*AO268,0),0)</f>
        <v>0</v>
      </c>
      <c r="BQ268" s="20" t="n">
        <f aca="false">IF(AND(F_Partner=1,AG268&lt;PR_PRSIend),IF(AQ268/52&lt;=PR_PRSIfree,0,MAX(0,(AQ268/52*J268-IF(AQ268/52&lt;=PR_PRSIcreditTo,MAX(0,PR_PRSIcreditMax-(AQ268/52-(PR_PRSIfree+0.01))/PR_PRSItaper),0))*52)),0)</f>
        <v>0</v>
      </c>
      <c r="BR268" s="20" t="n">
        <f aca="false">BK268+BM268+BO268+BP268+BQ268</f>
        <v>931.940694114802</v>
      </c>
      <c r="BS268" s="20" t="n">
        <f aca="false">BR268*H268</f>
        <v>1827.23378221685</v>
      </c>
      <c r="BT268" s="20" t="n">
        <f aca="false">K268+AK268+AC268+AF268+AH268+AI268</f>
        <v>75163.6596843338</v>
      </c>
    </row>
    <row r="269" customFormat="false" ht="15" hidden="false" customHeight="true" outlineLevel="0" collapsed="false">
      <c r="B269" s="20" t="n">
        <v>35</v>
      </c>
      <c r="C269" s="20" t="n">
        <f aca="false">F_Age+B269</f>
        <v>73</v>
      </c>
      <c r="D269" s="20" t="n">
        <f aca="false">AS_Year0+B269</f>
        <v>2062</v>
      </c>
      <c r="E269" s="44" t="n">
        <f aca="false">(1+AS_Infl)^B269</f>
        <v>1.99988955266246</v>
      </c>
      <c r="F269" s="44" t="n">
        <f aca="false">(1+AS_Wage)^B269</f>
        <v>2.81386245437153</v>
      </c>
      <c r="G269" s="20" t="n">
        <f aca="false">IF(C269&lt;F_R,1,0)</f>
        <v>0</v>
      </c>
      <c r="H269" s="44" t="n">
        <f aca="false">IF(AS_Bands="flat",1,E269)</f>
        <v>1.99988955266246</v>
      </c>
      <c r="I269" s="44" t="n">
        <f aca="false">IF(AS_SpGrow="pay",F269,IF(AS_SpGrow="flat",1,E269))</f>
        <v>1.99988955266246</v>
      </c>
      <c r="J269" s="44" t="n">
        <f aca="false">(12*PR_PRSIr0+(PR_PRSIr1-PR_PRSIr0)*MAX(0,MIN(12,D269*12+12-PR_PRSIt1))+(PR_PRSIr2-PR_PRSIr1)*MAX(0,MIN(12,D269*12+12-PR_PRSIt2))+(PR_PRSIr3-PR_PRSIr2)*MAX(0,MIN(12,D269*12+12-PR_PRSIt3)))/12</f>
        <v>0.047</v>
      </c>
      <c r="K269" s="20" t="n">
        <f aca="false">IF(G269=1,F_Income*F269,0)</f>
        <v>0</v>
      </c>
      <c r="L269" s="20" t="n">
        <f aca="false">IF(G269=1,(F_Own+In_penExtra)*12*F269,0)</f>
        <v>0</v>
      </c>
      <c r="M269" s="20" t="n">
        <f aca="false">IF(G269=1,(F_PenM+In_penExtra)*12*F269,0)</f>
        <v>0</v>
      </c>
      <c r="N269" s="45" t="n">
        <f aca="false">IF(C269&lt;PR_RelA1,PR_RelP1,IF(C269&lt;PR_RelA2,PR_RelP2,IF(C269&lt;PR_RelA3,PR_RelP3,IF(C269&lt;PR_RelA4,PR_RelP4,IF(C269&lt;PR_RelA5,PR_RelP5,PR_RelP6)))))</f>
        <v>0.4</v>
      </c>
      <c r="O269" s="20" t="n">
        <f aca="false">IF(G269=1,MIN(L269/H269,N269*MIN(K269/H269,PR_EarnCap))*H269,0)</f>
        <v>0</v>
      </c>
      <c r="P269" s="20" t="n">
        <f aca="false">IF(AND(G269=1,F_AE=1),MIN(K269/H269,PR_AEcap)*H269,0)</f>
        <v>0</v>
      </c>
      <c r="Q269" s="20" t="n">
        <f aca="false">IF(G269=1,IF(WI_Retire=1,MAX(0,M269+WI_M*12),M269)+(PR_AEee+PR_AEer+PR_AEst)*P269,0)</f>
        <v>0</v>
      </c>
      <c r="R269" s="20" t="n">
        <f aca="false">L269+PR_AEee*P269</f>
        <v>0</v>
      </c>
      <c r="S269" s="20" t="n">
        <f aca="false">AD268</f>
        <v>396601.913385666</v>
      </c>
      <c r="T269" s="20" t="n">
        <f aca="false">IF(D269&lt;=PR_SFTfrom,PR_SFT2026,IF(D269=PR_SFTfrom+1,PR_SFT2027,IF(D269=PR_SFTfrom+2,PR_SFT2028,IF(D269&lt;=PR_SFTto,PR_SFT2029,PR_SFT2029*(1+AS_Infl)^(D269-PR_SFTto)))))</f>
        <v>5382247.93104083</v>
      </c>
      <c r="U269" s="20" t="n">
        <f aca="false">IF(AND(G269=0,C269=F_V),1,0)</f>
        <v>0</v>
      </c>
      <c r="V269" s="20" t="n">
        <f aca="false">IF(U269=1,PR_SFTrate*MAX(0,S269-T269),0)</f>
        <v>0</v>
      </c>
      <c r="W269" s="20" t="n">
        <f aca="false">S269-V269</f>
        <v>396601.913385666</v>
      </c>
      <c r="X269" s="20" t="n">
        <f aca="false">IF(AND(U269=1,AS_LumpPct&gt;0),W269*MIN(AS_LumpPct,PR_LSmax),0)</f>
        <v>0</v>
      </c>
      <c r="Y269" s="20" t="n">
        <f aca="false">X269-(PR_LSrate*MAX(0,MIN(X269,PR_LScap)-PR_LSfree)+PR_r2*MAX(0,X269-PR_LScap))</f>
        <v>0</v>
      </c>
      <c r="Z269" s="20" t="n">
        <f aca="false">W269-X269</f>
        <v>396601.913385666</v>
      </c>
      <c r="AA269" s="45" t="n">
        <f aca="false">IF(C269&gt;=PR_ARFage1,IF(Z269&gt;PR_ARFbig,PR_ARFbigRate,IF(C269&gt;=PR_ARFage2,PR_ARF71,PR_ARF61)),0)</f>
        <v>0.05</v>
      </c>
      <c r="AB269" s="20" t="n">
        <f aca="false">IF(AS_DrawRule="min",Z269*AA269,IF(AS_DrawRule="fixed",MAX(AS_DrawFixed*E269,Z269*AA269),Z269*MAX(1/MAX(1,AS_End-C269+1),AA269)))</f>
        <v>19830.0956692833</v>
      </c>
      <c r="AC269" s="20" t="n">
        <f aca="false">IF(AND(G269=0,C269&gt;=F_V),MIN(Z269,AB269),0)</f>
        <v>19830.0956692833</v>
      </c>
      <c r="AD269" s="20" t="n">
        <f aca="false">IF(G269=1,S269*(1+F_PenG)+Q269,IF(C269&lt;F_V,S269*(1+F_PenG),(Z269-AC269)*(1+AS_PenRet)))</f>
        <v>388640.129974449</v>
      </c>
      <c r="AE269" s="20" t="n">
        <f aca="false">IF(C269&gt;=PR_SPage,AS_SP*F_SpF*I269+IF(AND(C269&gt;=PR_Over80Age,F_SpF&gt;0),PR_Over80*PR_Weeks*I269,0),0)</f>
        <v>31125.4810418174</v>
      </c>
      <c r="AF269" s="20" t="n">
        <f aca="false">(F_OtherM+F_RentM)*12*E269</f>
        <v>0</v>
      </c>
      <c r="AG269" s="20" t="n">
        <f aca="false">F_PAge+B269</f>
        <v>72</v>
      </c>
      <c r="AH269" s="20" t="n">
        <f aca="false">IF(AND(F_Partner=1,F_PAge&gt;0,AG269&lt;IF(F_PRet&gt;0,F_PRet,PR_SPage)),F_PIncome*F269,0)</f>
        <v>0</v>
      </c>
      <c r="AI269" s="20" t="n">
        <f aca="false">IF(AND(F_Partner=1,AG269&gt;=PR_SPage,F_PSpQA=0),AS_SP*F_PSpF*I269,0)</f>
        <v>24900.3848334539</v>
      </c>
      <c r="AJ269" s="20" t="n">
        <f aca="false">IF(AND(F_Partner=1,F_PSpQA=1,C269&gt;=PR_SPage,AH269=0),IF(AG269&gt;=PR_SPage,PR_QA66,PR_QAunder)*PR_Weeks*I269,0)</f>
        <v>0</v>
      </c>
      <c r="AK269" s="20" t="n">
        <f aca="false">AE269+AJ269</f>
        <v>31125.4810418174</v>
      </c>
      <c r="AL269" s="20" t="n">
        <f aca="false">K269/H269</f>
        <v>0</v>
      </c>
      <c r="AM269" s="20" t="n">
        <f aca="false">AK269/H269</f>
        <v>15563.6</v>
      </c>
      <c r="AN269" s="20" t="n">
        <f aca="false">AC269/H269</f>
        <v>9915.59541019827</v>
      </c>
      <c r="AO269" s="20" t="n">
        <f aca="false">AF269/H269</f>
        <v>0</v>
      </c>
      <c r="AP269" s="20" t="n">
        <f aca="false">O269/H269</f>
        <v>0</v>
      </c>
      <c r="AQ269" s="20" t="n">
        <f aca="false">AH269/H269</f>
        <v>0</v>
      </c>
      <c r="AR269" s="20" t="n">
        <f aca="false">AI269/H269</f>
        <v>12450.88</v>
      </c>
      <c r="AS269" s="20" t="n">
        <f aca="false">MAX(0,AL269+AN269+AO269+AM269-AP269)</f>
        <v>25479.1954101983</v>
      </c>
      <c r="AT269" s="20" t="n">
        <f aca="false">MAX(0,AQ269+AR269)</f>
        <v>12450.88</v>
      </c>
      <c r="AU269" s="20" t="n">
        <f aca="false">MIN(PR_PAYE,PR_PAYEcap*(AL269+AN269+AM269))</f>
        <v>2000</v>
      </c>
      <c r="AV269" s="20" t="n">
        <f aca="false">MIN(PR_PAYE,PR_PAYEcap*(AQ269+AR269))</f>
        <v>2000</v>
      </c>
      <c r="AW269" s="20" t="n">
        <f aca="false">IF(C269&gt;=PR_AgeCrAge,PR_AgeCr,0)</f>
        <v>245</v>
      </c>
      <c r="AX269" s="20" t="n">
        <f aca="false">IF(AG269&gt;=PR_AgeCrAge,PR_AgeCr,0)</f>
        <v>245</v>
      </c>
      <c r="AY269" s="20" t="n">
        <f aca="false">IF(AND(F_RentCred=1,D269&lt;=PR_RentLast),1,0)</f>
        <v>0</v>
      </c>
      <c r="AZ269" s="20" t="n">
        <f aca="false">AS269+AT269</f>
        <v>37930.0754101983</v>
      </c>
      <c r="BA269" s="20" t="n">
        <f aca="false">PR_PersonalM+AU269+AV269+AW269+AX269+IF(AY269=1,PR_RentJoint,0)</f>
        <v>8490</v>
      </c>
      <c r="BB269" s="20" t="n">
        <f aca="false">PR_BandM+MIN(MIN(AS269,AT269),PR_Uplift)</f>
        <v>65450.88</v>
      </c>
      <c r="BC269" s="20" t="n">
        <f aca="false">MAX(0,PR_r1*MIN(AZ269,BB269)+PR_r2*MAX(0,AZ269-BB269)-BA269)</f>
        <v>0</v>
      </c>
      <c r="BD269" s="20" t="n">
        <f aca="false">MAX(0,PR_HomeCarer-MAX(0,MIN(AS269,AT269)-PR_HCLimit)/2)</f>
        <v>0</v>
      </c>
      <c r="BE269" s="20" t="n">
        <f aca="false">IF(F_Carer=1,MIN(BC269,MAX(0,PR_r1*MIN(AZ269,PR_BandM)+PR_r2*MAX(0,AZ269-PR_BandM)-BA269-BD269)),BC269)</f>
        <v>0</v>
      </c>
      <c r="BF269" s="20" t="n">
        <f aca="false">IF(OR(C269&gt;=PR_AgeCrAge,AG269&gt;=PR_AgeCrAge),IF(AZ269&lt;=PR_AgeExM,0,MIN(BE269,PR_AgeMarg*(AZ269-PR_AgeExM))),BE269)</f>
        <v>0</v>
      </c>
      <c r="BG269" s="20" t="n">
        <f aca="false">MAX(0,PR_r1*MIN(AS269,IF(F_Spccc=1,PR_BandSPCCC,PR_Band))+PR_r2*MAX(0,AS269-IF(F_Spccc=1,PR_BandSPCCC,PR_Band))-(PR_Personal+AU269+AW269+IF(F_Spccc=1,PR_SPCCC,0)+IF(AY269=1,PR_Rent,0)))</f>
        <v>850.839082039654</v>
      </c>
      <c r="BH269" s="20" t="n">
        <f aca="false">IF(C269&gt;=PR_AgeCrAge,IF(AS269&lt;=PR_AgeEx,0,MIN(BG269,PR_AgeMarg*(AS269-PR_AgeEx))),BG269)</f>
        <v>850.839082039654</v>
      </c>
      <c r="BI269" s="20" t="n">
        <f aca="false">IF(F_Partner=1,MAX(0,PR_r1*MIN(AT269,PR_Band)+PR_r2*MAX(0,AT269-PR_Band)-(PR_Personal+AV269+AX269+IF(AND(AY269=1,AT269&gt;0),PR_Rent,0))),0)</f>
        <v>0</v>
      </c>
      <c r="BJ269" s="20" t="n">
        <f aca="false">IF(AG269&gt;=PR_AgeCrAge,IF(AT269&lt;=PR_AgeEx,0,MIN(BI269,PR_AgeMarg*(AT269-PR_AgeEx))),BI269)</f>
        <v>0</v>
      </c>
      <c r="BK269" s="20" t="n">
        <f aca="false">IF(F_Partner=1,IF(F_Married=1,BF269,BH269+BJ269),BH269)</f>
        <v>850.839082039654</v>
      </c>
      <c r="BL269" s="20" t="n">
        <f aca="false">AL269+AN269+AO269</f>
        <v>9915.59541019827</v>
      </c>
      <c r="BM269" s="20" t="n">
        <f aca="false">IF(BL269&lt;=PR_USCex,0,IF(IF(AND(C269&gt;=PR_USCredAge,BL269&lt;=PR_USCredMax),1,0)=1,PR_USCr1*MIN(BL269,PR_USCredB1)+PR_USCredR2*MAX(0,BL269-PR_USCredB1),PR_USCr1*MIN(BL269,PR_USCb1)+PR_USCr2*MAX(0,MIN(BL269,PR_USCb2)-PR_USCb1)+PR_USCr3*MAX(0,MIN(BL269,PR_USCb3)-PR_USCb2)+PR_USCr4*MAX(0,BL269-PR_USCb3)))+IF(F_SelfEmp=1,PR_USCse*MAX(0,AL269-PR_USCseOver),0)</f>
        <v>0</v>
      </c>
      <c r="BN269" s="20" t="n">
        <f aca="false">AQ269</f>
        <v>0</v>
      </c>
      <c r="BO269" s="20" t="n">
        <f aca="false">IF(F_Partner=1,IF(BN269&lt;=PR_USCex,0,IF(IF(AND(AG269&gt;=PR_USCredAge,BN269&lt;=PR_USCredMax),1,0)=1,PR_USCr1*MIN(BN269,PR_USCredB1)+PR_USCredR2*MAX(0,BN269-PR_USCredB1),PR_USCr1*MIN(BN269,PR_USCb1)+PR_USCr2*MAX(0,MIN(BN269,PR_USCb2)-PR_USCb1)+PR_USCr3*MAX(0,MIN(BN269,PR_USCb3)-PR_USCb2)+PR_USCr4*MAX(0,BN269-PR_USCb3))),0)</f>
        <v>0</v>
      </c>
      <c r="BP269" s="20" t="n">
        <f aca="false">IF(C269&lt;PR_PRSIend,IF(F_SelfEmp=1,IF(AL269&gt;PR_PRSIsMinInc,MAX(PR_PRSIsMin,AL269*J269),0),IF(AL269/52&lt;=PR_PRSIfree,0,MAX(0,(AL269/52*J269-IF(AL269/52&lt;=PR_PRSIcreditTo,MAX(0,PR_PRSIcreditMax-(AL269/52-(PR_PRSIfree+0.01))/PR_PRSItaper),0))*52)))+J269*AN269+IF(AO269&gt;PR_PRSIunearned,J269*AO269,0),0)</f>
        <v>0</v>
      </c>
      <c r="BQ269" s="20" t="n">
        <f aca="false">IF(AND(F_Partner=1,AG269&lt;PR_PRSIend),IF(AQ269/52&lt;=PR_PRSIfree,0,MAX(0,(AQ269/52*J269-IF(AQ269/52&lt;=PR_PRSIcreditTo,MAX(0,PR_PRSIcreditMax-(AQ269/52-(PR_PRSIfree+0.01))/PR_PRSItaper),0))*52)),0)</f>
        <v>0</v>
      </c>
      <c r="BR269" s="20" t="n">
        <f aca="false">BK269+BM269+BO269+BP269+BQ269</f>
        <v>850.839082039654</v>
      </c>
      <c r="BS269" s="20" t="n">
        <f aca="false">BR269*H269</f>
        <v>1701.58419116802</v>
      </c>
      <c r="BT269" s="20" t="n">
        <f aca="false">K269+AK269+AC269+AF269+AH269+AI269</f>
        <v>75855.9615445547</v>
      </c>
    </row>
    <row r="270" customFormat="false" ht="15" hidden="false" customHeight="true" outlineLevel="0" collapsed="false">
      <c r="B270" s="20" t="n">
        <v>36</v>
      </c>
      <c r="C270" s="20" t="n">
        <f aca="false">F_Age+B270</f>
        <v>74</v>
      </c>
      <c r="D270" s="20" t="n">
        <f aca="false">AS_Year0+B270</f>
        <v>2063</v>
      </c>
      <c r="E270" s="44" t="n">
        <f aca="false">(1+AS_Infl)^B270</f>
        <v>2.03988734371571</v>
      </c>
      <c r="F270" s="44" t="n">
        <f aca="false">(1+AS_Wage)^B270</f>
        <v>2.89827832800267</v>
      </c>
      <c r="G270" s="20" t="n">
        <f aca="false">IF(C270&lt;F_R,1,0)</f>
        <v>0</v>
      </c>
      <c r="H270" s="44" t="n">
        <f aca="false">IF(AS_Bands="flat",1,E270)</f>
        <v>2.03988734371571</v>
      </c>
      <c r="I270" s="44" t="n">
        <f aca="false">IF(AS_SpGrow="pay",F270,IF(AS_SpGrow="flat",1,E270))</f>
        <v>2.03988734371571</v>
      </c>
      <c r="J270" s="44" t="n">
        <f aca="false">(12*PR_PRSIr0+(PR_PRSIr1-PR_PRSIr0)*MAX(0,MIN(12,D270*12+12-PR_PRSIt1))+(PR_PRSIr2-PR_PRSIr1)*MAX(0,MIN(12,D270*12+12-PR_PRSIt2))+(PR_PRSIr3-PR_PRSIr2)*MAX(0,MIN(12,D270*12+12-PR_PRSIt3)))/12</f>
        <v>0.047</v>
      </c>
      <c r="K270" s="20" t="n">
        <f aca="false">IF(G270=1,F_Income*F270,0)</f>
        <v>0</v>
      </c>
      <c r="L270" s="20" t="n">
        <f aca="false">IF(G270=1,(F_Own+In_penExtra)*12*F270,0)</f>
        <v>0</v>
      </c>
      <c r="M270" s="20" t="n">
        <f aca="false">IF(G270=1,(F_PenM+In_penExtra)*12*F270,0)</f>
        <v>0</v>
      </c>
      <c r="N270" s="45" t="n">
        <f aca="false">IF(C270&lt;PR_RelA1,PR_RelP1,IF(C270&lt;PR_RelA2,PR_RelP2,IF(C270&lt;PR_RelA3,PR_RelP3,IF(C270&lt;PR_RelA4,PR_RelP4,IF(C270&lt;PR_RelA5,PR_RelP5,PR_RelP6)))))</f>
        <v>0.4</v>
      </c>
      <c r="O270" s="20" t="n">
        <f aca="false">IF(G270=1,MIN(L270/H270,N270*MIN(K270/H270,PR_EarnCap))*H270,0)</f>
        <v>0</v>
      </c>
      <c r="P270" s="20" t="n">
        <f aca="false">IF(AND(G270=1,F_AE=1),MIN(K270/H270,PR_AEcap)*H270,0)</f>
        <v>0</v>
      </c>
      <c r="Q270" s="20" t="n">
        <f aca="false">IF(G270=1,IF(WI_Retire=1,MAX(0,M270+WI_M*12),M270)+(PR_AEee+PR_AEer+PR_AEst)*P270,0)</f>
        <v>0</v>
      </c>
      <c r="R270" s="20" t="n">
        <f aca="false">L270+PR_AEee*P270</f>
        <v>0</v>
      </c>
      <c r="S270" s="20" t="n">
        <f aca="false">AD269</f>
        <v>388640.129974449</v>
      </c>
      <c r="T270" s="20" t="n">
        <f aca="false">IF(D270&lt;=PR_SFTfrom,PR_SFT2026,IF(D270=PR_SFTfrom+1,PR_SFT2027,IF(D270=PR_SFTfrom+2,PR_SFT2028,IF(D270&lt;=PR_SFTto,PR_SFT2029,PR_SFT2029*(1+AS_Infl)^(D270-PR_SFTto)))))</f>
        <v>5489892.88966165</v>
      </c>
      <c r="U270" s="20" t="n">
        <f aca="false">IF(AND(G270=0,C270=F_V),1,0)</f>
        <v>0</v>
      </c>
      <c r="V270" s="20" t="n">
        <f aca="false">IF(U270=1,PR_SFTrate*MAX(0,S270-T270),0)</f>
        <v>0</v>
      </c>
      <c r="W270" s="20" t="n">
        <f aca="false">S270-V270</f>
        <v>388640.129974449</v>
      </c>
      <c r="X270" s="20" t="n">
        <f aca="false">IF(AND(U270=1,AS_LumpPct&gt;0),W270*MIN(AS_LumpPct,PR_LSmax),0)</f>
        <v>0</v>
      </c>
      <c r="Y270" s="20" t="n">
        <f aca="false">X270-(PR_LSrate*MAX(0,MIN(X270,PR_LScap)-PR_LSfree)+PR_r2*MAX(0,X270-PR_LScap))</f>
        <v>0</v>
      </c>
      <c r="Z270" s="20" t="n">
        <f aca="false">W270-X270</f>
        <v>388640.129974449</v>
      </c>
      <c r="AA270" s="45" t="n">
        <f aca="false">IF(C270&gt;=PR_ARFage1,IF(Z270&gt;PR_ARFbig,PR_ARFbigRate,IF(C270&gt;=PR_ARFage2,PR_ARF71,PR_ARF61)),0)</f>
        <v>0.05</v>
      </c>
      <c r="AB270" s="20" t="n">
        <f aca="false">IF(AS_DrawRule="min",Z270*AA270,IF(AS_DrawRule="fixed",MAX(AS_DrawFixed*E270,Z270*AA270),Z270*MAX(1/MAX(1,AS_End-C270+1),AA270)))</f>
        <v>19432.0064987225</v>
      </c>
      <c r="AC270" s="20" t="n">
        <f aca="false">IF(AND(G270=0,C270&gt;=F_V),MIN(Z270,AB270),0)</f>
        <v>19432.0064987225</v>
      </c>
      <c r="AD270" s="20" t="n">
        <f aca="false">IF(G270=1,S270*(1+F_PenG)+Q270,IF(C270&lt;F_V,S270*(1+F_PenG),(Z270-AC270)*(1+AS_PenRet)))</f>
        <v>380838.179365212</v>
      </c>
      <c r="AE270" s="20" t="n">
        <f aca="false">IF(C270&gt;=PR_SPage,AS_SP*F_SpF*I270+IF(AND(C270&gt;=PR_Over80Age,F_SpF&gt;0),PR_Over80*PR_Weeks*I270,0),0)</f>
        <v>31747.9906626538</v>
      </c>
      <c r="AF270" s="20" t="n">
        <f aca="false">(F_OtherM+F_RentM)*12*E270</f>
        <v>0</v>
      </c>
      <c r="AG270" s="20" t="n">
        <f aca="false">F_PAge+B270</f>
        <v>73</v>
      </c>
      <c r="AH270" s="20" t="n">
        <f aca="false">IF(AND(F_Partner=1,F_PAge&gt;0,AG270&lt;IF(F_PRet&gt;0,F_PRet,PR_SPage)),F_PIncome*F270,0)</f>
        <v>0</v>
      </c>
      <c r="AI270" s="20" t="n">
        <f aca="false">IF(AND(F_Partner=1,AG270&gt;=PR_SPage,F_PSpQA=0),AS_SP*F_PSpF*I270,0)</f>
        <v>25398.392530123</v>
      </c>
      <c r="AJ270" s="20" t="n">
        <f aca="false">IF(AND(F_Partner=1,F_PSpQA=1,C270&gt;=PR_SPage,AH270=0),IF(AG270&gt;=PR_SPage,PR_QA66,PR_QAunder)*PR_Weeks*I270,0)</f>
        <v>0</v>
      </c>
      <c r="AK270" s="20" t="n">
        <f aca="false">AE270+AJ270</f>
        <v>31747.9906626538</v>
      </c>
      <c r="AL270" s="20" t="n">
        <f aca="false">K270/H270</f>
        <v>0</v>
      </c>
      <c r="AM270" s="20" t="n">
        <f aca="false">AK270/H270</f>
        <v>15563.6</v>
      </c>
      <c r="AN270" s="20" t="n">
        <f aca="false">AC270/H270</f>
        <v>9526.01944346916</v>
      </c>
      <c r="AO270" s="20" t="n">
        <f aca="false">AF270/H270</f>
        <v>0</v>
      </c>
      <c r="AP270" s="20" t="n">
        <f aca="false">O270/H270</f>
        <v>0</v>
      </c>
      <c r="AQ270" s="20" t="n">
        <f aca="false">AH270/H270</f>
        <v>0</v>
      </c>
      <c r="AR270" s="20" t="n">
        <f aca="false">AI270/H270</f>
        <v>12450.88</v>
      </c>
      <c r="AS270" s="20" t="n">
        <f aca="false">MAX(0,AL270+AN270+AO270+AM270-AP270)</f>
        <v>25089.6194434692</v>
      </c>
      <c r="AT270" s="20" t="n">
        <f aca="false">MAX(0,AQ270+AR270)</f>
        <v>12450.88</v>
      </c>
      <c r="AU270" s="20" t="n">
        <f aca="false">MIN(PR_PAYE,PR_PAYEcap*(AL270+AN270+AM270))</f>
        <v>2000</v>
      </c>
      <c r="AV270" s="20" t="n">
        <f aca="false">MIN(PR_PAYE,PR_PAYEcap*(AQ270+AR270))</f>
        <v>2000</v>
      </c>
      <c r="AW270" s="20" t="n">
        <f aca="false">IF(C270&gt;=PR_AgeCrAge,PR_AgeCr,0)</f>
        <v>245</v>
      </c>
      <c r="AX270" s="20" t="n">
        <f aca="false">IF(AG270&gt;=PR_AgeCrAge,PR_AgeCr,0)</f>
        <v>245</v>
      </c>
      <c r="AY270" s="20" t="n">
        <f aca="false">IF(AND(F_RentCred=1,D270&lt;=PR_RentLast),1,0)</f>
        <v>0</v>
      </c>
      <c r="AZ270" s="20" t="n">
        <f aca="false">AS270+AT270</f>
        <v>37540.4994434692</v>
      </c>
      <c r="BA270" s="20" t="n">
        <f aca="false">PR_PersonalM+AU270+AV270+AW270+AX270+IF(AY270=1,PR_RentJoint,0)</f>
        <v>8490</v>
      </c>
      <c r="BB270" s="20" t="n">
        <f aca="false">PR_BandM+MIN(MIN(AS270,AT270),PR_Uplift)</f>
        <v>65450.88</v>
      </c>
      <c r="BC270" s="20" t="n">
        <f aca="false">MAX(0,PR_r1*MIN(AZ270,BB270)+PR_r2*MAX(0,AZ270-BB270)-BA270)</f>
        <v>0</v>
      </c>
      <c r="BD270" s="20" t="n">
        <f aca="false">MAX(0,PR_HomeCarer-MAX(0,MIN(AS270,AT270)-PR_HCLimit)/2)</f>
        <v>0</v>
      </c>
      <c r="BE270" s="20" t="n">
        <f aca="false">IF(F_Carer=1,MIN(BC270,MAX(0,PR_r1*MIN(AZ270,PR_BandM)+PR_r2*MAX(0,AZ270-PR_BandM)-BA270-BD270)),BC270)</f>
        <v>0</v>
      </c>
      <c r="BF270" s="20" t="n">
        <f aca="false">IF(OR(C270&gt;=PR_AgeCrAge,AG270&gt;=PR_AgeCrAge),IF(AZ270&lt;=PR_AgeExM,0,MIN(BE270,PR_AgeMarg*(AZ270-PR_AgeExM))),BE270)</f>
        <v>0</v>
      </c>
      <c r="BG270" s="20" t="n">
        <f aca="false">MAX(0,PR_r1*MIN(AS270,IF(F_Spccc=1,PR_BandSPCCC,PR_Band))+PR_r2*MAX(0,AS270-IF(F_Spccc=1,PR_BandSPCCC,PR_Band))-(PR_Personal+AU270+AW270+IF(F_Spccc=1,PR_SPCCC,0)+IF(AY270=1,PR_Rent,0)))</f>
        <v>772.923888693832</v>
      </c>
      <c r="BH270" s="20" t="n">
        <f aca="false">IF(C270&gt;=PR_AgeCrAge,IF(AS270&lt;=PR_AgeEx,0,MIN(BG270,PR_AgeMarg*(AS270-PR_AgeEx))),BG270)</f>
        <v>772.923888693832</v>
      </c>
      <c r="BI270" s="20" t="n">
        <f aca="false">IF(F_Partner=1,MAX(0,PR_r1*MIN(AT270,PR_Band)+PR_r2*MAX(0,AT270-PR_Band)-(PR_Personal+AV270+AX270+IF(AND(AY270=1,AT270&gt;0),PR_Rent,0))),0)</f>
        <v>0</v>
      </c>
      <c r="BJ270" s="20" t="n">
        <f aca="false">IF(AG270&gt;=PR_AgeCrAge,IF(AT270&lt;=PR_AgeEx,0,MIN(BI270,PR_AgeMarg*(AT270-PR_AgeEx))),BI270)</f>
        <v>0</v>
      </c>
      <c r="BK270" s="20" t="n">
        <f aca="false">IF(F_Partner=1,IF(F_Married=1,BF270,BH270+BJ270),BH270)</f>
        <v>772.923888693832</v>
      </c>
      <c r="BL270" s="20" t="n">
        <f aca="false">AL270+AN270+AO270</f>
        <v>9526.01944346916</v>
      </c>
      <c r="BM270" s="20" t="n">
        <f aca="false">IF(BL270&lt;=PR_USCex,0,IF(IF(AND(C270&gt;=PR_USCredAge,BL270&lt;=PR_USCredMax),1,0)=1,PR_USCr1*MIN(BL270,PR_USCredB1)+PR_USCredR2*MAX(0,BL270-PR_USCredB1),PR_USCr1*MIN(BL270,PR_USCb1)+PR_USCr2*MAX(0,MIN(BL270,PR_USCb2)-PR_USCb1)+PR_USCr3*MAX(0,MIN(BL270,PR_USCb3)-PR_USCb2)+PR_USCr4*MAX(0,BL270-PR_USCb3)))+IF(F_SelfEmp=1,PR_USCse*MAX(0,AL270-PR_USCseOver),0)</f>
        <v>0</v>
      </c>
      <c r="BN270" s="20" t="n">
        <f aca="false">AQ270</f>
        <v>0</v>
      </c>
      <c r="BO270" s="20" t="n">
        <f aca="false">IF(F_Partner=1,IF(BN270&lt;=PR_USCex,0,IF(IF(AND(AG270&gt;=PR_USCredAge,BN270&lt;=PR_USCredMax),1,0)=1,PR_USCr1*MIN(BN270,PR_USCredB1)+PR_USCredR2*MAX(0,BN270-PR_USCredB1),PR_USCr1*MIN(BN270,PR_USCb1)+PR_USCr2*MAX(0,MIN(BN270,PR_USCb2)-PR_USCb1)+PR_USCr3*MAX(0,MIN(BN270,PR_USCb3)-PR_USCb2)+PR_USCr4*MAX(0,BN270-PR_USCb3))),0)</f>
        <v>0</v>
      </c>
      <c r="BP270" s="20" t="n">
        <f aca="false">IF(C270&lt;PR_PRSIend,IF(F_SelfEmp=1,IF(AL270&gt;PR_PRSIsMinInc,MAX(PR_PRSIsMin,AL270*J270),0),IF(AL270/52&lt;=PR_PRSIfree,0,MAX(0,(AL270/52*J270-IF(AL270/52&lt;=PR_PRSIcreditTo,MAX(0,PR_PRSIcreditMax-(AL270/52-(PR_PRSIfree+0.01))/PR_PRSItaper),0))*52)))+J270*AN270+IF(AO270&gt;PR_PRSIunearned,J270*AO270,0),0)</f>
        <v>0</v>
      </c>
      <c r="BQ270" s="20" t="n">
        <f aca="false">IF(AND(F_Partner=1,AG270&lt;PR_PRSIend),IF(AQ270/52&lt;=PR_PRSIfree,0,MAX(0,(AQ270/52*J270-IF(AQ270/52&lt;=PR_PRSIcreditTo,MAX(0,PR_PRSIcreditMax-(AQ270/52-(PR_PRSIfree+0.01))/PR_PRSItaper),0))*52)),0)</f>
        <v>0</v>
      </c>
      <c r="BR270" s="20" t="n">
        <f aca="false">BK270+BM270+BO270+BP270+BQ270</f>
        <v>772.923888693832</v>
      </c>
      <c r="BS270" s="20" t="n">
        <f aca="false">BR270*H270</f>
        <v>1576.67765820207</v>
      </c>
      <c r="BT270" s="20" t="n">
        <f aca="false">K270+AK270+AC270+AF270+AH270+AI270</f>
        <v>76578.3896914992</v>
      </c>
    </row>
    <row r="271" customFormat="false" ht="15" hidden="false" customHeight="true" outlineLevel="0" collapsed="false">
      <c r="B271" s="20" t="n">
        <v>37</v>
      </c>
      <c r="C271" s="20" t="n">
        <f aca="false">F_Age+B271</f>
        <v>75</v>
      </c>
      <c r="D271" s="20" t="n">
        <f aca="false">AS_Year0+B271</f>
        <v>2064</v>
      </c>
      <c r="E271" s="44" t="n">
        <f aca="false">(1+AS_Infl)^B271</f>
        <v>2.08068509059002</v>
      </c>
      <c r="F271" s="44" t="n">
        <f aca="false">(1+AS_Wage)^B271</f>
        <v>2.98522667784275</v>
      </c>
      <c r="G271" s="20" t="n">
        <f aca="false">IF(C271&lt;F_R,1,0)</f>
        <v>0</v>
      </c>
      <c r="H271" s="44" t="n">
        <f aca="false">IF(AS_Bands="flat",1,E271)</f>
        <v>2.08068509059002</v>
      </c>
      <c r="I271" s="44" t="n">
        <f aca="false">IF(AS_SpGrow="pay",F271,IF(AS_SpGrow="flat",1,E271))</f>
        <v>2.08068509059002</v>
      </c>
      <c r="J271" s="44" t="n">
        <f aca="false">(12*PR_PRSIr0+(PR_PRSIr1-PR_PRSIr0)*MAX(0,MIN(12,D271*12+12-PR_PRSIt1))+(PR_PRSIr2-PR_PRSIr1)*MAX(0,MIN(12,D271*12+12-PR_PRSIt2))+(PR_PRSIr3-PR_PRSIr2)*MAX(0,MIN(12,D271*12+12-PR_PRSIt3)))/12</f>
        <v>0.047</v>
      </c>
      <c r="K271" s="20" t="n">
        <f aca="false">IF(G271=1,F_Income*F271,0)</f>
        <v>0</v>
      </c>
      <c r="L271" s="20" t="n">
        <f aca="false">IF(G271=1,(F_Own+In_penExtra)*12*F271,0)</f>
        <v>0</v>
      </c>
      <c r="M271" s="20" t="n">
        <f aca="false">IF(G271=1,(F_PenM+In_penExtra)*12*F271,0)</f>
        <v>0</v>
      </c>
      <c r="N271" s="45" t="n">
        <f aca="false">IF(C271&lt;PR_RelA1,PR_RelP1,IF(C271&lt;PR_RelA2,PR_RelP2,IF(C271&lt;PR_RelA3,PR_RelP3,IF(C271&lt;PR_RelA4,PR_RelP4,IF(C271&lt;PR_RelA5,PR_RelP5,PR_RelP6)))))</f>
        <v>0.4</v>
      </c>
      <c r="O271" s="20" t="n">
        <f aca="false">IF(G271=1,MIN(L271/H271,N271*MIN(K271/H271,PR_EarnCap))*H271,0)</f>
        <v>0</v>
      </c>
      <c r="P271" s="20" t="n">
        <f aca="false">IF(AND(G271=1,F_AE=1),MIN(K271/H271,PR_AEcap)*H271,0)</f>
        <v>0</v>
      </c>
      <c r="Q271" s="20" t="n">
        <f aca="false">IF(G271=1,IF(WI_Retire=1,MAX(0,M271+WI_M*12),M271)+(PR_AEee+PR_AEer+PR_AEst)*P271,0)</f>
        <v>0</v>
      </c>
      <c r="R271" s="20" t="n">
        <f aca="false">L271+PR_AEee*P271</f>
        <v>0</v>
      </c>
      <c r="S271" s="20" t="n">
        <f aca="false">AD270</f>
        <v>380838.179365212</v>
      </c>
      <c r="T271" s="20" t="n">
        <f aca="false">IF(D271&lt;=PR_SFTfrom,PR_SFT2026,IF(D271=PR_SFTfrom+1,PR_SFT2027,IF(D271=PR_SFTfrom+2,PR_SFT2028,IF(D271&lt;=PR_SFTto,PR_SFT2029,PR_SFT2029*(1+AS_Infl)^(D271-PR_SFTto)))))</f>
        <v>5599690.74745488</v>
      </c>
      <c r="U271" s="20" t="n">
        <f aca="false">IF(AND(G271=0,C271=F_V),1,0)</f>
        <v>0</v>
      </c>
      <c r="V271" s="20" t="n">
        <f aca="false">IF(U271=1,PR_SFTrate*MAX(0,S271-T271),0)</f>
        <v>0</v>
      </c>
      <c r="W271" s="20" t="n">
        <f aca="false">S271-V271</f>
        <v>380838.179365212</v>
      </c>
      <c r="X271" s="20" t="n">
        <f aca="false">IF(AND(U271=1,AS_LumpPct&gt;0),W271*MIN(AS_LumpPct,PR_LSmax),0)</f>
        <v>0</v>
      </c>
      <c r="Y271" s="20" t="n">
        <f aca="false">X271-(PR_LSrate*MAX(0,MIN(X271,PR_LScap)-PR_LSfree)+PR_r2*MAX(0,X271-PR_LScap))</f>
        <v>0</v>
      </c>
      <c r="Z271" s="20" t="n">
        <f aca="false">W271-X271</f>
        <v>380838.179365212</v>
      </c>
      <c r="AA271" s="45" t="n">
        <f aca="false">IF(C271&gt;=PR_ARFage1,IF(Z271&gt;PR_ARFbig,PR_ARFbigRate,IF(C271&gt;=PR_ARFage2,PR_ARF71,PR_ARF61)),0)</f>
        <v>0.05</v>
      </c>
      <c r="AB271" s="20" t="n">
        <f aca="false">IF(AS_DrawRule="min",Z271*AA271,IF(AS_DrawRule="fixed",MAX(AS_DrawFixed*E271,Z271*AA271),Z271*MAX(1/MAX(1,AS_End-C271+1),AA271)))</f>
        <v>19041.9089682606</v>
      </c>
      <c r="AC271" s="20" t="n">
        <f aca="false">IF(AND(G271=0,C271&gt;=F_V),MIN(Z271,AB271),0)</f>
        <v>19041.9089682606</v>
      </c>
      <c r="AD271" s="20" t="n">
        <f aca="false">IF(G271=1,S271*(1+F_PenG)+Q271,IF(C271&lt;F_V,S271*(1+F_PenG),(Z271-AC271)*(1+AS_PenRet)))</f>
        <v>373192.852914455</v>
      </c>
      <c r="AE271" s="20" t="n">
        <f aca="false">IF(C271&gt;=PR_SPage,AS_SP*F_SpF*I271+IF(AND(C271&gt;=PR_Over80Age,F_SpF&gt;0),PR_Over80*PR_Weeks*I271,0),0)</f>
        <v>32382.9504759068</v>
      </c>
      <c r="AF271" s="20" t="n">
        <f aca="false">(F_OtherM+F_RentM)*12*E271</f>
        <v>0</v>
      </c>
      <c r="AG271" s="20" t="n">
        <f aca="false">F_PAge+B271</f>
        <v>74</v>
      </c>
      <c r="AH271" s="20" t="n">
        <f aca="false">IF(AND(F_Partner=1,F_PAge&gt;0,AG271&lt;IF(F_PRet&gt;0,F_PRet,PR_SPage)),F_PIncome*F271,0)</f>
        <v>0</v>
      </c>
      <c r="AI271" s="20" t="n">
        <f aca="false">IF(AND(F_Partner=1,AG271&gt;=PR_SPage,F_PSpQA=0),AS_SP*F_PSpF*I271,0)</f>
        <v>25906.3603807255</v>
      </c>
      <c r="AJ271" s="20" t="n">
        <f aca="false">IF(AND(F_Partner=1,F_PSpQA=1,C271&gt;=PR_SPage,AH271=0),IF(AG271&gt;=PR_SPage,PR_QA66,PR_QAunder)*PR_Weeks*I271,0)</f>
        <v>0</v>
      </c>
      <c r="AK271" s="20" t="n">
        <f aca="false">AE271+AJ271</f>
        <v>32382.9504759068</v>
      </c>
      <c r="AL271" s="20" t="n">
        <f aca="false">K271/H271</f>
        <v>0</v>
      </c>
      <c r="AM271" s="20" t="n">
        <f aca="false">AK271/H271</f>
        <v>15563.6</v>
      </c>
      <c r="AN271" s="20" t="n">
        <f aca="false">AC271/H271</f>
        <v>9151.74961092305</v>
      </c>
      <c r="AO271" s="20" t="n">
        <f aca="false">AF271/H271</f>
        <v>0</v>
      </c>
      <c r="AP271" s="20" t="n">
        <f aca="false">O271/H271</f>
        <v>0</v>
      </c>
      <c r="AQ271" s="20" t="n">
        <f aca="false">AH271/H271</f>
        <v>0</v>
      </c>
      <c r="AR271" s="20" t="n">
        <f aca="false">AI271/H271</f>
        <v>12450.88</v>
      </c>
      <c r="AS271" s="20" t="n">
        <f aca="false">MAX(0,AL271+AN271+AO271+AM271-AP271)</f>
        <v>24715.3496109231</v>
      </c>
      <c r="AT271" s="20" t="n">
        <f aca="false">MAX(0,AQ271+AR271)</f>
        <v>12450.88</v>
      </c>
      <c r="AU271" s="20" t="n">
        <f aca="false">MIN(PR_PAYE,PR_PAYEcap*(AL271+AN271+AM271))</f>
        <v>2000</v>
      </c>
      <c r="AV271" s="20" t="n">
        <f aca="false">MIN(PR_PAYE,PR_PAYEcap*(AQ271+AR271))</f>
        <v>2000</v>
      </c>
      <c r="AW271" s="20" t="n">
        <f aca="false">IF(C271&gt;=PR_AgeCrAge,PR_AgeCr,0)</f>
        <v>245</v>
      </c>
      <c r="AX271" s="20" t="n">
        <f aca="false">IF(AG271&gt;=PR_AgeCrAge,PR_AgeCr,0)</f>
        <v>245</v>
      </c>
      <c r="AY271" s="20" t="n">
        <f aca="false">IF(AND(F_RentCred=1,D271&lt;=PR_RentLast),1,0)</f>
        <v>0</v>
      </c>
      <c r="AZ271" s="20" t="n">
        <f aca="false">AS271+AT271</f>
        <v>37166.2296109231</v>
      </c>
      <c r="BA271" s="20" t="n">
        <f aca="false">PR_PersonalM+AU271+AV271+AW271+AX271+IF(AY271=1,PR_RentJoint,0)</f>
        <v>8490</v>
      </c>
      <c r="BB271" s="20" t="n">
        <f aca="false">PR_BandM+MIN(MIN(AS271,AT271),PR_Uplift)</f>
        <v>65450.88</v>
      </c>
      <c r="BC271" s="20" t="n">
        <f aca="false">MAX(0,PR_r1*MIN(AZ271,BB271)+PR_r2*MAX(0,AZ271-BB271)-BA271)</f>
        <v>0</v>
      </c>
      <c r="BD271" s="20" t="n">
        <f aca="false">MAX(0,PR_HomeCarer-MAX(0,MIN(AS271,AT271)-PR_HCLimit)/2)</f>
        <v>0</v>
      </c>
      <c r="BE271" s="20" t="n">
        <f aca="false">IF(F_Carer=1,MIN(BC271,MAX(0,PR_r1*MIN(AZ271,PR_BandM)+PR_r2*MAX(0,AZ271-PR_BandM)-BA271-BD271)),BC271)</f>
        <v>0</v>
      </c>
      <c r="BF271" s="20" t="n">
        <f aca="false">IF(OR(C271&gt;=PR_AgeCrAge,AG271&gt;=PR_AgeCrAge),IF(AZ271&lt;=PR_AgeExM,0,MIN(BE271,PR_AgeMarg*(AZ271-PR_AgeExM))),BE271)</f>
        <v>0</v>
      </c>
      <c r="BG271" s="20" t="n">
        <f aca="false">MAX(0,PR_r1*MIN(AS271,IF(F_Spccc=1,PR_BandSPCCC,PR_Band))+PR_r2*MAX(0,AS271-IF(F_Spccc=1,PR_BandSPCCC,PR_Band))-(PR_Personal+AU271+AW271+IF(F_Spccc=1,PR_SPCCC,0)+IF(AY271=1,PR_Rent,0)))</f>
        <v>698.069922184611</v>
      </c>
      <c r="BH271" s="20" t="n">
        <f aca="false">IF(C271&gt;=PR_AgeCrAge,IF(AS271&lt;=PR_AgeEx,0,MIN(BG271,PR_AgeMarg*(AS271-PR_AgeEx))),BG271)</f>
        <v>698.069922184611</v>
      </c>
      <c r="BI271" s="20" t="n">
        <f aca="false">IF(F_Partner=1,MAX(0,PR_r1*MIN(AT271,PR_Band)+PR_r2*MAX(0,AT271-PR_Band)-(PR_Personal+AV271+AX271+IF(AND(AY271=1,AT271&gt;0),PR_Rent,0))),0)</f>
        <v>0</v>
      </c>
      <c r="BJ271" s="20" t="n">
        <f aca="false">IF(AG271&gt;=PR_AgeCrAge,IF(AT271&lt;=PR_AgeEx,0,MIN(BI271,PR_AgeMarg*(AT271-PR_AgeEx))),BI271)</f>
        <v>0</v>
      </c>
      <c r="BK271" s="20" t="n">
        <f aca="false">IF(F_Partner=1,IF(F_Married=1,BF271,BH271+BJ271),BH271)</f>
        <v>698.069922184611</v>
      </c>
      <c r="BL271" s="20" t="n">
        <f aca="false">AL271+AN271+AO271</f>
        <v>9151.74961092305</v>
      </c>
      <c r="BM271" s="20" t="n">
        <f aca="false">IF(BL271&lt;=PR_USCex,0,IF(IF(AND(C271&gt;=PR_USCredAge,BL271&lt;=PR_USCredMax),1,0)=1,PR_USCr1*MIN(BL271,PR_USCredB1)+PR_USCredR2*MAX(0,BL271-PR_USCredB1),PR_USCr1*MIN(BL271,PR_USCb1)+PR_USCr2*MAX(0,MIN(BL271,PR_USCb2)-PR_USCb1)+PR_USCr3*MAX(0,MIN(BL271,PR_USCb3)-PR_USCb2)+PR_USCr4*MAX(0,BL271-PR_USCb3)))+IF(F_SelfEmp=1,PR_USCse*MAX(0,AL271-PR_USCseOver),0)</f>
        <v>0</v>
      </c>
      <c r="BN271" s="20" t="n">
        <f aca="false">AQ271</f>
        <v>0</v>
      </c>
      <c r="BO271" s="20" t="n">
        <f aca="false">IF(F_Partner=1,IF(BN271&lt;=PR_USCex,0,IF(IF(AND(AG271&gt;=PR_USCredAge,BN271&lt;=PR_USCredMax),1,0)=1,PR_USCr1*MIN(BN271,PR_USCredB1)+PR_USCredR2*MAX(0,BN271-PR_USCredB1),PR_USCr1*MIN(BN271,PR_USCb1)+PR_USCr2*MAX(0,MIN(BN271,PR_USCb2)-PR_USCb1)+PR_USCr3*MAX(0,MIN(BN271,PR_USCb3)-PR_USCb2)+PR_USCr4*MAX(0,BN271-PR_USCb3))),0)</f>
        <v>0</v>
      </c>
      <c r="BP271" s="20" t="n">
        <f aca="false">IF(C271&lt;PR_PRSIend,IF(F_SelfEmp=1,IF(AL271&gt;PR_PRSIsMinInc,MAX(PR_PRSIsMin,AL271*J271),0),IF(AL271/52&lt;=PR_PRSIfree,0,MAX(0,(AL271/52*J271-IF(AL271/52&lt;=PR_PRSIcreditTo,MAX(0,PR_PRSIcreditMax-(AL271/52-(PR_PRSIfree+0.01))/PR_PRSItaper),0))*52)))+J271*AN271+IF(AO271&gt;PR_PRSIunearned,J271*AO271,0),0)</f>
        <v>0</v>
      </c>
      <c r="BQ271" s="20" t="n">
        <f aca="false">IF(AND(F_Partner=1,AG271&lt;PR_PRSIend),IF(AQ271/52&lt;=PR_PRSIfree,0,MAX(0,(AQ271/52*J271-IF(AQ271/52&lt;=PR_PRSIcreditTo,MAX(0,PR_PRSIcreditMax-(AQ271/52-(PR_PRSIfree+0.01))/PR_PRSItaper),0))*52)),0)</f>
        <v>0</v>
      </c>
      <c r="BR271" s="20" t="n">
        <f aca="false">BK271+BM271+BO271+BP271+BQ271</f>
        <v>698.069922184611</v>
      </c>
      <c r="BS271" s="20" t="n">
        <f aca="false">BR271*H271</f>
        <v>1452.46367927886</v>
      </c>
      <c r="BT271" s="20" t="n">
        <f aca="false">K271+AK271+AC271+AF271+AH271+AI271</f>
        <v>77331.2198248929</v>
      </c>
    </row>
    <row r="272" customFormat="false" ht="15" hidden="false" customHeight="true" outlineLevel="0" collapsed="false">
      <c r="B272" s="20" t="n">
        <v>38</v>
      </c>
      <c r="C272" s="20" t="n">
        <f aca="false">F_Age+B272</f>
        <v>76</v>
      </c>
      <c r="D272" s="20" t="n">
        <f aca="false">AS_Year0+B272</f>
        <v>2065</v>
      </c>
      <c r="E272" s="44" t="n">
        <f aca="false">(1+AS_Infl)^B272</f>
        <v>2.12229879240182</v>
      </c>
      <c r="F272" s="44" t="n">
        <f aca="false">(1+AS_Wage)^B272</f>
        <v>3.07478347817804</v>
      </c>
      <c r="G272" s="20" t="n">
        <f aca="false">IF(C272&lt;F_R,1,0)</f>
        <v>0</v>
      </c>
      <c r="H272" s="44" t="n">
        <f aca="false">IF(AS_Bands="flat",1,E272)</f>
        <v>2.12229879240182</v>
      </c>
      <c r="I272" s="44" t="n">
        <f aca="false">IF(AS_SpGrow="pay",F272,IF(AS_SpGrow="flat",1,E272))</f>
        <v>2.12229879240182</v>
      </c>
      <c r="J272" s="44" t="n">
        <f aca="false">(12*PR_PRSIr0+(PR_PRSIr1-PR_PRSIr0)*MAX(0,MIN(12,D272*12+12-PR_PRSIt1))+(PR_PRSIr2-PR_PRSIr1)*MAX(0,MIN(12,D272*12+12-PR_PRSIt2))+(PR_PRSIr3-PR_PRSIr2)*MAX(0,MIN(12,D272*12+12-PR_PRSIt3)))/12</f>
        <v>0.047</v>
      </c>
      <c r="K272" s="20" t="n">
        <f aca="false">IF(G272=1,F_Income*F272,0)</f>
        <v>0</v>
      </c>
      <c r="L272" s="20" t="n">
        <f aca="false">IF(G272=1,(F_Own+In_penExtra)*12*F272,0)</f>
        <v>0</v>
      </c>
      <c r="M272" s="20" t="n">
        <f aca="false">IF(G272=1,(F_PenM+In_penExtra)*12*F272,0)</f>
        <v>0</v>
      </c>
      <c r="N272" s="45" t="n">
        <f aca="false">IF(C272&lt;PR_RelA1,PR_RelP1,IF(C272&lt;PR_RelA2,PR_RelP2,IF(C272&lt;PR_RelA3,PR_RelP3,IF(C272&lt;PR_RelA4,PR_RelP4,IF(C272&lt;PR_RelA5,PR_RelP5,PR_RelP6)))))</f>
        <v>0.4</v>
      </c>
      <c r="O272" s="20" t="n">
        <f aca="false">IF(G272=1,MIN(L272/H272,N272*MIN(K272/H272,PR_EarnCap))*H272,0)</f>
        <v>0</v>
      </c>
      <c r="P272" s="20" t="n">
        <f aca="false">IF(AND(G272=1,F_AE=1),MIN(K272/H272,PR_AEcap)*H272,0)</f>
        <v>0</v>
      </c>
      <c r="Q272" s="20" t="n">
        <f aca="false">IF(G272=1,IF(WI_Retire=1,MAX(0,M272+WI_M*12),M272)+(PR_AEee+PR_AEer+PR_AEst)*P272,0)</f>
        <v>0</v>
      </c>
      <c r="R272" s="20" t="n">
        <f aca="false">L272+PR_AEee*P272</f>
        <v>0</v>
      </c>
      <c r="S272" s="20" t="n">
        <f aca="false">AD271</f>
        <v>373192.852914455</v>
      </c>
      <c r="T272" s="20" t="n">
        <f aca="false">IF(D272&lt;=PR_SFTfrom,PR_SFT2026,IF(D272=PR_SFTfrom+1,PR_SFT2027,IF(D272=PR_SFTfrom+2,PR_SFT2028,IF(D272&lt;=PR_SFTto,PR_SFT2029,PR_SFT2029*(1+AS_Infl)^(D272-PR_SFTto)))))</f>
        <v>5711684.56240398</v>
      </c>
      <c r="U272" s="20" t="n">
        <f aca="false">IF(AND(G272=0,C272=F_V),1,0)</f>
        <v>0</v>
      </c>
      <c r="V272" s="20" t="n">
        <f aca="false">IF(U272=1,PR_SFTrate*MAX(0,S272-T272),0)</f>
        <v>0</v>
      </c>
      <c r="W272" s="20" t="n">
        <f aca="false">S272-V272</f>
        <v>373192.852914455</v>
      </c>
      <c r="X272" s="20" t="n">
        <f aca="false">IF(AND(U272=1,AS_LumpPct&gt;0),W272*MIN(AS_LumpPct,PR_LSmax),0)</f>
        <v>0</v>
      </c>
      <c r="Y272" s="20" t="n">
        <f aca="false">X272-(PR_LSrate*MAX(0,MIN(X272,PR_LScap)-PR_LSfree)+PR_r2*MAX(0,X272-PR_LScap))</f>
        <v>0</v>
      </c>
      <c r="Z272" s="20" t="n">
        <f aca="false">W272-X272</f>
        <v>373192.852914455</v>
      </c>
      <c r="AA272" s="45" t="n">
        <f aca="false">IF(C272&gt;=PR_ARFage1,IF(Z272&gt;PR_ARFbig,PR_ARFbigRate,IF(C272&gt;=PR_ARFage2,PR_ARF71,PR_ARF61)),0)</f>
        <v>0.05</v>
      </c>
      <c r="AB272" s="20" t="n">
        <f aca="false">IF(AS_DrawRule="min",Z272*AA272,IF(AS_DrawRule="fixed",MAX(AS_DrawFixed*E272,Z272*AA272),Z272*MAX(1/MAX(1,AS_End-C272+1),AA272)))</f>
        <v>18659.6426457228</v>
      </c>
      <c r="AC272" s="20" t="n">
        <f aca="false">IF(AND(G272=0,C272&gt;=F_V),MIN(Z272,AB272),0)</f>
        <v>18659.6426457228</v>
      </c>
      <c r="AD272" s="20" t="n">
        <f aca="false">IF(G272=1,S272*(1+F_PenG)+Q272,IF(C272&lt;F_V,S272*(1+F_PenG),(Z272-AC272)*(1+AS_PenRet)))</f>
        <v>365701.006392198</v>
      </c>
      <c r="AE272" s="20" t="n">
        <f aca="false">IF(C272&gt;=PR_SPage,AS_SP*F_SpF*I272+IF(AND(C272&gt;=PR_Over80Age,F_SpF&gt;0),PR_Over80*PR_Weeks*I272,0),0)</f>
        <v>33030.609485425</v>
      </c>
      <c r="AF272" s="20" t="n">
        <f aca="false">(F_OtherM+F_RentM)*12*E272</f>
        <v>0</v>
      </c>
      <c r="AG272" s="20" t="n">
        <f aca="false">F_PAge+B272</f>
        <v>75</v>
      </c>
      <c r="AH272" s="20" t="n">
        <f aca="false">IF(AND(F_Partner=1,F_PAge&gt;0,AG272&lt;IF(F_PRet&gt;0,F_PRet,PR_SPage)),F_PIncome*F272,0)</f>
        <v>0</v>
      </c>
      <c r="AI272" s="20" t="n">
        <f aca="false">IF(AND(F_Partner=1,AG272&gt;=PR_SPage,F_PSpQA=0),AS_SP*F_PSpF*I272,0)</f>
        <v>26424.48758834</v>
      </c>
      <c r="AJ272" s="20" t="n">
        <f aca="false">IF(AND(F_Partner=1,F_PSpQA=1,C272&gt;=PR_SPage,AH272=0),IF(AG272&gt;=PR_SPage,PR_QA66,PR_QAunder)*PR_Weeks*I272,0)</f>
        <v>0</v>
      </c>
      <c r="AK272" s="20" t="n">
        <f aca="false">AE272+AJ272</f>
        <v>33030.609485425</v>
      </c>
      <c r="AL272" s="20" t="n">
        <f aca="false">K272/H272</f>
        <v>0</v>
      </c>
      <c r="AM272" s="20" t="n">
        <f aca="false">AK272/H272</f>
        <v>15563.6</v>
      </c>
      <c r="AN272" s="20" t="n">
        <f aca="false">AC272/H272</f>
        <v>8792.18454655272</v>
      </c>
      <c r="AO272" s="20" t="n">
        <f aca="false">AF272/H272</f>
        <v>0</v>
      </c>
      <c r="AP272" s="20" t="n">
        <f aca="false">O272/H272</f>
        <v>0</v>
      </c>
      <c r="AQ272" s="20" t="n">
        <f aca="false">AH272/H272</f>
        <v>0</v>
      </c>
      <c r="AR272" s="20" t="n">
        <f aca="false">AI272/H272</f>
        <v>12450.88</v>
      </c>
      <c r="AS272" s="20" t="n">
        <f aca="false">MAX(0,AL272+AN272+AO272+AM272-AP272)</f>
        <v>24355.7845465527</v>
      </c>
      <c r="AT272" s="20" t="n">
        <f aca="false">MAX(0,AQ272+AR272)</f>
        <v>12450.88</v>
      </c>
      <c r="AU272" s="20" t="n">
        <f aca="false">MIN(PR_PAYE,PR_PAYEcap*(AL272+AN272+AM272))</f>
        <v>2000</v>
      </c>
      <c r="AV272" s="20" t="n">
        <f aca="false">MIN(PR_PAYE,PR_PAYEcap*(AQ272+AR272))</f>
        <v>2000</v>
      </c>
      <c r="AW272" s="20" t="n">
        <f aca="false">IF(C272&gt;=PR_AgeCrAge,PR_AgeCr,0)</f>
        <v>245</v>
      </c>
      <c r="AX272" s="20" t="n">
        <f aca="false">IF(AG272&gt;=PR_AgeCrAge,PR_AgeCr,0)</f>
        <v>245</v>
      </c>
      <c r="AY272" s="20" t="n">
        <f aca="false">IF(AND(F_RentCred=1,D272&lt;=PR_RentLast),1,0)</f>
        <v>0</v>
      </c>
      <c r="AZ272" s="20" t="n">
        <f aca="false">AS272+AT272</f>
        <v>36806.6645465527</v>
      </c>
      <c r="BA272" s="20" t="n">
        <f aca="false">PR_PersonalM+AU272+AV272+AW272+AX272+IF(AY272=1,PR_RentJoint,0)</f>
        <v>8490</v>
      </c>
      <c r="BB272" s="20" t="n">
        <f aca="false">PR_BandM+MIN(MIN(AS272,AT272),PR_Uplift)</f>
        <v>65450.88</v>
      </c>
      <c r="BC272" s="20" t="n">
        <f aca="false">MAX(0,PR_r1*MIN(AZ272,BB272)+PR_r2*MAX(0,AZ272-BB272)-BA272)</f>
        <v>0</v>
      </c>
      <c r="BD272" s="20" t="n">
        <f aca="false">MAX(0,PR_HomeCarer-MAX(0,MIN(AS272,AT272)-PR_HCLimit)/2)</f>
        <v>0</v>
      </c>
      <c r="BE272" s="20" t="n">
        <f aca="false">IF(F_Carer=1,MIN(BC272,MAX(0,PR_r1*MIN(AZ272,PR_BandM)+PR_r2*MAX(0,AZ272-PR_BandM)-BA272-BD272)),BC272)</f>
        <v>0</v>
      </c>
      <c r="BF272" s="20" t="n">
        <f aca="false">IF(OR(C272&gt;=PR_AgeCrAge,AG272&gt;=PR_AgeCrAge),IF(AZ272&lt;=PR_AgeExM,0,MIN(BE272,PR_AgeMarg*(AZ272-PR_AgeExM))),BE272)</f>
        <v>0</v>
      </c>
      <c r="BG272" s="20" t="n">
        <f aca="false">MAX(0,PR_r1*MIN(AS272,IF(F_Spccc=1,PR_BandSPCCC,PR_Band))+PR_r2*MAX(0,AS272-IF(F_Spccc=1,PR_BandSPCCC,PR_Band))-(PR_Personal+AU272+AW272+IF(F_Spccc=1,PR_SPCCC,0)+IF(AY272=1,PR_Rent,0)))</f>
        <v>626.156909310544</v>
      </c>
      <c r="BH272" s="20" t="n">
        <f aca="false">IF(C272&gt;=PR_AgeCrAge,IF(AS272&lt;=PR_AgeEx,0,MIN(BG272,PR_AgeMarg*(AS272-PR_AgeEx))),BG272)</f>
        <v>626.156909310544</v>
      </c>
      <c r="BI272" s="20" t="n">
        <f aca="false">IF(F_Partner=1,MAX(0,PR_r1*MIN(AT272,PR_Band)+PR_r2*MAX(0,AT272-PR_Band)-(PR_Personal+AV272+AX272+IF(AND(AY272=1,AT272&gt;0),PR_Rent,0))),0)</f>
        <v>0</v>
      </c>
      <c r="BJ272" s="20" t="n">
        <f aca="false">IF(AG272&gt;=PR_AgeCrAge,IF(AT272&lt;=PR_AgeEx,0,MIN(BI272,PR_AgeMarg*(AT272-PR_AgeEx))),BI272)</f>
        <v>0</v>
      </c>
      <c r="BK272" s="20" t="n">
        <f aca="false">IF(F_Partner=1,IF(F_Married=1,BF272,BH272+BJ272),BH272)</f>
        <v>626.156909310544</v>
      </c>
      <c r="BL272" s="20" t="n">
        <f aca="false">AL272+AN272+AO272</f>
        <v>8792.18454655272</v>
      </c>
      <c r="BM272" s="20" t="n">
        <f aca="false">IF(BL272&lt;=PR_USCex,0,IF(IF(AND(C272&gt;=PR_USCredAge,BL272&lt;=PR_USCredMax),1,0)=1,PR_USCr1*MIN(BL272,PR_USCredB1)+PR_USCredR2*MAX(0,BL272-PR_USCredB1),PR_USCr1*MIN(BL272,PR_USCb1)+PR_USCr2*MAX(0,MIN(BL272,PR_USCb2)-PR_USCb1)+PR_USCr3*MAX(0,MIN(BL272,PR_USCb3)-PR_USCb2)+PR_USCr4*MAX(0,BL272-PR_USCb3)))+IF(F_SelfEmp=1,PR_USCse*MAX(0,AL272-PR_USCseOver),0)</f>
        <v>0</v>
      </c>
      <c r="BN272" s="20" t="n">
        <f aca="false">AQ272</f>
        <v>0</v>
      </c>
      <c r="BO272" s="20" t="n">
        <f aca="false">IF(F_Partner=1,IF(BN272&lt;=PR_USCex,0,IF(IF(AND(AG272&gt;=PR_USCredAge,BN272&lt;=PR_USCredMax),1,0)=1,PR_USCr1*MIN(BN272,PR_USCredB1)+PR_USCredR2*MAX(0,BN272-PR_USCredB1),PR_USCr1*MIN(BN272,PR_USCb1)+PR_USCr2*MAX(0,MIN(BN272,PR_USCb2)-PR_USCb1)+PR_USCr3*MAX(0,MIN(BN272,PR_USCb3)-PR_USCb2)+PR_USCr4*MAX(0,BN272-PR_USCb3))),0)</f>
        <v>0</v>
      </c>
      <c r="BP272" s="20" t="n">
        <f aca="false">IF(C272&lt;PR_PRSIend,IF(F_SelfEmp=1,IF(AL272&gt;PR_PRSIsMinInc,MAX(PR_PRSIsMin,AL272*J272),0),IF(AL272/52&lt;=PR_PRSIfree,0,MAX(0,(AL272/52*J272-IF(AL272/52&lt;=PR_PRSIcreditTo,MAX(0,PR_PRSIcreditMax-(AL272/52-(PR_PRSIfree+0.01))/PR_PRSItaper),0))*52)))+J272*AN272+IF(AO272&gt;PR_PRSIunearned,J272*AO272,0),0)</f>
        <v>0</v>
      </c>
      <c r="BQ272" s="20" t="n">
        <f aca="false">IF(AND(F_Partner=1,AG272&lt;PR_PRSIend),IF(AQ272/52&lt;=PR_PRSIfree,0,MAX(0,(AQ272/52*J272-IF(AQ272/52&lt;=PR_PRSIcreditTo,MAX(0,PR_PRSIcreditMax-(AQ272/52-(PR_PRSIfree+0.01))/PR_PRSItaper),0))*52)),0)</f>
        <v>0</v>
      </c>
      <c r="BR272" s="20" t="n">
        <f aca="false">BK272+BM272+BO272+BP272+BQ272</f>
        <v>626.156909310544</v>
      </c>
      <c r="BS272" s="20" t="n">
        <f aca="false">BR272*H272</f>
        <v>1328.89205248382</v>
      </c>
      <c r="BT272" s="20" t="n">
        <f aca="false">K272+AK272+AC272+AF272+AH272+AI272</f>
        <v>78114.7397194877</v>
      </c>
    </row>
    <row r="273" customFormat="false" ht="15" hidden="false" customHeight="true" outlineLevel="0" collapsed="false">
      <c r="B273" s="20" t="n">
        <v>39</v>
      </c>
      <c r="C273" s="20" t="n">
        <f aca="false">F_Age+B273</f>
        <v>77</v>
      </c>
      <c r="D273" s="20" t="n">
        <f aca="false">AS_Year0+B273</f>
        <v>2066</v>
      </c>
      <c r="E273" s="44" t="n">
        <f aca="false">(1+AS_Infl)^B273</f>
        <v>2.16474476824986</v>
      </c>
      <c r="F273" s="44" t="n">
        <f aca="false">(1+AS_Wage)^B273</f>
        <v>3.16702698252338</v>
      </c>
      <c r="G273" s="20" t="n">
        <f aca="false">IF(C273&lt;F_R,1,0)</f>
        <v>0</v>
      </c>
      <c r="H273" s="44" t="n">
        <f aca="false">IF(AS_Bands="flat",1,E273)</f>
        <v>2.16474476824986</v>
      </c>
      <c r="I273" s="44" t="n">
        <f aca="false">IF(AS_SpGrow="pay",F273,IF(AS_SpGrow="flat",1,E273))</f>
        <v>2.16474476824986</v>
      </c>
      <c r="J273" s="44" t="n">
        <f aca="false">(12*PR_PRSIr0+(PR_PRSIr1-PR_PRSIr0)*MAX(0,MIN(12,D273*12+12-PR_PRSIt1))+(PR_PRSIr2-PR_PRSIr1)*MAX(0,MIN(12,D273*12+12-PR_PRSIt2))+(PR_PRSIr3-PR_PRSIr2)*MAX(0,MIN(12,D273*12+12-PR_PRSIt3)))/12</f>
        <v>0.047</v>
      </c>
      <c r="K273" s="20" t="n">
        <f aca="false">IF(G273=1,F_Income*F273,0)</f>
        <v>0</v>
      </c>
      <c r="L273" s="20" t="n">
        <f aca="false">IF(G273=1,(F_Own+In_penExtra)*12*F273,0)</f>
        <v>0</v>
      </c>
      <c r="M273" s="20" t="n">
        <f aca="false">IF(G273=1,(F_PenM+In_penExtra)*12*F273,0)</f>
        <v>0</v>
      </c>
      <c r="N273" s="45" t="n">
        <f aca="false">IF(C273&lt;PR_RelA1,PR_RelP1,IF(C273&lt;PR_RelA2,PR_RelP2,IF(C273&lt;PR_RelA3,PR_RelP3,IF(C273&lt;PR_RelA4,PR_RelP4,IF(C273&lt;PR_RelA5,PR_RelP5,PR_RelP6)))))</f>
        <v>0.4</v>
      </c>
      <c r="O273" s="20" t="n">
        <f aca="false">IF(G273=1,MIN(L273/H273,N273*MIN(K273/H273,PR_EarnCap))*H273,0)</f>
        <v>0</v>
      </c>
      <c r="P273" s="20" t="n">
        <f aca="false">IF(AND(G273=1,F_AE=1),MIN(K273/H273,PR_AEcap)*H273,0)</f>
        <v>0</v>
      </c>
      <c r="Q273" s="20" t="n">
        <f aca="false">IF(G273=1,IF(WI_Retire=1,MAX(0,M273+WI_M*12),M273)+(PR_AEee+PR_AEer+PR_AEst)*P273,0)</f>
        <v>0</v>
      </c>
      <c r="R273" s="20" t="n">
        <f aca="false">L273+PR_AEee*P273</f>
        <v>0</v>
      </c>
      <c r="S273" s="20" t="n">
        <f aca="false">AD272</f>
        <v>365701.006392198</v>
      </c>
      <c r="T273" s="20" t="n">
        <f aca="false">IF(D273&lt;=PR_SFTfrom,PR_SFT2026,IF(D273=PR_SFTfrom+1,PR_SFT2027,IF(D273=PR_SFTfrom+2,PR_SFT2028,IF(D273&lt;=PR_SFTto,PR_SFT2029,PR_SFT2029*(1+AS_Infl)^(D273-PR_SFTto)))))</f>
        <v>5825918.25365206</v>
      </c>
      <c r="U273" s="20" t="n">
        <f aca="false">IF(AND(G273=0,C273=F_V),1,0)</f>
        <v>0</v>
      </c>
      <c r="V273" s="20" t="n">
        <f aca="false">IF(U273=1,PR_SFTrate*MAX(0,S273-T273),0)</f>
        <v>0</v>
      </c>
      <c r="W273" s="20" t="n">
        <f aca="false">S273-V273</f>
        <v>365701.006392198</v>
      </c>
      <c r="X273" s="20" t="n">
        <f aca="false">IF(AND(U273=1,AS_LumpPct&gt;0),W273*MIN(AS_LumpPct,PR_LSmax),0)</f>
        <v>0</v>
      </c>
      <c r="Y273" s="20" t="n">
        <f aca="false">X273-(PR_LSrate*MAX(0,MIN(X273,PR_LScap)-PR_LSfree)+PR_r2*MAX(0,X273-PR_LScap))</f>
        <v>0</v>
      </c>
      <c r="Z273" s="20" t="n">
        <f aca="false">W273-X273</f>
        <v>365701.006392198</v>
      </c>
      <c r="AA273" s="45" t="n">
        <f aca="false">IF(C273&gt;=PR_ARFage1,IF(Z273&gt;PR_ARFbig,PR_ARFbigRate,IF(C273&gt;=PR_ARFage2,PR_ARF71,PR_ARF61)),0)</f>
        <v>0.05</v>
      </c>
      <c r="AB273" s="20" t="n">
        <f aca="false">IF(AS_DrawRule="min",Z273*AA273,IF(AS_DrawRule="fixed",MAX(AS_DrawFixed*E273,Z273*AA273),Z273*MAX(1/MAX(1,AS_End-C273+1),AA273)))</f>
        <v>19247.421389063</v>
      </c>
      <c r="AC273" s="20" t="n">
        <f aca="false">IF(AND(G273=0,C273&gt;=F_V),MIN(Z273,AB273),0)</f>
        <v>19247.421389063</v>
      </c>
      <c r="AD273" s="20" t="n">
        <f aca="false">IF(G273=1,S273*(1+F_PenG)+Q273,IF(C273&lt;F_V,S273*(1+F_PenG),(Z273-AC273)*(1+AS_PenRet)))</f>
        <v>357366.872930734</v>
      </c>
      <c r="AE273" s="20" t="n">
        <f aca="false">IF(C273&gt;=PR_SPage,AS_SP*F_SpF*I273+IF(AND(C273&gt;=PR_Over80Age,F_SpF&gt;0),PR_Over80*PR_Weeks*I273,0),0)</f>
        <v>33691.2216751335</v>
      </c>
      <c r="AF273" s="20" t="n">
        <f aca="false">(F_OtherM+F_RentM)*12*E273</f>
        <v>0</v>
      </c>
      <c r="AG273" s="20" t="n">
        <f aca="false">F_PAge+B273</f>
        <v>76</v>
      </c>
      <c r="AH273" s="20" t="n">
        <f aca="false">IF(AND(F_Partner=1,F_PAge&gt;0,AG273&lt;IF(F_PRet&gt;0,F_PRet,PR_SPage)),F_PIncome*F273,0)</f>
        <v>0</v>
      </c>
      <c r="AI273" s="20" t="n">
        <f aca="false">IF(AND(F_Partner=1,AG273&gt;=PR_SPage,F_PSpQA=0),AS_SP*F_PSpF*I273,0)</f>
        <v>26952.9773401068</v>
      </c>
      <c r="AJ273" s="20" t="n">
        <f aca="false">IF(AND(F_Partner=1,F_PSpQA=1,C273&gt;=PR_SPage,AH273=0),IF(AG273&gt;=PR_SPage,PR_QA66,PR_QAunder)*PR_Weeks*I273,0)</f>
        <v>0</v>
      </c>
      <c r="AK273" s="20" t="n">
        <f aca="false">AE273+AJ273</f>
        <v>33691.2216751335</v>
      </c>
      <c r="AL273" s="20" t="n">
        <f aca="false">K273/H273</f>
        <v>0</v>
      </c>
      <c r="AM273" s="20" t="n">
        <f aca="false">AK273/H273</f>
        <v>15563.6</v>
      </c>
      <c r="AN273" s="20" t="n">
        <f aca="false">AC273/H273</f>
        <v>8891.31211742071</v>
      </c>
      <c r="AO273" s="20" t="n">
        <f aca="false">AF273/H273</f>
        <v>0</v>
      </c>
      <c r="AP273" s="20" t="n">
        <f aca="false">O273/H273</f>
        <v>0</v>
      </c>
      <c r="AQ273" s="20" t="n">
        <f aca="false">AH273/H273</f>
        <v>0</v>
      </c>
      <c r="AR273" s="20" t="n">
        <f aca="false">AI273/H273</f>
        <v>12450.88</v>
      </c>
      <c r="AS273" s="20" t="n">
        <f aca="false">MAX(0,AL273+AN273+AO273+AM273-AP273)</f>
        <v>24454.9121174207</v>
      </c>
      <c r="AT273" s="20" t="n">
        <f aca="false">MAX(0,AQ273+AR273)</f>
        <v>12450.88</v>
      </c>
      <c r="AU273" s="20" t="n">
        <f aca="false">MIN(PR_PAYE,PR_PAYEcap*(AL273+AN273+AM273))</f>
        <v>2000</v>
      </c>
      <c r="AV273" s="20" t="n">
        <f aca="false">MIN(PR_PAYE,PR_PAYEcap*(AQ273+AR273))</f>
        <v>2000</v>
      </c>
      <c r="AW273" s="20" t="n">
        <f aca="false">IF(C273&gt;=PR_AgeCrAge,PR_AgeCr,0)</f>
        <v>245</v>
      </c>
      <c r="AX273" s="20" t="n">
        <f aca="false">IF(AG273&gt;=PR_AgeCrAge,PR_AgeCr,0)</f>
        <v>245</v>
      </c>
      <c r="AY273" s="20" t="n">
        <f aca="false">IF(AND(F_RentCred=1,D273&lt;=PR_RentLast),1,0)</f>
        <v>0</v>
      </c>
      <c r="AZ273" s="20" t="n">
        <f aca="false">AS273+AT273</f>
        <v>36905.7921174207</v>
      </c>
      <c r="BA273" s="20" t="n">
        <f aca="false">PR_PersonalM+AU273+AV273+AW273+AX273+IF(AY273=1,PR_RentJoint,0)</f>
        <v>8490</v>
      </c>
      <c r="BB273" s="20" t="n">
        <f aca="false">PR_BandM+MIN(MIN(AS273,AT273),PR_Uplift)</f>
        <v>65450.88</v>
      </c>
      <c r="BC273" s="20" t="n">
        <f aca="false">MAX(0,PR_r1*MIN(AZ273,BB273)+PR_r2*MAX(0,AZ273-BB273)-BA273)</f>
        <v>0</v>
      </c>
      <c r="BD273" s="20" t="n">
        <f aca="false">MAX(0,PR_HomeCarer-MAX(0,MIN(AS273,AT273)-PR_HCLimit)/2)</f>
        <v>0</v>
      </c>
      <c r="BE273" s="20" t="n">
        <f aca="false">IF(F_Carer=1,MIN(BC273,MAX(0,PR_r1*MIN(AZ273,PR_BandM)+PR_r2*MAX(0,AZ273-PR_BandM)-BA273-BD273)),BC273)</f>
        <v>0</v>
      </c>
      <c r="BF273" s="20" t="n">
        <f aca="false">IF(OR(C273&gt;=PR_AgeCrAge,AG273&gt;=PR_AgeCrAge),IF(AZ273&lt;=PR_AgeExM,0,MIN(BE273,PR_AgeMarg*(AZ273-PR_AgeExM))),BE273)</f>
        <v>0</v>
      </c>
      <c r="BG273" s="20" t="n">
        <f aca="false">MAX(0,PR_r1*MIN(AS273,IF(F_Spccc=1,PR_BandSPCCC,PR_Band))+PR_r2*MAX(0,AS273-IF(F_Spccc=1,PR_BandSPCCC,PR_Band))-(PR_Personal+AU273+AW273+IF(F_Spccc=1,PR_SPCCC,0)+IF(AY273=1,PR_Rent,0)))</f>
        <v>645.982423484143</v>
      </c>
      <c r="BH273" s="20" t="n">
        <f aca="false">IF(C273&gt;=PR_AgeCrAge,IF(AS273&lt;=PR_AgeEx,0,MIN(BG273,PR_AgeMarg*(AS273-PR_AgeEx))),BG273)</f>
        <v>645.982423484143</v>
      </c>
      <c r="BI273" s="20" t="n">
        <f aca="false">IF(F_Partner=1,MAX(0,PR_r1*MIN(AT273,PR_Band)+PR_r2*MAX(0,AT273-PR_Band)-(PR_Personal+AV273+AX273+IF(AND(AY273=1,AT273&gt;0),PR_Rent,0))),0)</f>
        <v>0</v>
      </c>
      <c r="BJ273" s="20" t="n">
        <f aca="false">IF(AG273&gt;=PR_AgeCrAge,IF(AT273&lt;=PR_AgeEx,0,MIN(BI273,PR_AgeMarg*(AT273-PR_AgeEx))),BI273)</f>
        <v>0</v>
      </c>
      <c r="BK273" s="20" t="n">
        <f aca="false">IF(F_Partner=1,IF(F_Married=1,BF273,BH273+BJ273),BH273)</f>
        <v>645.982423484143</v>
      </c>
      <c r="BL273" s="20" t="n">
        <f aca="false">AL273+AN273+AO273</f>
        <v>8891.31211742071</v>
      </c>
      <c r="BM273" s="20" t="n">
        <f aca="false">IF(BL273&lt;=PR_USCex,0,IF(IF(AND(C273&gt;=PR_USCredAge,BL273&lt;=PR_USCredMax),1,0)=1,PR_USCr1*MIN(BL273,PR_USCredB1)+PR_USCredR2*MAX(0,BL273-PR_USCredB1),PR_USCr1*MIN(BL273,PR_USCb1)+PR_USCr2*MAX(0,MIN(BL273,PR_USCb2)-PR_USCb1)+PR_USCr3*MAX(0,MIN(BL273,PR_USCb3)-PR_USCb2)+PR_USCr4*MAX(0,BL273-PR_USCb3)))+IF(F_SelfEmp=1,PR_USCse*MAX(0,AL273-PR_USCseOver),0)</f>
        <v>0</v>
      </c>
      <c r="BN273" s="20" t="n">
        <f aca="false">AQ273</f>
        <v>0</v>
      </c>
      <c r="BO273" s="20" t="n">
        <f aca="false">IF(F_Partner=1,IF(BN273&lt;=PR_USCex,0,IF(IF(AND(AG273&gt;=PR_USCredAge,BN273&lt;=PR_USCredMax),1,0)=1,PR_USCr1*MIN(BN273,PR_USCredB1)+PR_USCredR2*MAX(0,BN273-PR_USCredB1),PR_USCr1*MIN(BN273,PR_USCb1)+PR_USCr2*MAX(0,MIN(BN273,PR_USCb2)-PR_USCb1)+PR_USCr3*MAX(0,MIN(BN273,PR_USCb3)-PR_USCb2)+PR_USCr4*MAX(0,BN273-PR_USCb3))),0)</f>
        <v>0</v>
      </c>
      <c r="BP273" s="20" t="n">
        <f aca="false">IF(C273&lt;PR_PRSIend,IF(F_SelfEmp=1,IF(AL273&gt;PR_PRSIsMinInc,MAX(PR_PRSIsMin,AL273*J273),0),IF(AL273/52&lt;=PR_PRSIfree,0,MAX(0,(AL273/52*J273-IF(AL273/52&lt;=PR_PRSIcreditTo,MAX(0,PR_PRSIcreditMax-(AL273/52-(PR_PRSIfree+0.01))/PR_PRSItaper),0))*52)))+J273*AN273+IF(AO273&gt;PR_PRSIunearned,J273*AO273,0),0)</f>
        <v>0</v>
      </c>
      <c r="BQ273" s="20" t="n">
        <f aca="false">IF(AND(F_Partner=1,AG273&lt;PR_PRSIend),IF(AQ273/52&lt;=PR_PRSIfree,0,MAX(0,(AQ273/52*J273-IF(AQ273/52&lt;=PR_PRSIcreditTo,MAX(0,PR_PRSIcreditMax-(AQ273/52-(PR_PRSIfree+0.01))/PR_PRSItaper),0))*52)),0)</f>
        <v>0</v>
      </c>
      <c r="BR273" s="20" t="n">
        <f aca="false">BK273+BM273+BO273+BP273+BQ273</f>
        <v>645.982423484143</v>
      </c>
      <c r="BS273" s="20" t="n">
        <f aca="false">BR273*H273</f>
        <v>1398.38707161866</v>
      </c>
      <c r="BT273" s="20" t="n">
        <f aca="false">K273+AK273+AC273+AF273+AH273+AI273</f>
        <v>79891.6204043033</v>
      </c>
    </row>
    <row r="274" customFormat="false" ht="15" hidden="false" customHeight="true" outlineLevel="0" collapsed="false">
      <c r="B274" s="20" t="n">
        <v>40</v>
      </c>
      <c r="C274" s="20" t="n">
        <f aca="false">F_Age+B274</f>
        <v>78</v>
      </c>
      <c r="D274" s="20" t="n">
        <f aca="false">AS_Year0+B274</f>
        <v>2067</v>
      </c>
      <c r="E274" s="44" t="n">
        <f aca="false">(1+AS_Infl)^B274</f>
        <v>2.20803966361485</v>
      </c>
      <c r="F274" s="44" t="n">
        <f aca="false">(1+AS_Wage)^B274</f>
        <v>3.26203779199908</v>
      </c>
      <c r="G274" s="20" t="n">
        <f aca="false">IF(C274&lt;F_R,1,0)</f>
        <v>0</v>
      </c>
      <c r="H274" s="44" t="n">
        <f aca="false">IF(AS_Bands="flat",1,E274)</f>
        <v>2.20803966361485</v>
      </c>
      <c r="I274" s="44" t="n">
        <f aca="false">IF(AS_SpGrow="pay",F274,IF(AS_SpGrow="flat",1,E274))</f>
        <v>2.20803966361485</v>
      </c>
      <c r="J274" s="44" t="n">
        <f aca="false">(12*PR_PRSIr0+(PR_PRSIr1-PR_PRSIr0)*MAX(0,MIN(12,D274*12+12-PR_PRSIt1))+(PR_PRSIr2-PR_PRSIr1)*MAX(0,MIN(12,D274*12+12-PR_PRSIt2))+(PR_PRSIr3-PR_PRSIr2)*MAX(0,MIN(12,D274*12+12-PR_PRSIt3)))/12</f>
        <v>0.047</v>
      </c>
      <c r="K274" s="20" t="n">
        <f aca="false">IF(G274=1,F_Income*F274,0)</f>
        <v>0</v>
      </c>
      <c r="L274" s="20" t="n">
        <f aca="false">IF(G274=1,(F_Own+In_penExtra)*12*F274,0)</f>
        <v>0</v>
      </c>
      <c r="M274" s="20" t="n">
        <f aca="false">IF(G274=1,(F_PenM+In_penExtra)*12*F274,0)</f>
        <v>0</v>
      </c>
      <c r="N274" s="45" t="n">
        <f aca="false">IF(C274&lt;PR_RelA1,PR_RelP1,IF(C274&lt;PR_RelA2,PR_RelP2,IF(C274&lt;PR_RelA3,PR_RelP3,IF(C274&lt;PR_RelA4,PR_RelP4,IF(C274&lt;PR_RelA5,PR_RelP5,PR_RelP6)))))</f>
        <v>0.4</v>
      </c>
      <c r="O274" s="20" t="n">
        <f aca="false">IF(G274=1,MIN(L274/H274,N274*MIN(K274/H274,PR_EarnCap))*H274,0)</f>
        <v>0</v>
      </c>
      <c r="P274" s="20" t="n">
        <f aca="false">IF(AND(G274=1,F_AE=1),MIN(K274/H274,PR_AEcap)*H274,0)</f>
        <v>0</v>
      </c>
      <c r="Q274" s="20" t="n">
        <f aca="false">IF(G274=1,IF(WI_Retire=1,MAX(0,M274+WI_M*12),M274)+(PR_AEee+PR_AEer+PR_AEst)*P274,0)</f>
        <v>0</v>
      </c>
      <c r="R274" s="20" t="n">
        <f aca="false">L274+PR_AEee*P274</f>
        <v>0</v>
      </c>
      <c r="S274" s="20" t="n">
        <f aca="false">AD273</f>
        <v>357366.872930734</v>
      </c>
      <c r="T274" s="20" t="n">
        <f aca="false">IF(D274&lt;=PR_SFTfrom,PR_SFT2026,IF(D274=PR_SFTfrom+1,PR_SFT2027,IF(D274=PR_SFTfrom+2,PR_SFT2028,IF(D274&lt;=PR_SFTto,PR_SFT2029,PR_SFT2029*(1+AS_Infl)^(D274-PR_SFTto)))))</f>
        <v>5942436.6187251</v>
      </c>
      <c r="U274" s="20" t="n">
        <f aca="false">IF(AND(G274=0,C274=F_V),1,0)</f>
        <v>0</v>
      </c>
      <c r="V274" s="20" t="n">
        <f aca="false">IF(U274=1,PR_SFTrate*MAX(0,S274-T274),0)</f>
        <v>0</v>
      </c>
      <c r="W274" s="20" t="n">
        <f aca="false">S274-V274</f>
        <v>357366.872930734</v>
      </c>
      <c r="X274" s="20" t="n">
        <f aca="false">IF(AND(U274=1,AS_LumpPct&gt;0),W274*MIN(AS_LumpPct,PR_LSmax),0)</f>
        <v>0</v>
      </c>
      <c r="Y274" s="20" t="n">
        <f aca="false">X274-(PR_LSrate*MAX(0,MIN(X274,PR_LScap)-PR_LSfree)+PR_r2*MAX(0,X274-PR_LScap))</f>
        <v>0</v>
      </c>
      <c r="Z274" s="20" t="n">
        <f aca="false">W274-X274</f>
        <v>357366.872930734</v>
      </c>
      <c r="AA274" s="45" t="n">
        <f aca="false">IF(C274&gt;=PR_ARFage1,IF(Z274&gt;PR_ARFbig,PR_ARFbigRate,IF(C274&gt;=PR_ARFage2,PR_ARF71,PR_ARF61)),0)</f>
        <v>0.05</v>
      </c>
      <c r="AB274" s="20" t="n">
        <f aca="false">IF(AS_DrawRule="min",Z274*AA274,IF(AS_DrawRule="fixed",MAX(AS_DrawFixed*E274,Z274*AA274),Z274*MAX(1/MAX(1,AS_End-C274+1),AA274)))</f>
        <v>19853.7151628185</v>
      </c>
      <c r="AC274" s="20" t="n">
        <f aca="false">IF(AND(G274=0,C274&gt;=F_V),MIN(Z274,AB274),0)</f>
        <v>19853.7151628185</v>
      </c>
      <c r="AD274" s="20" t="n">
        <f aca="false">IF(G274=1,S274*(1+F_PenG)+Q274,IF(C274&lt;F_V,S274*(1+F_PenG),(Z274-AC274)*(1+AS_PenRet)))</f>
        <v>348144.822237604</v>
      </c>
      <c r="AE274" s="20" t="n">
        <f aca="false">IF(C274&gt;=PR_SPage,AS_SP*F_SpF*I274+IF(AND(C274&gt;=PR_Over80Age,F_SpF&gt;0),PR_Over80*PR_Weeks*I274,0),0)</f>
        <v>34365.0461086361</v>
      </c>
      <c r="AF274" s="20" t="n">
        <f aca="false">(F_OtherM+F_RentM)*12*E274</f>
        <v>0</v>
      </c>
      <c r="AG274" s="20" t="n">
        <f aca="false">F_PAge+B274</f>
        <v>77</v>
      </c>
      <c r="AH274" s="20" t="n">
        <f aca="false">IF(AND(F_Partner=1,F_PAge&gt;0,AG274&lt;IF(F_PRet&gt;0,F_PRet,PR_SPage)),F_PIncome*F274,0)</f>
        <v>0</v>
      </c>
      <c r="AI274" s="20" t="n">
        <f aca="false">IF(AND(F_Partner=1,AG274&gt;=PR_SPage,F_PSpQA=0),AS_SP*F_PSpF*I274,0)</f>
        <v>27492.0368869089</v>
      </c>
      <c r="AJ274" s="20" t="n">
        <f aca="false">IF(AND(F_Partner=1,F_PSpQA=1,C274&gt;=PR_SPage,AH274=0),IF(AG274&gt;=PR_SPage,PR_QA66,PR_QAunder)*PR_Weeks*I274,0)</f>
        <v>0</v>
      </c>
      <c r="AK274" s="20" t="n">
        <f aca="false">AE274+AJ274</f>
        <v>34365.0461086361</v>
      </c>
      <c r="AL274" s="20" t="n">
        <f aca="false">K274/H274</f>
        <v>0</v>
      </c>
      <c r="AM274" s="20" t="n">
        <f aca="false">AK274/H274</f>
        <v>15563.6</v>
      </c>
      <c r="AN274" s="20" t="n">
        <f aca="false">AC274/H274</f>
        <v>8991.5573030583</v>
      </c>
      <c r="AO274" s="20" t="n">
        <f aca="false">AF274/H274</f>
        <v>0</v>
      </c>
      <c r="AP274" s="20" t="n">
        <f aca="false">O274/H274</f>
        <v>0</v>
      </c>
      <c r="AQ274" s="20" t="n">
        <f aca="false">AH274/H274</f>
        <v>0</v>
      </c>
      <c r="AR274" s="20" t="n">
        <f aca="false">AI274/H274</f>
        <v>12450.88</v>
      </c>
      <c r="AS274" s="20" t="n">
        <f aca="false">MAX(0,AL274+AN274+AO274+AM274-AP274)</f>
        <v>24555.1573030583</v>
      </c>
      <c r="AT274" s="20" t="n">
        <f aca="false">MAX(0,AQ274+AR274)</f>
        <v>12450.88</v>
      </c>
      <c r="AU274" s="20" t="n">
        <f aca="false">MIN(PR_PAYE,PR_PAYEcap*(AL274+AN274+AM274))</f>
        <v>2000</v>
      </c>
      <c r="AV274" s="20" t="n">
        <f aca="false">MIN(PR_PAYE,PR_PAYEcap*(AQ274+AR274))</f>
        <v>2000</v>
      </c>
      <c r="AW274" s="20" t="n">
        <f aca="false">IF(C274&gt;=PR_AgeCrAge,PR_AgeCr,0)</f>
        <v>245</v>
      </c>
      <c r="AX274" s="20" t="n">
        <f aca="false">IF(AG274&gt;=PR_AgeCrAge,PR_AgeCr,0)</f>
        <v>245</v>
      </c>
      <c r="AY274" s="20" t="n">
        <f aca="false">IF(AND(F_RentCred=1,D274&lt;=PR_RentLast),1,0)</f>
        <v>0</v>
      </c>
      <c r="AZ274" s="20" t="n">
        <f aca="false">AS274+AT274</f>
        <v>37006.0373030583</v>
      </c>
      <c r="BA274" s="20" t="n">
        <f aca="false">PR_PersonalM+AU274+AV274+AW274+AX274+IF(AY274=1,PR_RentJoint,0)</f>
        <v>8490</v>
      </c>
      <c r="BB274" s="20" t="n">
        <f aca="false">PR_BandM+MIN(MIN(AS274,AT274),PR_Uplift)</f>
        <v>65450.88</v>
      </c>
      <c r="BC274" s="20" t="n">
        <f aca="false">MAX(0,PR_r1*MIN(AZ274,BB274)+PR_r2*MAX(0,AZ274-BB274)-BA274)</f>
        <v>0</v>
      </c>
      <c r="BD274" s="20" t="n">
        <f aca="false">MAX(0,PR_HomeCarer-MAX(0,MIN(AS274,AT274)-PR_HCLimit)/2)</f>
        <v>0</v>
      </c>
      <c r="BE274" s="20" t="n">
        <f aca="false">IF(F_Carer=1,MIN(BC274,MAX(0,PR_r1*MIN(AZ274,PR_BandM)+PR_r2*MAX(0,AZ274-PR_BandM)-BA274-BD274)),BC274)</f>
        <v>0</v>
      </c>
      <c r="BF274" s="20" t="n">
        <f aca="false">IF(OR(C274&gt;=PR_AgeCrAge,AG274&gt;=PR_AgeCrAge),IF(AZ274&lt;=PR_AgeExM,0,MIN(BE274,PR_AgeMarg*(AZ274-PR_AgeExM))),BE274)</f>
        <v>0</v>
      </c>
      <c r="BG274" s="20" t="n">
        <f aca="false">MAX(0,PR_r1*MIN(AS274,IF(F_Spccc=1,PR_BandSPCCC,PR_Band))+PR_r2*MAX(0,AS274-IF(F_Spccc=1,PR_BandSPCCC,PR_Band))-(PR_Personal+AU274+AW274+IF(F_Spccc=1,PR_SPCCC,0)+IF(AY274=1,PR_Rent,0)))</f>
        <v>666.031460611661</v>
      </c>
      <c r="BH274" s="20" t="n">
        <f aca="false">IF(C274&gt;=PR_AgeCrAge,IF(AS274&lt;=PR_AgeEx,0,MIN(BG274,PR_AgeMarg*(AS274-PR_AgeEx))),BG274)</f>
        <v>666.031460611661</v>
      </c>
      <c r="BI274" s="20" t="n">
        <f aca="false">IF(F_Partner=1,MAX(0,PR_r1*MIN(AT274,PR_Band)+PR_r2*MAX(0,AT274-PR_Band)-(PR_Personal+AV274+AX274+IF(AND(AY274=1,AT274&gt;0),PR_Rent,0))),0)</f>
        <v>0</v>
      </c>
      <c r="BJ274" s="20" t="n">
        <f aca="false">IF(AG274&gt;=PR_AgeCrAge,IF(AT274&lt;=PR_AgeEx,0,MIN(BI274,PR_AgeMarg*(AT274-PR_AgeEx))),BI274)</f>
        <v>0</v>
      </c>
      <c r="BK274" s="20" t="n">
        <f aca="false">IF(F_Partner=1,IF(F_Married=1,BF274,BH274+BJ274),BH274)</f>
        <v>666.031460611661</v>
      </c>
      <c r="BL274" s="20" t="n">
        <f aca="false">AL274+AN274+AO274</f>
        <v>8991.5573030583</v>
      </c>
      <c r="BM274" s="20" t="n">
        <f aca="false">IF(BL274&lt;=PR_USCex,0,IF(IF(AND(C274&gt;=PR_USCredAge,BL274&lt;=PR_USCredMax),1,0)=1,PR_USCr1*MIN(BL274,PR_USCredB1)+PR_USCredR2*MAX(0,BL274-PR_USCredB1),PR_USCr1*MIN(BL274,PR_USCb1)+PR_USCr2*MAX(0,MIN(BL274,PR_USCb2)-PR_USCb1)+PR_USCr3*MAX(0,MIN(BL274,PR_USCb3)-PR_USCb2)+PR_USCr4*MAX(0,BL274-PR_USCb3)))+IF(F_SelfEmp=1,PR_USCse*MAX(0,AL274-PR_USCseOver),0)</f>
        <v>0</v>
      </c>
      <c r="BN274" s="20" t="n">
        <f aca="false">AQ274</f>
        <v>0</v>
      </c>
      <c r="BO274" s="20" t="n">
        <f aca="false">IF(F_Partner=1,IF(BN274&lt;=PR_USCex,0,IF(IF(AND(AG274&gt;=PR_USCredAge,BN274&lt;=PR_USCredMax),1,0)=1,PR_USCr1*MIN(BN274,PR_USCredB1)+PR_USCredR2*MAX(0,BN274-PR_USCredB1),PR_USCr1*MIN(BN274,PR_USCb1)+PR_USCr2*MAX(0,MIN(BN274,PR_USCb2)-PR_USCb1)+PR_USCr3*MAX(0,MIN(BN274,PR_USCb3)-PR_USCb2)+PR_USCr4*MAX(0,BN274-PR_USCb3))),0)</f>
        <v>0</v>
      </c>
      <c r="BP274" s="20" t="n">
        <f aca="false">IF(C274&lt;PR_PRSIend,IF(F_SelfEmp=1,IF(AL274&gt;PR_PRSIsMinInc,MAX(PR_PRSIsMin,AL274*J274),0),IF(AL274/52&lt;=PR_PRSIfree,0,MAX(0,(AL274/52*J274-IF(AL274/52&lt;=PR_PRSIcreditTo,MAX(0,PR_PRSIcreditMax-(AL274/52-(PR_PRSIfree+0.01))/PR_PRSItaper),0))*52)))+J274*AN274+IF(AO274&gt;PR_PRSIunearned,J274*AO274,0),0)</f>
        <v>0</v>
      </c>
      <c r="BQ274" s="20" t="n">
        <f aca="false">IF(AND(F_Partner=1,AG274&lt;PR_PRSIend),IF(AQ274/52&lt;=PR_PRSIfree,0,MAX(0,(AQ274/52*J274-IF(AQ274/52&lt;=PR_PRSIcreditTo,MAX(0,PR_PRSIcreditMax-(AQ274/52-(PR_PRSIfree+0.01))/PR_PRSItaper),0))*52)),0)</f>
        <v>0</v>
      </c>
      <c r="BR274" s="20" t="n">
        <f aca="false">BK274+BM274+BO274+BP274+BQ274</f>
        <v>666.031460611661</v>
      </c>
      <c r="BS274" s="20" t="n">
        <f aca="false">BR274*H274</f>
        <v>1470.62388224588</v>
      </c>
      <c r="BT274" s="20" t="n">
        <f aca="false">K274+AK274+AC274+AF274+AH274+AI274</f>
        <v>81710.7981583636</v>
      </c>
    </row>
    <row r="275" customFormat="false" ht="15" hidden="false" customHeight="true" outlineLevel="0" collapsed="false">
      <c r="B275" s="20" t="n">
        <v>41</v>
      </c>
      <c r="C275" s="20" t="n">
        <f aca="false">F_Age+B275</f>
        <v>79</v>
      </c>
      <c r="D275" s="20" t="n">
        <f aca="false">AS_Year0+B275</f>
        <v>2068</v>
      </c>
      <c r="E275" s="44" t="n">
        <f aca="false">(1+AS_Infl)^B275</f>
        <v>2.25220045688715</v>
      </c>
      <c r="F275" s="44" t="n">
        <f aca="false">(1+AS_Wage)^B275</f>
        <v>3.35989892575905</v>
      </c>
      <c r="G275" s="20" t="n">
        <f aca="false">IF(C275&lt;F_R,1,0)</f>
        <v>0</v>
      </c>
      <c r="H275" s="44" t="n">
        <f aca="false">IF(AS_Bands="flat",1,E275)</f>
        <v>2.25220045688715</v>
      </c>
      <c r="I275" s="44" t="n">
        <f aca="false">IF(AS_SpGrow="pay",F275,IF(AS_SpGrow="flat",1,E275))</f>
        <v>2.25220045688715</v>
      </c>
      <c r="J275" s="44" t="n">
        <f aca="false">(12*PR_PRSIr0+(PR_PRSIr1-PR_PRSIr0)*MAX(0,MIN(12,D275*12+12-PR_PRSIt1))+(PR_PRSIr2-PR_PRSIr1)*MAX(0,MIN(12,D275*12+12-PR_PRSIt2))+(PR_PRSIr3-PR_PRSIr2)*MAX(0,MIN(12,D275*12+12-PR_PRSIt3)))/12</f>
        <v>0.047</v>
      </c>
      <c r="K275" s="20" t="n">
        <f aca="false">IF(G275=1,F_Income*F275,0)</f>
        <v>0</v>
      </c>
      <c r="L275" s="20" t="n">
        <f aca="false">IF(G275=1,(F_Own+In_penExtra)*12*F275,0)</f>
        <v>0</v>
      </c>
      <c r="M275" s="20" t="n">
        <f aca="false">IF(G275=1,(F_PenM+In_penExtra)*12*F275,0)</f>
        <v>0</v>
      </c>
      <c r="N275" s="45" t="n">
        <f aca="false">IF(C275&lt;PR_RelA1,PR_RelP1,IF(C275&lt;PR_RelA2,PR_RelP2,IF(C275&lt;PR_RelA3,PR_RelP3,IF(C275&lt;PR_RelA4,PR_RelP4,IF(C275&lt;PR_RelA5,PR_RelP5,PR_RelP6)))))</f>
        <v>0.4</v>
      </c>
      <c r="O275" s="20" t="n">
        <f aca="false">IF(G275=1,MIN(L275/H275,N275*MIN(K275/H275,PR_EarnCap))*H275,0)</f>
        <v>0</v>
      </c>
      <c r="P275" s="20" t="n">
        <f aca="false">IF(AND(G275=1,F_AE=1),MIN(K275/H275,PR_AEcap)*H275,0)</f>
        <v>0</v>
      </c>
      <c r="Q275" s="20" t="n">
        <f aca="false">IF(G275=1,IF(WI_Retire=1,MAX(0,M275+WI_M*12),M275)+(PR_AEee+PR_AEer+PR_AEst)*P275,0)</f>
        <v>0</v>
      </c>
      <c r="R275" s="20" t="n">
        <f aca="false">L275+PR_AEee*P275</f>
        <v>0</v>
      </c>
      <c r="S275" s="20" t="n">
        <f aca="false">AD274</f>
        <v>348144.822237604</v>
      </c>
      <c r="T275" s="20" t="n">
        <f aca="false">IF(D275&lt;=PR_SFTfrom,PR_SFT2026,IF(D275=PR_SFTfrom+1,PR_SFT2027,IF(D275=PR_SFTfrom+2,PR_SFT2028,IF(D275&lt;=PR_SFTto,PR_SFT2029,PR_SFT2029*(1+AS_Infl)^(D275-PR_SFTto)))))</f>
        <v>6061285.3510996</v>
      </c>
      <c r="U275" s="20" t="n">
        <f aca="false">IF(AND(G275=0,C275=F_V),1,0)</f>
        <v>0</v>
      </c>
      <c r="V275" s="20" t="n">
        <f aca="false">IF(U275=1,PR_SFTrate*MAX(0,S275-T275),0)</f>
        <v>0</v>
      </c>
      <c r="W275" s="20" t="n">
        <f aca="false">S275-V275</f>
        <v>348144.822237604</v>
      </c>
      <c r="X275" s="20" t="n">
        <f aca="false">IF(AND(U275=1,AS_LumpPct&gt;0),W275*MIN(AS_LumpPct,PR_LSmax),0)</f>
        <v>0</v>
      </c>
      <c r="Y275" s="20" t="n">
        <f aca="false">X275-(PR_LSrate*MAX(0,MIN(X275,PR_LScap)-PR_LSfree)+PR_r2*MAX(0,X275-PR_LScap))</f>
        <v>0</v>
      </c>
      <c r="Z275" s="20" t="n">
        <f aca="false">W275-X275</f>
        <v>348144.822237604</v>
      </c>
      <c r="AA275" s="45" t="n">
        <f aca="false">IF(C275&gt;=PR_ARFage1,IF(Z275&gt;PR_ARFbig,PR_ARFbigRate,IF(C275&gt;=PR_ARFage2,PR_ARF71,PR_ARF61)),0)</f>
        <v>0.05</v>
      </c>
      <c r="AB275" s="20" t="n">
        <f aca="false">IF(AS_DrawRule="min",Z275*AA275,IF(AS_DrawRule="fixed",MAX(AS_DrawFixed*E275,Z275*AA275),Z275*MAX(1/MAX(1,AS_End-C275+1),AA275)))</f>
        <v>20479.1071904473</v>
      </c>
      <c r="AC275" s="20" t="n">
        <f aca="false">IF(AND(G275=0,C275&gt;=F_V),MIN(Z275,AB275),0)</f>
        <v>20479.1071904473</v>
      </c>
      <c r="AD275" s="20" t="n">
        <f aca="false">IF(G275=1,S275*(1+F_PenG)+Q275,IF(C275&lt;F_V,S275*(1+F_PenG),(Z275-AC275)*(1+AS_PenRet)))</f>
        <v>337987.185071142</v>
      </c>
      <c r="AE275" s="20" t="n">
        <f aca="false">IF(C275&gt;=PR_SPage,AS_SP*F_SpF*I275+IF(AND(C275&gt;=PR_Over80Age,F_SpF&gt;0),PR_Over80*PR_Weeks*I275,0),0)</f>
        <v>35052.3470308089</v>
      </c>
      <c r="AF275" s="20" t="n">
        <f aca="false">(F_OtherM+F_RentM)*12*E275</f>
        <v>0</v>
      </c>
      <c r="AG275" s="20" t="n">
        <f aca="false">F_PAge+B275</f>
        <v>78</v>
      </c>
      <c r="AH275" s="20" t="n">
        <f aca="false">IF(AND(F_Partner=1,F_PAge&gt;0,AG275&lt;IF(F_PRet&gt;0,F_PRet,PR_SPage)),F_PIncome*F275,0)</f>
        <v>0</v>
      </c>
      <c r="AI275" s="20" t="n">
        <f aca="false">IF(AND(F_Partner=1,AG275&gt;=PR_SPage,F_PSpQA=0),AS_SP*F_PSpF*I275,0)</f>
        <v>28041.8776246471</v>
      </c>
      <c r="AJ275" s="20" t="n">
        <f aca="false">IF(AND(F_Partner=1,F_PSpQA=1,C275&gt;=PR_SPage,AH275=0),IF(AG275&gt;=PR_SPage,PR_QA66,PR_QAunder)*PR_Weeks*I275,0)</f>
        <v>0</v>
      </c>
      <c r="AK275" s="20" t="n">
        <f aca="false">AE275+AJ275</f>
        <v>35052.3470308089</v>
      </c>
      <c r="AL275" s="20" t="n">
        <f aca="false">K275/H275</f>
        <v>0</v>
      </c>
      <c r="AM275" s="20" t="n">
        <f aca="false">AK275/H275</f>
        <v>15563.6</v>
      </c>
      <c r="AN275" s="20" t="n">
        <f aca="false">AC275/H275</f>
        <v>9092.93270402415</v>
      </c>
      <c r="AO275" s="20" t="n">
        <f aca="false">AF275/H275</f>
        <v>0</v>
      </c>
      <c r="AP275" s="20" t="n">
        <f aca="false">O275/H275</f>
        <v>0</v>
      </c>
      <c r="AQ275" s="20" t="n">
        <f aca="false">AH275/H275</f>
        <v>0</v>
      </c>
      <c r="AR275" s="20" t="n">
        <f aca="false">AI275/H275</f>
        <v>12450.88</v>
      </c>
      <c r="AS275" s="20" t="n">
        <f aca="false">MAX(0,AL275+AN275+AO275+AM275-AP275)</f>
        <v>24656.5327040242</v>
      </c>
      <c r="AT275" s="20" t="n">
        <f aca="false">MAX(0,AQ275+AR275)</f>
        <v>12450.88</v>
      </c>
      <c r="AU275" s="20" t="n">
        <f aca="false">MIN(PR_PAYE,PR_PAYEcap*(AL275+AN275+AM275))</f>
        <v>2000</v>
      </c>
      <c r="AV275" s="20" t="n">
        <f aca="false">MIN(PR_PAYE,PR_PAYEcap*(AQ275+AR275))</f>
        <v>2000</v>
      </c>
      <c r="AW275" s="20" t="n">
        <f aca="false">IF(C275&gt;=PR_AgeCrAge,PR_AgeCr,0)</f>
        <v>245</v>
      </c>
      <c r="AX275" s="20" t="n">
        <f aca="false">IF(AG275&gt;=PR_AgeCrAge,PR_AgeCr,0)</f>
        <v>245</v>
      </c>
      <c r="AY275" s="20" t="n">
        <f aca="false">IF(AND(F_RentCred=1,D275&lt;=PR_RentLast),1,0)</f>
        <v>0</v>
      </c>
      <c r="AZ275" s="20" t="n">
        <f aca="false">AS275+AT275</f>
        <v>37107.4127040242</v>
      </c>
      <c r="BA275" s="20" t="n">
        <f aca="false">PR_PersonalM+AU275+AV275+AW275+AX275+IF(AY275=1,PR_RentJoint,0)</f>
        <v>8490</v>
      </c>
      <c r="BB275" s="20" t="n">
        <f aca="false">PR_BandM+MIN(MIN(AS275,AT275),PR_Uplift)</f>
        <v>65450.88</v>
      </c>
      <c r="BC275" s="20" t="n">
        <f aca="false">MAX(0,PR_r1*MIN(AZ275,BB275)+PR_r2*MAX(0,AZ275-BB275)-BA275)</f>
        <v>0</v>
      </c>
      <c r="BD275" s="20" t="n">
        <f aca="false">MAX(0,PR_HomeCarer-MAX(0,MIN(AS275,AT275)-PR_HCLimit)/2)</f>
        <v>0</v>
      </c>
      <c r="BE275" s="20" t="n">
        <f aca="false">IF(F_Carer=1,MIN(BC275,MAX(0,PR_r1*MIN(AZ275,PR_BandM)+PR_r2*MAX(0,AZ275-PR_BandM)-BA275-BD275)),BC275)</f>
        <v>0</v>
      </c>
      <c r="BF275" s="20" t="n">
        <f aca="false">IF(OR(C275&gt;=PR_AgeCrAge,AG275&gt;=PR_AgeCrAge),IF(AZ275&lt;=PR_AgeExM,0,MIN(BE275,PR_AgeMarg*(AZ275-PR_AgeExM))),BE275)</f>
        <v>0</v>
      </c>
      <c r="BG275" s="20" t="n">
        <f aca="false">MAX(0,PR_r1*MIN(AS275,IF(F_Spccc=1,PR_BandSPCCC,PR_Band))+PR_r2*MAX(0,AS275-IF(F_Spccc=1,PR_BandSPCCC,PR_Band))-(PR_Personal+AU275+AW275+IF(F_Spccc=1,PR_SPCCC,0)+IF(AY275=1,PR_Rent,0)))</f>
        <v>686.306540804832</v>
      </c>
      <c r="BH275" s="20" t="n">
        <f aca="false">IF(C275&gt;=PR_AgeCrAge,IF(AS275&lt;=PR_AgeEx,0,MIN(BG275,PR_AgeMarg*(AS275-PR_AgeEx))),BG275)</f>
        <v>686.306540804832</v>
      </c>
      <c r="BI275" s="20" t="n">
        <f aca="false">IF(F_Partner=1,MAX(0,PR_r1*MIN(AT275,PR_Band)+PR_r2*MAX(0,AT275-PR_Band)-(PR_Personal+AV275+AX275+IF(AND(AY275=1,AT275&gt;0),PR_Rent,0))),0)</f>
        <v>0</v>
      </c>
      <c r="BJ275" s="20" t="n">
        <f aca="false">IF(AG275&gt;=PR_AgeCrAge,IF(AT275&lt;=PR_AgeEx,0,MIN(BI275,PR_AgeMarg*(AT275-PR_AgeEx))),BI275)</f>
        <v>0</v>
      </c>
      <c r="BK275" s="20" t="n">
        <f aca="false">IF(F_Partner=1,IF(F_Married=1,BF275,BH275+BJ275),BH275)</f>
        <v>686.306540804832</v>
      </c>
      <c r="BL275" s="20" t="n">
        <f aca="false">AL275+AN275+AO275</f>
        <v>9092.93270402415</v>
      </c>
      <c r="BM275" s="20" t="n">
        <f aca="false">IF(BL275&lt;=PR_USCex,0,IF(IF(AND(C275&gt;=PR_USCredAge,BL275&lt;=PR_USCredMax),1,0)=1,PR_USCr1*MIN(BL275,PR_USCredB1)+PR_USCredR2*MAX(0,BL275-PR_USCredB1),PR_USCr1*MIN(BL275,PR_USCb1)+PR_USCr2*MAX(0,MIN(BL275,PR_USCb2)-PR_USCb1)+PR_USCr3*MAX(0,MIN(BL275,PR_USCb3)-PR_USCb2)+PR_USCr4*MAX(0,BL275-PR_USCb3)))+IF(F_SelfEmp=1,PR_USCse*MAX(0,AL275-PR_USCseOver),0)</f>
        <v>0</v>
      </c>
      <c r="BN275" s="20" t="n">
        <f aca="false">AQ275</f>
        <v>0</v>
      </c>
      <c r="BO275" s="20" t="n">
        <f aca="false">IF(F_Partner=1,IF(BN275&lt;=PR_USCex,0,IF(IF(AND(AG275&gt;=PR_USCredAge,BN275&lt;=PR_USCredMax),1,0)=1,PR_USCr1*MIN(BN275,PR_USCredB1)+PR_USCredR2*MAX(0,BN275-PR_USCredB1),PR_USCr1*MIN(BN275,PR_USCb1)+PR_USCr2*MAX(0,MIN(BN275,PR_USCb2)-PR_USCb1)+PR_USCr3*MAX(0,MIN(BN275,PR_USCb3)-PR_USCb2)+PR_USCr4*MAX(0,BN275-PR_USCb3))),0)</f>
        <v>0</v>
      </c>
      <c r="BP275" s="20" t="n">
        <f aca="false">IF(C275&lt;PR_PRSIend,IF(F_SelfEmp=1,IF(AL275&gt;PR_PRSIsMinInc,MAX(PR_PRSIsMin,AL275*J275),0),IF(AL275/52&lt;=PR_PRSIfree,0,MAX(0,(AL275/52*J275-IF(AL275/52&lt;=PR_PRSIcreditTo,MAX(0,PR_PRSIcreditMax-(AL275/52-(PR_PRSIfree+0.01))/PR_PRSItaper),0))*52)))+J275*AN275+IF(AO275&gt;PR_PRSIunearned,J275*AO275,0),0)</f>
        <v>0</v>
      </c>
      <c r="BQ275" s="20" t="n">
        <f aca="false">IF(AND(F_Partner=1,AG275&lt;PR_PRSIend),IF(AQ275/52&lt;=PR_PRSIfree,0,MAX(0,(AQ275/52*J275-IF(AQ275/52&lt;=PR_PRSIcreditTo,MAX(0,PR_PRSIcreditMax-(AQ275/52-(PR_PRSIfree+0.01))/PR_PRSItaper),0))*52)),0)</f>
        <v>0</v>
      </c>
      <c r="BR275" s="20" t="n">
        <f aca="false">BK275+BM275+BO275+BP275+BQ275</f>
        <v>686.306540804832</v>
      </c>
      <c r="BS275" s="20" t="n">
        <f aca="false">BR275*H275</f>
        <v>1545.69990476528</v>
      </c>
      <c r="BT275" s="20" t="n">
        <f aca="false">K275+AK275+AC275+AF275+AH275+AI275</f>
        <v>83573.3318459033</v>
      </c>
    </row>
    <row r="276" customFormat="false" ht="15" hidden="false" customHeight="true" outlineLevel="0" collapsed="false">
      <c r="B276" s="20" t="n">
        <v>42</v>
      </c>
      <c r="C276" s="20" t="n">
        <f aca="false">F_Age+B276</f>
        <v>80</v>
      </c>
      <c r="D276" s="20" t="n">
        <f aca="false">AS_Year0+B276</f>
        <v>2069</v>
      </c>
      <c r="E276" s="44" t="n">
        <f aca="false">(1+AS_Infl)^B276</f>
        <v>2.29724446602489</v>
      </c>
      <c r="F276" s="44" t="n">
        <f aca="false">(1+AS_Wage)^B276</f>
        <v>3.46069589353182</v>
      </c>
      <c r="G276" s="20" t="n">
        <f aca="false">IF(C276&lt;F_R,1,0)</f>
        <v>0</v>
      </c>
      <c r="H276" s="44" t="n">
        <f aca="false">IF(AS_Bands="flat",1,E276)</f>
        <v>2.29724446602489</v>
      </c>
      <c r="I276" s="44" t="n">
        <f aca="false">IF(AS_SpGrow="pay",F276,IF(AS_SpGrow="flat",1,E276))</f>
        <v>2.29724446602489</v>
      </c>
      <c r="J276" s="44" t="n">
        <f aca="false">(12*PR_PRSIr0+(PR_PRSIr1-PR_PRSIr0)*MAX(0,MIN(12,D276*12+12-PR_PRSIt1))+(PR_PRSIr2-PR_PRSIr1)*MAX(0,MIN(12,D276*12+12-PR_PRSIt2))+(PR_PRSIr3-PR_PRSIr2)*MAX(0,MIN(12,D276*12+12-PR_PRSIt3)))/12</f>
        <v>0.047</v>
      </c>
      <c r="K276" s="20" t="n">
        <f aca="false">IF(G276=1,F_Income*F276,0)</f>
        <v>0</v>
      </c>
      <c r="L276" s="20" t="n">
        <f aca="false">IF(G276=1,(F_Own+In_penExtra)*12*F276,0)</f>
        <v>0</v>
      </c>
      <c r="M276" s="20" t="n">
        <f aca="false">IF(G276=1,(F_PenM+In_penExtra)*12*F276,0)</f>
        <v>0</v>
      </c>
      <c r="N276" s="45" t="n">
        <f aca="false">IF(C276&lt;PR_RelA1,PR_RelP1,IF(C276&lt;PR_RelA2,PR_RelP2,IF(C276&lt;PR_RelA3,PR_RelP3,IF(C276&lt;PR_RelA4,PR_RelP4,IF(C276&lt;PR_RelA5,PR_RelP5,PR_RelP6)))))</f>
        <v>0.4</v>
      </c>
      <c r="O276" s="20" t="n">
        <f aca="false">IF(G276=1,MIN(L276/H276,N276*MIN(K276/H276,PR_EarnCap))*H276,0)</f>
        <v>0</v>
      </c>
      <c r="P276" s="20" t="n">
        <f aca="false">IF(AND(G276=1,F_AE=1),MIN(K276/H276,PR_AEcap)*H276,0)</f>
        <v>0</v>
      </c>
      <c r="Q276" s="20" t="n">
        <f aca="false">IF(G276=1,IF(WI_Retire=1,MAX(0,M276+WI_M*12),M276)+(PR_AEee+PR_AEer+PR_AEst)*P276,0)</f>
        <v>0</v>
      </c>
      <c r="R276" s="20" t="n">
        <f aca="false">L276+PR_AEee*P276</f>
        <v>0</v>
      </c>
      <c r="S276" s="20" t="n">
        <f aca="false">AD275</f>
        <v>337987.185071142</v>
      </c>
      <c r="T276" s="20" t="n">
        <f aca="false">IF(D276&lt;=PR_SFTfrom,PR_SFT2026,IF(D276=PR_SFTfrom+1,PR_SFT2027,IF(D276=PR_SFTfrom+2,PR_SFT2028,IF(D276&lt;=PR_SFTto,PR_SFT2029,PR_SFT2029*(1+AS_Infl)^(D276-PR_SFTto)))))</f>
        <v>6182511.05812159</v>
      </c>
      <c r="U276" s="20" t="n">
        <f aca="false">IF(AND(G276=0,C276=F_V),1,0)</f>
        <v>0</v>
      </c>
      <c r="V276" s="20" t="n">
        <f aca="false">IF(U276=1,PR_SFTrate*MAX(0,S276-T276),0)</f>
        <v>0</v>
      </c>
      <c r="W276" s="20" t="n">
        <f aca="false">S276-V276</f>
        <v>337987.185071142</v>
      </c>
      <c r="X276" s="20" t="n">
        <f aca="false">IF(AND(U276=1,AS_LumpPct&gt;0),W276*MIN(AS_LumpPct,PR_LSmax),0)</f>
        <v>0</v>
      </c>
      <c r="Y276" s="20" t="n">
        <f aca="false">X276-(PR_LSrate*MAX(0,MIN(X276,PR_LScap)-PR_LSfree)+PR_r2*MAX(0,X276-PR_LScap))</f>
        <v>0</v>
      </c>
      <c r="Z276" s="20" t="n">
        <f aca="false">W276-X276</f>
        <v>337987.185071142</v>
      </c>
      <c r="AA276" s="45" t="n">
        <f aca="false">IF(C276&gt;=PR_ARFage1,IF(Z276&gt;PR_ARFbig,PR_ARFbigRate,IF(C276&gt;=PR_ARFage2,PR_ARF71,PR_ARF61)),0)</f>
        <v>0.05</v>
      </c>
      <c r="AB276" s="20" t="n">
        <f aca="false">IF(AS_DrawRule="min",Z276*AA276,IF(AS_DrawRule="fixed",MAX(AS_DrawFixed*E276,Z276*AA276),Z276*MAX(1/MAX(1,AS_End-C276+1),AA276)))</f>
        <v>21124.1990669464</v>
      </c>
      <c r="AC276" s="20" t="n">
        <f aca="false">IF(AND(G276=0,C276&gt;=F_V),MIN(Z276,AB276),0)</f>
        <v>21124.1990669464</v>
      </c>
      <c r="AD276" s="20" t="n">
        <f aca="false">IF(G276=1,S276*(1+F_PenG)+Q276,IF(C276&lt;F_V,S276*(1+F_PenG),(Z276-AC276)*(1+AS_PenRet)))</f>
        <v>326844.170063328</v>
      </c>
      <c r="AE276" s="20" t="n">
        <f aca="false">IF(C276&gt;=PR_SPage,AS_SP*F_SpF*I276+IF(AND(C276&gt;=PR_Over80Age,F_SpF&gt;0),PR_Over80*PR_Weeks*I276,0),0)</f>
        <v>36947.961093758</v>
      </c>
      <c r="AF276" s="20" t="n">
        <f aca="false">(F_OtherM+F_RentM)*12*E276</f>
        <v>0</v>
      </c>
      <c r="AG276" s="20" t="n">
        <f aca="false">F_PAge+B276</f>
        <v>79</v>
      </c>
      <c r="AH276" s="20" t="n">
        <f aca="false">IF(AND(F_Partner=1,F_PAge&gt;0,AG276&lt;IF(F_PRet&gt;0,F_PRet,PR_SPage)),F_PIncome*F276,0)</f>
        <v>0</v>
      </c>
      <c r="AI276" s="20" t="n">
        <f aca="false">IF(AND(F_Partner=1,AG276&gt;=PR_SPage,F_PSpQA=0),AS_SP*F_PSpF*I276,0)</f>
        <v>28602.71517714</v>
      </c>
      <c r="AJ276" s="20" t="n">
        <f aca="false">IF(AND(F_Partner=1,F_PSpQA=1,C276&gt;=PR_SPage,AH276=0),IF(AG276&gt;=PR_SPage,PR_QA66,PR_QAunder)*PR_Weeks*I276,0)</f>
        <v>0</v>
      </c>
      <c r="AK276" s="20" t="n">
        <f aca="false">AE276+AJ276</f>
        <v>36947.961093758</v>
      </c>
      <c r="AL276" s="20" t="n">
        <f aca="false">K276/H276</f>
        <v>0</v>
      </c>
      <c r="AM276" s="20" t="n">
        <f aca="false">AK276/H276</f>
        <v>16083.6</v>
      </c>
      <c r="AN276" s="20" t="n">
        <f aca="false">AC276/H276</f>
        <v>9195.45106294207</v>
      </c>
      <c r="AO276" s="20" t="n">
        <f aca="false">AF276/H276</f>
        <v>0</v>
      </c>
      <c r="AP276" s="20" t="n">
        <f aca="false">O276/H276</f>
        <v>0</v>
      </c>
      <c r="AQ276" s="20" t="n">
        <f aca="false">AH276/H276</f>
        <v>0</v>
      </c>
      <c r="AR276" s="20" t="n">
        <f aca="false">AI276/H276</f>
        <v>12450.88</v>
      </c>
      <c r="AS276" s="20" t="n">
        <f aca="false">MAX(0,AL276+AN276+AO276+AM276-AP276)</f>
        <v>25279.0510629421</v>
      </c>
      <c r="AT276" s="20" t="n">
        <f aca="false">MAX(0,AQ276+AR276)</f>
        <v>12450.88</v>
      </c>
      <c r="AU276" s="20" t="n">
        <f aca="false">MIN(PR_PAYE,PR_PAYEcap*(AL276+AN276+AM276))</f>
        <v>2000</v>
      </c>
      <c r="AV276" s="20" t="n">
        <f aca="false">MIN(PR_PAYE,PR_PAYEcap*(AQ276+AR276))</f>
        <v>2000</v>
      </c>
      <c r="AW276" s="20" t="n">
        <f aca="false">IF(C276&gt;=PR_AgeCrAge,PR_AgeCr,0)</f>
        <v>245</v>
      </c>
      <c r="AX276" s="20" t="n">
        <f aca="false">IF(AG276&gt;=PR_AgeCrAge,PR_AgeCr,0)</f>
        <v>245</v>
      </c>
      <c r="AY276" s="20" t="n">
        <f aca="false">IF(AND(F_RentCred=1,D276&lt;=PR_RentLast),1,0)</f>
        <v>0</v>
      </c>
      <c r="AZ276" s="20" t="n">
        <f aca="false">AS276+AT276</f>
        <v>37729.9310629421</v>
      </c>
      <c r="BA276" s="20" t="n">
        <f aca="false">PR_PersonalM+AU276+AV276+AW276+AX276+IF(AY276=1,PR_RentJoint,0)</f>
        <v>8490</v>
      </c>
      <c r="BB276" s="20" t="n">
        <f aca="false">PR_BandM+MIN(MIN(AS276,AT276),PR_Uplift)</f>
        <v>65450.88</v>
      </c>
      <c r="BC276" s="20" t="n">
        <f aca="false">MAX(0,PR_r1*MIN(AZ276,BB276)+PR_r2*MAX(0,AZ276-BB276)-BA276)</f>
        <v>0</v>
      </c>
      <c r="BD276" s="20" t="n">
        <f aca="false">MAX(0,PR_HomeCarer-MAX(0,MIN(AS276,AT276)-PR_HCLimit)/2)</f>
        <v>0</v>
      </c>
      <c r="BE276" s="20" t="n">
        <f aca="false">IF(F_Carer=1,MIN(BC276,MAX(0,PR_r1*MIN(AZ276,PR_BandM)+PR_r2*MAX(0,AZ276-PR_BandM)-BA276-BD276)),BC276)</f>
        <v>0</v>
      </c>
      <c r="BF276" s="20" t="n">
        <f aca="false">IF(OR(C276&gt;=PR_AgeCrAge,AG276&gt;=PR_AgeCrAge),IF(AZ276&lt;=PR_AgeExM,0,MIN(BE276,PR_AgeMarg*(AZ276-PR_AgeExM))),BE276)</f>
        <v>0</v>
      </c>
      <c r="BG276" s="20" t="n">
        <f aca="false">MAX(0,PR_r1*MIN(AS276,IF(F_Spccc=1,PR_BandSPCCC,PR_Band))+PR_r2*MAX(0,AS276-IF(F_Spccc=1,PR_BandSPCCC,PR_Band))-(PR_Personal+AU276+AW276+IF(F_Spccc=1,PR_SPCCC,0)+IF(AY276=1,PR_Rent,0)))</f>
        <v>810.810212588415</v>
      </c>
      <c r="BH276" s="20" t="n">
        <f aca="false">IF(C276&gt;=PR_AgeCrAge,IF(AS276&lt;=PR_AgeEx,0,MIN(BG276,PR_AgeMarg*(AS276-PR_AgeEx))),BG276)</f>
        <v>810.810212588415</v>
      </c>
      <c r="BI276" s="20" t="n">
        <f aca="false">IF(F_Partner=1,MAX(0,PR_r1*MIN(AT276,PR_Band)+PR_r2*MAX(0,AT276-PR_Band)-(PR_Personal+AV276+AX276+IF(AND(AY276=1,AT276&gt;0),PR_Rent,0))),0)</f>
        <v>0</v>
      </c>
      <c r="BJ276" s="20" t="n">
        <f aca="false">IF(AG276&gt;=PR_AgeCrAge,IF(AT276&lt;=PR_AgeEx,0,MIN(BI276,PR_AgeMarg*(AT276-PR_AgeEx))),BI276)</f>
        <v>0</v>
      </c>
      <c r="BK276" s="20" t="n">
        <f aca="false">IF(F_Partner=1,IF(F_Married=1,BF276,BH276+BJ276),BH276)</f>
        <v>810.810212588415</v>
      </c>
      <c r="BL276" s="20" t="n">
        <f aca="false">AL276+AN276+AO276</f>
        <v>9195.45106294207</v>
      </c>
      <c r="BM276" s="20" t="n">
        <f aca="false">IF(BL276&lt;=PR_USCex,0,IF(IF(AND(C276&gt;=PR_USCredAge,BL276&lt;=PR_USCredMax),1,0)=1,PR_USCr1*MIN(BL276,PR_USCredB1)+PR_USCredR2*MAX(0,BL276-PR_USCredB1),PR_USCr1*MIN(BL276,PR_USCb1)+PR_USCr2*MAX(0,MIN(BL276,PR_USCb2)-PR_USCb1)+PR_USCr3*MAX(0,MIN(BL276,PR_USCb3)-PR_USCb2)+PR_USCr4*MAX(0,BL276-PR_USCb3)))+IF(F_SelfEmp=1,PR_USCse*MAX(0,AL276-PR_USCseOver),0)</f>
        <v>0</v>
      </c>
      <c r="BN276" s="20" t="n">
        <f aca="false">AQ276</f>
        <v>0</v>
      </c>
      <c r="BO276" s="20" t="n">
        <f aca="false">IF(F_Partner=1,IF(BN276&lt;=PR_USCex,0,IF(IF(AND(AG276&gt;=PR_USCredAge,BN276&lt;=PR_USCredMax),1,0)=1,PR_USCr1*MIN(BN276,PR_USCredB1)+PR_USCredR2*MAX(0,BN276-PR_USCredB1),PR_USCr1*MIN(BN276,PR_USCb1)+PR_USCr2*MAX(0,MIN(BN276,PR_USCb2)-PR_USCb1)+PR_USCr3*MAX(0,MIN(BN276,PR_USCb3)-PR_USCb2)+PR_USCr4*MAX(0,BN276-PR_USCb3))),0)</f>
        <v>0</v>
      </c>
      <c r="BP276" s="20" t="n">
        <f aca="false">IF(C276&lt;PR_PRSIend,IF(F_SelfEmp=1,IF(AL276&gt;PR_PRSIsMinInc,MAX(PR_PRSIsMin,AL276*J276),0),IF(AL276/52&lt;=PR_PRSIfree,0,MAX(0,(AL276/52*J276-IF(AL276/52&lt;=PR_PRSIcreditTo,MAX(0,PR_PRSIcreditMax-(AL276/52-(PR_PRSIfree+0.01))/PR_PRSItaper),0))*52)))+J276*AN276+IF(AO276&gt;PR_PRSIunearned,J276*AO276,0),0)</f>
        <v>0</v>
      </c>
      <c r="BQ276" s="20" t="n">
        <f aca="false">IF(AND(F_Partner=1,AG276&lt;PR_PRSIend),IF(AQ276/52&lt;=PR_PRSIfree,0,MAX(0,(AQ276/52*J276-IF(AQ276/52&lt;=PR_PRSIcreditTo,MAX(0,PR_PRSIcreditMax-(AQ276/52-(PR_PRSIfree+0.01))/PR_PRSItaper),0))*52)),0)</f>
        <v>0</v>
      </c>
      <c r="BR276" s="20" t="n">
        <f aca="false">BK276+BM276+BO276+BP276+BQ276</f>
        <v>810.810212588415</v>
      </c>
      <c r="BS276" s="20" t="n">
        <f aca="false">BR276*H276</f>
        <v>1862.6292738652</v>
      </c>
      <c r="BT276" s="20" t="n">
        <f aca="false">K276+AK276+AC276+AF276+AH276+AI276</f>
        <v>86674.8753378444</v>
      </c>
    </row>
    <row r="277" customFormat="false" ht="15" hidden="false" customHeight="true" outlineLevel="0" collapsed="false">
      <c r="B277" s="20" t="n">
        <v>43</v>
      </c>
      <c r="C277" s="20" t="n">
        <f aca="false">F_Age+B277</f>
        <v>81</v>
      </c>
      <c r="D277" s="20" t="n">
        <f aca="false">AS_Year0+B277</f>
        <v>2070</v>
      </c>
      <c r="E277" s="44" t="n">
        <f aca="false">(1+AS_Infl)^B277</f>
        <v>2.34318935534539</v>
      </c>
      <c r="F277" s="44" t="n">
        <f aca="false">(1+AS_Wage)^B277</f>
        <v>3.56451677033778</v>
      </c>
      <c r="G277" s="20" t="n">
        <f aca="false">IF(C277&lt;F_R,1,0)</f>
        <v>0</v>
      </c>
      <c r="H277" s="44" t="n">
        <f aca="false">IF(AS_Bands="flat",1,E277)</f>
        <v>2.34318935534539</v>
      </c>
      <c r="I277" s="44" t="n">
        <f aca="false">IF(AS_SpGrow="pay",F277,IF(AS_SpGrow="flat",1,E277))</f>
        <v>2.34318935534539</v>
      </c>
      <c r="J277" s="44" t="n">
        <f aca="false">(12*PR_PRSIr0+(PR_PRSIr1-PR_PRSIr0)*MAX(0,MIN(12,D277*12+12-PR_PRSIt1))+(PR_PRSIr2-PR_PRSIr1)*MAX(0,MIN(12,D277*12+12-PR_PRSIt2))+(PR_PRSIr3-PR_PRSIr2)*MAX(0,MIN(12,D277*12+12-PR_PRSIt3)))/12</f>
        <v>0.047</v>
      </c>
      <c r="K277" s="20" t="n">
        <f aca="false">IF(G277=1,F_Income*F277,0)</f>
        <v>0</v>
      </c>
      <c r="L277" s="20" t="n">
        <f aca="false">IF(G277=1,(F_Own+In_penExtra)*12*F277,0)</f>
        <v>0</v>
      </c>
      <c r="M277" s="20" t="n">
        <f aca="false">IF(G277=1,(F_PenM+In_penExtra)*12*F277,0)</f>
        <v>0</v>
      </c>
      <c r="N277" s="45" t="n">
        <f aca="false">IF(C277&lt;PR_RelA1,PR_RelP1,IF(C277&lt;PR_RelA2,PR_RelP2,IF(C277&lt;PR_RelA3,PR_RelP3,IF(C277&lt;PR_RelA4,PR_RelP4,IF(C277&lt;PR_RelA5,PR_RelP5,PR_RelP6)))))</f>
        <v>0.4</v>
      </c>
      <c r="O277" s="20" t="n">
        <f aca="false">IF(G277=1,MIN(L277/H277,N277*MIN(K277/H277,PR_EarnCap))*H277,0)</f>
        <v>0</v>
      </c>
      <c r="P277" s="20" t="n">
        <f aca="false">IF(AND(G277=1,F_AE=1),MIN(K277/H277,PR_AEcap)*H277,0)</f>
        <v>0</v>
      </c>
      <c r="Q277" s="20" t="n">
        <f aca="false">IF(G277=1,IF(WI_Retire=1,MAX(0,M277+WI_M*12),M277)+(PR_AEee+PR_AEer+PR_AEst)*P277,0)</f>
        <v>0</v>
      </c>
      <c r="R277" s="20" t="n">
        <f aca="false">L277+PR_AEee*P277</f>
        <v>0</v>
      </c>
      <c r="S277" s="20" t="n">
        <f aca="false">AD276</f>
        <v>326844.170063328</v>
      </c>
      <c r="T277" s="20" t="n">
        <f aca="false">IF(D277&lt;=PR_SFTfrom,PR_SFT2026,IF(D277=PR_SFTfrom+1,PR_SFT2027,IF(D277=PR_SFTfrom+2,PR_SFT2028,IF(D277&lt;=PR_SFTto,PR_SFT2029,PR_SFT2029*(1+AS_Infl)^(D277-PR_SFTto)))))</f>
        <v>6306161.27928402</v>
      </c>
      <c r="U277" s="20" t="n">
        <f aca="false">IF(AND(G277=0,C277=F_V),1,0)</f>
        <v>0</v>
      </c>
      <c r="V277" s="20" t="n">
        <f aca="false">IF(U277=1,PR_SFTrate*MAX(0,S277-T277),0)</f>
        <v>0</v>
      </c>
      <c r="W277" s="20" t="n">
        <f aca="false">S277-V277</f>
        <v>326844.170063328</v>
      </c>
      <c r="X277" s="20" t="n">
        <f aca="false">IF(AND(U277=1,AS_LumpPct&gt;0),W277*MIN(AS_LumpPct,PR_LSmax),0)</f>
        <v>0</v>
      </c>
      <c r="Y277" s="20" t="n">
        <f aca="false">X277-(PR_LSrate*MAX(0,MIN(X277,PR_LScap)-PR_LSfree)+PR_r2*MAX(0,X277-PR_LScap))</f>
        <v>0</v>
      </c>
      <c r="Z277" s="20" t="n">
        <f aca="false">W277-X277</f>
        <v>326844.170063328</v>
      </c>
      <c r="AA277" s="45" t="n">
        <f aca="false">IF(C277&gt;=PR_ARFage1,IF(Z277&gt;PR_ARFbig,PR_ARFbigRate,IF(C277&gt;=PR_ARFage2,PR_ARF71,PR_ARF61)),0)</f>
        <v>0.05</v>
      </c>
      <c r="AB277" s="20" t="n">
        <f aca="false">IF(AS_DrawRule="min",Z277*AA277,IF(AS_DrawRule="fixed",MAX(AS_DrawFixed*E277,Z277*AA277),Z277*MAX(1/MAX(1,AS_End-C277+1),AA277)))</f>
        <v>21789.6113375552</v>
      </c>
      <c r="AC277" s="20" t="n">
        <f aca="false">IF(AND(G277=0,C277&gt;=F_V),MIN(Z277,AB277),0)</f>
        <v>21789.6113375552</v>
      </c>
      <c r="AD277" s="20" t="n">
        <f aca="false">IF(G277=1,S277*(1+F_PenG)+Q277,IF(C277&lt;F_V,S277*(1+F_PenG),(Z277-AC277)*(1+AS_PenRet)))</f>
        <v>314663.777325635</v>
      </c>
      <c r="AE277" s="20" t="n">
        <f aca="false">IF(C277&gt;=PR_SPage,AS_SP*F_SpF*I277+IF(AND(C277&gt;=PR_Over80Age,F_SpF&gt;0),PR_Over80*PR_Weeks*I277,0),0)</f>
        <v>37686.9203156332</v>
      </c>
      <c r="AF277" s="20" t="n">
        <f aca="false">(F_OtherM+F_RentM)*12*E277</f>
        <v>0</v>
      </c>
      <c r="AG277" s="20" t="n">
        <f aca="false">F_PAge+B277</f>
        <v>80</v>
      </c>
      <c r="AH277" s="20" t="n">
        <f aca="false">IF(AND(F_Partner=1,F_PAge&gt;0,AG277&lt;IF(F_PRet&gt;0,F_PRet,PR_SPage)),F_PIncome*F277,0)</f>
        <v>0</v>
      </c>
      <c r="AI277" s="20" t="n">
        <f aca="false">IF(AND(F_Partner=1,AG277&gt;=PR_SPage,F_PSpQA=0),AS_SP*F_PSpF*I277,0)</f>
        <v>29174.7694806828</v>
      </c>
      <c r="AJ277" s="20" t="n">
        <f aca="false">IF(AND(F_Partner=1,F_PSpQA=1,C277&gt;=PR_SPage,AH277=0),IF(AG277&gt;=PR_SPage,PR_QA66,PR_QAunder)*PR_Weeks*I277,0)</f>
        <v>0</v>
      </c>
      <c r="AK277" s="20" t="n">
        <f aca="false">AE277+AJ277</f>
        <v>37686.9203156332</v>
      </c>
      <c r="AL277" s="20" t="n">
        <f aca="false">K277/H277</f>
        <v>0</v>
      </c>
      <c r="AM277" s="20" t="n">
        <f aca="false">AK277/H277</f>
        <v>16083.6</v>
      </c>
      <c r="AN277" s="20" t="n">
        <f aca="false">AC277/H277</f>
        <v>9299.12526610269</v>
      </c>
      <c r="AO277" s="20" t="n">
        <f aca="false">AF277/H277</f>
        <v>0</v>
      </c>
      <c r="AP277" s="20" t="n">
        <f aca="false">O277/H277</f>
        <v>0</v>
      </c>
      <c r="AQ277" s="20" t="n">
        <f aca="false">AH277/H277</f>
        <v>0</v>
      </c>
      <c r="AR277" s="20" t="n">
        <f aca="false">AI277/H277</f>
        <v>12450.88</v>
      </c>
      <c r="AS277" s="20" t="n">
        <f aca="false">MAX(0,AL277+AN277+AO277+AM277-AP277)</f>
        <v>25382.7252661027</v>
      </c>
      <c r="AT277" s="20" t="n">
        <f aca="false">MAX(0,AQ277+AR277)</f>
        <v>12450.88</v>
      </c>
      <c r="AU277" s="20" t="n">
        <f aca="false">MIN(PR_PAYE,PR_PAYEcap*(AL277+AN277+AM277))</f>
        <v>2000</v>
      </c>
      <c r="AV277" s="20" t="n">
        <f aca="false">MIN(PR_PAYE,PR_PAYEcap*(AQ277+AR277))</f>
        <v>2000</v>
      </c>
      <c r="AW277" s="20" t="n">
        <f aca="false">IF(C277&gt;=PR_AgeCrAge,PR_AgeCr,0)</f>
        <v>245</v>
      </c>
      <c r="AX277" s="20" t="n">
        <f aca="false">IF(AG277&gt;=PR_AgeCrAge,PR_AgeCr,0)</f>
        <v>245</v>
      </c>
      <c r="AY277" s="20" t="n">
        <f aca="false">IF(AND(F_RentCred=1,D277&lt;=PR_RentLast),1,0)</f>
        <v>0</v>
      </c>
      <c r="AZ277" s="20" t="n">
        <f aca="false">AS277+AT277</f>
        <v>37833.6052661027</v>
      </c>
      <c r="BA277" s="20" t="n">
        <f aca="false">PR_PersonalM+AU277+AV277+AW277+AX277+IF(AY277=1,PR_RentJoint,0)</f>
        <v>8490</v>
      </c>
      <c r="BB277" s="20" t="n">
        <f aca="false">PR_BandM+MIN(MIN(AS277,AT277),PR_Uplift)</f>
        <v>65450.88</v>
      </c>
      <c r="BC277" s="20" t="n">
        <f aca="false">MAX(0,PR_r1*MIN(AZ277,BB277)+PR_r2*MAX(0,AZ277-BB277)-BA277)</f>
        <v>0</v>
      </c>
      <c r="BD277" s="20" t="n">
        <f aca="false">MAX(0,PR_HomeCarer-MAX(0,MIN(AS277,AT277)-PR_HCLimit)/2)</f>
        <v>0</v>
      </c>
      <c r="BE277" s="20" t="n">
        <f aca="false">IF(F_Carer=1,MIN(BC277,MAX(0,PR_r1*MIN(AZ277,PR_BandM)+PR_r2*MAX(0,AZ277-PR_BandM)-BA277-BD277)),BC277)</f>
        <v>0</v>
      </c>
      <c r="BF277" s="20" t="n">
        <f aca="false">IF(OR(C277&gt;=PR_AgeCrAge,AG277&gt;=PR_AgeCrAge),IF(AZ277&lt;=PR_AgeExM,0,MIN(BE277,PR_AgeMarg*(AZ277-PR_AgeExM))),BE277)</f>
        <v>0</v>
      </c>
      <c r="BG277" s="20" t="n">
        <f aca="false">MAX(0,PR_r1*MIN(AS277,IF(F_Spccc=1,PR_BandSPCCC,PR_Band))+PR_r2*MAX(0,AS277-IF(F_Spccc=1,PR_BandSPCCC,PR_Band))-(PR_Personal+AU277+AW277+IF(F_Spccc=1,PR_SPCCC,0)+IF(AY277=1,PR_Rent,0)))</f>
        <v>831.54505322054</v>
      </c>
      <c r="BH277" s="20" t="n">
        <f aca="false">IF(C277&gt;=PR_AgeCrAge,IF(AS277&lt;=PR_AgeEx,0,MIN(BG277,PR_AgeMarg*(AS277-PR_AgeEx))),BG277)</f>
        <v>831.54505322054</v>
      </c>
      <c r="BI277" s="20" t="n">
        <f aca="false">IF(F_Partner=1,MAX(0,PR_r1*MIN(AT277,PR_Band)+PR_r2*MAX(0,AT277-PR_Band)-(PR_Personal+AV277+AX277+IF(AND(AY277=1,AT277&gt;0),PR_Rent,0))),0)</f>
        <v>0</v>
      </c>
      <c r="BJ277" s="20" t="n">
        <f aca="false">IF(AG277&gt;=PR_AgeCrAge,IF(AT277&lt;=PR_AgeEx,0,MIN(BI277,PR_AgeMarg*(AT277-PR_AgeEx))),BI277)</f>
        <v>0</v>
      </c>
      <c r="BK277" s="20" t="n">
        <f aca="false">IF(F_Partner=1,IF(F_Married=1,BF277,BH277+BJ277),BH277)</f>
        <v>831.54505322054</v>
      </c>
      <c r="BL277" s="20" t="n">
        <f aca="false">AL277+AN277+AO277</f>
        <v>9299.12526610269</v>
      </c>
      <c r="BM277" s="20" t="n">
        <f aca="false">IF(BL277&lt;=PR_USCex,0,IF(IF(AND(C277&gt;=PR_USCredAge,BL277&lt;=PR_USCredMax),1,0)=1,PR_USCr1*MIN(BL277,PR_USCredB1)+PR_USCredR2*MAX(0,BL277-PR_USCredB1),PR_USCr1*MIN(BL277,PR_USCb1)+PR_USCr2*MAX(0,MIN(BL277,PR_USCb2)-PR_USCb1)+PR_USCr3*MAX(0,MIN(BL277,PR_USCb3)-PR_USCb2)+PR_USCr4*MAX(0,BL277-PR_USCb3)))+IF(F_SelfEmp=1,PR_USCse*MAX(0,AL277-PR_USCseOver),0)</f>
        <v>0</v>
      </c>
      <c r="BN277" s="20" t="n">
        <f aca="false">AQ277</f>
        <v>0</v>
      </c>
      <c r="BO277" s="20" t="n">
        <f aca="false">IF(F_Partner=1,IF(BN277&lt;=PR_USCex,0,IF(IF(AND(AG277&gt;=PR_USCredAge,BN277&lt;=PR_USCredMax),1,0)=1,PR_USCr1*MIN(BN277,PR_USCredB1)+PR_USCredR2*MAX(0,BN277-PR_USCredB1),PR_USCr1*MIN(BN277,PR_USCb1)+PR_USCr2*MAX(0,MIN(BN277,PR_USCb2)-PR_USCb1)+PR_USCr3*MAX(0,MIN(BN277,PR_USCb3)-PR_USCb2)+PR_USCr4*MAX(0,BN277-PR_USCb3))),0)</f>
        <v>0</v>
      </c>
      <c r="BP277" s="20" t="n">
        <f aca="false">IF(C277&lt;PR_PRSIend,IF(F_SelfEmp=1,IF(AL277&gt;PR_PRSIsMinInc,MAX(PR_PRSIsMin,AL277*J277),0),IF(AL277/52&lt;=PR_PRSIfree,0,MAX(0,(AL277/52*J277-IF(AL277/52&lt;=PR_PRSIcreditTo,MAX(0,PR_PRSIcreditMax-(AL277/52-(PR_PRSIfree+0.01))/PR_PRSItaper),0))*52)))+J277*AN277+IF(AO277&gt;PR_PRSIunearned,J277*AO277,0),0)</f>
        <v>0</v>
      </c>
      <c r="BQ277" s="20" t="n">
        <f aca="false">IF(AND(F_Partner=1,AG277&lt;PR_PRSIend),IF(AQ277/52&lt;=PR_PRSIfree,0,MAX(0,(AQ277/52*J277-IF(AQ277/52&lt;=PR_PRSIcreditTo,MAX(0,PR_PRSIcreditMax-(AQ277/52-(PR_PRSIfree+0.01))/PR_PRSItaper),0))*52)),0)</f>
        <v>0</v>
      </c>
      <c r="BR277" s="20" t="n">
        <f aca="false">BK277+BM277+BO277+BP277+BQ277</f>
        <v>831.54505322054</v>
      </c>
      <c r="BS277" s="20" t="n">
        <f aca="false">BR277*H277</f>
        <v>1948.46751719649</v>
      </c>
      <c r="BT277" s="20" t="n">
        <f aca="false">K277+AK277+AC277+AF277+AH277+AI277</f>
        <v>88651.3011338712</v>
      </c>
    </row>
    <row r="278" customFormat="false" ht="15" hidden="false" customHeight="true" outlineLevel="0" collapsed="false">
      <c r="B278" s="20" t="n">
        <v>44</v>
      </c>
      <c r="C278" s="20" t="n">
        <f aca="false">F_Age+B278</f>
        <v>82</v>
      </c>
      <c r="D278" s="20" t="n">
        <f aca="false">AS_Year0+B278</f>
        <v>2071</v>
      </c>
      <c r="E278" s="44" t="n">
        <f aca="false">(1+AS_Infl)^B278</f>
        <v>2.3900531424523</v>
      </c>
      <c r="F278" s="44" t="n">
        <f aca="false">(1+AS_Wage)^B278</f>
        <v>3.67145227344791</v>
      </c>
      <c r="G278" s="20" t="n">
        <f aca="false">IF(C278&lt;F_R,1,0)</f>
        <v>0</v>
      </c>
      <c r="H278" s="44" t="n">
        <f aca="false">IF(AS_Bands="flat",1,E278)</f>
        <v>2.3900531424523</v>
      </c>
      <c r="I278" s="44" t="n">
        <f aca="false">IF(AS_SpGrow="pay",F278,IF(AS_SpGrow="flat",1,E278))</f>
        <v>2.3900531424523</v>
      </c>
      <c r="J278" s="44" t="n">
        <f aca="false">(12*PR_PRSIr0+(PR_PRSIr1-PR_PRSIr0)*MAX(0,MIN(12,D278*12+12-PR_PRSIt1))+(PR_PRSIr2-PR_PRSIr1)*MAX(0,MIN(12,D278*12+12-PR_PRSIt2))+(PR_PRSIr3-PR_PRSIr2)*MAX(0,MIN(12,D278*12+12-PR_PRSIt3)))/12</f>
        <v>0.047</v>
      </c>
      <c r="K278" s="20" t="n">
        <f aca="false">IF(G278=1,F_Income*F278,0)</f>
        <v>0</v>
      </c>
      <c r="L278" s="20" t="n">
        <f aca="false">IF(G278=1,(F_Own+In_penExtra)*12*F278,0)</f>
        <v>0</v>
      </c>
      <c r="M278" s="20" t="n">
        <f aca="false">IF(G278=1,(F_PenM+In_penExtra)*12*F278,0)</f>
        <v>0</v>
      </c>
      <c r="N278" s="45" t="n">
        <f aca="false">IF(C278&lt;PR_RelA1,PR_RelP1,IF(C278&lt;PR_RelA2,PR_RelP2,IF(C278&lt;PR_RelA3,PR_RelP3,IF(C278&lt;PR_RelA4,PR_RelP4,IF(C278&lt;PR_RelA5,PR_RelP5,PR_RelP6)))))</f>
        <v>0.4</v>
      </c>
      <c r="O278" s="20" t="n">
        <f aca="false">IF(G278=1,MIN(L278/H278,N278*MIN(K278/H278,PR_EarnCap))*H278,0)</f>
        <v>0</v>
      </c>
      <c r="P278" s="20" t="n">
        <f aca="false">IF(AND(G278=1,F_AE=1),MIN(K278/H278,PR_AEcap)*H278,0)</f>
        <v>0</v>
      </c>
      <c r="Q278" s="20" t="n">
        <f aca="false">IF(G278=1,IF(WI_Retire=1,MAX(0,M278+WI_M*12),M278)+(PR_AEee+PR_AEer+PR_AEst)*P278,0)</f>
        <v>0</v>
      </c>
      <c r="R278" s="20" t="n">
        <f aca="false">L278+PR_AEee*P278</f>
        <v>0</v>
      </c>
      <c r="S278" s="20" t="n">
        <f aca="false">AD277</f>
        <v>314663.777325635</v>
      </c>
      <c r="T278" s="20" t="n">
        <f aca="false">IF(D278&lt;=PR_SFTfrom,PR_SFT2026,IF(D278=PR_SFTfrom+1,PR_SFT2027,IF(D278=PR_SFTfrom+2,PR_SFT2028,IF(D278&lt;=PR_SFTto,PR_SFT2029,PR_SFT2029*(1+AS_Infl)^(D278-PR_SFTto)))))</f>
        <v>6432284.5048697</v>
      </c>
      <c r="U278" s="20" t="n">
        <f aca="false">IF(AND(G278=0,C278=F_V),1,0)</f>
        <v>0</v>
      </c>
      <c r="V278" s="20" t="n">
        <f aca="false">IF(U278=1,PR_SFTrate*MAX(0,S278-T278),0)</f>
        <v>0</v>
      </c>
      <c r="W278" s="20" t="n">
        <f aca="false">S278-V278</f>
        <v>314663.777325635</v>
      </c>
      <c r="X278" s="20" t="n">
        <f aca="false">IF(AND(U278=1,AS_LumpPct&gt;0),W278*MIN(AS_LumpPct,PR_LSmax),0)</f>
        <v>0</v>
      </c>
      <c r="Y278" s="20" t="n">
        <f aca="false">X278-(PR_LSrate*MAX(0,MIN(X278,PR_LScap)-PR_LSfree)+PR_r2*MAX(0,X278-PR_LScap))</f>
        <v>0</v>
      </c>
      <c r="Z278" s="20" t="n">
        <f aca="false">W278-X278</f>
        <v>314663.777325635</v>
      </c>
      <c r="AA278" s="45" t="n">
        <f aca="false">IF(C278&gt;=PR_ARFage1,IF(Z278&gt;PR_ARFbig,PR_ARFbigRate,IF(C278&gt;=PR_ARFage2,PR_ARF71,PR_ARF61)),0)</f>
        <v>0.05</v>
      </c>
      <c r="AB278" s="20" t="n">
        <f aca="false">IF(AS_DrawRule="min",Z278*AA278,IF(AS_DrawRule="fixed",MAX(AS_DrawFixed*E278,Z278*AA278),Z278*MAX(1/MAX(1,AS_End-C278+1),AA278)))</f>
        <v>22475.9840946882</v>
      </c>
      <c r="AC278" s="20" t="n">
        <f aca="false">IF(AND(G278=0,C278&gt;=F_V),MIN(Z278,AB278),0)</f>
        <v>22475.9840946882</v>
      </c>
      <c r="AD278" s="20" t="n">
        <f aca="false">IF(G278=1,S278*(1+F_PenG)+Q278,IF(C278&lt;F_V,S278*(1+F_PenG),(Z278-AC278)*(1+AS_PenRet)))</f>
        <v>301391.708717722</v>
      </c>
      <c r="AE278" s="20" t="n">
        <f aca="false">IF(C278&gt;=PR_SPage,AS_SP*F_SpF*I278+IF(AND(C278&gt;=PR_Over80Age,F_SpF&gt;0),PR_Over80*PR_Weeks*I278,0),0)</f>
        <v>38440.6587219458</v>
      </c>
      <c r="AF278" s="20" t="n">
        <f aca="false">(F_OtherM+F_RentM)*12*E278</f>
        <v>0</v>
      </c>
      <c r="AG278" s="20" t="n">
        <f aca="false">F_PAge+B278</f>
        <v>81</v>
      </c>
      <c r="AH278" s="20" t="n">
        <f aca="false">IF(AND(F_Partner=1,F_PAge&gt;0,AG278&lt;IF(F_PRet&gt;0,F_PRet,PR_SPage)),F_PIncome*F278,0)</f>
        <v>0</v>
      </c>
      <c r="AI278" s="20" t="n">
        <f aca="false">IF(AND(F_Partner=1,AG278&gt;=PR_SPage,F_PSpQA=0),AS_SP*F_PSpF*I278,0)</f>
        <v>29758.2648702965</v>
      </c>
      <c r="AJ278" s="20" t="n">
        <f aca="false">IF(AND(F_Partner=1,F_PSpQA=1,C278&gt;=PR_SPage,AH278=0),IF(AG278&gt;=PR_SPage,PR_QA66,PR_QAunder)*PR_Weeks*I278,0)</f>
        <v>0</v>
      </c>
      <c r="AK278" s="20" t="n">
        <f aca="false">AE278+AJ278</f>
        <v>38440.6587219458</v>
      </c>
      <c r="AL278" s="20" t="n">
        <f aca="false">K278/H278</f>
        <v>0</v>
      </c>
      <c r="AM278" s="20" t="n">
        <f aca="false">AK278/H278</f>
        <v>16083.6</v>
      </c>
      <c r="AN278" s="20" t="n">
        <f aca="false">AC278/H278</f>
        <v>9403.96834508326</v>
      </c>
      <c r="AO278" s="20" t="n">
        <f aca="false">AF278/H278</f>
        <v>0</v>
      </c>
      <c r="AP278" s="20" t="n">
        <f aca="false">O278/H278</f>
        <v>0</v>
      </c>
      <c r="AQ278" s="20" t="n">
        <f aca="false">AH278/H278</f>
        <v>0</v>
      </c>
      <c r="AR278" s="20" t="n">
        <f aca="false">AI278/H278</f>
        <v>12450.88</v>
      </c>
      <c r="AS278" s="20" t="n">
        <f aca="false">MAX(0,AL278+AN278+AO278+AM278-AP278)</f>
        <v>25487.5683450833</v>
      </c>
      <c r="AT278" s="20" t="n">
        <f aca="false">MAX(0,AQ278+AR278)</f>
        <v>12450.88</v>
      </c>
      <c r="AU278" s="20" t="n">
        <f aca="false">MIN(PR_PAYE,PR_PAYEcap*(AL278+AN278+AM278))</f>
        <v>2000</v>
      </c>
      <c r="AV278" s="20" t="n">
        <f aca="false">MIN(PR_PAYE,PR_PAYEcap*(AQ278+AR278))</f>
        <v>2000</v>
      </c>
      <c r="AW278" s="20" t="n">
        <f aca="false">IF(C278&gt;=PR_AgeCrAge,PR_AgeCr,0)</f>
        <v>245</v>
      </c>
      <c r="AX278" s="20" t="n">
        <f aca="false">IF(AG278&gt;=PR_AgeCrAge,PR_AgeCr,0)</f>
        <v>245</v>
      </c>
      <c r="AY278" s="20" t="n">
        <f aca="false">IF(AND(F_RentCred=1,D278&lt;=PR_RentLast),1,0)</f>
        <v>0</v>
      </c>
      <c r="AZ278" s="20" t="n">
        <f aca="false">AS278+AT278</f>
        <v>37938.4483450833</v>
      </c>
      <c r="BA278" s="20" t="n">
        <f aca="false">PR_PersonalM+AU278+AV278+AW278+AX278+IF(AY278=1,PR_RentJoint,0)</f>
        <v>8490</v>
      </c>
      <c r="BB278" s="20" t="n">
        <f aca="false">PR_BandM+MIN(MIN(AS278,AT278),PR_Uplift)</f>
        <v>65450.88</v>
      </c>
      <c r="BC278" s="20" t="n">
        <f aca="false">MAX(0,PR_r1*MIN(AZ278,BB278)+PR_r2*MAX(0,AZ278-BB278)-BA278)</f>
        <v>0</v>
      </c>
      <c r="BD278" s="20" t="n">
        <f aca="false">MAX(0,PR_HomeCarer-MAX(0,MIN(AS278,AT278)-PR_HCLimit)/2)</f>
        <v>0</v>
      </c>
      <c r="BE278" s="20" t="n">
        <f aca="false">IF(F_Carer=1,MIN(BC278,MAX(0,PR_r1*MIN(AZ278,PR_BandM)+PR_r2*MAX(0,AZ278-PR_BandM)-BA278-BD278)),BC278)</f>
        <v>0</v>
      </c>
      <c r="BF278" s="20" t="n">
        <f aca="false">IF(OR(C278&gt;=PR_AgeCrAge,AG278&gt;=PR_AgeCrAge),IF(AZ278&lt;=PR_AgeExM,0,MIN(BE278,PR_AgeMarg*(AZ278-PR_AgeExM))),BE278)</f>
        <v>0</v>
      </c>
      <c r="BG278" s="20" t="n">
        <f aca="false">MAX(0,PR_r1*MIN(AS278,IF(F_Spccc=1,PR_BandSPCCC,PR_Band))+PR_r2*MAX(0,AS278-IF(F_Spccc=1,PR_BandSPCCC,PR_Band))-(PR_Personal+AU278+AW278+IF(F_Spccc=1,PR_SPCCC,0)+IF(AY278=1,PR_Rent,0)))</f>
        <v>852.513669016654</v>
      </c>
      <c r="BH278" s="20" t="n">
        <f aca="false">IF(C278&gt;=PR_AgeCrAge,IF(AS278&lt;=PR_AgeEx,0,MIN(BG278,PR_AgeMarg*(AS278-PR_AgeEx))),BG278)</f>
        <v>852.513669016654</v>
      </c>
      <c r="BI278" s="20" t="n">
        <f aca="false">IF(F_Partner=1,MAX(0,PR_r1*MIN(AT278,PR_Band)+PR_r2*MAX(0,AT278-PR_Band)-(PR_Personal+AV278+AX278+IF(AND(AY278=1,AT278&gt;0),PR_Rent,0))),0)</f>
        <v>0</v>
      </c>
      <c r="BJ278" s="20" t="n">
        <f aca="false">IF(AG278&gt;=PR_AgeCrAge,IF(AT278&lt;=PR_AgeEx,0,MIN(BI278,PR_AgeMarg*(AT278-PR_AgeEx))),BI278)</f>
        <v>0</v>
      </c>
      <c r="BK278" s="20" t="n">
        <f aca="false">IF(F_Partner=1,IF(F_Married=1,BF278,BH278+BJ278),BH278)</f>
        <v>852.513669016654</v>
      </c>
      <c r="BL278" s="20" t="n">
        <f aca="false">AL278+AN278+AO278</f>
        <v>9403.96834508326</v>
      </c>
      <c r="BM278" s="20" t="n">
        <f aca="false">IF(BL278&lt;=PR_USCex,0,IF(IF(AND(C278&gt;=PR_USCredAge,BL278&lt;=PR_USCredMax),1,0)=1,PR_USCr1*MIN(BL278,PR_USCredB1)+PR_USCredR2*MAX(0,BL278-PR_USCredB1),PR_USCr1*MIN(BL278,PR_USCb1)+PR_USCr2*MAX(0,MIN(BL278,PR_USCb2)-PR_USCb1)+PR_USCr3*MAX(0,MIN(BL278,PR_USCb3)-PR_USCb2)+PR_USCr4*MAX(0,BL278-PR_USCb3)))+IF(F_SelfEmp=1,PR_USCse*MAX(0,AL278-PR_USCseOver),0)</f>
        <v>0</v>
      </c>
      <c r="BN278" s="20" t="n">
        <f aca="false">AQ278</f>
        <v>0</v>
      </c>
      <c r="BO278" s="20" t="n">
        <f aca="false">IF(F_Partner=1,IF(BN278&lt;=PR_USCex,0,IF(IF(AND(AG278&gt;=PR_USCredAge,BN278&lt;=PR_USCredMax),1,0)=1,PR_USCr1*MIN(BN278,PR_USCredB1)+PR_USCredR2*MAX(0,BN278-PR_USCredB1),PR_USCr1*MIN(BN278,PR_USCb1)+PR_USCr2*MAX(0,MIN(BN278,PR_USCb2)-PR_USCb1)+PR_USCr3*MAX(0,MIN(BN278,PR_USCb3)-PR_USCb2)+PR_USCr4*MAX(0,BN278-PR_USCb3))),0)</f>
        <v>0</v>
      </c>
      <c r="BP278" s="20" t="n">
        <f aca="false">IF(C278&lt;PR_PRSIend,IF(F_SelfEmp=1,IF(AL278&gt;PR_PRSIsMinInc,MAX(PR_PRSIsMin,AL278*J278),0),IF(AL278/52&lt;=PR_PRSIfree,0,MAX(0,(AL278/52*J278-IF(AL278/52&lt;=PR_PRSIcreditTo,MAX(0,PR_PRSIcreditMax-(AL278/52-(PR_PRSIfree+0.01))/PR_PRSItaper),0))*52)))+J278*AN278+IF(AO278&gt;PR_PRSIunearned,J278*AO278,0),0)</f>
        <v>0</v>
      </c>
      <c r="BQ278" s="20" t="n">
        <f aca="false">IF(AND(F_Partner=1,AG278&lt;PR_PRSIend),IF(AQ278/52&lt;=PR_PRSIfree,0,MAX(0,(AQ278/52*J278-IF(AQ278/52&lt;=PR_PRSIcreditTo,MAX(0,PR_PRSIcreditMax-(AQ278/52-(PR_PRSIfree+0.01))/PR_PRSItaper),0))*52)),0)</f>
        <v>0</v>
      </c>
      <c r="BR278" s="20" t="n">
        <f aca="false">BK278+BM278+BO278+BP278+BQ278</f>
        <v>852.513669016654</v>
      </c>
      <c r="BS278" s="20" t="n">
        <f aca="false">BR278*H278</f>
        <v>2037.55297361679</v>
      </c>
      <c r="BT278" s="20" t="n">
        <f aca="false">K278+AK278+AC278+AF278+AH278+AI278</f>
        <v>90674.9076869305</v>
      </c>
    </row>
    <row r="279" customFormat="false" ht="15" hidden="false" customHeight="true" outlineLevel="0" collapsed="false">
      <c r="B279" s="20" t="n">
        <v>45</v>
      </c>
      <c r="C279" s="20" t="n">
        <f aca="false">F_Age+B279</f>
        <v>83</v>
      </c>
      <c r="D279" s="20" t="n">
        <f aca="false">AS_Year0+B279</f>
        <v>2072</v>
      </c>
      <c r="E279" s="44" t="n">
        <f aca="false">(1+AS_Infl)^B279</f>
        <v>2.43785420530135</v>
      </c>
      <c r="F279" s="44" t="n">
        <f aca="false">(1+AS_Wage)^B279</f>
        <v>3.78159584165135</v>
      </c>
      <c r="G279" s="20" t="n">
        <f aca="false">IF(C279&lt;F_R,1,0)</f>
        <v>0</v>
      </c>
      <c r="H279" s="44" t="n">
        <f aca="false">IF(AS_Bands="flat",1,E279)</f>
        <v>2.43785420530135</v>
      </c>
      <c r="I279" s="44" t="n">
        <f aca="false">IF(AS_SpGrow="pay",F279,IF(AS_SpGrow="flat",1,E279))</f>
        <v>2.43785420530135</v>
      </c>
      <c r="J279" s="44" t="n">
        <f aca="false">(12*PR_PRSIr0+(PR_PRSIr1-PR_PRSIr0)*MAX(0,MIN(12,D279*12+12-PR_PRSIt1))+(PR_PRSIr2-PR_PRSIr1)*MAX(0,MIN(12,D279*12+12-PR_PRSIt2))+(PR_PRSIr3-PR_PRSIr2)*MAX(0,MIN(12,D279*12+12-PR_PRSIt3)))/12</f>
        <v>0.047</v>
      </c>
      <c r="K279" s="20" t="n">
        <f aca="false">IF(G279=1,F_Income*F279,0)</f>
        <v>0</v>
      </c>
      <c r="L279" s="20" t="n">
        <f aca="false">IF(G279=1,(F_Own+In_penExtra)*12*F279,0)</f>
        <v>0</v>
      </c>
      <c r="M279" s="20" t="n">
        <f aca="false">IF(G279=1,(F_PenM+In_penExtra)*12*F279,0)</f>
        <v>0</v>
      </c>
      <c r="N279" s="45" t="n">
        <f aca="false">IF(C279&lt;PR_RelA1,PR_RelP1,IF(C279&lt;PR_RelA2,PR_RelP2,IF(C279&lt;PR_RelA3,PR_RelP3,IF(C279&lt;PR_RelA4,PR_RelP4,IF(C279&lt;PR_RelA5,PR_RelP5,PR_RelP6)))))</f>
        <v>0.4</v>
      </c>
      <c r="O279" s="20" t="n">
        <f aca="false">IF(G279=1,MIN(L279/H279,N279*MIN(K279/H279,PR_EarnCap))*H279,0)</f>
        <v>0</v>
      </c>
      <c r="P279" s="20" t="n">
        <f aca="false">IF(AND(G279=1,F_AE=1),MIN(K279/H279,PR_AEcap)*H279,0)</f>
        <v>0</v>
      </c>
      <c r="Q279" s="20" t="n">
        <f aca="false">IF(G279=1,IF(WI_Retire=1,MAX(0,M279+WI_M*12),M279)+(PR_AEee+PR_AEer+PR_AEst)*P279,0)</f>
        <v>0</v>
      </c>
      <c r="R279" s="20" t="n">
        <f aca="false">L279+PR_AEee*P279</f>
        <v>0</v>
      </c>
      <c r="S279" s="20" t="n">
        <f aca="false">AD278</f>
        <v>301391.708717722</v>
      </c>
      <c r="T279" s="20" t="n">
        <f aca="false">IF(D279&lt;=PR_SFTfrom,PR_SFT2026,IF(D279=PR_SFTfrom+1,PR_SFT2027,IF(D279=PR_SFTfrom+2,PR_SFT2028,IF(D279&lt;=PR_SFTto,PR_SFT2029,PR_SFT2029*(1+AS_Infl)^(D279-PR_SFTto)))))</f>
        <v>6560930.1949671</v>
      </c>
      <c r="U279" s="20" t="n">
        <f aca="false">IF(AND(G279=0,C279=F_V),1,0)</f>
        <v>0</v>
      </c>
      <c r="V279" s="20" t="n">
        <f aca="false">IF(U279=1,PR_SFTrate*MAX(0,S279-T279),0)</f>
        <v>0</v>
      </c>
      <c r="W279" s="20" t="n">
        <f aca="false">S279-V279</f>
        <v>301391.708717722</v>
      </c>
      <c r="X279" s="20" t="n">
        <f aca="false">IF(AND(U279=1,AS_LumpPct&gt;0),W279*MIN(AS_LumpPct,PR_LSmax),0)</f>
        <v>0</v>
      </c>
      <c r="Y279" s="20" t="n">
        <f aca="false">X279-(PR_LSrate*MAX(0,MIN(X279,PR_LScap)-PR_LSfree)+PR_r2*MAX(0,X279-PR_LScap))</f>
        <v>0</v>
      </c>
      <c r="Z279" s="20" t="n">
        <f aca="false">W279-X279</f>
        <v>301391.708717722</v>
      </c>
      <c r="AA279" s="45" t="n">
        <f aca="false">IF(C279&gt;=PR_ARFage1,IF(Z279&gt;PR_ARFbig,PR_ARFbigRate,IF(C279&gt;=PR_ARFage2,PR_ARF71,PR_ARF61)),0)</f>
        <v>0.05</v>
      </c>
      <c r="AB279" s="20" t="n">
        <f aca="false">IF(AS_DrawRule="min",Z279*AA279,IF(AS_DrawRule="fixed",MAX(AS_DrawFixed*E279,Z279*AA279),Z279*MAX(1/MAX(1,AS_End-C279+1),AA279)))</f>
        <v>23183.9775936709</v>
      </c>
      <c r="AC279" s="20" t="n">
        <f aca="false">IF(AND(G279=0,C279&gt;=F_V),MIN(Z279,AB279),0)</f>
        <v>23183.9775936709</v>
      </c>
      <c r="AD279" s="20" t="n">
        <f aca="false">IF(G279=1,S279*(1+F_PenG)+Q279,IF(C279&lt;F_V,S279*(1+F_PenG),(Z279-AC279)*(1+AS_PenRet)))</f>
        <v>286971.274654458</v>
      </c>
      <c r="AE279" s="20" t="n">
        <f aca="false">IF(C279&gt;=PR_SPage,AS_SP*F_SpF*I279+IF(AND(C279&gt;=PR_Over80Age,F_SpF&gt;0),PR_Over80*PR_Weeks*I279,0),0)</f>
        <v>39209.4718963847</v>
      </c>
      <c r="AF279" s="20" t="n">
        <f aca="false">(F_OtherM+F_RentM)*12*E279</f>
        <v>0</v>
      </c>
      <c r="AG279" s="20" t="n">
        <f aca="false">F_PAge+B279</f>
        <v>82</v>
      </c>
      <c r="AH279" s="20" t="n">
        <f aca="false">IF(AND(F_Partner=1,F_PAge&gt;0,AG279&lt;IF(F_PRet&gt;0,F_PRet,PR_SPage)),F_PIncome*F279,0)</f>
        <v>0</v>
      </c>
      <c r="AI279" s="20" t="n">
        <f aca="false">IF(AND(F_Partner=1,AG279&gt;=PR_SPage,F_PSpQA=0),AS_SP*F_PSpF*I279,0)</f>
        <v>30353.4301677024</v>
      </c>
      <c r="AJ279" s="20" t="n">
        <f aca="false">IF(AND(F_Partner=1,F_PSpQA=1,C279&gt;=PR_SPage,AH279=0),IF(AG279&gt;=PR_SPage,PR_QA66,PR_QAunder)*PR_Weeks*I279,0)</f>
        <v>0</v>
      </c>
      <c r="AK279" s="20" t="n">
        <f aca="false">AE279+AJ279</f>
        <v>39209.4718963847</v>
      </c>
      <c r="AL279" s="20" t="n">
        <f aca="false">K279/H279</f>
        <v>0</v>
      </c>
      <c r="AM279" s="20" t="n">
        <f aca="false">AK279/H279</f>
        <v>16083.6</v>
      </c>
      <c r="AN279" s="20" t="n">
        <f aca="false">AC279/H279</f>
        <v>9509.99347838568</v>
      </c>
      <c r="AO279" s="20" t="n">
        <f aca="false">AF279/H279</f>
        <v>0</v>
      </c>
      <c r="AP279" s="20" t="n">
        <f aca="false">O279/H279</f>
        <v>0</v>
      </c>
      <c r="AQ279" s="20" t="n">
        <f aca="false">AH279/H279</f>
        <v>0</v>
      </c>
      <c r="AR279" s="20" t="n">
        <f aca="false">AI279/H279</f>
        <v>12450.88</v>
      </c>
      <c r="AS279" s="20" t="n">
        <f aca="false">MAX(0,AL279+AN279+AO279+AM279-AP279)</f>
        <v>25593.5934783857</v>
      </c>
      <c r="AT279" s="20" t="n">
        <f aca="false">MAX(0,AQ279+AR279)</f>
        <v>12450.88</v>
      </c>
      <c r="AU279" s="20" t="n">
        <f aca="false">MIN(PR_PAYE,PR_PAYEcap*(AL279+AN279+AM279))</f>
        <v>2000</v>
      </c>
      <c r="AV279" s="20" t="n">
        <f aca="false">MIN(PR_PAYE,PR_PAYEcap*(AQ279+AR279))</f>
        <v>2000</v>
      </c>
      <c r="AW279" s="20" t="n">
        <f aca="false">IF(C279&gt;=PR_AgeCrAge,PR_AgeCr,0)</f>
        <v>245</v>
      </c>
      <c r="AX279" s="20" t="n">
        <f aca="false">IF(AG279&gt;=PR_AgeCrAge,PR_AgeCr,0)</f>
        <v>245</v>
      </c>
      <c r="AY279" s="20" t="n">
        <f aca="false">IF(AND(F_RentCred=1,D279&lt;=PR_RentLast),1,0)</f>
        <v>0</v>
      </c>
      <c r="AZ279" s="20" t="n">
        <f aca="false">AS279+AT279</f>
        <v>38044.4734783857</v>
      </c>
      <c r="BA279" s="20" t="n">
        <f aca="false">PR_PersonalM+AU279+AV279+AW279+AX279+IF(AY279=1,PR_RentJoint,0)</f>
        <v>8490</v>
      </c>
      <c r="BB279" s="20" t="n">
        <f aca="false">PR_BandM+MIN(MIN(AS279,AT279),PR_Uplift)</f>
        <v>65450.88</v>
      </c>
      <c r="BC279" s="20" t="n">
        <f aca="false">MAX(0,PR_r1*MIN(AZ279,BB279)+PR_r2*MAX(0,AZ279-BB279)-BA279)</f>
        <v>0</v>
      </c>
      <c r="BD279" s="20" t="n">
        <f aca="false">MAX(0,PR_HomeCarer-MAX(0,MIN(AS279,AT279)-PR_HCLimit)/2)</f>
        <v>0</v>
      </c>
      <c r="BE279" s="20" t="n">
        <f aca="false">IF(F_Carer=1,MIN(BC279,MAX(0,PR_r1*MIN(AZ279,PR_BandM)+PR_r2*MAX(0,AZ279-PR_BandM)-BA279-BD279)),BC279)</f>
        <v>0</v>
      </c>
      <c r="BF279" s="20" t="n">
        <f aca="false">IF(OR(C279&gt;=PR_AgeCrAge,AG279&gt;=PR_AgeCrAge),IF(AZ279&lt;=PR_AgeExM,0,MIN(BE279,PR_AgeMarg*(AZ279-PR_AgeExM))),BE279)</f>
        <v>0</v>
      </c>
      <c r="BG279" s="20" t="n">
        <f aca="false">MAX(0,PR_r1*MIN(AS279,IF(F_Spccc=1,PR_BandSPCCC,PR_Band))+PR_r2*MAX(0,AS279-IF(F_Spccc=1,PR_BandSPCCC,PR_Band))-(PR_Personal+AU279+AW279+IF(F_Spccc=1,PR_SPCCC,0)+IF(AY279=1,PR_Rent,0)))</f>
        <v>873.718695677136</v>
      </c>
      <c r="BH279" s="20" t="n">
        <f aca="false">IF(C279&gt;=PR_AgeCrAge,IF(AS279&lt;=PR_AgeEx,0,MIN(BG279,PR_AgeMarg*(AS279-PR_AgeEx))),BG279)</f>
        <v>873.718695677136</v>
      </c>
      <c r="BI279" s="20" t="n">
        <f aca="false">IF(F_Partner=1,MAX(0,PR_r1*MIN(AT279,PR_Band)+PR_r2*MAX(0,AT279-PR_Band)-(PR_Personal+AV279+AX279+IF(AND(AY279=1,AT279&gt;0),PR_Rent,0))),0)</f>
        <v>0</v>
      </c>
      <c r="BJ279" s="20" t="n">
        <f aca="false">IF(AG279&gt;=PR_AgeCrAge,IF(AT279&lt;=PR_AgeEx,0,MIN(BI279,PR_AgeMarg*(AT279-PR_AgeEx))),BI279)</f>
        <v>0</v>
      </c>
      <c r="BK279" s="20" t="n">
        <f aca="false">IF(F_Partner=1,IF(F_Married=1,BF279,BH279+BJ279),BH279)</f>
        <v>873.718695677136</v>
      </c>
      <c r="BL279" s="20" t="n">
        <f aca="false">AL279+AN279+AO279</f>
        <v>9509.99347838568</v>
      </c>
      <c r="BM279" s="20" t="n">
        <f aca="false">IF(BL279&lt;=PR_USCex,0,IF(IF(AND(C279&gt;=PR_USCredAge,BL279&lt;=PR_USCredMax),1,0)=1,PR_USCr1*MIN(BL279,PR_USCredB1)+PR_USCredR2*MAX(0,BL279-PR_USCredB1),PR_USCr1*MIN(BL279,PR_USCb1)+PR_USCr2*MAX(0,MIN(BL279,PR_USCb2)-PR_USCb1)+PR_USCr3*MAX(0,MIN(BL279,PR_USCb3)-PR_USCb2)+PR_USCr4*MAX(0,BL279-PR_USCb3)))+IF(F_SelfEmp=1,PR_USCse*MAX(0,AL279-PR_USCseOver),0)</f>
        <v>0</v>
      </c>
      <c r="BN279" s="20" t="n">
        <f aca="false">AQ279</f>
        <v>0</v>
      </c>
      <c r="BO279" s="20" t="n">
        <f aca="false">IF(F_Partner=1,IF(BN279&lt;=PR_USCex,0,IF(IF(AND(AG279&gt;=PR_USCredAge,BN279&lt;=PR_USCredMax),1,0)=1,PR_USCr1*MIN(BN279,PR_USCredB1)+PR_USCredR2*MAX(0,BN279-PR_USCredB1),PR_USCr1*MIN(BN279,PR_USCb1)+PR_USCr2*MAX(0,MIN(BN279,PR_USCb2)-PR_USCb1)+PR_USCr3*MAX(0,MIN(BN279,PR_USCb3)-PR_USCb2)+PR_USCr4*MAX(0,BN279-PR_USCb3))),0)</f>
        <v>0</v>
      </c>
      <c r="BP279" s="20" t="n">
        <f aca="false">IF(C279&lt;PR_PRSIend,IF(F_SelfEmp=1,IF(AL279&gt;PR_PRSIsMinInc,MAX(PR_PRSIsMin,AL279*J279),0),IF(AL279/52&lt;=PR_PRSIfree,0,MAX(0,(AL279/52*J279-IF(AL279/52&lt;=PR_PRSIcreditTo,MAX(0,PR_PRSIcreditMax-(AL279/52-(PR_PRSIfree+0.01))/PR_PRSItaper),0))*52)))+J279*AN279+IF(AO279&gt;PR_PRSIunearned,J279*AO279,0),0)</f>
        <v>0</v>
      </c>
      <c r="BQ279" s="20" t="n">
        <f aca="false">IF(AND(F_Partner=1,AG279&lt;PR_PRSIend),IF(AQ279/52&lt;=PR_PRSIfree,0,MAX(0,(AQ279/52*J279-IF(AQ279/52&lt;=PR_PRSIcreditTo,MAX(0,PR_PRSIcreditMax-(AQ279/52-(PR_PRSIfree+0.01))/PR_PRSItaper),0))*52)),0)</f>
        <v>0</v>
      </c>
      <c r="BR279" s="20" t="n">
        <f aca="false">BK279+BM279+BO279+BP279+BQ279</f>
        <v>873.718695677136</v>
      </c>
      <c r="BS279" s="20" t="n">
        <f aca="false">BR279*H279</f>
        <v>2129.99879650691</v>
      </c>
      <c r="BT279" s="20" t="n">
        <f aca="false">K279+AK279+AC279+AF279+AH279+AI279</f>
        <v>92746.879657758</v>
      </c>
    </row>
    <row r="280" customFormat="false" ht="15" hidden="false" customHeight="true" outlineLevel="0" collapsed="false">
      <c r="B280" s="20" t="n">
        <v>46</v>
      </c>
      <c r="C280" s="20" t="n">
        <f aca="false">F_Age+B280</f>
        <v>84</v>
      </c>
      <c r="D280" s="20" t="n">
        <f aca="false">AS_Year0+B280</f>
        <v>2073</v>
      </c>
      <c r="E280" s="44" t="n">
        <f aca="false">(1+AS_Infl)^B280</f>
        <v>2.48661128940737</v>
      </c>
      <c r="F280" s="44" t="n">
        <f aca="false">(1+AS_Wage)^B280</f>
        <v>3.89504371690089</v>
      </c>
      <c r="G280" s="20" t="n">
        <f aca="false">IF(C280&lt;F_R,1,0)</f>
        <v>0</v>
      </c>
      <c r="H280" s="44" t="n">
        <f aca="false">IF(AS_Bands="flat",1,E280)</f>
        <v>2.48661128940737</v>
      </c>
      <c r="I280" s="44" t="n">
        <f aca="false">IF(AS_SpGrow="pay",F280,IF(AS_SpGrow="flat",1,E280))</f>
        <v>2.48661128940737</v>
      </c>
      <c r="J280" s="44" t="n">
        <f aca="false">(12*PR_PRSIr0+(PR_PRSIr1-PR_PRSIr0)*MAX(0,MIN(12,D280*12+12-PR_PRSIt1))+(PR_PRSIr2-PR_PRSIr1)*MAX(0,MIN(12,D280*12+12-PR_PRSIt2))+(PR_PRSIr3-PR_PRSIr2)*MAX(0,MIN(12,D280*12+12-PR_PRSIt3)))/12</f>
        <v>0.047</v>
      </c>
      <c r="K280" s="20" t="n">
        <f aca="false">IF(G280=1,F_Income*F280,0)</f>
        <v>0</v>
      </c>
      <c r="L280" s="20" t="n">
        <f aca="false">IF(G280=1,(F_Own+In_penExtra)*12*F280,0)</f>
        <v>0</v>
      </c>
      <c r="M280" s="20" t="n">
        <f aca="false">IF(G280=1,(F_PenM+In_penExtra)*12*F280,0)</f>
        <v>0</v>
      </c>
      <c r="N280" s="45" t="n">
        <f aca="false">IF(C280&lt;PR_RelA1,PR_RelP1,IF(C280&lt;PR_RelA2,PR_RelP2,IF(C280&lt;PR_RelA3,PR_RelP3,IF(C280&lt;PR_RelA4,PR_RelP4,IF(C280&lt;PR_RelA5,PR_RelP5,PR_RelP6)))))</f>
        <v>0.4</v>
      </c>
      <c r="O280" s="20" t="n">
        <f aca="false">IF(G280=1,MIN(L280/H280,N280*MIN(K280/H280,PR_EarnCap))*H280,0)</f>
        <v>0</v>
      </c>
      <c r="P280" s="20" t="n">
        <f aca="false">IF(AND(G280=1,F_AE=1),MIN(K280/H280,PR_AEcap)*H280,0)</f>
        <v>0</v>
      </c>
      <c r="Q280" s="20" t="n">
        <f aca="false">IF(G280=1,IF(WI_Retire=1,MAX(0,M280+WI_M*12),M280)+(PR_AEee+PR_AEer+PR_AEst)*P280,0)</f>
        <v>0</v>
      </c>
      <c r="R280" s="20" t="n">
        <f aca="false">L280+PR_AEee*P280</f>
        <v>0</v>
      </c>
      <c r="S280" s="20" t="n">
        <f aca="false">AD279</f>
        <v>286971.274654458</v>
      </c>
      <c r="T280" s="20" t="n">
        <f aca="false">IF(D280&lt;=PR_SFTfrom,PR_SFT2026,IF(D280=PR_SFTfrom+1,PR_SFT2027,IF(D280=PR_SFTfrom+2,PR_SFT2028,IF(D280&lt;=PR_SFTto,PR_SFT2029,PR_SFT2029*(1+AS_Infl)^(D280-PR_SFTto)))))</f>
        <v>6692148.79886644</v>
      </c>
      <c r="U280" s="20" t="n">
        <f aca="false">IF(AND(G280=0,C280=F_V),1,0)</f>
        <v>0</v>
      </c>
      <c r="V280" s="20" t="n">
        <f aca="false">IF(U280=1,PR_SFTrate*MAX(0,S280-T280),0)</f>
        <v>0</v>
      </c>
      <c r="W280" s="20" t="n">
        <f aca="false">S280-V280</f>
        <v>286971.274654458</v>
      </c>
      <c r="X280" s="20" t="n">
        <f aca="false">IF(AND(U280=1,AS_LumpPct&gt;0),W280*MIN(AS_LumpPct,PR_LSmax),0)</f>
        <v>0</v>
      </c>
      <c r="Y280" s="20" t="n">
        <f aca="false">X280-(PR_LSrate*MAX(0,MIN(X280,PR_LScap)-PR_LSfree)+PR_r2*MAX(0,X280-PR_LScap))</f>
        <v>0</v>
      </c>
      <c r="Z280" s="20" t="n">
        <f aca="false">W280-X280</f>
        <v>286971.274654458</v>
      </c>
      <c r="AA280" s="45" t="n">
        <f aca="false">IF(C280&gt;=PR_ARFage1,IF(Z280&gt;PR_ARFbig,PR_ARFbigRate,IF(C280&gt;=PR_ARFage2,PR_ARF71,PR_ARF61)),0)</f>
        <v>0.05</v>
      </c>
      <c r="AB280" s="20" t="n">
        <f aca="false">IF(AS_DrawRule="min",Z280*AA280,IF(AS_DrawRule="fixed",MAX(AS_DrawFixed*E280,Z280*AA280),Z280*MAX(1/MAX(1,AS_End-C280+1),AA280)))</f>
        <v>23914.2728878715</v>
      </c>
      <c r="AC280" s="20" t="n">
        <f aca="false">IF(AND(G280=0,C280&gt;=F_V),MIN(Z280,AB280),0)</f>
        <v>23914.2728878715</v>
      </c>
      <c r="AD280" s="20" t="n">
        <f aca="false">IF(G280=1,S280*(1+F_PenG)+Q280,IF(C280&lt;F_V,S280*(1+F_PenG),(Z280-AC280)*(1+AS_PenRet)))</f>
        <v>271343.297322234</v>
      </c>
      <c r="AE280" s="20" t="n">
        <f aca="false">IF(C280&gt;=PR_SPage,AS_SP*F_SpF*I280+IF(AND(C280&gt;=PR_Over80Age,F_SpF&gt;0),PR_Over80*PR_Weeks*I280,0),0)</f>
        <v>39993.6613343124</v>
      </c>
      <c r="AF280" s="20" t="n">
        <f aca="false">(F_OtherM+F_RentM)*12*E280</f>
        <v>0</v>
      </c>
      <c r="AG280" s="20" t="n">
        <f aca="false">F_PAge+B280</f>
        <v>83</v>
      </c>
      <c r="AH280" s="20" t="n">
        <f aca="false">IF(AND(F_Partner=1,F_PAge&gt;0,AG280&lt;IF(F_PRet&gt;0,F_PRet,PR_SPage)),F_PIncome*F280,0)</f>
        <v>0</v>
      </c>
      <c r="AI280" s="20" t="n">
        <f aca="false">IF(AND(F_Partner=1,AG280&gt;=PR_SPage,F_PSpQA=0),AS_SP*F_PSpF*I280,0)</f>
        <v>30960.4987710565</v>
      </c>
      <c r="AJ280" s="20" t="n">
        <f aca="false">IF(AND(F_Partner=1,F_PSpQA=1,C280&gt;=PR_SPage,AH280=0),IF(AG280&gt;=PR_SPage,PR_QA66,PR_QAunder)*PR_Weeks*I280,0)</f>
        <v>0</v>
      </c>
      <c r="AK280" s="20" t="n">
        <f aca="false">AE280+AJ280</f>
        <v>39993.6613343124</v>
      </c>
      <c r="AL280" s="20" t="n">
        <f aca="false">K280/H280</f>
        <v>0</v>
      </c>
      <c r="AM280" s="20" t="n">
        <f aca="false">AK280/H280</f>
        <v>16083.6</v>
      </c>
      <c r="AN280" s="20" t="n">
        <f aca="false">AC280/H280</f>
        <v>9617.21399309296</v>
      </c>
      <c r="AO280" s="20" t="n">
        <f aca="false">AF280/H280</f>
        <v>0</v>
      </c>
      <c r="AP280" s="20" t="n">
        <f aca="false">O280/H280</f>
        <v>0</v>
      </c>
      <c r="AQ280" s="20" t="n">
        <f aca="false">AH280/H280</f>
        <v>0</v>
      </c>
      <c r="AR280" s="20" t="n">
        <f aca="false">AI280/H280</f>
        <v>12450.88</v>
      </c>
      <c r="AS280" s="20" t="n">
        <f aca="false">MAX(0,AL280+AN280+AO280+AM280-AP280)</f>
        <v>25700.813993093</v>
      </c>
      <c r="AT280" s="20" t="n">
        <f aca="false">MAX(0,AQ280+AR280)</f>
        <v>12450.88</v>
      </c>
      <c r="AU280" s="20" t="n">
        <f aca="false">MIN(PR_PAYE,PR_PAYEcap*(AL280+AN280+AM280))</f>
        <v>2000</v>
      </c>
      <c r="AV280" s="20" t="n">
        <f aca="false">MIN(PR_PAYE,PR_PAYEcap*(AQ280+AR280))</f>
        <v>2000</v>
      </c>
      <c r="AW280" s="20" t="n">
        <f aca="false">IF(C280&gt;=PR_AgeCrAge,PR_AgeCr,0)</f>
        <v>245</v>
      </c>
      <c r="AX280" s="20" t="n">
        <f aca="false">IF(AG280&gt;=PR_AgeCrAge,PR_AgeCr,0)</f>
        <v>245</v>
      </c>
      <c r="AY280" s="20" t="n">
        <f aca="false">IF(AND(F_RentCred=1,D280&lt;=PR_RentLast),1,0)</f>
        <v>0</v>
      </c>
      <c r="AZ280" s="20" t="n">
        <f aca="false">AS280+AT280</f>
        <v>38151.693993093</v>
      </c>
      <c r="BA280" s="20" t="n">
        <f aca="false">PR_PersonalM+AU280+AV280+AW280+AX280+IF(AY280=1,PR_RentJoint,0)</f>
        <v>8490</v>
      </c>
      <c r="BB280" s="20" t="n">
        <f aca="false">PR_BandM+MIN(MIN(AS280,AT280),PR_Uplift)</f>
        <v>65450.88</v>
      </c>
      <c r="BC280" s="20" t="n">
        <f aca="false">MAX(0,PR_r1*MIN(AZ280,BB280)+PR_r2*MAX(0,AZ280-BB280)-BA280)</f>
        <v>0</v>
      </c>
      <c r="BD280" s="20" t="n">
        <f aca="false">MAX(0,PR_HomeCarer-MAX(0,MIN(AS280,AT280)-PR_HCLimit)/2)</f>
        <v>0</v>
      </c>
      <c r="BE280" s="20" t="n">
        <f aca="false">IF(F_Carer=1,MIN(BC280,MAX(0,PR_r1*MIN(AZ280,PR_BandM)+PR_r2*MAX(0,AZ280-PR_BandM)-BA280-BD280)),BC280)</f>
        <v>0</v>
      </c>
      <c r="BF280" s="20" t="n">
        <f aca="false">IF(OR(C280&gt;=PR_AgeCrAge,AG280&gt;=PR_AgeCrAge),IF(AZ280&lt;=PR_AgeExM,0,MIN(BE280,PR_AgeMarg*(AZ280-PR_AgeExM))),BE280)</f>
        <v>0</v>
      </c>
      <c r="BG280" s="20" t="n">
        <f aca="false">MAX(0,PR_r1*MIN(AS280,IF(F_Spccc=1,PR_BandSPCCC,PR_Band))+PR_r2*MAX(0,AS280-IF(F_Spccc=1,PR_BandSPCCC,PR_Band))-(PR_Personal+AU280+AW280+IF(F_Spccc=1,PR_SPCCC,0)+IF(AY280=1,PR_Rent,0)))</f>
        <v>895.162798618593</v>
      </c>
      <c r="BH280" s="20" t="n">
        <f aca="false">IF(C280&gt;=PR_AgeCrAge,IF(AS280&lt;=PR_AgeEx,0,MIN(BG280,PR_AgeMarg*(AS280-PR_AgeEx))),BG280)</f>
        <v>895.162798618593</v>
      </c>
      <c r="BI280" s="20" t="n">
        <f aca="false">IF(F_Partner=1,MAX(0,PR_r1*MIN(AT280,PR_Band)+PR_r2*MAX(0,AT280-PR_Band)-(PR_Personal+AV280+AX280+IF(AND(AY280=1,AT280&gt;0),PR_Rent,0))),0)</f>
        <v>0</v>
      </c>
      <c r="BJ280" s="20" t="n">
        <f aca="false">IF(AG280&gt;=PR_AgeCrAge,IF(AT280&lt;=PR_AgeEx,0,MIN(BI280,PR_AgeMarg*(AT280-PR_AgeEx))),BI280)</f>
        <v>0</v>
      </c>
      <c r="BK280" s="20" t="n">
        <f aca="false">IF(F_Partner=1,IF(F_Married=1,BF280,BH280+BJ280),BH280)</f>
        <v>895.162798618593</v>
      </c>
      <c r="BL280" s="20" t="n">
        <f aca="false">AL280+AN280+AO280</f>
        <v>9617.21399309296</v>
      </c>
      <c r="BM280" s="20" t="n">
        <f aca="false">IF(BL280&lt;=PR_USCex,0,IF(IF(AND(C280&gt;=PR_USCredAge,BL280&lt;=PR_USCredMax),1,0)=1,PR_USCr1*MIN(BL280,PR_USCredB1)+PR_USCredR2*MAX(0,BL280-PR_USCredB1),PR_USCr1*MIN(BL280,PR_USCb1)+PR_USCr2*MAX(0,MIN(BL280,PR_USCb2)-PR_USCb1)+PR_USCr3*MAX(0,MIN(BL280,PR_USCb3)-PR_USCb2)+PR_USCr4*MAX(0,BL280-PR_USCb3)))+IF(F_SelfEmp=1,PR_USCse*MAX(0,AL280-PR_USCseOver),0)</f>
        <v>0</v>
      </c>
      <c r="BN280" s="20" t="n">
        <f aca="false">AQ280</f>
        <v>0</v>
      </c>
      <c r="BO280" s="20" t="n">
        <f aca="false">IF(F_Partner=1,IF(BN280&lt;=PR_USCex,0,IF(IF(AND(AG280&gt;=PR_USCredAge,BN280&lt;=PR_USCredMax),1,0)=1,PR_USCr1*MIN(BN280,PR_USCredB1)+PR_USCredR2*MAX(0,BN280-PR_USCredB1),PR_USCr1*MIN(BN280,PR_USCb1)+PR_USCr2*MAX(0,MIN(BN280,PR_USCb2)-PR_USCb1)+PR_USCr3*MAX(0,MIN(BN280,PR_USCb3)-PR_USCb2)+PR_USCr4*MAX(0,BN280-PR_USCb3))),0)</f>
        <v>0</v>
      </c>
      <c r="BP280" s="20" t="n">
        <f aca="false">IF(C280&lt;PR_PRSIend,IF(F_SelfEmp=1,IF(AL280&gt;PR_PRSIsMinInc,MAX(PR_PRSIsMin,AL280*J280),0),IF(AL280/52&lt;=PR_PRSIfree,0,MAX(0,(AL280/52*J280-IF(AL280/52&lt;=PR_PRSIcreditTo,MAX(0,PR_PRSIcreditMax-(AL280/52-(PR_PRSIfree+0.01))/PR_PRSItaper),0))*52)))+J280*AN280+IF(AO280&gt;PR_PRSIunearned,J280*AO280,0),0)</f>
        <v>0</v>
      </c>
      <c r="BQ280" s="20" t="n">
        <f aca="false">IF(AND(F_Partner=1,AG280&lt;PR_PRSIend),IF(AQ280/52&lt;=PR_PRSIfree,0,MAX(0,(AQ280/52*J280-IF(AQ280/52&lt;=PR_PRSIcreditTo,MAX(0,PR_PRSIcreditMax-(AQ280/52-(PR_PRSIfree+0.01))/PR_PRSItaper),0))*52)),0)</f>
        <v>0</v>
      </c>
      <c r="BR280" s="20" t="n">
        <f aca="false">BK280+BM280+BO280+BP280+BQ280</f>
        <v>895.162798618593</v>
      </c>
      <c r="BS280" s="20" t="n">
        <f aca="false">BR280*H280</f>
        <v>2225.92192090249</v>
      </c>
      <c r="BT280" s="20" t="n">
        <f aca="false">K280+AK280+AC280+AF280+AH280+AI280</f>
        <v>94868.4329932404</v>
      </c>
    </row>
    <row r="281" customFormat="false" ht="15" hidden="false" customHeight="true" outlineLevel="0" collapsed="false">
      <c r="B281" s="20" t="n">
        <v>47</v>
      </c>
      <c r="C281" s="20" t="n">
        <f aca="false">F_Age+B281</f>
        <v>85</v>
      </c>
      <c r="D281" s="20" t="n">
        <f aca="false">AS_Year0+B281</f>
        <v>2074</v>
      </c>
      <c r="E281" s="44" t="n">
        <f aca="false">(1+AS_Infl)^B281</f>
        <v>2.53634351519552</v>
      </c>
      <c r="F281" s="44" t="n">
        <f aca="false">(1+AS_Wage)^B281</f>
        <v>4.01189502840791</v>
      </c>
      <c r="G281" s="20" t="n">
        <f aca="false">IF(C281&lt;F_R,1,0)</f>
        <v>0</v>
      </c>
      <c r="H281" s="44" t="n">
        <f aca="false">IF(AS_Bands="flat",1,E281)</f>
        <v>2.53634351519552</v>
      </c>
      <c r="I281" s="44" t="n">
        <f aca="false">IF(AS_SpGrow="pay",F281,IF(AS_SpGrow="flat",1,E281))</f>
        <v>2.53634351519552</v>
      </c>
      <c r="J281" s="44" t="n">
        <f aca="false">(12*PR_PRSIr0+(PR_PRSIr1-PR_PRSIr0)*MAX(0,MIN(12,D281*12+12-PR_PRSIt1))+(PR_PRSIr2-PR_PRSIr1)*MAX(0,MIN(12,D281*12+12-PR_PRSIt2))+(PR_PRSIr3-PR_PRSIr2)*MAX(0,MIN(12,D281*12+12-PR_PRSIt3)))/12</f>
        <v>0.047</v>
      </c>
      <c r="K281" s="20" t="n">
        <f aca="false">IF(G281=1,F_Income*F281,0)</f>
        <v>0</v>
      </c>
      <c r="L281" s="20" t="n">
        <f aca="false">IF(G281=1,(F_Own+In_penExtra)*12*F281,0)</f>
        <v>0</v>
      </c>
      <c r="M281" s="20" t="n">
        <f aca="false">IF(G281=1,(F_PenM+In_penExtra)*12*F281,0)</f>
        <v>0</v>
      </c>
      <c r="N281" s="45" t="n">
        <f aca="false">IF(C281&lt;PR_RelA1,PR_RelP1,IF(C281&lt;PR_RelA2,PR_RelP2,IF(C281&lt;PR_RelA3,PR_RelP3,IF(C281&lt;PR_RelA4,PR_RelP4,IF(C281&lt;PR_RelA5,PR_RelP5,PR_RelP6)))))</f>
        <v>0.4</v>
      </c>
      <c r="O281" s="20" t="n">
        <f aca="false">IF(G281=1,MIN(L281/H281,N281*MIN(K281/H281,PR_EarnCap))*H281,0)</f>
        <v>0</v>
      </c>
      <c r="P281" s="20" t="n">
        <f aca="false">IF(AND(G281=1,F_AE=1),MIN(K281/H281,PR_AEcap)*H281,0)</f>
        <v>0</v>
      </c>
      <c r="Q281" s="20" t="n">
        <f aca="false">IF(G281=1,IF(WI_Retire=1,MAX(0,M281+WI_M*12),M281)+(PR_AEee+PR_AEer+PR_AEst)*P281,0)</f>
        <v>0</v>
      </c>
      <c r="R281" s="20" t="n">
        <f aca="false">L281+PR_AEee*P281</f>
        <v>0</v>
      </c>
      <c r="S281" s="20" t="n">
        <f aca="false">AD280</f>
        <v>271343.297322234</v>
      </c>
      <c r="T281" s="20" t="n">
        <f aca="false">IF(D281&lt;=PR_SFTfrom,PR_SFT2026,IF(D281=PR_SFTfrom+1,PR_SFT2027,IF(D281=PR_SFTfrom+2,PR_SFT2028,IF(D281&lt;=PR_SFTto,PR_SFT2029,PR_SFT2029*(1+AS_Infl)^(D281-PR_SFTto)))))</f>
        <v>6825991.77484377</v>
      </c>
      <c r="U281" s="20" t="n">
        <f aca="false">IF(AND(G281=0,C281=F_V),1,0)</f>
        <v>0</v>
      </c>
      <c r="V281" s="20" t="n">
        <f aca="false">IF(U281=1,PR_SFTrate*MAX(0,S281-T281),0)</f>
        <v>0</v>
      </c>
      <c r="W281" s="20" t="n">
        <f aca="false">S281-V281</f>
        <v>271343.297322234</v>
      </c>
      <c r="X281" s="20" t="n">
        <f aca="false">IF(AND(U281=1,AS_LumpPct&gt;0),W281*MIN(AS_LumpPct,PR_LSmax),0)</f>
        <v>0</v>
      </c>
      <c r="Y281" s="20" t="n">
        <f aca="false">X281-(PR_LSrate*MAX(0,MIN(X281,PR_LScap)-PR_LSfree)+PR_r2*MAX(0,X281-PR_LScap))</f>
        <v>0</v>
      </c>
      <c r="Z281" s="20" t="n">
        <f aca="false">W281-X281</f>
        <v>271343.297322234</v>
      </c>
      <c r="AA281" s="45" t="n">
        <f aca="false">IF(C281&gt;=PR_ARFage1,IF(Z281&gt;PR_ARFbig,PR_ARFbigRate,IF(C281&gt;=PR_ARFage2,PR_ARF71,PR_ARF61)),0)</f>
        <v>0.05</v>
      </c>
      <c r="AB281" s="20" t="n">
        <f aca="false">IF(AS_DrawRule="min",Z281*AA281,IF(AS_DrawRule="fixed",MAX(AS_DrawFixed*E281,Z281*AA281),Z281*MAX(1/MAX(1,AS_End-C281+1),AA281)))</f>
        <v>24667.5724838395</v>
      </c>
      <c r="AC281" s="20" t="n">
        <f aca="false">IF(AND(G281=0,C281&gt;=F_V),MIN(Z281,AB281),0)</f>
        <v>24667.5724838395</v>
      </c>
      <c r="AD281" s="20" t="n">
        <f aca="false">IF(G281=1,S281*(1+F_PenG)+Q281,IF(C281&lt;F_V,S281*(1+F_PenG),(Z281-AC281)*(1+AS_PenRet)))</f>
        <v>254446.010170804</v>
      </c>
      <c r="AE281" s="20" t="n">
        <f aca="false">IF(C281&gt;=PR_SPage,AS_SP*F_SpF*I281+IF(AND(C281&gt;=PR_Over80Age,F_SpF&gt;0),PR_Over80*PR_Weeks*I281,0),0)</f>
        <v>40793.5345609987</v>
      </c>
      <c r="AF281" s="20" t="n">
        <f aca="false">(F_OtherM+F_RentM)*12*E281</f>
        <v>0</v>
      </c>
      <c r="AG281" s="20" t="n">
        <f aca="false">F_PAge+B281</f>
        <v>84</v>
      </c>
      <c r="AH281" s="20" t="n">
        <f aca="false">IF(AND(F_Partner=1,F_PAge&gt;0,AG281&lt;IF(F_PRet&gt;0,F_PRet,PR_SPage)),F_PIncome*F281,0)</f>
        <v>0</v>
      </c>
      <c r="AI281" s="20" t="n">
        <f aca="false">IF(AND(F_Partner=1,AG281&gt;=PR_SPage,F_PSpQA=0),AS_SP*F_PSpF*I281,0)</f>
        <v>31579.7087464776</v>
      </c>
      <c r="AJ281" s="20" t="n">
        <f aca="false">IF(AND(F_Partner=1,F_PSpQA=1,C281&gt;=PR_SPage,AH281=0),IF(AG281&gt;=PR_SPage,PR_QA66,PR_QAunder)*PR_Weeks*I281,0)</f>
        <v>0</v>
      </c>
      <c r="AK281" s="20" t="n">
        <f aca="false">AE281+AJ281</f>
        <v>40793.5345609987</v>
      </c>
      <c r="AL281" s="20" t="n">
        <f aca="false">K281/H281</f>
        <v>0</v>
      </c>
      <c r="AM281" s="20" t="n">
        <f aca="false">AK281/H281</f>
        <v>16083.6</v>
      </c>
      <c r="AN281" s="20" t="n">
        <f aca="false">AC281/H281</f>
        <v>9725.6433665445</v>
      </c>
      <c r="AO281" s="20" t="n">
        <f aca="false">AF281/H281</f>
        <v>0</v>
      </c>
      <c r="AP281" s="20" t="n">
        <f aca="false">O281/H281</f>
        <v>0</v>
      </c>
      <c r="AQ281" s="20" t="n">
        <f aca="false">AH281/H281</f>
        <v>0</v>
      </c>
      <c r="AR281" s="20" t="n">
        <f aca="false">AI281/H281</f>
        <v>12450.88</v>
      </c>
      <c r="AS281" s="20" t="n">
        <f aca="false">MAX(0,AL281+AN281+AO281+AM281-AP281)</f>
        <v>25809.2433665445</v>
      </c>
      <c r="AT281" s="20" t="n">
        <f aca="false">MAX(0,AQ281+AR281)</f>
        <v>12450.88</v>
      </c>
      <c r="AU281" s="20" t="n">
        <f aca="false">MIN(PR_PAYE,PR_PAYEcap*(AL281+AN281+AM281))</f>
        <v>2000</v>
      </c>
      <c r="AV281" s="20" t="n">
        <f aca="false">MIN(PR_PAYE,PR_PAYEcap*(AQ281+AR281))</f>
        <v>2000</v>
      </c>
      <c r="AW281" s="20" t="n">
        <f aca="false">IF(C281&gt;=PR_AgeCrAge,PR_AgeCr,0)</f>
        <v>245</v>
      </c>
      <c r="AX281" s="20" t="n">
        <f aca="false">IF(AG281&gt;=PR_AgeCrAge,PR_AgeCr,0)</f>
        <v>245</v>
      </c>
      <c r="AY281" s="20" t="n">
        <f aca="false">IF(AND(F_RentCred=1,D281&lt;=PR_RentLast),1,0)</f>
        <v>0</v>
      </c>
      <c r="AZ281" s="20" t="n">
        <f aca="false">AS281+AT281</f>
        <v>38260.1233665445</v>
      </c>
      <c r="BA281" s="20" t="n">
        <f aca="false">PR_PersonalM+AU281+AV281+AW281+AX281+IF(AY281=1,PR_RentJoint,0)</f>
        <v>8490</v>
      </c>
      <c r="BB281" s="20" t="n">
        <f aca="false">PR_BandM+MIN(MIN(AS281,AT281),PR_Uplift)</f>
        <v>65450.88</v>
      </c>
      <c r="BC281" s="20" t="n">
        <f aca="false">MAX(0,PR_r1*MIN(AZ281,BB281)+PR_r2*MAX(0,AZ281-BB281)-BA281)</f>
        <v>0</v>
      </c>
      <c r="BD281" s="20" t="n">
        <f aca="false">MAX(0,PR_HomeCarer-MAX(0,MIN(AS281,AT281)-PR_HCLimit)/2)</f>
        <v>0</v>
      </c>
      <c r="BE281" s="20" t="n">
        <f aca="false">IF(F_Carer=1,MIN(BC281,MAX(0,PR_r1*MIN(AZ281,PR_BandM)+PR_r2*MAX(0,AZ281-PR_BandM)-BA281-BD281)),BC281)</f>
        <v>0</v>
      </c>
      <c r="BF281" s="20" t="n">
        <f aca="false">IF(OR(C281&gt;=PR_AgeCrAge,AG281&gt;=PR_AgeCrAge),IF(AZ281&lt;=PR_AgeExM,0,MIN(BE281,PR_AgeMarg*(AZ281-PR_AgeExM))),BE281)</f>
        <v>0</v>
      </c>
      <c r="BG281" s="20" t="n">
        <f aca="false">MAX(0,PR_r1*MIN(AS281,IF(F_Spccc=1,PR_BandSPCCC,PR_Band))+PR_r2*MAX(0,AS281-IF(F_Spccc=1,PR_BandSPCCC,PR_Band))-(PR_Personal+AU281+AW281+IF(F_Spccc=1,PR_SPCCC,0)+IF(AY281=1,PR_Rent,0)))</f>
        <v>916.848673308901</v>
      </c>
      <c r="BH281" s="20" t="n">
        <f aca="false">IF(C281&gt;=PR_AgeCrAge,IF(AS281&lt;=PR_AgeEx,0,MIN(BG281,PR_AgeMarg*(AS281-PR_AgeEx))),BG281)</f>
        <v>916.848673308901</v>
      </c>
      <c r="BI281" s="20" t="n">
        <f aca="false">IF(F_Partner=1,MAX(0,PR_r1*MIN(AT281,PR_Band)+PR_r2*MAX(0,AT281-PR_Band)-(PR_Personal+AV281+AX281+IF(AND(AY281=1,AT281&gt;0),PR_Rent,0))),0)</f>
        <v>0</v>
      </c>
      <c r="BJ281" s="20" t="n">
        <f aca="false">IF(AG281&gt;=PR_AgeCrAge,IF(AT281&lt;=PR_AgeEx,0,MIN(BI281,PR_AgeMarg*(AT281-PR_AgeEx))),BI281)</f>
        <v>0</v>
      </c>
      <c r="BK281" s="20" t="n">
        <f aca="false">IF(F_Partner=1,IF(F_Married=1,BF281,BH281+BJ281),BH281)</f>
        <v>916.848673308901</v>
      </c>
      <c r="BL281" s="20" t="n">
        <f aca="false">AL281+AN281+AO281</f>
        <v>9725.6433665445</v>
      </c>
      <c r="BM281" s="20" t="n">
        <f aca="false">IF(BL281&lt;=PR_USCex,0,IF(IF(AND(C281&gt;=PR_USCredAge,BL281&lt;=PR_USCredMax),1,0)=1,PR_USCr1*MIN(BL281,PR_USCredB1)+PR_USCredR2*MAX(0,BL281-PR_USCredB1),PR_USCr1*MIN(BL281,PR_USCb1)+PR_USCr2*MAX(0,MIN(BL281,PR_USCb2)-PR_USCb1)+PR_USCr3*MAX(0,MIN(BL281,PR_USCb3)-PR_USCb2)+PR_USCr4*MAX(0,BL281-PR_USCb3)))+IF(F_SelfEmp=1,PR_USCse*MAX(0,AL281-PR_USCseOver),0)</f>
        <v>0</v>
      </c>
      <c r="BN281" s="20" t="n">
        <f aca="false">AQ281</f>
        <v>0</v>
      </c>
      <c r="BO281" s="20" t="n">
        <f aca="false">IF(F_Partner=1,IF(BN281&lt;=PR_USCex,0,IF(IF(AND(AG281&gt;=PR_USCredAge,BN281&lt;=PR_USCredMax),1,0)=1,PR_USCr1*MIN(BN281,PR_USCredB1)+PR_USCredR2*MAX(0,BN281-PR_USCredB1),PR_USCr1*MIN(BN281,PR_USCb1)+PR_USCr2*MAX(0,MIN(BN281,PR_USCb2)-PR_USCb1)+PR_USCr3*MAX(0,MIN(BN281,PR_USCb3)-PR_USCb2)+PR_USCr4*MAX(0,BN281-PR_USCb3))),0)</f>
        <v>0</v>
      </c>
      <c r="BP281" s="20" t="n">
        <f aca="false">IF(C281&lt;PR_PRSIend,IF(F_SelfEmp=1,IF(AL281&gt;PR_PRSIsMinInc,MAX(PR_PRSIsMin,AL281*J281),0),IF(AL281/52&lt;=PR_PRSIfree,0,MAX(0,(AL281/52*J281-IF(AL281/52&lt;=PR_PRSIcreditTo,MAX(0,PR_PRSIcreditMax-(AL281/52-(PR_PRSIfree+0.01))/PR_PRSItaper),0))*52)))+J281*AN281+IF(AO281&gt;PR_PRSIunearned,J281*AO281,0),0)</f>
        <v>0</v>
      </c>
      <c r="BQ281" s="20" t="n">
        <f aca="false">IF(AND(F_Partner=1,AG281&lt;PR_PRSIend),IF(AQ281/52&lt;=PR_PRSIfree,0,MAX(0,(AQ281/52*J281-IF(AQ281/52&lt;=PR_PRSIcreditTo,MAX(0,PR_PRSIcreditMax-(AQ281/52-(PR_PRSIfree+0.01))/PR_PRSItaper),0))*52)),0)</f>
        <v>0</v>
      </c>
      <c r="BR281" s="20" t="n">
        <f aca="false">BK281+BM281+BO281+BP281+BQ281</f>
        <v>916.848673308901</v>
      </c>
      <c r="BS281" s="20" t="n">
        <f aca="false">BR281*H281</f>
        <v>2325.44318696265</v>
      </c>
      <c r="BT281" s="20" t="n">
        <f aca="false">K281+AK281+AC281+AF281+AH281+AI281</f>
        <v>97040.8157913157</v>
      </c>
    </row>
    <row r="282" customFormat="false" ht="15" hidden="false" customHeight="true" outlineLevel="0" collapsed="false">
      <c r="B282" s="20" t="n">
        <v>48</v>
      </c>
      <c r="C282" s="20" t="n">
        <f aca="false">F_Age+B282</f>
        <v>86</v>
      </c>
      <c r="D282" s="20" t="n">
        <f aca="false">AS_Year0+B282</f>
        <v>2075</v>
      </c>
      <c r="E282" s="44" t="n">
        <f aca="false">(1+AS_Infl)^B282</f>
        <v>2.58707038549943</v>
      </c>
      <c r="F282" s="44" t="n">
        <f aca="false">(1+AS_Wage)^B282</f>
        <v>4.13225187926015</v>
      </c>
      <c r="G282" s="20" t="n">
        <f aca="false">IF(C282&lt;F_R,1,0)</f>
        <v>0</v>
      </c>
      <c r="H282" s="44" t="n">
        <f aca="false">IF(AS_Bands="flat",1,E282)</f>
        <v>2.58707038549943</v>
      </c>
      <c r="I282" s="44" t="n">
        <f aca="false">IF(AS_SpGrow="pay",F282,IF(AS_SpGrow="flat",1,E282))</f>
        <v>2.58707038549943</v>
      </c>
      <c r="J282" s="44" t="n">
        <f aca="false">(12*PR_PRSIr0+(PR_PRSIr1-PR_PRSIr0)*MAX(0,MIN(12,D282*12+12-PR_PRSIt1))+(PR_PRSIr2-PR_PRSIr1)*MAX(0,MIN(12,D282*12+12-PR_PRSIt2))+(PR_PRSIr3-PR_PRSIr2)*MAX(0,MIN(12,D282*12+12-PR_PRSIt3)))/12</f>
        <v>0.047</v>
      </c>
      <c r="K282" s="20" t="n">
        <f aca="false">IF(G282=1,F_Income*F282,0)</f>
        <v>0</v>
      </c>
      <c r="L282" s="20" t="n">
        <f aca="false">IF(G282=1,(F_Own+In_penExtra)*12*F282,0)</f>
        <v>0</v>
      </c>
      <c r="M282" s="20" t="n">
        <f aca="false">IF(G282=1,(F_PenM+In_penExtra)*12*F282,0)</f>
        <v>0</v>
      </c>
      <c r="N282" s="45" t="n">
        <f aca="false">IF(C282&lt;PR_RelA1,PR_RelP1,IF(C282&lt;PR_RelA2,PR_RelP2,IF(C282&lt;PR_RelA3,PR_RelP3,IF(C282&lt;PR_RelA4,PR_RelP4,IF(C282&lt;PR_RelA5,PR_RelP5,PR_RelP6)))))</f>
        <v>0.4</v>
      </c>
      <c r="O282" s="20" t="n">
        <f aca="false">IF(G282=1,MIN(L282/H282,N282*MIN(K282/H282,PR_EarnCap))*H282,0)</f>
        <v>0</v>
      </c>
      <c r="P282" s="20" t="n">
        <f aca="false">IF(AND(G282=1,F_AE=1),MIN(K282/H282,PR_AEcap)*H282,0)</f>
        <v>0</v>
      </c>
      <c r="Q282" s="20" t="n">
        <f aca="false">IF(G282=1,IF(WI_Retire=1,MAX(0,M282+WI_M*12),M282)+(PR_AEee+PR_AEer+PR_AEst)*P282,0)</f>
        <v>0</v>
      </c>
      <c r="R282" s="20" t="n">
        <f aca="false">L282+PR_AEee*P282</f>
        <v>0</v>
      </c>
      <c r="S282" s="20" t="n">
        <f aca="false">AD281</f>
        <v>254446.010170804</v>
      </c>
      <c r="T282" s="20" t="n">
        <f aca="false">IF(D282&lt;=PR_SFTfrom,PR_SFT2026,IF(D282=PR_SFTfrom+1,PR_SFT2027,IF(D282=PR_SFTfrom+2,PR_SFT2028,IF(D282&lt;=PR_SFTto,PR_SFT2029,PR_SFT2029*(1+AS_Infl)^(D282-PR_SFTto)))))</f>
        <v>6962511.61034064</v>
      </c>
      <c r="U282" s="20" t="n">
        <f aca="false">IF(AND(G282=0,C282=F_V),1,0)</f>
        <v>0</v>
      </c>
      <c r="V282" s="20" t="n">
        <f aca="false">IF(U282=1,PR_SFTrate*MAX(0,S282-T282),0)</f>
        <v>0</v>
      </c>
      <c r="W282" s="20" t="n">
        <f aca="false">S282-V282</f>
        <v>254446.010170804</v>
      </c>
      <c r="X282" s="20" t="n">
        <f aca="false">IF(AND(U282=1,AS_LumpPct&gt;0),W282*MIN(AS_LumpPct,PR_LSmax),0)</f>
        <v>0</v>
      </c>
      <c r="Y282" s="20" t="n">
        <f aca="false">X282-(PR_LSrate*MAX(0,MIN(X282,PR_LScap)-PR_LSfree)+PR_r2*MAX(0,X282-PR_LScap))</f>
        <v>0</v>
      </c>
      <c r="Z282" s="20" t="n">
        <f aca="false">W282-X282</f>
        <v>254446.010170804</v>
      </c>
      <c r="AA282" s="45" t="n">
        <f aca="false">IF(C282&gt;=PR_ARFage1,IF(Z282&gt;PR_ARFbig,PR_ARFbigRate,IF(C282&gt;=PR_ARFage2,PR_ARF71,PR_ARF61)),0)</f>
        <v>0.05</v>
      </c>
      <c r="AB282" s="20" t="n">
        <f aca="false">IF(AS_DrawRule="min",Z282*AA282,IF(AS_DrawRule="fixed",MAX(AS_DrawFixed*E282,Z282*AA282),Z282*MAX(1/MAX(1,AS_End-C282+1),AA282)))</f>
        <v>25444.6010170804</v>
      </c>
      <c r="AC282" s="20" t="n">
        <f aca="false">IF(AND(G282=0,C282&gt;=F_V),MIN(Z282,AB282),0)</f>
        <v>25444.6010170804</v>
      </c>
      <c r="AD282" s="20" t="n">
        <f aca="false">IF(G282=1,S282*(1+F_PenG)+Q282,IF(C282&lt;F_V,S282*(1+F_PenG),(Z282-AC282)*(1+AS_PenRet)))</f>
        <v>236214.953542066</v>
      </c>
      <c r="AE282" s="20" t="n">
        <f aca="false">IF(C282&gt;=PR_SPage,AS_SP*F_SpF*I282+IF(AND(C282&gt;=PR_Over80Age,F_SpF&gt;0),PR_Over80*PR_Weeks*I282,0),0)</f>
        <v>41609.4052522187</v>
      </c>
      <c r="AF282" s="20" t="n">
        <f aca="false">(F_OtherM+F_RentM)*12*E282</f>
        <v>0</v>
      </c>
      <c r="AG282" s="20" t="n">
        <f aca="false">F_PAge+B282</f>
        <v>85</v>
      </c>
      <c r="AH282" s="20" t="n">
        <f aca="false">IF(AND(F_Partner=1,F_PAge&gt;0,AG282&lt;IF(F_PRet&gt;0,F_PRet,PR_SPage)),F_PIncome*F282,0)</f>
        <v>0</v>
      </c>
      <c r="AI282" s="20" t="n">
        <f aca="false">IF(AND(F_Partner=1,AG282&gt;=PR_SPage,F_PSpQA=0),AS_SP*F_PSpF*I282,0)</f>
        <v>32211.3029214072</v>
      </c>
      <c r="AJ282" s="20" t="n">
        <f aca="false">IF(AND(F_Partner=1,F_PSpQA=1,C282&gt;=PR_SPage,AH282=0),IF(AG282&gt;=PR_SPage,PR_QA66,PR_QAunder)*PR_Weeks*I282,0)</f>
        <v>0</v>
      </c>
      <c r="AK282" s="20" t="n">
        <f aca="false">AE282+AJ282</f>
        <v>41609.4052522187</v>
      </c>
      <c r="AL282" s="20" t="n">
        <f aca="false">K282/H282</f>
        <v>0</v>
      </c>
      <c r="AM282" s="20" t="n">
        <f aca="false">AK282/H282</f>
        <v>16083.6</v>
      </c>
      <c r="AN282" s="20" t="n">
        <f aca="false">AC282/H282</f>
        <v>9835.29522803005</v>
      </c>
      <c r="AO282" s="20" t="n">
        <f aca="false">AF282/H282</f>
        <v>0</v>
      </c>
      <c r="AP282" s="20" t="n">
        <f aca="false">O282/H282</f>
        <v>0</v>
      </c>
      <c r="AQ282" s="20" t="n">
        <f aca="false">AH282/H282</f>
        <v>0</v>
      </c>
      <c r="AR282" s="20" t="n">
        <f aca="false">AI282/H282</f>
        <v>12450.88</v>
      </c>
      <c r="AS282" s="20" t="n">
        <f aca="false">MAX(0,AL282+AN282+AO282+AM282-AP282)</f>
        <v>25918.8952280301</v>
      </c>
      <c r="AT282" s="20" t="n">
        <f aca="false">MAX(0,AQ282+AR282)</f>
        <v>12450.88</v>
      </c>
      <c r="AU282" s="20" t="n">
        <f aca="false">MIN(PR_PAYE,PR_PAYEcap*(AL282+AN282+AM282))</f>
        <v>2000</v>
      </c>
      <c r="AV282" s="20" t="n">
        <f aca="false">MIN(PR_PAYE,PR_PAYEcap*(AQ282+AR282))</f>
        <v>2000</v>
      </c>
      <c r="AW282" s="20" t="n">
        <f aca="false">IF(C282&gt;=PR_AgeCrAge,PR_AgeCr,0)</f>
        <v>245</v>
      </c>
      <c r="AX282" s="20" t="n">
        <f aca="false">IF(AG282&gt;=PR_AgeCrAge,PR_AgeCr,0)</f>
        <v>245</v>
      </c>
      <c r="AY282" s="20" t="n">
        <f aca="false">IF(AND(F_RentCred=1,D282&lt;=PR_RentLast),1,0)</f>
        <v>0</v>
      </c>
      <c r="AZ282" s="20" t="n">
        <f aca="false">AS282+AT282</f>
        <v>38369.7752280301</v>
      </c>
      <c r="BA282" s="20" t="n">
        <f aca="false">PR_PersonalM+AU282+AV282+AW282+AX282+IF(AY282=1,PR_RentJoint,0)</f>
        <v>8490</v>
      </c>
      <c r="BB282" s="20" t="n">
        <f aca="false">PR_BandM+MIN(MIN(AS282,AT282),PR_Uplift)</f>
        <v>65450.88</v>
      </c>
      <c r="BC282" s="20" t="n">
        <f aca="false">MAX(0,PR_r1*MIN(AZ282,BB282)+PR_r2*MAX(0,AZ282-BB282)-BA282)</f>
        <v>0</v>
      </c>
      <c r="BD282" s="20" t="n">
        <f aca="false">MAX(0,PR_HomeCarer-MAX(0,MIN(AS282,AT282)-PR_HCLimit)/2)</f>
        <v>0</v>
      </c>
      <c r="BE282" s="20" t="n">
        <f aca="false">IF(F_Carer=1,MIN(BC282,MAX(0,PR_r1*MIN(AZ282,PR_BandM)+PR_r2*MAX(0,AZ282-PR_BandM)-BA282-BD282)),BC282)</f>
        <v>0</v>
      </c>
      <c r="BF282" s="20" t="n">
        <f aca="false">IF(OR(C282&gt;=PR_AgeCrAge,AG282&gt;=PR_AgeCrAge),IF(AZ282&lt;=PR_AgeExM,0,MIN(BE282,PR_AgeMarg*(AZ282-PR_AgeExM))),BE282)</f>
        <v>0</v>
      </c>
      <c r="BG282" s="20" t="n">
        <f aca="false">MAX(0,PR_r1*MIN(AS282,IF(F_Spccc=1,PR_BandSPCCC,PR_Band))+PR_r2*MAX(0,AS282-IF(F_Spccc=1,PR_BandSPCCC,PR_Band))-(PR_Personal+AU282+AW282+IF(F_Spccc=1,PR_SPCCC,0)+IF(AY282=1,PR_Rent,0)))</f>
        <v>938.779045606011</v>
      </c>
      <c r="BH282" s="20" t="n">
        <f aca="false">IF(C282&gt;=PR_AgeCrAge,IF(AS282&lt;=PR_AgeEx,0,MIN(BG282,PR_AgeMarg*(AS282-PR_AgeEx))),BG282)</f>
        <v>938.779045606011</v>
      </c>
      <c r="BI282" s="20" t="n">
        <f aca="false">IF(F_Partner=1,MAX(0,PR_r1*MIN(AT282,PR_Band)+PR_r2*MAX(0,AT282-PR_Band)-(PR_Personal+AV282+AX282+IF(AND(AY282=1,AT282&gt;0),PR_Rent,0))),0)</f>
        <v>0</v>
      </c>
      <c r="BJ282" s="20" t="n">
        <f aca="false">IF(AG282&gt;=PR_AgeCrAge,IF(AT282&lt;=PR_AgeEx,0,MIN(BI282,PR_AgeMarg*(AT282-PR_AgeEx))),BI282)</f>
        <v>0</v>
      </c>
      <c r="BK282" s="20" t="n">
        <f aca="false">IF(F_Partner=1,IF(F_Married=1,BF282,BH282+BJ282),BH282)</f>
        <v>938.779045606011</v>
      </c>
      <c r="BL282" s="20" t="n">
        <f aca="false">AL282+AN282+AO282</f>
        <v>9835.29522803005</v>
      </c>
      <c r="BM282" s="20" t="n">
        <f aca="false">IF(BL282&lt;=PR_USCex,0,IF(IF(AND(C282&gt;=PR_USCredAge,BL282&lt;=PR_USCredMax),1,0)=1,PR_USCr1*MIN(BL282,PR_USCredB1)+PR_USCredR2*MAX(0,BL282-PR_USCredB1),PR_USCr1*MIN(BL282,PR_USCb1)+PR_USCr2*MAX(0,MIN(BL282,PR_USCb2)-PR_USCb1)+PR_USCr3*MAX(0,MIN(BL282,PR_USCb3)-PR_USCb2)+PR_USCr4*MAX(0,BL282-PR_USCb3)))+IF(F_SelfEmp=1,PR_USCse*MAX(0,AL282-PR_USCseOver),0)</f>
        <v>0</v>
      </c>
      <c r="BN282" s="20" t="n">
        <f aca="false">AQ282</f>
        <v>0</v>
      </c>
      <c r="BO282" s="20" t="n">
        <f aca="false">IF(F_Partner=1,IF(BN282&lt;=PR_USCex,0,IF(IF(AND(AG282&gt;=PR_USCredAge,BN282&lt;=PR_USCredMax),1,0)=1,PR_USCr1*MIN(BN282,PR_USCredB1)+PR_USCredR2*MAX(0,BN282-PR_USCredB1),PR_USCr1*MIN(BN282,PR_USCb1)+PR_USCr2*MAX(0,MIN(BN282,PR_USCb2)-PR_USCb1)+PR_USCr3*MAX(0,MIN(BN282,PR_USCb3)-PR_USCb2)+PR_USCr4*MAX(0,BN282-PR_USCb3))),0)</f>
        <v>0</v>
      </c>
      <c r="BP282" s="20" t="n">
        <f aca="false">IF(C282&lt;PR_PRSIend,IF(F_SelfEmp=1,IF(AL282&gt;PR_PRSIsMinInc,MAX(PR_PRSIsMin,AL282*J282),0),IF(AL282/52&lt;=PR_PRSIfree,0,MAX(0,(AL282/52*J282-IF(AL282/52&lt;=PR_PRSIcreditTo,MAX(0,PR_PRSIcreditMax-(AL282/52-(PR_PRSIfree+0.01))/PR_PRSItaper),0))*52)))+J282*AN282+IF(AO282&gt;PR_PRSIunearned,J282*AO282,0),0)</f>
        <v>0</v>
      </c>
      <c r="BQ282" s="20" t="n">
        <f aca="false">IF(AND(F_Partner=1,AG282&lt;PR_PRSIend),IF(AQ282/52&lt;=PR_PRSIfree,0,MAX(0,(AQ282/52*J282-IF(AQ282/52&lt;=PR_PRSIcreditTo,MAX(0,PR_PRSIcreditMax-(AQ282/52-(PR_PRSIfree+0.01))/PR_PRSItaper),0))*52)),0)</f>
        <v>0</v>
      </c>
      <c r="BR282" s="20" t="n">
        <f aca="false">BK282+BM282+BO282+BP282+BQ282</f>
        <v>938.779045606011</v>
      </c>
      <c r="BS282" s="20" t="n">
        <f aca="false">BR282*H282</f>
        <v>2428.68746741473</v>
      </c>
      <c r="BT282" s="20" t="n">
        <f aca="false">K282+AK282+AC282+AF282+AH282+AI282</f>
        <v>99265.3091907062</v>
      </c>
    </row>
    <row r="283" customFormat="false" ht="15" hidden="false" customHeight="true" outlineLevel="0" collapsed="false">
      <c r="B283" s="20" t="n">
        <v>49</v>
      </c>
      <c r="C283" s="20" t="n">
        <f aca="false">F_Age+B283</f>
        <v>87</v>
      </c>
      <c r="D283" s="20" t="n">
        <f aca="false">AS_Year0+B283</f>
        <v>2076</v>
      </c>
      <c r="E283" s="44" t="n">
        <f aca="false">(1+AS_Infl)^B283</f>
        <v>2.63881179320942</v>
      </c>
      <c r="F283" s="44" t="n">
        <f aca="false">(1+AS_Wage)^B283</f>
        <v>4.25621943563796</v>
      </c>
      <c r="G283" s="20" t="n">
        <f aca="false">IF(C283&lt;F_R,1,0)</f>
        <v>0</v>
      </c>
      <c r="H283" s="44" t="n">
        <f aca="false">IF(AS_Bands="flat",1,E283)</f>
        <v>2.63881179320942</v>
      </c>
      <c r="I283" s="44" t="n">
        <f aca="false">IF(AS_SpGrow="pay",F283,IF(AS_SpGrow="flat",1,E283))</f>
        <v>2.63881179320942</v>
      </c>
      <c r="J283" s="44" t="n">
        <f aca="false">(12*PR_PRSIr0+(PR_PRSIr1-PR_PRSIr0)*MAX(0,MIN(12,D283*12+12-PR_PRSIt1))+(PR_PRSIr2-PR_PRSIr1)*MAX(0,MIN(12,D283*12+12-PR_PRSIt2))+(PR_PRSIr3-PR_PRSIr2)*MAX(0,MIN(12,D283*12+12-PR_PRSIt3)))/12</f>
        <v>0.047</v>
      </c>
      <c r="K283" s="20" t="n">
        <f aca="false">IF(G283=1,F_Income*F283,0)</f>
        <v>0</v>
      </c>
      <c r="L283" s="20" t="n">
        <f aca="false">IF(G283=1,(F_Own+In_penExtra)*12*F283,0)</f>
        <v>0</v>
      </c>
      <c r="M283" s="20" t="n">
        <f aca="false">IF(G283=1,(F_PenM+In_penExtra)*12*F283,0)</f>
        <v>0</v>
      </c>
      <c r="N283" s="45" t="n">
        <f aca="false">IF(C283&lt;PR_RelA1,PR_RelP1,IF(C283&lt;PR_RelA2,PR_RelP2,IF(C283&lt;PR_RelA3,PR_RelP3,IF(C283&lt;PR_RelA4,PR_RelP4,IF(C283&lt;PR_RelA5,PR_RelP5,PR_RelP6)))))</f>
        <v>0.4</v>
      </c>
      <c r="O283" s="20" t="n">
        <f aca="false">IF(G283=1,MIN(L283/H283,N283*MIN(K283/H283,PR_EarnCap))*H283,0)</f>
        <v>0</v>
      </c>
      <c r="P283" s="20" t="n">
        <f aca="false">IF(AND(G283=1,F_AE=1),MIN(K283/H283,PR_AEcap)*H283,0)</f>
        <v>0</v>
      </c>
      <c r="Q283" s="20" t="n">
        <f aca="false">IF(G283=1,IF(WI_Retire=1,MAX(0,M283+WI_M*12),M283)+(PR_AEee+PR_AEer+PR_AEst)*P283,0)</f>
        <v>0</v>
      </c>
      <c r="R283" s="20" t="n">
        <f aca="false">L283+PR_AEee*P283</f>
        <v>0</v>
      </c>
      <c r="S283" s="20" t="n">
        <f aca="false">AD282</f>
        <v>236214.953542066</v>
      </c>
      <c r="T283" s="20" t="n">
        <f aca="false">IF(D283&lt;=PR_SFTfrom,PR_SFT2026,IF(D283=PR_SFTfrom+1,PR_SFT2027,IF(D283=PR_SFTfrom+2,PR_SFT2028,IF(D283&lt;=PR_SFTto,PR_SFT2029,PR_SFT2029*(1+AS_Infl)^(D283-PR_SFTto)))))</f>
        <v>7101761.84254746</v>
      </c>
      <c r="U283" s="20" t="n">
        <f aca="false">IF(AND(G283=0,C283=F_V),1,0)</f>
        <v>0</v>
      </c>
      <c r="V283" s="20" t="n">
        <f aca="false">IF(U283=1,PR_SFTrate*MAX(0,S283-T283),0)</f>
        <v>0</v>
      </c>
      <c r="W283" s="20" t="n">
        <f aca="false">S283-V283</f>
        <v>236214.953542066</v>
      </c>
      <c r="X283" s="20" t="n">
        <f aca="false">IF(AND(U283=1,AS_LumpPct&gt;0),W283*MIN(AS_LumpPct,PR_LSmax),0)</f>
        <v>0</v>
      </c>
      <c r="Y283" s="20" t="n">
        <f aca="false">X283-(PR_LSrate*MAX(0,MIN(X283,PR_LScap)-PR_LSfree)+PR_r2*MAX(0,X283-PR_LScap))</f>
        <v>0</v>
      </c>
      <c r="Z283" s="20" t="n">
        <f aca="false">W283-X283</f>
        <v>236214.953542066</v>
      </c>
      <c r="AA283" s="45" t="n">
        <f aca="false">IF(C283&gt;=PR_ARFage1,IF(Z283&gt;PR_ARFbig,PR_ARFbigRate,IF(C283&gt;=PR_ARFage2,PR_ARF71,PR_ARF61)),0)</f>
        <v>0.05</v>
      </c>
      <c r="AB283" s="20" t="n">
        <f aca="false">IF(AS_DrawRule="min",Z283*AA283,IF(AS_DrawRule="fixed",MAX(AS_DrawFixed*E283,Z283*AA283),Z283*MAX(1/MAX(1,AS_End-C283+1),AA283)))</f>
        <v>26246.1059491185</v>
      </c>
      <c r="AC283" s="20" t="n">
        <f aca="false">IF(AND(G283=0,C283&gt;=F_V),MIN(Z283,AB283),0)</f>
        <v>26246.1059491185</v>
      </c>
      <c r="AD283" s="20" t="n">
        <f aca="false">IF(G283=1,S283*(1+F_PenG)+Q283,IF(C283&lt;F_V,S283*(1+F_PenG),(Z283-AC283)*(1+AS_PenRet)))</f>
        <v>216582.866292126</v>
      </c>
      <c r="AE283" s="20" t="n">
        <f aca="false">IF(C283&gt;=PR_SPage,AS_SP*F_SpF*I283+IF(AND(C283&gt;=PR_Over80Age,F_SpF&gt;0),PR_Over80*PR_Weeks*I283,0),0)</f>
        <v>42441.593357263</v>
      </c>
      <c r="AF283" s="20" t="n">
        <f aca="false">(F_OtherM+F_RentM)*12*E283</f>
        <v>0</v>
      </c>
      <c r="AG283" s="20" t="n">
        <f aca="false">F_PAge+B283</f>
        <v>86</v>
      </c>
      <c r="AH283" s="20" t="n">
        <f aca="false">IF(AND(F_Partner=1,F_PAge&gt;0,AG283&lt;IF(F_PRet&gt;0,F_PRet,PR_SPage)),F_PIncome*F283,0)</f>
        <v>0</v>
      </c>
      <c r="AI283" s="20" t="n">
        <f aca="false">IF(AND(F_Partner=1,AG283&gt;=PR_SPage,F_PSpQA=0),AS_SP*F_PSpF*I283,0)</f>
        <v>32855.5289798353</v>
      </c>
      <c r="AJ283" s="20" t="n">
        <f aca="false">IF(AND(F_Partner=1,F_PSpQA=1,C283&gt;=PR_SPage,AH283=0),IF(AG283&gt;=PR_SPage,PR_QA66,PR_QAunder)*PR_Weeks*I283,0)</f>
        <v>0</v>
      </c>
      <c r="AK283" s="20" t="n">
        <f aca="false">AE283+AJ283</f>
        <v>42441.593357263</v>
      </c>
      <c r="AL283" s="20" t="n">
        <f aca="false">K283/H283</f>
        <v>0</v>
      </c>
      <c r="AM283" s="20" t="n">
        <f aca="false">AK283/H283</f>
        <v>16083.6</v>
      </c>
      <c r="AN283" s="20" t="n">
        <f aca="false">AC283/H283</f>
        <v>9946.18336050294</v>
      </c>
      <c r="AO283" s="20" t="n">
        <f aca="false">AF283/H283</f>
        <v>0</v>
      </c>
      <c r="AP283" s="20" t="n">
        <f aca="false">O283/H283</f>
        <v>0</v>
      </c>
      <c r="AQ283" s="20" t="n">
        <f aca="false">AH283/H283</f>
        <v>0</v>
      </c>
      <c r="AR283" s="20" t="n">
        <f aca="false">AI283/H283</f>
        <v>12450.88</v>
      </c>
      <c r="AS283" s="20" t="n">
        <f aca="false">MAX(0,AL283+AN283+AO283+AM283-AP283)</f>
        <v>26029.7833605029</v>
      </c>
      <c r="AT283" s="20" t="n">
        <f aca="false">MAX(0,AQ283+AR283)</f>
        <v>12450.88</v>
      </c>
      <c r="AU283" s="20" t="n">
        <f aca="false">MIN(PR_PAYE,PR_PAYEcap*(AL283+AN283+AM283))</f>
        <v>2000</v>
      </c>
      <c r="AV283" s="20" t="n">
        <f aca="false">MIN(PR_PAYE,PR_PAYEcap*(AQ283+AR283))</f>
        <v>2000</v>
      </c>
      <c r="AW283" s="20" t="n">
        <f aca="false">IF(C283&gt;=PR_AgeCrAge,PR_AgeCr,0)</f>
        <v>245</v>
      </c>
      <c r="AX283" s="20" t="n">
        <f aca="false">IF(AG283&gt;=PR_AgeCrAge,PR_AgeCr,0)</f>
        <v>245</v>
      </c>
      <c r="AY283" s="20" t="n">
        <f aca="false">IF(AND(F_RentCred=1,D283&lt;=PR_RentLast),1,0)</f>
        <v>0</v>
      </c>
      <c r="AZ283" s="20" t="n">
        <f aca="false">AS283+AT283</f>
        <v>38480.6633605029</v>
      </c>
      <c r="BA283" s="20" t="n">
        <f aca="false">PR_PersonalM+AU283+AV283+AW283+AX283+IF(AY283=1,PR_RentJoint,0)</f>
        <v>8490</v>
      </c>
      <c r="BB283" s="20" t="n">
        <f aca="false">PR_BandM+MIN(MIN(AS283,AT283),PR_Uplift)</f>
        <v>65450.88</v>
      </c>
      <c r="BC283" s="20" t="n">
        <f aca="false">MAX(0,PR_r1*MIN(AZ283,BB283)+PR_r2*MAX(0,AZ283-BB283)-BA283)</f>
        <v>0</v>
      </c>
      <c r="BD283" s="20" t="n">
        <f aca="false">MAX(0,PR_HomeCarer-MAX(0,MIN(AS283,AT283)-PR_HCLimit)/2)</f>
        <v>0</v>
      </c>
      <c r="BE283" s="20" t="n">
        <f aca="false">IF(F_Carer=1,MIN(BC283,MAX(0,PR_r1*MIN(AZ283,PR_BandM)+PR_r2*MAX(0,AZ283-PR_BandM)-BA283-BD283)),BC283)</f>
        <v>0</v>
      </c>
      <c r="BF283" s="20" t="n">
        <f aca="false">IF(OR(C283&gt;=PR_AgeCrAge,AG283&gt;=PR_AgeCrAge),IF(AZ283&lt;=PR_AgeExM,0,MIN(BE283,PR_AgeMarg*(AZ283-PR_AgeExM))),BE283)</f>
        <v>0</v>
      </c>
      <c r="BG283" s="20" t="n">
        <f aca="false">MAX(0,PR_r1*MIN(AS283,IF(F_Spccc=1,PR_BandSPCCC,PR_Band))+PR_r2*MAX(0,AS283-IF(F_Spccc=1,PR_BandSPCCC,PR_Band))-(PR_Personal+AU283+AW283+IF(F_Spccc=1,PR_SPCCC,0)+IF(AY283=1,PR_Rent,0)))</f>
        <v>960.95667210059</v>
      </c>
      <c r="BH283" s="20" t="n">
        <f aca="false">IF(C283&gt;=PR_AgeCrAge,IF(AS283&lt;=PR_AgeEx,0,MIN(BG283,PR_AgeMarg*(AS283-PR_AgeEx))),BG283)</f>
        <v>960.95667210059</v>
      </c>
      <c r="BI283" s="20" t="n">
        <f aca="false">IF(F_Partner=1,MAX(0,PR_r1*MIN(AT283,PR_Band)+PR_r2*MAX(0,AT283-PR_Band)-(PR_Personal+AV283+AX283+IF(AND(AY283=1,AT283&gt;0),PR_Rent,0))),0)</f>
        <v>0</v>
      </c>
      <c r="BJ283" s="20" t="n">
        <f aca="false">IF(AG283&gt;=PR_AgeCrAge,IF(AT283&lt;=PR_AgeEx,0,MIN(BI283,PR_AgeMarg*(AT283-PR_AgeEx))),BI283)</f>
        <v>0</v>
      </c>
      <c r="BK283" s="20" t="n">
        <f aca="false">IF(F_Partner=1,IF(F_Married=1,BF283,BH283+BJ283),BH283)</f>
        <v>960.95667210059</v>
      </c>
      <c r="BL283" s="20" t="n">
        <f aca="false">AL283+AN283+AO283</f>
        <v>9946.18336050294</v>
      </c>
      <c r="BM283" s="20" t="n">
        <f aca="false">IF(BL283&lt;=PR_USCex,0,IF(IF(AND(C283&gt;=PR_USCredAge,BL283&lt;=PR_USCredMax),1,0)=1,PR_USCr1*MIN(BL283,PR_USCredB1)+PR_USCredR2*MAX(0,BL283-PR_USCredB1),PR_USCr1*MIN(BL283,PR_USCb1)+PR_USCr2*MAX(0,MIN(BL283,PR_USCb2)-PR_USCb1)+PR_USCr3*MAX(0,MIN(BL283,PR_USCb3)-PR_USCb2)+PR_USCr4*MAX(0,BL283-PR_USCb3)))+IF(F_SelfEmp=1,PR_USCse*MAX(0,AL283-PR_USCseOver),0)</f>
        <v>0</v>
      </c>
      <c r="BN283" s="20" t="n">
        <f aca="false">AQ283</f>
        <v>0</v>
      </c>
      <c r="BO283" s="20" t="n">
        <f aca="false">IF(F_Partner=1,IF(BN283&lt;=PR_USCex,0,IF(IF(AND(AG283&gt;=PR_USCredAge,BN283&lt;=PR_USCredMax),1,0)=1,PR_USCr1*MIN(BN283,PR_USCredB1)+PR_USCredR2*MAX(0,BN283-PR_USCredB1),PR_USCr1*MIN(BN283,PR_USCb1)+PR_USCr2*MAX(0,MIN(BN283,PR_USCb2)-PR_USCb1)+PR_USCr3*MAX(0,MIN(BN283,PR_USCb3)-PR_USCb2)+PR_USCr4*MAX(0,BN283-PR_USCb3))),0)</f>
        <v>0</v>
      </c>
      <c r="BP283" s="20" t="n">
        <f aca="false">IF(C283&lt;PR_PRSIend,IF(F_SelfEmp=1,IF(AL283&gt;PR_PRSIsMinInc,MAX(PR_PRSIsMin,AL283*J283),0),IF(AL283/52&lt;=PR_PRSIfree,0,MAX(0,(AL283/52*J283-IF(AL283/52&lt;=PR_PRSIcreditTo,MAX(0,PR_PRSIcreditMax-(AL283/52-(PR_PRSIfree+0.01))/PR_PRSItaper),0))*52)))+J283*AN283+IF(AO283&gt;PR_PRSIunearned,J283*AO283,0),0)</f>
        <v>0</v>
      </c>
      <c r="BQ283" s="20" t="n">
        <f aca="false">IF(AND(F_Partner=1,AG283&lt;PR_PRSIend),IF(AQ283/52&lt;=PR_PRSIfree,0,MAX(0,(AQ283/52*J283-IF(AQ283/52&lt;=PR_PRSIcreditTo,MAX(0,PR_PRSIcreditMax-(AQ283/52-(PR_PRSIfree+0.01))/PR_PRSItaper),0))*52)),0)</f>
        <v>0</v>
      </c>
      <c r="BR283" s="20" t="n">
        <f aca="false">BK283+BM283+BO283+BP283+BQ283</f>
        <v>960.95667210059</v>
      </c>
      <c r="BS283" s="20" t="n">
        <f aca="false">BR283*H283</f>
        <v>2535.78379910231</v>
      </c>
      <c r="BT283" s="20" t="n">
        <f aca="false">K283+AK283+AC283+AF283+AH283+AI283</f>
        <v>101543.228286217</v>
      </c>
    </row>
    <row r="284" customFormat="false" ht="15" hidden="false" customHeight="true" outlineLevel="0" collapsed="false">
      <c r="B284" s="20" t="n">
        <v>50</v>
      </c>
      <c r="C284" s="20" t="n">
        <f aca="false">F_Age+B284</f>
        <v>88</v>
      </c>
      <c r="D284" s="20" t="n">
        <f aca="false">AS_Year0+B284</f>
        <v>2077</v>
      </c>
      <c r="E284" s="44" t="n">
        <f aca="false">(1+AS_Infl)^B284</f>
        <v>2.69158802907361</v>
      </c>
      <c r="F284" s="44" t="n">
        <f aca="false">(1+AS_Wage)^B284</f>
        <v>4.3839060187071</v>
      </c>
      <c r="G284" s="20" t="n">
        <f aca="false">IF(C284&lt;F_R,1,0)</f>
        <v>0</v>
      </c>
      <c r="H284" s="44" t="n">
        <f aca="false">IF(AS_Bands="flat",1,E284)</f>
        <v>2.69158802907361</v>
      </c>
      <c r="I284" s="44" t="n">
        <f aca="false">IF(AS_SpGrow="pay",F284,IF(AS_SpGrow="flat",1,E284))</f>
        <v>2.69158802907361</v>
      </c>
      <c r="J284" s="44" t="n">
        <f aca="false">(12*PR_PRSIr0+(PR_PRSIr1-PR_PRSIr0)*MAX(0,MIN(12,D284*12+12-PR_PRSIt1))+(PR_PRSIr2-PR_PRSIr1)*MAX(0,MIN(12,D284*12+12-PR_PRSIt2))+(PR_PRSIr3-PR_PRSIr2)*MAX(0,MIN(12,D284*12+12-PR_PRSIt3)))/12</f>
        <v>0.047</v>
      </c>
      <c r="K284" s="20" t="n">
        <f aca="false">IF(G284=1,F_Income*F284,0)</f>
        <v>0</v>
      </c>
      <c r="L284" s="20" t="n">
        <f aca="false">IF(G284=1,(F_Own+In_penExtra)*12*F284,0)</f>
        <v>0</v>
      </c>
      <c r="M284" s="20" t="n">
        <f aca="false">IF(G284=1,(F_PenM+In_penExtra)*12*F284,0)</f>
        <v>0</v>
      </c>
      <c r="N284" s="45" t="n">
        <f aca="false">IF(C284&lt;PR_RelA1,PR_RelP1,IF(C284&lt;PR_RelA2,PR_RelP2,IF(C284&lt;PR_RelA3,PR_RelP3,IF(C284&lt;PR_RelA4,PR_RelP4,IF(C284&lt;PR_RelA5,PR_RelP5,PR_RelP6)))))</f>
        <v>0.4</v>
      </c>
      <c r="O284" s="20" t="n">
        <f aca="false">IF(G284=1,MIN(L284/H284,N284*MIN(K284/H284,PR_EarnCap))*H284,0)</f>
        <v>0</v>
      </c>
      <c r="P284" s="20" t="n">
        <f aca="false">IF(AND(G284=1,F_AE=1),MIN(K284/H284,PR_AEcap)*H284,0)</f>
        <v>0</v>
      </c>
      <c r="Q284" s="20" t="n">
        <f aca="false">IF(G284=1,IF(WI_Retire=1,MAX(0,M284+WI_M*12),M284)+(PR_AEee+PR_AEer+PR_AEst)*P284,0)</f>
        <v>0</v>
      </c>
      <c r="R284" s="20" t="n">
        <f aca="false">L284+PR_AEee*P284</f>
        <v>0</v>
      </c>
      <c r="S284" s="20" t="n">
        <f aca="false">AD283</f>
        <v>216582.866292126</v>
      </c>
      <c r="T284" s="20" t="n">
        <f aca="false">IF(D284&lt;=PR_SFTfrom,PR_SFT2026,IF(D284=PR_SFTfrom+1,PR_SFT2027,IF(D284=PR_SFTfrom+2,PR_SFT2028,IF(D284&lt;=PR_SFTto,PR_SFT2029,PR_SFT2029*(1+AS_Infl)^(D284-PR_SFTto)))))</f>
        <v>7243797.07939841</v>
      </c>
      <c r="U284" s="20" t="n">
        <f aca="false">IF(AND(G284=0,C284=F_V),1,0)</f>
        <v>0</v>
      </c>
      <c r="V284" s="20" t="n">
        <f aca="false">IF(U284=1,PR_SFTrate*MAX(0,S284-T284),0)</f>
        <v>0</v>
      </c>
      <c r="W284" s="20" t="n">
        <f aca="false">S284-V284</f>
        <v>216582.866292126</v>
      </c>
      <c r="X284" s="20" t="n">
        <f aca="false">IF(AND(U284=1,AS_LumpPct&gt;0),W284*MIN(AS_LumpPct,PR_LSmax),0)</f>
        <v>0</v>
      </c>
      <c r="Y284" s="20" t="n">
        <f aca="false">X284-(PR_LSrate*MAX(0,MIN(X284,PR_LScap)-PR_LSfree)+PR_r2*MAX(0,X284-PR_LScap))</f>
        <v>0</v>
      </c>
      <c r="Z284" s="20" t="n">
        <f aca="false">W284-X284</f>
        <v>216582.866292126</v>
      </c>
      <c r="AA284" s="45" t="n">
        <f aca="false">IF(C284&gt;=PR_ARFage1,IF(Z284&gt;PR_ARFbig,PR_ARFbigRate,IF(C284&gt;=PR_ARFage2,PR_ARF71,PR_ARF61)),0)</f>
        <v>0.05</v>
      </c>
      <c r="AB284" s="20" t="n">
        <f aca="false">IF(AS_DrawRule="min",Z284*AA284,IF(AS_DrawRule="fixed",MAX(AS_DrawFixed*E284,Z284*AA284),Z284*MAX(1/MAX(1,AS_End-C284+1),AA284)))</f>
        <v>27072.8582865157</v>
      </c>
      <c r="AC284" s="20" t="n">
        <f aca="false">IF(AND(G284=0,C284&gt;=F_V),MIN(Z284,AB284),0)</f>
        <v>27072.8582865157</v>
      </c>
      <c r="AD284" s="20" t="n">
        <f aca="false">IF(G284=1,S284*(1+F_PenG)+Q284,IF(C284&lt;F_V,S284*(1+F_PenG),(Z284-AC284)*(1+AS_PenRet)))</f>
        <v>195479.573257787</v>
      </c>
      <c r="AE284" s="20" t="n">
        <f aca="false">IF(C284&gt;=PR_SPage,AS_SP*F_SpF*I284+IF(AND(C284&gt;=PR_Over80Age,F_SpF&gt;0),PR_Over80*PR_Weeks*I284,0),0)</f>
        <v>43290.4252244083</v>
      </c>
      <c r="AF284" s="20" t="n">
        <f aca="false">(F_OtherM+F_RentM)*12*E284</f>
        <v>0</v>
      </c>
      <c r="AG284" s="20" t="n">
        <f aca="false">F_PAge+B284</f>
        <v>87</v>
      </c>
      <c r="AH284" s="20" t="n">
        <f aca="false">IF(AND(F_Partner=1,F_PAge&gt;0,AG284&lt;IF(F_PRet&gt;0,F_PRet,PR_SPage)),F_PIncome*F284,0)</f>
        <v>0</v>
      </c>
      <c r="AI284" s="20" t="n">
        <f aca="false">IF(AND(F_Partner=1,AG284&gt;=PR_SPage,F_PSpQA=0),AS_SP*F_PSpF*I284,0)</f>
        <v>33512.639559432</v>
      </c>
      <c r="AJ284" s="20" t="n">
        <f aca="false">IF(AND(F_Partner=1,F_PSpQA=1,C284&gt;=PR_SPage,AH284=0),IF(AG284&gt;=PR_SPage,PR_QA66,PR_QAunder)*PR_Weeks*I284,0)</f>
        <v>0</v>
      </c>
      <c r="AK284" s="20" t="n">
        <f aca="false">AE284+AJ284</f>
        <v>43290.4252244083</v>
      </c>
      <c r="AL284" s="20" t="n">
        <f aca="false">K284/H284</f>
        <v>0</v>
      </c>
      <c r="AM284" s="20" t="n">
        <f aca="false">AK284/H284</f>
        <v>16083.6</v>
      </c>
      <c r="AN284" s="20" t="n">
        <f aca="false">AC284/H284</f>
        <v>10058.3217023125</v>
      </c>
      <c r="AO284" s="20" t="n">
        <f aca="false">AF284/H284</f>
        <v>0</v>
      </c>
      <c r="AP284" s="20" t="n">
        <f aca="false">O284/H284</f>
        <v>0</v>
      </c>
      <c r="AQ284" s="20" t="n">
        <f aca="false">AH284/H284</f>
        <v>0</v>
      </c>
      <c r="AR284" s="20" t="n">
        <f aca="false">AI284/H284</f>
        <v>12450.88</v>
      </c>
      <c r="AS284" s="20" t="n">
        <f aca="false">MAX(0,AL284+AN284+AO284+AM284-AP284)</f>
        <v>26141.9217023125</v>
      </c>
      <c r="AT284" s="20" t="n">
        <f aca="false">MAX(0,AQ284+AR284)</f>
        <v>12450.88</v>
      </c>
      <c r="AU284" s="20" t="n">
        <f aca="false">MIN(PR_PAYE,PR_PAYEcap*(AL284+AN284+AM284))</f>
        <v>2000</v>
      </c>
      <c r="AV284" s="20" t="n">
        <f aca="false">MIN(PR_PAYE,PR_PAYEcap*(AQ284+AR284))</f>
        <v>2000</v>
      </c>
      <c r="AW284" s="20" t="n">
        <f aca="false">IF(C284&gt;=PR_AgeCrAge,PR_AgeCr,0)</f>
        <v>245</v>
      </c>
      <c r="AX284" s="20" t="n">
        <f aca="false">IF(AG284&gt;=PR_AgeCrAge,PR_AgeCr,0)</f>
        <v>245</v>
      </c>
      <c r="AY284" s="20" t="n">
        <f aca="false">IF(AND(F_RentCred=1,D284&lt;=PR_RentLast),1,0)</f>
        <v>0</v>
      </c>
      <c r="AZ284" s="20" t="n">
        <f aca="false">AS284+AT284</f>
        <v>38592.8017023125</v>
      </c>
      <c r="BA284" s="20" t="n">
        <f aca="false">PR_PersonalM+AU284+AV284+AW284+AX284+IF(AY284=1,PR_RentJoint,0)</f>
        <v>8490</v>
      </c>
      <c r="BB284" s="20" t="n">
        <f aca="false">PR_BandM+MIN(MIN(AS284,AT284),PR_Uplift)</f>
        <v>65450.88</v>
      </c>
      <c r="BC284" s="20" t="n">
        <f aca="false">MAX(0,PR_r1*MIN(AZ284,BB284)+PR_r2*MAX(0,AZ284-BB284)-BA284)</f>
        <v>0</v>
      </c>
      <c r="BD284" s="20" t="n">
        <f aca="false">MAX(0,PR_HomeCarer-MAX(0,MIN(AS284,AT284)-PR_HCLimit)/2)</f>
        <v>0</v>
      </c>
      <c r="BE284" s="20" t="n">
        <f aca="false">IF(F_Carer=1,MIN(BC284,MAX(0,PR_r1*MIN(AZ284,PR_BandM)+PR_r2*MAX(0,AZ284-PR_BandM)-BA284-BD284)),BC284)</f>
        <v>0</v>
      </c>
      <c r="BF284" s="20" t="n">
        <f aca="false">IF(OR(C284&gt;=PR_AgeCrAge,AG284&gt;=PR_AgeCrAge),IF(AZ284&lt;=PR_AgeExM,0,MIN(BE284,PR_AgeMarg*(AZ284-PR_AgeExM))),BE284)</f>
        <v>0</v>
      </c>
      <c r="BG284" s="20" t="n">
        <f aca="false">MAX(0,PR_r1*MIN(AS284,IF(F_Spccc=1,PR_BandSPCCC,PR_Band))+PR_r2*MAX(0,AS284-IF(F_Spccc=1,PR_BandSPCCC,PR_Band))-(PR_Personal+AU284+AW284+IF(F_Spccc=1,PR_SPCCC,0)+IF(AY284=1,PR_Rent,0)))</f>
        <v>983.384340462508</v>
      </c>
      <c r="BH284" s="20" t="n">
        <f aca="false">IF(C284&gt;=PR_AgeCrAge,IF(AS284&lt;=PR_AgeEx,0,MIN(BG284,PR_AgeMarg*(AS284-PR_AgeEx))),BG284)</f>
        <v>983.384340462508</v>
      </c>
      <c r="BI284" s="20" t="n">
        <f aca="false">IF(F_Partner=1,MAX(0,PR_r1*MIN(AT284,PR_Band)+PR_r2*MAX(0,AT284-PR_Band)-(PR_Personal+AV284+AX284+IF(AND(AY284=1,AT284&gt;0),PR_Rent,0))),0)</f>
        <v>0</v>
      </c>
      <c r="BJ284" s="20" t="n">
        <f aca="false">IF(AG284&gt;=PR_AgeCrAge,IF(AT284&lt;=PR_AgeEx,0,MIN(BI284,PR_AgeMarg*(AT284-PR_AgeEx))),BI284)</f>
        <v>0</v>
      </c>
      <c r="BK284" s="20" t="n">
        <f aca="false">IF(F_Partner=1,IF(F_Married=1,BF284,BH284+BJ284),BH284)</f>
        <v>983.384340462508</v>
      </c>
      <c r="BL284" s="20" t="n">
        <f aca="false">AL284+AN284+AO284</f>
        <v>10058.3217023125</v>
      </c>
      <c r="BM284" s="20" t="n">
        <f aca="false">IF(BL284&lt;=PR_USCex,0,IF(IF(AND(C284&gt;=PR_USCredAge,BL284&lt;=PR_USCredMax),1,0)=1,PR_USCr1*MIN(BL284,PR_USCredB1)+PR_USCredR2*MAX(0,BL284-PR_USCredB1),PR_USCr1*MIN(BL284,PR_USCb1)+PR_USCr2*MAX(0,MIN(BL284,PR_USCb2)-PR_USCb1)+PR_USCr3*MAX(0,MIN(BL284,PR_USCb3)-PR_USCb2)+PR_USCr4*MAX(0,BL284-PR_USCb3)))+IF(F_SelfEmp=1,PR_USCse*MAX(0,AL284-PR_USCseOver),0)</f>
        <v>0</v>
      </c>
      <c r="BN284" s="20" t="n">
        <f aca="false">AQ284</f>
        <v>0</v>
      </c>
      <c r="BO284" s="20" t="n">
        <f aca="false">IF(F_Partner=1,IF(BN284&lt;=PR_USCex,0,IF(IF(AND(AG284&gt;=PR_USCredAge,BN284&lt;=PR_USCredMax),1,0)=1,PR_USCr1*MIN(BN284,PR_USCredB1)+PR_USCredR2*MAX(0,BN284-PR_USCredB1),PR_USCr1*MIN(BN284,PR_USCb1)+PR_USCr2*MAX(0,MIN(BN284,PR_USCb2)-PR_USCb1)+PR_USCr3*MAX(0,MIN(BN284,PR_USCb3)-PR_USCb2)+PR_USCr4*MAX(0,BN284-PR_USCb3))),0)</f>
        <v>0</v>
      </c>
      <c r="BP284" s="20" t="n">
        <f aca="false">IF(C284&lt;PR_PRSIend,IF(F_SelfEmp=1,IF(AL284&gt;PR_PRSIsMinInc,MAX(PR_PRSIsMin,AL284*J284),0),IF(AL284/52&lt;=PR_PRSIfree,0,MAX(0,(AL284/52*J284-IF(AL284/52&lt;=PR_PRSIcreditTo,MAX(0,PR_PRSIcreditMax-(AL284/52-(PR_PRSIfree+0.01))/PR_PRSItaper),0))*52)))+J284*AN284+IF(AO284&gt;PR_PRSIunearned,J284*AO284,0),0)</f>
        <v>0</v>
      </c>
      <c r="BQ284" s="20" t="n">
        <f aca="false">IF(AND(F_Partner=1,AG284&lt;PR_PRSIend),IF(AQ284/52&lt;=PR_PRSIfree,0,MAX(0,(AQ284/52*J284-IF(AQ284/52&lt;=PR_PRSIcreditTo,MAX(0,PR_PRSIcreditMax-(AQ284/52-(PR_PRSIfree+0.01))/PR_PRSItaper),0))*52)),0)</f>
        <v>0</v>
      </c>
      <c r="BR284" s="20" t="n">
        <f aca="false">BK284+BM284+BO284+BP284+BQ284</f>
        <v>983.384340462508</v>
      </c>
      <c r="BS284" s="20" t="n">
        <f aca="false">BR284*H284</f>
        <v>2646.86551876733</v>
      </c>
      <c r="BT284" s="20" t="n">
        <f aca="false">K284+AK284+AC284+AF284+AH284+AI284</f>
        <v>103875.923070356</v>
      </c>
    </row>
    <row r="285" customFormat="false" ht="15" hidden="false" customHeight="true" outlineLevel="0" collapsed="false">
      <c r="B285" s="20" t="n">
        <v>51</v>
      </c>
      <c r="C285" s="20" t="n">
        <f aca="false">F_Age+B285</f>
        <v>89</v>
      </c>
      <c r="D285" s="20" t="n">
        <f aca="false">AS_Year0+B285</f>
        <v>2078</v>
      </c>
      <c r="E285" s="44" t="n">
        <f aca="false">(1+AS_Infl)^B285</f>
        <v>2.74541978965508</v>
      </c>
      <c r="F285" s="44" t="n">
        <f aca="false">(1+AS_Wage)^B285</f>
        <v>4.51542319926831</v>
      </c>
      <c r="G285" s="20" t="n">
        <f aca="false">IF(C285&lt;F_R,1,0)</f>
        <v>0</v>
      </c>
      <c r="H285" s="44" t="n">
        <f aca="false">IF(AS_Bands="flat",1,E285)</f>
        <v>2.74541978965508</v>
      </c>
      <c r="I285" s="44" t="n">
        <f aca="false">IF(AS_SpGrow="pay",F285,IF(AS_SpGrow="flat",1,E285))</f>
        <v>2.74541978965508</v>
      </c>
      <c r="J285" s="44" t="n">
        <f aca="false">(12*PR_PRSIr0+(PR_PRSIr1-PR_PRSIr0)*MAX(0,MIN(12,D285*12+12-PR_PRSIt1))+(PR_PRSIr2-PR_PRSIr1)*MAX(0,MIN(12,D285*12+12-PR_PRSIt2))+(PR_PRSIr3-PR_PRSIr2)*MAX(0,MIN(12,D285*12+12-PR_PRSIt3)))/12</f>
        <v>0.047</v>
      </c>
      <c r="K285" s="20" t="n">
        <f aca="false">IF(G285=1,F_Income*F285,0)</f>
        <v>0</v>
      </c>
      <c r="L285" s="20" t="n">
        <f aca="false">IF(G285=1,(F_Own+In_penExtra)*12*F285,0)</f>
        <v>0</v>
      </c>
      <c r="M285" s="20" t="n">
        <f aca="false">IF(G285=1,(F_PenM+In_penExtra)*12*F285,0)</f>
        <v>0</v>
      </c>
      <c r="N285" s="45" t="n">
        <f aca="false">IF(C285&lt;PR_RelA1,PR_RelP1,IF(C285&lt;PR_RelA2,PR_RelP2,IF(C285&lt;PR_RelA3,PR_RelP3,IF(C285&lt;PR_RelA4,PR_RelP4,IF(C285&lt;PR_RelA5,PR_RelP5,PR_RelP6)))))</f>
        <v>0.4</v>
      </c>
      <c r="O285" s="20" t="n">
        <f aca="false">IF(G285=1,MIN(L285/H285,N285*MIN(K285/H285,PR_EarnCap))*H285,0)</f>
        <v>0</v>
      </c>
      <c r="P285" s="20" t="n">
        <f aca="false">IF(AND(G285=1,F_AE=1),MIN(K285/H285,PR_AEcap)*H285,0)</f>
        <v>0</v>
      </c>
      <c r="Q285" s="20" t="n">
        <f aca="false">IF(G285=1,IF(WI_Retire=1,MAX(0,M285+WI_M*12),M285)+(PR_AEee+PR_AEer+PR_AEst)*P285,0)</f>
        <v>0</v>
      </c>
      <c r="R285" s="20" t="n">
        <f aca="false">L285+PR_AEee*P285</f>
        <v>0</v>
      </c>
      <c r="S285" s="20" t="n">
        <f aca="false">AD284</f>
        <v>195479.573257787</v>
      </c>
      <c r="T285" s="20" t="n">
        <f aca="false">IF(D285&lt;=PR_SFTfrom,PR_SFT2026,IF(D285=PR_SFTfrom+1,PR_SFT2027,IF(D285=PR_SFTfrom+2,PR_SFT2028,IF(D285&lt;=PR_SFTto,PR_SFT2029,PR_SFT2029*(1+AS_Infl)^(D285-PR_SFTto)))))</f>
        <v>7388673.02098637</v>
      </c>
      <c r="U285" s="20" t="n">
        <f aca="false">IF(AND(G285=0,C285=F_V),1,0)</f>
        <v>0</v>
      </c>
      <c r="V285" s="20" t="n">
        <f aca="false">IF(U285=1,PR_SFTrate*MAX(0,S285-T285),0)</f>
        <v>0</v>
      </c>
      <c r="W285" s="20" t="n">
        <f aca="false">S285-V285</f>
        <v>195479.573257787</v>
      </c>
      <c r="X285" s="20" t="n">
        <f aca="false">IF(AND(U285=1,AS_LumpPct&gt;0),W285*MIN(AS_LumpPct,PR_LSmax),0)</f>
        <v>0</v>
      </c>
      <c r="Y285" s="20" t="n">
        <f aca="false">X285-(PR_LSrate*MAX(0,MIN(X285,PR_LScap)-PR_LSfree)+PR_r2*MAX(0,X285-PR_LScap))</f>
        <v>0</v>
      </c>
      <c r="Z285" s="20" t="n">
        <f aca="false">W285-X285</f>
        <v>195479.573257787</v>
      </c>
      <c r="AA285" s="45" t="n">
        <f aca="false">IF(C285&gt;=PR_ARFage1,IF(Z285&gt;PR_ARFbig,PR_ARFbigRate,IF(C285&gt;=PR_ARFage2,PR_ARF71,PR_ARF61)),0)</f>
        <v>0.05</v>
      </c>
      <c r="AB285" s="20" t="n">
        <f aca="false">IF(AS_DrawRule="min",Z285*AA285,IF(AS_DrawRule="fixed",MAX(AS_DrawFixed*E285,Z285*AA285),Z285*MAX(1/MAX(1,AS_End-C285+1),AA285)))</f>
        <v>27925.6533225409</v>
      </c>
      <c r="AC285" s="20" t="n">
        <f aca="false">IF(AND(G285=0,C285&gt;=F_V),MIN(Z285,AB285),0)</f>
        <v>27925.6533225409</v>
      </c>
      <c r="AD285" s="20" t="n">
        <f aca="false">IF(G285=1,S285*(1+F_PenG)+Q285,IF(C285&lt;F_V,S285*(1+F_PenG),(Z285-AC285)*(1+AS_PenRet)))</f>
        <v>172831.868413206</v>
      </c>
      <c r="AE285" s="20" t="n">
        <f aca="false">IF(C285&gt;=PR_SPage,AS_SP*F_SpF*I285+IF(AND(C285&gt;=PR_Over80Age,F_SpF&gt;0),PR_Over80*PR_Weeks*I285,0),0)</f>
        <v>44156.2337288965</v>
      </c>
      <c r="AF285" s="20" t="n">
        <f aca="false">(F_OtherM+F_RentM)*12*E285</f>
        <v>0</v>
      </c>
      <c r="AG285" s="20" t="n">
        <f aca="false">F_PAge+B285</f>
        <v>88</v>
      </c>
      <c r="AH285" s="20" t="n">
        <f aca="false">IF(AND(F_Partner=1,F_PAge&gt;0,AG285&lt;IF(F_PRet&gt;0,F_PRet,PR_SPage)),F_PIncome*F285,0)</f>
        <v>0</v>
      </c>
      <c r="AI285" s="20" t="n">
        <f aca="false">IF(AND(F_Partner=1,AG285&gt;=PR_SPage,F_PSpQA=0),AS_SP*F_PSpF*I285,0)</f>
        <v>34182.8923506206</v>
      </c>
      <c r="AJ285" s="20" t="n">
        <f aca="false">IF(AND(F_Partner=1,F_PSpQA=1,C285&gt;=PR_SPage,AH285=0),IF(AG285&gt;=PR_SPage,PR_QA66,PR_QAunder)*PR_Weeks*I285,0)</f>
        <v>0</v>
      </c>
      <c r="AK285" s="20" t="n">
        <f aca="false">AE285+AJ285</f>
        <v>44156.2337288965</v>
      </c>
      <c r="AL285" s="20" t="n">
        <f aca="false">K285/H285</f>
        <v>0</v>
      </c>
      <c r="AM285" s="20" t="n">
        <f aca="false">AK285/H285</f>
        <v>16083.6</v>
      </c>
      <c r="AN285" s="20" t="n">
        <f aca="false">AC285/H285</f>
        <v>10171.7243489563</v>
      </c>
      <c r="AO285" s="20" t="n">
        <f aca="false">AF285/H285</f>
        <v>0</v>
      </c>
      <c r="AP285" s="20" t="n">
        <f aca="false">O285/H285</f>
        <v>0</v>
      </c>
      <c r="AQ285" s="20" t="n">
        <f aca="false">AH285/H285</f>
        <v>0</v>
      </c>
      <c r="AR285" s="20" t="n">
        <f aca="false">AI285/H285</f>
        <v>12450.88</v>
      </c>
      <c r="AS285" s="20" t="n">
        <f aca="false">MAX(0,AL285+AN285+AO285+AM285-AP285)</f>
        <v>26255.3243489563</v>
      </c>
      <c r="AT285" s="20" t="n">
        <f aca="false">MAX(0,AQ285+AR285)</f>
        <v>12450.88</v>
      </c>
      <c r="AU285" s="20" t="n">
        <f aca="false">MIN(PR_PAYE,PR_PAYEcap*(AL285+AN285+AM285))</f>
        <v>2000</v>
      </c>
      <c r="AV285" s="20" t="n">
        <f aca="false">MIN(PR_PAYE,PR_PAYEcap*(AQ285+AR285))</f>
        <v>2000</v>
      </c>
      <c r="AW285" s="20" t="n">
        <f aca="false">IF(C285&gt;=PR_AgeCrAge,PR_AgeCr,0)</f>
        <v>245</v>
      </c>
      <c r="AX285" s="20" t="n">
        <f aca="false">IF(AG285&gt;=PR_AgeCrAge,PR_AgeCr,0)</f>
        <v>245</v>
      </c>
      <c r="AY285" s="20" t="n">
        <f aca="false">IF(AND(F_RentCred=1,D285&lt;=PR_RentLast),1,0)</f>
        <v>0</v>
      </c>
      <c r="AZ285" s="20" t="n">
        <f aca="false">AS285+AT285</f>
        <v>38706.2043489563</v>
      </c>
      <c r="BA285" s="20" t="n">
        <f aca="false">PR_PersonalM+AU285+AV285+AW285+AX285+IF(AY285=1,PR_RentJoint,0)</f>
        <v>8490</v>
      </c>
      <c r="BB285" s="20" t="n">
        <f aca="false">PR_BandM+MIN(MIN(AS285,AT285),PR_Uplift)</f>
        <v>65450.88</v>
      </c>
      <c r="BC285" s="20" t="n">
        <f aca="false">MAX(0,PR_r1*MIN(AZ285,BB285)+PR_r2*MAX(0,AZ285-BB285)-BA285)</f>
        <v>0</v>
      </c>
      <c r="BD285" s="20" t="n">
        <f aca="false">MAX(0,PR_HomeCarer-MAX(0,MIN(AS285,AT285)-PR_HCLimit)/2)</f>
        <v>0</v>
      </c>
      <c r="BE285" s="20" t="n">
        <f aca="false">IF(F_Carer=1,MIN(BC285,MAX(0,PR_r1*MIN(AZ285,PR_BandM)+PR_r2*MAX(0,AZ285-PR_BandM)-BA285-BD285)),BC285)</f>
        <v>0</v>
      </c>
      <c r="BF285" s="20" t="n">
        <f aca="false">IF(OR(C285&gt;=PR_AgeCrAge,AG285&gt;=PR_AgeCrAge),IF(AZ285&lt;=PR_AgeExM,0,MIN(BE285,PR_AgeMarg*(AZ285-PR_AgeExM))),BE285)</f>
        <v>0</v>
      </c>
      <c r="BG285" s="20" t="n">
        <f aca="false">MAX(0,PR_r1*MIN(AS285,IF(F_Spccc=1,PR_BandSPCCC,PR_Band))+PR_r2*MAX(0,AS285-IF(F_Spccc=1,PR_BandSPCCC,PR_Band))-(PR_Personal+AU285+AW285+IF(F_Spccc=1,PR_SPCCC,0)+IF(AY285=1,PR_Rent,0)))</f>
        <v>1006.06486979125</v>
      </c>
      <c r="BH285" s="20" t="n">
        <f aca="false">IF(C285&gt;=PR_AgeCrAge,IF(AS285&lt;=PR_AgeEx,0,MIN(BG285,PR_AgeMarg*(AS285-PR_AgeEx))),BG285)</f>
        <v>1006.06486979125</v>
      </c>
      <c r="BI285" s="20" t="n">
        <f aca="false">IF(F_Partner=1,MAX(0,PR_r1*MIN(AT285,PR_Band)+PR_r2*MAX(0,AT285-PR_Band)-(PR_Personal+AV285+AX285+IF(AND(AY285=1,AT285&gt;0),PR_Rent,0))),0)</f>
        <v>0</v>
      </c>
      <c r="BJ285" s="20" t="n">
        <f aca="false">IF(AG285&gt;=PR_AgeCrAge,IF(AT285&lt;=PR_AgeEx,0,MIN(BI285,PR_AgeMarg*(AT285-PR_AgeEx))),BI285)</f>
        <v>0</v>
      </c>
      <c r="BK285" s="20" t="n">
        <f aca="false">IF(F_Partner=1,IF(F_Married=1,BF285,BH285+BJ285),BH285)</f>
        <v>1006.06486979125</v>
      </c>
      <c r="BL285" s="20" t="n">
        <f aca="false">AL285+AN285+AO285</f>
        <v>10171.7243489563</v>
      </c>
      <c r="BM285" s="20" t="n">
        <f aca="false">IF(BL285&lt;=PR_USCex,0,IF(IF(AND(C285&gt;=PR_USCredAge,BL285&lt;=PR_USCredMax),1,0)=1,PR_USCr1*MIN(BL285,PR_USCredB1)+PR_USCredR2*MAX(0,BL285-PR_USCredB1),PR_USCr1*MIN(BL285,PR_USCb1)+PR_USCr2*MAX(0,MIN(BL285,PR_USCb2)-PR_USCb1)+PR_USCr3*MAX(0,MIN(BL285,PR_USCb3)-PR_USCb2)+PR_USCr4*MAX(0,BL285-PR_USCb3)))+IF(F_SelfEmp=1,PR_USCse*MAX(0,AL285-PR_USCseOver),0)</f>
        <v>0</v>
      </c>
      <c r="BN285" s="20" t="n">
        <f aca="false">AQ285</f>
        <v>0</v>
      </c>
      <c r="BO285" s="20" t="n">
        <f aca="false">IF(F_Partner=1,IF(BN285&lt;=PR_USCex,0,IF(IF(AND(AG285&gt;=PR_USCredAge,BN285&lt;=PR_USCredMax),1,0)=1,PR_USCr1*MIN(BN285,PR_USCredB1)+PR_USCredR2*MAX(0,BN285-PR_USCredB1),PR_USCr1*MIN(BN285,PR_USCb1)+PR_USCr2*MAX(0,MIN(BN285,PR_USCb2)-PR_USCb1)+PR_USCr3*MAX(0,MIN(BN285,PR_USCb3)-PR_USCb2)+PR_USCr4*MAX(0,BN285-PR_USCb3))),0)</f>
        <v>0</v>
      </c>
      <c r="BP285" s="20" t="n">
        <f aca="false">IF(C285&lt;PR_PRSIend,IF(F_SelfEmp=1,IF(AL285&gt;PR_PRSIsMinInc,MAX(PR_PRSIsMin,AL285*J285),0),IF(AL285/52&lt;=PR_PRSIfree,0,MAX(0,(AL285/52*J285-IF(AL285/52&lt;=PR_PRSIcreditTo,MAX(0,PR_PRSIcreditMax-(AL285/52-(PR_PRSIfree+0.01))/PR_PRSItaper),0))*52)))+J285*AN285+IF(AO285&gt;PR_PRSIunearned,J285*AO285,0),0)</f>
        <v>0</v>
      </c>
      <c r="BQ285" s="20" t="n">
        <f aca="false">IF(AND(F_Partner=1,AG285&lt;PR_PRSIend),IF(AQ285/52&lt;=PR_PRSIfree,0,MAX(0,(AQ285/52*J285-IF(AQ285/52&lt;=PR_PRSIcreditTo,MAX(0,PR_PRSIcreditMax-(AQ285/52-(PR_PRSIfree+0.01))/PR_PRSItaper),0))*52)),0)</f>
        <v>0</v>
      </c>
      <c r="BR285" s="20" t="n">
        <f aca="false">BK285+BM285+BO285+BP285+BQ285</f>
        <v>1006.06486979125</v>
      </c>
      <c r="BS285" s="20" t="n">
        <f aca="false">BR285*H285</f>
        <v>2762.07040320166</v>
      </c>
      <c r="BT285" s="20" t="n">
        <f aca="false">K285+AK285+AC285+AF285+AH285+AI285</f>
        <v>106264.779402058</v>
      </c>
    </row>
    <row r="286" customFormat="false" ht="15" hidden="false" customHeight="true" outlineLevel="0" collapsed="false">
      <c r="B286" s="20" t="n">
        <v>52</v>
      </c>
      <c r="C286" s="20" t="n">
        <f aca="false">F_Age+B286</f>
        <v>90</v>
      </c>
      <c r="D286" s="20" t="n">
        <f aca="false">AS_Year0+B286</f>
        <v>2079</v>
      </c>
      <c r="E286" s="44" t="n">
        <f aca="false">(1+AS_Infl)^B286</f>
        <v>2.80032818544818</v>
      </c>
      <c r="F286" s="44" t="n">
        <f aca="false">(1+AS_Wage)^B286</f>
        <v>4.65088589524636</v>
      </c>
      <c r="G286" s="20" t="n">
        <f aca="false">IF(C286&lt;F_R,1,0)</f>
        <v>0</v>
      </c>
      <c r="H286" s="44" t="n">
        <f aca="false">IF(AS_Bands="flat",1,E286)</f>
        <v>2.80032818544818</v>
      </c>
      <c r="I286" s="44" t="n">
        <f aca="false">IF(AS_SpGrow="pay",F286,IF(AS_SpGrow="flat",1,E286))</f>
        <v>2.80032818544818</v>
      </c>
      <c r="J286" s="44" t="n">
        <f aca="false">(12*PR_PRSIr0+(PR_PRSIr1-PR_PRSIr0)*MAX(0,MIN(12,D286*12+12-PR_PRSIt1))+(PR_PRSIr2-PR_PRSIr1)*MAX(0,MIN(12,D286*12+12-PR_PRSIt2))+(PR_PRSIr3-PR_PRSIr2)*MAX(0,MIN(12,D286*12+12-PR_PRSIt3)))/12</f>
        <v>0.047</v>
      </c>
      <c r="K286" s="20" t="n">
        <f aca="false">IF(G286=1,F_Income*F286,0)</f>
        <v>0</v>
      </c>
      <c r="L286" s="20" t="n">
        <f aca="false">IF(G286=1,(F_Own+In_penExtra)*12*F286,0)</f>
        <v>0</v>
      </c>
      <c r="M286" s="20" t="n">
        <f aca="false">IF(G286=1,(F_PenM+In_penExtra)*12*F286,0)</f>
        <v>0</v>
      </c>
      <c r="N286" s="45" t="n">
        <f aca="false">IF(C286&lt;PR_RelA1,PR_RelP1,IF(C286&lt;PR_RelA2,PR_RelP2,IF(C286&lt;PR_RelA3,PR_RelP3,IF(C286&lt;PR_RelA4,PR_RelP4,IF(C286&lt;PR_RelA5,PR_RelP5,PR_RelP6)))))</f>
        <v>0.4</v>
      </c>
      <c r="O286" s="20" t="n">
        <f aca="false">IF(G286=1,MIN(L286/H286,N286*MIN(K286/H286,PR_EarnCap))*H286,0)</f>
        <v>0</v>
      </c>
      <c r="P286" s="20" t="n">
        <f aca="false">IF(AND(G286=1,F_AE=1),MIN(K286/H286,PR_AEcap)*H286,0)</f>
        <v>0</v>
      </c>
      <c r="Q286" s="20" t="n">
        <f aca="false">IF(G286=1,IF(WI_Retire=1,MAX(0,M286+WI_M*12),M286)+(PR_AEee+PR_AEer+PR_AEst)*P286,0)</f>
        <v>0</v>
      </c>
      <c r="R286" s="20" t="n">
        <f aca="false">L286+PR_AEee*P286</f>
        <v>0</v>
      </c>
      <c r="S286" s="20" t="n">
        <f aca="false">AD285</f>
        <v>172831.868413206</v>
      </c>
      <c r="T286" s="20" t="n">
        <f aca="false">IF(D286&lt;=PR_SFTfrom,PR_SFT2026,IF(D286=PR_SFTfrom+1,PR_SFT2027,IF(D286=PR_SFTfrom+2,PR_SFT2028,IF(D286&lt;=PR_SFTto,PR_SFT2029,PR_SFT2029*(1+AS_Infl)^(D286-PR_SFTto)))))</f>
        <v>7536446.4814061</v>
      </c>
      <c r="U286" s="20" t="n">
        <f aca="false">IF(AND(G286=0,C286=F_V),1,0)</f>
        <v>0</v>
      </c>
      <c r="V286" s="20" t="n">
        <f aca="false">IF(U286=1,PR_SFTrate*MAX(0,S286-T286),0)</f>
        <v>0</v>
      </c>
      <c r="W286" s="20" t="n">
        <f aca="false">S286-V286</f>
        <v>172831.868413206</v>
      </c>
      <c r="X286" s="20" t="n">
        <f aca="false">IF(AND(U286=1,AS_LumpPct&gt;0),W286*MIN(AS_LumpPct,PR_LSmax),0)</f>
        <v>0</v>
      </c>
      <c r="Y286" s="20" t="n">
        <f aca="false">X286-(PR_LSrate*MAX(0,MIN(X286,PR_LScap)-PR_LSfree)+PR_r2*MAX(0,X286-PR_LScap))</f>
        <v>0</v>
      </c>
      <c r="Z286" s="20" t="n">
        <f aca="false">W286-X286</f>
        <v>172831.868413206</v>
      </c>
      <c r="AA286" s="45" t="n">
        <f aca="false">IF(C286&gt;=PR_ARFage1,IF(Z286&gt;PR_ARFbig,PR_ARFbigRate,IF(C286&gt;=PR_ARFage2,PR_ARF71,PR_ARF61)),0)</f>
        <v>0.05</v>
      </c>
      <c r="AB286" s="20" t="n">
        <f aca="false">IF(AS_DrawRule="min",Z286*AA286,IF(AS_DrawRule="fixed",MAX(AS_DrawFixed*E286,Z286*AA286),Z286*MAX(1/MAX(1,AS_End-C286+1),AA286)))</f>
        <v>28805.311402201</v>
      </c>
      <c r="AC286" s="20" t="n">
        <f aca="false">IF(AND(G286=0,C286&gt;=F_V),MIN(Z286,AB286),0)</f>
        <v>28805.311402201</v>
      </c>
      <c r="AD286" s="20" t="n">
        <f aca="false">IF(G286=1,S286*(1+F_PenG)+Q286,IF(C286&lt;F_V,S286*(1+F_PenG),(Z286-AC286)*(1+AS_PenRet)))</f>
        <v>148563.393556852</v>
      </c>
      <c r="AE286" s="20" t="n">
        <f aca="false">IF(C286&gt;=PR_SPage,AS_SP*F_SpF*I286+IF(AND(C286&gt;=PR_Over80Age,F_SpF&gt;0),PR_Over80*PR_Weeks*I286,0),0)</f>
        <v>45039.3584034744</v>
      </c>
      <c r="AF286" s="20" t="n">
        <f aca="false">(F_OtherM+F_RentM)*12*E286</f>
        <v>0</v>
      </c>
      <c r="AG286" s="20" t="n">
        <f aca="false">F_PAge+B286</f>
        <v>89</v>
      </c>
      <c r="AH286" s="20" t="n">
        <f aca="false">IF(AND(F_Partner=1,F_PAge&gt;0,AG286&lt;IF(F_PRet&gt;0,F_PRet,PR_SPage)),F_PIncome*F286,0)</f>
        <v>0</v>
      </c>
      <c r="AI286" s="20" t="n">
        <f aca="false">IF(AND(F_Partner=1,AG286&gt;=PR_SPage,F_PSpQA=0),AS_SP*F_PSpF*I286,0)</f>
        <v>34866.5501976331</v>
      </c>
      <c r="AJ286" s="20" t="n">
        <f aca="false">IF(AND(F_Partner=1,F_PSpQA=1,C286&gt;=PR_SPage,AH286=0),IF(AG286&gt;=PR_SPage,PR_QA66,PR_QAunder)*PR_Weeks*I286,0)</f>
        <v>0</v>
      </c>
      <c r="AK286" s="20" t="n">
        <f aca="false">AE286+AJ286</f>
        <v>45039.3584034744</v>
      </c>
      <c r="AL286" s="20" t="n">
        <f aca="false">K286/H286</f>
        <v>0</v>
      </c>
      <c r="AM286" s="20" t="n">
        <f aca="false">AK286/H286</f>
        <v>16083.6</v>
      </c>
      <c r="AN286" s="20" t="n">
        <f aca="false">AC286/H286</f>
        <v>10286.4055548514</v>
      </c>
      <c r="AO286" s="20" t="n">
        <f aca="false">AF286/H286</f>
        <v>0</v>
      </c>
      <c r="AP286" s="20" t="n">
        <f aca="false">O286/H286</f>
        <v>0</v>
      </c>
      <c r="AQ286" s="20" t="n">
        <f aca="false">AH286/H286</f>
        <v>0</v>
      </c>
      <c r="AR286" s="20" t="n">
        <f aca="false">AI286/H286</f>
        <v>12450.88</v>
      </c>
      <c r="AS286" s="20" t="n">
        <f aca="false">MAX(0,AL286+AN286+AO286+AM286-AP286)</f>
        <v>26370.0055548514</v>
      </c>
      <c r="AT286" s="20" t="n">
        <f aca="false">MAX(0,AQ286+AR286)</f>
        <v>12450.88</v>
      </c>
      <c r="AU286" s="20" t="n">
        <f aca="false">MIN(PR_PAYE,PR_PAYEcap*(AL286+AN286+AM286))</f>
        <v>2000</v>
      </c>
      <c r="AV286" s="20" t="n">
        <f aca="false">MIN(PR_PAYE,PR_PAYEcap*(AQ286+AR286))</f>
        <v>2000</v>
      </c>
      <c r="AW286" s="20" t="n">
        <f aca="false">IF(C286&gt;=PR_AgeCrAge,PR_AgeCr,0)</f>
        <v>245</v>
      </c>
      <c r="AX286" s="20" t="n">
        <f aca="false">IF(AG286&gt;=PR_AgeCrAge,PR_AgeCr,0)</f>
        <v>245</v>
      </c>
      <c r="AY286" s="20" t="n">
        <f aca="false">IF(AND(F_RentCred=1,D286&lt;=PR_RentLast),1,0)</f>
        <v>0</v>
      </c>
      <c r="AZ286" s="20" t="n">
        <f aca="false">AS286+AT286</f>
        <v>38820.8855548514</v>
      </c>
      <c r="BA286" s="20" t="n">
        <f aca="false">PR_PersonalM+AU286+AV286+AW286+AX286+IF(AY286=1,PR_RentJoint,0)</f>
        <v>8490</v>
      </c>
      <c r="BB286" s="20" t="n">
        <f aca="false">PR_BandM+MIN(MIN(AS286,AT286),PR_Uplift)</f>
        <v>65450.88</v>
      </c>
      <c r="BC286" s="20" t="n">
        <f aca="false">MAX(0,PR_r1*MIN(AZ286,BB286)+PR_r2*MAX(0,AZ286-BB286)-BA286)</f>
        <v>0</v>
      </c>
      <c r="BD286" s="20" t="n">
        <f aca="false">MAX(0,PR_HomeCarer-MAX(0,MIN(AS286,AT286)-PR_HCLimit)/2)</f>
        <v>0</v>
      </c>
      <c r="BE286" s="20" t="n">
        <f aca="false">IF(F_Carer=1,MIN(BC286,MAX(0,PR_r1*MIN(AZ286,PR_BandM)+PR_r2*MAX(0,AZ286-PR_BandM)-BA286-BD286)),BC286)</f>
        <v>0</v>
      </c>
      <c r="BF286" s="20" t="n">
        <f aca="false">IF(OR(C286&gt;=PR_AgeCrAge,AG286&gt;=PR_AgeCrAge),IF(AZ286&lt;=PR_AgeExM,0,MIN(BE286,PR_AgeMarg*(AZ286-PR_AgeExM))),BE286)</f>
        <v>0</v>
      </c>
      <c r="BG286" s="20" t="n">
        <f aca="false">MAX(0,PR_r1*MIN(AS286,IF(F_Spccc=1,PR_BandSPCCC,PR_Band))+PR_r2*MAX(0,AS286-IF(F_Spccc=1,PR_BandSPCCC,PR_Band))-(PR_Personal+AU286+AW286+IF(F_Spccc=1,PR_SPCCC,0)+IF(AY286=1,PR_Rent,0)))</f>
        <v>1029.00111097027</v>
      </c>
      <c r="BH286" s="20" t="n">
        <f aca="false">IF(C286&gt;=PR_AgeCrAge,IF(AS286&lt;=PR_AgeEx,0,MIN(BG286,PR_AgeMarg*(AS286-PR_AgeEx))),BG286)</f>
        <v>1029.00111097027</v>
      </c>
      <c r="BI286" s="20" t="n">
        <f aca="false">IF(F_Partner=1,MAX(0,PR_r1*MIN(AT286,PR_Band)+PR_r2*MAX(0,AT286-PR_Band)-(PR_Personal+AV286+AX286+IF(AND(AY286=1,AT286&gt;0),PR_Rent,0))),0)</f>
        <v>0</v>
      </c>
      <c r="BJ286" s="20" t="n">
        <f aca="false">IF(AG286&gt;=PR_AgeCrAge,IF(AT286&lt;=PR_AgeEx,0,MIN(BI286,PR_AgeMarg*(AT286-PR_AgeEx))),BI286)</f>
        <v>0</v>
      </c>
      <c r="BK286" s="20" t="n">
        <f aca="false">IF(F_Partner=1,IF(F_Married=1,BF286,BH286+BJ286),BH286)</f>
        <v>1029.00111097027</v>
      </c>
      <c r="BL286" s="20" t="n">
        <f aca="false">AL286+AN286+AO286</f>
        <v>10286.4055548514</v>
      </c>
      <c r="BM286" s="20" t="n">
        <f aca="false">IF(BL286&lt;=PR_USCex,0,IF(IF(AND(C286&gt;=PR_USCredAge,BL286&lt;=PR_USCredMax),1,0)=1,PR_USCr1*MIN(BL286,PR_USCredB1)+PR_USCredR2*MAX(0,BL286-PR_USCredB1),PR_USCr1*MIN(BL286,PR_USCb1)+PR_USCr2*MAX(0,MIN(BL286,PR_USCb2)-PR_USCb1)+PR_USCr3*MAX(0,MIN(BL286,PR_USCb3)-PR_USCb2)+PR_USCr4*MAX(0,BL286-PR_USCb3)))+IF(F_SelfEmp=1,PR_USCse*MAX(0,AL286-PR_USCseOver),0)</f>
        <v>0</v>
      </c>
      <c r="BN286" s="20" t="n">
        <f aca="false">AQ286</f>
        <v>0</v>
      </c>
      <c r="BO286" s="20" t="n">
        <f aca="false">IF(F_Partner=1,IF(BN286&lt;=PR_USCex,0,IF(IF(AND(AG286&gt;=PR_USCredAge,BN286&lt;=PR_USCredMax),1,0)=1,PR_USCr1*MIN(BN286,PR_USCredB1)+PR_USCredR2*MAX(0,BN286-PR_USCredB1),PR_USCr1*MIN(BN286,PR_USCb1)+PR_USCr2*MAX(0,MIN(BN286,PR_USCb2)-PR_USCb1)+PR_USCr3*MAX(0,MIN(BN286,PR_USCb3)-PR_USCb2)+PR_USCr4*MAX(0,BN286-PR_USCb3))),0)</f>
        <v>0</v>
      </c>
      <c r="BP286" s="20" t="n">
        <f aca="false">IF(C286&lt;PR_PRSIend,IF(F_SelfEmp=1,IF(AL286&gt;PR_PRSIsMinInc,MAX(PR_PRSIsMin,AL286*J286),0),IF(AL286/52&lt;=PR_PRSIfree,0,MAX(0,(AL286/52*J286-IF(AL286/52&lt;=PR_PRSIcreditTo,MAX(0,PR_PRSIcreditMax-(AL286/52-(PR_PRSIfree+0.01))/PR_PRSItaper),0))*52)))+J286*AN286+IF(AO286&gt;PR_PRSIunearned,J286*AO286,0),0)</f>
        <v>0</v>
      </c>
      <c r="BQ286" s="20" t="n">
        <f aca="false">IF(AND(F_Partner=1,AG286&lt;PR_PRSIend),IF(AQ286/52&lt;=PR_PRSIfree,0,MAX(0,(AQ286/52*J286-IF(AQ286/52&lt;=PR_PRSIcreditTo,MAX(0,PR_PRSIcreditMax-(AQ286/52-(PR_PRSIfree+0.01))/PR_PRSItaper),0))*52)),0)</f>
        <v>0</v>
      </c>
      <c r="BR286" s="20" t="n">
        <f aca="false">BK286+BM286+BO286+BP286+BQ286</f>
        <v>1029.00111097027</v>
      </c>
      <c r="BS286" s="20" t="n">
        <f aca="false">BR286*H286</f>
        <v>2881.54081390754</v>
      </c>
      <c r="BT286" s="20" t="n">
        <f aca="false">K286+AK286+AC286+AF286+AH286+AI286</f>
        <v>108711.220003308</v>
      </c>
    </row>
    <row r="287" customFormat="false" ht="15" hidden="false" customHeight="true" outlineLevel="0" collapsed="false">
      <c r="B287" s="20" t="n">
        <v>53</v>
      </c>
      <c r="C287" s="20" t="n">
        <f aca="false">F_Age+B287</f>
        <v>91</v>
      </c>
      <c r="D287" s="20" t="n">
        <f aca="false">AS_Year0+B287</f>
        <v>2080</v>
      </c>
      <c r="E287" s="44" t="n">
        <f aca="false">(1+AS_Infl)^B287</f>
        <v>2.85633474915715</v>
      </c>
      <c r="F287" s="44" t="n">
        <f aca="false">(1+AS_Wage)^B287</f>
        <v>4.79041247210375</v>
      </c>
      <c r="G287" s="20" t="n">
        <f aca="false">IF(C287&lt;F_R,1,0)</f>
        <v>0</v>
      </c>
      <c r="H287" s="44" t="n">
        <f aca="false">IF(AS_Bands="flat",1,E287)</f>
        <v>2.85633474915715</v>
      </c>
      <c r="I287" s="44" t="n">
        <f aca="false">IF(AS_SpGrow="pay",F287,IF(AS_SpGrow="flat",1,E287))</f>
        <v>2.85633474915715</v>
      </c>
      <c r="J287" s="44" t="n">
        <f aca="false">(12*PR_PRSIr0+(PR_PRSIr1-PR_PRSIr0)*MAX(0,MIN(12,D287*12+12-PR_PRSIt1))+(PR_PRSIr2-PR_PRSIr1)*MAX(0,MIN(12,D287*12+12-PR_PRSIt2))+(PR_PRSIr3-PR_PRSIr2)*MAX(0,MIN(12,D287*12+12-PR_PRSIt3)))/12</f>
        <v>0.047</v>
      </c>
      <c r="K287" s="20" t="n">
        <f aca="false">IF(G287=1,F_Income*F287,0)</f>
        <v>0</v>
      </c>
      <c r="L287" s="20" t="n">
        <f aca="false">IF(G287=1,(F_Own+In_penExtra)*12*F287,0)</f>
        <v>0</v>
      </c>
      <c r="M287" s="20" t="n">
        <f aca="false">IF(G287=1,(F_PenM+In_penExtra)*12*F287,0)</f>
        <v>0</v>
      </c>
      <c r="N287" s="45" t="n">
        <f aca="false">IF(C287&lt;PR_RelA1,PR_RelP1,IF(C287&lt;PR_RelA2,PR_RelP2,IF(C287&lt;PR_RelA3,PR_RelP3,IF(C287&lt;PR_RelA4,PR_RelP4,IF(C287&lt;PR_RelA5,PR_RelP5,PR_RelP6)))))</f>
        <v>0.4</v>
      </c>
      <c r="O287" s="20" t="n">
        <f aca="false">IF(G287=1,MIN(L287/H287,N287*MIN(K287/H287,PR_EarnCap))*H287,0)</f>
        <v>0</v>
      </c>
      <c r="P287" s="20" t="n">
        <f aca="false">IF(AND(G287=1,F_AE=1),MIN(K287/H287,PR_AEcap)*H287,0)</f>
        <v>0</v>
      </c>
      <c r="Q287" s="20" t="n">
        <f aca="false">IF(G287=1,IF(WI_Retire=1,MAX(0,M287+WI_M*12),M287)+(PR_AEee+PR_AEer+PR_AEst)*P287,0)</f>
        <v>0</v>
      </c>
      <c r="R287" s="20" t="n">
        <f aca="false">L287+PR_AEee*P287</f>
        <v>0</v>
      </c>
      <c r="S287" s="20" t="n">
        <f aca="false">AD286</f>
        <v>148563.393556852</v>
      </c>
      <c r="T287" s="20" t="n">
        <f aca="false">IF(D287&lt;=PR_SFTfrom,PR_SFT2026,IF(D287=PR_SFTfrom+1,PR_SFT2027,IF(D287=PR_SFTfrom+2,PR_SFT2028,IF(D287&lt;=PR_SFTto,PR_SFT2029,PR_SFT2029*(1+AS_Infl)^(D287-PR_SFTto)))))</f>
        <v>7687175.41103423</v>
      </c>
      <c r="U287" s="20" t="n">
        <f aca="false">IF(AND(G287=0,C287=F_V),1,0)</f>
        <v>0</v>
      </c>
      <c r="V287" s="20" t="n">
        <f aca="false">IF(U287=1,PR_SFTrate*MAX(0,S287-T287),0)</f>
        <v>0</v>
      </c>
      <c r="W287" s="20" t="n">
        <f aca="false">S287-V287</f>
        <v>148563.393556852</v>
      </c>
      <c r="X287" s="20" t="n">
        <f aca="false">IF(AND(U287=1,AS_LumpPct&gt;0),W287*MIN(AS_LumpPct,PR_LSmax),0)</f>
        <v>0</v>
      </c>
      <c r="Y287" s="20" t="n">
        <f aca="false">X287-(PR_LSrate*MAX(0,MIN(X287,PR_LScap)-PR_LSfree)+PR_r2*MAX(0,X287-PR_LScap))</f>
        <v>0</v>
      </c>
      <c r="Z287" s="20" t="n">
        <f aca="false">W287-X287</f>
        <v>148563.393556852</v>
      </c>
      <c r="AA287" s="45" t="n">
        <f aca="false">IF(C287&gt;=PR_ARFage1,IF(Z287&gt;PR_ARFbig,PR_ARFbigRate,IF(C287&gt;=PR_ARFage2,PR_ARF71,PR_ARF61)),0)</f>
        <v>0.05</v>
      </c>
      <c r="AB287" s="20" t="n">
        <f aca="false">IF(AS_DrawRule="min",Z287*AA287,IF(AS_DrawRule="fixed",MAX(AS_DrawFixed*E287,Z287*AA287),Z287*MAX(1/MAX(1,AS_End-C287+1),AA287)))</f>
        <v>29712.6787113703</v>
      </c>
      <c r="AC287" s="20" t="n">
        <f aca="false">IF(AND(G287=0,C287&gt;=F_V),MIN(Z287,AB287),0)</f>
        <v>29712.6787113703</v>
      </c>
      <c r="AD287" s="20" t="n">
        <f aca="false">IF(G287=1,S287*(1+F_PenG)+Q287,IF(C287&lt;F_V,S287*(1+F_PenG),(Z287-AC287)*(1+AS_PenRet)))</f>
        <v>122594.512363114</v>
      </c>
      <c r="AE287" s="20" t="n">
        <f aca="false">IF(C287&gt;=PR_SPage,AS_SP*F_SpF*I287+IF(AND(C287&gt;=PR_Over80Age,F_SpF&gt;0),PR_Over80*PR_Weeks*I287,0),0)</f>
        <v>45940.1455715439</v>
      </c>
      <c r="AF287" s="20" t="n">
        <f aca="false">(F_OtherM+F_RentM)*12*E287</f>
        <v>0</v>
      </c>
      <c r="AG287" s="20" t="n">
        <f aca="false">F_PAge+B287</f>
        <v>90</v>
      </c>
      <c r="AH287" s="20" t="n">
        <f aca="false">IF(AND(F_Partner=1,F_PAge&gt;0,AG287&lt;IF(F_PRet&gt;0,F_PRet,PR_SPage)),F_PIncome*F287,0)</f>
        <v>0</v>
      </c>
      <c r="AI287" s="20" t="n">
        <f aca="false">IF(AND(F_Partner=1,AG287&gt;=PR_SPage,F_PSpQA=0),AS_SP*F_PSpF*I287,0)</f>
        <v>35563.8812015857</v>
      </c>
      <c r="AJ287" s="20" t="n">
        <f aca="false">IF(AND(F_Partner=1,F_PSpQA=1,C287&gt;=PR_SPage,AH287=0),IF(AG287&gt;=PR_SPage,PR_QA66,PR_QAunder)*PR_Weeks*I287,0)</f>
        <v>0</v>
      </c>
      <c r="AK287" s="20" t="n">
        <f aca="false">AE287+AJ287</f>
        <v>45940.1455715439</v>
      </c>
      <c r="AL287" s="20" t="n">
        <f aca="false">K287/H287</f>
        <v>0</v>
      </c>
      <c r="AM287" s="20" t="n">
        <f aca="false">AK287/H287</f>
        <v>16083.6</v>
      </c>
      <c r="AN287" s="20" t="n">
        <f aca="false">AC287/H287</f>
        <v>10402.3797351266</v>
      </c>
      <c r="AO287" s="20" t="n">
        <f aca="false">AF287/H287</f>
        <v>0</v>
      </c>
      <c r="AP287" s="20" t="n">
        <f aca="false">O287/H287</f>
        <v>0</v>
      </c>
      <c r="AQ287" s="20" t="n">
        <f aca="false">AH287/H287</f>
        <v>0</v>
      </c>
      <c r="AR287" s="20" t="n">
        <f aca="false">AI287/H287</f>
        <v>12450.88</v>
      </c>
      <c r="AS287" s="20" t="n">
        <f aca="false">MAX(0,AL287+AN287+AO287+AM287-AP287)</f>
        <v>26485.9797351266</v>
      </c>
      <c r="AT287" s="20" t="n">
        <f aca="false">MAX(0,AQ287+AR287)</f>
        <v>12450.88</v>
      </c>
      <c r="AU287" s="20" t="n">
        <f aca="false">MIN(PR_PAYE,PR_PAYEcap*(AL287+AN287+AM287))</f>
        <v>2000</v>
      </c>
      <c r="AV287" s="20" t="n">
        <f aca="false">MIN(PR_PAYE,PR_PAYEcap*(AQ287+AR287))</f>
        <v>2000</v>
      </c>
      <c r="AW287" s="20" t="n">
        <f aca="false">IF(C287&gt;=PR_AgeCrAge,PR_AgeCr,0)</f>
        <v>245</v>
      </c>
      <c r="AX287" s="20" t="n">
        <f aca="false">IF(AG287&gt;=PR_AgeCrAge,PR_AgeCr,0)</f>
        <v>245</v>
      </c>
      <c r="AY287" s="20" t="n">
        <f aca="false">IF(AND(F_RentCred=1,D287&lt;=PR_RentLast),1,0)</f>
        <v>0</v>
      </c>
      <c r="AZ287" s="20" t="n">
        <f aca="false">AS287+AT287</f>
        <v>38936.8597351266</v>
      </c>
      <c r="BA287" s="20" t="n">
        <f aca="false">PR_PersonalM+AU287+AV287+AW287+AX287+IF(AY287=1,PR_RentJoint,0)</f>
        <v>8490</v>
      </c>
      <c r="BB287" s="20" t="n">
        <f aca="false">PR_BandM+MIN(MIN(AS287,AT287),PR_Uplift)</f>
        <v>65450.88</v>
      </c>
      <c r="BC287" s="20" t="n">
        <f aca="false">MAX(0,PR_r1*MIN(AZ287,BB287)+PR_r2*MAX(0,AZ287-BB287)-BA287)</f>
        <v>0</v>
      </c>
      <c r="BD287" s="20" t="n">
        <f aca="false">MAX(0,PR_HomeCarer-MAX(0,MIN(AS287,AT287)-PR_HCLimit)/2)</f>
        <v>0</v>
      </c>
      <c r="BE287" s="20" t="n">
        <f aca="false">IF(F_Carer=1,MIN(BC287,MAX(0,PR_r1*MIN(AZ287,PR_BandM)+PR_r2*MAX(0,AZ287-PR_BandM)-BA287-BD287)),BC287)</f>
        <v>0</v>
      </c>
      <c r="BF287" s="20" t="n">
        <f aca="false">IF(OR(C287&gt;=PR_AgeCrAge,AG287&gt;=PR_AgeCrAge),IF(AZ287&lt;=PR_AgeExM,0,MIN(BE287,PR_AgeMarg*(AZ287-PR_AgeExM))),BE287)</f>
        <v>0</v>
      </c>
      <c r="BG287" s="20" t="n">
        <f aca="false">MAX(0,PR_r1*MIN(AS287,IF(F_Spccc=1,PR_BandSPCCC,PR_Band))+PR_r2*MAX(0,AS287-IF(F_Spccc=1,PR_BandSPCCC,PR_Band))-(PR_Personal+AU287+AW287+IF(F_Spccc=1,PR_SPCCC,0)+IF(AY287=1,PR_Rent,0)))</f>
        <v>1052.19594702533</v>
      </c>
      <c r="BH287" s="20" t="n">
        <f aca="false">IF(C287&gt;=PR_AgeCrAge,IF(AS287&lt;=PR_AgeEx,0,MIN(BG287,PR_AgeMarg*(AS287-PR_AgeEx))),BG287)</f>
        <v>1052.19594702533</v>
      </c>
      <c r="BI287" s="20" t="n">
        <f aca="false">IF(F_Partner=1,MAX(0,PR_r1*MIN(AT287,PR_Band)+PR_r2*MAX(0,AT287-PR_Band)-(PR_Personal+AV287+AX287+IF(AND(AY287=1,AT287&gt;0),PR_Rent,0))),0)</f>
        <v>0</v>
      </c>
      <c r="BJ287" s="20" t="n">
        <f aca="false">IF(AG287&gt;=PR_AgeCrAge,IF(AT287&lt;=PR_AgeEx,0,MIN(BI287,PR_AgeMarg*(AT287-PR_AgeEx))),BI287)</f>
        <v>0</v>
      </c>
      <c r="BK287" s="20" t="n">
        <f aca="false">IF(F_Partner=1,IF(F_Married=1,BF287,BH287+BJ287),BH287)</f>
        <v>1052.19594702533</v>
      </c>
      <c r="BL287" s="20" t="n">
        <f aca="false">AL287+AN287+AO287</f>
        <v>10402.3797351266</v>
      </c>
      <c r="BM287" s="20" t="n">
        <f aca="false">IF(BL287&lt;=PR_USCex,0,IF(IF(AND(C287&gt;=PR_USCredAge,BL287&lt;=PR_USCredMax),1,0)=1,PR_USCr1*MIN(BL287,PR_USCredB1)+PR_USCredR2*MAX(0,BL287-PR_USCredB1),PR_USCr1*MIN(BL287,PR_USCb1)+PR_USCr2*MAX(0,MIN(BL287,PR_USCb2)-PR_USCb1)+PR_USCr3*MAX(0,MIN(BL287,PR_USCb3)-PR_USCb2)+PR_USCr4*MAX(0,BL287-PR_USCb3)))+IF(F_SelfEmp=1,PR_USCse*MAX(0,AL287-PR_USCseOver),0)</f>
        <v>0</v>
      </c>
      <c r="BN287" s="20" t="n">
        <f aca="false">AQ287</f>
        <v>0</v>
      </c>
      <c r="BO287" s="20" t="n">
        <f aca="false">IF(F_Partner=1,IF(BN287&lt;=PR_USCex,0,IF(IF(AND(AG287&gt;=PR_USCredAge,BN287&lt;=PR_USCredMax),1,0)=1,PR_USCr1*MIN(BN287,PR_USCredB1)+PR_USCredR2*MAX(0,BN287-PR_USCredB1),PR_USCr1*MIN(BN287,PR_USCb1)+PR_USCr2*MAX(0,MIN(BN287,PR_USCb2)-PR_USCb1)+PR_USCr3*MAX(0,MIN(BN287,PR_USCb3)-PR_USCb2)+PR_USCr4*MAX(0,BN287-PR_USCb3))),0)</f>
        <v>0</v>
      </c>
      <c r="BP287" s="20" t="n">
        <f aca="false">IF(C287&lt;PR_PRSIend,IF(F_SelfEmp=1,IF(AL287&gt;PR_PRSIsMinInc,MAX(PR_PRSIsMin,AL287*J287),0),IF(AL287/52&lt;=PR_PRSIfree,0,MAX(0,(AL287/52*J287-IF(AL287/52&lt;=PR_PRSIcreditTo,MAX(0,PR_PRSIcreditMax-(AL287/52-(PR_PRSIfree+0.01))/PR_PRSItaper),0))*52)))+J287*AN287+IF(AO287&gt;PR_PRSIunearned,J287*AO287,0),0)</f>
        <v>0</v>
      </c>
      <c r="BQ287" s="20" t="n">
        <f aca="false">IF(AND(F_Partner=1,AG287&lt;PR_PRSIend),IF(AQ287/52&lt;=PR_PRSIfree,0,MAX(0,(AQ287/52*J287-IF(AQ287/52&lt;=PR_PRSIcreditTo,MAX(0,PR_PRSIcreditMax-(AQ287/52-(PR_PRSIfree+0.01))/PR_PRSItaper),0))*52)),0)</f>
        <v>0</v>
      </c>
      <c r="BR287" s="20" t="n">
        <f aca="false">BK287+BM287+BO287+BP287+BQ287</f>
        <v>1052.19594702533</v>
      </c>
      <c r="BS287" s="20" t="n">
        <f aca="false">BR287*H287</f>
        <v>3005.42384641075</v>
      </c>
      <c r="BT287" s="20" t="n">
        <f aca="false">K287+AK287+AC287+AF287+AH287+AI287</f>
        <v>111216.7054845</v>
      </c>
    </row>
    <row r="288" customFormat="false" ht="15" hidden="false" customHeight="true" outlineLevel="0" collapsed="false">
      <c r="B288" s="20" t="n">
        <v>54</v>
      </c>
      <c r="C288" s="20" t="n">
        <f aca="false">F_Age+B288</f>
        <v>92</v>
      </c>
      <c r="D288" s="20" t="n">
        <f aca="false">AS_Year0+B288</f>
        <v>2081</v>
      </c>
      <c r="E288" s="44" t="n">
        <f aca="false">(1+AS_Infl)^B288</f>
        <v>2.91346144414029</v>
      </c>
      <c r="F288" s="44" t="n">
        <f aca="false">(1+AS_Wage)^B288</f>
        <v>4.93412484626686</v>
      </c>
      <c r="G288" s="20" t="n">
        <f aca="false">IF(C288&lt;F_R,1,0)</f>
        <v>0</v>
      </c>
      <c r="H288" s="44" t="n">
        <f aca="false">IF(AS_Bands="flat",1,E288)</f>
        <v>2.91346144414029</v>
      </c>
      <c r="I288" s="44" t="n">
        <f aca="false">IF(AS_SpGrow="pay",F288,IF(AS_SpGrow="flat",1,E288))</f>
        <v>2.91346144414029</v>
      </c>
      <c r="J288" s="44" t="n">
        <f aca="false">(12*PR_PRSIr0+(PR_PRSIr1-PR_PRSIr0)*MAX(0,MIN(12,D288*12+12-PR_PRSIt1))+(PR_PRSIr2-PR_PRSIr1)*MAX(0,MIN(12,D288*12+12-PR_PRSIt2))+(PR_PRSIr3-PR_PRSIr2)*MAX(0,MIN(12,D288*12+12-PR_PRSIt3)))/12</f>
        <v>0.047</v>
      </c>
      <c r="K288" s="20" t="n">
        <f aca="false">IF(G288=1,F_Income*F288,0)</f>
        <v>0</v>
      </c>
      <c r="L288" s="20" t="n">
        <f aca="false">IF(G288=1,(F_Own+In_penExtra)*12*F288,0)</f>
        <v>0</v>
      </c>
      <c r="M288" s="20" t="n">
        <f aca="false">IF(G288=1,(F_PenM+In_penExtra)*12*F288,0)</f>
        <v>0</v>
      </c>
      <c r="N288" s="45" t="n">
        <f aca="false">IF(C288&lt;PR_RelA1,PR_RelP1,IF(C288&lt;PR_RelA2,PR_RelP2,IF(C288&lt;PR_RelA3,PR_RelP3,IF(C288&lt;PR_RelA4,PR_RelP4,IF(C288&lt;PR_RelA5,PR_RelP5,PR_RelP6)))))</f>
        <v>0.4</v>
      </c>
      <c r="O288" s="20" t="n">
        <f aca="false">IF(G288=1,MIN(L288/H288,N288*MIN(K288/H288,PR_EarnCap))*H288,0)</f>
        <v>0</v>
      </c>
      <c r="P288" s="20" t="n">
        <f aca="false">IF(AND(G288=1,F_AE=1),MIN(K288/H288,PR_AEcap)*H288,0)</f>
        <v>0</v>
      </c>
      <c r="Q288" s="20" t="n">
        <f aca="false">IF(G288=1,IF(WI_Retire=1,MAX(0,M288+WI_M*12),M288)+(PR_AEee+PR_AEer+PR_AEst)*P288,0)</f>
        <v>0</v>
      </c>
      <c r="R288" s="20" t="n">
        <f aca="false">L288+PR_AEee*P288</f>
        <v>0</v>
      </c>
      <c r="S288" s="20" t="n">
        <f aca="false">AD287</f>
        <v>122594.512363114</v>
      </c>
      <c r="T288" s="20" t="n">
        <f aca="false">IF(D288&lt;=PR_SFTfrom,PR_SFT2026,IF(D288=PR_SFTfrom+1,PR_SFT2027,IF(D288=PR_SFTfrom+2,PR_SFT2028,IF(D288&lt;=PR_SFTto,PR_SFT2029,PR_SFT2029*(1+AS_Infl)^(D288-PR_SFTto)))))</f>
        <v>7840918.91925491</v>
      </c>
      <c r="U288" s="20" t="n">
        <f aca="false">IF(AND(G288=0,C288=F_V),1,0)</f>
        <v>0</v>
      </c>
      <c r="V288" s="20" t="n">
        <f aca="false">IF(U288=1,PR_SFTrate*MAX(0,S288-T288),0)</f>
        <v>0</v>
      </c>
      <c r="W288" s="20" t="n">
        <f aca="false">S288-V288</f>
        <v>122594.512363114</v>
      </c>
      <c r="X288" s="20" t="n">
        <f aca="false">IF(AND(U288=1,AS_LumpPct&gt;0),W288*MIN(AS_LumpPct,PR_LSmax),0)</f>
        <v>0</v>
      </c>
      <c r="Y288" s="20" t="n">
        <f aca="false">X288-(PR_LSrate*MAX(0,MIN(X288,PR_LScap)-PR_LSfree)+PR_r2*MAX(0,X288-PR_LScap))</f>
        <v>0</v>
      </c>
      <c r="Z288" s="20" t="n">
        <f aca="false">W288-X288</f>
        <v>122594.512363114</v>
      </c>
      <c r="AA288" s="45" t="n">
        <f aca="false">IF(C288&gt;=PR_ARFage1,IF(Z288&gt;PR_ARFbig,PR_ARFbigRate,IF(C288&gt;=PR_ARFage2,PR_ARF71,PR_ARF61)),0)</f>
        <v>0.05</v>
      </c>
      <c r="AB288" s="20" t="n">
        <f aca="false">IF(AS_DrawRule="min",Z288*AA288,IF(AS_DrawRule="fixed",MAX(AS_DrawFixed*E288,Z288*AA288),Z288*MAX(1/MAX(1,AS_End-C288+1),AA288)))</f>
        <v>30648.6280907785</v>
      </c>
      <c r="AC288" s="20" t="n">
        <f aca="false">IF(AND(G288=0,C288&gt;=F_V),MIN(Z288,AB288),0)</f>
        <v>30648.6280907785</v>
      </c>
      <c r="AD288" s="20" t="n">
        <f aca="false">IF(G288=1,S288*(1+F_PenG)+Q288,IF(C288&lt;F_V,S288*(1+F_PenG),(Z288-AC288)*(1+AS_PenRet)))</f>
        <v>94842.179626914</v>
      </c>
      <c r="AE288" s="20" t="n">
        <f aca="false">IF(C288&gt;=PR_SPage,AS_SP*F_SpF*I288+IF(AND(C288&gt;=PR_Over80Age,F_SpF&gt;0),PR_Over80*PR_Weeks*I288,0),0)</f>
        <v>46858.9484829747</v>
      </c>
      <c r="AF288" s="20" t="n">
        <f aca="false">(F_OtherM+F_RentM)*12*E288</f>
        <v>0</v>
      </c>
      <c r="AG288" s="20" t="n">
        <f aca="false">F_PAge+B288</f>
        <v>91</v>
      </c>
      <c r="AH288" s="20" t="n">
        <f aca="false">IF(AND(F_Partner=1,F_PAge&gt;0,AG288&lt;IF(F_PRet&gt;0,F_PRet,PR_SPage)),F_PIncome*F288,0)</f>
        <v>0</v>
      </c>
      <c r="AI288" s="20" t="n">
        <f aca="false">IF(AND(F_Partner=1,AG288&gt;=PR_SPage,F_PSpQA=0),AS_SP*F_PSpF*I288,0)</f>
        <v>36275.1588256174</v>
      </c>
      <c r="AJ288" s="20" t="n">
        <f aca="false">IF(AND(F_Partner=1,F_PSpQA=1,C288&gt;=PR_SPage,AH288=0),IF(AG288&gt;=PR_SPage,PR_QA66,PR_QAunder)*PR_Weeks*I288,0)</f>
        <v>0</v>
      </c>
      <c r="AK288" s="20" t="n">
        <f aca="false">AE288+AJ288</f>
        <v>46858.9484829747</v>
      </c>
      <c r="AL288" s="20" t="n">
        <f aca="false">K288/H288</f>
        <v>0</v>
      </c>
      <c r="AM288" s="20" t="n">
        <f aca="false">AK288/H288</f>
        <v>16083.6</v>
      </c>
      <c r="AN288" s="20" t="n">
        <f aca="false">AC288/H288</f>
        <v>10519.6614674344</v>
      </c>
      <c r="AO288" s="20" t="n">
        <f aca="false">AF288/H288</f>
        <v>0</v>
      </c>
      <c r="AP288" s="20" t="n">
        <f aca="false">O288/H288</f>
        <v>0</v>
      </c>
      <c r="AQ288" s="20" t="n">
        <f aca="false">AH288/H288</f>
        <v>0</v>
      </c>
      <c r="AR288" s="20" t="n">
        <f aca="false">AI288/H288</f>
        <v>12450.88</v>
      </c>
      <c r="AS288" s="20" t="n">
        <f aca="false">MAX(0,AL288+AN288+AO288+AM288-AP288)</f>
        <v>26603.2614674344</v>
      </c>
      <c r="AT288" s="20" t="n">
        <f aca="false">MAX(0,AQ288+AR288)</f>
        <v>12450.88</v>
      </c>
      <c r="AU288" s="20" t="n">
        <f aca="false">MIN(PR_PAYE,PR_PAYEcap*(AL288+AN288+AM288))</f>
        <v>2000</v>
      </c>
      <c r="AV288" s="20" t="n">
        <f aca="false">MIN(PR_PAYE,PR_PAYEcap*(AQ288+AR288))</f>
        <v>2000</v>
      </c>
      <c r="AW288" s="20" t="n">
        <f aca="false">IF(C288&gt;=PR_AgeCrAge,PR_AgeCr,0)</f>
        <v>245</v>
      </c>
      <c r="AX288" s="20" t="n">
        <f aca="false">IF(AG288&gt;=PR_AgeCrAge,PR_AgeCr,0)</f>
        <v>245</v>
      </c>
      <c r="AY288" s="20" t="n">
        <f aca="false">IF(AND(F_RentCred=1,D288&lt;=PR_RentLast),1,0)</f>
        <v>0</v>
      </c>
      <c r="AZ288" s="20" t="n">
        <f aca="false">AS288+AT288</f>
        <v>39054.1414674344</v>
      </c>
      <c r="BA288" s="20" t="n">
        <f aca="false">PR_PersonalM+AU288+AV288+AW288+AX288+IF(AY288=1,PR_RentJoint,0)</f>
        <v>8490</v>
      </c>
      <c r="BB288" s="20" t="n">
        <f aca="false">PR_BandM+MIN(MIN(AS288,AT288),PR_Uplift)</f>
        <v>65450.88</v>
      </c>
      <c r="BC288" s="20" t="n">
        <f aca="false">MAX(0,PR_r1*MIN(AZ288,BB288)+PR_r2*MAX(0,AZ288-BB288)-BA288)</f>
        <v>0</v>
      </c>
      <c r="BD288" s="20" t="n">
        <f aca="false">MAX(0,PR_HomeCarer-MAX(0,MIN(AS288,AT288)-PR_HCLimit)/2)</f>
        <v>0</v>
      </c>
      <c r="BE288" s="20" t="n">
        <f aca="false">IF(F_Carer=1,MIN(BC288,MAX(0,PR_r1*MIN(AZ288,PR_BandM)+PR_r2*MAX(0,AZ288-PR_BandM)-BA288-BD288)),BC288)</f>
        <v>0</v>
      </c>
      <c r="BF288" s="20" t="n">
        <f aca="false">IF(OR(C288&gt;=PR_AgeCrAge,AG288&gt;=PR_AgeCrAge),IF(AZ288&lt;=PR_AgeExM,0,MIN(BE288,PR_AgeMarg*(AZ288-PR_AgeExM))),BE288)</f>
        <v>0</v>
      </c>
      <c r="BG288" s="20" t="n">
        <f aca="false">MAX(0,PR_r1*MIN(AS288,IF(F_Spccc=1,PR_BandSPCCC,PR_Band))+PR_r2*MAX(0,AS288-IF(F_Spccc=1,PR_BandSPCCC,PR_Band))-(PR_Personal+AU288+AW288+IF(F_Spccc=1,PR_SPCCC,0)+IF(AY288=1,PR_Rent,0)))</f>
        <v>1075.65229348689</v>
      </c>
      <c r="BH288" s="20" t="n">
        <f aca="false">IF(C288&gt;=PR_AgeCrAge,IF(AS288&lt;=PR_AgeEx,0,MIN(BG288,PR_AgeMarg*(AS288-PR_AgeEx))),BG288)</f>
        <v>1075.65229348689</v>
      </c>
      <c r="BI288" s="20" t="n">
        <f aca="false">IF(F_Partner=1,MAX(0,PR_r1*MIN(AT288,PR_Band)+PR_r2*MAX(0,AT288-PR_Band)-(PR_Personal+AV288+AX288+IF(AND(AY288=1,AT288&gt;0),PR_Rent,0))),0)</f>
        <v>0</v>
      </c>
      <c r="BJ288" s="20" t="n">
        <f aca="false">IF(AG288&gt;=PR_AgeCrAge,IF(AT288&lt;=PR_AgeEx,0,MIN(BI288,PR_AgeMarg*(AT288-PR_AgeEx))),BI288)</f>
        <v>0</v>
      </c>
      <c r="BK288" s="20" t="n">
        <f aca="false">IF(F_Partner=1,IF(F_Married=1,BF288,BH288+BJ288),BH288)</f>
        <v>1075.65229348689</v>
      </c>
      <c r="BL288" s="20" t="n">
        <f aca="false">AL288+AN288+AO288</f>
        <v>10519.6614674344</v>
      </c>
      <c r="BM288" s="20" t="n">
        <f aca="false">IF(BL288&lt;=PR_USCex,0,IF(IF(AND(C288&gt;=PR_USCredAge,BL288&lt;=PR_USCredMax),1,0)=1,PR_USCr1*MIN(BL288,PR_USCredB1)+PR_USCredR2*MAX(0,BL288-PR_USCredB1),PR_USCr1*MIN(BL288,PR_USCb1)+PR_USCr2*MAX(0,MIN(BL288,PR_USCb2)-PR_USCb1)+PR_USCr3*MAX(0,MIN(BL288,PR_USCb3)-PR_USCb2)+PR_USCr4*MAX(0,BL288-PR_USCb3)))+IF(F_SelfEmp=1,PR_USCse*MAX(0,AL288-PR_USCseOver),0)</f>
        <v>0</v>
      </c>
      <c r="BN288" s="20" t="n">
        <f aca="false">AQ288</f>
        <v>0</v>
      </c>
      <c r="BO288" s="20" t="n">
        <f aca="false">IF(F_Partner=1,IF(BN288&lt;=PR_USCex,0,IF(IF(AND(AG288&gt;=PR_USCredAge,BN288&lt;=PR_USCredMax),1,0)=1,PR_USCr1*MIN(BN288,PR_USCredB1)+PR_USCredR2*MAX(0,BN288-PR_USCredB1),PR_USCr1*MIN(BN288,PR_USCb1)+PR_USCr2*MAX(0,MIN(BN288,PR_USCb2)-PR_USCb1)+PR_USCr3*MAX(0,MIN(BN288,PR_USCb3)-PR_USCb2)+PR_USCr4*MAX(0,BN288-PR_USCb3))),0)</f>
        <v>0</v>
      </c>
      <c r="BP288" s="20" t="n">
        <f aca="false">IF(C288&lt;PR_PRSIend,IF(F_SelfEmp=1,IF(AL288&gt;PR_PRSIsMinInc,MAX(PR_PRSIsMin,AL288*J288),0),IF(AL288/52&lt;=PR_PRSIfree,0,MAX(0,(AL288/52*J288-IF(AL288/52&lt;=PR_PRSIcreditTo,MAX(0,PR_PRSIcreditMax-(AL288/52-(PR_PRSIfree+0.01))/PR_PRSItaper),0))*52)))+J288*AN288+IF(AO288&gt;PR_PRSIunearned,J288*AO288,0),0)</f>
        <v>0</v>
      </c>
      <c r="BQ288" s="20" t="n">
        <f aca="false">IF(AND(F_Partner=1,AG288&lt;PR_PRSIend),IF(AQ288/52&lt;=PR_PRSIfree,0,MAX(0,(AQ288/52*J288-IF(AQ288/52&lt;=PR_PRSIcreditTo,MAX(0,PR_PRSIcreditMax-(AQ288/52-(PR_PRSIfree+0.01))/PR_PRSItaper),0))*52)),0)</f>
        <v>0</v>
      </c>
      <c r="BR288" s="20" t="n">
        <f aca="false">BK288+BM288+BO288+BP288+BQ288</f>
        <v>1075.65229348689</v>
      </c>
      <c r="BS288" s="20" t="n">
        <f aca="false">BR288*H288</f>
        <v>3133.87148437512</v>
      </c>
      <c r="BT288" s="20" t="n">
        <f aca="false">K288+AK288+AC288+AF288+AH288+AI288</f>
        <v>113782.735399371</v>
      </c>
    </row>
    <row r="289" customFormat="false" ht="15" hidden="false" customHeight="true" outlineLevel="0" collapsed="false">
      <c r="B289" s="20" t="n">
        <v>55</v>
      </c>
      <c r="C289" s="20" t="n">
        <f aca="false">F_Age+B289</f>
        <v>93</v>
      </c>
      <c r="D289" s="20" t="n">
        <f aca="false">AS_Year0+B289</f>
        <v>2082</v>
      </c>
      <c r="E289" s="44" t="n">
        <f aca="false">(1+AS_Infl)^B289</f>
        <v>2.97173067302309</v>
      </c>
      <c r="F289" s="44" t="n">
        <f aca="false">(1+AS_Wage)^B289</f>
        <v>5.08214859165487</v>
      </c>
      <c r="G289" s="20" t="n">
        <f aca="false">IF(C289&lt;F_R,1,0)</f>
        <v>0</v>
      </c>
      <c r="H289" s="44" t="n">
        <f aca="false">IF(AS_Bands="flat",1,E289)</f>
        <v>2.97173067302309</v>
      </c>
      <c r="I289" s="44" t="n">
        <f aca="false">IF(AS_SpGrow="pay",F289,IF(AS_SpGrow="flat",1,E289))</f>
        <v>2.97173067302309</v>
      </c>
      <c r="J289" s="44" t="n">
        <f aca="false">(12*PR_PRSIr0+(PR_PRSIr1-PR_PRSIr0)*MAX(0,MIN(12,D289*12+12-PR_PRSIt1))+(PR_PRSIr2-PR_PRSIr1)*MAX(0,MIN(12,D289*12+12-PR_PRSIt2))+(PR_PRSIr3-PR_PRSIr2)*MAX(0,MIN(12,D289*12+12-PR_PRSIt3)))/12</f>
        <v>0.047</v>
      </c>
      <c r="K289" s="20" t="n">
        <f aca="false">IF(G289=1,F_Income*F289,0)</f>
        <v>0</v>
      </c>
      <c r="L289" s="20" t="n">
        <f aca="false">IF(G289=1,(F_Own+In_penExtra)*12*F289,0)</f>
        <v>0</v>
      </c>
      <c r="M289" s="20" t="n">
        <f aca="false">IF(G289=1,(F_PenM+In_penExtra)*12*F289,0)</f>
        <v>0</v>
      </c>
      <c r="N289" s="45" t="n">
        <f aca="false">IF(C289&lt;PR_RelA1,PR_RelP1,IF(C289&lt;PR_RelA2,PR_RelP2,IF(C289&lt;PR_RelA3,PR_RelP3,IF(C289&lt;PR_RelA4,PR_RelP4,IF(C289&lt;PR_RelA5,PR_RelP5,PR_RelP6)))))</f>
        <v>0.4</v>
      </c>
      <c r="O289" s="20" t="n">
        <f aca="false">IF(G289=1,MIN(L289/H289,N289*MIN(K289/H289,PR_EarnCap))*H289,0)</f>
        <v>0</v>
      </c>
      <c r="P289" s="20" t="n">
        <f aca="false">IF(AND(G289=1,F_AE=1),MIN(K289/H289,PR_AEcap)*H289,0)</f>
        <v>0</v>
      </c>
      <c r="Q289" s="20" t="n">
        <f aca="false">IF(G289=1,IF(WI_Retire=1,MAX(0,M289+WI_M*12),M289)+(PR_AEee+PR_AEer+PR_AEst)*P289,0)</f>
        <v>0</v>
      </c>
      <c r="R289" s="20" t="n">
        <f aca="false">L289+PR_AEee*P289</f>
        <v>0</v>
      </c>
      <c r="S289" s="20" t="n">
        <f aca="false">AD288</f>
        <v>94842.179626914</v>
      </c>
      <c r="T289" s="20" t="n">
        <f aca="false">IF(D289&lt;=PR_SFTfrom,PR_SFT2026,IF(D289=PR_SFTfrom+1,PR_SFT2027,IF(D289=PR_SFTfrom+2,PR_SFT2028,IF(D289&lt;=PR_SFTto,PR_SFT2029,PR_SFT2029*(1+AS_Infl)^(D289-PR_SFTto)))))</f>
        <v>7997737.29764001</v>
      </c>
      <c r="U289" s="20" t="n">
        <f aca="false">IF(AND(G289=0,C289=F_V),1,0)</f>
        <v>0</v>
      </c>
      <c r="V289" s="20" t="n">
        <f aca="false">IF(U289=1,PR_SFTrate*MAX(0,S289-T289),0)</f>
        <v>0</v>
      </c>
      <c r="W289" s="20" t="n">
        <f aca="false">S289-V289</f>
        <v>94842.179626914</v>
      </c>
      <c r="X289" s="20" t="n">
        <f aca="false">IF(AND(U289=1,AS_LumpPct&gt;0),W289*MIN(AS_LumpPct,PR_LSmax),0)</f>
        <v>0</v>
      </c>
      <c r="Y289" s="20" t="n">
        <f aca="false">X289-(PR_LSrate*MAX(0,MIN(X289,PR_LScap)-PR_LSfree)+PR_r2*MAX(0,X289-PR_LScap))</f>
        <v>0</v>
      </c>
      <c r="Z289" s="20" t="n">
        <f aca="false">W289-X289</f>
        <v>94842.179626914</v>
      </c>
      <c r="AA289" s="45" t="n">
        <f aca="false">IF(C289&gt;=PR_ARFage1,IF(Z289&gt;PR_ARFbig,PR_ARFbigRate,IF(C289&gt;=PR_ARFage2,PR_ARF71,PR_ARF61)),0)</f>
        <v>0.05</v>
      </c>
      <c r="AB289" s="20" t="n">
        <f aca="false">IF(AS_DrawRule="min",Z289*AA289,IF(AS_DrawRule="fixed",MAX(AS_DrawFixed*E289,Z289*AA289),Z289*MAX(1/MAX(1,AS_End-C289+1),AA289)))</f>
        <v>31614.059875638</v>
      </c>
      <c r="AC289" s="20" t="n">
        <f aca="false">IF(AND(G289=0,C289&gt;=F_V),MIN(Z289,AB289),0)</f>
        <v>31614.059875638</v>
      </c>
      <c r="AD289" s="20" t="n">
        <f aca="false">IF(G289=1,S289*(1+F_PenG)+Q289,IF(C289&lt;F_V,S289*(1+F_PenG),(Z289-AC289)*(1+AS_PenRet)))</f>
        <v>65219.8055234412</v>
      </c>
      <c r="AE289" s="20" t="n">
        <f aca="false">IF(C289&gt;=PR_SPage,AS_SP*F_SpF*I289+IF(AND(C289&gt;=PR_Over80Age,F_SpF&gt;0),PR_Over80*PR_Weeks*I289,0),0)</f>
        <v>47796.1274526342</v>
      </c>
      <c r="AF289" s="20" t="n">
        <f aca="false">(F_OtherM+F_RentM)*12*E289</f>
        <v>0</v>
      </c>
      <c r="AG289" s="20" t="n">
        <f aca="false">F_PAge+B289</f>
        <v>92</v>
      </c>
      <c r="AH289" s="20" t="n">
        <f aca="false">IF(AND(F_Partner=1,F_PAge&gt;0,AG289&lt;IF(F_PRet&gt;0,F_PRet,PR_SPage)),F_PIncome*F289,0)</f>
        <v>0</v>
      </c>
      <c r="AI289" s="20" t="n">
        <f aca="false">IF(AND(F_Partner=1,AG289&gt;=PR_SPage,F_PSpQA=0),AS_SP*F_PSpF*I289,0)</f>
        <v>37000.6620021298</v>
      </c>
      <c r="AJ289" s="20" t="n">
        <f aca="false">IF(AND(F_Partner=1,F_PSpQA=1,C289&gt;=PR_SPage,AH289=0),IF(AG289&gt;=PR_SPage,PR_QA66,PR_QAunder)*PR_Weeks*I289,0)</f>
        <v>0</v>
      </c>
      <c r="AK289" s="20" t="n">
        <f aca="false">AE289+AJ289</f>
        <v>47796.1274526342</v>
      </c>
      <c r="AL289" s="20" t="n">
        <f aca="false">K289/H289</f>
        <v>0</v>
      </c>
      <c r="AM289" s="20" t="n">
        <f aca="false">AK289/H289</f>
        <v>16083.6</v>
      </c>
      <c r="AN289" s="20" t="n">
        <f aca="false">AC289/H289</f>
        <v>10638.265493783</v>
      </c>
      <c r="AO289" s="20" t="n">
        <f aca="false">AF289/H289</f>
        <v>0</v>
      </c>
      <c r="AP289" s="20" t="n">
        <f aca="false">O289/H289</f>
        <v>0</v>
      </c>
      <c r="AQ289" s="20" t="n">
        <f aca="false">AH289/H289</f>
        <v>0</v>
      </c>
      <c r="AR289" s="20" t="n">
        <f aca="false">AI289/H289</f>
        <v>12450.88</v>
      </c>
      <c r="AS289" s="20" t="n">
        <f aca="false">MAX(0,AL289+AN289+AO289+AM289-AP289)</f>
        <v>26721.865493783</v>
      </c>
      <c r="AT289" s="20" t="n">
        <f aca="false">MAX(0,AQ289+AR289)</f>
        <v>12450.88</v>
      </c>
      <c r="AU289" s="20" t="n">
        <f aca="false">MIN(PR_PAYE,PR_PAYEcap*(AL289+AN289+AM289))</f>
        <v>2000</v>
      </c>
      <c r="AV289" s="20" t="n">
        <f aca="false">MIN(PR_PAYE,PR_PAYEcap*(AQ289+AR289))</f>
        <v>2000</v>
      </c>
      <c r="AW289" s="20" t="n">
        <f aca="false">IF(C289&gt;=PR_AgeCrAge,PR_AgeCr,0)</f>
        <v>245</v>
      </c>
      <c r="AX289" s="20" t="n">
        <f aca="false">IF(AG289&gt;=PR_AgeCrAge,PR_AgeCr,0)</f>
        <v>245</v>
      </c>
      <c r="AY289" s="20" t="n">
        <f aca="false">IF(AND(F_RentCred=1,D289&lt;=PR_RentLast),1,0)</f>
        <v>0</v>
      </c>
      <c r="AZ289" s="20" t="n">
        <f aca="false">AS289+AT289</f>
        <v>39172.745493783</v>
      </c>
      <c r="BA289" s="20" t="n">
        <f aca="false">PR_PersonalM+AU289+AV289+AW289+AX289+IF(AY289=1,PR_RentJoint,0)</f>
        <v>8490</v>
      </c>
      <c r="BB289" s="20" t="n">
        <f aca="false">PR_BandM+MIN(MIN(AS289,AT289),PR_Uplift)</f>
        <v>65450.88</v>
      </c>
      <c r="BC289" s="20" t="n">
        <f aca="false">MAX(0,PR_r1*MIN(AZ289,BB289)+PR_r2*MAX(0,AZ289-BB289)-BA289)</f>
        <v>0</v>
      </c>
      <c r="BD289" s="20" t="n">
        <f aca="false">MAX(0,PR_HomeCarer-MAX(0,MIN(AS289,AT289)-PR_HCLimit)/2)</f>
        <v>0</v>
      </c>
      <c r="BE289" s="20" t="n">
        <f aca="false">IF(F_Carer=1,MIN(BC289,MAX(0,PR_r1*MIN(AZ289,PR_BandM)+PR_r2*MAX(0,AZ289-PR_BandM)-BA289-BD289)),BC289)</f>
        <v>0</v>
      </c>
      <c r="BF289" s="20" t="n">
        <f aca="false">IF(OR(C289&gt;=PR_AgeCrAge,AG289&gt;=PR_AgeCrAge),IF(AZ289&lt;=PR_AgeExM,0,MIN(BE289,PR_AgeMarg*(AZ289-PR_AgeExM))),BE289)</f>
        <v>0</v>
      </c>
      <c r="BG289" s="20" t="n">
        <f aca="false">MAX(0,PR_r1*MIN(AS289,IF(F_Spccc=1,PR_BandSPCCC,PR_Band))+PR_r2*MAX(0,AS289-IF(F_Spccc=1,PR_BandSPCCC,PR_Band))-(PR_Personal+AU289+AW289+IF(F_Spccc=1,PR_SPCCC,0)+IF(AY289=1,PR_Rent,0)))</f>
        <v>1099.37309875659</v>
      </c>
      <c r="BH289" s="20" t="n">
        <f aca="false">IF(C289&gt;=PR_AgeCrAge,IF(AS289&lt;=PR_AgeEx,0,MIN(BG289,PR_AgeMarg*(AS289-PR_AgeEx))),BG289)</f>
        <v>1099.37309875659</v>
      </c>
      <c r="BI289" s="20" t="n">
        <f aca="false">IF(F_Partner=1,MAX(0,PR_r1*MIN(AT289,PR_Band)+PR_r2*MAX(0,AT289-PR_Band)-(PR_Personal+AV289+AX289+IF(AND(AY289=1,AT289&gt;0),PR_Rent,0))),0)</f>
        <v>0</v>
      </c>
      <c r="BJ289" s="20" t="n">
        <f aca="false">IF(AG289&gt;=PR_AgeCrAge,IF(AT289&lt;=PR_AgeEx,0,MIN(BI289,PR_AgeMarg*(AT289-PR_AgeEx))),BI289)</f>
        <v>0</v>
      </c>
      <c r="BK289" s="20" t="n">
        <f aca="false">IF(F_Partner=1,IF(F_Married=1,BF289,BH289+BJ289),BH289)</f>
        <v>1099.37309875659</v>
      </c>
      <c r="BL289" s="20" t="n">
        <f aca="false">AL289+AN289+AO289</f>
        <v>10638.265493783</v>
      </c>
      <c r="BM289" s="20" t="n">
        <f aca="false">IF(BL289&lt;=PR_USCex,0,IF(IF(AND(C289&gt;=PR_USCredAge,BL289&lt;=PR_USCredMax),1,0)=1,PR_USCr1*MIN(BL289,PR_USCredB1)+PR_USCredR2*MAX(0,BL289-PR_USCredB1),PR_USCr1*MIN(BL289,PR_USCb1)+PR_USCr2*MAX(0,MIN(BL289,PR_USCb2)-PR_USCb1)+PR_USCr3*MAX(0,MIN(BL289,PR_USCb3)-PR_USCb2)+PR_USCr4*MAX(0,BL289-PR_USCb3)))+IF(F_SelfEmp=1,PR_USCse*MAX(0,AL289-PR_USCseOver),0)</f>
        <v>0</v>
      </c>
      <c r="BN289" s="20" t="n">
        <f aca="false">AQ289</f>
        <v>0</v>
      </c>
      <c r="BO289" s="20" t="n">
        <f aca="false">IF(F_Partner=1,IF(BN289&lt;=PR_USCex,0,IF(IF(AND(AG289&gt;=PR_USCredAge,BN289&lt;=PR_USCredMax),1,0)=1,PR_USCr1*MIN(BN289,PR_USCredB1)+PR_USCredR2*MAX(0,BN289-PR_USCredB1),PR_USCr1*MIN(BN289,PR_USCb1)+PR_USCr2*MAX(0,MIN(BN289,PR_USCb2)-PR_USCb1)+PR_USCr3*MAX(0,MIN(BN289,PR_USCb3)-PR_USCb2)+PR_USCr4*MAX(0,BN289-PR_USCb3))),0)</f>
        <v>0</v>
      </c>
      <c r="BP289" s="20" t="n">
        <f aca="false">IF(C289&lt;PR_PRSIend,IF(F_SelfEmp=1,IF(AL289&gt;PR_PRSIsMinInc,MAX(PR_PRSIsMin,AL289*J289),0),IF(AL289/52&lt;=PR_PRSIfree,0,MAX(0,(AL289/52*J289-IF(AL289/52&lt;=PR_PRSIcreditTo,MAX(0,PR_PRSIcreditMax-(AL289/52-(PR_PRSIfree+0.01))/PR_PRSItaper),0))*52)))+J289*AN289+IF(AO289&gt;PR_PRSIunearned,J289*AO289,0),0)</f>
        <v>0</v>
      </c>
      <c r="BQ289" s="20" t="n">
        <f aca="false">IF(AND(F_Partner=1,AG289&lt;PR_PRSIend),IF(AQ289/52&lt;=PR_PRSIfree,0,MAX(0,(AQ289/52*J289-IF(AQ289/52&lt;=PR_PRSIcreditTo,MAX(0,PR_PRSIcreditMax-(AQ289/52-(PR_PRSIfree+0.01))/PR_PRSItaper),0))*52)),0)</f>
        <v>0</v>
      </c>
      <c r="BR289" s="20" t="n">
        <f aca="false">BK289+BM289+BO289+BP289+BQ289</f>
        <v>1099.37309875659</v>
      </c>
      <c r="BS289" s="20" t="n">
        <f aca="false">BR289*H289</f>
        <v>3267.04075867142</v>
      </c>
      <c r="BT289" s="20" t="n">
        <f aca="false">K289+AK289+AC289+AF289+AH289+AI289</f>
        <v>116410.849330402</v>
      </c>
    </row>
    <row r="290" customFormat="false" ht="15" hidden="false" customHeight="true" outlineLevel="0" collapsed="false">
      <c r="B290" s="20" t="n">
        <v>56</v>
      </c>
      <c r="C290" s="20" t="n">
        <f aca="false">F_Age+B290</f>
        <v>94</v>
      </c>
      <c r="D290" s="20" t="n">
        <f aca="false">AS_Year0+B290</f>
        <v>2083</v>
      </c>
      <c r="E290" s="44" t="n">
        <f aca="false">(1+AS_Infl)^B290</f>
        <v>3.03116528648356</v>
      </c>
      <c r="F290" s="44" t="n">
        <f aca="false">(1+AS_Wage)^B290</f>
        <v>5.23461304940451</v>
      </c>
      <c r="G290" s="20" t="n">
        <f aca="false">IF(C290&lt;F_R,1,0)</f>
        <v>0</v>
      </c>
      <c r="H290" s="44" t="n">
        <f aca="false">IF(AS_Bands="flat",1,E290)</f>
        <v>3.03116528648356</v>
      </c>
      <c r="I290" s="44" t="n">
        <f aca="false">IF(AS_SpGrow="pay",F290,IF(AS_SpGrow="flat",1,E290))</f>
        <v>3.03116528648356</v>
      </c>
      <c r="J290" s="44" t="n">
        <f aca="false">(12*PR_PRSIr0+(PR_PRSIr1-PR_PRSIr0)*MAX(0,MIN(12,D290*12+12-PR_PRSIt1))+(PR_PRSIr2-PR_PRSIr1)*MAX(0,MIN(12,D290*12+12-PR_PRSIt2))+(PR_PRSIr3-PR_PRSIr2)*MAX(0,MIN(12,D290*12+12-PR_PRSIt3)))/12</f>
        <v>0.047</v>
      </c>
      <c r="K290" s="20" t="n">
        <f aca="false">IF(G290=1,F_Income*F290,0)</f>
        <v>0</v>
      </c>
      <c r="L290" s="20" t="n">
        <f aca="false">IF(G290=1,(F_Own+In_penExtra)*12*F290,0)</f>
        <v>0</v>
      </c>
      <c r="M290" s="20" t="n">
        <f aca="false">IF(G290=1,(F_PenM+In_penExtra)*12*F290,0)</f>
        <v>0</v>
      </c>
      <c r="N290" s="45" t="n">
        <f aca="false">IF(C290&lt;PR_RelA1,PR_RelP1,IF(C290&lt;PR_RelA2,PR_RelP2,IF(C290&lt;PR_RelA3,PR_RelP3,IF(C290&lt;PR_RelA4,PR_RelP4,IF(C290&lt;PR_RelA5,PR_RelP5,PR_RelP6)))))</f>
        <v>0.4</v>
      </c>
      <c r="O290" s="20" t="n">
        <f aca="false">IF(G290=1,MIN(L290/H290,N290*MIN(K290/H290,PR_EarnCap))*H290,0)</f>
        <v>0</v>
      </c>
      <c r="P290" s="20" t="n">
        <f aca="false">IF(AND(G290=1,F_AE=1),MIN(K290/H290,PR_AEcap)*H290,0)</f>
        <v>0</v>
      </c>
      <c r="Q290" s="20" t="n">
        <f aca="false">IF(G290=1,IF(WI_Retire=1,MAX(0,M290+WI_M*12),M290)+(PR_AEee+PR_AEer+PR_AEst)*P290,0)</f>
        <v>0</v>
      </c>
      <c r="R290" s="20" t="n">
        <f aca="false">L290+PR_AEee*P290</f>
        <v>0</v>
      </c>
      <c r="S290" s="20" t="n">
        <f aca="false">AD289</f>
        <v>65219.8055234412</v>
      </c>
      <c r="T290" s="20" t="n">
        <f aca="false">IF(D290&lt;=PR_SFTfrom,PR_SFT2026,IF(D290=PR_SFTfrom+1,PR_SFT2027,IF(D290=PR_SFTfrom+2,PR_SFT2028,IF(D290&lt;=PR_SFTto,PR_SFT2029,PR_SFT2029*(1+AS_Infl)^(D290-PR_SFTto)))))</f>
        <v>8157692.04359281</v>
      </c>
      <c r="U290" s="20" t="n">
        <f aca="false">IF(AND(G290=0,C290=F_V),1,0)</f>
        <v>0</v>
      </c>
      <c r="V290" s="20" t="n">
        <f aca="false">IF(U290=1,PR_SFTrate*MAX(0,S290-T290),0)</f>
        <v>0</v>
      </c>
      <c r="W290" s="20" t="n">
        <f aca="false">S290-V290</f>
        <v>65219.8055234412</v>
      </c>
      <c r="X290" s="20" t="n">
        <f aca="false">IF(AND(U290=1,AS_LumpPct&gt;0),W290*MIN(AS_LumpPct,PR_LSmax),0)</f>
        <v>0</v>
      </c>
      <c r="Y290" s="20" t="n">
        <f aca="false">X290-(PR_LSrate*MAX(0,MIN(X290,PR_LScap)-PR_LSfree)+PR_r2*MAX(0,X290-PR_LScap))</f>
        <v>0</v>
      </c>
      <c r="Z290" s="20" t="n">
        <f aca="false">W290-X290</f>
        <v>65219.8055234412</v>
      </c>
      <c r="AA290" s="45" t="n">
        <f aca="false">IF(C290&gt;=PR_ARFage1,IF(Z290&gt;PR_ARFbig,PR_ARFbigRate,IF(C290&gt;=PR_ARFage2,PR_ARF71,PR_ARF61)),0)</f>
        <v>0.05</v>
      </c>
      <c r="AB290" s="20" t="n">
        <f aca="false">IF(AS_DrawRule="min",Z290*AA290,IF(AS_DrawRule="fixed",MAX(AS_DrawFixed*E290,Z290*AA290),Z290*MAX(1/MAX(1,AS_End-C290+1),AA290)))</f>
        <v>32609.9027617206</v>
      </c>
      <c r="AC290" s="20" t="n">
        <f aca="false">IF(AND(G290=0,C290&gt;=F_V),MIN(Z290,AB290),0)</f>
        <v>32609.9027617206</v>
      </c>
      <c r="AD290" s="20" t="n">
        <f aca="false">IF(G290=1,S290*(1+F_PenG)+Q290,IF(C290&lt;F_V,S290*(1+F_PenG),(Z290-AC290)*(1+AS_PenRet)))</f>
        <v>33637.1146987148</v>
      </c>
      <c r="AE290" s="20" t="n">
        <f aca="false">IF(C290&gt;=PR_SPage,AS_SP*F_SpF*I290+IF(AND(C290&gt;=PR_Over80Age,F_SpF&gt;0),PR_Over80*PR_Weeks*I290,0),0)</f>
        <v>48752.0500016869</v>
      </c>
      <c r="AF290" s="20" t="n">
        <f aca="false">(F_OtherM+F_RentM)*12*E290</f>
        <v>0</v>
      </c>
      <c r="AG290" s="20" t="n">
        <f aca="false">F_PAge+B290</f>
        <v>93</v>
      </c>
      <c r="AH290" s="20" t="n">
        <f aca="false">IF(AND(F_Partner=1,F_PAge&gt;0,AG290&lt;IF(F_PRet&gt;0,F_PRet,PR_SPage)),F_PIncome*F290,0)</f>
        <v>0</v>
      </c>
      <c r="AI290" s="20" t="n">
        <f aca="false">IF(AND(F_Partner=1,AG290&gt;=PR_SPage,F_PSpQA=0),AS_SP*F_PSpF*I290,0)</f>
        <v>37740.6752421724</v>
      </c>
      <c r="AJ290" s="20" t="n">
        <f aca="false">IF(AND(F_Partner=1,F_PSpQA=1,C290&gt;=PR_SPage,AH290=0),IF(AG290&gt;=PR_SPage,PR_QA66,PR_QAunder)*PR_Weeks*I290,0)</f>
        <v>0</v>
      </c>
      <c r="AK290" s="20" t="n">
        <f aca="false">AE290+AJ290</f>
        <v>48752.0500016869</v>
      </c>
      <c r="AL290" s="20" t="n">
        <f aca="false">K290/H290</f>
        <v>0</v>
      </c>
      <c r="AM290" s="20" t="n">
        <f aca="false">AK290/H290</f>
        <v>16083.6</v>
      </c>
      <c r="AN290" s="20" t="n">
        <f aca="false">AC290/H290</f>
        <v>10758.2067223893</v>
      </c>
      <c r="AO290" s="20" t="n">
        <f aca="false">AF290/H290</f>
        <v>0</v>
      </c>
      <c r="AP290" s="20" t="n">
        <f aca="false">O290/H290</f>
        <v>0</v>
      </c>
      <c r="AQ290" s="20" t="n">
        <f aca="false">AH290/H290</f>
        <v>0</v>
      </c>
      <c r="AR290" s="20" t="n">
        <f aca="false">AI290/H290</f>
        <v>12450.88</v>
      </c>
      <c r="AS290" s="20" t="n">
        <f aca="false">MAX(0,AL290+AN290+AO290+AM290-AP290)</f>
        <v>26841.8067223893</v>
      </c>
      <c r="AT290" s="20" t="n">
        <f aca="false">MAX(0,AQ290+AR290)</f>
        <v>12450.88</v>
      </c>
      <c r="AU290" s="20" t="n">
        <f aca="false">MIN(PR_PAYE,PR_PAYEcap*(AL290+AN290+AM290))</f>
        <v>2000</v>
      </c>
      <c r="AV290" s="20" t="n">
        <f aca="false">MIN(PR_PAYE,PR_PAYEcap*(AQ290+AR290))</f>
        <v>2000</v>
      </c>
      <c r="AW290" s="20" t="n">
        <f aca="false">IF(C290&gt;=PR_AgeCrAge,PR_AgeCr,0)</f>
        <v>245</v>
      </c>
      <c r="AX290" s="20" t="n">
        <f aca="false">IF(AG290&gt;=PR_AgeCrAge,PR_AgeCr,0)</f>
        <v>245</v>
      </c>
      <c r="AY290" s="20" t="n">
        <f aca="false">IF(AND(F_RentCred=1,D290&lt;=PR_RentLast),1,0)</f>
        <v>0</v>
      </c>
      <c r="AZ290" s="20" t="n">
        <f aca="false">AS290+AT290</f>
        <v>39292.6867223893</v>
      </c>
      <c r="BA290" s="20" t="n">
        <f aca="false">PR_PersonalM+AU290+AV290+AW290+AX290+IF(AY290=1,PR_RentJoint,0)</f>
        <v>8490</v>
      </c>
      <c r="BB290" s="20" t="n">
        <f aca="false">PR_BandM+MIN(MIN(AS290,AT290),PR_Uplift)</f>
        <v>65450.88</v>
      </c>
      <c r="BC290" s="20" t="n">
        <f aca="false">MAX(0,PR_r1*MIN(AZ290,BB290)+PR_r2*MAX(0,AZ290-BB290)-BA290)</f>
        <v>0</v>
      </c>
      <c r="BD290" s="20" t="n">
        <f aca="false">MAX(0,PR_HomeCarer-MAX(0,MIN(AS290,AT290)-PR_HCLimit)/2)</f>
        <v>0</v>
      </c>
      <c r="BE290" s="20" t="n">
        <f aca="false">IF(F_Carer=1,MIN(BC290,MAX(0,PR_r1*MIN(AZ290,PR_BandM)+PR_r2*MAX(0,AZ290-PR_BandM)-BA290-BD290)),BC290)</f>
        <v>0</v>
      </c>
      <c r="BF290" s="20" t="n">
        <f aca="false">IF(OR(C290&gt;=PR_AgeCrAge,AG290&gt;=PR_AgeCrAge),IF(AZ290&lt;=PR_AgeExM,0,MIN(BE290,PR_AgeMarg*(AZ290-PR_AgeExM))),BE290)</f>
        <v>0</v>
      </c>
      <c r="BG290" s="20" t="n">
        <f aca="false">MAX(0,PR_r1*MIN(AS290,IF(F_Spccc=1,PR_BandSPCCC,PR_Band))+PR_r2*MAX(0,AS290-IF(F_Spccc=1,PR_BandSPCCC,PR_Band))-(PR_Personal+AU290+AW290+IF(F_Spccc=1,PR_SPCCC,0)+IF(AY290=1,PR_Rent,0)))</f>
        <v>1123.36134447787</v>
      </c>
      <c r="BH290" s="20" t="n">
        <f aca="false">IF(C290&gt;=PR_AgeCrAge,IF(AS290&lt;=PR_AgeEx,0,MIN(BG290,PR_AgeMarg*(AS290-PR_AgeEx))),BG290)</f>
        <v>1123.36134447787</v>
      </c>
      <c r="BI290" s="20" t="n">
        <f aca="false">IF(F_Partner=1,MAX(0,PR_r1*MIN(AT290,PR_Band)+PR_r2*MAX(0,AT290-PR_Band)-(PR_Personal+AV290+AX290+IF(AND(AY290=1,AT290&gt;0),PR_Rent,0))),0)</f>
        <v>0</v>
      </c>
      <c r="BJ290" s="20" t="n">
        <f aca="false">IF(AG290&gt;=PR_AgeCrAge,IF(AT290&lt;=PR_AgeEx,0,MIN(BI290,PR_AgeMarg*(AT290-PR_AgeEx))),BI290)</f>
        <v>0</v>
      </c>
      <c r="BK290" s="20" t="n">
        <f aca="false">IF(F_Partner=1,IF(F_Married=1,BF290,BH290+BJ290),BH290)</f>
        <v>1123.36134447787</v>
      </c>
      <c r="BL290" s="20" t="n">
        <f aca="false">AL290+AN290+AO290</f>
        <v>10758.2067223893</v>
      </c>
      <c r="BM290" s="20" t="n">
        <f aca="false">IF(BL290&lt;=PR_USCex,0,IF(IF(AND(C290&gt;=PR_USCredAge,BL290&lt;=PR_USCredMax),1,0)=1,PR_USCr1*MIN(BL290,PR_USCredB1)+PR_USCredR2*MAX(0,BL290-PR_USCredB1),PR_USCr1*MIN(BL290,PR_USCb1)+PR_USCr2*MAX(0,MIN(BL290,PR_USCb2)-PR_USCb1)+PR_USCr3*MAX(0,MIN(BL290,PR_USCb3)-PR_USCb2)+PR_USCr4*MAX(0,BL290-PR_USCb3)))+IF(F_SelfEmp=1,PR_USCse*MAX(0,AL290-PR_USCseOver),0)</f>
        <v>0</v>
      </c>
      <c r="BN290" s="20" t="n">
        <f aca="false">AQ290</f>
        <v>0</v>
      </c>
      <c r="BO290" s="20" t="n">
        <f aca="false">IF(F_Partner=1,IF(BN290&lt;=PR_USCex,0,IF(IF(AND(AG290&gt;=PR_USCredAge,BN290&lt;=PR_USCredMax),1,0)=1,PR_USCr1*MIN(BN290,PR_USCredB1)+PR_USCredR2*MAX(0,BN290-PR_USCredB1),PR_USCr1*MIN(BN290,PR_USCb1)+PR_USCr2*MAX(0,MIN(BN290,PR_USCb2)-PR_USCb1)+PR_USCr3*MAX(0,MIN(BN290,PR_USCb3)-PR_USCb2)+PR_USCr4*MAX(0,BN290-PR_USCb3))),0)</f>
        <v>0</v>
      </c>
      <c r="BP290" s="20" t="n">
        <f aca="false">IF(C290&lt;PR_PRSIend,IF(F_SelfEmp=1,IF(AL290&gt;PR_PRSIsMinInc,MAX(PR_PRSIsMin,AL290*J290),0),IF(AL290/52&lt;=PR_PRSIfree,0,MAX(0,(AL290/52*J290-IF(AL290/52&lt;=PR_PRSIcreditTo,MAX(0,PR_PRSIcreditMax-(AL290/52-(PR_PRSIfree+0.01))/PR_PRSItaper),0))*52)))+J290*AN290+IF(AO290&gt;PR_PRSIunearned,J290*AO290,0),0)</f>
        <v>0</v>
      </c>
      <c r="BQ290" s="20" t="n">
        <f aca="false">IF(AND(F_Partner=1,AG290&lt;PR_PRSIend),IF(AQ290/52&lt;=PR_PRSIfree,0,MAX(0,(AQ290/52*J290-IF(AQ290/52&lt;=PR_PRSIcreditTo,MAX(0,PR_PRSIcreditMax-(AQ290/52-(PR_PRSIfree+0.01))/PR_PRSItaper),0))*52)),0)</f>
        <v>0</v>
      </c>
      <c r="BR290" s="20" t="n">
        <f aca="false">BK290+BM290+BO290+BP290+BQ290</f>
        <v>1123.36134447787</v>
      </c>
      <c r="BS290" s="20" t="n">
        <f aca="false">BR290*H290</f>
        <v>3405.09391155881</v>
      </c>
      <c r="BT290" s="20" t="n">
        <f aca="false">K290+AK290+AC290+AF290+AH290+AI290</f>
        <v>119102.62800558</v>
      </c>
    </row>
    <row r="291" customFormat="false" ht="15" hidden="false" customHeight="true" outlineLevel="0" collapsed="false">
      <c r="B291" s="20" t="n">
        <v>57</v>
      </c>
      <c r="C291" s="20" t="n">
        <f aca="false">F_Age+B291</f>
        <v>95</v>
      </c>
      <c r="D291" s="20" t="n">
        <f aca="false">AS_Year0+B291</f>
        <v>2084</v>
      </c>
      <c r="E291" s="44" t="n">
        <f aca="false">(1+AS_Infl)^B291</f>
        <v>3.09178859221323</v>
      </c>
      <c r="F291" s="44" t="n">
        <f aca="false">(1+AS_Wage)^B291</f>
        <v>5.39165144088665</v>
      </c>
      <c r="G291" s="20" t="n">
        <f aca="false">IF(C291&lt;F_R,1,0)</f>
        <v>0</v>
      </c>
      <c r="H291" s="44" t="n">
        <f aca="false">IF(AS_Bands="flat",1,E291)</f>
        <v>3.09178859221323</v>
      </c>
      <c r="I291" s="44" t="n">
        <f aca="false">IF(AS_SpGrow="pay",F291,IF(AS_SpGrow="flat",1,E291))</f>
        <v>3.09178859221323</v>
      </c>
      <c r="J291" s="44" t="n">
        <f aca="false">(12*PR_PRSIr0+(PR_PRSIr1-PR_PRSIr0)*MAX(0,MIN(12,D291*12+12-PR_PRSIt1))+(PR_PRSIr2-PR_PRSIr1)*MAX(0,MIN(12,D291*12+12-PR_PRSIt2))+(PR_PRSIr3-PR_PRSIr2)*MAX(0,MIN(12,D291*12+12-PR_PRSIt3)))/12</f>
        <v>0.047</v>
      </c>
      <c r="K291" s="20" t="n">
        <f aca="false">IF(G291=1,F_Income*F291,0)</f>
        <v>0</v>
      </c>
      <c r="L291" s="20" t="n">
        <f aca="false">IF(G291=1,(F_Own+In_penExtra)*12*F291,0)</f>
        <v>0</v>
      </c>
      <c r="M291" s="20" t="n">
        <f aca="false">IF(G291=1,(F_PenM+In_penExtra)*12*F291,0)</f>
        <v>0</v>
      </c>
      <c r="N291" s="45" t="n">
        <f aca="false">IF(C291&lt;PR_RelA1,PR_RelP1,IF(C291&lt;PR_RelA2,PR_RelP2,IF(C291&lt;PR_RelA3,PR_RelP3,IF(C291&lt;PR_RelA4,PR_RelP4,IF(C291&lt;PR_RelA5,PR_RelP5,PR_RelP6)))))</f>
        <v>0.4</v>
      </c>
      <c r="O291" s="20" t="n">
        <f aca="false">IF(G291=1,MIN(L291/H291,N291*MIN(K291/H291,PR_EarnCap))*H291,0)</f>
        <v>0</v>
      </c>
      <c r="P291" s="20" t="n">
        <f aca="false">IF(AND(G291=1,F_AE=1),MIN(K291/H291,PR_AEcap)*H291,0)</f>
        <v>0</v>
      </c>
      <c r="Q291" s="20" t="n">
        <f aca="false">IF(G291=1,IF(WI_Retire=1,MAX(0,M291+WI_M*12),M291)+(PR_AEee+PR_AEer+PR_AEst)*P291,0)</f>
        <v>0</v>
      </c>
      <c r="R291" s="20" t="n">
        <f aca="false">L291+PR_AEee*P291</f>
        <v>0</v>
      </c>
      <c r="S291" s="20" t="n">
        <f aca="false">AD290</f>
        <v>33637.1146987148</v>
      </c>
      <c r="T291" s="20" t="n">
        <f aca="false">IF(D291&lt;=PR_SFTfrom,PR_SFT2026,IF(D291=PR_SFTfrom+1,PR_SFT2027,IF(D291=PR_SFTfrom+2,PR_SFT2028,IF(D291&lt;=PR_SFTto,PR_SFT2029,PR_SFT2029*(1+AS_Infl)^(D291-PR_SFTto)))))</f>
        <v>8320845.88446466</v>
      </c>
      <c r="U291" s="20" t="n">
        <f aca="false">IF(AND(G291=0,C291=F_V),1,0)</f>
        <v>0</v>
      </c>
      <c r="V291" s="20" t="n">
        <f aca="false">IF(U291=1,PR_SFTrate*MAX(0,S291-T291),0)</f>
        <v>0</v>
      </c>
      <c r="W291" s="20" t="n">
        <f aca="false">S291-V291</f>
        <v>33637.1146987148</v>
      </c>
      <c r="X291" s="20" t="n">
        <f aca="false">IF(AND(U291=1,AS_LumpPct&gt;0),W291*MIN(AS_LumpPct,PR_LSmax),0)</f>
        <v>0</v>
      </c>
      <c r="Y291" s="20" t="n">
        <f aca="false">X291-(PR_LSrate*MAX(0,MIN(X291,PR_LScap)-PR_LSfree)+PR_r2*MAX(0,X291-PR_LScap))</f>
        <v>0</v>
      </c>
      <c r="Z291" s="20" t="n">
        <f aca="false">W291-X291</f>
        <v>33637.1146987148</v>
      </c>
      <c r="AA291" s="45" t="n">
        <f aca="false">IF(C291&gt;=PR_ARFage1,IF(Z291&gt;PR_ARFbig,PR_ARFbigRate,IF(C291&gt;=PR_ARFage2,PR_ARF71,PR_ARF61)),0)</f>
        <v>0.05</v>
      </c>
      <c r="AB291" s="20" t="n">
        <f aca="false">IF(AS_DrawRule="min",Z291*AA291,IF(AS_DrawRule="fixed",MAX(AS_DrawFixed*E291,Z291*AA291),Z291*MAX(1/MAX(1,AS_End-C291+1),AA291)))</f>
        <v>33637.1146987148</v>
      </c>
      <c r="AC291" s="20" t="n">
        <f aca="false">IF(AND(G291=0,C291&gt;=F_V),MIN(Z291,AB291),0)</f>
        <v>33637.1146987148</v>
      </c>
      <c r="AD291" s="20" t="n">
        <f aca="false">IF(G291=1,S291*(1+F_PenG)+Q291,IF(C291&lt;F_V,S291*(1+F_PenG),(Z291-AC291)*(1+AS_PenRet)))</f>
        <v>0</v>
      </c>
      <c r="AE291" s="20" t="n">
        <f aca="false">IF(C291&gt;=PR_SPage,AS_SP*F_SpF*I291+IF(AND(C291&gt;=PR_Over80Age,F_SpF&gt;0),PR_Over80*PR_Weeks*I291,0),0)</f>
        <v>49727.0910017207</v>
      </c>
      <c r="AF291" s="20" t="n">
        <f aca="false">(F_OtherM+F_RentM)*12*E291</f>
        <v>0</v>
      </c>
      <c r="AG291" s="20" t="n">
        <f aca="false">F_PAge+B291</f>
        <v>94</v>
      </c>
      <c r="AH291" s="20" t="n">
        <f aca="false">IF(AND(F_Partner=1,F_PAge&gt;0,AG291&lt;IF(F_PRet&gt;0,F_PRet,PR_SPage)),F_PIncome*F291,0)</f>
        <v>0</v>
      </c>
      <c r="AI291" s="20" t="n">
        <f aca="false">IF(AND(F_Partner=1,AG291&gt;=PR_SPage,F_PSpQA=0),AS_SP*F_PSpF*I291,0)</f>
        <v>38495.4887470158</v>
      </c>
      <c r="AJ291" s="20" t="n">
        <f aca="false">IF(AND(F_Partner=1,F_PSpQA=1,C291&gt;=PR_SPage,AH291=0),IF(AG291&gt;=PR_SPage,PR_QA66,PR_QAunder)*PR_Weeks*I291,0)</f>
        <v>0</v>
      </c>
      <c r="AK291" s="20" t="n">
        <f aca="false">AE291+AJ291</f>
        <v>49727.0910017207</v>
      </c>
      <c r="AL291" s="20" t="n">
        <f aca="false">K291/H291</f>
        <v>0</v>
      </c>
      <c r="AM291" s="20" t="n">
        <f aca="false">AK291/H291</f>
        <v>16083.6</v>
      </c>
      <c r="AN291" s="20" t="n">
        <f aca="false">AC291/H291</f>
        <v>10879.5002295535</v>
      </c>
      <c r="AO291" s="20" t="n">
        <f aca="false">AF291/H291</f>
        <v>0</v>
      </c>
      <c r="AP291" s="20" t="n">
        <f aca="false">O291/H291</f>
        <v>0</v>
      </c>
      <c r="AQ291" s="20" t="n">
        <f aca="false">AH291/H291</f>
        <v>0</v>
      </c>
      <c r="AR291" s="20" t="n">
        <f aca="false">AI291/H291</f>
        <v>12450.88</v>
      </c>
      <c r="AS291" s="20" t="n">
        <f aca="false">MAX(0,AL291+AN291+AO291+AM291-AP291)</f>
        <v>26963.1002295535</v>
      </c>
      <c r="AT291" s="20" t="n">
        <f aca="false">MAX(0,AQ291+AR291)</f>
        <v>12450.88</v>
      </c>
      <c r="AU291" s="20" t="n">
        <f aca="false">MIN(PR_PAYE,PR_PAYEcap*(AL291+AN291+AM291))</f>
        <v>2000</v>
      </c>
      <c r="AV291" s="20" t="n">
        <f aca="false">MIN(PR_PAYE,PR_PAYEcap*(AQ291+AR291))</f>
        <v>2000</v>
      </c>
      <c r="AW291" s="20" t="n">
        <f aca="false">IF(C291&gt;=PR_AgeCrAge,PR_AgeCr,0)</f>
        <v>245</v>
      </c>
      <c r="AX291" s="20" t="n">
        <f aca="false">IF(AG291&gt;=PR_AgeCrAge,PR_AgeCr,0)</f>
        <v>245</v>
      </c>
      <c r="AY291" s="20" t="n">
        <f aca="false">IF(AND(F_RentCred=1,D291&lt;=PR_RentLast),1,0)</f>
        <v>0</v>
      </c>
      <c r="AZ291" s="20" t="n">
        <f aca="false">AS291+AT291</f>
        <v>39413.9802295535</v>
      </c>
      <c r="BA291" s="20" t="n">
        <f aca="false">PR_PersonalM+AU291+AV291+AW291+AX291+IF(AY291=1,PR_RentJoint,0)</f>
        <v>8490</v>
      </c>
      <c r="BB291" s="20" t="n">
        <f aca="false">PR_BandM+MIN(MIN(AS291,AT291),PR_Uplift)</f>
        <v>65450.88</v>
      </c>
      <c r="BC291" s="20" t="n">
        <f aca="false">MAX(0,PR_r1*MIN(AZ291,BB291)+PR_r2*MAX(0,AZ291-BB291)-BA291)</f>
        <v>0</v>
      </c>
      <c r="BD291" s="20" t="n">
        <f aca="false">MAX(0,PR_HomeCarer-MAX(0,MIN(AS291,AT291)-PR_HCLimit)/2)</f>
        <v>0</v>
      </c>
      <c r="BE291" s="20" t="n">
        <f aca="false">IF(F_Carer=1,MIN(BC291,MAX(0,PR_r1*MIN(AZ291,PR_BandM)+PR_r2*MAX(0,AZ291-PR_BandM)-BA291-BD291)),BC291)</f>
        <v>0</v>
      </c>
      <c r="BF291" s="20" t="n">
        <f aca="false">IF(OR(C291&gt;=PR_AgeCrAge,AG291&gt;=PR_AgeCrAge),IF(AZ291&lt;=PR_AgeExM,0,MIN(BE291,PR_AgeMarg*(AZ291-PR_AgeExM))),BE291)</f>
        <v>0</v>
      </c>
      <c r="BG291" s="20" t="n">
        <f aca="false">MAX(0,PR_r1*MIN(AS291,IF(F_Spccc=1,PR_BandSPCCC,PR_Band))+PR_r2*MAX(0,AS291-IF(F_Spccc=1,PR_BandSPCCC,PR_Band))-(PR_Personal+AU291+AW291+IF(F_Spccc=1,PR_SPCCC,0)+IF(AY291=1,PR_Rent,0)))</f>
        <v>1147.62004591071</v>
      </c>
      <c r="BH291" s="20" t="n">
        <f aca="false">IF(C291&gt;=PR_AgeCrAge,IF(AS291&lt;=PR_AgeEx,0,MIN(BG291,PR_AgeMarg*(AS291-PR_AgeEx))),BG291)</f>
        <v>1147.62004591071</v>
      </c>
      <c r="BI291" s="20" t="n">
        <f aca="false">IF(F_Partner=1,MAX(0,PR_r1*MIN(AT291,PR_Band)+PR_r2*MAX(0,AT291-PR_Band)-(PR_Personal+AV291+AX291+IF(AND(AY291=1,AT291&gt;0),PR_Rent,0))),0)</f>
        <v>0</v>
      </c>
      <c r="BJ291" s="20" t="n">
        <f aca="false">IF(AG291&gt;=PR_AgeCrAge,IF(AT291&lt;=PR_AgeEx,0,MIN(BI291,PR_AgeMarg*(AT291-PR_AgeEx))),BI291)</f>
        <v>0</v>
      </c>
      <c r="BK291" s="20" t="n">
        <f aca="false">IF(F_Partner=1,IF(F_Married=1,BF291,BH291+BJ291),BH291)</f>
        <v>1147.62004591071</v>
      </c>
      <c r="BL291" s="20" t="n">
        <f aca="false">AL291+AN291+AO291</f>
        <v>10879.5002295535</v>
      </c>
      <c r="BM291" s="20" t="n">
        <f aca="false">IF(BL291&lt;=PR_USCex,0,IF(IF(AND(C291&gt;=PR_USCredAge,BL291&lt;=PR_USCredMax),1,0)=1,PR_USCr1*MIN(BL291,PR_USCredB1)+PR_USCredR2*MAX(0,BL291-PR_USCredB1),PR_USCr1*MIN(BL291,PR_USCb1)+PR_USCr2*MAX(0,MIN(BL291,PR_USCb2)-PR_USCb1)+PR_USCr3*MAX(0,MIN(BL291,PR_USCb3)-PR_USCb2)+PR_USCr4*MAX(0,BL291-PR_USCb3)))+IF(F_SelfEmp=1,PR_USCse*MAX(0,AL291-PR_USCseOver),0)</f>
        <v>0</v>
      </c>
      <c r="BN291" s="20" t="n">
        <f aca="false">AQ291</f>
        <v>0</v>
      </c>
      <c r="BO291" s="20" t="n">
        <f aca="false">IF(F_Partner=1,IF(BN291&lt;=PR_USCex,0,IF(IF(AND(AG291&gt;=PR_USCredAge,BN291&lt;=PR_USCredMax),1,0)=1,PR_USCr1*MIN(BN291,PR_USCredB1)+PR_USCredR2*MAX(0,BN291-PR_USCredB1),PR_USCr1*MIN(BN291,PR_USCb1)+PR_USCr2*MAX(0,MIN(BN291,PR_USCb2)-PR_USCb1)+PR_USCr3*MAX(0,MIN(BN291,PR_USCb3)-PR_USCb2)+PR_USCr4*MAX(0,BN291-PR_USCb3))),0)</f>
        <v>0</v>
      </c>
      <c r="BP291" s="20" t="n">
        <f aca="false">IF(C291&lt;PR_PRSIend,IF(F_SelfEmp=1,IF(AL291&gt;PR_PRSIsMinInc,MAX(PR_PRSIsMin,AL291*J291),0),IF(AL291/52&lt;=PR_PRSIfree,0,MAX(0,(AL291/52*J291-IF(AL291/52&lt;=PR_PRSIcreditTo,MAX(0,PR_PRSIcreditMax-(AL291/52-(PR_PRSIfree+0.01))/PR_PRSItaper),0))*52)))+J291*AN291+IF(AO291&gt;PR_PRSIunearned,J291*AO291,0),0)</f>
        <v>0</v>
      </c>
      <c r="BQ291" s="20" t="n">
        <f aca="false">IF(AND(F_Partner=1,AG291&lt;PR_PRSIend),IF(AQ291/52&lt;=PR_PRSIfree,0,MAX(0,(AQ291/52*J291-IF(AQ291/52&lt;=PR_PRSIcreditTo,MAX(0,PR_PRSIcreditMax-(AQ291/52-(PR_PRSIfree+0.01))/PR_PRSItaper),0))*52)),0)</f>
        <v>0</v>
      </c>
      <c r="BR291" s="20" t="n">
        <f aca="false">BK291+BM291+BO291+BP291+BQ291</f>
        <v>1147.62004591071</v>
      </c>
      <c r="BS291" s="20" t="n">
        <f aca="false">BR291*H291</f>
        <v>3548.19856614195</v>
      </c>
      <c r="BT291" s="20" t="n">
        <f aca="false">K291+AK291+AC291+AF291+AH291+AI291</f>
        <v>121859.694447451</v>
      </c>
    </row>
    <row r="292" customFormat="false" ht="15" hidden="false" customHeight="true" outlineLevel="0" collapsed="false">
      <c r="B292" s="20" t="n">
        <v>58</v>
      </c>
      <c r="C292" s="20" t="n">
        <f aca="false">F_Age+B292</f>
        <v>96</v>
      </c>
      <c r="D292" s="20" t="n">
        <f aca="false">AS_Year0+B292</f>
        <v>2085</v>
      </c>
      <c r="E292" s="44" t="n">
        <f aca="false">(1+AS_Infl)^B292</f>
        <v>3.15362436405749</v>
      </c>
      <c r="F292" s="44" t="n">
        <f aca="false">(1+AS_Wage)^B292</f>
        <v>5.55340098411325</v>
      </c>
      <c r="G292" s="20" t="n">
        <f aca="false">IF(C292&lt;F_R,1,0)</f>
        <v>0</v>
      </c>
      <c r="H292" s="44" t="n">
        <f aca="false">IF(AS_Bands="flat",1,E292)</f>
        <v>3.15362436405749</v>
      </c>
      <c r="I292" s="44" t="n">
        <f aca="false">IF(AS_SpGrow="pay",F292,IF(AS_SpGrow="flat",1,E292))</f>
        <v>3.15362436405749</v>
      </c>
      <c r="J292" s="44" t="n">
        <f aca="false">(12*PR_PRSIr0+(PR_PRSIr1-PR_PRSIr0)*MAX(0,MIN(12,D292*12+12-PR_PRSIt1))+(PR_PRSIr2-PR_PRSIr1)*MAX(0,MIN(12,D292*12+12-PR_PRSIt2))+(PR_PRSIr3-PR_PRSIr2)*MAX(0,MIN(12,D292*12+12-PR_PRSIt3)))/12</f>
        <v>0.047</v>
      </c>
      <c r="K292" s="20" t="n">
        <f aca="false">IF(G292=1,F_Income*F292,0)</f>
        <v>0</v>
      </c>
      <c r="L292" s="20" t="n">
        <f aca="false">IF(G292=1,(F_Own+In_penExtra)*12*F292,0)</f>
        <v>0</v>
      </c>
      <c r="M292" s="20" t="n">
        <f aca="false">IF(G292=1,(F_PenM+In_penExtra)*12*F292,0)</f>
        <v>0</v>
      </c>
      <c r="N292" s="45" t="n">
        <f aca="false">IF(C292&lt;PR_RelA1,PR_RelP1,IF(C292&lt;PR_RelA2,PR_RelP2,IF(C292&lt;PR_RelA3,PR_RelP3,IF(C292&lt;PR_RelA4,PR_RelP4,IF(C292&lt;PR_RelA5,PR_RelP5,PR_RelP6)))))</f>
        <v>0.4</v>
      </c>
      <c r="O292" s="20" t="n">
        <f aca="false">IF(G292=1,MIN(L292/H292,N292*MIN(K292/H292,PR_EarnCap))*H292,0)</f>
        <v>0</v>
      </c>
      <c r="P292" s="20" t="n">
        <f aca="false">IF(AND(G292=1,F_AE=1),MIN(K292/H292,PR_AEcap)*H292,0)</f>
        <v>0</v>
      </c>
      <c r="Q292" s="20" t="n">
        <f aca="false">IF(G292=1,IF(WI_Retire=1,MAX(0,M292+WI_M*12),M292)+(PR_AEee+PR_AEer+PR_AEst)*P292,0)</f>
        <v>0</v>
      </c>
      <c r="R292" s="20" t="n">
        <f aca="false">L292+PR_AEee*P292</f>
        <v>0</v>
      </c>
      <c r="S292" s="20" t="n">
        <f aca="false">AD291</f>
        <v>0</v>
      </c>
      <c r="T292" s="20" t="n">
        <f aca="false">IF(D292&lt;=PR_SFTfrom,PR_SFT2026,IF(D292=PR_SFTfrom+1,PR_SFT2027,IF(D292=PR_SFTfrom+2,PR_SFT2028,IF(D292&lt;=PR_SFTto,PR_SFT2029,PR_SFT2029*(1+AS_Infl)^(D292-PR_SFTto)))))</f>
        <v>8487262.80215396</v>
      </c>
      <c r="U292" s="20" t="n">
        <f aca="false">IF(AND(G292=0,C292=F_V),1,0)</f>
        <v>0</v>
      </c>
      <c r="V292" s="20" t="n">
        <f aca="false">IF(U292=1,PR_SFTrate*MAX(0,S292-T292),0)</f>
        <v>0</v>
      </c>
      <c r="W292" s="20" t="n">
        <f aca="false">S292-V292</f>
        <v>0</v>
      </c>
      <c r="X292" s="20" t="n">
        <f aca="false">IF(AND(U292=1,AS_LumpPct&gt;0),W292*MIN(AS_LumpPct,PR_LSmax),0)</f>
        <v>0</v>
      </c>
      <c r="Y292" s="20" t="n">
        <f aca="false">X292-(PR_LSrate*MAX(0,MIN(X292,PR_LScap)-PR_LSfree)+PR_r2*MAX(0,X292-PR_LScap))</f>
        <v>0</v>
      </c>
      <c r="Z292" s="20" t="n">
        <f aca="false">W292-X292</f>
        <v>0</v>
      </c>
      <c r="AA292" s="45" t="n">
        <f aca="false">IF(C292&gt;=PR_ARFage1,IF(Z292&gt;PR_ARFbig,PR_ARFbigRate,IF(C292&gt;=PR_ARFage2,PR_ARF71,PR_ARF61)),0)</f>
        <v>0.05</v>
      </c>
      <c r="AB292" s="20" t="n">
        <f aca="false">IF(AS_DrawRule="min",Z292*AA292,IF(AS_DrawRule="fixed",MAX(AS_DrawFixed*E292,Z292*AA292),Z292*MAX(1/MAX(1,AS_End-C292+1),AA292)))</f>
        <v>0</v>
      </c>
      <c r="AC292" s="20" t="n">
        <f aca="false">IF(AND(G292=0,C292&gt;=F_V),MIN(Z292,AB292),0)</f>
        <v>0</v>
      </c>
      <c r="AD292" s="20" t="n">
        <f aca="false">IF(G292=1,S292*(1+F_PenG)+Q292,IF(C292&lt;F_V,S292*(1+F_PenG),(Z292-AC292)*(1+AS_PenRet)))</f>
        <v>0</v>
      </c>
      <c r="AE292" s="20" t="n">
        <f aca="false">IF(C292&gt;=PR_SPage,AS_SP*F_SpF*I292+IF(AND(C292&gt;=PR_Over80Age,F_SpF&gt;0),PR_Over80*PR_Weeks*I292,0),0)</f>
        <v>50721.6328217551</v>
      </c>
      <c r="AF292" s="20" t="n">
        <f aca="false">(F_OtherM+F_RentM)*12*E292</f>
        <v>0</v>
      </c>
      <c r="AG292" s="20" t="n">
        <f aca="false">F_PAge+B292</f>
        <v>95</v>
      </c>
      <c r="AH292" s="20" t="n">
        <f aca="false">IF(AND(F_Partner=1,F_PAge&gt;0,AG292&lt;IF(F_PRet&gt;0,F_PRet,PR_SPage)),F_PIncome*F292,0)</f>
        <v>0</v>
      </c>
      <c r="AI292" s="20" t="n">
        <f aca="false">IF(AND(F_Partner=1,AG292&gt;=PR_SPage,F_PSpQA=0),AS_SP*F_PSpF*I292,0)</f>
        <v>39265.3985219561</v>
      </c>
      <c r="AJ292" s="20" t="n">
        <f aca="false">IF(AND(F_Partner=1,F_PSpQA=1,C292&gt;=PR_SPage,AH292=0),IF(AG292&gt;=PR_SPage,PR_QA66,PR_QAunder)*PR_Weeks*I292,0)</f>
        <v>0</v>
      </c>
      <c r="AK292" s="20" t="n">
        <f aca="false">AE292+AJ292</f>
        <v>50721.6328217551</v>
      </c>
      <c r="AL292" s="20" t="n">
        <f aca="false">K292/H292</f>
        <v>0</v>
      </c>
      <c r="AM292" s="20" t="n">
        <f aca="false">AK292/H292</f>
        <v>16083.6</v>
      </c>
      <c r="AN292" s="20" t="n">
        <f aca="false">AC292/H292</f>
        <v>0</v>
      </c>
      <c r="AO292" s="20" t="n">
        <f aca="false">AF292/H292</f>
        <v>0</v>
      </c>
      <c r="AP292" s="20" t="n">
        <f aca="false">O292/H292</f>
        <v>0</v>
      </c>
      <c r="AQ292" s="20" t="n">
        <f aca="false">AH292/H292</f>
        <v>0</v>
      </c>
      <c r="AR292" s="20" t="n">
        <f aca="false">AI292/H292</f>
        <v>12450.88</v>
      </c>
      <c r="AS292" s="20" t="n">
        <f aca="false">MAX(0,AL292+AN292+AO292+AM292-AP292)</f>
        <v>16083.6</v>
      </c>
      <c r="AT292" s="20" t="n">
        <f aca="false">MAX(0,AQ292+AR292)</f>
        <v>12450.88</v>
      </c>
      <c r="AU292" s="20" t="n">
        <f aca="false">MIN(PR_PAYE,PR_PAYEcap*(AL292+AN292+AM292))</f>
        <v>2000</v>
      </c>
      <c r="AV292" s="20" t="n">
        <f aca="false">MIN(PR_PAYE,PR_PAYEcap*(AQ292+AR292))</f>
        <v>2000</v>
      </c>
      <c r="AW292" s="20" t="n">
        <f aca="false">IF(C292&gt;=PR_AgeCrAge,PR_AgeCr,0)</f>
        <v>245</v>
      </c>
      <c r="AX292" s="20" t="n">
        <f aca="false">IF(AG292&gt;=PR_AgeCrAge,PR_AgeCr,0)</f>
        <v>245</v>
      </c>
      <c r="AY292" s="20" t="n">
        <f aca="false">IF(AND(F_RentCred=1,D292&lt;=PR_RentLast),1,0)</f>
        <v>0</v>
      </c>
      <c r="AZ292" s="20" t="n">
        <f aca="false">AS292+AT292</f>
        <v>28534.48</v>
      </c>
      <c r="BA292" s="20" t="n">
        <f aca="false">PR_PersonalM+AU292+AV292+AW292+AX292+IF(AY292=1,PR_RentJoint,0)</f>
        <v>8490</v>
      </c>
      <c r="BB292" s="20" t="n">
        <f aca="false">PR_BandM+MIN(MIN(AS292,AT292),PR_Uplift)</f>
        <v>65450.88</v>
      </c>
      <c r="BC292" s="20" t="n">
        <f aca="false">MAX(0,PR_r1*MIN(AZ292,BB292)+PR_r2*MAX(0,AZ292-BB292)-BA292)</f>
        <v>0</v>
      </c>
      <c r="BD292" s="20" t="n">
        <f aca="false">MAX(0,PR_HomeCarer-MAX(0,MIN(AS292,AT292)-PR_HCLimit)/2)</f>
        <v>0</v>
      </c>
      <c r="BE292" s="20" t="n">
        <f aca="false">IF(F_Carer=1,MIN(BC292,MAX(0,PR_r1*MIN(AZ292,PR_BandM)+PR_r2*MAX(0,AZ292-PR_BandM)-BA292-BD292)),BC292)</f>
        <v>0</v>
      </c>
      <c r="BF292" s="20" t="n">
        <f aca="false">IF(OR(C292&gt;=PR_AgeCrAge,AG292&gt;=PR_AgeCrAge),IF(AZ292&lt;=PR_AgeExM,0,MIN(BE292,PR_AgeMarg*(AZ292-PR_AgeExM))),BE292)</f>
        <v>0</v>
      </c>
      <c r="BG292" s="20" t="n">
        <f aca="false">MAX(0,PR_r1*MIN(AS292,IF(F_Spccc=1,PR_BandSPCCC,PR_Band))+PR_r2*MAX(0,AS292-IF(F_Spccc=1,PR_BandSPCCC,PR_Band))-(PR_Personal+AU292+AW292+IF(F_Spccc=1,PR_SPCCC,0)+IF(AY292=1,PR_Rent,0)))</f>
        <v>0</v>
      </c>
      <c r="BH292" s="20" t="n">
        <f aca="false">IF(C292&gt;=PR_AgeCrAge,IF(AS292&lt;=PR_AgeEx,0,MIN(BG292,PR_AgeMarg*(AS292-PR_AgeEx))),BG292)</f>
        <v>0</v>
      </c>
      <c r="BI292" s="20" t="n">
        <f aca="false">IF(F_Partner=1,MAX(0,PR_r1*MIN(AT292,PR_Band)+PR_r2*MAX(0,AT292-PR_Band)-(PR_Personal+AV292+AX292+IF(AND(AY292=1,AT292&gt;0),PR_Rent,0))),0)</f>
        <v>0</v>
      </c>
      <c r="BJ292" s="20" t="n">
        <f aca="false">IF(AG292&gt;=PR_AgeCrAge,IF(AT292&lt;=PR_AgeEx,0,MIN(BI292,PR_AgeMarg*(AT292-PR_AgeEx))),BI292)</f>
        <v>0</v>
      </c>
      <c r="BK292" s="20" t="n">
        <f aca="false">IF(F_Partner=1,IF(F_Married=1,BF292,BH292+BJ292),BH292)</f>
        <v>0</v>
      </c>
      <c r="BL292" s="20" t="n">
        <f aca="false">AL292+AN292+AO292</f>
        <v>0</v>
      </c>
      <c r="BM292" s="20" t="n">
        <f aca="false">IF(BL292&lt;=PR_USCex,0,IF(IF(AND(C292&gt;=PR_USCredAge,BL292&lt;=PR_USCredMax),1,0)=1,PR_USCr1*MIN(BL292,PR_USCredB1)+PR_USCredR2*MAX(0,BL292-PR_USCredB1),PR_USCr1*MIN(BL292,PR_USCb1)+PR_USCr2*MAX(0,MIN(BL292,PR_USCb2)-PR_USCb1)+PR_USCr3*MAX(0,MIN(BL292,PR_USCb3)-PR_USCb2)+PR_USCr4*MAX(0,BL292-PR_USCb3)))+IF(F_SelfEmp=1,PR_USCse*MAX(0,AL292-PR_USCseOver),0)</f>
        <v>0</v>
      </c>
      <c r="BN292" s="20" t="n">
        <f aca="false">AQ292</f>
        <v>0</v>
      </c>
      <c r="BO292" s="20" t="n">
        <f aca="false">IF(F_Partner=1,IF(BN292&lt;=PR_USCex,0,IF(IF(AND(AG292&gt;=PR_USCredAge,BN292&lt;=PR_USCredMax),1,0)=1,PR_USCr1*MIN(BN292,PR_USCredB1)+PR_USCredR2*MAX(0,BN292-PR_USCredB1),PR_USCr1*MIN(BN292,PR_USCb1)+PR_USCr2*MAX(0,MIN(BN292,PR_USCb2)-PR_USCb1)+PR_USCr3*MAX(0,MIN(BN292,PR_USCb3)-PR_USCb2)+PR_USCr4*MAX(0,BN292-PR_USCb3))),0)</f>
        <v>0</v>
      </c>
      <c r="BP292" s="20" t="n">
        <f aca="false">IF(C292&lt;PR_PRSIend,IF(F_SelfEmp=1,IF(AL292&gt;PR_PRSIsMinInc,MAX(PR_PRSIsMin,AL292*J292),0),IF(AL292/52&lt;=PR_PRSIfree,0,MAX(0,(AL292/52*J292-IF(AL292/52&lt;=PR_PRSIcreditTo,MAX(0,PR_PRSIcreditMax-(AL292/52-(PR_PRSIfree+0.01))/PR_PRSItaper),0))*52)))+J292*AN292+IF(AO292&gt;PR_PRSIunearned,J292*AO292,0),0)</f>
        <v>0</v>
      </c>
      <c r="BQ292" s="20" t="n">
        <f aca="false">IF(AND(F_Partner=1,AG292&lt;PR_PRSIend),IF(AQ292/52&lt;=PR_PRSIfree,0,MAX(0,(AQ292/52*J292-IF(AQ292/52&lt;=PR_PRSIcreditTo,MAX(0,PR_PRSIcreditMax-(AQ292/52-(PR_PRSIfree+0.01))/PR_PRSItaper),0))*52)),0)</f>
        <v>0</v>
      </c>
      <c r="BR292" s="20" t="n">
        <f aca="false">BK292+BM292+BO292+BP292+BQ292</f>
        <v>0</v>
      </c>
      <c r="BS292" s="20" t="n">
        <f aca="false">BR292*H292</f>
        <v>0</v>
      </c>
      <c r="BT292" s="20" t="n">
        <f aca="false">K292+AK292+AC292+AF292+AH292+AI292</f>
        <v>89987.0313437112</v>
      </c>
    </row>
    <row r="293" customFormat="false" ht="15" hidden="false" customHeight="true" outlineLevel="0" collapsed="false">
      <c r="B293" s="20" t="n">
        <v>59</v>
      </c>
      <c r="C293" s="20" t="n">
        <f aca="false">F_Age+B293</f>
        <v>97</v>
      </c>
      <c r="D293" s="20" t="n">
        <f aca="false">AS_Year0+B293</f>
        <v>2086</v>
      </c>
      <c r="E293" s="44" t="n">
        <f aca="false">(1+AS_Infl)^B293</f>
        <v>3.21669685133864</v>
      </c>
      <c r="F293" s="44" t="n">
        <f aca="false">(1+AS_Wage)^B293</f>
        <v>5.72000301363665</v>
      </c>
      <c r="G293" s="20" t="n">
        <f aca="false">IF(C293&lt;F_R,1,0)</f>
        <v>0</v>
      </c>
      <c r="H293" s="44" t="n">
        <f aca="false">IF(AS_Bands="flat",1,E293)</f>
        <v>3.21669685133864</v>
      </c>
      <c r="I293" s="44" t="n">
        <f aca="false">IF(AS_SpGrow="pay",F293,IF(AS_SpGrow="flat",1,E293))</f>
        <v>3.21669685133864</v>
      </c>
      <c r="J293" s="44" t="n">
        <f aca="false">(12*PR_PRSIr0+(PR_PRSIr1-PR_PRSIr0)*MAX(0,MIN(12,D293*12+12-PR_PRSIt1))+(PR_PRSIr2-PR_PRSIr1)*MAX(0,MIN(12,D293*12+12-PR_PRSIt2))+(PR_PRSIr3-PR_PRSIr2)*MAX(0,MIN(12,D293*12+12-PR_PRSIt3)))/12</f>
        <v>0.047</v>
      </c>
      <c r="K293" s="20" t="n">
        <f aca="false">IF(G293=1,F_Income*F293,0)</f>
        <v>0</v>
      </c>
      <c r="L293" s="20" t="n">
        <f aca="false">IF(G293=1,(F_Own+In_penExtra)*12*F293,0)</f>
        <v>0</v>
      </c>
      <c r="M293" s="20" t="n">
        <f aca="false">IF(G293=1,(F_PenM+In_penExtra)*12*F293,0)</f>
        <v>0</v>
      </c>
      <c r="N293" s="45" t="n">
        <f aca="false">IF(C293&lt;PR_RelA1,PR_RelP1,IF(C293&lt;PR_RelA2,PR_RelP2,IF(C293&lt;PR_RelA3,PR_RelP3,IF(C293&lt;PR_RelA4,PR_RelP4,IF(C293&lt;PR_RelA5,PR_RelP5,PR_RelP6)))))</f>
        <v>0.4</v>
      </c>
      <c r="O293" s="20" t="n">
        <f aca="false">IF(G293=1,MIN(L293/H293,N293*MIN(K293/H293,PR_EarnCap))*H293,0)</f>
        <v>0</v>
      </c>
      <c r="P293" s="20" t="n">
        <f aca="false">IF(AND(G293=1,F_AE=1),MIN(K293/H293,PR_AEcap)*H293,0)</f>
        <v>0</v>
      </c>
      <c r="Q293" s="20" t="n">
        <f aca="false">IF(G293=1,IF(WI_Retire=1,MAX(0,M293+WI_M*12),M293)+(PR_AEee+PR_AEer+PR_AEst)*P293,0)</f>
        <v>0</v>
      </c>
      <c r="R293" s="20" t="n">
        <f aca="false">L293+PR_AEee*P293</f>
        <v>0</v>
      </c>
      <c r="S293" s="20" t="n">
        <f aca="false">AD292</f>
        <v>0</v>
      </c>
      <c r="T293" s="20" t="n">
        <f aca="false">IF(D293&lt;=PR_SFTfrom,PR_SFT2026,IF(D293=PR_SFTfrom+1,PR_SFT2027,IF(D293=PR_SFTfrom+2,PR_SFT2028,IF(D293&lt;=PR_SFTto,PR_SFT2029,PR_SFT2029*(1+AS_Infl)^(D293-PR_SFTto)))))</f>
        <v>8657008.05819704</v>
      </c>
      <c r="U293" s="20" t="n">
        <f aca="false">IF(AND(G293=0,C293=F_V),1,0)</f>
        <v>0</v>
      </c>
      <c r="V293" s="20" t="n">
        <f aca="false">IF(U293=1,PR_SFTrate*MAX(0,S293-T293),0)</f>
        <v>0</v>
      </c>
      <c r="W293" s="20" t="n">
        <f aca="false">S293-V293</f>
        <v>0</v>
      </c>
      <c r="X293" s="20" t="n">
        <f aca="false">IF(AND(U293=1,AS_LumpPct&gt;0),W293*MIN(AS_LumpPct,PR_LSmax),0)</f>
        <v>0</v>
      </c>
      <c r="Y293" s="20" t="n">
        <f aca="false">X293-(PR_LSrate*MAX(0,MIN(X293,PR_LScap)-PR_LSfree)+PR_r2*MAX(0,X293-PR_LScap))</f>
        <v>0</v>
      </c>
      <c r="Z293" s="20" t="n">
        <f aca="false">W293-X293</f>
        <v>0</v>
      </c>
      <c r="AA293" s="45" t="n">
        <f aca="false">IF(C293&gt;=PR_ARFage1,IF(Z293&gt;PR_ARFbig,PR_ARFbigRate,IF(C293&gt;=PR_ARFage2,PR_ARF71,PR_ARF61)),0)</f>
        <v>0.05</v>
      </c>
      <c r="AB293" s="20" t="n">
        <f aca="false">IF(AS_DrawRule="min",Z293*AA293,IF(AS_DrawRule="fixed",MAX(AS_DrawFixed*E293,Z293*AA293),Z293*MAX(1/MAX(1,AS_End-C293+1),AA293)))</f>
        <v>0</v>
      </c>
      <c r="AC293" s="20" t="n">
        <f aca="false">IF(AND(G293=0,C293&gt;=F_V),MIN(Z293,AB293),0)</f>
        <v>0</v>
      </c>
      <c r="AD293" s="20" t="n">
        <f aca="false">IF(G293=1,S293*(1+F_PenG)+Q293,IF(C293&lt;F_V,S293*(1+F_PenG),(Z293-AC293)*(1+AS_PenRet)))</f>
        <v>0</v>
      </c>
      <c r="AE293" s="20" t="n">
        <f aca="false">IF(C293&gt;=PR_SPage,AS_SP*F_SpF*I293+IF(AND(C293&gt;=PR_Over80Age,F_SpF&gt;0),PR_Over80*PR_Weeks*I293,0),0)</f>
        <v>51736.0654781902</v>
      </c>
      <c r="AF293" s="20" t="n">
        <f aca="false">(F_OtherM+F_RentM)*12*E293</f>
        <v>0</v>
      </c>
      <c r="AG293" s="20" t="n">
        <f aca="false">F_PAge+B293</f>
        <v>96</v>
      </c>
      <c r="AH293" s="20" t="n">
        <f aca="false">IF(AND(F_Partner=1,F_PAge&gt;0,AG293&lt;IF(F_PRet&gt;0,F_PRet,PR_SPage)),F_PIncome*F293,0)</f>
        <v>0</v>
      </c>
      <c r="AI293" s="20" t="n">
        <f aca="false">IF(AND(F_Partner=1,AG293&gt;=PR_SPage,F_PSpQA=0),AS_SP*F_PSpF*I293,0)</f>
        <v>40050.7064923953</v>
      </c>
      <c r="AJ293" s="20" t="n">
        <f aca="false">IF(AND(F_Partner=1,F_PSpQA=1,C293&gt;=PR_SPage,AH293=0),IF(AG293&gt;=PR_SPage,PR_QA66,PR_QAunder)*PR_Weeks*I293,0)</f>
        <v>0</v>
      </c>
      <c r="AK293" s="20" t="n">
        <f aca="false">AE293+AJ293</f>
        <v>51736.0654781902</v>
      </c>
      <c r="AL293" s="20" t="n">
        <f aca="false">K293/H293</f>
        <v>0</v>
      </c>
      <c r="AM293" s="20" t="n">
        <f aca="false">AK293/H293</f>
        <v>16083.6</v>
      </c>
      <c r="AN293" s="20" t="n">
        <f aca="false">AC293/H293</f>
        <v>0</v>
      </c>
      <c r="AO293" s="20" t="n">
        <f aca="false">AF293/H293</f>
        <v>0</v>
      </c>
      <c r="AP293" s="20" t="n">
        <f aca="false">O293/H293</f>
        <v>0</v>
      </c>
      <c r="AQ293" s="20" t="n">
        <f aca="false">AH293/H293</f>
        <v>0</v>
      </c>
      <c r="AR293" s="20" t="n">
        <f aca="false">AI293/H293</f>
        <v>12450.88</v>
      </c>
      <c r="AS293" s="20" t="n">
        <f aca="false">MAX(0,AL293+AN293+AO293+AM293-AP293)</f>
        <v>16083.6</v>
      </c>
      <c r="AT293" s="20" t="n">
        <f aca="false">MAX(0,AQ293+AR293)</f>
        <v>12450.88</v>
      </c>
      <c r="AU293" s="20" t="n">
        <f aca="false">MIN(PR_PAYE,PR_PAYEcap*(AL293+AN293+AM293))</f>
        <v>2000</v>
      </c>
      <c r="AV293" s="20" t="n">
        <f aca="false">MIN(PR_PAYE,PR_PAYEcap*(AQ293+AR293))</f>
        <v>2000</v>
      </c>
      <c r="AW293" s="20" t="n">
        <f aca="false">IF(C293&gt;=PR_AgeCrAge,PR_AgeCr,0)</f>
        <v>245</v>
      </c>
      <c r="AX293" s="20" t="n">
        <f aca="false">IF(AG293&gt;=PR_AgeCrAge,PR_AgeCr,0)</f>
        <v>245</v>
      </c>
      <c r="AY293" s="20" t="n">
        <f aca="false">IF(AND(F_RentCred=1,D293&lt;=PR_RentLast),1,0)</f>
        <v>0</v>
      </c>
      <c r="AZ293" s="20" t="n">
        <f aca="false">AS293+AT293</f>
        <v>28534.48</v>
      </c>
      <c r="BA293" s="20" t="n">
        <f aca="false">PR_PersonalM+AU293+AV293+AW293+AX293+IF(AY293=1,PR_RentJoint,0)</f>
        <v>8490</v>
      </c>
      <c r="BB293" s="20" t="n">
        <f aca="false">PR_BandM+MIN(MIN(AS293,AT293),PR_Uplift)</f>
        <v>65450.88</v>
      </c>
      <c r="BC293" s="20" t="n">
        <f aca="false">MAX(0,PR_r1*MIN(AZ293,BB293)+PR_r2*MAX(0,AZ293-BB293)-BA293)</f>
        <v>0</v>
      </c>
      <c r="BD293" s="20" t="n">
        <f aca="false">MAX(0,PR_HomeCarer-MAX(0,MIN(AS293,AT293)-PR_HCLimit)/2)</f>
        <v>0</v>
      </c>
      <c r="BE293" s="20" t="n">
        <f aca="false">IF(F_Carer=1,MIN(BC293,MAX(0,PR_r1*MIN(AZ293,PR_BandM)+PR_r2*MAX(0,AZ293-PR_BandM)-BA293-BD293)),BC293)</f>
        <v>0</v>
      </c>
      <c r="BF293" s="20" t="n">
        <f aca="false">IF(OR(C293&gt;=PR_AgeCrAge,AG293&gt;=PR_AgeCrAge),IF(AZ293&lt;=PR_AgeExM,0,MIN(BE293,PR_AgeMarg*(AZ293-PR_AgeExM))),BE293)</f>
        <v>0</v>
      </c>
      <c r="BG293" s="20" t="n">
        <f aca="false">MAX(0,PR_r1*MIN(AS293,IF(F_Spccc=1,PR_BandSPCCC,PR_Band))+PR_r2*MAX(0,AS293-IF(F_Spccc=1,PR_BandSPCCC,PR_Band))-(PR_Personal+AU293+AW293+IF(F_Spccc=1,PR_SPCCC,0)+IF(AY293=1,PR_Rent,0)))</f>
        <v>0</v>
      </c>
      <c r="BH293" s="20" t="n">
        <f aca="false">IF(C293&gt;=PR_AgeCrAge,IF(AS293&lt;=PR_AgeEx,0,MIN(BG293,PR_AgeMarg*(AS293-PR_AgeEx))),BG293)</f>
        <v>0</v>
      </c>
      <c r="BI293" s="20" t="n">
        <f aca="false">IF(F_Partner=1,MAX(0,PR_r1*MIN(AT293,PR_Band)+PR_r2*MAX(0,AT293-PR_Band)-(PR_Personal+AV293+AX293+IF(AND(AY293=1,AT293&gt;0),PR_Rent,0))),0)</f>
        <v>0</v>
      </c>
      <c r="BJ293" s="20" t="n">
        <f aca="false">IF(AG293&gt;=PR_AgeCrAge,IF(AT293&lt;=PR_AgeEx,0,MIN(BI293,PR_AgeMarg*(AT293-PR_AgeEx))),BI293)</f>
        <v>0</v>
      </c>
      <c r="BK293" s="20" t="n">
        <f aca="false">IF(F_Partner=1,IF(F_Married=1,BF293,BH293+BJ293),BH293)</f>
        <v>0</v>
      </c>
      <c r="BL293" s="20" t="n">
        <f aca="false">AL293+AN293+AO293</f>
        <v>0</v>
      </c>
      <c r="BM293" s="20" t="n">
        <f aca="false">IF(BL293&lt;=PR_USCex,0,IF(IF(AND(C293&gt;=PR_USCredAge,BL293&lt;=PR_USCredMax),1,0)=1,PR_USCr1*MIN(BL293,PR_USCredB1)+PR_USCredR2*MAX(0,BL293-PR_USCredB1),PR_USCr1*MIN(BL293,PR_USCb1)+PR_USCr2*MAX(0,MIN(BL293,PR_USCb2)-PR_USCb1)+PR_USCr3*MAX(0,MIN(BL293,PR_USCb3)-PR_USCb2)+PR_USCr4*MAX(0,BL293-PR_USCb3)))+IF(F_SelfEmp=1,PR_USCse*MAX(0,AL293-PR_USCseOver),0)</f>
        <v>0</v>
      </c>
      <c r="BN293" s="20" t="n">
        <f aca="false">AQ293</f>
        <v>0</v>
      </c>
      <c r="BO293" s="20" t="n">
        <f aca="false">IF(F_Partner=1,IF(BN293&lt;=PR_USCex,0,IF(IF(AND(AG293&gt;=PR_USCredAge,BN293&lt;=PR_USCredMax),1,0)=1,PR_USCr1*MIN(BN293,PR_USCredB1)+PR_USCredR2*MAX(0,BN293-PR_USCredB1),PR_USCr1*MIN(BN293,PR_USCb1)+PR_USCr2*MAX(0,MIN(BN293,PR_USCb2)-PR_USCb1)+PR_USCr3*MAX(0,MIN(BN293,PR_USCb3)-PR_USCb2)+PR_USCr4*MAX(0,BN293-PR_USCb3))),0)</f>
        <v>0</v>
      </c>
      <c r="BP293" s="20" t="n">
        <f aca="false">IF(C293&lt;PR_PRSIend,IF(F_SelfEmp=1,IF(AL293&gt;PR_PRSIsMinInc,MAX(PR_PRSIsMin,AL293*J293),0),IF(AL293/52&lt;=PR_PRSIfree,0,MAX(0,(AL293/52*J293-IF(AL293/52&lt;=PR_PRSIcreditTo,MAX(0,PR_PRSIcreditMax-(AL293/52-(PR_PRSIfree+0.01))/PR_PRSItaper),0))*52)))+J293*AN293+IF(AO293&gt;PR_PRSIunearned,J293*AO293,0),0)</f>
        <v>0</v>
      </c>
      <c r="BQ293" s="20" t="n">
        <f aca="false">IF(AND(F_Partner=1,AG293&lt;PR_PRSIend),IF(AQ293/52&lt;=PR_PRSIfree,0,MAX(0,(AQ293/52*J293-IF(AQ293/52&lt;=PR_PRSIcreditTo,MAX(0,PR_PRSIcreditMax-(AQ293/52-(PR_PRSIfree+0.01))/PR_PRSItaper),0))*52)),0)</f>
        <v>0</v>
      </c>
      <c r="BR293" s="20" t="n">
        <f aca="false">BK293+BM293+BO293+BP293+BQ293</f>
        <v>0</v>
      </c>
      <c r="BS293" s="20" t="n">
        <f aca="false">BR293*H293</f>
        <v>0</v>
      </c>
      <c r="BT293" s="20" t="n">
        <f aca="false">K293+AK293+AC293+AF293+AH293+AI293</f>
        <v>91786.7719705854</v>
      </c>
    </row>
    <row r="294" customFormat="false" ht="15" hidden="false" customHeight="true" outlineLevel="0" collapsed="false">
      <c r="B294" s="20" t="n">
        <v>60</v>
      </c>
      <c r="C294" s="20" t="n">
        <f aca="false">F_Age+B294</f>
        <v>98</v>
      </c>
      <c r="D294" s="20" t="n">
        <f aca="false">AS_Year0+B294</f>
        <v>2087</v>
      </c>
      <c r="E294" s="44" t="n">
        <f aca="false">(1+AS_Infl)^B294</f>
        <v>3.28103078836541</v>
      </c>
      <c r="F294" s="44" t="n">
        <f aca="false">(1+AS_Wage)^B294</f>
        <v>5.89160310404575</v>
      </c>
      <c r="G294" s="20" t="n">
        <f aca="false">IF(C294&lt;F_R,1,0)</f>
        <v>0</v>
      </c>
      <c r="H294" s="44" t="n">
        <f aca="false">IF(AS_Bands="flat",1,E294)</f>
        <v>3.28103078836541</v>
      </c>
      <c r="I294" s="44" t="n">
        <f aca="false">IF(AS_SpGrow="pay",F294,IF(AS_SpGrow="flat",1,E294))</f>
        <v>3.28103078836541</v>
      </c>
      <c r="J294" s="44" t="n">
        <f aca="false">(12*PR_PRSIr0+(PR_PRSIr1-PR_PRSIr0)*MAX(0,MIN(12,D294*12+12-PR_PRSIt1))+(PR_PRSIr2-PR_PRSIr1)*MAX(0,MIN(12,D294*12+12-PR_PRSIt2))+(PR_PRSIr3-PR_PRSIr2)*MAX(0,MIN(12,D294*12+12-PR_PRSIt3)))/12</f>
        <v>0.047</v>
      </c>
      <c r="K294" s="20" t="n">
        <f aca="false">IF(G294=1,F_Income*F294,0)</f>
        <v>0</v>
      </c>
      <c r="L294" s="20" t="n">
        <f aca="false">IF(G294=1,(F_Own+In_penExtra)*12*F294,0)</f>
        <v>0</v>
      </c>
      <c r="M294" s="20" t="n">
        <f aca="false">IF(G294=1,(F_PenM+In_penExtra)*12*F294,0)</f>
        <v>0</v>
      </c>
      <c r="N294" s="45" t="n">
        <f aca="false">IF(C294&lt;PR_RelA1,PR_RelP1,IF(C294&lt;PR_RelA2,PR_RelP2,IF(C294&lt;PR_RelA3,PR_RelP3,IF(C294&lt;PR_RelA4,PR_RelP4,IF(C294&lt;PR_RelA5,PR_RelP5,PR_RelP6)))))</f>
        <v>0.4</v>
      </c>
      <c r="O294" s="20" t="n">
        <f aca="false">IF(G294=1,MIN(L294/H294,N294*MIN(K294/H294,PR_EarnCap))*H294,0)</f>
        <v>0</v>
      </c>
      <c r="P294" s="20" t="n">
        <f aca="false">IF(AND(G294=1,F_AE=1),MIN(K294/H294,PR_AEcap)*H294,0)</f>
        <v>0</v>
      </c>
      <c r="Q294" s="20" t="n">
        <f aca="false">IF(G294=1,IF(WI_Retire=1,MAX(0,M294+WI_M*12),M294)+(PR_AEee+PR_AEer+PR_AEst)*P294,0)</f>
        <v>0</v>
      </c>
      <c r="R294" s="20" t="n">
        <f aca="false">L294+PR_AEee*P294</f>
        <v>0</v>
      </c>
      <c r="S294" s="20" t="n">
        <f aca="false">AD293</f>
        <v>0</v>
      </c>
      <c r="T294" s="20" t="n">
        <f aca="false">IF(D294&lt;=PR_SFTfrom,PR_SFT2026,IF(D294=PR_SFTfrom+1,PR_SFT2027,IF(D294=PR_SFTfrom+2,PR_SFT2028,IF(D294&lt;=PR_SFTto,PR_SFT2029,PR_SFT2029*(1+AS_Infl)^(D294-PR_SFTto)))))</f>
        <v>8830148.21936098</v>
      </c>
      <c r="U294" s="20" t="n">
        <f aca="false">IF(AND(G294=0,C294=F_V),1,0)</f>
        <v>0</v>
      </c>
      <c r="V294" s="20" t="n">
        <f aca="false">IF(U294=1,PR_SFTrate*MAX(0,S294-T294),0)</f>
        <v>0</v>
      </c>
      <c r="W294" s="20" t="n">
        <f aca="false">S294-V294</f>
        <v>0</v>
      </c>
      <c r="X294" s="20" t="n">
        <f aca="false">IF(AND(U294=1,AS_LumpPct&gt;0),W294*MIN(AS_LumpPct,PR_LSmax),0)</f>
        <v>0</v>
      </c>
      <c r="Y294" s="20" t="n">
        <f aca="false">X294-(PR_LSrate*MAX(0,MIN(X294,PR_LScap)-PR_LSfree)+PR_r2*MAX(0,X294-PR_LScap))</f>
        <v>0</v>
      </c>
      <c r="Z294" s="20" t="n">
        <f aca="false">W294-X294</f>
        <v>0</v>
      </c>
      <c r="AA294" s="45" t="n">
        <f aca="false">IF(C294&gt;=PR_ARFage1,IF(Z294&gt;PR_ARFbig,PR_ARFbigRate,IF(C294&gt;=PR_ARFage2,PR_ARF71,PR_ARF61)),0)</f>
        <v>0.05</v>
      </c>
      <c r="AB294" s="20" t="n">
        <f aca="false">IF(AS_DrawRule="min",Z294*AA294,IF(AS_DrawRule="fixed",MAX(AS_DrawFixed*E294,Z294*AA294),Z294*MAX(1/MAX(1,AS_End-C294+1),AA294)))</f>
        <v>0</v>
      </c>
      <c r="AC294" s="20" t="n">
        <f aca="false">IF(AND(G294=0,C294&gt;=F_V),MIN(Z294,AB294),0)</f>
        <v>0</v>
      </c>
      <c r="AD294" s="20" t="n">
        <f aca="false">IF(G294=1,S294*(1+F_PenG)+Q294,IF(C294&lt;F_V,S294*(1+F_PenG),(Z294-AC294)*(1+AS_PenRet)))</f>
        <v>0</v>
      </c>
      <c r="AE294" s="20" t="n">
        <f aca="false">IF(C294&gt;=PR_SPage,AS_SP*F_SpF*I294+IF(AND(C294&gt;=PR_Over80Age,F_SpF&gt;0),PR_Over80*PR_Weeks*I294,0),0)</f>
        <v>52770.786787754</v>
      </c>
      <c r="AF294" s="20" t="n">
        <f aca="false">(F_OtherM+F_RentM)*12*E294</f>
        <v>0</v>
      </c>
      <c r="AG294" s="20" t="n">
        <f aca="false">F_PAge+B294</f>
        <v>97</v>
      </c>
      <c r="AH294" s="20" t="n">
        <f aca="false">IF(AND(F_Partner=1,F_PAge&gt;0,AG294&lt;IF(F_PRet&gt;0,F_PRet,PR_SPage)),F_PIncome*F294,0)</f>
        <v>0</v>
      </c>
      <c r="AI294" s="20" t="n">
        <f aca="false">IF(AND(F_Partner=1,AG294&gt;=PR_SPage,F_PSpQA=0),AS_SP*F_PSpF*I294,0)</f>
        <v>40851.7206222432</v>
      </c>
      <c r="AJ294" s="20" t="n">
        <f aca="false">IF(AND(F_Partner=1,F_PSpQA=1,C294&gt;=PR_SPage,AH294=0),IF(AG294&gt;=PR_SPage,PR_QA66,PR_QAunder)*PR_Weeks*I294,0)</f>
        <v>0</v>
      </c>
      <c r="AK294" s="20" t="n">
        <f aca="false">AE294+AJ294</f>
        <v>52770.786787754</v>
      </c>
      <c r="AL294" s="20" t="n">
        <f aca="false">K294/H294</f>
        <v>0</v>
      </c>
      <c r="AM294" s="20" t="n">
        <f aca="false">AK294/H294</f>
        <v>16083.6</v>
      </c>
      <c r="AN294" s="20" t="n">
        <f aca="false">AC294/H294</f>
        <v>0</v>
      </c>
      <c r="AO294" s="20" t="n">
        <f aca="false">AF294/H294</f>
        <v>0</v>
      </c>
      <c r="AP294" s="20" t="n">
        <f aca="false">O294/H294</f>
        <v>0</v>
      </c>
      <c r="AQ294" s="20" t="n">
        <f aca="false">AH294/H294</f>
        <v>0</v>
      </c>
      <c r="AR294" s="20" t="n">
        <f aca="false">AI294/H294</f>
        <v>12450.88</v>
      </c>
      <c r="AS294" s="20" t="n">
        <f aca="false">MAX(0,AL294+AN294+AO294+AM294-AP294)</f>
        <v>16083.6</v>
      </c>
      <c r="AT294" s="20" t="n">
        <f aca="false">MAX(0,AQ294+AR294)</f>
        <v>12450.88</v>
      </c>
      <c r="AU294" s="20" t="n">
        <f aca="false">MIN(PR_PAYE,PR_PAYEcap*(AL294+AN294+AM294))</f>
        <v>2000</v>
      </c>
      <c r="AV294" s="20" t="n">
        <f aca="false">MIN(PR_PAYE,PR_PAYEcap*(AQ294+AR294))</f>
        <v>2000</v>
      </c>
      <c r="AW294" s="20" t="n">
        <f aca="false">IF(C294&gt;=PR_AgeCrAge,PR_AgeCr,0)</f>
        <v>245</v>
      </c>
      <c r="AX294" s="20" t="n">
        <f aca="false">IF(AG294&gt;=PR_AgeCrAge,PR_AgeCr,0)</f>
        <v>245</v>
      </c>
      <c r="AY294" s="20" t="n">
        <f aca="false">IF(AND(F_RentCred=1,D294&lt;=PR_RentLast),1,0)</f>
        <v>0</v>
      </c>
      <c r="AZ294" s="20" t="n">
        <f aca="false">AS294+AT294</f>
        <v>28534.48</v>
      </c>
      <c r="BA294" s="20" t="n">
        <f aca="false">PR_PersonalM+AU294+AV294+AW294+AX294+IF(AY294=1,PR_RentJoint,0)</f>
        <v>8490</v>
      </c>
      <c r="BB294" s="20" t="n">
        <f aca="false">PR_BandM+MIN(MIN(AS294,AT294),PR_Uplift)</f>
        <v>65450.88</v>
      </c>
      <c r="BC294" s="20" t="n">
        <f aca="false">MAX(0,PR_r1*MIN(AZ294,BB294)+PR_r2*MAX(0,AZ294-BB294)-BA294)</f>
        <v>0</v>
      </c>
      <c r="BD294" s="20" t="n">
        <f aca="false">MAX(0,PR_HomeCarer-MAX(0,MIN(AS294,AT294)-PR_HCLimit)/2)</f>
        <v>0</v>
      </c>
      <c r="BE294" s="20" t="n">
        <f aca="false">IF(F_Carer=1,MIN(BC294,MAX(0,PR_r1*MIN(AZ294,PR_BandM)+PR_r2*MAX(0,AZ294-PR_BandM)-BA294-BD294)),BC294)</f>
        <v>0</v>
      </c>
      <c r="BF294" s="20" t="n">
        <f aca="false">IF(OR(C294&gt;=PR_AgeCrAge,AG294&gt;=PR_AgeCrAge),IF(AZ294&lt;=PR_AgeExM,0,MIN(BE294,PR_AgeMarg*(AZ294-PR_AgeExM))),BE294)</f>
        <v>0</v>
      </c>
      <c r="BG294" s="20" t="n">
        <f aca="false">MAX(0,PR_r1*MIN(AS294,IF(F_Spccc=1,PR_BandSPCCC,PR_Band))+PR_r2*MAX(0,AS294-IF(F_Spccc=1,PR_BandSPCCC,PR_Band))-(PR_Personal+AU294+AW294+IF(F_Spccc=1,PR_SPCCC,0)+IF(AY294=1,PR_Rent,0)))</f>
        <v>0</v>
      </c>
      <c r="BH294" s="20" t="n">
        <f aca="false">IF(C294&gt;=PR_AgeCrAge,IF(AS294&lt;=PR_AgeEx,0,MIN(BG294,PR_AgeMarg*(AS294-PR_AgeEx))),BG294)</f>
        <v>0</v>
      </c>
      <c r="BI294" s="20" t="n">
        <f aca="false">IF(F_Partner=1,MAX(0,PR_r1*MIN(AT294,PR_Band)+PR_r2*MAX(0,AT294-PR_Band)-(PR_Personal+AV294+AX294+IF(AND(AY294=1,AT294&gt;0),PR_Rent,0))),0)</f>
        <v>0</v>
      </c>
      <c r="BJ294" s="20" t="n">
        <f aca="false">IF(AG294&gt;=PR_AgeCrAge,IF(AT294&lt;=PR_AgeEx,0,MIN(BI294,PR_AgeMarg*(AT294-PR_AgeEx))),BI294)</f>
        <v>0</v>
      </c>
      <c r="BK294" s="20" t="n">
        <f aca="false">IF(F_Partner=1,IF(F_Married=1,BF294,BH294+BJ294),BH294)</f>
        <v>0</v>
      </c>
      <c r="BL294" s="20" t="n">
        <f aca="false">AL294+AN294+AO294</f>
        <v>0</v>
      </c>
      <c r="BM294" s="20" t="n">
        <f aca="false">IF(BL294&lt;=PR_USCex,0,IF(IF(AND(C294&gt;=PR_USCredAge,BL294&lt;=PR_USCredMax),1,0)=1,PR_USCr1*MIN(BL294,PR_USCredB1)+PR_USCredR2*MAX(0,BL294-PR_USCredB1),PR_USCr1*MIN(BL294,PR_USCb1)+PR_USCr2*MAX(0,MIN(BL294,PR_USCb2)-PR_USCb1)+PR_USCr3*MAX(0,MIN(BL294,PR_USCb3)-PR_USCb2)+PR_USCr4*MAX(0,BL294-PR_USCb3)))+IF(F_SelfEmp=1,PR_USCse*MAX(0,AL294-PR_USCseOver),0)</f>
        <v>0</v>
      </c>
      <c r="BN294" s="20" t="n">
        <f aca="false">AQ294</f>
        <v>0</v>
      </c>
      <c r="BO294" s="20" t="n">
        <f aca="false">IF(F_Partner=1,IF(BN294&lt;=PR_USCex,0,IF(IF(AND(AG294&gt;=PR_USCredAge,BN294&lt;=PR_USCredMax),1,0)=1,PR_USCr1*MIN(BN294,PR_USCredB1)+PR_USCredR2*MAX(0,BN294-PR_USCredB1),PR_USCr1*MIN(BN294,PR_USCb1)+PR_USCr2*MAX(0,MIN(BN294,PR_USCb2)-PR_USCb1)+PR_USCr3*MAX(0,MIN(BN294,PR_USCb3)-PR_USCb2)+PR_USCr4*MAX(0,BN294-PR_USCb3))),0)</f>
        <v>0</v>
      </c>
      <c r="BP294" s="20" t="n">
        <f aca="false">IF(C294&lt;PR_PRSIend,IF(F_SelfEmp=1,IF(AL294&gt;PR_PRSIsMinInc,MAX(PR_PRSIsMin,AL294*J294),0),IF(AL294/52&lt;=PR_PRSIfree,0,MAX(0,(AL294/52*J294-IF(AL294/52&lt;=PR_PRSIcreditTo,MAX(0,PR_PRSIcreditMax-(AL294/52-(PR_PRSIfree+0.01))/PR_PRSItaper),0))*52)))+J294*AN294+IF(AO294&gt;PR_PRSIunearned,J294*AO294,0),0)</f>
        <v>0</v>
      </c>
      <c r="BQ294" s="20" t="n">
        <f aca="false">IF(AND(F_Partner=1,AG294&lt;PR_PRSIend),IF(AQ294/52&lt;=PR_PRSIfree,0,MAX(0,(AQ294/52*J294-IF(AQ294/52&lt;=PR_PRSIcreditTo,MAX(0,PR_PRSIcreditMax-(AQ294/52-(PR_PRSIfree+0.01))/PR_PRSItaper),0))*52)),0)</f>
        <v>0</v>
      </c>
      <c r="BR294" s="20" t="n">
        <f aca="false">BK294+BM294+BO294+BP294+BQ294</f>
        <v>0</v>
      </c>
      <c r="BS294" s="20" t="n">
        <f aca="false">BR294*H294</f>
        <v>0</v>
      </c>
      <c r="BT294" s="20" t="n">
        <f aca="false">K294+AK294+AC294+AF294+AH294+AI294</f>
        <v>93622.5074099972</v>
      </c>
    </row>
    <row r="295" customFormat="false" ht="15" hidden="false" customHeight="true" outlineLevel="0" collapsed="false">
      <c r="B295" s="20" t="n">
        <v>61</v>
      </c>
      <c r="C295" s="20" t="n">
        <f aca="false">F_Age+B295</f>
        <v>99</v>
      </c>
      <c r="D295" s="20" t="n">
        <f aca="false">AS_Year0+B295</f>
        <v>2088</v>
      </c>
      <c r="E295" s="44" t="n">
        <f aca="false">(1+AS_Infl)^B295</f>
        <v>3.34665140413272</v>
      </c>
      <c r="F295" s="44" t="n">
        <f aca="false">(1+AS_Wage)^B295</f>
        <v>6.06835119716712</v>
      </c>
      <c r="G295" s="20" t="n">
        <f aca="false">IF(C295&lt;F_R,1,0)</f>
        <v>0</v>
      </c>
      <c r="H295" s="44" t="n">
        <f aca="false">IF(AS_Bands="flat",1,E295)</f>
        <v>3.34665140413272</v>
      </c>
      <c r="I295" s="44" t="n">
        <f aca="false">IF(AS_SpGrow="pay",F295,IF(AS_SpGrow="flat",1,E295))</f>
        <v>3.34665140413272</v>
      </c>
      <c r="J295" s="44" t="n">
        <f aca="false">(12*PR_PRSIr0+(PR_PRSIr1-PR_PRSIr0)*MAX(0,MIN(12,D295*12+12-PR_PRSIt1))+(PR_PRSIr2-PR_PRSIr1)*MAX(0,MIN(12,D295*12+12-PR_PRSIt2))+(PR_PRSIr3-PR_PRSIr2)*MAX(0,MIN(12,D295*12+12-PR_PRSIt3)))/12</f>
        <v>0.047</v>
      </c>
      <c r="K295" s="20" t="n">
        <f aca="false">IF(G295=1,F_Income*F295,0)</f>
        <v>0</v>
      </c>
      <c r="L295" s="20" t="n">
        <f aca="false">IF(G295=1,(F_Own+In_penExtra)*12*F295,0)</f>
        <v>0</v>
      </c>
      <c r="M295" s="20" t="n">
        <f aca="false">IF(G295=1,(F_PenM+In_penExtra)*12*F295,0)</f>
        <v>0</v>
      </c>
      <c r="N295" s="45" t="n">
        <f aca="false">IF(C295&lt;PR_RelA1,PR_RelP1,IF(C295&lt;PR_RelA2,PR_RelP2,IF(C295&lt;PR_RelA3,PR_RelP3,IF(C295&lt;PR_RelA4,PR_RelP4,IF(C295&lt;PR_RelA5,PR_RelP5,PR_RelP6)))))</f>
        <v>0.4</v>
      </c>
      <c r="O295" s="20" t="n">
        <f aca="false">IF(G295=1,MIN(L295/H295,N295*MIN(K295/H295,PR_EarnCap))*H295,0)</f>
        <v>0</v>
      </c>
      <c r="P295" s="20" t="n">
        <f aca="false">IF(AND(G295=1,F_AE=1),MIN(K295/H295,PR_AEcap)*H295,0)</f>
        <v>0</v>
      </c>
      <c r="Q295" s="20" t="n">
        <f aca="false">IF(G295=1,IF(WI_Retire=1,MAX(0,M295+WI_M*12),M295)+(PR_AEee+PR_AEer+PR_AEst)*P295,0)</f>
        <v>0</v>
      </c>
      <c r="R295" s="20" t="n">
        <f aca="false">L295+PR_AEee*P295</f>
        <v>0</v>
      </c>
      <c r="S295" s="20" t="n">
        <f aca="false">AD294</f>
        <v>0</v>
      </c>
      <c r="T295" s="20" t="n">
        <f aca="false">IF(D295&lt;=PR_SFTfrom,PR_SFT2026,IF(D295=PR_SFTfrom+1,PR_SFT2027,IF(D295=PR_SFTfrom+2,PR_SFT2028,IF(D295&lt;=PR_SFTto,PR_SFT2029,PR_SFT2029*(1+AS_Infl)^(D295-PR_SFTto)))))</f>
        <v>9006751.1837482</v>
      </c>
      <c r="U295" s="20" t="n">
        <f aca="false">IF(AND(G295=0,C295=F_V),1,0)</f>
        <v>0</v>
      </c>
      <c r="V295" s="20" t="n">
        <f aca="false">IF(U295=1,PR_SFTrate*MAX(0,S295-T295),0)</f>
        <v>0</v>
      </c>
      <c r="W295" s="20" t="n">
        <f aca="false">S295-V295</f>
        <v>0</v>
      </c>
      <c r="X295" s="20" t="n">
        <f aca="false">IF(AND(U295=1,AS_LumpPct&gt;0),W295*MIN(AS_LumpPct,PR_LSmax),0)</f>
        <v>0</v>
      </c>
      <c r="Y295" s="20" t="n">
        <f aca="false">X295-(PR_LSrate*MAX(0,MIN(X295,PR_LScap)-PR_LSfree)+PR_r2*MAX(0,X295-PR_LScap))</f>
        <v>0</v>
      </c>
      <c r="Z295" s="20" t="n">
        <f aca="false">W295-X295</f>
        <v>0</v>
      </c>
      <c r="AA295" s="45" t="n">
        <f aca="false">IF(C295&gt;=PR_ARFage1,IF(Z295&gt;PR_ARFbig,PR_ARFbigRate,IF(C295&gt;=PR_ARFage2,PR_ARF71,PR_ARF61)),0)</f>
        <v>0.05</v>
      </c>
      <c r="AB295" s="20" t="n">
        <f aca="false">IF(AS_DrawRule="min",Z295*AA295,IF(AS_DrawRule="fixed",MAX(AS_DrawFixed*E295,Z295*AA295),Z295*MAX(1/MAX(1,AS_End-C295+1),AA295)))</f>
        <v>0</v>
      </c>
      <c r="AC295" s="20" t="n">
        <f aca="false">IF(AND(G295=0,C295&gt;=F_V),MIN(Z295,AB295),0)</f>
        <v>0</v>
      </c>
      <c r="AD295" s="20" t="n">
        <f aca="false">IF(G295=1,S295*(1+F_PenG)+Q295,IF(C295&lt;F_V,S295*(1+F_PenG),(Z295-AC295)*(1+AS_PenRet)))</f>
        <v>0</v>
      </c>
      <c r="AE295" s="20" t="n">
        <f aca="false">IF(C295&gt;=PR_SPage,AS_SP*F_SpF*I295+IF(AND(C295&gt;=PR_Over80Age,F_SpF&gt;0),PR_Over80*PR_Weeks*I295,0),0)</f>
        <v>53826.2025235091</v>
      </c>
      <c r="AF295" s="20" t="n">
        <f aca="false">(F_OtherM+F_RentM)*12*E295</f>
        <v>0</v>
      </c>
      <c r="AG295" s="20" t="n">
        <f aca="false">F_PAge+B295</f>
        <v>98</v>
      </c>
      <c r="AH295" s="20" t="n">
        <f aca="false">IF(AND(F_Partner=1,F_PAge&gt;0,AG295&lt;IF(F_PRet&gt;0,F_PRet,PR_SPage)),F_PIncome*F295,0)</f>
        <v>0</v>
      </c>
      <c r="AI295" s="20" t="n">
        <f aca="false">IF(AND(F_Partner=1,AG295&gt;=PR_SPage,F_PSpQA=0),AS_SP*F_PSpF*I295,0)</f>
        <v>41668.755034688</v>
      </c>
      <c r="AJ295" s="20" t="n">
        <f aca="false">IF(AND(F_Partner=1,F_PSpQA=1,C295&gt;=PR_SPage,AH295=0),IF(AG295&gt;=PR_SPage,PR_QA66,PR_QAunder)*PR_Weeks*I295,0)</f>
        <v>0</v>
      </c>
      <c r="AK295" s="20" t="n">
        <f aca="false">AE295+AJ295</f>
        <v>53826.2025235091</v>
      </c>
      <c r="AL295" s="20" t="n">
        <f aca="false">K295/H295</f>
        <v>0</v>
      </c>
      <c r="AM295" s="20" t="n">
        <f aca="false">AK295/H295</f>
        <v>16083.6</v>
      </c>
      <c r="AN295" s="20" t="n">
        <f aca="false">AC295/H295</f>
        <v>0</v>
      </c>
      <c r="AO295" s="20" t="n">
        <f aca="false">AF295/H295</f>
        <v>0</v>
      </c>
      <c r="AP295" s="20" t="n">
        <f aca="false">O295/H295</f>
        <v>0</v>
      </c>
      <c r="AQ295" s="20" t="n">
        <f aca="false">AH295/H295</f>
        <v>0</v>
      </c>
      <c r="AR295" s="20" t="n">
        <f aca="false">AI295/H295</f>
        <v>12450.88</v>
      </c>
      <c r="AS295" s="20" t="n">
        <f aca="false">MAX(0,AL295+AN295+AO295+AM295-AP295)</f>
        <v>16083.6</v>
      </c>
      <c r="AT295" s="20" t="n">
        <f aca="false">MAX(0,AQ295+AR295)</f>
        <v>12450.88</v>
      </c>
      <c r="AU295" s="20" t="n">
        <f aca="false">MIN(PR_PAYE,PR_PAYEcap*(AL295+AN295+AM295))</f>
        <v>2000</v>
      </c>
      <c r="AV295" s="20" t="n">
        <f aca="false">MIN(PR_PAYE,PR_PAYEcap*(AQ295+AR295))</f>
        <v>2000</v>
      </c>
      <c r="AW295" s="20" t="n">
        <f aca="false">IF(C295&gt;=PR_AgeCrAge,PR_AgeCr,0)</f>
        <v>245</v>
      </c>
      <c r="AX295" s="20" t="n">
        <f aca="false">IF(AG295&gt;=PR_AgeCrAge,PR_AgeCr,0)</f>
        <v>245</v>
      </c>
      <c r="AY295" s="20" t="n">
        <f aca="false">IF(AND(F_RentCred=1,D295&lt;=PR_RentLast),1,0)</f>
        <v>0</v>
      </c>
      <c r="AZ295" s="20" t="n">
        <f aca="false">AS295+AT295</f>
        <v>28534.48</v>
      </c>
      <c r="BA295" s="20" t="n">
        <f aca="false">PR_PersonalM+AU295+AV295+AW295+AX295+IF(AY295=1,PR_RentJoint,0)</f>
        <v>8490</v>
      </c>
      <c r="BB295" s="20" t="n">
        <f aca="false">PR_BandM+MIN(MIN(AS295,AT295),PR_Uplift)</f>
        <v>65450.88</v>
      </c>
      <c r="BC295" s="20" t="n">
        <f aca="false">MAX(0,PR_r1*MIN(AZ295,BB295)+PR_r2*MAX(0,AZ295-BB295)-BA295)</f>
        <v>0</v>
      </c>
      <c r="BD295" s="20" t="n">
        <f aca="false">MAX(0,PR_HomeCarer-MAX(0,MIN(AS295,AT295)-PR_HCLimit)/2)</f>
        <v>0</v>
      </c>
      <c r="BE295" s="20" t="n">
        <f aca="false">IF(F_Carer=1,MIN(BC295,MAX(0,PR_r1*MIN(AZ295,PR_BandM)+PR_r2*MAX(0,AZ295-PR_BandM)-BA295-BD295)),BC295)</f>
        <v>0</v>
      </c>
      <c r="BF295" s="20" t="n">
        <f aca="false">IF(OR(C295&gt;=PR_AgeCrAge,AG295&gt;=PR_AgeCrAge),IF(AZ295&lt;=PR_AgeExM,0,MIN(BE295,PR_AgeMarg*(AZ295-PR_AgeExM))),BE295)</f>
        <v>0</v>
      </c>
      <c r="BG295" s="20" t="n">
        <f aca="false">MAX(0,PR_r1*MIN(AS295,IF(F_Spccc=1,PR_BandSPCCC,PR_Band))+PR_r2*MAX(0,AS295-IF(F_Spccc=1,PR_BandSPCCC,PR_Band))-(PR_Personal+AU295+AW295+IF(F_Spccc=1,PR_SPCCC,0)+IF(AY295=1,PR_Rent,0)))</f>
        <v>0</v>
      </c>
      <c r="BH295" s="20" t="n">
        <f aca="false">IF(C295&gt;=PR_AgeCrAge,IF(AS295&lt;=PR_AgeEx,0,MIN(BG295,PR_AgeMarg*(AS295-PR_AgeEx))),BG295)</f>
        <v>0</v>
      </c>
      <c r="BI295" s="20" t="n">
        <f aca="false">IF(F_Partner=1,MAX(0,PR_r1*MIN(AT295,PR_Band)+PR_r2*MAX(0,AT295-PR_Band)-(PR_Personal+AV295+AX295+IF(AND(AY295=1,AT295&gt;0),PR_Rent,0))),0)</f>
        <v>0</v>
      </c>
      <c r="BJ295" s="20" t="n">
        <f aca="false">IF(AG295&gt;=PR_AgeCrAge,IF(AT295&lt;=PR_AgeEx,0,MIN(BI295,PR_AgeMarg*(AT295-PR_AgeEx))),BI295)</f>
        <v>0</v>
      </c>
      <c r="BK295" s="20" t="n">
        <f aca="false">IF(F_Partner=1,IF(F_Married=1,BF295,BH295+BJ295),BH295)</f>
        <v>0</v>
      </c>
      <c r="BL295" s="20" t="n">
        <f aca="false">AL295+AN295+AO295</f>
        <v>0</v>
      </c>
      <c r="BM295" s="20" t="n">
        <f aca="false">IF(BL295&lt;=PR_USCex,0,IF(IF(AND(C295&gt;=PR_USCredAge,BL295&lt;=PR_USCredMax),1,0)=1,PR_USCr1*MIN(BL295,PR_USCredB1)+PR_USCredR2*MAX(0,BL295-PR_USCredB1),PR_USCr1*MIN(BL295,PR_USCb1)+PR_USCr2*MAX(0,MIN(BL295,PR_USCb2)-PR_USCb1)+PR_USCr3*MAX(0,MIN(BL295,PR_USCb3)-PR_USCb2)+PR_USCr4*MAX(0,BL295-PR_USCb3)))+IF(F_SelfEmp=1,PR_USCse*MAX(0,AL295-PR_USCseOver),0)</f>
        <v>0</v>
      </c>
      <c r="BN295" s="20" t="n">
        <f aca="false">AQ295</f>
        <v>0</v>
      </c>
      <c r="BO295" s="20" t="n">
        <f aca="false">IF(F_Partner=1,IF(BN295&lt;=PR_USCex,0,IF(IF(AND(AG295&gt;=PR_USCredAge,BN295&lt;=PR_USCredMax),1,0)=1,PR_USCr1*MIN(BN295,PR_USCredB1)+PR_USCredR2*MAX(0,BN295-PR_USCredB1),PR_USCr1*MIN(BN295,PR_USCb1)+PR_USCr2*MAX(0,MIN(BN295,PR_USCb2)-PR_USCb1)+PR_USCr3*MAX(0,MIN(BN295,PR_USCb3)-PR_USCb2)+PR_USCr4*MAX(0,BN295-PR_USCb3))),0)</f>
        <v>0</v>
      </c>
      <c r="BP295" s="20" t="n">
        <f aca="false">IF(C295&lt;PR_PRSIend,IF(F_SelfEmp=1,IF(AL295&gt;PR_PRSIsMinInc,MAX(PR_PRSIsMin,AL295*J295),0),IF(AL295/52&lt;=PR_PRSIfree,0,MAX(0,(AL295/52*J295-IF(AL295/52&lt;=PR_PRSIcreditTo,MAX(0,PR_PRSIcreditMax-(AL295/52-(PR_PRSIfree+0.01))/PR_PRSItaper),0))*52)))+J295*AN295+IF(AO295&gt;PR_PRSIunearned,J295*AO295,0),0)</f>
        <v>0</v>
      </c>
      <c r="BQ295" s="20" t="n">
        <f aca="false">IF(AND(F_Partner=1,AG295&lt;PR_PRSIend),IF(AQ295/52&lt;=PR_PRSIfree,0,MAX(0,(AQ295/52*J295-IF(AQ295/52&lt;=PR_PRSIcreditTo,MAX(0,PR_PRSIcreditMax-(AQ295/52-(PR_PRSIfree+0.01))/PR_PRSItaper),0))*52)),0)</f>
        <v>0</v>
      </c>
      <c r="BR295" s="20" t="n">
        <f aca="false">BK295+BM295+BO295+BP295+BQ295</f>
        <v>0</v>
      </c>
      <c r="BS295" s="20" t="n">
        <f aca="false">BR295*H295</f>
        <v>0</v>
      </c>
      <c r="BT295" s="20" t="n">
        <f aca="false">K295+AK295+AC295+AF295+AH295+AI295</f>
        <v>95494.9575581971</v>
      </c>
    </row>
    <row r="296" customFormat="false" ht="15" hidden="false" customHeight="true" outlineLevel="0" collapsed="false">
      <c r="B296" s="20" t="n">
        <v>62</v>
      </c>
      <c r="C296" s="20" t="n">
        <f aca="false">F_Age+B296</f>
        <v>100</v>
      </c>
      <c r="D296" s="20" t="n">
        <f aca="false">AS_Year0+B296</f>
        <v>2089</v>
      </c>
      <c r="E296" s="44" t="n">
        <f aca="false">(1+AS_Infl)^B296</f>
        <v>3.41358443221538</v>
      </c>
      <c r="F296" s="44" t="n">
        <f aca="false">(1+AS_Wage)^B296</f>
        <v>6.25040173308213</v>
      </c>
      <c r="G296" s="20" t="n">
        <f aca="false">IF(C296&lt;F_R,1,0)</f>
        <v>0</v>
      </c>
      <c r="H296" s="44" t="n">
        <f aca="false">IF(AS_Bands="flat",1,E296)</f>
        <v>3.41358443221538</v>
      </c>
      <c r="I296" s="44" t="n">
        <f aca="false">IF(AS_SpGrow="pay",F296,IF(AS_SpGrow="flat",1,E296))</f>
        <v>3.41358443221538</v>
      </c>
      <c r="J296" s="44" t="n">
        <f aca="false">(12*PR_PRSIr0+(PR_PRSIr1-PR_PRSIr0)*MAX(0,MIN(12,D296*12+12-PR_PRSIt1))+(PR_PRSIr2-PR_PRSIr1)*MAX(0,MIN(12,D296*12+12-PR_PRSIt2))+(PR_PRSIr3-PR_PRSIr2)*MAX(0,MIN(12,D296*12+12-PR_PRSIt3)))/12</f>
        <v>0.047</v>
      </c>
      <c r="K296" s="20" t="n">
        <f aca="false">IF(G296=1,F_Income*F296,0)</f>
        <v>0</v>
      </c>
      <c r="L296" s="20" t="n">
        <f aca="false">IF(G296=1,(F_Own+In_penExtra)*12*F296,0)</f>
        <v>0</v>
      </c>
      <c r="M296" s="20" t="n">
        <f aca="false">IF(G296=1,(F_PenM+In_penExtra)*12*F296,0)</f>
        <v>0</v>
      </c>
      <c r="N296" s="45" t="n">
        <f aca="false">IF(C296&lt;PR_RelA1,PR_RelP1,IF(C296&lt;PR_RelA2,PR_RelP2,IF(C296&lt;PR_RelA3,PR_RelP3,IF(C296&lt;PR_RelA4,PR_RelP4,IF(C296&lt;PR_RelA5,PR_RelP5,PR_RelP6)))))</f>
        <v>0.4</v>
      </c>
      <c r="O296" s="20" t="n">
        <f aca="false">IF(G296=1,MIN(L296/H296,N296*MIN(K296/H296,PR_EarnCap))*H296,0)</f>
        <v>0</v>
      </c>
      <c r="P296" s="20" t="n">
        <f aca="false">IF(AND(G296=1,F_AE=1),MIN(K296/H296,PR_AEcap)*H296,0)</f>
        <v>0</v>
      </c>
      <c r="Q296" s="20" t="n">
        <f aca="false">IF(G296=1,IF(WI_Retire=1,MAX(0,M296+WI_M*12),M296)+(PR_AEee+PR_AEer+PR_AEst)*P296,0)</f>
        <v>0</v>
      </c>
      <c r="R296" s="20" t="n">
        <f aca="false">L296+PR_AEee*P296</f>
        <v>0</v>
      </c>
      <c r="S296" s="20" t="n">
        <f aca="false">AD295</f>
        <v>0</v>
      </c>
      <c r="T296" s="20" t="n">
        <f aca="false">IF(D296&lt;=PR_SFTfrom,PR_SFT2026,IF(D296=PR_SFTfrom+1,PR_SFT2027,IF(D296=PR_SFTfrom+2,PR_SFT2028,IF(D296&lt;=PR_SFTto,PR_SFT2029,PR_SFT2029*(1+AS_Infl)^(D296-PR_SFTto)))))</f>
        <v>9186886.20742316</v>
      </c>
      <c r="U296" s="20" t="n">
        <f aca="false">IF(AND(G296=0,C296=F_V),1,0)</f>
        <v>0</v>
      </c>
      <c r="V296" s="20" t="n">
        <f aca="false">IF(U296=1,PR_SFTrate*MAX(0,S296-T296),0)</f>
        <v>0</v>
      </c>
      <c r="W296" s="20" t="n">
        <f aca="false">S296-V296</f>
        <v>0</v>
      </c>
      <c r="X296" s="20" t="n">
        <f aca="false">IF(AND(U296=1,AS_LumpPct&gt;0),W296*MIN(AS_LumpPct,PR_LSmax),0)</f>
        <v>0</v>
      </c>
      <c r="Y296" s="20" t="n">
        <f aca="false">X296-(PR_LSrate*MAX(0,MIN(X296,PR_LScap)-PR_LSfree)+PR_r2*MAX(0,X296-PR_LScap))</f>
        <v>0</v>
      </c>
      <c r="Z296" s="20" t="n">
        <f aca="false">W296-X296</f>
        <v>0</v>
      </c>
      <c r="AA296" s="45" t="n">
        <f aca="false">IF(C296&gt;=PR_ARFage1,IF(Z296&gt;PR_ARFbig,PR_ARFbigRate,IF(C296&gt;=PR_ARFage2,PR_ARF71,PR_ARF61)),0)</f>
        <v>0.05</v>
      </c>
      <c r="AB296" s="20" t="n">
        <f aca="false">IF(AS_DrawRule="min",Z296*AA296,IF(AS_DrawRule="fixed",MAX(AS_DrawFixed*E296,Z296*AA296),Z296*MAX(1/MAX(1,AS_End-C296+1),AA296)))</f>
        <v>0</v>
      </c>
      <c r="AC296" s="20" t="n">
        <f aca="false">IF(AND(G296=0,C296&gt;=F_V),MIN(Z296,AB296),0)</f>
        <v>0</v>
      </c>
      <c r="AD296" s="20" t="n">
        <f aca="false">IF(G296=1,S296*(1+F_PenG)+Q296,IF(C296&lt;F_V,S296*(1+F_PenG),(Z296-AC296)*(1+AS_PenRet)))</f>
        <v>0</v>
      </c>
      <c r="AE296" s="20" t="n">
        <f aca="false">IF(C296&gt;=PR_SPage,AS_SP*F_SpF*I296+IF(AND(C296&gt;=PR_Over80Age,F_SpF&gt;0),PR_Over80*PR_Weeks*I296,0),0)</f>
        <v>54902.7265739792</v>
      </c>
      <c r="AF296" s="20" t="n">
        <f aca="false">(F_OtherM+F_RentM)*12*E296</f>
        <v>0</v>
      </c>
      <c r="AG296" s="20" t="n">
        <f aca="false">F_PAge+B296</f>
        <v>99</v>
      </c>
      <c r="AH296" s="20" t="n">
        <f aca="false">IF(AND(F_Partner=1,F_PAge&gt;0,AG296&lt;IF(F_PRet&gt;0,F_PRet,PR_SPage)),F_PIncome*F296,0)</f>
        <v>0</v>
      </c>
      <c r="AI296" s="20" t="n">
        <f aca="false">IF(AND(F_Partner=1,AG296&gt;=PR_SPage,F_PSpQA=0),AS_SP*F_PSpF*I296,0)</f>
        <v>42502.1301353818</v>
      </c>
      <c r="AJ296" s="20" t="n">
        <f aca="false">IF(AND(F_Partner=1,F_PSpQA=1,C296&gt;=PR_SPage,AH296=0),IF(AG296&gt;=PR_SPage,PR_QA66,PR_QAunder)*PR_Weeks*I296,0)</f>
        <v>0</v>
      </c>
      <c r="AK296" s="20" t="n">
        <f aca="false">AE296+AJ296</f>
        <v>54902.7265739792</v>
      </c>
      <c r="AL296" s="20" t="n">
        <f aca="false">K296/H296</f>
        <v>0</v>
      </c>
      <c r="AM296" s="20" t="n">
        <f aca="false">AK296/H296</f>
        <v>16083.6</v>
      </c>
      <c r="AN296" s="20" t="n">
        <f aca="false">AC296/H296</f>
        <v>0</v>
      </c>
      <c r="AO296" s="20" t="n">
        <f aca="false">AF296/H296</f>
        <v>0</v>
      </c>
      <c r="AP296" s="20" t="n">
        <f aca="false">O296/H296</f>
        <v>0</v>
      </c>
      <c r="AQ296" s="20" t="n">
        <f aca="false">AH296/H296</f>
        <v>0</v>
      </c>
      <c r="AR296" s="20" t="n">
        <f aca="false">AI296/H296</f>
        <v>12450.88</v>
      </c>
      <c r="AS296" s="20" t="n">
        <f aca="false">MAX(0,AL296+AN296+AO296+AM296-AP296)</f>
        <v>16083.6</v>
      </c>
      <c r="AT296" s="20" t="n">
        <f aca="false">MAX(0,AQ296+AR296)</f>
        <v>12450.88</v>
      </c>
      <c r="AU296" s="20" t="n">
        <f aca="false">MIN(PR_PAYE,PR_PAYEcap*(AL296+AN296+AM296))</f>
        <v>2000</v>
      </c>
      <c r="AV296" s="20" t="n">
        <f aca="false">MIN(PR_PAYE,PR_PAYEcap*(AQ296+AR296))</f>
        <v>2000</v>
      </c>
      <c r="AW296" s="20" t="n">
        <f aca="false">IF(C296&gt;=PR_AgeCrAge,PR_AgeCr,0)</f>
        <v>245</v>
      </c>
      <c r="AX296" s="20" t="n">
        <f aca="false">IF(AG296&gt;=PR_AgeCrAge,PR_AgeCr,0)</f>
        <v>245</v>
      </c>
      <c r="AY296" s="20" t="n">
        <f aca="false">IF(AND(F_RentCred=1,D296&lt;=PR_RentLast),1,0)</f>
        <v>0</v>
      </c>
      <c r="AZ296" s="20" t="n">
        <f aca="false">AS296+AT296</f>
        <v>28534.48</v>
      </c>
      <c r="BA296" s="20" t="n">
        <f aca="false">PR_PersonalM+AU296+AV296+AW296+AX296+IF(AY296=1,PR_RentJoint,0)</f>
        <v>8490</v>
      </c>
      <c r="BB296" s="20" t="n">
        <f aca="false">PR_BandM+MIN(MIN(AS296,AT296),PR_Uplift)</f>
        <v>65450.88</v>
      </c>
      <c r="BC296" s="20" t="n">
        <f aca="false">MAX(0,PR_r1*MIN(AZ296,BB296)+PR_r2*MAX(0,AZ296-BB296)-BA296)</f>
        <v>0</v>
      </c>
      <c r="BD296" s="20" t="n">
        <f aca="false">MAX(0,PR_HomeCarer-MAX(0,MIN(AS296,AT296)-PR_HCLimit)/2)</f>
        <v>0</v>
      </c>
      <c r="BE296" s="20" t="n">
        <f aca="false">IF(F_Carer=1,MIN(BC296,MAX(0,PR_r1*MIN(AZ296,PR_BandM)+PR_r2*MAX(0,AZ296-PR_BandM)-BA296-BD296)),BC296)</f>
        <v>0</v>
      </c>
      <c r="BF296" s="20" t="n">
        <f aca="false">IF(OR(C296&gt;=PR_AgeCrAge,AG296&gt;=PR_AgeCrAge),IF(AZ296&lt;=PR_AgeExM,0,MIN(BE296,PR_AgeMarg*(AZ296-PR_AgeExM))),BE296)</f>
        <v>0</v>
      </c>
      <c r="BG296" s="20" t="n">
        <f aca="false">MAX(0,PR_r1*MIN(AS296,IF(F_Spccc=1,PR_BandSPCCC,PR_Band))+PR_r2*MAX(0,AS296-IF(F_Spccc=1,PR_BandSPCCC,PR_Band))-(PR_Personal+AU296+AW296+IF(F_Spccc=1,PR_SPCCC,0)+IF(AY296=1,PR_Rent,0)))</f>
        <v>0</v>
      </c>
      <c r="BH296" s="20" t="n">
        <f aca="false">IF(C296&gt;=PR_AgeCrAge,IF(AS296&lt;=PR_AgeEx,0,MIN(BG296,PR_AgeMarg*(AS296-PR_AgeEx))),BG296)</f>
        <v>0</v>
      </c>
      <c r="BI296" s="20" t="n">
        <f aca="false">IF(F_Partner=1,MAX(0,PR_r1*MIN(AT296,PR_Band)+PR_r2*MAX(0,AT296-PR_Band)-(PR_Personal+AV296+AX296+IF(AND(AY296=1,AT296&gt;0),PR_Rent,0))),0)</f>
        <v>0</v>
      </c>
      <c r="BJ296" s="20" t="n">
        <f aca="false">IF(AG296&gt;=PR_AgeCrAge,IF(AT296&lt;=PR_AgeEx,0,MIN(BI296,PR_AgeMarg*(AT296-PR_AgeEx))),BI296)</f>
        <v>0</v>
      </c>
      <c r="BK296" s="20" t="n">
        <f aca="false">IF(F_Partner=1,IF(F_Married=1,BF296,BH296+BJ296),BH296)</f>
        <v>0</v>
      </c>
      <c r="BL296" s="20" t="n">
        <f aca="false">AL296+AN296+AO296</f>
        <v>0</v>
      </c>
      <c r="BM296" s="20" t="n">
        <f aca="false">IF(BL296&lt;=PR_USCex,0,IF(IF(AND(C296&gt;=PR_USCredAge,BL296&lt;=PR_USCredMax),1,0)=1,PR_USCr1*MIN(BL296,PR_USCredB1)+PR_USCredR2*MAX(0,BL296-PR_USCredB1),PR_USCr1*MIN(BL296,PR_USCb1)+PR_USCr2*MAX(0,MIN(BL296,PR_USCb2)-PR_USCb1)+PR_USCr3*MAX(0,MIN(BL296,PR_USCb3)-PR_USCb2)+PR_USCr4*MAX(0,BL296-PR_USCb3)))+IF(F_SelfEmp=1,PR_USCse*MAX(0,AL296-PR_USCseOver),0)</f>
        <v>0</v>
      </c>
      <c r="BN296" s="20" t="n">
        <f aca="false">AQ296</f>
        <v>0</v>
      </c>
      <c r="BO296" s="20" t="n">
        <f aca="false">IF(F_Partner=1,IF(BN296&lt;=PR_USCex,0,IF(IF(AND(AG296&gt;=PR_USCredAge,BN296&lt;=PR_USCredMax),1,0)=1,PR_USCr1*MIN(BN296,PR_USCredB1)+PR_USCredR2*MAX(0,BN296-PR_USCredB1),PR_USCr1*MIN(BN296,PR_USCb1)+PR_USCr2*MAX(0,MIN(BN296,PR_USCb2)-PR_USCb1)+PR_USCr3*MAX(0,MIN(BN296,PR_USCb3)-PR_USCb2)+PR_USCr4*MAX(0,BN296-PR_USCb3))),0)</f>
        <v>0</v>
      </c>
      <c r="BP296" s="20" t="n">
        <f aca="false">IF(C296&lt;PR_PRSIend,IF(F_SelfEmp=1,IF(AL296&gt;PR_PRSIsMinInc,MAX(PR_PRSIsMin,AL296*J296),0),IF(AL296/52&lt;=PR_PRSIfree,0,MAX(0,(AL296/52*J296-IF(AL296/52&lt;=PR_PRSIcreditTo,MAX(0,PR_PRSIcreditMax-(AL296/52-(PR_PRSIfree+0.01))/PR_PRSItaper),0))*52)))+J296*AN296+IF(AO296&gt;PR_PRSIunearned,J296*AO296,0),0)</f>
        <v>0</v>
      </c>
      <c r="BQ296" s="20" t="n">
        <f aca="false">IF(AND(F_Partner=1,AG296&lt;PR_PRSIend),IF(AQ296/52&lt;=PR_PRSIfree,0,MAX(0,(AQ296/52*J296-IF(AQ296/52&lt;=PR_PRSIcreditTo,MAX(0,PR_PRSIcreditMax-(AQ296/52-(PR_PRSIfree+0.01))/PR_PRSItaper),0))*52)),0)</f>
        <v>0</v>
      </c>
      <c r="BR296" s="20" t="n">
        <f aca="false">BK296+BM296+BO296+BP296+BQ296</f>
        <v>0</v>
      </c>
      <c r="BS296" s="20" t="n">
        <f aca="false">BR296*H296</f>
        <v>0</v>
      </c>
      <c r="BT296" s="20" t="n">
        <f aca="false">K296+AK296+AC296+AF296+AH296+AI296</f>
        <v>97404.8567093611</v>
      </c>
    </row>
    <row r="297" customFormat="false" ht="15" hidden="false" customHeight="true" outlineLevel="0" collapsed="false">
      <c r="B297" s="20" t="n">
        <v>63</v>
      </c>
      <c r="C297" s="20" t="n">
        <f aca="false">F_Age+B297</f>
        <v>101</v>
      </c>
      <c r="D297" s="20" t="n">
        <f aca="false">AS_Year0+B297</f>
        <v>2090</v>
      </c>
      <c r="E297" s="44" t="n">
        <f aca="false">(1+AS_Infl)^B297</f>
        <v>3.48185612085969</v>
      </c>
      <c r="F297" s="44" t="n">
        <f aca="false">(1+AS_Wage)^B297</f>
        <v>6.4379137850746</v>
      </c>
      <c r="G297" s="20" t="n">
        <f aca="false">IF(C297&lt;F_R,1,0)</f>
        <v>0</v>
      </c>
      <c r="H297" s="44" t="n">
        <f aca="false">IF(AS_Bands="flat",1,E297)</f>
        <v>3.48185612085969</v>
      </c>
      <c r="I297" s="44" t="n">
        <f aca="false">IF(AS_SpGrow="pay",F297,IF(AS_SpGrow="flat",1,E297))</f>
        <v>3.48185612085969</v>
      </c>
      <c r="J297" s="44" t="n">
        <f aca="false">(12*PR_PRSIr0+(PR_PRSIr1-PR_PRSIr0)*MAX(0,MIN(12,D297*12+12-PR_PRSIt1))+(PR_PRSIr2-PR_PRSIr1)*MAX(0,MIN(12,D297*12+12-PR_PRSIt2))+(PR_PRSIr3-PR_PRSIr2)*MAX(0,MIN(12,D297*12+12-PR_PRSIt3)))/12</f>
        <v>0.047</v>
      </c>
      <c r="K297" s="20" t="n">
        <f aca="false">IF(G297=1,F_Income*F297,0)</f>
        <v>0</v>
      </c>
      <c r="L297" s="20" t="n">
        <f aca="false">IF(G297=1,(F_Own+In_penExtra)*12*F297,0)</f>
        <v>0</v>
      </c>
      <c r="M297" s="20" t="n">
        <f aca="false">IF(G297=1,(F_PenM+In_penExtra)*12*F297,0)</f>
        <v>0</v>
      </c>
      <c r="N297" s="45" t="n">
        <f aca="false">IF(C297&lt;PR_RelA1,PR_RelP1,IF(C297&lt;PR_RelA2,PR_RelP2,IF(C297&lt;PR_RelA3,PR_RelP3,IF(C297&lt;PR_RelA4,PR_RelP4,IF(C297&lt;PR_RelA5,PR_RelP5,PR_RelP6)))))</f>
        <v>0.4</v>
      </c>
      <c r="O297" s="20" t="n">
        <f aca="false">IF(G297=1,MIN(L297/H297,N297*MIN(K297/H297,PR_EarnCap))*H297,0)</f>
        <v>0</v>
      </c>
      <c r="P297" s="20" t="n">
        <f aca="false">IF(AND(G297=1,F_AE=1),MIN(K297/H297,PR_AEcap)*H297,0)</f>
        <v>0</v>
      </c>
      <c r="Q297" s="20" t="n">
        <f aca="false">IF(G297=1,IF(WI_Retire=1,MAX(0,M297+WI_M*12),M297)+(PR_AEee+PR_AEer+PR_AEst)*P297,0)</f>
        <v>0</v>
      </c>
      <c r="R297" s="20" t="n">
        <f aca="false">L297+PR_AEee*P297</f>
        <v>0</v>
      </c>
      <c r="S297" s="20" t="n">
        <f aca="false">AD296</f>
        <v>0</v>
      </c>
      <c r="T297" s="20" t="n">
        <f aca="false">IF(D297&lt;=PR_SFTfrom,PR_SFT2026,IF(D297=PR_SFTfrom+1,PR_SFT2027,IF(D297=PR_SFTfrom+2,PR_SFT2028,IF(D297&lt;=PR_SFTto,PR_SFT2029,PR_SFT2029*(1+AS_Infl)^(D297-PR_SFTto)))))</f>
        <v>9370623.93157162</v>
      </c>
      <c r="U297" s="20" t="n">
        <f aca="false">IF(AND(G297=0,C297=F_V),1,0)</f>
        <v>0</v>
      </c>
      <c r="V297" s="20" t="n">
        <f aca="false">IF(U297=1,PR_SFTrate*MAX(0,S297-T297),0)</f>
        <v>0</v>
      </c>
      <c r="W297" s="20" t="n">
        <f aca="false">S297-V297</f>
        <v>0</v>
      </c>
      <c r="X297" s="20" t="n">
        <f aca="false">IF(AND(U297=1,AS_LumpPct&gt;0),W297*MIN(AS_LumpPct,PR_LSmax),0)</f>
        <v>0</v>
      </c>
      <c r="Y297" s="20" t="n">
        <f aca="false">X297-(PR_LSrate*MAX(0,MIN(X297,PR_LScap)-PR_LSfree)+PR_r2*MAX(0,X297-PR_LScap))</f>
        <v>0</v>
      </c>
      <c r="Z297" s="20" t="n">
        <f aca="false">W297-X297</f>
        <v>0</v>
      </c>
      <c r="AA297" s="45" t="n">
        <f aca="false">IF(C297&gt;=PR_ARFage1,IF(Z297&gt;PR_ARFbig,PR_ARFbigRate,IF(C297&gt;=PR_ARFage2,PR_ARF71,PR_ARF61)),0)</f>
        <v>0.05</v>
      </c>
      <c r="AB297" s="20" t="n">
        <f aca="false">IF(AS_DrawRule="min",Z297*AA297,IF(AS_DrawRule="fixed",MAX(AS_DrawFixed*E297,Z297*AA297),Z297*MAX(1/MAX(1,AS_End-C297+1),AA297)))</f>
        <v>0</v>
      </c>
      <c r="AC297" s="20" t="n">
        <f aca="false">IF(AND(G297=0,C297&gt;=F_V),MIN(Z297,AB297),0)</f>
        <v>0</v>
      </c>
      <c r="AD297" s="20" t="n">
        <f aca="false">IF(G297=1,S297*(1+F_PenG)+Q297,IF(C297&lt;F_V,S297*(1+F_PenG),(Z297-AC297)*(1+AS_PenRet)))</f>
        <v>0</v>
      </c>
      <c r="AE297" s="20" t="n">
        <f aca="false">IF(C297&gt;=PR_SPage,AS_SP*F_SpF*I297+IF(AND(C297&gt;=PR_Over80Age,F_SpF&gt;0),PR_Over80*PR_Weeks*I297,0),0)</f>
        <v>56000.7811054588</v>
      </c>
      <c r="AF297" s="20" t="n">
        <f aca="false">(F_OtherM+F_RentM)*12*E297</f>
        <v>0</v>
      </c>
      <c r="AG297" s="20" t="n">
        <f aca="false">F_PAge+B297</f>
        <v>100</v>
      </c>
      <c r="AH297" s="20" t="n">
        <f aca="false">IF(AND(F_Partner=1,F_PAge&gt;0,AG297&lt;IF(F_PRet&gt;0,F_PRet,PR_SPage)),F_PIncome*F297,0)</f>
        <v>0</v>
      </c>
      <c r="AI297" s="20" t="n">
        <f aca="false">IF(AND(F_Partner=1,AG297&gt;=PR_SPage,F_PSpQA=0),AS_SP*F_PSpF*I297,0)</f>
        <v>43352.1727380894</v>
      </c>
      <c r="AJ297" s="20" t="n">
        <f aca="false">IF(AND(F_Partner=1,F_PSpQA=1,C297&gt;=PR_SPage,AH297=0),IF(AG297&gt;=PR_SPage,PR_QA66,PR_QAunder)*PR_Weeks*I297,0)</f>
        <v>0</v>
      </c>
      <c r="AK297" s="20" t="n">
        <f aca="false">AE297+AJ297</f>
        <v>56000.7811054588</v>
      </c>
      <c r="AL297" s="20" t="n">
        <f aca="false">K297/H297</f>
        <v>0</v>
      </c>
      <c r="AM297" s="20" t="n">
        <f aca="false">AK297/H297</f>
        <v>16083.6</v>
      </c>
      <c r="AN297" s="20" t="n">
        <f aca="false">AC297/H297</f>
        <v>0</v>
      </c>
      <c r="AO297" s="20" t="n">
        <f aca="false">AF297/H297</f>
        <v>0</v>
      </c>
      <c r="AP297" s="20" t="n">
        <f aca="false">O297/H297</f>
        <v>0</v>
      </c>
      <c r="AQ297" s="20" t="n">
        <f aca="false">AH297/H297</f>
        <v>0</v>
      </c>
      <c r="AR297" s="20" t="n">
        <f aca="false">AI297/H297</f>
        <v>12450.88</v>
      </c>
      <c r="AS297" s="20" t="n">
        <f aca="false">MAX(0,AL297+AN297+AO297+AM297-AP297)</f>
        <v>16083.6</v>
      </c>
      <c r="AT297" s="20" t="n">
        <f aca="false">MAX(0,AQ297+AR297)</f>
        <v>12450.88</v>
      </c>
      <c r="AU297" s="20" t="n">
        <f aca="false">MIN(PR_PAYE,PR_PAYEcap*(AL297+AN297+AM297))</f>
        <v>2000</v>
      </c>
      <c r="AV297" s="20" t="n">
        <f aca="false">MIN(PR_PAYE,PR_PAYEcap*(AQ297+AR297))</f>
        <v>2000</v>
      </c>
      <c r="AW297" s="20" t="n">
        <f aca="false">IF(C297&gt;=PR_AgeCrAge,PR_AgeCr,0)</f>
        <v>245</v>
      </c>
      <c r="AX297" s="20" t="n">
        <f aca="false">IF(AG297&gt;=PR_AgeCrAge,PR_AgeCr,0)</f>
        <v>245</v>
      </c>
      <c r="AY297" s="20" t="n">
        <f aca="false">IF(AND(F_RentCred=1,D297&lt;=PR_RentLast),1,0)</f>
        <v>0</v>
      </c>
      <c r="AZ297" s="20" t="n">
        <f aca="false">AS297+AT297</f>
        <v>28534.48</v>
      </c>
      <c r="BA297" s="20" t="n">
        <f aca="false">PR_PersonalM+AU297+AV297+AW297+AX297+IF(AY297=1,PR_RentJoint,0)</f>
        <v>8490</v>
      </c>
      <c r="BB297" s="20" t="n">
        <f aca="false">PR_BandM+MIN(MIN(AS297,AT297),PR_Uplift)</f>
        <v>65450.88</v>
      </c>
      <c r="BC297" s="20" t="n">
        <f aca="false">MAX(0,PR_r1*MIN(AZ297,BB297)+PR_r2*MAX(0,AZ297-BB297)-BA297)</f>
        <v>0</v>
      </c>
      <c r="BD297" s="20" t="n">
        <f aca="false">MAX(0,PR_HomeCarer-MAX(0,MIN(AS297,AT297)-PR_HCLimit)/2)</f>
        <v>0</v>
      </c>
      <c r="BE297" s="20" t="n">
        <f aca="false">IF(F_Carer=1,MIN(BC297,MAX(0,PR_r1*MIN(AZ297,PR_BandM)+PR_r2*MAX(0,AZ297-PR_BandM)-BA297-BD297)),BC297)</f>
        <v>0</v>
      </c>
      <c r="BF297" s="20" t="n">
        <f aca="false">IF(OR(C297&gt;=PR_AgeCrAge,AG297&gt;=PR_AgeCrAge),IF(AZ297&lt;=PR_AgeExM,0,MIN(BE297,PR_AgeMarg*(AZ297-PR_AgeExM))),BE297)</f>
        <v>0</v>
      </c>
      <c r="BG297" s="20" t="n">
        <f aca="false">MAX(0,PR_r1*MIN(AS297,IF(F_Spccc=1,PR_BandSPCCC,PR_Band))+PR_r2*MAX(0,AS297-IF(F_Spccc=1,PR_BandSPCCC,PR_Band))-(PR_Personal+AU297+AW297+IF(F_Spccc=1,PR_SPCCC,0)+IF(AY297=1,PR_Rent,0)))</f>
        <v>0</v>
      </c>
      <c r="BH297" s="20" t="n">
        <f aca="false">IF(C297&gt;=PR_AgeCrAge,IF(AS297&lt;=PR_AgeEx,0,MIN(BG297,PR_AgeMarg*(AS297-PR_AgeEx))),BG297)</f>
        <v>0</v>
      </c>
      <c r="BI297" s="20" t="n">
        <f aca="false">IF(F_Partner=1,MAX(0,PR_r1*MIN(AT297,PR_Band)+PR_r2*MAX(0,AT297-PR_Band)-(PR_Personal+AV297+AX297+IF(AND(AY297=1,AT297&gt;0),PR_Rent,0))),0)</f>
        <v>0</v>
      </c>
      <c r="BJ297" s="20" t="n">
        <f aca="false">IF(AG297&gt;=PR_AgeCrAge,IF(AT297&lt;=PR_AgeEx,0,MIN(BI297,PR_AgeMarg*(AT297-PR_AgeEx))),BI297)</f>
        <v>0</v>
      </c>
      <c r="BK297" s="20" t="n">
        <f aca="false">IF(F_Partner=1,IF(F_Married=1,BF297,BH297+BJ297),BH297)</f>
        <v>0</v>
      </c>
      <c r="BL297" s="20" t="n">
        <f aca="false">AL297+AN297+AO297</f>
        <v>0</v>
      </c>
      <c r="BM297" s="20" t="n">
        <f aca="false">IF(BL297&lt;=PR_USCex,0,IF(IF(AND(C297&gt;=PR_USCredAge,BL297&lt;=PR_USCredMax),1,0)=1,PR_USCr1*MIN(BL297,PR_USCredB1)+PR_USCredR2*MAX(0,BL297-PR_USCredB1),PR_USCr1*MIN(BL297,PR_USCb1)+PR_USCr2*MAX(0,MIN(BL297,PR_USCb2)-PR_USCb1)+PR_USCr3*MAX(0,MIN(BL297,PR_USCb3)-PR_USCb2)+PR_USCr4*MAX(0,BL297-PR_USCb3)))+IF(F_SelfEmp=1,PR_USCse*MAX(0,AL297-PR_USCseOver),0)</f>
        <v>0</v>
      </c>
      <c r="BN297" s="20" t="n">
        <f aca="false">AQ297</f>
        <v>0</v>
      </c>
      <c r="BO297" s="20" t="n">
        <f aca="false">IF(F_Partner=1,IF(BN297&lt;=PR_USCex,0,IF(IF(AND(AG297&gt;=PR_USCredAge,BN297&lt;=PR_USCredMax),1,0)=1,PR_USCr1*MIN(BN297,PR_USCredB1)+PR_USCredR2*MAX(0,BN297-PR_USCredB1),PR_USCr1*MIN(BN297,PR_USCb1)+PR_USCr2*MAX(0,MIN(BN297,PR_USCb2)-PR_USCb1)+PR_USCr3*MAX(0,MIN(BN297,PR_USCb3)-PR_USCb2)+PR_USCr4*MAX(0,BN297-PR_USCb3))),0)</f>
        <v>0</v>
      </c>
      <c r="BP297" s="20" t="n">
        <f aca="false">IF(C297&lt;PR_PRSIend,IF(F_SelfEmp=1,IF(AL297&gt;PR_PRSIsMinInc,MAX(PR_PRSIsMin,AL297*J297),0),IF(AL297/52&lt;=PR_PRSIfree,0,MAX(0,(AL297/52*J297-IF(AL297/52&lt;=PR_PRSIcreditTo,MAX(0,PR_PRSIcreditMax-(AL297/52-(PR_PRSIfree+0.01))/PR_PRSItaper),0))*52)))+J297*AN297+IF(AO297&gt;PR_PRSIunearned,J297*AO297,0),0)</f>
        <v>0</v>
      </c>
      <c r="BQ297" s="20" t="n">
        <f aca="false">IF(AND(F_Partner=1,AG297&lt;PR_PRSIend),IF(AQ297/52&lt;=PR_PRSIfree,0,MAX(0,(AQ297/52*J297-IF(AQ297/52&lt;=PR_PRSIcreditTo,MAX(0,PR_PRSIcreditMax-(AQ297/52-(PR_PRSIfree+0.01))/PR_PRSItaper),0))*52)),0)</f>
        <v>0</v>
      </c>
      <c r="BR297" s="20" t="n">
        <f aca="false">BK297+BM297+BO297+BP297+BQ297</f>
        <v>0</v>
      </c>
      <c r="BS297" s="20" t="n">
        <f aca="false">BR297*H297</f>
        <v>0</v>
      </c>
      <c r="BT297" s="20" t="n">
        <f aca="false">K297+AK297+AC297+AF297+AH297+AI297</f>
        <v>99352.9538435483</v>
      </c>
    </row>
    <row r="298" customFormat="false" ht="15" hidden="false" customHeight="true" outlineLevel="0" collapsed="false">
      <c r="B298" s="20" t="n">
        <v>64</v>
      </c>
      <c r="C298" s="20" t="n">
        <f aca="false">F_Age+B298</f>
        <v>102</v>
      </c>
      <c r="D298" s="20" t="n">
        <f aca="false">AS_Year0+B298</f>
        <v>2091</v>
      </c>
      <c r="E298" s="44" t="n">
        <f aca="false">(1+AS_Infl)^B298</f>
        <v>3.55149324327688</v>
      </c>
      <c r="F298" s="44" t="n">
        <f aca="false">(1+AS_Wage)^B298</f>
        <v>6.63105119862683</v>
      </c>
      <c r="G298" s="20" t="n">
        <f aca="false">IF(C298&lt;F_R,1,0)</f>
        <v>0</v>
      </c>
      <c r="H298" s="44" t="n">
        <f aca="false">IF(AS_Bands="flat",1,E298)</f>
        <v>3.55149324327688</v>
      </c>
      <c r="I298" s="44" t="n">
        <f aca="false">IF(AS_SpGrow="pay",F298,IF(AS_SpGrow="flat",1,E298))</f>
        <v>3.55149324327688</v>
      </c>
      <c r="J298" s="44" t="n">
        <f aca="false">(12*PR_PRSIr0+(PR_PRSIr1-PR_PRSIr0)*MAX(0,MIN(12,D298*12+12-PR_PRSIt1))+(PR_PRSIr2-PR_PRSIr1)*MAX(0,MIN(12,D298*12+12-PR_PRSIt2))+(PR_PRSIr3-PR_PRSIr2)*MAX(0,MIN(12,D298*12+12-PR_PRSIt3)))/12</f>
        <v>0.047</v>
      </c>
      <c r="K298" s="20" t="n">
        <f aca="false">IF(G298=1,F_Income*F298,0)</f>
        <v>0</v>
      </c>
      <c r="L298" s="20" t="n">
        <f aca="false">IF(G298=1,(F_Own+In_penExtra)*12*F298,0)</f>
        <v>0</v>
      </c>
      <c r="M298" s="20" t="n">
        <f aca="false">IF(G298=1,(F_PenM+In_penExtra)*12*F298,0)</f>
        <v>0</v>
      </c>
      <c r="N298" s="45" t="n">
        <f aca="false">IF(C298&lt;PR_RelA1,PR_RelP1,IF(C298&lt;PR_RelA2,PR_RelP2,IF(C298&lt;PR_RelA3,PR_RelP3,IF(C298&lt;PR_RelA4,PR_RelP4,IF(C298&lt;PR_RelA5,PR_RelP5,PR_RelP6)))))</f>
        <v>0.4</v>
      </c>
      <c r="O298" s="20" t="n">
        <f aca="false">IF(G298=1,MIN(L298/H298,N298*MIN(K298/H298,PR_EarnCap))*H298,0)</f>
        <v>0</v>
      </c>
      <c r="P298" s="20" t="n">
        <f aca="false">IF(AND(G298=1,F_AE=1),MIN(K298/H298,PR_AEcap)*H298,0)</f>
        <v>0</v>
      </c>
      <c r="Q298" s="20" t="n">
        <f aca="false">IF(G298=1,IF(WI_Retire=1,MAX(0,M298+WI_M*12),M298)+(PR_AEee+PR_AEer+PR_AEst)*P298,0)</f>
        <v>0</v>
      </c>
      <c r="R298" s="20" t="n">
        <f aca="false">L298+PR_AEee*P298</f>
        <v>0</v>
      </c>
      <c r="S298" s="20" t="n">
        <f aca="false">AD297</f>
        <v>0</v>
      </c>
      <c r="T298" s="20" t="n">
        <f aca="false">IF(D298&lt;=PR_SFTfrom,PR_SFT2026,IF(D298=PR_SFTfrom+1,PR_SFT2027,IF(D298=PR_SFTfrom+2,PR_SFT2028,IF(D298&lt;=PR_SFTto,PR_SFT2029,PR_SFT2029*(1+AS_Infl)^(D298-PR_SFTto)))))</f>
        <v>9558036.41020306</v>
      </c>
      <c r="U298" s="20" t="n">
        <f aca="false">IF(AND(G298=0,C298=F_V),1,0)</f>
        <v>0</v>
      </c>
      <c r="V298" s="20" t="n">
        <f aca="false">IF(U298=1,PR_SFTrate*MAX(0,S298-T298),0)</f>
        <v>0</v>
      </c>
      <c r="W298" s="20" t="n">
        <f aca="false">S298-V298</f>
        <v>0</v>
      </c>
      <c r="X298" s="20" t="n">
        <f aca="false">IF(AND(U298=1,AS_LumpPct&gt;0),W298*MIN(AS_LumpPct,PR_LSmax),0)</f>
        <v>0</v>
      </c>
      <c r="Y298" s="20" t="n">
        <f aca="false">X298-(PR_LSrate*MAX(0,MIN(X298,PR_LScap)-PR_LSfree)+PR_r2*MAX(0,X298-PR_LScap))</f>
        <v>0</v>
      </c>
      <c r="Z298" s="20" t="n">
        <f aca="false">W298-X298</f>
        <v>0</v>
      </c>
      <c r="AA298" s="45" t="n">
        <f aca="false">IF(C298&gt;=PR_ARFage1,IF(Z298&gt;PR_ARFbig,PR_ARFbigRate,IF(C298&gt;=PR_ARFage2,PR_ARF71,PR_ARF61)),0)</f>
        <v>0.05</v>
      </c>
      <c r="AB298" s="20" t="n">
        <f aca="false">IF(AS_DrawRule="min",Z298*AA298,IF(AS_DrawRule="fixed",MAX(AS_DrawFixed*E298,Z298*AA298),Z298*MAX(1/MAX(1,AS_End-C298+1),AA298)))</f>
        <v>0</v>
      </c>
      <c r="AC298" s="20" t="n">
        <f aca="false">IF(AND(G298=0,C298&gt;=F_V),MIN(Z298,AB298),0)</f>
        <v>0</v>
      </c>
      <c r="AD298" s="20" t="n">
        <f aca="false">IF(G298=1,S298*(1+F_PenG)+Q298,IF(C298&lt;F_V,S298*(1+F_PenG),(Z298-AC298)*(1+AS_PenRet)))</f>
        <v>0</v>
      </c>
      <c r="AE298" s="20" t="n">
        <f aca="false">IF(C298&gt;=PR_SPage,AS_SP*F_SpF*I298+IF(AND(C298&gt;=PR_Over80Age,F_SpF&gt;0),PR_Over80*PR_Weeks*I298,0),0)</f>
        <v>57120.796727568</v>
      </c>
      <c r="AF298" s="20" t="n">
        <f aca="false">(F_OtherM+F_RentM)*12*E298</f>
        <v>0</v>
      </c>
      <c r="AG298" s="20" t="n">
        <f aca="false">F_PAge+B298</f>
        <v>101</v>
      </c>
      <c r="AH298" s="20" t="n">
        <f aca="false">IF(AND(F_Partner=1,F_PAge&gt;0,AG298&lt;IF(F_PRet&gt;0,F_PRet,PR_SPage)),F_PIncome*F298,0)</f>
        <v>0</v>
      </c>
      <c r="AI298" s="20" t="n">
        <f aca="false">IF(AND(F_Partner=1,AG298&gt;=PR_SPage,F_PSpQA=0),AS_SP*F_PSpF*I298,0)</f>
        <v>44219.2161928512</v>
      </c>
      <c r="AJ298" s="20" t="n">
        <f aca="false">IF(AND(F_Partner=1,F_PSpQA=1,C298&gt;=PR_SPage,AH298=0),IF(AG298&gt;=PR_SPage,PR_QA66,PR_QAunder)*PR_Weeks*I298,0)</f>
        <v>0</v>
      </c>
      <c r="AK298" s="20" t="n">
        <f aca="false">AE298+AJ298</f>
        <v>57120.796727568</v>
      </c>
      <c r="AL298" s="20" t="n">
        <f aca="false">K298/H298</f>
        <v>0</v>
      </c>
      <c r="AM298" s="20" t="n">
        <f aca="false">AK298/H298</f>
        <v>16083.6</v>
      </c>
      <c r="AN298" s="20" t="n">
        <f aca="false">AC298/H298</f>
        <v>0</v>
      </c>
      <c r="AO298" s="20" t="n">
        <f aca="false">AF298/H298</f>
        <v>0</v>
      </c>
      <c r="AP298" s="20" t="n">
        <f aca="false">O298/H298</f>
        <v>0</v>
      </c>
      <c r="AQ298" s="20" t="n">
        <f aca="false">AH298/H298</f>
        <v>0</v>
      </c>
      <c r="AR298" s="20" t="n">
        <f aca="false">AI298/H298</f>
        <v>12450.88</v>
      </c>
      <c r="AS298" s="20" t="n">
        <f aca="false">MAX(0,AL298+AN298+AO298+AM298-AP298)</f>
        <v>16083.6</v>
      </c>
      <c r="AT298" s="20" t="n">
        <f aca="false">MAX(0,AQ298+AR298)</f>
        <v>12450.88</v>
      </c>
      <c r="AU298" s="20" t="n">
        <f aca="false">MIN(PR_PAYE,PR_PAYEcap*(AL298+AN298+AM298))</f>
        <v>2000</v>
      </c>
      <c r="AV298" s="20" t="n">
        <f aca="false">MIN(PR_PAYE,PR_PAYEcap*(AQ298+AR298))</f>
        <v>2000</v>
      </c>
      <c r="AW298" s="20" t="n">
        <f aca="false">IF(C298&gt;=PR_AgeCrAge,PR_AgeCr,0)</f>
        <v>245</v>
      </c>
      <c r="AX298" s="20" t="n">
        <f aca="false">IF(AG298&gt;=PR_AgeCrAge,PR_AgeCr,0)</f>
        <v>245</v>
      </c>
      <c r="AY298" s="20" t="n">
        <f aca="false">IF(AND(F_RentCred=1,D298&lt;=PR_RentLast),1,0)</f>
        <v>0</v>
      </c>
      <c r="AZ298" s="20" t="n">
        <f aca="false">AS298+AT298</f>
        <v>28534.48</v>
      </c>
      <c r="BA298" s="20" t="n">
        <f aca="false">PR_PersonalM+AU298+AV298+AW298+AX298+IF(AY298=1,PR_RentJoint,0)</f>
        <v>8490</v>
      </c>
      <c r="BB298" s="20" t="n">
        <f aca="false">PR_BandM+MIN(MIN(AS298,AT298),PR_Uplift)</f>
        <v>65450.88</v>
      </c>
      <c r="BC298" s="20" t="n">
        <f aca="false">MAX(0,PR_r1*MIN(AZ298,BB298)+PR_r2*MAX(0,AZ298-BB298)-BA298)</f>
        <v>0</v>
      </c>
      <c r="BD298" s="20" t="n">
        <f aca="false">MAX(0,PR_HomeCarer-MAX(0,MIN(AS298,AT298)-PR_HCLimit)/2)</f>
        <v>0</v>
      </c>
      <c r="BE298" s="20" t="n">
        <f aca="false">IF(F_Carer=1,MIN(BC298,MAX(0,PR_r1*MIN(AZ298,PR_BandM)+PR_r2*MAX(0,AZ298-PR_BandM)-BA298-BD298)),BC298)</f>
        <v>0</v>
      </c>
      <c r="BF298" s="20" t="n">
        <f aca="false">IF(OR(C298&gt;=PR_AgeCrAge,AG298&gt;=PR_AgeCrAge),IF(AZ298&lt;=PR_AgeExM,0,MIN(BE298,PR_AgeMarg*(AZ298-PR_AgeExM))),BE298)</f>
        <v>0</v>
      </c>
      <c r="BG298" s="20" t="n">
        <f aca="false">MAX(0,PR_r1*MIN(AS298,IF(F_Spccc=1,PR_BandSPCCC,PR_Band))+PR_r2*MAX(0,AS298-IF(F_Spccc=1,PR_BandSPCCC,PR_Band))-(PR_Personal+AU298+AW298+IF(F_Spccc=1,PR_SPCCC,0)+IF(AY298=1,PR_Rent,0)))</f>
        <v>0</v>
      </c>
      <c r="BH298" s="20" t="n">
        <f aca="false">IF(C298&gt;=PR_AgeCrAge,IF(AS298&lt;=PR_AgeEx,0,MIN(BG298,PR_AgeMarg*(AS298-PR_AgeEx))),BG298)</f>
        <v>0</v>
      </c>
      <c r="BI298" s="20" t="n">
        <f aca="false">IF(F_Partner=1,MAX(0,PR_r1*MIN(AT298,PR_Band)+PR_r2*MAX(0,AT298-PR_Band)-(PR_Personal+AV298+AX298+IF(AND(AY298=1,AT298&gt;0),PR_Rent,0))),0)</f>
        <v>0</v>
      </c>
      <c r="BJ298" s="20" t="n">
        <f aca="false">IF(AG298&gt;=PR_AgeCrAge,IF(AT298&lt;=PR_AgeEx,0,MIN(BI298,PR_AgeMarg*(AT298-PR_AgeEx))),BI298)</f>
        <v>0</v>
      </c>
      <c r="BK298" s="20" t="n">
        <f aca="false">IF(F_Partner=1,IF(F_Married=1,BF298,BH298+BJ298),BH298)</f>
        <v>0</v>
      </c>
      <c r="BL298" s="20" t="n">
        <f aca="false">AL298+AN298+AO298</f>
        <v>0</v>
      </c>
      <c r="BM298" s="20" t="n">
        <f aca="false">IF(BL298&lt;=PR_USCex,0,IF(IF(AND(C298&gt;=PR_USCredAge,BL298&lt;=PR_USCredMax),1,0)=1,PR_USCr1*MIN(BL298,PR_USCredB1)+PR_USCredR2*MAX(0,BL298-PR_USCredB1),PR_USCr1*MIN(BL298,PR_USCb1)+PR_USCr2*MAX(0,MIN(BL298,PR_USCb2)-PR_USCb1)+PR_USCr3*MAX(0,MIN(BL298,PR_USCb3)-PR_USCb2)+PR_USCr4*MAX(0,BL298-PR_USCb3)))+IF(F_SelfEmp=1,PR_USCse*MAX(0,AL298-PR_USCseOver),0)</f>
        <v>0</v>
      </c>
      <c r="BN298" s="20" t="n">
        <f aca="false">AQ298</f>
        <v>0</v>
      </c>
      <c r="BO298" s="20" t="n">
        <f aca="false">IF(F_Partner=1,IF(BN298&lt;=PR_USCex,0,IF(IF(AND(AG298&gt;=PR_USCredAge,BN298&lt;=PR_USCredMax),1,0)=1,PR_USCr1*MIN(BN298,PR_USCredB1)+PR_USCredR2*MAX(0,BN298-PR_USCredB1),PR_USCr1*MIN(BN298,PR_USCb1)+PR_USCr2*MAX(0,MIN(BN298,PR_USCb2)-PR_USCb1)+PR_USCr3*MAX(0,MIN(BN298,PR_USCb3)-PR_USCb2)+PR_USCr4*MAX(0,BN298-PR_USCb3))),0)</f>
        <v>0</v>
      </c>
      <c r="BP298" s="20" t="n">
        <f aca="false">IF(C298&lt;PR_PRSIend,IF(F_SelfEmp=1,IF(AL298&gt;PR_PRSIsMinInc,MAX(PR_PRSIsMin,AL298*J298),0),IF(AL298/52&lt;=PR_PRSIfree,0,MAX(0,(AL298/52*J298-IF(AL298/52&lt;=PR_PRSIcreditTo,MAX(0,PR_PRSIcreditMax-(AL298/52-(PR_PRSIfree+0.01))/PR_PRSItaper),0))*52)))+J298*AN298+IF(AO298&gt;PR_PRSIunearned,J298*AO298,0),0)</f>
        <v>0</v>
      </c>
      <c r="BQ298" s="20" t="n">
        <f aca="false">IF(AND(F_Partner=1,AG298&lt;PR_PRSIend),IF(AQ298/52&lt;=PR_PRSIfree,0,MAX(0,(AQ298/52*J298-IF(AQ298/52&lt;=PR_PRSIcreditTo,MAX(0,PR_PRSIcreditMax-(AQ298/52-(PR_PRSIfree+0.01))/PR_PRSItaper),0))*52)),0)</f>
        <v>0</v>
      </c>
      <c r="BR298" s="20" t="n">
        <f aca="false">BK298+BM298+BO298+BP298+BQ298</f>
        <v>0</v>
      </c>
      <c r="BS298" s="20" t="n">
        <f aca="false">BR298*H298</f>
        <v>0</v>
      </c>
      <c r="BT298" s="20" t="n">
        <f aca="false">K298+AK298+AC298+AF298+AH298+AI298</f>
        <v>101340.012920419</v>
      </c>
    </row>
    <row r="299" customFormat="false" ht="15" hidden="false" customHeight="true" outlineLevel="0" collapsed="false">
      <c r="B299" s="20" t="n">
        <v>65</v>
      </c>
      <c r="C299" s="20" t="n">
        <f aca="false">F_Age+B299</f>
        <v>103</v>
      </c>
      <c r="D299" s="20" t="n">
        <f aca="false">AS_Year0+B299</f>
        <v>2092</v>
      </c>
      <c r="E299" s="44" t="n">
        <f aca="false">(1+AS_Infl)^B299</f>
        <v>3.62252310814242</v>
      </c>
      <c r="F299" s="44" t="n">
        <f aca="false">(1+AS_Wage)^B299</f>
        <v>6.82998273458564</v>
      </c>
      <c r="G299" s="20" t="n">
        <f aca="false">IF(C299&lt;F_R,1,0)</f>
        <v>0</v>
      </c>
      <c r="H299" s="44" t="n">
        <f aca="false">IF(AS_Bands="flat",1,E299)</f>
        <v>3.62252310814242</v>
      </c>
      <c r="I299" s="44" t="n">
        <f aca="false">IF(AS_SpGrow="pay",F299,IF(AS_SpGrow="flat",1,E299))</f>
        <v>3.62252310814242</v>
      </c>
      <c r="J299" s="44" t="n">
        <f aca="false">(12*PR_PRSIr0+(PR_PRSIr1-PR_PRSIr0)*MAX(0,MIN(12,D299*12+12-PR_PRSIt1))+(PR_PRSIr2-PR_PRSIr1)*MAX(0,MIN(12,D299*12+12-PR_PRSIt2))+(PR_PRSIr3-PR_PRSIr2)*MAX(0,MIN(12,D299*12+12-PR_PRSIt3)))/12</f>
        <v>0.047</v>
      </c>
      <c r="K299" s="20" t="n">
        <f aca="false">IF(G299=1,F_Income*F299,0)</f>
        <v>0</v>
      </c>
      <c r="L299" s="20" t="n">
        <f aca="false">IF(G299=1,(F_Own+In_penExtra)*12*F299,0)</f>
        <v>0</v>
      </c>
      <c r="M299" s="20" t="n">
        <f aca="false">IF(G299=1,(F_PenM+In_penExtra)*12*F299,0)</f>
        <v>0</v>
      </c>
      <c r="N299" s="45" t="n">
        <f aca="false">IF(C299&lt;PR_RelA1,PR_RelP1,IF(C299&lt;PR_RelA2,PR_RelP2,IF(C299&lt;PR_RelA3,PR_RelP3,IF(C299&lt;PR_RelA4,PR_RelP4,IF(C299&lt;PR_RelA5,PR_RelP5,PR_RelP6)))))</f>
        <v>0.4</v>
      </c>
      <c r="O299" s="20" t="n">
        <f aca="false">IF(G299=1,MIN(L299/H299,N299*MIN(K299/H299,PR_EarnCap))*H299,0)</f>
        <v>0</v>
      </c>
      <c r="P299" s="20" t="n">
        <f aca="false">IF(AND(G299=1,F_AE=1),MIN(K299/H299,PR_AEcap)*H299,0)</f>
        <v>0</v>
      </c>
      <c r="Q299" s="20" t="n">
        <f aca="false">IF(G299=1,IF(WI_Retire=1,MAX(0,M299+WI_M*12),M299)+(PR_AEee+PR_AEer+PR_AEst)*P299,0)</f>
        <v>0</v>
      </c>
      <c r="R299" s="20" t="n">
        <f aca="false">L299+PR_AEee*P299</f>
        <v>0</v>
      </c>
      <c r="S299" s="20" t="n">
        <f aca="false">AD298</f>
        <v>0</v>
      </c>
      <c r="T299" s="20" t="n">
        <f aca="false">IF(D299&lt;=PR_SFTfrom,PR_SFT2026,IF(D299=PR_SFTfrom+1,PR_SFT2027,IF(D299=PR_SFTfrom+2,PR_SFT2028,IF(D299&lt;=PR_SFTto,PR_SFT2029,PR_SFT2029*(1+AS_Infl)^(D299-PR_SFTto)))))</f>
        <v>9749197.13840712</v>
      </c>
      <c r="U299" s="20" t="n">
        <f aca="false">IF(AND(G299=0,C299=F_V),1,0)</f>
        <v>0</v>
      </c>
      <c r="V299" s="20" t="n">
        <f aca="false">IF(U299=1,PR_SFTrate*MAX(0,S299-T299),0)</f>
        <v>0</v>
      </c>
      <c r="W299" s="20" t="n">
        <f aca="false">S299-V299</f>
        <v>0</v>
      </c>
      <c r="X299" s="20" t="n">
        <f aca="false">IF(AND(U299=1,AS_LumpPct&gt;0),W299*MIN(AS_LumpPct,PR_LSmax),0)</f>
        <v>0</v>
      </c>
      <c r="Y299" s="20" t="n">
        <f aca="false">X299-(PR_LSrate*MAX(0,MIN(X299,PR_LScap)-PR_LSfree)+PR_r2*MAX(0,X299-PR_LScap))</f>
        <v>0</v>
      </c>
      <c r="Z299" s="20" t="n">
        <f aca="false">W299-X299</f>
        <v>0</v>
      </c>
      <c r="AA299" s="45" t="n">
        <f aca="false">IF(C299&gt;=PR_ARFage1,IF(Z299&gt;PR_ARFbig,PR_ARFbigRate,IF(C299&gt;=PR_ARFage2,PR_ARF71,PR_ARF61)),0)</f>
        <v>0.05</v>
      </c>
      <c r="AB299" s="20" t="n">
        <f aca="false">IF(AS_DrawRule="min",Z299*AA299,IF(AS_DrawRule="fixed",MAX(AS_DrawFixed*E299,Z299*AA299),Z299*MAX(1/MAX(1,AS_End-C299+1),AA299)))</f>
        <v>0</v>
      </c>
      <c r="AC299" s="20" t="n">
        <f aca="false">IF(AND(G299=0,C299&gt;=F_V),MIN(Z299,AB299),0)</f>
        <v>0</v>
      </c>
      <c r="AD299" s="20" t="n">
        <f aca="false">IF(G299=1,S299*(1+F_PenG)+Q299,IF(C299&lt;F_V,S299*(1+F_PenG),(Z299-AC299)*(1+AS_PenRet)))</f>
        <v>0</v>
      </c>
      <c r="AE299" s="20" t="n">
        <f aca="false">IF(C299&gt;=PR_SPage,AS_SP*F_SpF*I299+IF(AND(C299&gt;=PR_Over80Age,F_SpF&gt;0),PR_Over80*PR_Weeks*I299,0),0)</f>
        <v>58263.2126621194</v>
      </c>
      <c r="AF299" s="20" t="n">
        <f aca="false">(F_OtherM+F_RentM)*12*E299</f>
        <v>0</v>
      </c>
      <c r="AG299" s="20" t="n">
        <f aca="false">F_PAge+B299</f>
        <v>102</v>
      </c>
      <c r="AH299" s="20" t="n">
        <f aca="false">IF(AND(F_Partner=1,F_PAge&gt;0,AG299&lt;IF(F_PRet&gt;0,F_PRet,PR_SPage)),F_PIncome*F299,0)</f>
        <v>0</v>
      </c>
      <c r="AI299" s="20" t="n">
        <f aca="false">IF(AND(F_Partner=1,AG299&gt;=PR_SPage,F_PSpQA=0),AS_SP*F_PSpF*I299,0)</f>
        <v>45103.6005167083</v>
      </c>
      <c r="AJ299" s="20" t="n">
        <f aca="false">IF(AND(F_Partner=1,F_PSpQA=1,C299&gt;=PR_SPage,AH299=0),IF(AG299&gt;=PR_SPage,PR_QA66,PR_QAunder)*PR_Weeks*I299,0)</f>
        <v>0</v>
      </c>
      <c r="AK299" s="20" t="n">
        <f aca="false">AE299+AJ299</f>
        <v>58263.2126621194</v>
      </c>
      <c r="AL299" s="20" t="n">
        <f aca="false">K299/H299</f>
        <v>0</v>
      </c>
      <c r="AM299" s="20" t="n">
        <f aca="false">AK299/H299</f>
        <v>16083.6</v>
      </c>
      <c r="AN299" s="20" t="n">
        <f aca="false">AC299/H299</f>
        <v>0</v>
      </c>
      <c r="AO299" s="20" t="n">
        <f aca="false">AF299/H299</f>
        <v>0</v>
      </c>
      <c r="AP299" s="20" t="n">
        <f aca="false">O299/H299</f>
        <v>0</v>
      </c>
      <c r="AQ299" s="20" t="n">
        <f aca="false">AH299/H299</f>
        <v>0</v>
      </c>
      <c r="AR299" s="20" t="n">
        <f aca="false">AI299/H299</f>
        <v>12450.88</v>
      </c>
      <c r="AS299" s="20" t="n">
        <f aca="false">MAX(0,AL299+AN299+AO299+AM299-AP299)</f>
        <v>16083.6</v>
      </c>
      <c r="AT299" s="20" t="n">
        <f aca="false">MAX(0,AQ299+AR299)</f>
        <v>12450.88</v>
      </c>
      <c r="AU299" s="20" t="n">
        <f aca="false">MIN(PR_PAYE,PR_PAYEcap*(AL299+AN299+AM299))</f>
        <v>2000</v>
      </c>
      <c r="AV299" s="20" t="n">
        <f aca="false">MIN(PR_PAYE,PR_PAYEcap*(AQ299+AR299))</f>
        <v>2000</v>
      </c>
      <c r="AW299" s="20" t="n">
        <f aca="false">IF(C299&gt;=PR_AgeCrAge,PR_AgeCr,0)</f>
        <v>245</v>
      </c>
      <c r="AX299" s="20" t="n">
        <f aca="false">IF(AG299&gt;=PR_AgeCrAge,PR_AgeCr,0)</f>
        <v>245</v>
      </c>
      <c r="AY299" s="20" t="n">
        <f aca="false">IF(AND(F_RentCred=1,D299&lt;=PR_RentLast),1,0)</f>
        <v>0</v>
      </c>
      <c r="AZ299" s="20" t="n">
        <f aca="false">AS299+AT299</f>
        <v>28534.48</v>
      </c>
      <c r="BA299" s="20" t="n">
        <f aca="false">PR_PersonalM+AU299+AV299+AW299+AX299+IF(AY299=1,PR_RentJoint,0)</f>
        <v>8490</v>
      </c>
      <c r="BB299" s="20" t="n">
        <f aca="false">PR_BandM+MIN(MIN(AS299,AT299),PR_Uplift)</f>
        <v>65450.88</v>
      </c>
      <c r="BC299" s="20" t="n">
        <f aca="false">MAX(0,PR_r1*MIN(AZ299,BB299)+PR_r2*MAX(0,AZ299-BB299)-BA299)</f>
        <v>0</v>
      </c>
      <c r="BD299" s="20" t="n">
        <f aca="false">MAX(0,PR_HomeCarer-MAX(0,MIN(AS299,AT299)-PR_HCLimit)/2)</f>
        <v>0</v>
      </c>
      <c r="BE299" s="20" t="n">
        <f aca="false">IF(F_Carer=1,MIN(BC299,MAX(0,PR_r1*MIN(AZ299,PR_BandM)+PR_r2*MAX(0,AZ299-PR_BandM)-BA299-BD299)),BC299)</f>
        <v>0</v>
      </c>
      <c r="BF299" s="20" t="n">
        <f aca="false">IF(OR(C299&gt;=PR_AgeCrAge,AG299&gt;=PR_AgeCrAge),IF(AZ299&lt;=PR_AgeExM,0,MIN(BE299,PR_AgeMarg*(AZ299-PR_AgeExM))),BE299)</f>
        <v>0</v>
      </c>
      <c r="BG299" s="20" t="n">
        <f aca="false">MAX(0,PR_r1*MIN(AS299,IF(F_Spccc=1,PR_BandSPCCC,PR_Band))+PR_r2*MAX(0,AS299-IF(F_Spccc=1,PR_BandSPCCC,PR_Band))-(PR_Personal+AU299+AW299+IF(F_Spccc=1,PR_SPCCC,0)+IF(AY299=1,PR_Rent,0)))</f>
        <v>0</v>
      </c>
      <c r="BH299" s="20" t="n">
        <f aca="false">IF(C299&gt;=PR_AgeCrAge,IF(AS299&lt;=PR_AgeEx,0,MIN(BG299,PR_AgeMarg*(AS299-PR_AgeEx))),BG299)</f>
        <v>0</v>
      </c>
      <c r="BI299" s="20" t="n">
        <f aca="false">IF(F_Partner=1,MAX(0,PR_r1*MIN(AT299,PR_Band)+PR_r2*MAX(0,AT299-PR_Band)-(PR_Personal+AV299+AX299+IF(AND(AY299=1,AT299&gt;0),PR_Rent,0))),0)</f>
        <v>0</v>
      </c>
      <c r="BJ299" s="20" t="n">
        <f aca="false">IF(AG299&gt;=PR_AgeCrAge,IF(AT299&lt;=PR_AgeEx,0,MIN(BI299,PR_AgeMarg*(AT299-PR_AgeEx))),BI299)</f>
        <v>0</v>
      </c>
      <c r="BK299" s="20" t="n">
        <f aca="false">IF(F_Partner=1,IF(F_Married=1,BF299,BH299+BJ299),BH299)</f>
        <v>0</v>
      </c>
      <c r="BL299" s="20" t="n">
        <f aca="false">AL299+AN299+AO299</f>
        <v>0</v>
      </c>
      <c r="BM299" s="20" t="n">
        <f aca="false">IF(BL299&lt;=PR_USCex,0,IF(IF(AND(C299&gt;=PR_USCredAge,BL299&lt;=PR_USCredMax),1,0)=1,PR_USCr1*MIN(BL299,PR_USCredB1)+PR_USCredR2*MAX(0,BL299-PR_USCredB1),PR_USCr1*MIN(BL299,PR_USCb1)+PR_USCr2*MAX(0,MIN(BL299,PR_USCb2)-PR_USCb1)+PR_USCr3*MAX(0,MIN(BL299,PR_USCb3)-PR_USCb2)+PR_USCr4*MAX(0,BL299-PR_USCb3)))+IF(F_SelfEmp=1,PR_USCse*MAX(0,AL299-PR_USCseOver),0)</f>
        <v>0</v>
      </c>
      <c r="BN299" s="20" t="n">
        <f aca="false">AQ299</f>
        <v>0</v>
      </c>
      <c r="BO299" s="20" t="n">
        <f aca="false">IF(F_Partner=1,IF(BN299&lt;=PR_USCex,0,IF(IF(AND(AG299&gt;=PR_USCredAge,BN299&lt;=PR_USCredMax),1,0)=1,PR_USCr1*MIN(BN299,PR_USCredB1)+PR_USCredR2*MAX(0,BN299-PR_USCredB1),PR_USCr1*MIN(BN299,PR_USCb1)+PR_USCr2*MAX(0,MIN(BN299,PR_USCb2)-PR_USCb1)+PR_USCr3*MAX(0,MIN(BN299,PR_USCb3)-PR_USCb2)+PR_USCr4*MAX(0,BN299-PR_USCb3))),0)</f>
        <v>0</v>
      </c>
      <c r="BP299" s="20" t="n">
        <f aca="false">IF(C299&lt;PR_PRSIend,IF(F_SelfEmp=1,IF(AL299&gt;PR_PRSIsMinInc,MAX(PR_PRSIsMin,AL299*J299),0),IF(AL299/52&lt;=PR_PRSIfree,0,MAX(0,(AL299/52*J299-IF(AL299/52&lt;=PR_PRSIcreditTo,MAX(0,PR_PRSIcreditMax-(AL299/52-(PR_PRSIfree+0.01))/PR_PRSItaper),0))*52)))+J299*AN299+IF(AO299&gt;PR_PRSIunearned,J299*AO299,0),0)</f>
        <v>0</v>
      </c>
      <c r="BQ299" s="20" t="n">
        <f aca="false">IF(AND(F_Partner=1,AG299&lt;PR_PRSIend),IF(AQ299/52&lt;=PR_PRSIfree,0,MAX(0,(AQ299/52*J299-IF(AQ299/52&lt;=PR_PRSIcreditTo,MAX(0,PR_PRSIcreditMax-(AQ299/52-(PR_PRSIfree+0.01))/PR_PRSItaper),0))*52)),0)</f>
        <v>0</v>
      </c>
      <c r="BR299" s="20" t="n">
        <f aca="false">BK299+BM299+BO299+BP299+BQ299</f>
        <v>0</v>
      </c>
      <c r="BS299" s="20" t="n">
        <f aca="false">BR299*H299</f>
        <v>0</v>
      </c>
      <c r="BT299" s="20" t="n">
        <f aca="false">K299+AK299+AC299+AF299+AH299+AI299</f>
        <v>103366.813178828</v>
      </c>
    </row>
    <row r="300" customFormat="false" ht="15" hidden="false" customHeight="true" outlineLevel="0" collapsed="false">
      <c r="B300" s="20" t="n">
        <v>66</v>
      </c>
      <c r="C300" s="20" t="n">
        <f aca="false">F_Age+B300</f>
        <v>104</v>
      </c>
      <c r="D300" s="20" t="n">
        <f aca="false">AS_Year0+B300</f>
        <v>2093</v>
      </c>
      <c r="E300" s="44" t="n">
        <f aca="false">(1+AS_Infl)^B300</f>
        <v>3.69497357030527</v>
      </c>
      <c r="F300" s="44" t="n">
        <f aca="false">(1+AS_Wage)^B300</f>
        <v>7.03488221662321</v>
      </c>
      <c r="G300" s="20" t="n">
        <f aca="false">IF(C300&lt;F_R,1,0)</f>
        <v>0</v>
      </c>
      <c r="H300" s="44" t="n">
        <f aca="false">IF(AS_Bands="flat",1,E300)</f>
        <v>3.69497357030527</v>
      </c>
      <c r="I300" s="44" t="n">
        <f aca="false">IF(AS_SpGrow="pay",F300,IF(AS_SpGrow="flat",1,E300))</f>
        <v>3.69497357030527</v>
      </c>
      <c r="J300" s="44" t="n">
        <f aca="false">(12*PR_PRSIr0+(PR_PRSIr1-PR_PRSIr0)*MAX(0,MIN(12,D300*12+12-PR_PRSIt1))+(PR_PRSIr2-PR_PRSIr1)*MAX(0,MIN(12,D300*12+12-PR_PRSIt2))+(PR_PRSIr3-PR_PRSIr2)*MAX(0,MIN(12,D300*12+12-PR_PRSIt3)))/12</f>
        <v>0.047</v>
      </c>
      <c r="K300" s="20" t="n">
        <f aca="false">IF(G300=1,F_Income*F300,0)</f>
        <v>0</v>
      </c>
      <c r="L300" s="20" t="n">
        <f aca="false">IF(G300=1,(F_Own+In_penExtra)*12*F300,0)</f>
        <v>0</v>
      </c>
      <c r="M300" s="20" t="n">
        <f aca="false">IF(G300=1,(F_PenM+In_penExtra)*12*F300,0)</f>
        <v>0</v>
      </c>
      <c r="N300" s="45" t="n">
        <f aca="false">IF(C300&lt;PR_RelA1,PR_RelP1,IF(C300&lt;PR_RelA2,PR_RelP2,IF(C300&lt;PR_RelA3,PR_RelP3,IF(C300&lt;PR_RelA4,PR_RelP4,IF(C300&lt;PR_RelA5,PR_RelP5,PR_RelP6)))))</f>
        <v>0.4</v>
      </c>
      <c r="O300" s="20" t="n">
        <f aca="false">IF(G300=1,MIN(L300/H300,N300*MIN(K300/H300,PR_EarnCap))*H300,0)</f>
        <v>0</v>
      </c>
      <c r="P300" s="20" t="n">
        <f aca="false">IF(AND(G300=1,F_AE=1),MIN(K300/H300,PR_AEcap)*H300,0)</f>
        <v>0</v>
      </c>
      <c r="Q300" s="20" t="n">
        <f aca="false">IF(G300=1,IF(WI_Retire=1,MAX(0,M300+WI_M*12),M300)+(PR_AEee+PR_AEer+PR_AEst)*P300,0)</f>
        <v>0</v>
      </c>
      <c r="R300" s="20" t="n">
        <f aca="false">L300+PR_AEee*P300</f>
        <v>0</v>
      </c>
      <c r="S300" s="20" t="n">
        <f aca="false">AD299</f>
        <v>0</v>
      </c>
      <c r="T300" s="20" t="n">
        <f aca="false">IF(D300&lt;=PR_SFTfrom,PR_SFT2026,IF(D300=PR_SFTfrom+1,PR_SFT2027,IF(D300=PR_SFTfrom+2,PR_SFT2028,IF(D300&lt;=PR_SFTto,PR_SFT2029,PR_SFT2029*(1+AS_Infl)^(D300-PR_SFTto)))))</f>
        <v>9944181.08117526</v>
      </c>
      <c r="U300" s="20" t="n">
        <f aca="false">IF(AND(G300=0,C300=F_V),1,0)</f>
        <v>0</v>
      </c>
      <c r="V300" s="20" t="n">
        <f aca="false">IF(U300=1,PR_SFTrate*MAX(0,S300-T300),0)</f>
        <v>0</v>
      </c>
      <c r="W300" s="20" t="n">
        <f aca="false">S300-V300</f>
        <v>0</v>
      </c>
      <c r="X300" s="20" t="n">
        <f aca="false">IF(AND(U300=1,AS_LumpPct&gt;0),W300*MIN(AS_LumpPct,PR_LSmax),0)</f>
        <v>0</v>
      </c>
      <c r="Y300" s="20" t="n">
        <f aca="false">X300-(PR_LSrate*MAX(0,MIN(X300,PR_LScap)-PR_LSfree)+PR_r2*MAX(0,X300-PR_LScap))</f>
        <v>0</v>
      </c>
      <c r="Z300" s="20" t="n">
        <f aca="false">W300-X300</f>
        <v>0</v>
      </c>
      <c r="AA300" s="45" t="n">
        <f aca="false">IF(C300&gt;=PR_ARFage1,IF(Z300&gt;PR_ARFbig,PR_ARFbigRate,IF(C300&gt;=PR_ARFage2,PR_ARF71,PR_ARF61)),0)</f>
        <v>0.05</v>
      </c>
      <c r="AB300" s="20" t="n">
        <f aca="false">IF(AS_DrawRule="min",Z300*AA300,IF(AS_DrawRule="fixed",MAX(AS_DrawFixed*E300,Z300*AA300),Z300*MAX(1/MAX(1,AS_End-C300+1),AA300)))</f>
        <v>0</v>
      </c>
      <c r="AC300" s="20" t="n">
        <f aca="false">IF(AND(G300=0,C300&gt;=F_V),MIN(Z300,AB300),0)</f>
        <v>0</v>
      </c>
      <c r="AD300" s="20" t="n">
        <f aca="false">IF(G300=1,S300*(1+F_PenG)+Q300,IF(C300&lt;F_V,S300*(1+F_PenG),(Z300-AC300)*(1+AS_PenRet)))</f>
        <v>0</v>
      </c>
      <c r="AE300" s="20" t="n">
        <f aca="false">IF(C300&gt;=PR_SPage,AS_SP*F_SpF*I300+IF(AND(C300&gt;=PR_Over80Age,F_SpF&gt;0),PR_Over80*PR_Weeks*I300,0),0)</f>
        <v>59428.4769153618</v>
      </c>
      <c r="AF300" s="20" t="n">
        <f aca="false">(F_OtherM+F_RentM)*12*E300</f>
        <v>0</v>
      </c>
      <c r="AG300" s="20" t="n">
        <f aca="false">F_PAge+B300</f>
        <v>103</v>
      </c>
      <c r="AH300" s="20" t="n">
        <f aca="false">IF(AND(F_Partner=1,F_PAge&gt;0,AG300&lt;IF(F_PRet&gt;0,F_PRet,PR_SPage)),F_PIncome*F300,0)</f>
        <v>0</v>
      </c>
      <c r="AI300" s="20" t="n">
        <f aca="false">IF(AND(F_Partner=1,AG300&gt;=PR_SPage,F_PSpQA=0),AS_SP*F_PSpF*I300,0)</f>
        <v>46005.6725270424</v>
      </c>
      <c r="AJ300" s="20" t="n">
        <f aca="false">IF(AND(F_Partner=1,F_PSpQA=1,C300&gt;=PR_SPage,AH300=0),IF(AG300&gt;=PR_SPage,PR_QA66,PR_QAunder)*PR_Weeks*I300,0)</f>
        <v>0</v>
      </c>
      <c r="AK300" s="20" t="n">
        <f aca="false">AE300+AJ300</f>
        <v>59428.4769153618</v>
      </c>
      <c r="AL300" s="20" t="n">
        <f aca="false">K300/H300</f>
        <v>0</v>
      </c>
      <c r="AM300" s="20" t="n">
        <f aca="false">AK300/H300</f>
        <v>16083.6</v>
      </c>
      <c r="AN300" s="20" t="n">
        <f aca="false">AC300/H300</f>
        <v>0</v>
      </c>
      <c r="AO300" s="20" t="n">
        <f aca="false">AF300/H300</f>
        <v>0</v>
      </c>
      <c r="AP300" s="20" t="n">
        <f aca="false">O300/H300</f>
        <v>0</v>
      </c>
      <c r="AQ300" s="20" t="n">
        <f aca="false">AH300/H300</f>
        <v>0</v>
      </c>
      <c r="AR300" s="20" t="n">
        <f aca="false">AI300/H300</f>
        <v>12450.88</v>
      </c>
      <c r="AS300" s="20" t="n">
        <f aca="false">MAX(0,AL300+AN300+AO300+AM300-AP300)</f>
        <v>16083.6</v>
      </c>
      <c r="AT300" s="20" t="n">
        <f aca="false">MAX(0,AQ300+AR300)</f>
        <v>12450.88</v>
      </c>
      <c r="AU300" s="20" t="n">
        <f aca="false">MIN(PR_PAYE,PR_PAYEcap*(AL300+AN300+AM300))</f>
        <v>2000</v>
      </c>
      <c r="AV300" s="20" t="n">
        <f aca="false">MIN(PR_PAYE,PR_PAYEcap*(AQ300+AR300))</f>
        <v>2000</v>
      </c>
      <c r="AW300" s="20" t="n">
        <f aca="false">IF(C300&gt;=PR_AgeCrAge,PR_AgeCr,0)</f>
        <v>245</v>
      </c>
      <c r="AX300" s="20" t="n">
        <f aca="false">IF(AG300&gt;=PR_AgeCrAge,PR_AgeCr,0)</f>
        <v>245</v>
      </c>
      <c r="AY300" s="20" t="n">
        <f aca="false">IF(AND(F_RentCred=1,D300&lt;=PR_RentLast),1,0)</f>
        <v>0</v>
      </c>
      <c r="AZ300" s="20" t="n">
        <f aca="false">AS300+AT300</f>
        <v>28534.48</v>
      </c>
      <c r="BA300" s="20" t="n">
        <f aca="false">PR_PersonalM+AU300+AV300+AW300+AX300+IF(AY300=1,PR_RentJoint,0)</f>
        <v>8490</v>
      </c>
      <c r="BB300" s="20" t="n">
        <f aca="false">PR_BandM+MIN(MIN(AS300,AT300),PR_Uplift)</f>
        <v>65450.88</v>
      </c>
      <c r="BC300" s="20" t="n">
        <f aca="false">MAX(0,PR_r1*MIN(AZ300,BB300)+PR_r2*MAX(0,AZ300-BB300)-BA300)</f>
        <v>0</v>
      </c>
      <c r="BD300" s="20" t="n">
        <f aca="false">MAX(0,PR_HomeCarer-MAX(0,MIN(AS300,AT300)-PR_HCLimit)/2)</f>
        <v>0</v>
      </c>
      <c r="BE300" s="20" t="n">
        <f aca="false">IF(F_Carer=1,MIN(BC300,MAX(0,PR_r1*MIN(AZ300,PR_BandM)+PR_r2*MAX(0,AZ300-PR_BandM)-BA300-BD300)),BC300)</f>
        <v>0</v>
      </c>
      <c r="BF300" s="20" t="n">
        <f aca="false">IF(OR(C300&gt;=PR_AgeCrAge,AG300&gt;=PR_AgeCrAge),IF(AZ300&lt;=PR_AgeExM,0,MIN(BE300,PR_AgeMarg*(AZ300-PR_AgeExM))),BE300)</f>
        <v>0</v>
      </c>
      <c r="BG300" s="20" t="n">
        <f aca="false">MAX(0,PR_r1*MIN(AS300,IF(F_Spccc=1,PR_BandSPCCC,PR_Band))+PR_r2*MAX(0,AS300-IF(F_Spccc=1,PR_BandSPCCC,PR_Band))-(PR_Personal+AU300+AW300+IF(F_Spccc=1,PR_SPCCC,0)+IF(AY300=1,PR_Rent,0)))</f>
        <v>0</v>
      </c>
      <c r="BH300" s="20" t="n">
        <f aca="false">IF(C300&gt;=PR_AgeCrAge,IF(AS300&lt;=PR_AgeEx,0,MIN(BG300,PR_AgeMarg*(AS300-PR_AgeEx))),BG300)</f>
        <v>0</v>
      </c>
      <c r="BI300" s="20" t="n">
        <f aca="false">IF(F_Partner=1,MAX(0,PR_r1*MIN(AT300,PR_Band)+PR_r2*MAX(0,AT300-PR_Band)-(PR_Personal+AV300+AX300+IF(AND(AY300=1,AT300&gt;0),PR_Rent,0))),0)</f>
        <v>0</v>
      </c>
      <c r="BJ300" s="20" t="n">
        <f aca="false">IF(AG300&gt;=PR_AgeCrAge,IF(AT300&lt;=PR_AgeEx,0,MIN(BI300,PR_AgeMarg*(AT300-PR_AgeEx))),BI300)</f>
        <v>0</v>
      </c>
      <c r="BK300" s="20" t="n">
        <f aca="false">IF(F_Partner=1,IF(F_Married=1,BF300,BH300+BJ300),BH300)</f>
        <v>0</v>
      </c>
      <c r="BL300" s="20" t="n">
        <f aca="false">AL300+AN300+AO300</f>
        <v>0</v>
      </c>
      <c r="BM300" s="20" t="n">
        <f aca="false">IF(BL300&lt;=PR_USCex,0,IF(IF(AND(C300&gt;=PR_USCredAge,BL300&lt;=PR_USCredMax),1,0)=1,PR_USCr1*MIN(BL300,PR_USCredB1)+PR_USCredR2*MAX(0,BL300-PR_USCredB1),PR_USCr1*MIN(BL300,PR_USCb1)+PR_USCr2*MAX(0,MIN(BL300,PR_USCb2)-PR_USCb1)+PR_USCr3*MAX(0,MIN(BL300,PR_USCb3)-PR_USCb2)+PR_USCr4*MAX(0,BL300-PR_USCb3)))+IF(F_SelfEmp=1,PR_USCse*MAX(0,AL300-PR_USCseOver),0)</f>
        <v>0</v>
      </c>
      <c r="BN300" s="20" t="n">
        <f aca="false">AQ300</f>
        <v>0</v>
      </c>
      <c r="BO300" s="20" t="n">
        <f aca="false">IF(F_Partner=1,IF(BN300&lt;=PR_USCex,0,IF(IF(AND(AG300&gt;=PR_USCredAge,BN300&lt;=PR_USCredMax),1,0)=1,PR_USCr1*MIN(BN300,PR_USCredB1)+PR_USCredR2*MAX(0,BN300-PR_USCredB1),PR_USCr1*MIN(BN300,PR_USCb1)+PR_USCr2*MAX(0,MIN(BN300,PR_USCb2)-PR_USCb1)+PR_USCr3*MAX(0,MIN(BN300,PR_USCb3)-PR_USCb2)+PR_USCr4*MAX(0,BN300-PR_USCb3))),0)</f>
        <v>0</v>
      </c>
      <c r="BP300" s="20" t="n">
        <f aca="false">IF(C300&lt;PR_PRSIend,IF(F_SelfEmp=1,IF(AL300&gt;PR_PRSIsMinInc,MAX(PR_PRSIsMin,AL300*J300),0),IF(AL300/52&lt;=PR_PRSIfree,0,MAX(0,(AL300/52*J300-IF(AL300/52&lt;=PR_PRSIcreditTo,MAX(0,PR_PRSIcreditMax-(AL300/52-(PR_PRSIfree+0.01))/PR_PRSItaper),0))*52)))+J300*AN300+IF(AO300&gt;PR_PRSIunearned,J300*AO300,0),0)</f>
        <v>0</v>
      </c>
      <c r="BQ300" s="20" t="n">
        <f aca="false">IF(AND(F_Partner=1,AG300&lt;PR_PRSIend),IF(AQ300/52&lt;=PR_PRSIfree,0,MAX(0,(AQ300/52*J300-IF(AQ300/52&lt;=PR_PRSIcreditTo,MAX(0,PR_PRSIcreditMax-(AQ300/52-(PR_PRSIfree+0.01))/PR_PRSItaper),0))*52)),0)</f>
        <v>0</v>
      </c>
      <c r="BR300" s="20" t="n">
        <f aca="false">BK300+BM300+BO300+BP300+BQ300</f>
        <v>0</v>
      </c>
      <c r="BS300" s="20" t="n">
        <f aca="false">BR300*H300</f>
        <v>0</v>
      </c>
      <c r="BT300" s="20" t="n">
        <f aca="false">K300+AK300+AC300+AF300+AH300+AI300</f>
        <v>105434.149442404</v>
      </c>
    </row>
    <row r="301" customFormat="false" ht="15" hidden="false" customHeight="true" outlineLevel="0" collapsed="false">
      <c r="B301" s="20" t="n">
        <v>67</v>
      </c>
      <c r="C301" s="20" t="n">
        <f aca="false">F_Age+B301</f>
        <v>105</v>
      </c>
      <c r="D301" s="20" t="n">
        <f aca="false">AS_Year0+B301</f>
        <v>2094</v>
      </c>
      <c r="E301" s="44" t="n">
        <f aca="false">(1+AS_Infl)^B301</f>
        <v>3.76887304171137</v>
      </c>
      <c r="F301" s="44" t="n">
        <f aca="false">(1+AS_Wage)^B301</f>
        <v>7.24592868312191</v>
      </c>
      <c r="G301" s="20" t="n">
        <f aca="false">IF(C301&lt;F_R,1,0)</f>
        <v>0</v>
      </c>
      <c r="H301" s="44" t="n">
        <f aca="false">IF(AS_Bands="flat",1,E301)</f>
        <v>3.76887304171137</v>
      </c>
      <c r="I301" s="44" t="n">
        <f aca="false">IF(AS_SpGrow="pay",F301,IF(AS_SpGrow="flat",1,E301))</f>
        <v>3.76887304171137</v>
      </c>
      <c r="J301" s="44" t="n">
        <f aca="false">(12*PR_PRSIr0+(PR_PRSIr1-PR_PRSIr0)*MAX(0,MIN(12,D301*12+12-PR_PRSIt1))+(PR_PRSIr2-PR_PRSIr1)*MAX(0,MIN(12,D301*12+12-PR_PRSIt2))+(PR_PRSIr3-PR_PRSIr2)*MAX(0,MIN(12,D301*12+12-PR_PRSIt3)))/12</f>
        <v>0.047</v>
      </c>
      <c r="K301" s="20" t="n">
        <f aca="false">IF(G301=1,F_Income*F301,0)</f>
        <v>0</v>
      </c>
      <c r="L301" s="20" t="n">
        <f aca="false">IF(G301=1,(F_Own+In_penExtra)*12*F301,0)</f>
        <v>0</v>
      </c>
      <c r="M301" s="20" t="n">
        <f aca="false">IF(G301=1,(F_PenM+In_penExtra)*12*F301,0)</f>
        <v>0</v>
      </c>
      <c r="N301" s="45" t="n">
        <f aca="false">IF(C301&lt;PR_RelA1,PR_RelP1,IF(C301&lt;PR_RelA2,PR_RelP2,IF(C301&lt;PR_RelA3,PR_RelP3,IF(C301&lt;PR_RelA4,PR_RelP4,IF(C301&lt;PR_RelA5,PR_RelP5,PR_RelP6)))))</f>
        <v>0.4</v>
      </c>
      <c r="O301" s="20" t="n">
        <f aca="false">IF(G301=1,MIN(L301/H301,N301*MIN(K301/H301,PR_EarnCap))*H301,0)</f>
        <v>0</v>
      </c>
      <c r="P301" s="20" t="n">
        <f aca="false">IF(AND(G301=1,F_AE=1),MIN(K301/H301,PR_AEcap)*H301,0)</f>
        <v>0</v>
      </c>
      <c r="Q301" s="20" t="n">
        <f aca="false">IF(G301=1,IF(WI_Retire=1,MAX(0,M301+WI_M*12),M301)+(PR_AEee+PR_AEer+PR_AEst)*P301,0)</f>
        <v>0</v>
      </c>
      <c r="R301" s="20" t="n">
        <f aca="false">L301+PR_AEee*P301</f>
        <v>0</v>
      </c>
      <c r="S301" s="20" t="n">
        <f aca="false">AD300</f>
        <v>0</v>
      </c>
      <c r="T301" s="20" t="n">
        <f aca="false">IF(D301&lt;=PR_SFTfrom,PR_SFT2026,IF(D301=PR_SFTfrom+1,PR_SFT2027,IF(D301=PR_SFTfrom+2,PR_SFT2028,IF(D301&lt;=PR_SFTto,PR_SFT2029,PR_SFT2029*(1+AS_Infl)^(D301-PR_SFTto)))))</f>
        <v>10143064.7027988</v>
      </c>
      <c r="U301" s="20" t="n">
        <f aca="false">IF(AND(G301=0,C301=F_V),1,0)</f>
        <v>0</v>
      </c>
      <c r="V301" s="20" t="n">
        <f aca="false">IF(U301=1,PR_SFTrate*MAX(0,S301-T301),0)</f>
        <v>0</v>
      </c>
      <c r="W301" s="20" t="n">
        <f aca="false">S301-V301</f>
        <v>0</v>
      </c>
      <c r="X301" s="20" t="n">
        <f aca="false">IF(AND(U301=1,AS_LumpPct&gt;0),W301*MIN(AS_LumpPct,PR_LSmax),0)</f>
        <v>0</v>
      </c>
      <c r="Y301" s="20" t="n">
        <f aca="false">X301-(PR_LSrate*MAX(0,MIN(X301,PR_LScap)-PR_LSfree)+PR_r2*MAX(0,X301-PR_LScap))</f>
        <v>0</v>
      </c>
      <c r="Z301" s="20" t="n">
        <f aca="false">W301-X301</f>
        <v>0</v>
      </c>
      <c r="AA301" s="45" t="n">
        <f aca="false">IF(C301&gt;=PR_ARFage1,IF(Z301&gt;PR_ARFbig,PR_ARFbigRate,IF(C301&gt;=PR_ARFage2,PR_ARF71,PR_ARF61)),0)</f>
        <v>0.05</v>
      </c>
      <c r="AB301" s="20" t="n">
        <f aca="false">IF(AS_DrawRule="min",Z301*AA301,IF(AS_DrawRule="fixed",MAX(AS_DrawFixed*E301,Z301*AA301),Z301*MAX(1/MAX(1,AS_End-C301+1),AA301)))</f>
        <v>0</v>
      </c>
      <c r="AC301" s="20" t="n">
        <f aca="false">IF(AND(G301=0,C301&gt;=F_V),MIN(Z301,AB301),0)</f>
        <v>0</v>
      </c>
      <c r="AD301" s="20" t="n">
        <f aca="false">IF(G301=1,S301*(1+F_PenG)+Q301,IF(C301&lt;F_V,S301*(1+F_PenG),(Z301-AC301)*(1+AS_PenRet)))</f>
        <v>0</v>
      </c>
      <c r="AE301" s="20" t="n">
        <f aca="false">IF(C301&gt;=PR_SPage,AS_SP*F_SpF*I301+IF(AND(C301&gt;=PR_Over80Age,F_SpF&gt;0),PR_Over80*PR_Weeks*I301,0),0)</f>
        <v>60617.046453669</v>
      </c>
      <c r="AF301" s="20" t="n">
        <f aca="false">(F_OtherM+F_RentM)*12*E301</f>
        <v>0</v>
      </c>
      <c r="AG301" s="20" t="n">
        <f aca="false">F_PAge+B301</f>
        <v>104</v>
      </c>
      <c r="AH301" s="20" t="n">
        <f aca="false">IF(AND(F_Partner=1,F_PAge&gt;0,AG301&lt;IF(F_PRet&gt;0,F_PRet,PR_SPage)),F_PIncome*F301,0)</f>
        <v>0</v>
      </c>
      <c r="AI301" s="20" t="n">
        <f aca="false">IF(AND(F_Partner=1,AG301&gt;=PR_SPage,F_PSpQA=0),AS_SP*F_PSpF*I301,0)</f>
        <v>46925.7859775833</v>
      </c>
      <c r="AJ301" s="20" t="n">
        <f aca="false">IF(AND(F_Partner=1,F_PSpQA=1,C301&gt;=PR_SPage,AH301=0),IF(AG301&gt;=PR_SPage,PR_QA66,PR_QAunder)*PR_Weeks*I301,0)</f>
        <v>0</v>
      </c>
      <c r="AK301" s="20" t="n">
        <f aca="false">AE301+AJ301</f>
        <v>60617.046453669</v>
      </c>
      <c r="AL301" s="20" t="n">
        <f aca="false">K301/H301</f>
        <v>0</v>
      </c>
      <c r="AM301" s="20" t="n">
        <f aca="false">AK301/H301</f>
        <v>16083.6</v>
      </c>
      <c r="AN301" s="20" t="n">
        <f aca="false">AC301/H301</f>
        <v>0</v>
      </c>
      <c r="AO301" s="20" t="n">
        <f aca="false">AF301/H301</f>
        <v>0</v>
      </c>
      <c r="AP301" s="20" t="n">
        <f aca="false">O301/H301</f>
        <v>0</v>
      </c>
      <c r="AQ301" s="20" t="n">
        <f aca="false">AH301/H301</f>
        <v>0</v>
      </c>
      <c r="AR301" s="20" t="n">
        <f aca="false">AI301/H301</f>
        <v>12450.88</v>
      </c>
      <c r="AS301" s="20" t="n">
        <f aca="false">MAX(0,AL301+AN301+AO301+AM301-AP301)</f>
        <v>16083.6</v>
      </c>
      <c r="AT301" s="20" t="n">
        <f aca="false">MAX(0,AQ301+AR301)</f>
        <v>12450.88</v>
      </c>
      <c r="AU301" s="20" t="n">
        <f aca="false">MIN(PR_PAYE,PR_PAYEcap*(AL301+AN301+AM301))</f>
        <v>2000</v>
      </c>
      <c r="AV301" s="20" t="n">
        <f aca="false">MIN(PR_PAYE,PR_PAYEcap*(AQ301+AR301))</f>
        <v>2000</v>
      </c>
      <c r="AW301" s="20" t="n">
        <f aca="false">IF(C301&gt;=PR_AgeCrAge,PR_AgeCr,0)</f>
        <v>245</v>
      </c>
      <c r="AX301" s="20" t="n">
        <f aca="false">IF(AG301&gt;=PR_AgeCrAge,PR_AgeCr,0)</f>
        <v>245</v>
      </c>
      <c r="AY301" s="20" t="n">
        <f aca="false">IF(AND(F_RentCred=1,D301&lt;=PR_RentLast),1,0)</f>
        <v>0</v>
      </c>
      <c r="AZ301" s="20" t="n">
        <f aca="false">AS301+AT301</f>
        <v>28534.48</v>
      </c>
      <c r="BA301" s="20" t="n">
        <f aca="false">PR_PersonalM+AU301+AV301+AW301+AX301+IF(AY301=1,PR_RentJoint,0)</f>
        <v>8490</v>
      </c>
      <c r="BB301" s="20" t="n">
        <f aca="false">PR_BandM+MIN(MIN(AS301,AT301),PR_Uplift)</f>
        <v>65450.88</v>
      </c>
      <c r="BC301" s="20" t="n">
        <f aca="false">MAX(0,PR_r1*MIN(AZ301,BB301)+PR_r2*MAX(0,AZ301-BB301)-BA301)</f>
        <v>0</v>
      </c>
      <c r="BD301" s="20" t="n">
        <f aca="false">MAX(0,PR_HomeCarer-MAX(0,MIN(AS301,AT301)-PR_HCLimit)/2)</f>
        <v>0</v>
      </c>
      <c r="BE301" s="20" t="n">
        <f aca="false">IF(F_Carer=1,MIN(BC301,MAX(0,PR_r1*MIN(AZ301,PR_BandM)+PR_r2*MAX(0,AZ301-PR_BandM)-BA301-BD301)),BC301)</f>
        <v>0</v>
      </c>
      <c r="BF301" s="20" t="n">
        <f aca="false">IF(OR(C301&gt;=PR_AgeCrAge,AG301&gt;=PR_AgeCrAge),IF(AZ301&lt;=PR_AgeExM,0,MIN(BE301,PR_AgeMarg*(AZ301-PR_AgeExM))),BE301)</f>
        <v>0</v>
      </c>
      <c r="BG301" s="20" t="n">
        <f aca="false">MAX(0,PR_r1*MIN(AS301,IF(F_Spccc=1,PR_BandSPCCC,PR_Band))+PR_r2*MAX(0,AS301-IF(F_Spccc=1,PR_BandSPCCC,PR_Band))-(PR_Personal+AU301+AW301+IF(F_Spccc=1,PR_SPCCC,0)+IF(AY301=1,PR_Rent,0)))</f>
        <v>0</v>
      </c>
      <c r="BH301" s="20" t="n">
        <f aca="false">IF(C301&gt;=PR_AgeCrAge,IF(AS301&lt;=PR_AgeEx,0,MIN(BG301,PR_AgeMarg*(AS301-PR_AgeEx))),BG301)</f>
        <v>0</v>
      </c>
      <c r="BI301" s="20" t="n">
        <f aca="false">IF(F_Partner=1,MAX(0,PR_r1*MIN(AT301,PR_Band)+PR_r2*MAX(0,AT301-PR_Band)-(PR_Personal+AV301+AX301+IF(AND(AY301=1,AT301&gt;0),PR_Rent,0))),0)</f>
        <v>0</v>
      </c>
      <c r="BJ301" s="20" t="n">
        <f aca="false">IF(AG301&gt;=PR_AgeCrAge,IF(AT301&lt;=PR_AgeEx,0,MIN(BI301,PR_AgeMarg*(AT301-PR_AgeEx))),BI301)</f>
        <v>0</v>
      </c>
      <c r="BK301" s="20" t="n">
        <f aca="false">IF(F_Partner=1,IF(F_Married=1,BF301,BH301+BJ301),BH301)</f>
        <v>0</v>
      </c>
      <c r="BL301" s="20" t="n">
        <f aca="false">AL301+AN301+AO301</f>
        <v>0</v>
      </c>
      <c r="BM301" s="20" t="n">
        <f aca="false">IF(BL301&lt;=PR_USCex,0,IF(IF(AND(C301&gt;=PR_USCredAge,BL301&lt;=PR_USCredMax),1,0)=1,PR_USCr1*MIN(BL301,PR_USCredB1)+PR_USCredR2*MAX(0,BL301-PR_USCredB1),PR_USCr1*MIN(BL301,PR_USCb1)+PR_USCr2*MAX(0,MIN(BL301,PR_USCb2)-PR_USCb1)+PR_USCr3*MAX(0,MIN(BL301,PR_USCb3)-PR_USCb2)+PR_USCr4*MAX(0,BL301-PR_USCb3)))+IF(F_SelfEmp=1,PR_USCse*MAX(0,AL301-PR_USCseOver),0)</f>
        <v>0</v>
      </c>
      <c r="BN301" s="20" t="n">
        <f aca="false">AQ301</f>
        <v>0</v>
      </c>
      <c r="BO301" s="20" t="n">
        <f aca="false">IF(F_Partner=1,IF(BN301&lt;=PR_USCex,0,IF(IF(AND(AG301&gt;=PR_USCredAge,BN301&lt;=PR_USCredMax),1,0)=1,PR_USCr1*MIN(BN301,PR_USCredB1)+PR_USCredR2*MAX(0,BN301-PR_USCredB1),PR_USCr1*MIN(BN301,PR_USCb1)+PR_USCr2*MAX(0,MIN(BN301,PR_USCb2)-PR_USCb1)+PR_USCr3*MAX(0,MIN(BN301,PR_USCb3)-PR_USCb2)+PR_USCr4*MAX(0,BN301-PR_USCb3))),0)</f>
        <v>0</v>
      </c>
      <c r="BP301" s="20" t="n">
        <f aca="false">IF(C301&lt;PR_PRSIend,IF(F_SelfEmp=1,IF(AL301&gt;PR_PRSIsMinInc,MAX(PR_PRSIsMin,AL301*J301),0),IF(AL301/52&lt;=PR_PRSIfree,0,MAX(0,(AL301/52*J301-IF(AL301/52&lt;=PR_PRSIcreditTo,MAX(0,PR_PRSIcreditMax-(AL301/52-(PR_PRSIfree+0.01))/PR_PRSItaper),0))*52)))+J301*AN301+IF(AO301&gt;PR_PRSIunearned,J301*AO301,0),0)</f>
        <v>0</v>
      </c>
      <c r="BQ301" s="20" t="n">
        <f aca="false">IF(AND(F_Partner=1,AG301&lt;PR_PRSIend),IF(AQ301/52&lt;=PR_PRSIfree,0,MAX(0,(AQ301/52*J301-IF(AQ301/52&lt;=PR_PRSIcreditTo,MAX(0,PR_PRSIcreditMax-(AQ301/52-(PR_PRSIfree+0.01))/PR_PRSItaper),0))*52)),0)</f>
        <v>0</v>
      </c>
      <c r="BR301" s="20" t="n">
        <f aca="false">BK301+BM301+BO301+BP301+BQ301</f>
        <v>0</v>
      </c>
      <c r="BS301" s="20" t="n">
        <f aca="false">BR301*H301</f>
        <v>0</v>
      </c>
      <c r="BT301" s="20" t="n">
        <f aca="false">K301+AK301+AC301+AF301+AH301+AI301</f>
        <v>107542.832431252</v>
      </c>
    </row>
    <row r="302" customFormat="false" ht="15" hidden="false" customHeight="true" outlineLevel="0" collapsed="false">
      <c r="B302" s="20" t="n">
        <v>68</v>
      </c>
      <c r="C302" s="20" t="n">
        <f aca="false">F_Age+B302</f>
        <v>106</v>
      </c>
      <c r="D302" s="20" t="n">
        <f aca="false">AS_Year0+B302</f>
        <v>2095</v>
      </c>
      <c r="E302" s="44" t="n">
        <f aca="false">(1+AS_Infl)^B302</f>
        <v>3.8442505025456</v>
      </c>
      <c r="F302" s="44" t="n">
        <f aca="false">(1+AS_Wage)^B302</f>
        <v>7.46330654361556</v>
      </c>
      <c r="G302" s="20" t="n">
        <f aca="false">IF(C302&lt;F_R,1,0)</f>
        <v>0</v>
      </c>
      <c r="H302" s="44" t="n">
        <f aca="false">IF(AS_Bands="flat",1,E302)</f>
        <v>3.8442505025456</v>
      </c>
      <c r="I302" s="44" t="n">
        <f aca="false">IF(AS_SpGrow="pay",F302,IF(AS_SpGrow="flat",1,E302))</f>
        <v>3.8442505025456</v>
      </c>
      <c r="J302" s="44" t="n">
        <f aca="false">(12*PR_PRSIr0+(PR_PRSIr1-PR_PRSIr0)*MAX(0,MIN(12,D302*12+12-PR_PRSIt1))+(PR_PRSIr2-PR_PRSIr1)*MAX(0,MIN(12,D302*12+12-PR_PRSIt2))+(PR_PRSIr3-PR_PRSIr2)*MAX(0,MIN(12,D302*12+12-PR_PRSIt3)))/12</f>
        <v>0.047</v>
      </c>
      <c r="K302" s="20" t="n">
        <f aca="false">IF(G302=1,F_Income*F302,0)</f>
        <v>0</v>
      </c>
      <c r="L302" s="20" t="n">
        <f aca="false">IF(G302=1,(F_Own+In_penExtra)*12*F302,0)</f>
        <v>0</v>
      </c>
      <c r="M302" s="20" t="n">
        <f aca="false">IF(G302=1,(F_PenM+In_penExtra)*12*F302,0)</f>
        <v>0</v>
      </c>
      <c r="N302" s="45" t="n">
        <f aca="false">IF(C302&lt;PR_RelA1,PR_RelP1,IF(C302&lt;PR_RelA2,PR_RelP2,IF(C302&lt;PR_RelA3,PR_RelP3,IF(C302&lt;PR_RelA4,PR_RelP4,IF(C302&lt;PR_RelA5,PR_RelP5,PR_RelP6)))))</f>
        <v>0.4</v>
      </c>
      <c r="O302" s="20" t="n">
        <f aca="false">IF(G302=1,MIN(L302/H302,N302*MIN(K302/H302,PR_EarnCap))*H302,0)</f>
        <v>0</v>
      </c>
      <c r="P302" s="20" t="n">
        <f aca="false">IF(AND(G302=1,F_AE=1),MIN(K302/H302,PR_AEcap)*H302,0)</f>
        <v>0</v>
      </c>
      <c r="Q302" s="20" t="n">
        <f aca="false">IF(G302=1,IF(WI_Retire=1,MAX(0,M302+WI_M*12),M302)+(PR_AEee+PR_AEer+PR_AEst)*P302,0)</f>
        <v>0</v>
      </c>
      <c r="R302" s="20" t="n">
        <f aca="false">L302+PR_AEee*P302</f>
        <v>0</v>
      </c>
      <c r="S302" s="20" t="n">
        <f aca="false">AD301</f>
        <v>0</v>
      </c>
      <c r="T302" s="20" t="n">
        <f aca="false">IF(D302&lt;=PR_SFTfrom,PR_SFT2026,IF(D302=PR_SFTfrom+1,PR_SFT2027,IF(D302=PR_SFTfrom+2,PR_SFT2028,IF(D302&lt;=PR_SFTto,PR_SFT2029,PR_SFT2029*(1+AS_Infl)^(D302-PR_SFTto)))))</f>
        <v>10345925.9968547</v>
      </c>
      <c r="U302" s="20" t="n">
        <f aca="false">IF(AND(G302=0,C302=F_V),1,0)</f>
        <v>0</v>
      </c>
      <c r="V302" s="20" t="n">
        <f aca="false">IF(U302=1,PR_SFTrate*MAX(0,S302-T302),0)</f>
        <v>0</v>
      </c>
      <c r="W302" s="20" t="n">
        <f aca="false">S302-V302</f>
        <v>0</v>
      </c>
      <c r="X302" s="20" t="n">
        <f aca="false">IF(AND(U302=1,AS_LumpPct&gt;0),W302*MIN(AS_LumpPct,PR_LSmax),0)</f>
        <v>0</v>
      </c>
      <c r="Y302" s="20" t="n">
        <f aca="false">X302-(PR_LSrate*MAX(0,MIN(X302,PR_LScap)-PR_LSfree)+PR_r2*MAX(0,X302-PR_LScap))</f>
        <v>0</v>
      </c>
      <c r="Z302" s="20" t="n">
        <f aca="false">W302-X302</f>
        <v>0</v>
      </c>
      <c r="AA302" s="45" t="n">
        <f aca="false">IF(C302&gt;=PR_ARFage1,IF(Z302&gt;PR_ARFbig,PR_ARFbigRate,IF(C302&gt;=PR_ARFage2,PR_ARF71,PR_ARF61)),0)</f>
        <v>0.05</v>
      </c>
      <c r="AB302" s="20" t="n">
        <f aca="false">IF(AS_DrawRule="min",Z302*AA302,IF(AS_DrawRule="fixed",MAX(AS_DrawFixed*E302,Z302*AA302),Z302*MAX(1/MAX(1,AS_End-C302+1),AA302)))</f>
        <v>0</v>
      </c>
      <c r="AC302" s="20" t="n">
        <f aca="false">IF(AND(G302=0,C302&gt;=F_V),MIN(Z302,AB302),0)</f>
        <v>0</v>
      </c>
      <c r="AD302" s="20" t="n">
        <f aca="false">IF(G302=1,S302*(1+F_PenG)+Q302,IF(C302&lt;F_V,S302*(1+F_PenG),(Z302-AC302)*(1+AS_PenRet)))</f>
        <v>0</v>
      </c>
      <c r="AE302" s="20" t="n">
        <f aca="false">IF(C302&gt;=PR_SPage,AS_SP*F_SpF*I302+IF(AND(C302&gt;=PR_Over80Age,F_SpF&gt;0),PR_Over80*PR_Weeks*I302,0),0)</f>
        <v>61829.3873827424</v>
      </c>
      <c r="AF302" s="20" t="n">
        <f aca="false">(F_OtherM+F_RentM)*12*E302</f>
        <v>0</v>
      </c>
      <c r="AG302" s="20" t="n">
        <f aca="false">F_PAge+B302</f>
        <v>105</v>
      </c>
      <c r="AH302" s="20" t="n">
        <f aca="false">IF(AND(F_Partner=1,F_PAge&gt;0,AG302&lt;IF(F_PRet&gt;0,F_PRet,PR_SPage)),F_PIncome*F302,0)</f>
        <v>0</v>
      </c>
      <c r="AI302" s="20" t="n">
        <f aca="false">IF(AND(F_Partner=1,AG302&gt;=PR_SPage,F_PSpQA=0),AS_SP*F_PSpF*I302,0)</f>
        <v>47864.3016971349</v>
      </c>
      <c r="AJ302" s="20" t="n">
        <f aca="false">IF(AND(F_Partner=1,F_PSpQA=1,C302&gt;=PR_SPage,AH302=0),IF(AG302&gt;=PR_SPage,PR_QA66,PR_QAunder)*PR_Weeks*I302,0)</f>
        <v>0</v>
      </c>
      <c r="AK302" s="20" t="n">
        <f aca="false">AE302+AJ302</f>
        <v>61829.3873827424</v>
      </c>
      <c r="AL302" s="20" t="n">
        <f aca="false">K302/H302</f>
        <v>0</v>
      </c>
      <c r="AM302" s="20" t="n">
        <f aca="false">AK302/H302</f>
        <v>16083.6</v>
      </c>
      <c r="AN302" s="20" t="n">
        <f aca="false">AC302/H302</f>
        <v>0</v>
      </c>
      <c r="AO302" s="20" t="n">
        <f aca="false">AF302/H302</f>
        <v>0</v>
      </c>
      <c r="AP302" s="20" t="n">
        <f aca="false">O302/H302</f>
        <v>0</v>
      </c>
      <c r="AQ302" s="20" t="n">
        <f aca="false">AH302/H302</f>
        <v>0</v>
      </c>
      <c r="AR302" s="20" t="n">
        <f aca="false">AI302/H302</f>
        <v>12450.88</v>
      </c>
      <c r="AS302" s="20" t="n">
        <f aca="false">MAX(0,AL302+AN302+AO302+AM302-AP302)</f>
        <v>16083.6</v>
      </c>
      <c r="AT302" s="20" t="n">
        <f aca="false">MAX(0,AQ302+AR302)</f>
        <v>12450.88</v>
      </c>
      <c r="AU302" s="20" t="n">
        <f aca="false">MIN(PR_PAYE,PR_PAYEcap*(AL302+AN302+AM302))</f>
        <v>2000</v>
      </c>
      <c r="AV302" s="20" t="n">
        <f aca="false">MIN(PR_PAYE,PR_PAYEcap*(AQ302+AR302))</f>
        <v>2000</v>
      </c>
      <c r="AW302" s="20" t="n">
        <f aca="false">IF(C302&gt;=PR_AgeCrAge,PR_AgeCr,0)</f>
        <v>245</v>
      </c>
      <c r="AX302" s="20" t="n">
        <f aca="false">IF(AG302&gt;=PR_AgeCrAge,PR_AgeCr,0)</f>
        <v>245</v>
      </c>
      <c r="AY302" s="20" t="n">
        <f aca="false">IF(AND(F_RentCred=1,D302&lt;=PR_RentLast),1,0)</f>
        <v>0</v>
      </c>
      <c r="AZ302" s="20" t="n">
        <f aca="false">AS302+AT302</f>
        <v>28534.48</v>
      </c>
      <c r="BA302" s="20" t="n">
        <f aca="false">PR_PersonalM+AU302+AV302+AW302+AX302+IF(AY302=1,PR_RentJoint,0)</f>
        <v>8490</v>
      </c>
      <c r="BB302" s="20" t="n">
        <f aca="false">PR_BandM+MIN(MIN(AS302,AT302),PR_Uplift)</f>
        <v>65450.88</v>
      </c>
      <c r="BC302" s="20" t="n">
        <f aca="false">MAX(0,PR_r1*MIN(AZ302,BB302)+PR_r2*MAX(0,AZ302-BB302)-BA302)</f>
        <v>0</v>
      </c>
      <c r="BD302" s="20" t="n">
        <f aca="false">MAX(0,PR_HomeCarer-MAX(0,MIN(AS302,AT302)-PR_HCLimit)/2)</f>
        <v>0</v>
      </c>
      <c r="BE302" s="20" t="n">
        <f aca="false">IF(F_Carer=1,MIN(BC302,MAX(0,PR_r1*MIN(AZ302,PR_BandM)+PR_r2*MAX(0,AZ302-PR_BandM)-BA302-BD302)),BC302)</f>
        <v>0</v>
      </c>
      <c r="BF302" s="20" t="n">
        <f aca="false">IF(OR(C302&gt;=PR_AgeCrAge,AG302&gt;=PR_AgeCrAge),IF(AZ302&lt;=PR_AgeExM,0,MIN(BE302,PR_AgeMarg*(AZ302-PR_AgeExM))),BE302)</f>
        <v>0</v>
      </c>
      <c r="BG302" s="20" t="n">
        <f aca="false">MAX(0,PR_r1*MIN(AS302,IF(F_Spccc=1,PR_BandSPCCC,PR_Band))+PR_r2*MAX(0,AS302-IF(F_Spccc=1,PR_BandSPCCC,PR_Band))-(PR_Personal+AU302+AW302+IF(F_Spccc=1,PR_SPCCC,0)+IF(AY302=1,PR_Rent,0)))</f>
        <v>0</v>
      </c>
      <c r="BH302" s="20" t="n">
        <f aca="false">IF(C302&gt;=PR_AgeCrAge,IF(AS302&lt;=PR_AgeEx,0,MIN(BG302,PR_AgeMarg*(AS302-PR_AgeEx))),BG302)</f>
        <v>0</v>
      </c>
      <c r="BI302" s="20" t="n">
        <f aca="false">IF(F_Partner=1,MAX(0,PR_r1*MIN(AT302,PR_Band)+PR_r2*MAX(0,AT302-PR_Band)-(PR_Personal+AV302+AX302+IF(AND(AY302=1,AT302&gt;0),PR_Rent,0))),0)</f>
        <v>0</v>
      </c>
      <c r="BJ302" s="20" t="n">
        <f aca="false">IF(AG302&gt;=PR_AgeCrAge,IF(AT302&lt;=PR_AgeEx,0,MIN(BI302,PR_AgeMarg*(AT302-PR_AgeEx))),BI302)</f>
        <v>0</v>
      </c>
      <c r="BK302" s="20" t="n">
        <f aca="false">IF(F_Partner=1,IF(F_Married=1,BF302,BH302+BJ302),BH302)</f>
        <v>0</v>
      </c>
      <c r="BL302" s="20" t="n">
        <f aca="false">AL302+AN302+AO302</f>
        <v>0</v>
      </c>
      <c r="BM302" s="20" t="n">
        <f aca="false">IF(BL302&lt;=PR_USCex,0,IF(IF(AND(C302&gt;=PR_USCredAge,BL302&lt;=PR_USCredMax),1,0)=1,PR_USCr1*MIN(BL302,PR_USCredB1)+PR_USCredR2*MAX(0,BL302-PR_USCredB1),PR_USCr1*MIN(BL302,PR_USCb1)+PR_USCr2*MAX(0,MIN(BL302,PR_USCb2)-PR_USCb1)+PR_USCr3*MAX(0,MIN(BL302,PR_USCb3)-PR_USCb2)+PR_USCr4*MAX(0,BL302-PR_USCb3)))+IF(F_SelfEmp=1,PR_USCse*MAX(0,AL302-PR_USCseOver),0)</f>
        <v>0</v>
      </c>
      <c r="BN302" s="20" t="n">
        <f aca="false">AQ302</f>
        <v>0</v>
      </c>
      <c r="BO302" s="20" t="n">
        <f aca="false">IF(F_Partner=1,IF(BN302&lt;=PR_USCex,0,IF(IF(AND(AG302&gt;=PR_USCredAge,BN302&lt;=PR_USCredMax),1,0)=1,PR_USCr1*MIN(BN302,PR_USCredB1)+PR_USCredR2*MAX(0,BN302-PR_USCredB1),PR_USCr1*MIN(BN302,PR_USCb1)+PR_USCr2*MAX(0,MIN(BN302,PR_USCb2)-PR_USCb1)+PR_USCr3*MAX(0,MIN(BN302,PR_USCb3)-PR_USCb2)+PR_USCr4*MAX(0,BN302-PR_USCb3))),0)</f>
        <v>0</v>
      </c>
      <c r="BP302" s="20" t="n">
        <f aca="false">IF(C302&lt;PR_PRSIend,IF(F_SelfEmp=1,IF(AL302&gt;PR_PRSIsMinInc,MAX(PR_PRSIsMin,AL302*J302),0),IF(AL302/52&lt;=PR_PRSIfree,0,MAX(0,(AL302/52*J302-IF(AL302/52&lt;=PR_PRSIcreditTo,MAX(0,PR_PRSIcreditMax-(AL302/52-(PR_PRSIfree+0.01))/PR_PRSItaper),0))*52)))+J302*AN302+IF(AO302&gt;PR_PRSIunearned,J302*AO302,0),0)</f>
        <v>0</v>
      </c>
      <c r="BQ302" s="20" t="n">
        <f aca="false">IF(AND(F_Partner=1,AG302&lt;PR_PRSIend),IF(AQ302/52&lt;=PR_PRSIfree,0,MAX(0,(AQ302/52*J302-IF(AQ302/52&lt;=PR_PRSIcreditTo,MAX(0,PR_PRSIcreditMax-(AQ302/52-(PR_PRSIfree+0.01))/PR_PRSItaper),0))*52)),0)</f>
        <v>0</v>
      </c>
      <c r="BR302" s="20" t="n">
        <f aca="false">BK302+BM302+BO302+BP302+BQ302</f>
        <v>0</v>
      </c>
      <c r="BS302" s="20" t="n">
        <f aca="false">BR302*H302</f>
        <v>0</v>
      </c>
      <c r="BT302" s="20" t="n">
        <f aca="false">K302+AK302+AC302+AF302+AH302+AI302</f>
        <v>109693.689079877</v>
      </c>
    </row>
    <row r="303" customFormat="false" ht="15" hidden="false" customHeight="true" outlineLevel="0" collapsed="false">
      <c r="B303" s="20" t="n">
        <v>69</v>
      </c>
      <c r="C303" s="20" t="n">
        <f aca="false">F_Age+B303</f>
        <v>107</v>
      </c>
      <c r="D303" s="20" t="n">
        <f aca="false">AS_Year0+B303</f>
        <v>2096</v>
      </c>
      <c r="E303" s="44" t="n">
        <f aca="false">(1+AS_Infl)^B303</f>
        <v>3.92113551259651</v>
      </c>
      <c r="F303" s="44" t="n">
        <f aca="false">(1+AS_Wage)^B303</f>
        <v>7.68720573992403</v>
      </c>
      <c r="G303" s="20" t="n">
        <f aca="false">IF(C303&lt;F_R,1,0)</f>
        <v>0</v>
      </c>
      <c r="H303" s="44" t="n">
        <f aca="false">IF(AS_Bands="flat",1,E303)</f>
        <v>3.92113551259651</v>
      </c>
      <c r="I303" s="44" t="n">
        <f aca="false">IF(AS_SpGrow="pay",F303,IF(AS_SpGrow="flat",1,E303))</f>
        <v>3.92113551259651</v>
      </c>
      <c r="J303" s="44" t="n">
        <f aca="false">(12*PR_PRSIr0+(PR_PRSIr1-PR_PRSIr0)*MAX(0,MIN(12,D303*12+12-PR_PRSIt1))+(PR_PRSIr2-PR_PRSIr1)*MAX(0,MIN(12,D303*12+12-PR_PRSIt2))+(PR_PRSIr3-PR_PRSIr2)*MAX(0,MIN(12,D303*12+12-PR_PRSIt3)))/12</f>
        <v>0.047</v>
      </c>
      <c r="K303" s="20" t="n">
        <f aca="false">IF(G303=1,F_Income*F303,0)</f>
        <v>0</v>
      </c>
      <c r="L303" s="20" t="n">
        <f aca="false">IF(G303=1,(F_Own+In_penExtra)*12*F303,0)</f>
        <v>0</v>
      </c>
      <c r="M303" s="20" t="n">
        <f aca="false">IF(G303=1,(F_PenM+In_penExtra)*12*F303,0)</f>
        <v>0</v>
      </c>
      <c r="N303" s="45" t="n">
        <f aca="false">IF(C303&lt;PR_RelA1,PR_RelP1,IF(C303&lt;PR_RelA2,PR_RelP2,IF(C303&lt;PR_RelA3,PR_RelP3,IF(C303&lt;PR_RelA4,PR_RelP4,IF(C303&lt;PR_RelA5,PR_RelP5,PR_RelP6)))))</f>
        <v>0.4</v>
      </c>
      <c r="O303" s="20" t="n">
        <f aca="false">IF(G303=1,MIN(L303/H303,N303*MIN(K303/H303,PR_EarnCap))*H303,0)</f>
        <v>0</v>
      </c>
      <c r="P303" s="20" t="n">
        <f aca="false">IF(AND(G303=1,F_AE=1),MIN(K303/H303,PR_AEcap)*H303,0)</f>
        <v>0</v>
      </c>
      <c r="Q303" s="20" t="n">
        <f aca="false">IF(G303=1,IF(WI_Retire=1,MAX(0,M303+WI_M*12),M303)+(PR_AEee+PR_AEer+PR_AEst)*P303,0)</f>
        <v>0</v>
      </c>
      <c r="R303" s="20" t="n">
        <f aca="false">L303+PR_AEee*P303</f>
        <v>0</v>
      </c>
      <c r="S303" s="20" t="n">
        <f aca="false">AD302</f>
        <v>0</v>
      </c>
      <c r="T303" s="20" t="n">
        <f aca="false">IF(D303&lt;=PR_SFTfrom,PR_SFT2026,IF(D303=PR_SFTfrom+1,PR_SFT2027,IF(D303=PR_SFTfrom+2,PR_SFT2028,IF(D303&lt;=PR_SFTto,PR_SFT2029,PR_SFT2029*(1+AS_Infl)^(D303-PR_SFTto)))))</f>
        <v>10552844.5167918</v>
      </c>
      <c r="U303" s="20" t="n">
        <f aca="false">IF(AND(G303=0,C303=F_V),1,0)</f>
        <v>0</v>
      </c>
      <c r="V303" s="20" t="n">
        <f aca="false">IF(U303=1,PR_SFTrate*MAX(0,S303-T303),0)</f>
        <v>0</v>
      </c>
      <c r="W303" s="20" t="n">
        <f aca="false">S303-V303</f>
        <v>0</v>
      </c>
      <c r="X303" s="20" t="n">
        <f aca="false">IF(AND(U303=1,AS_LumpPct&gt;0),W303*MIN(AS_LumpPct,PR_LSmax),0)</f>
        <v>0</v>
      </c>
      <c r="Y303" s="20" t="n">
        <f aca="false">X303-(PR_LSrate*MAX(0,MIN(X303,PR_LScap)-PR_LSfree)+PR_r2*MAX(0,X303-PR_LScap))</f>
        <v>0</v>
      </c>
      <c r="Z303" s="20" t="n">
        <f aca="false">W303-X303</f>
        <v>0</v>
      </c>
      <c r="AA303" s="45" t="n">
        <f aca="false">IF(C303&gt;=PR_ARFage1,IF(Z303&gt;PR_ARFbig,PR_ARFbigRate,IF(C303&gt;=PR_ARFage2,PR_ARF71,PR_ARF61)),0)</f>
        <v>0.05</v>
      </c>
      <c r="AB303" s="20" t="n">
        <f aca="false">IF(AS_DrawRule="min",Z303*AA303,IF(AS_DrawRule="fixed",MAX(AS_DrawFixed*E303,Z303*AA303),Z303*MAX(1/MAX(1,AS_End-C303+1),AA303)))</f>
        <v>0</v>
      </c>
      <c r="AC303" s="20" t="n">
        <f aca="false">IF(AND(G303=0,C303&gt;=F_V),MIN(Z303,AB303),0)</f>
        <v>0</v>
      </c>
      <c r="AD303" s="20" t="n">
        <f aca="false">IF(G303=1,S303*(1+F_PenG)+Q303,IF(C303&lt;F_V,S303*(1+F_PenG),(Z303-AC303)*(1+AS_PenRet)))</f>
        <v>0</v>
      </c>
      <c r="AE303" s="20" t="n">
        <f aca="false">IF(C303&gt;=PR_SPage,AS_SP*F_SpF*I303+IF(AND(C303&gt;=PR_Over80Age,F_SpF&gt;0),PR_Over80*PR_Weeks*I303,0),0)</f>
        <v>63065.9751303972</v>
      </c>
      <c r="AF303" s="20" t="n">
        <f aca="false">(F_OtherM+F_RentM)*12*E303</f>
        <v>0</v>
      </c>
      <c r="AG303" s="20" t="n">
        <f aca="false">F_PAge+B303</f>
        <v>106</v>
      </c>
      <c r="AH303" s="20" t="n">
        <f aca="false">IF(AND(F_Partner=1,F_PAge&gt;0,AG303&lt;IF(F_PRet&gt;0,F_PRet,PR_SPage)),F_PIncome*F303,0)</f>
        <v>0</v>
      </c>
      <c r="AI303" s="20" t="n">
        <f aca="false">IF(AND(F_Partner=1,AG303&gt;=PR_SPage,F_PSpQA=0),AS_SP*F_PSpF*I303,0)</f>
        <v>48821.5877310776</v>
      </c>
      <c r="AJ303" s="20" t="n">
        <f aca="false">IF(AND(F_Partner=1,F_PSpQA=1,C303&gt;=PR_SPage,AH303=0),IF(AG303&gt;=PR_SPage,PR_QA66,PR_QAunder)*PR_Weeks*I303,0)</f>
        <v>0</v>
      </c>
      <c r="AK303" s="20" t="n">
        <f aca="false">AE303+AJ303</f>
        <v>63065.9751303972</v>
      </c>
      <c r="AL303" s="20" t="n">
        <f aca="false">K303/H303</f>
        <v>0</v>
      </c>
      <c r="AM303" s="20" t="n">
        <f aca="false">AK303/H303</f>
        <v>16083.6</v>
      </c>
      <c r="AN303" s="20" t="n">
        <f aca="false">AC303/H303</f>
        <v>0</v>
      </c>
      <c r="AO303" s="20" t="n">
        <f aca="false">AF303/H303</f>
        <v>0</v>
      </c>
      <c r="AP303" s="20" t="n">
        <f aca="false">O303/H303</f>
        <v>0</v>
      </c>
      <c r="AQ303" s="20" t="n">
        <f aca="false">AH303/H303</f>
        <v>0</v>
      </c>
      <c r="AR303" s="20" t="n">
        <f aca="false">AI303/H303</f>
        <v>12450.88</v>
      </c>
      <c r="AS303" s="20" t="n">
        <f aca="false">MAX(0,AL303+AN303+AO303+AM303-AP303)</f>
        <v>16083.6</v>
      </c>
      <c r="AT303" s="20" t="n">
        <f aca="false">MAX(0,AQ303+AR303)</f>
        <v>12450.88</v>
      </c>
      <c r="AU303" s="20" t="n">
        <f aca="false">MIN(PR_PAYE,PR_PAYEcap*(AL303+AN303+AM303))</f>
        <v>2000</v>
      </c>
      <c r="AV303" s="20" t="n">
        <f aca="false">MIN(PR_PAYE,PR_PAYEcap*(AQ303+AR303))</f>
        <v>2000</v>
      </c>
      <c r="AW303" s="20" t="n">
        <f aca="false">IF(C303&gt;=PR_AgeCrAge,PR_AgeCr,0)</f>
        <v>245</v>
      </c>
      <c r="AX303" s="20" t="n">
        <f aca="false">IF(AG303&gt;=PR_AgeCrAge,PR_AgeCr,0)</f>
        <v>245</v>
      </c>
      <c r="AY303" s="20" t="n">
        <f aca="false">IF(AND(F_RentCred=1,D303&lt;=PR_RentLast),1,0)</f>
        <v>0</v>
      </c>
      <c r="AZ303" s="20" t="n">
        <f aca="false">AS303+AT303</f>
        <v>28534.48</v>
      </c>
      <c r="BA303" s="20" t="n">
        <f aca="false">PR_PersonalM+AU303+AV303+AW303+AX303+IF(AY303=1,PR_RentJoint,0)</f>
        <v>8490</v>
      </c>
      <c r="BB303" s="20" t="n">
        <f aca="false">PR_BandM+MIN(MIN(AS303,AT303),PR_Uplift)</f>
        <v>65450.88</v>
      </c>
      <c r="BC303" s="20" t="n">
        <f aca="false">MAX(0,PR_r1*MIN(AZ303,BB303)+PR_r2*MAX(0,AZ303-BB303)-BA303)</f>
        <v>0</v>
      </c>
      <c r="BD303" s="20" t="n">
        <f aca="false">MAX(0,PR_HomeCarer-MAX(0,MIN(AS303,AT303)-PR_HCLimit)/2)</f>
        <v>0</v>
      </c>
      <c r="BE303" s="20" t="n">
        <f aca="false">IF(F_Carer=1,MIN(BC303,MAX(0,PR_r1*MIN(AZ303,PR_BandM)+PR_r2*MAX(0,AZ303-PR_BandM)-BA303-BD303)),BC303)</f>
        <v>0</v>
      </c>
      <c r="BF303" s="20" t="n">
        <f aca="false">IF(OR(C303&gt;=PR_AgeCrAge,AG303&gt;=PR_AgeCrAge),IF(AZ303&lt;=PR_AgeExM,0,MIN(BE303,PR_AgeMarg*(AZ303-PR_AgeExM))),BE303)</f>
        <v>0</v>
      </c>
      <c r="BG303" s="20" t="n">
        <f aca="false">MAX(0,PR_r1*MIN(AS303,IF(F_Spccc=1,PR_BandSPCCC,PR_Band))+PR_r2*MAX(0,AS303-IF(F_Spccc=1,PR_BandSPCCC,PR_Band))-(PR_Personal+AU303+AW303+IF(F_Spccc=1,PR_SPCCC,0)+IF(AY303=1,PR_Rent,0)))</f>
        <v>0</v>
      </c>
      <c r="BH303" s="20" t="n">
        <f aca="false">IF(C303&gt;=PR_AgeCrAge,IF(AS303&lt;=PR_AgeEx,0,MIN(BG303,PR_AgeMarg*(AS303-PR_AgeEx))),BG303)</f>
        <v>0</v>
      </c>
      <c r="BI303" s="20" t="n">
        <f aca="false">IF(F_Partner=1,MAX(0,PR_r1*MIN(AT303,PR_Band)+PR_r2*MAX(0,AT303-PR_Band)-(PR_Personal+AV303+AX303+IF(AND(AY303=1,AT303&gt;0),PR_Rent,0))),0)</f>
        <v>0</v>
      </c>
      <c r="BJ303" s="20" t="n">
        <f aca="false">IF(AG303&gt;=PR_AgeCrAge,IF(AT303&lt;=PR_AgeEx,0,MIN(BI303,PR_AgeMarg*(AT303-PR_AgeEx))),BI303)</f>
        <v>0</v>
      </c>
      <c r="BK303" s="20" t="n">
        <f aca="false">IF(F_Partner=1,IF(F_Married=1,BF303,BH303+BJ303),BH303)</f>
        <v>0</v>
      </c>
      <c r="BL303" s="20" t="n">
        <f aca="false">AL303+AN303+AO303</f>
        <v>0</v>
      </c>
      <c r="BM303" s="20" t="n">
        <f aca="false">IF(BL303&lt;=PR_USCex,0,IF(IF(AND(C303&gt;=PR_USCredAge,BL303&lt;=PR_USCredMax),1,0)=1,PR_USCr1*MIN(BL303,PR_USCredB1)+PR_USCredR2*MAX(0,BL303-PR_USCredB1),PR_USCr1*MIN(BL303,PR_USCb1)+PR_USCr2*MAX(0,MIN(BL303,PR_USCb2)-PR_USCb1)+PR_USCr3*MAX(0,MIN(BL303,PR_USCb3)-PR_USCb2)+PR_USCr4*MAX(0,BL303-PR_USCb3)))+IF(F_SelfEmp=1,PR_USCse*MAX(0,AL303-PR_USCseOver),0)</f>
        <v>0</v>
      </c>
      <c r="BN303" s="20" t="n">
        <f aca="false">AQ303</f>
        <v>0</v>
      </c>
      <c r="BO303" s="20" t="n">
        <f aca="false">IF(F_Partner=1,IF(BN303&lt;=PR_USCex,0,IF(IF(AND(AG303&gt;=PR_USCredAge,BN303&lt;=PR_USCredMax),1,0)=1,PR_USCr1*MIN(BN303,PR_USCredB1)+PR_USCredR2*MAX(0,BN303-PR_USCredB1),PR_USCr1*MIN(BN303,PR_USCb1)+PR_USCr2*MAX(0,MIN(BN303,PR_USCb2)-PR_USCb1)+PR_USCr3*MAX(0,MIN(BN303,PR_USCb3)-PR_USCb2)+PR_USCr4*MAX(0,BN303-PR_USCb3))),0)</f>
        <v>0</v>
      </c>
      <c r="BP303" s="20" t="n">
        <f aca="false">IF(C303&lt;PR_PRSIend,IF(F_SelfEmp=1,IF(AL303&gt;PR_PRSIsMinInc,MAX(PR_PRSIsMin,AL303*J303),0),IF(AL303/52&lt;=PR_PRSIfree,0,MAX(0,(AL303/52*J303-IF(AL303/52&lt;=PR_PRSIcreditTo,MAX(0,PR_PRSIcreditMax-(AL303/52-(PR_PRSIfree+0.01))/PR_PRSItaper),0))*52)))+J303*AN303+IF(AO303&gt;PR_PRSIunearned,J303*AO303,0),0)</f>
        <v>0</v>
      </c>
      <c r="BQ303" s="20" t="n">
        <f aca="false">IF(AND(F_Partner=1,AG303&lt;PR_PRSIend),IF(AQ303/52&lt;=PR_PRSIfree,0,MAX(0,(AQ303/52*J303-IF(AQ303/52&lt;=PR_PRSIcreditTo,MAX(0,PR_PRSIcreditMax-(AQ303/52-(PR_PRSIfree+0.01))/PR_PRSItaper),0))*52)),0)</f>
        <v>0</v>
      </c>
      <c r="BR303" s="20" t="n">
        <f aca="false">BK303+BM303+BO303+BP303+BQ303</f>
        <v>0</v>
      </c>
      <c r="BS303" s="20" t="n">
        <f aca="false">BR303*H303</f>
        <v>0</v>
      </c>
      <c r="BT303" s="20" t="n">
        <f aca="false">K303+AK303+AC303+AF303+AH303+AI303</f>
        <v>111887.562861475</v>
      </c>
    </row>
    <row r="304" customFormat="false" ht="15" hidden="false" customHeight="true" outlineLevel="0" collapsed="false">
      <c r="B304" s="20" t="n">
        <v>70</v>
      </c>
      <c r="C304" s="20" t="n">
        <f aca="false">F_Age+B304</f>
        <v>108</v>
      </c>
      <c r="D304" s="20" t="n">
        <f aca="false">AS_Year0+B304</f>
        <v>2097</v>
      </c>
      <c r="E304" s="44" t="n">
        <f aca="false">(1+AS_Infl)^B304</f>
        <v>3.99955822284844</v>
      </c>
      <c r="F304" s="44" t="n">
        <f aca="false">(1+AS_Wage)^B304</f>
        <v>7.91782191212175</v>
      </c>
      <c r="G304" s="20" t="n">
        <f aca="false">IF(C304&lt;F_R,1,0)</f>
        <v>0</v>
      </c>
      <c r="H304" s="44" t="n">
        <f aca="false">IF(AS_Bands="flat",1,E304)</f>
        <v>3.99955822284844</v>
      </c>
      <c r="I304" s="44" t="n">
        <f aca="false">IF(AS_SpGrow="pay",F304,IF(AS_SpGrow="flat",1,E304))</f>
        <v>3.99955822284844</v>
      </c>
      <c r="J304" s="44" t="n">
        <f aca="false">(12*PR_PRSIr0+(PR_PRSIr1-PR_PRSIr0)*MAX(0,MIN(12,D304*12+12-PR_PRSIt1))+(PR_PRSIr2-PR_PRSIr1)*MAX(0,MIN(12,D304*12+12-PR_PRSIt2))+(PR_PRSIr3-PR_PRSIr2)*MAX(0,MIN(12,D304*12+12-PR_PRSIt3)))/12</f>
        <v>0.047</v>
      </c>
      <c r="K304" s="20" t="n">
        <f aca="false">IF(G304=1,F_Income*F304,0)</f>
        <v>0</v>
      </c>
      <c r="L304" s="20" t="n">
        <f aca="false">IF(G304=1,(F_Own+In_penExtra)*12*F304,0)</f>
        <v>0</v>
      </c>
      <c r="M304" s="20" t="n">
        <f aca="false">IF(G304=1,(F_PenM+In_penExtra)*12*F304,0)</f>
        <v>0</v>
      </c>
      <c r="N304" s="45" t="n">
        <f aca="false">IF(C304&lt;PR_RelA1,PR_RelP1,IF(C304&lt;PR_RelA2,PR_RelP2,IF(C304&lt;PR_RelA3,PR_RelP3,IF(C304&lt;PR_RelA4,PR_RelP4,IF(C304&lt;PR_RelA5,PR_RelP5,PR_RelP6)))))</f>
        <v>0.4</v>
      </c>
      <c r="O304" s="20" t="n">
        <f aca="false">IF(G304=1,MIN(L304/H304,N304*MIN(K304/H304,PR_EarnCap))*H304,0)</f>
        <v>0</v>
      </c>
      <c r="P304" s="20" t="n">
        <f aca="false">IF(AND(G304=1,F_AE=1),MIN(K304/H304,PR_AEcap)*H304,0)</f>
        <v>0</v>
      </c>
      <c r="Q304" s="20" t="n">
        <f aca="false">IF(G304=1,IF(WI_Retire=1,MAX(0,M304+WI_M*12),M304)+(PR_AEee+PR_AEer+PR_AEst)*P304,0)</f>
        <v>0</v>
      </c>
      <c r="R304" s="20" t="n">
        <f aca="false">L304+PR_AEee*P304</f>
        <v>0</v>
      </c>
      <c r="S304" s="20" t="n">
        <f aca="false">AD303</f>
        <v>0</v>
      </c>
      <c r="T304" s="20" t="n">
        <f aca="false">IF(D304&lt;=PR_SFTfrom,PR_SFT2026,IF(D304=PR_SFTfrom+1,PR_SFT2027,IF(D304=PR_SFTfrom+2,PR_SFT2028,IF(D304&lt;=PR_SFTto,PR_SFT2029,PR_SFT2029*(1+AS_Infl)^(D304-PR_SFTto)))))</f>
        <v>10763901.4071277</v>
      </c>
      <c r="U304" s="20" t="n">
        <f aca="false">IF(AND(G304=0,C304=F_V),1,0)</f>
        <v>0</v>
      </c>
      <c r="V304" s="20" t="n">
        <f aca="false">IF(U304=1,PR_SFTrate*MAX(0,S304-T304),0)</f>
        <v>0</v>
      </c>
      <c r="W304" s="20" t="n">
        <f aca="false">S304-V304</f>
        <v>0</v>
      </c>
      <c r="X304" s="20" t="n">
        <f aca="false">IF(AND(U304=1,AS_LumpPct&gt;0),W304*MIN(AS_LumpPct,PR_LSmax),0)</f>
        <v>0</v>
      </c>
      <c r="Y304" s="20" t="n">
        <f aca="false">X304-(PR_LSrate*MAX(0,MIN(X304,PR_LScap)-PR_LSfree)+PR_r2*MAX(0,X304-PR_LScap))</f>
        <v>0</v>
      </c>
      <c r="Z304" s="20" t="n">
        <f aca="false">W304-X304</f>
        <v>0</v>
      </c>
      <c r="AA304" s="45" t="n">
        <f aca="false">IF(C304&gt;=PR_ARFage1,IF(Z304&gt;PR_ARFbig,PR_ARFbigRate,IF(C304&gt;=PR_ARFage2,PR_ARF71,PR_ARF61)),0)</f>
        <v>0.05</v>
      </c>
      <c r="AB304" s="20" t="n">
        <f aca="false">IF(AS_DrawRule="min",Z304*AA304,IF(AS_DrawRule="fixed",MAX(AS_DrawFixed*E304,Z304*AA304),Z304*MAX(1/MAX(1,AS_End-C304+1),AA304)))</f>
        <v>0</v>
      </c>
      <c r="AC304" s="20" t="n">
        <f aca="false">IF(AND(G304=0,C304&gt;=F_V),MIN(Z304,AB304),0)</f>
        <v>0</v>
      </c>
      <c r="AD304" s="20" t="n">
        <f aca="false">IF(G304=1,S304*(1+F_PenG)+Q304,IF(C304&lt;F_V,S304*(1+F_PenG),(Z304-AC304)*(1+AS_PenRet)))</f>
        <v>0</v>
      </c>
      <c r="AE304" s="20" t="n">
        <f aca="false">IF(C304&gt;=PR_SPage,AS_SP*F_SpF*I304+IF(AND(C304&gt;=PR_Over80Age,F_SpF&gt;0),PR_Over80*PR_Weeks*I304,0),0)</f>
        <v>64327.2946330052</v>
      </c>
      <c r="AF304" s="20" t="n">
        <f aca="false">(F_OtherM+F_RentM)*12*E304</f>
        <v>0</v>
      </c>
      <c r="AG304" s="20" t="n">
        <f aca="false">F_PAge+B304</f>
        <v>107</v>
      </c>
      <c r="AH304" s="20" t="n">
        <f aca="false">IF(AND(F_Partner=1,F_PAge&gt;0,AG304&lt;IF(F_PRet&gt;0,F_PRet,PR_SPage)),F_PIncome*F304,0)</f>
        <v>0</v>
      </c>
      <c r="AI304" s="20" t="n">
        <f aca="false">IF(AND(F_Partner=1,AG304&gt;=PR_SPage,F_PSpQA=0),AS_SP*F_PSpF*I304,0)</f>
        <v>49798.0194856992</v>
      </c>
      <c r="AJ304" s="20" t="n">
        <f aca="false">IF(AND(F_Partner=1,F_PSpQA=1,C304&gt;=PR_SPage,AH304=0),IF(AG304&gt;=PR_SPage,PR_QA66,PR_QAunder)*PR_Weeks*I304,0)</f>
        <v>0</v>
      </c>
      <c r="AK304" s="20" t="n">
        <f aca="false">AE304+AJ304</f>
        <v>64327.2946330052</v>
      </c>
      <c r="AL304" s="20" t="n">
        <f aca="false">K304/H304</f>
        <v>0</v>
      </c>
      <c r="AM304" s="20" t="n">
        <f aca="false">AK304/H304</f>
        <v>16083.6</v>
      </c>
      <c r="AN304" s="20" t="n">
        <f aca="false">AC304/H304</f>
        <v>0</v>
      </c>
      <c r="AO304" s="20" t="n">
        <f aca="false">AF304/H304</f>
        <v>0</v>
      </c>
      <c r="AP304" s="20" t="n">
        <f aca="false">O304/H304</f>
        <v>0</v>
      </c>
      <c r="AQ304" s="20" t="n">
        <f aca="false">AH304/H304</f>
        <v>0</v>
      </c>
      <c r="AR304" s="20" t="n">
        <f aca="false">AI304/H304</f>
        <v>12450.88</v>
      </c>
      <c r="AS304" s="20" t="n">
        <f aca="false">MAX(0,AL304+AN304+AO304+AM304-AP304)</f>
        <v>16083.6</v>
      </c>
      <c r="AT304" s="20" t="n">
        <f aca="false">MAX(0,AQ304+AR304)</f>
        <v>12450.88</v>
      </c>
      <c r="AU304" s="20" t="n">
        <f aca="false">MIN(PR_PAYE,PR_PAYEcap*(AL304+AN304+AM304))</f>
        <v>2000</v>
      </c>
      <c r="AV304" s="20" t="n">
        <f aca="false">MIN(PR_PAYE,PR_PAYEcap*(AQ304+AR304))</f>
        <v>2000</v>
      </c>
      <c r="AW304" s="20" t="n">
        <f aca="false">IF(C304&gt;=PR_AgeCrAge,PR_AgeCr,0)</f>
        <v>245</v>
      </c>
      <c r="AX304" s="20" t="n">
        <f aca="false">IF(AG304&gt;=PR_AgeCrAge,PR_AgeCr,0)</f>
        <v>245</v>
      </c>
      <c r="AY304" s="20" t="n">
        <f aca="false">IF(AND(F_RentCred=1,D304&lt;=PR_RentLast),1,0)</f>
        <v>0</v>
      </c>
      <c r="AZ304" s="20" t="n">
        <f aca="false">AS304+AT304</f>
        <v>28534.48</v>
      </c>
      <c r="BA304" s="20" t="n">
        <f aca="false">PR_PersonalM+AU304+AV304+AW304+AX304+IF(AY304=1,PR_RentJoint,0)</f>
        <v>8490</v>
      </c>
      <c r="BB304" s="20" t="n">
        <f aca="false">PR_BandM+MIN(MIN(AS304,AT304),PR_Uplift)</f>
        <v>65450.88</v>
      </c>
      <c r="BC304" s="20" t="n">
        <f aca="false">MAX(0,PR_r1*MIN(AZ304,BB304)+PR_r2*MAX(0,AZ304-BB304)-BA304)</f>
        <v>0</v>
      </c>
      <c r="BD304" s="20" t="n">
        <f aca="false">MAX(0,PR_HomeCarer-MAX(0,MIN(AS304,AT304)-PR_HCLimit)/2)</f>
        <v>0</v>
      </c>
      <c r="BE304" s="20" t="n">
        <f aca="false">IF(F_Carer=1,MIN(BC304,MAX(0,PR_r1*MIN(AZ304,PR_BandM)+PR_r2*MAX(0,AZ304-PR_BandM)-BA304-BD304)),BC304)</f>
        <v>0</v>
      </c>
      <c r="BF304" s="20" t="n">
        <f aca="false">IF(OR(C304&gt;=PR_AgeCrAge,AG304&gt;=PR_AgeCrAge),IF(AZ304&lt;=PR_AgeExM,0,MIN(BE304,PR_AgeMarg*(AZ304-PR_AgeExM))),BE304)</f>
        <v>0</v>
      </c>
      <c r="BG304" s="20" t="n">
        <f aca="false">MAX(0,PR_r1*MIN(AS304,IF(F_Spccc=1,PR_BandSPCCC,PR_Band))+PR_r2*MAX(0,AS304-IF(F_Spccc=1,PR_BandSPCCC,PR_Band))-(PR_Personal+AU304+AW304+IF(F_Spccc=1,PR_SPCCC,0)+IF(AY304=1,PR_Rent,0)))</f>
        <v>0</v>
      </c>
      <c r="BH304" s="20" t="n">
        <f aca="false">IF(C304&gt;=PR_AgeCrAge,IF(AS304&lt;=PR_AgeEx,0,MIN(BG304,PR_AgeMarg*(AS304-PR_AgeEx))),BG304)</f>
        <v>0</v>
      </c>
      <c r="BI304" s="20" t="n">
        <f aca="false">IF(F_Partner=1,MAX(0,PR_r1*MIN(AT304,PR_Band)+PR_r2*MAX(0,AT304-PR_Band)-(PR_Personal+AV304+AX304+IF(AND(AY304=1,AT304&gt;0),PR_Rent,0))),0)</f>
        <v>0</v>
      </c>
      <c r="BJ304" s="20" t="n">
        <f aca="false">IF(AG304&gt;=PR_AgeCrAge,IF(AT304&lt;=PR_AgeEx,0,MIN(BI304,PR_AgeMarg*(AT304-PR_AgeEx))),BI304)</f>
        <v>0</v>
      </c>
      <c r="BK304" s="20" t="n">
        <f aca="false">IF(F_Partner=1,IF(F_Married=1,BF304,BH304+BJ304),BH304)</f>
        <v>0</v>
      </c>
      <c r="BL304" s="20" t="n">
        <f aca="false">AL304+AN304+AO304</f>
        <v>0</v>
      </c>
      <c r="BM304" s="20" t="n">
        <f aca="false">IF(BL304&lt;=PR_USCex,0,IF(IF(AND(C304&gt;=PR_USCredAge,BL304&lt;=PR_USCredMax),1,0)=1,PR_USCr1*MIN(BL304,PR_USCredB1)+PR_USCredR2*MAX(0,BL304-PR_USCredB1),PR_USCr1*MIN(BL304,PR_USCb1)+PR_USCr2*MAX(0,MIN(BL304,PR_USCb2)-PR_USCb1)+PR_USCr3*MAX(0,MIN(BL304,PR_USCb3)-PR_USCb2)+PR_USCr4*MAX(0,BL304-PR_USCb3)))+IF(F_SelfEmp=1,PR_USCse*MAX(0,AL304-PR_USCseOver),0)</f>
        <v>0</v>
      </c>
      <c r="BN304" s="20" t="n">
        <f aca="false">AQ304</f>
        <v>0</v>
      </c>
      <c r="BO304" s="20" t="n">
        <f aca="false">IF(F_Partner=1,IF(BN304&lt;=PR_USCex,0,IF(IF(AND(AG304&gt;=PR_USCredAge,BN304&lt;=PR_USCredMax),1,0)=1,PR_USCr1*MIN(BN304,PR_USCredB1)+PR_USCredR2*MAX(0,BN304-PR_USCredB1),PR_USCr1*MIN(BN304,PR_USCb1)+PR_USCr2*MAX(0,MIN(BN304,PR_USCb2)-PR_USCb1)+PR_USCr3*MAX(0,MIN(BN304,PR_USCb3)-PR_USCb2)+PR_USCr4*MAX(0,BN304-PR_USCb3))),0)</f>
        <v>0</v>
      </c>
      <c r="BP304" s="20" t="n">
        <f aca="false">IF(C304&lt;PR_PRSIend,IF(F_SelfEmp=1,IF(AL304&gt;PR_PRSIsMinInc,MAX(PR_PRSIsMin,AL304*J304),0),IF(AL304/52&lt;=PR_PRSIfree,0,MAX(0,(AL304/52*J304-IF(AL304/52&lt;=PR_PRSIcreditTo,MAX(0,PR_PRSIcreditMax-(AL304/52-(PR_PRSIfree+0.01))/PR_PRSItaper),0))*52)))+J304*AN304+IF(AO304&gt;PR_PRSIunearned,J304*AO304,0),0)</f>
        <v>0</v>
      </c>
      <c r="BQ304" s="20" t="n">
        <f aca="false">IF(AND(F_Partner=1,AG304&lt;PR_PRSIend),IF(AQ304/52&lt;=PR_PRSIfree,0,MAX(0,(AQ304/52*J304-IF(AQ304/52&lt;=PR_PRSIcreditTo,MAX(0,PR_PRSIcreditMax-(AQ304/52-(PR_PRSIfree+0.01))/PR_PRSItaper),0))*52)),0)</f>
        <v>0</v>
      </c>
      <c r="BR304" s="20" t="n">
        <f aca="false">BK304+BM304+BO304+BP304+BQ304</f>
        <v>0</v>
      </c>
      <c r="BS304" s="20" t="n">
        <f aca="false">BR304*H304</f>
        <v>0</v>
      </c>
      <c r="BT304" s="20" t="n">
        <f aca="false">K304+AK304+AC304+AF304+AH304+AI304</f>
        <v>114125.314118704</v>
      </c>
    </row>
    <row r="305" customFormat="false" ht="15" hidden="false" customHeight="true" outlineLevel="0" collapsed="false">
      <c r="B305" s="20" t="n">
        <v>71</v>
      </c>
      <c r="C305" s="20" t="n">
        <f aca="false">F_Age+B305</f>
        <v>109</v>
      </c>
      <c r="D305" s="20" t="n">
        <f aca="false">AS_Year0+B305</f>
        <v>2098</v>
      </c>
      <c r="E305" s="44" t="n">
        <f aca="false">(1+AS_Infl)^B305</f>
        <v>4.07954938730541</v>
      </c>
      <c r="F305" s="44" t="n">
        <f aca="false">(1+AS_Wage)^B305</f>
        <v>8.1553565694854</v>
      </c>
      <c r="G305" s="20" t="n">
        <f aca="false">IF(C305&lt;F_R,1,0)</f>
        <v>0</v>
      </c>
      <c r="H305" s="44" t="n">
        <f aca="false">IF(AS_Bands="flat",1,E305)</f>
        <v>4.07954938730541</v>
      </c>
      <c r="I305" s="44" t="n">
        <f aca="false">IF(AS_SpGrow="pay",F305,IF(AS_SpGrow="flat",1,E305))</f>
        <v>4.07954938730541</v>
      </c>
      <c r="J305" s="44" t="n">
        <f aca="false">(12*PR_PRSIr0+(PR_PRSIr1-PR_PRSIr0)*MAX(0,MIN(12,D305*12+12-PR_PRSIt1))+(PR_PRSIr2-PR_PRSIr1)*MAX(0,MIN(12,D305*12+12-PR_PRSIt2))+(PR_PRSIr3-PR_PRSIr2)*MAX(0,MIN(12,D305*12+12-PR_PRSIt3)))/12</f>
        <v>0.047</v>
      </c>
      <c r="K305" s="20" t="n">
        <f aca="false">IF(G305=1,F_Income*F305,0)</f>
        <v>0</v>
      </c>
      <c r="L305" s="20" t="n">
        <f aca="false">IF(G305=1,(F_Own+In_penExtra)*12*F305,0)</f>
        <v>0</v>
      </c>
      <c r="M305" s="20" t="n">
        <f aca="false">IF(G305=1,(F_PenM+In_penExtra)*12*F305,0)</f>
        <v>0</v>
      </c>
      <c r="N305" s="45" t="n">
        <f aca="false">IF(C305&lt;PR_RelA1,PR_RelP1,IF(C305&lt;PR_RelA2,PR_RelP2,IF(C305&lt;PR_RelA3,PR_RelP3,IF(C305&lt;PR_RelA4,PR_RelP4,IF(C305&lt;PR_RelA5,PR_RelP5,PR_RelP6)))))</f>
        <v>0.4</v>
      </c>
      <c r="O305" s="20" t="n">
        <f aca="false">IF(G305=1,MIN(L305/H305,N305*MIN(K305/H305,PR_EarnCap))*H305,0)</f>
        <v>0</v>
      </c>
      <c r="P305" s="20" t="n">
        <f aca="false">IF(AND(G305=1,F_AE=1),MIN(K305/H305,PR_AEcap)*H305,0)</f>
        <v>0</v>
      </c>
      <c r="Q305" s="20" t="n">
        <f aca="false">IF(G305=1,IF(WI_Retire=1,MAX(0,M305+WI_M*12),M305)+(PR_AEee+PR_AEer+PR_AEst)*P305,0)</f>
        <v>0</v>
      </c>
      <c r="R305" s="20" t="n">
        <f aca="false">L305+PR_AEee*P305</f>
        <v>0</v>
      </c>
      <c r="S305" s="20" t="n">
        <f aca="false">AD304</f>
        <v>0</v>
      </c>
      <c r="T305" s="20" t="n">
        <f aca="false">IF(D305&lt;=PR_SFTfrom,PR_SFT2026,IF(D305=PR_SFTfrom+1,PR_SFT2027,IF(D305=PR_SFTfrom+2,PR_SFT2028,IF(D305&lt;=PR_SFTto,PR_SFT2029,PR_SFT2029*(1+AS_Infl)^(D305-PR_SFTto)))))</f>
        <v>10979179.4352702</v>
      </c>
      <c r="U305" s="20" t="n">
        <f aca="false">IF(AND(G305=0,C305=F_V),1,0)</f>
        <v>0</v>
      </c>
      <c r="V305" s="20" t="n">
        <f aca="false">IF(U305=1,PR_SFTrate*MAX(0,S305-T305),0)</f>
        <v>0</v>
      </c>
      <c r="W305" s="20" t="n">
        <f aca="false">S305-V305</f>
        <v>0</v>
      </c>
      <c r="X305" s="20" t="n">
        <f aca="false">IF(AND(U305=1,AS_LumpPct&gt;0),W305*MIN(AS_LumpPct,PR_LSmax),0)</f>
        <v>0</v>
      </c>
      <c r="Y305" s="20" t="n">
        <f aca="false">X305-(PR_LSrate*MAX(0,MIN(X305,PR_LScap)-PR_LSfree)+PR_r2*MAX(0,X305-PR_LScap))</f>
        <v>0</v>
      </c>
      <c r="Z305" s="20" t="n">
        <f aca="false">W305-X305</f>
        <v>0</v>
      </c>
      <c r="AA305" s="45" t="n">
        <f aca="false">IF(C305&gt;=PR_ARFage1,IF(Z305&gt;PR_ARFbig,PR_ARFbigRate,IF(C305&gt;=PR_ARFage2,PR_ARF71,PR_ARF61)),0)</f>
        <v>0.05</v>
      </c>
      <c r="AB305" s="20" t="n">
        <f aca="false">IF(AS_DrawRule="min",Z305*AA305,IF(AS_DrawRule="fixed",MAX(AS_DrawFixed*E305,Z305*AA305),Z305*MAX(1/MAX(1,AS_End-C305+1),AA305)))</f>
        <v>0</v>
      </c>
      <c r="AC305" s="20" t="n">
        <f aca="false">IF(AND(G305=0,C305&gt;=F_V),MIN(Z305,AB305),0)</f>
        <v>0</v>
      </c>
      <c r="AD305" s="20" t="n">
        <f aca="false">IF(G305=1,S305*(1+F_PenG)+Q305,IF(C305&lt;F_V,S305*(1+F_PenG),(Z305-AC305)*(1+AS_PenRet)))</f>
        <v>0</v>
      </c>
      <c r="AE305" s="20" t="n">
        <f aca="false">IF(C305&gt;=PR_SPage,AS_SP*F_SpF*I305+IF(AND(C305&gt;=PR_Over80Age,F_SpF&gt;0),PR_Over80*PR_Weeks*I305,0),0)</f>
        <v>65613.8405256653</v>
      </c>
      <c r="AF305" s="20" t="n">
        <f aca="false">(F_OtherM+F_RentM)*12*E305</f>
        <v>0</v>
      </c>
      <c r="AG305" s="20" t="n">
        <f aca="false">F_PAge+B305</f>
        <v>108</v>
      </c>
      <c r="AH305" s="20" t="n">
        <f aca="false">IF(AND(F_Partner=1,F_PAge&gt;0,AG305&lt;IF(F_PRet&gt;0,F_PRet,PR_SPage)),F_PIncome*F305,0)</f>
        <v>0</v>
      </c>
      <c r="AI305" s="20" t="n">
        <f aca="false">IF(AND(F_Partner=1,AG305&gt;=PR_SPage,F_PSpQA=0),AS_SP*F_PSpF*I305,0)</f>
        <v>50793.9798754132</v>
      </c>
      <c r="AJ305" s="20" t="n">
        <f aca="false">IF(AND(F_Partner=1,F_PSpQA=1,C305&gt;=PR_SPage,AH305=0),IF(AG305&gt;=PR_SPage,PR_QA66,PR_QAunder)*PR_Weeks*I305,0)</f>
        <v>0</v>
      </c>
      <c r="AK305" s="20" t="n">
        <f aca="false">AE305+AJ305</f>
        <v>65613.8405256653</v>
      </c>
      <c r="AL305" s="20" t="n">
        <f aca="false">K305/H305</f>
        <v>0</v>
      </c>
      <c r="AM305" s="20" t="n">
        <f aca="false">AK305/H305</f>
        <v>16083.6</v>
      </c>
      <c r="AN305" s="20" t="n">
        <f aca="false">AC305/H305</f>
        <v>0</v>
      </c>
      <c r="AO305" s="20" t="n">
        <f aca="false">AF305/H305</f>
        <v>0</v>
      </c>
      <c r="AP305" s="20" t="n">
        <f aca="false">O305/H305</f>
        <v>0</v>
      </c>
      <c r="AQ305" s="20" t="n">
        <f aca="false">AH305/H305</f>
        <v>0</v>
      </c>
      <c r="AR305" s="20" t="n">
        <f aca="false">AI305/H305</f>
        <v>12450.88</v>
      </c>
      <c r="AS305" s="20" t="n">
        <f aca="false">MAX(0,AL305+AN305+AO305+AM305-AP305)</f>
        <v>16083.6</v>
      </c>
      <c r="AT305" s="20" t="n">
        <f aca="false">MAX(0,AQ305+AR305)</f>
        <v>12450.88</v>
      </c>
      <c r="AU305" s="20" t="n">
        <f aca="false">MIN(PR_PAYE,PR_PAYEcap*(AL305+AN305+AM305))</f>
        <v>2000</v>
      </c>
      <c r="AV305" s="20" t="n">
        <f aca="false">MIN(PR_PAYE,PR_PAYEcap*(AQ305+AR305))</f>
        <v>2000</v>
      </c>
      <c r="AW305" s="20" t="n">
        <f aca="false">IF(C305&gt;=PR_AgeCrAge,PR_AgeCr,0)</f>
        <v>245</v>
      </c>
      <c r="AX305" s="20" t="n">
        <f aca="false">IF(AG305&gt;=PR_AgeCrAge,PR_AgeCr,0)</f>
        <v>245</v>
      </c>
      <c r="AY305" s="20" t="n">
        <f aca="false">IF(AND(F_RentCred=1,D305&lt;=PR_RentLast),1,0)</f>
        <v>0</v>
      </c>
      <c r="AZ305" s="20" t="n">
        <f aca="false">AS305+AT305</f>
        <v>28534.48</v>
      </c>
      <c r="BA305" s="20" t="n">
        <f aca="false">PR_PersonalM+AU305+AV305+AW305+AX305+IF(AY305=1,PR_RentJoint,0)</f>
        <v>8490</v>
      </c>
      <c r="BB305" s="20" t="n">
        <f aca="false">PR_BandM+MIN(MIN(AS305,AT305),PR_Uplift)</f>
        <v>65450.88</v>
      </c>
      <c r="BC305" s="20" t="n">
        <f aca="false">MAX(0,PR_r1*MIN(AZ305,BB305)+PR_r2*MAX(0,AZ305-BB305)-BA305)</f>
        <v>0</v>
      </c>
      <c r="BD305" s="20" t="n">
        <f aca="false">MAX(0,PR_HomeCarer-MAX(0,MIN(AS305,AT305)-PR_HCLimit)/2)</f>
        <v>0</v>
      </c>
      <c r="BE305" s="20" t="n">
        <f aca="false">IF(F_Carer=1,MIN(BC305,MAX(0,PR_r1*MIN(AZ305,PR_BandM)+PR_r2*MAX(0,AZ305-PR_BandM)-BA305-BD305)),BC305)</f>
        <v>0</v>
      </c>
      <c r="BF305" s="20" t="n">
        <f aca="false">IF(OR(C305&gt;=PR_AgeCrAge,AG305&gt;=PR_AgeCrAge),IF(AZ305&lt;=PR_AgeExM,0,MIN(BE305,PR_AgeMarg*(AZ305-PR_AgeExM))),BE305)</f>
        <v>0</v>
      </c>
      <c r="BG305" s="20" t="n">
        <f aca="false">MAX(0,PR_r1*MIN(AS305,IF(F_Spccc=1,PR_BandSPCCC,PR_Band))+PR_r2*MAX(0,AS305-IF(F_Spccc=1,PR_BandSPCCC,PR_Band))-(PR_Personal+AU305+AW305+IF(F_Spccc=1,PR_SPCCC,0)+IF(AY305=1,PR_Rent,0)))</f>
        <v>0</v>
      </c>
      <c r="BH305" s="20" t="n">
        <f aca="false">IF(C305&gt;=PR_AgeCrAge,IF(AS305&lt;=PR_AgeEx,0,MIN(BG305,PR_AgeMarg*(AS305-PR_AgeEx))),BG305)</f>
        <v>0</v>
      </c>
      <c r="BI305" s="20" t="n">
        <f aca="false">IF(F_Partner=1,MAX(0,PR_r1*MIN(AT305,PR_Band)+PR_r2*MAX(0,AT305-PR_Band)-(PR_Personal+AV305+AX305+IF(AND(AY305=1,AT305&gt;0),PR_Rent,0))),0)</f>
        <v>0</v>
      </c>
      <c r="BJ305" s="20" t="n">
        <f aca="false">IF(AG305&gt;=PR_AgeCrAge,IF(AT305&lt;=PR_AgeEx,0,MIN(BI305,PR_AgeMarg*(AT305-PR_AgeEx))),BI305)</f>
        <v>0</v>
      </c>
      <c r="BK305" s="20" t="n">
        <f aca="false">IF(F_Partner=1,IF(F_Married=1,BF305,BH305+BJ305),BH305)</f>
        <v>0</v>
      </c>
      <c r="BL305" s="20" t="n">
        <f aca="false">AL305+AN305+AO305</f>
        <v>0</v>
      </c>
      <c r="BM305" s="20" t="n">
        <f aca="false">IF(BL305&lt;=PR_USCex,0,IF(IF(AND(C305&gt;=PR_USCredAge,BL305&lt;=PR_USCredMax),1,0)=1,PR_USCr1*MIN(BL305,PR_USCredB1)+PR_USCredR2*MAX(0,BL305-PR_USCredB1),PR_USCr1*MIN(BL305,PR_USCb1)+PR_USCr2*MAX(0,MIN(BL305,PR_USCb2)-PR_USCb1)+PR_USCr3*MAX(0,MIN(BL305,PR_USCb3)-PR_USCb2)+PR_USCr4*MAX(0,BL305-PR_USCb3)))+IF(F_SelfEmp=1,PR_USCse*MAX(0,AL305-PR_USCseOver),0)</f>
        <v>0</v>
      </c>
      <c r="BN305" s="20" t="n">
        <f aca="false">AQ305</f>
        <v>0</v>
      </c>
      <c r="BO305" s="20" t="n">
        <f aca="false">IF(F_Partner=1,IF(BN305&lt;=PR_USCex,0,IF(IF(AND(AG305&gt;=PR_USCredAge,BN305&lt;=PR_USCredMax),1,0)=1,PR_USCr1*MIN(BN305,PR_USCredB1)+PR_USCredR2*MAX(0,BN305-PR_USCredB1),PR_USCr1*MIN(BN305,PR_USCb1)+PR_USCr2*MAX(0,MIN(BN305,PR_USCb2)-PR_USCb1)+PR_USCr3*MAX(0,MIN(BN305,PR_USCb3)-PR_USCb2)+PR_USCr4*MAX(0,BN305-PR_USCb3))),0)</f>
        <v>0</v>
      </c>
      <c r="BP305" s="20" t="n">
        <f aca="false">IF(C305&lt;PR_PRSIend,IF(F_SelfEmp=1,IF(AL305&gt;PR_PRSIsMinInc,MAX(PR_PRSIsMin,AL305*J305),0),IF(AL305/52&lt;=PR_PRSIfree,0,MAX(0,(AL305/52*J305-IF(AL305/52&lt;=PR_PRSIcreditTo,MAX(0,PR_PRSIcreditMax-(AL305/52-(PR_PRSIfree+0.01))/PR_PRSItaper),0))*52)))+J305*AN305+IF(AO305&gt;PR_PRSIunearned,J305*AO305,0),0)</f>
        <v>0</v>
      </c>
      <c r="BQ305" s="20" t="n">
        <f aca="false">IF(AND(F_Partner=1,AG305&lt;PR_PRSIend),IF(AQ305/52&lt;=PR_PRSIfree,0,MAX(0,(AQ305/52*J305-IF(AQ305/52&lt;=PR_PRSIcreditTo,MAX(0,PR_PRSIcreditMax-(AQ305/52-(PR_PRSIfree+0.01))/PR_PRSItaper),0))*52)),0)</f>
        <v>0</v>
      </c>
      <c r="BR305" s="20" t="n">
        <f aca="false">BK305+BM305+BO305+BP305+BQ305</f>
        <v>0</v>
      </c>
      <c r="BS305" s="20" t="n">
        <f aca="false">BR305*H305</f>
        <v>0</v>
      </c>
      <c r="BT305" s="20" t="n">
        <f aca="false">K305+AK305+AC305+AF305+AH305+AI305</f>
        <v>116407.820401078</v>
      </c>
    </row>
    <row r="306" customFormat="false" ht="15" hidden="false" customHeight="true" outlineLevel="0" collapsed="false">
      <c r="B306" s="20" t="n">
        <v>72</v>
      </c>
      <c r="C306" s="20" t="n">
        <f aca="false">F_Age+B306</f>
        <v>110</v>
      </c>
      <c r="D306" s="20" t="n">
        <f aca="false">AS_Year0+B306</f>
        <v>2099</v>
      </c>
      <c r="E306" s="44" t="n">
        <f aca="false">(1+AS_Infl)^B306</f>
        <v>4.16114037505152</v>
      </c>
      <c r="F306" s="44" t="n">
        <f aca="false">(1+AS_Wage)^B306</f>
        <v>8.40001726656997</v>
      </c>
      <c r="G306" s="20" t="n">
        <f aca="false">IF(C306&lt;F_R,1,0)</f>
        <v>0</v>
      </c>
      <c r="H306" s="44" t="n">
        <f aca="false">IF(AS_Bands="flat",1,E306)</f>
        <v>4.16114037505152</v>
      </c>
      <c r="I306" s="44" t="n">
        <f aca="false">IF(AS_SpGrow="pay",F306,IF(AS_SpGrow="flat",1,E306))</f>
        <v>4.16114037505152</v>
      </c>
      <c r="J306" s="44" t="n">
        <f aca="false">(12*PR_PRSIr0+(PR_PRSIr1-PR_PRSIr0)*MAX(0,MIN(12,D306*12+12-PR_PRSIt1))+(PR_PRSIr2-PR_PRSIr1)*MAX(0,MIN(12,D306*12+12-PR_PRSIt2))+(PR_PRSIr3-PR_PRSIr2)*MAX(0,MIN(12,D306*12+12-PR_PRSIt3)))/12</f>
        <v>0.047</v>
      </c>
      <c r="K306" s="20" t="n">
        <f aca="false">IF(G306=1,F_Income*F306,0)</f>
        <v>0</v>
      </c>
      <c r="L306" s="20" t="n">
        <f aca="false">IF(G306=1,(F_Own+In_penExtra)*12*F306,0)</f>
        <v>0</v>
      </c>
      <c r="M306" s="20" t="n">
        <f aca="false">IF(G306=1,(F_PenM+In_penExtra)*12*F306,0)</f>
        <v>0</v>
      </c>
      <c r="N306" s="45" t="n">
        <f aca="false">IF(C306&lt;PR_RelA1,PR_RelP1,IF(C306&lt;PR_RelA2,PR_RelP2,IF(C306&lt;PR_RelA3,PR_RelP3,IF(C306&lt;PR_RelA4,PR_RelP4,IF(C306&lt;PR_RelA5,PR_RelP5,PR_RelP6)))))</f>
        <v>0.4</v>
      </c>
      <c r="O306" s="20" t="n">
        <f aca="false">IF(G306=1,MIN(L306/H306,N306*MIN(K306/H306,PR_EarnCap))*H306,0)</f>
        <v>0</v>
      </c>
      <c r="P306" s="20" t="n">
        <f aca="false">IF(AND(G306=1,F_AE=1),MIN(K306/H306,PR_AEcap)*H306,0)</f>
        <v>0</v>
      </c>
      <c r="Q306" s="20" t="n">
        <f aca="false">IF(G306=1,IF(WI_Retire=1,MAX(0,M306+WI_M*12),M306)+(PR_AEee+PR_AEer+PR_AEst)*P306,0)</f>
        <v>0</v>
      </c>
      <c r="R306" s="20" t="n">
        <f aca="false">L306+PR_AEee*P306</f>
        <v>0</v>
      </c>
      <c r="S306" s="20" t="n">
        <f aca="false">AD305</f>
        <v>0</v>
      </c>
      <c r="T306" s="20" t="n">
        <f aca="false">IF(D306&lt;=PR_SFTfrom,PR_SFT2026,IF(D306=PR_SFTfrom+1,PR_SFT2027,IF(D306=PR_SFTfrom+2,PR_SFT2028,IF(D306&lt;=PR_SFTto,PR_SFT2029,PR_SFT2029*(1+AS_Infl)^(D306-PR_SFTto)))))</f>
        <v>11198763.0239756</v>
      </c>
      <c r="U306" s="20" t="n">
        <f aca="false">IF(AND(G306=0,C306=F_V),1,0)</f>
        <v>0</v>
      </c>
      <c r="V306" s="20" t="n">
        <f aca="false">IF(U306=1,PR_SFTrate*MAX(0,S306-T306),0)</f>
        <v>0</v>
      </c>
      <c r="W306" s="20" t="n">
        <f aca="false">S306-V306</f>
        <v>0</v>
      </c>
      <c r="X306" s="20" t="n">
        <f aca="false">IF(AND(U306=1,AS_LumpPct&gt;0),W306*MIN(AS_LumpPct,PR_LSmax),0)</f>
        <v>0</v>
      </c>
      <c r="Y306" s="20" t="n">
        <f aca="false">X306-(PR_LSrate*MAX(0,MIN(X306,PR_LScap)-PR_LSfree)+PR_r2*MAX(0,X306-PR_LScap))</f>
        <v>0</v>
      </c>
      <c r="Z306" s="20" t="n">
        <f aca="false">W306-X306</f>
        <v>0</v>
      </c>
      <c r="AA306" s="45" t="n">
        <f aca="false">IF(C306&gt;=PR_ARFage1,IF(Z306&gt;PR_ARFbig,PR_ARFbigRate,IF(C306&gt;=PR_ARFage2,PR_ARF71,PR_ARF61)),0)</f>
        <v>0.05</v>
      </c>
      <c r="AB306" s="20" t="n">
        <f aca="false">IF(AS_DrawRule="min",Z306*AA306,IF(AS_DrawRule="fixed",MAX(AS_DrawFixed*E306,Z306*AA306),Z306*MAX(1/MAX(1,AS_End-C306+1),AA306)))</f>
        <v>0</v>
      </c>
      <c r="AC306" s="20" t="n">
        <f aca="false">IF(AND(G306=0,C306&gt;=F_V),MIN(Z306,AB306),0)</f>
        <v>0</v>
      </c>
      <c r="AD306" s="20" t="n">
        <f aca="false">IF(G306=1,S306*(1+F_PenG)+Q306,IF(C306&lt;F_V,S306*(1+F_PenG),(Z306-AC306)*(1+AS_PenRet)))</f>
        <v>0</v>
      </c>
      <c r="AE306" s="20" t="n">
        <f aca="false">IF(C306&gt;=PR_SPage,AS_SP*F_SpF*I306+IF(AND(C306&gt;=PR_Over80Age,F_SpF&gt;0),PR_Over80*PR_Weeks*I306,0),0)</f>
        <v>66926.1173361786</v>
      </c>
      <c r="AF306" s="20" t="n">
        <f aca="false">(F_OtherM+F_RentM)*12*E306</f>
        <v>0</v>
      </c>
      <c r="AG306" s="20" t="n">
        <f aca="false">F_PAge+B306</f>
        <v>109</v>
      </c>
      <c r="AH306" s="20" t="n">
        <f aca="false">IF(AND(F_Partner=1,F_PAge&gt;0,AG306&lt;IF(F_PRet&gt;0,F_PRet,PR_SPage)),F_PIncome*F306,0)</f>
        <v>0</v>
      </c>
      <c r="AI306" s="20" t="n">
        <f aca="false">IF(AND(F_Partner=1,AG306&gt;=PR_SPage,F_PSpQA=0),AS_SP*F_PSpF*I306,0)</f>
        <v>51809.8594729214</v>
      </c>
      <c r="AJ306" s="20" t="n">
        <f aca="false">IF(AND(F_Partner=1,F_PSpQA=1,C306&gt;=PR_SPage,AH306=0),IF(AG306&gt;=PR_SPage,PR_QA66,PR_QAunder)*PR_Weeks*I306,0)</f>
        <v>0</v>
      </c>
      <c r="AK306" s="20" t="n">
        <f aca="false">AE306+AJ306</f>
        <v>66926.1173361786</v>
      </c>
      <c r="AL306" s="20" t="n">
        <f aca="false">K306/H306</f>
        <v>0</v>
      </c>
      <c r="AM306" s="20" t="n">
        <f aca="false">AK306/H306</f>
        <v>16083.6</v>
      </c>
      <c r="AN306" s="20" t="n">
        <f aca="false">AC306/H306</f>
        <v>0</v>
      </c>
      <c r="AO306" s="20" t="n">
        <f aca="false">AF306/H306</f>
        <v>0</v>
      </c>
      <c r="AP306" s="20" t="n">
        <f aca="false">O306/H306</f>
        <v>0</v>
      </c>
      <c r="AQ306" s="20" t="n">
        <f aca="false">AH306/H306</f>
        <v>0</v>
      </c>
      <c r="AR306" s="20" t="n">
        <f aca="false">AI306/H306</f>
        <v>12450.88</v>
      </c>
      <c r="AS306" s="20" t="n">
        <f aca="false">MAX(0,AL306+AN306+AO306+AM306-AP306)</f>
        <v>16083.6</v>
      </c>
      <c r="AT306" s="20" t="n">
        <f aca="false">MAX(0,AQ306+AR306)</f>
        <v>12450.88</v>
      </c>
      <c r="AU306" s="20" t="n">
        <f aca="false">MIN(PR_PAYE,PR_PAYEcap*(AL306+AN306+AM306))</f>
        <v>2000</v>
      </c>
      <c r="AV306" s="20" t="n">
        <f aca="false">MIN(PR_PAYE,PR_PAYEcap*(AQ306+AR306))</f>
        <v>2000</v>
      </c>
      <c r="AW306" s="20" t="n">
        <f aca="false">IF(C306&gt;=PR_AgeCrAge,PR_AgeCr,0)</f>
        <v>245</v>
      </c>
      <c r="AX306" s="20" t="n">
        <f aca="false">IF(AG306&gt;=PR_AgeCrAge,PR_AgeCr,0)</f>
        <v>245</v>
      </c>
      <c r="AY306" s="20" t="n">
        <f aca="false">IF(AND(F_RentCred=1,D306&lt;=PR_RentLast),1,0)</f>
        <v>0</v>
      </c>
      <c r="AZ306" s="20" t="n">
        <f aca="false">AS306+AT306</f>
        <v>28534.48</v>
      </c>
      <c r="BA306" s="20" t="n">
        <f aca="false">PR_PersonalM+AU306+AV306+AW306+AX306+IF(AY306=1,PR_RentJoint,0)</f>
        <v>8490</v>
      </c>
      <c r="BB306" s="20" t="n">
        <f aca="false">PR_BandM+MIN(MIN(AS306,AT306),PR_Uplift)</f>
        <v>65450.88</v>
      </c>
      <c r="BC306" s="20" t="n">
        <f aca="false">MAX(0,PR_r1*MIN(AZ306,BB306)+PR_r2*MAX(0,AZ306-BB306)-BA306)</f>
        <v>0</v>
      </c>
      <c r="BD306" s="20" t="n">
        <f aca="false">MAX(0,PR_HomeCarer-MAX(0,MIN(AS306,AT306)-PR_HCLimit)/2)</f>
        <v>0</v>
      </c>
      <c r="BE306" s="20" t="n">
        <f aca="false">IF(F_Carer=1,MIN(BC306,MAX(0,PR_r1*MIN(AZ306,PR_BandM)+PR_r2*MAX(0,AZ306-PR_BandM)-BA306-BD306)),BC306)</f>
        <v>0</v>
      </c>
      <c r="BF306" s="20" t="n">
        <f aca="false">IF(OR(C306&gt;=PR_AgeCrAge,AG306&gt;=PR_AgeCrAge),IF(AZ306&lt;=PR_AgeExM,0,MIN(BE306,PR_AgeMarg*(AZ306-PR_AgeExM))),BE306)</f>
        <v>0</v>
      </c>
      <c r="BG306" s="20" t="n">
        <f aca="false">MAX(0,PR_r1*MIN(AS306,IF(F_Spccc=1,PR_BandSPCCC,PR_Band))+PR_r2*MAX(0,AS306-IF(F_Spccc=1,PR_BandSPCCC,PR_Band))-(PR_Personal+AU306+AW306+IF(F_Spccc=1,PR_SPCCC,0)+IF(AY306=1,PR_Rent,0)))</f>
        <v>0</v>
      </c>
      <c r="BH306" s="20" t="n">
        <f aca="false">IF(C306&gt;=PR_AgeCrAge,IF(AS306&lt;=PR_AgeEx,0,MIN(BG306,PR_AgeMarg*(AS306-PR_AgeEx))),BG306)</f>
        <v>0</v>
      </c>
      <c r="BI306" s="20" t="n">
        <f aca="false">IF(F_Partner=1,MAX(0,PR_r1*MIN(AT306,PR_Band)+PR_r2*MAX(0,AT306-PR_Band)-(PR_Personal+AV306+AX306+IF(AND(AY306=1,AT306&gt;0),PR_Rent,0))),0)</f>
        <v>0</v>
      </c>
      <c r="BJ306" s="20" t="n">
        <f aca="false">IF(AG306&gt;=PR_AgeCrAge,IF(AT306&lt;=PR_AgeEx,0,MIN(BI306,PR_AgeMarg*(AT306-PR_AgeEx))),BI306)</f>
        <v>0</v>
      </c>
      <c r="BK306" s="20" t="n">
        <f aca="false">IF(F_Partner=1,IF(F_Married=1,BF306,BH306+BJ306),BH306)</f>
        <v>0</v>
      </c>
      <c r="BL306" s="20" t="n">
        <f aca="false">AL306+AN306+AO306</f>
        <v>0</v>
      </c>
      <c r="BM306" s="20" t="n">
        <f aca="false">IF(BL306&lt;=PR_USCex,0,IF(IF(AND(C306&gt;=PR_USCredAge,BL306&lt;=PR_USCredMax),1,0)=1,PR_USCr1*MIN(BL306,PR_USCredB1)+PR_USCredR2*MAX(0,BL306-PR_USCredB1),PR_USCr1*MIN(BL306,PR_USCb1)+PR_USCr2*MAX(0,MIN(BL306,PR_USCb2)-PR_USCb1)+PR_USCr3*MAX(0,MIN(BL306,PR_USCb3)-PR_USCb2)+PR_USCr4*MAX(0,BL306-PR_USCb3)))+IF(F_SelfEmp=1,PR_USCse*MAX(0,AL306-PR_USCseOver),0)</f>
        <v>0</v>
      </c>
      <c r="BN306" s="20" t="n">
        <f aca="false">AQ306</f>
        <v>0</v>
      </c>
      <c r="BO306" s="20" t="n">
        <f aca="false">IF(F_Partner=1,IF(BN306&lt;=PR_USCex,0,IF(IF(AND(AG306&gt;=PR_USCredAge,BN306&lt;=PR_USCredMax),1,0)=1,PR_USCr1*MIN(BN306,PR_USCredB1)+PR_USCredR2*MAX(0,BN306-PR_USCredB1),PR_USCr1*MIN(BN306,PR_USCb1)+PR_USCr2*MAX(0,MIN(BN306,PR_USCb2)-PR_USCb1)+PR_USCr3*MAX(0,MIN(BN306,PR_USCb3)-PR_USCb2)+PR_USCr4*MAX(0,BN306-PR_USCb3))),0)</f>
        <v>0</v>
      </c>
      <c r="BP306" s="20" t="n">
        <f aca="false">IF(C306&lt;PR_PRSIend,IF(F_SelfEmp=1,IF(AL306&gt;PR_PRSIsMinInc,MAX(PR_PRSIsMin,AL306*J306),0),IF(AL306/52&lt;=PR_PRSIfree,0,MAX(0,(AL306/52*J306-IF(AL306/52&lt;=PR_PRSIcreditTo,MAX(0,PR_PRSIcreditMax-(AL306/52-(PR_PRSIfree+0.01))/PR_PRSItaper),0))*52)))+J306*AN306+IF(AO306&gt;PR_PRSIunearned,J306*AO306,0),0)</f>
        <v>0</v>
      </c>
      <c r="BQ306" s="20" t="n">
        <f aca="false">IF(AND(F_Partner=1,AG306&lt;PR_PRSIend),IF(AQ306/52&lt;=PR_PRSIfree,0,MAX(0,(AQ306/52*J306-IF(AQ306/52&lt;=PR_PRSIcreditTo,MAX(0,PR_PRSIcreditMax-(AQ306/52-(PR_PRSIfree+0.01))/PR_PRSItaper),0))*52)),0)</f>
        <v>0</v>
      </c>
      <c r="BR306" s="20" t="n">
        <f aca="false">BK306+BM306+BO306+BP306+BQ306</f>
        <v>0</v>
      </c>
      <c r="BS306" s="20" t="n">
        <f aca="false">BR306*H306</f>
        <v>0</v>
      </c>
      <c r="BT306" s="20" t="n">
        <f aca="false">K306+AK306+AC306+AF306+AH306+AI306</f>
        <v>118735.9768091</v>
      </c>
    </row>
    <row r="307" customFormat="false" ht="15" hidden="false" customHeight="true" outlineLevel="0" collapsed="false">
      <c r="B307" s="20" t="n">
        <v>73</v>
      </c>
      <c r="C307" s="20" t="n">
        <f aca="false">F_Age+B307</f>
        <v>111</v>
      </c>
      <c r="D307" s="20" t="n">
        <f aca="false">AS_Year0+B307</f>
        <v>2100</v>
      </c>
      <c r="E307" s="44" t="n">
        <f aca="false">(1+AS_Infl)^B307</f>
        <v>4.24436318255255</v>
      </c>
      <c r="F307" s="44" t="n">
        <f aca="false">(1+AS_Wage)^B307</f>
        <v>8.65201778456706</v>
      </c>
      <c r="G307" s="20" t="n">
        <f aca="false">IF(C307&lt;F_R,1,0)</f>
        <v>0</v>
      </c>
      <c r="H307" s="44" t="n">
        <f aca="false">IF(AS_Bands="flat",1,E307)</f>
        <v>4.24436318255255</v>
      </c>
      <c r="I307" s="44" t="n">
        <f aca="false">IF(AS_SpGrow="pay",F307,IF(AS_SpGrow="flat",1,E307))</f>
        <v>4.24436318255255</v>
      </c>
      <c r="J307" s="44" t="n">
        <f aca="false">(12*PR_PRSIr0+(PR_PRSIr1-PR_PRSIr0)*MAX(0,MIN(12,D307*12+12-PR_PRSIt1))+(PR_PRSIr2-PR_PRSIr1)*MAX(0,MIN(12,D307*12+12-PR_PRSIt2))+(PR_PRSIr3-PR_PRSIr2)*MAX(0,MIN(12,D307*12+12-PR_PRSIt3)))/12</f>
        <v>0.047</v>
      </c>
      <c r="K307" s="20" t="n">
        <f aca="false">IF(G307=1,F_Income*F307,0)</f>
        <v>0</v>
      </c>
      <c r="L307" s="20" t="n">
        <f aca="false">IF(G307=1,(F_Own+In_penExtra)*12*F307,0)</f>
        <v>0</v>
      </c>
      <c r="M307" s="20" t="n">
        <f aca="false">IF(G307=1,(F_PenM+In_penExtra)*12*F307,0)</f>
        <v>0</v>
      </c>
      <c r="N307" s="45" t="n">
        <f aca="false">IF(C307&lt;PR_RelA1,PR_RelP1,IF(C307&lt;PR_RelA2,PR_RelP2,IF(C307&lt;PR_RelA3,PR_RelP3,IF(C307&lt;PR_RelA4,PR_RelP4,IF(C307&lt;PR_RelA5,PR_RelP5,PR_RelP6)))))</f>
        <v>0.4</v>
      </c>
      <c r="O307" s="20" t="n">
        <f aca="false">IF(G307=1,MIN(L307/H307,N307*MIN(K307/H307,PR_EarnCap))*H307,0)</f>
        <v>0</v>
      </c>
      <c r="P307" s="20" t="n">
        <f aca="false">IF(AND(G307=1,F_AE=1),MIN(K307/H307,PR_AEcap)*H307,0)</f>
        <v>0</v>
      </c>
      <c r="Q307" s="20" t="n">
        <f aca="false">IF(G307=1,IF(WI_Retire=1,MAX(0,M307+WI_M*12),M307)+(PR_AEee+PR_AEer+PR_AEst)*P307,0)</f>
        <v>0</v>
      </c>
      <c r="R307" s="20" t="n">
        <f aca="false">L307+PR_AEee*P307</f>
        <v>0</v>
      </c>
      <c r="S307" s="20" t="n">
        <f aca="false">AD306</f>
        <v>0</v>
      </c>
      <c r="T307" s="20" t="n">
        <f aca="false">IF(D307&lt;=PR_SFTfrom,PR_SFT2026,IF(D307=PR_SFTfrom+1,PR_SFT2027,IF(D307=PR_SFTfrom+2,PR_SFT2028,IF(D307&lt;=PR_SFTto,PR_SFT2029,PR_SFT2029*(1+AS_Infl)^(D307-PR_SFTto)))))</f>
        <v>11422738.2844551</v>
      </c>
      <c r="U307" s="20" t="n">
        <f aca="false">IF(AND(G307=0,C307=F_V),1,0)</f>
        <v>0</v>
      </c>
      <c r="V307" s="20" t="n">
        <f aca="false">IF(U307=1,PR_SFTrate*MAX(0,S307-T307),0)</f>
        <v>0</v>
      </c>
      <c r="W307" s="20" t="n">
        <f aca="false">S307-V307</f>
        <v>0</v>
      </c>
      <c r="X307" s="20" t="n">
        <f aca="false">IF(AND(U307=1,AS_LumpPct&gt;0),W307*MIN(AS_LumpPct,PR_LSmax),0)</f>
        <v>0</v>
      </c>
      <c r="Y307" s="20" t="n">
        <f aca="false">X307-(PR_LSrate*MAX(0,MIN(X307,PR_LScap)-PR_LSfree)+PR_r2*MAX(0,X307-PR_LScap))</f>
        <v>0</v>
      </c>
      <c r="Z307" s="20" t="n">
        <f aca="false">W307-X307</f>
        <v>0</v>
      </c>
      <c r="AA307" s="45" t="n">
        <f aca="false">IF(C307&gt;=PR_ARFage1,IF(Z307&gt;PR_ARFbig,PR_ARFbigRate,IF(C307&gt;=PR_ARFage2,PR_ARF71,PR_ARF61)),0)</f>
        <v>0.05</v>
      </c>
      <c r="AB307" s="20" t="n">
        <f aca="false">IF(AS_DrawRule="min",Z307*AA307,IF(AS_DrawRule="fixed",MAX(AS_DrawFixed*E307,Z307*AA307),Z307*MAX(1/MAX(1,AS_End-C307+1),AA307)))</f>
        <v>0</v>
      </c>
      <c r="AC307" s="20" t="n">
        <f aca="false">IF(AND(G307=0,C307&gt;=F_V),MIN(Z307,AB307),0)</f>
        <v>0</v>
      </c>
      <c r="AD307" s="20" t="n">
        <f aca="false">IF(G307=1,S307*(1+F_PenG)+Q307,IF(C307&lt;F_V,S307*(1+F_PenG),(Z307-AC307)*(1+AS_PenRet)))</f>
        <v>0</v>
      </c>
      <c r="AE307" s="20" t="n">
        <f aca="false">IF(C307&gt;=PR_SPage,AS_SP*F_SpF*I307+IF(AND(C307&gt;=PR_Over80Age,F_SpF&gt;0),PR_Over80*PR_Weeks*I307,0),0)</f>
        <v>68264.6396829021</v>
      </c>
      <c r="AF307" s="20" t="n">
        <f aca="false">(F_OtherM+F_RentM)*12*E307</f>
        <v>0</v>
      </c>
      <c r="AG307" s="20" t="n">
        <f aca="false">F_PAge+B307</f>
        <v>110</v>
      </c>
      <c r="AH307" s="20" t="n">
        <f aca="false">IF(AND(F_Partner=1,F_PAge&gt;0,AG307&lt;IF(F_PRet&gt;0,F_PRet,PR_SPage)),F_PIncome*F307,0)</f>
        <v>0</v>
      </c>
      <c r="AI307" s="20" t="n">
        <f aca="false">IF(AND(F_Partner=1,AG307&gt;=PR_SPage,F_PSpQA=0),AS_SP*F_PSpF*I307,0)</f>
        <v>52846.0566623799</v>
      </c>
      <c r="AJ307" s="20" t="n">
        <f aca="false">IF(AND(F_Partner=1,F_PSpQA=1,C307&gt;=PR_SPage,AH307=0),IF(AG307&gt;=PR_SPage,PR_QA66,PR_QAunder)*PR_Weeks*I307,0)</f>
        <v>0</v>
      </c>
      <c r="AK307" s="20" t="n">
        <f aca="false">AE307+AJ307</f>
        <v>68264.6396829021</v>
      </c>
      <c r="AL307" s="20" t="n">
        <f aca="false">K307/H307</f>
        <v>0</v>
      </c>
      <c r="AM307" s="20" t="n">
        <f aca="false">AK307/H307</f>
        <v>16083.6</v>
      </c>
      <c r="AN307" s="20" t="n">
        <f aca="false">AC307/H307</f>
        <v>0</v>
      </c>
      <c r="AO307" s="20" t="n">
        <f aca="false">AF307/H307</f>
        <v>0</v>
      </c>
      <c r="AP307" s="20" t="n">
        <f aca="false">O307/H307</f>
        <v>0</v>
      </c>
      <c r="AQ307" s="20" t="n">
        <f aca="false">AH307/H307</f>
        <v>0</v>
      </c>
      <c r="AR307" s="20" t="n">
        <f aca="false">AI307/H307</f>
        <v>12450.88</v>
      </c>
      <c r="AS307" s="20" t="n">
        <f aca="false">MAX(0,AL307+AN307+AO307+AM307-AP307)</f>
        <v>16083.6</v>
      </c>
      <c r="AT307" s="20" t="n">
        <f aca="false">MAX(0,AQ307+AR307)</f>
        <v>12450.88</v>
      </c>
      <c r="AU307" s="20" t="n">
        <f aca="false">MIN(PR_PAYE,PR_PAYEcap*(AL307+AN307+AM307))</f>
        <v>2000</v>
      </c>
      <c r="AV307" s="20" t="n">
        <f aca="false">MIN(PR_PAYE,PR_PAYEcap*(AQ307+AR307))</f>
        <v>2000</v>
      </c>
      <c r="AW307" s="20" t="n">
        <f aca="false">IF(C307&gt;=PR_AgeCrAge,PR_AgeCr,0)</f>
        <v>245</v>
      </c>
      <c r="AX307" s="20" t="n">
        <f aca="false">IF(AG307&gt;=PR_AgeCrAge,PR_AgeCr,0)</f>
        <v>245</v>
      </c>
      <c r="AY307" s="20" t="n">
        <f aca="false">IF(AND(F_RentCred=1,D307&lt;=PR_RentLast),1,0)</f>
        <v>0</v>
      </c>
      <c r="AZ307" s="20" t="n">
        <f aca="false">AS307+AT307</f>
        <v>28534.48</v>
      </c>
      <c r="BA307" s="20" t="n">
        <f aca="false">PR_PersonalM+AU307+AV307+AW307+AX307+IF(AY307=1,PR_RentJoint,0)</f>
        <v>8490</v>
      </c>
      <c r="BB307" s="20" t="n">
        <f aca="false">PR_BandM+MIN(MIN(AS307,AT307),PR_Uplift)</f>
        <v>65450.88</v>
      </c>
      <c r="BC307" s="20" t="n">
        <f aca="false">MAX(0,PR_r1*MIN(AZ307,BB307)+PR_r2*MAX(0,AZ307-BB307)-BA307)</f>
        <v>0</v>
      </c>
      <c r="BD307" s="20" t="n">
        <f aca="false">MAX(0,PR_HomeCarer-MAX(0,MIN(AS307,AT307)-PR_HCLimit)/2)</f>
        <v>0</v>
      </c>
      <c r="BE307" s="20" t="n">
        <f aca="false">IF(F_Carer=1,MIN(BC307,MAX(0,PR_r1*MIN(AZ307,PR_BandM)+PR_r2*MAX(0,AZ307-PR_BandM)-BA307-BD307)),BC307)</f>
        <v>0</v>
      </c>
      <c r="BF307" s="20" t="n">
        <f aca="false">IF(OR(C307&gt;=PR_AgeCrAge,AG307&gt;=PR_AgeCrAge),IF(AZ307&lt;=PR_AgeExM,0,MIN(BE307,PR_AgeMarg*(AZ307-PR_AgeExM))),BE307)</f>
        <v>0</v>
      </c>
      <c r="BG307" s="20" t="n">
        <f aca="false">MAX(0,PR_r1*MIN(AS307,IF(F_Spccc=1,PR_BandSPCCC,PR_Band))+PR_r2*MAX(0,AS307-IF(F_Spccc=1,PR_BandSPCCC,PR_Band))-(PR_Personal+AU307+AW307+IF(F_Spccc=1,PR_SPCCC,0)+IF(AY307=1,PR_Rent,0)))</f>
        <v>0</v>
      </c>
      <c r="BH307" s="20" t="n">
        <f aca="false">IF(C307&gt;=PR_AgeCrAge,IF(AS307&lt;=PR_AgeEx,0,MIN(BG307,PR_AgeMarg*(AS307-PR_AgeEx))),BG307)</f>
        <v>0</v>
      </c>
      <c r="BI307" s="20" t="n">
        <f aca="false">IF(F_Partner=1,MAX(0,PR_r1*MIN(AT307,PR_Band)+PR_r2*MAX(0,AT307-PR_Band)-(PR_Personal+AV307+AX307+IF(AND(AY307=1,AT307&gt;0),PR_Rent,0))),0)</f>
        <v>0</v>
      </c>
      <c r="BJ307" s="20" t="n">
        <f aca="false">IF(AG307&gt;=PR_AgeCrAge,IF(AT307&lt;=PR_AgeEx,0,MIN(BI307,PR_AgeMarg*(AT307-PR_AgeEx))),BI307)</f>
        <v>0</v>
      </c>
      <c r="BK307" s="20" t="n">
        <f aca="false">IF(F_Partner=1,IF(F_Married=1,BF307,BH307+BJ307),BH307)</f>
        <v>0</v>
      </c>
      <c r="BL307" s="20" t="n">
        <f aca="false">AL307+AN307+AO307</f>
        <v>0</v>
      </c>
      <c r="BM307" s="20" t="n">
        <f aca="false">IF(BL307&lt;=PR_USCex,0,IF(IF(AND(C307&gt;=PR_USCredAge,BL307&lt;=PR_USCredMax),1,0)=1,PR_USCr1*MIN(BL307,PR_USCredB1)+PR_USCredR2*MAX(0,BL307-PR_USCredB1),PR_USCr1*MIN(BL307,PR_USCb1)+PR_USCr2*MAX(0,MIN(BL307,PR_USCb2)-PR_USCb1)+PR_USCr3*MAX(0,MIN(BL307,PR_USCb3)-PR_USCb2)+PR_USCr4*MAX(0,BL307-PR_USCb3)))+IF(F_SelfEmp=1,PR_USCse*MAX(0,AL307-PR_USCseOver),0)</f>
        <v>0</v>
      </c>
      <c r="BN307" s="20" t="n">
        <f aca="false">AQ307</f>
        <v>0</v>
      </c>
      <c r="BO307" s="20" t="n">
        <f aca="false">IF(F_Partner=1,IF(BN307&lt;=PR_USCex,0,IF(IF(AND(AG307&gt;=PR_USCredAge,BN307&lt;=PR_USCredMax),1,0)=1,PR_USCr1*MIN(BN307,PR_USCredB1)+PR_USCredR2*MAX(0,BN307-PR_USCredB1),PR_USCr1*MIN(BN307,PR_USCb1)+PR_USCr2*MAX(0,MIN(BN307,PR_USCb2)-PR_USCb1)+PR_USCr3*MAX(0,MIN(BN307,PR_USCb3)-PR_USCb2)+PR_USCr4*MAX(0,BN307-PR_USCb3))),0)</f>
        <v>0</v>
      </c>
      <c r="BP307" s="20" t="n">
        <f aca="false">IF(C307&lt;PR_PRSIend,IF(F_SelfEmp=1,IF(AL307&gt;PR_PRSIsMinInc,MAX(PR_PRSIsMin,AL307*J307),0),IF(AL307/52&lt;=PR_PRSIfree,0,MAX(0,(AL307/52*J307-IF(AL307/52&lt;=PR_PRSIcreditTo,MAX(0,PR_PRSIcreditMax-(AL307/52-(PR_PRSIfree+0.01))/PR_PRSItaper),0))*52)))+J307*AN307+IF(AO307&gt;PR_PRSIunearned,J307*AO307,0),0)</f>
        <v>0</v>
      </c>
      <c r="BQ307" s="20" t="n">
        <f aca="false">IF(AND(F_Partner=1,AG307&lt;PR_PRSIend),IF(AQ307/52&lt;=PR_PRSIfree,0,MAX(0,(AQ307/52*J307-IF(AQ307/52&lt;=PR_PRSIcreditTo,MAX(0,PR_PRSIcreditMax-(AQ307/52-(PR_PRSIfree+0.01))/PR_PRSItaper),0))*52)),0)</f>
        <v>0</v>
      </c>
      <c r="BR307" s="20" t="n">
        <f aca="false">BK307+BM307+BO307+BP307+BQ307</f>
        <v>0</v>
      </c>
      <c r="BS307" s="20" t="n">
        <f aca="false">BR307*H307</f>
        <v>0</v>
      </c>
      <c r="BT307" s="20" t="n">
        <f aca="false">K307+AK307+AC307+AF307+AH307+AI307</f>
        <v>121110.696345282</v>
      </c>
    </row>
    <row r="308" customFormat="false" ht="15" hidden="false" customHeight="true" outlineLevel="0" collapsed="false">
      <c r="B308" s="20" t="n">
        <v>74</v>
      </c>
      <c r="C308" s="20" t="n">
        <f aca="false">F_Age+B308</f>
        <v>112</v>
      </c>
      <c r="D308" s="20" t="n">
        <f aca="false">AS_Year0+B308</f>
        <v>2101</v>
      </c>
      <c r="E308" s="44" t="n">
        <f aca="false">(1+AS_Infl)^B308</f>
        <v>4.3292504462036</v>
      </c>
      <c r="F308" s="44" t="n">
        <f aca="false">(1+AS_Wage)^B308</f>
        <v>8.91157831810408</v>
      </c>
      <c r="G308" s="20" t="n">
        <f aca="false">IF(C308&lt;F_R,1,0)</f>
        <v>0</v>
      </c>
      <c r="H308" s="44" t="n">
        <f aca="false">IF(AS_Bands="flat",1,E308)</f>
        <v>4.3292504462036</v>
      </c>
      <c r="I308" s="44" t="n">
        <f aca="false">IF(AS_SpGrow="pay",F308,IF(AS_SpGrow="flat",1,E308))</f>
        <v>4.3292504462036</v>
      </c>
      <c r="J308" s="44" t="n">
        <f aca="false">(12*PR_PRSIr0+(PR_PRSIr1-PR_PRSIr0)*MAX(0,MIN(12,D308*12+12-PR_PRSIt1))+(PR_PRSIr2-PR_PRSIr1)*MAX(0,MIN(12,D308*12+12-PR_PRSIt2))+(PR_PRSIr3-PR_PRSIr2)*MAX(0,MIN(12,D308*12+12-PR_PRSIt3)))/12</f>
        <v>0.047</v>
      </c>
      <c r="K308" s="20" t="n">
        <f aca="false">IF(G308=1,F_Income*F308,0)</f>
        <v>0</v>
      </c>
      <c r="L308" s="20" t="n">
        <f aca="false">IF(G308=1,(F_Own+In_penExtra)*12*F308,0)</f>
        <v>0</v>
      </c>
      <c r="M308" s="20" t="n">
        <f aca="false">IF(G308=1,(F_PenM+In_penExtra)*12*F308,0)</f>
        <v>0</v>
      </c>
      <c r="N308" s="45" t="n">
        <f aca="false">IF(C308&lt;PR_RelA1,PR_RelP1,IF(C308&lt;PR_RelA2,PR_RelP2,IF(C308&lt;PR_RelA3,PR_RelP3,IF(C308&lt;PR_RelA4,PR_RelP4,IF(C308&lt;PR_RelA5,PR_RelP5,PR_RelP6)))))</f>
        <v>0.4</v>
      </c>
      <c r="O308" s="20" t="n">
        <f aca="false">IF(G308=1,MIN(L308/H308,N308*MIN(K308/H308,PR_EarnCap))*H308,0)</f>
        <v>0</v>
      </c>
      <c r="P308" s="20" t="n">
        <f aca="false">IF(AND(G308=1,F_AE=1),MIN(K308/H308,PR_AEcap)*H308,0)</f>
        <v>0</v>
      </c>
      <c r="Q308" s="20" t="n">
        <f aca="false">IF(G308=1,IF(WI_Retire=1,MAX(0,M308+WI_M*12),M308)+(PR_AEee+PR_AEer+PR_AEst)*P308,0)</f>
        <v>0</v>
      </c>
      <c r="R308" s="20" t="n">
        <f aca="false">L308+PR_AEee*P308</f>
        <v>0</v>
      </c>
      <c r="S308" s="20" t="n">
        <f aca="false">AD307</f>
        <v>0</v>
      </c>
      <c r="T308" s="20" t="n">
        <f aca="false">IF(D308&lt;=PR_SFTfrom,PR_SFT2026,IF(D308=PR_SFTfrom+1,PR_SFT2027,IF(D308=PR_SFTfrom+2,PR_SFT2028,IF(D308&lt;=PR_SFTto,PR_SFT2029,PR_SFT2029*(1+AS_Infl)^(D308-PR_SFTto)))))</f>
        <v>11651193.0501443</v>
      </c>
      <c r="U308" s="20" t="n">
        <f aca="false">IF(AND(G308=0,C308=F_V),1,0)</f>
        <v>0</v>
      </c>
      <c r="V308" s="20" t="n">
        <f aca="false">IF(U308=1,PR_SFTrate*MAX(0,S308-T308),0)</f>
        <v>0</v>
      </c>
      <c r="W308" s="20" t="n">
        <f aca="false">S308-V308</f>
        <v>0</v>
      </c>
      <c r="X308" s="20" t="n">
        <f aca="false">IF(AND(U308=1,AS_LumpPct&gt;0),W308*MIN(AS_LumpPct,PR_LSmax),0)</f>
        <v>0</v>
      </c>
      <c r="Y308" s="20" t="n">
        <f aca="false">X308-(PR_LSrate*MAX(0,MIN(X308,PR_LScap)-PR_LSfree)+PR_r2*MAX(0,X308-PR_LScap))</f>
        <v>0</v>
      </c>
      <c r="Z308" s="20" t="n">
        <f aca="false">W308-X308</f>
        <v>0</v>
      </c>
      <c r="AA308" s="45" t="n">
        <f aca="false">IF(C308&gt;=PR_ARFage1,IF(Z308&gt;PR_ARFbig,PR_ARFbigRate,IF(C308&gt;=PR_ARFage2,PR_ARF71,PR_ARF61)),0)</f>
        <v>0.05</v>
      </c>
      <c r="AB308" s="20" t="n">
        <f aca="false">IF(AS_DrawRule="min",Z308*AA308,IF(AS_DrawRule="fixed",MAX(AS_DrawFixed*E308,Z308*AA308),Z308*MAX(1/MAX(1,AS_End-C308+1),AA308)))</f>
        <v>0</v>
      </c>
      <c r="AC308" s="20" t="n">
        <f aca="false">IF(AND(G308=0,C308&gt;=F_V),MIN(Z308,AB308),0)</f>
        <v>0</v>
      </c>
      <c r="AD308" s="20" t="n">
        <f aca="false">IF(G308=1,S308*(1+F_PenG)+Q308,IF(C308&lt;F_V,S308*(1+F_PenG),(Z308-AC308)*(1+AS_PenRet)))</f>
        <v>0</v>
      </c>
      <c r="AE308" s="20" t="n">
        <f aca="false">IF(C308&gt;=PR_SPage,AS_SP*F_SpF*I308+IF(AND(C308&gt;=PR_Over80Age,F_SpF&gt;0),PR_Over80*PR_Weeks*I308,0),0)</f>
        <v>69629.9324765602</v>
      </c>
      <c r="AF308" s="20" t="n">
        <f aca="false">(F_OtherM+F_RentM)*12*E308</f>
        <v>0</v>
      </c>
      <c r="AG308" s="20" t="n">
        <f aca="false">F_PAge+B308</f>
        <v>111</v>
      </c>
      <c r="AH308" s="20" t="n">
        <f aca="false">IF(AND(F_Partner=1,F_PAge&gt;0,AG308&lt;IF(F_PRet&gt;0,F_PRet,PR_SPage)),F_PIncome*F308,0)</f>
        <v>0</v>
      </c>
      <c r="AI308" s="20" t="n">
        <f aca="false">IF(AND(F_Partner=1,AG308&gt;=PR_SPage,F_PSpQA=0),AS_SP*F_PSpF*I308,0)</f>
        <v>53902.9777956275</v>
      </c>
      <c r="AJ308" s="20" t="n">
        <f aca="false">IF(AND(F_Partner=1,F_PSpQA=1,C308&gt;=PR_SPage,AH308=0),IF(AG308&gt;=PR_SPage,PR_QA66,PR_QAunder)*PR_Weeks*I308,0)</f>
        <v>0</v>
      </c>
      <c r="AK308" s="20" t="n">
        <f aca="false">AE308+AJ308</f>
        <v>69629.9324765602</v>
      </c>
      <c r="AL308" s="20" t="n">
        <f aca="false">K308/H308</f>
        <v>0</v>
      </c>
      <c r="AM308" s="20" t="n">
        <f aca="false">AK308/H308</f>
        <v>16083.6</v>
      </c>
      <c r="AN308" s="20" t="n">
        <f aca="false">AC308/H308</f>
        <v>0</v>
      </c>
      <c r="AO308" s="20" t="n">
        <f aca="false">AF308/H308</f>
        <v>0</v>
      </c>
      <c r="AP308" s="20" t="n">
        <f aca="false">O308/H308</f>
        <v>0</v>
      </c>
      <c r="AQ308" s="20" t="n">
        <f aca="false">AH308/H308</f>
        <v>0</v>
      </c>
      <c r="AR308" s="20" t="n">
        <f aca="false">AI308/H308</f>
        <v>12450.88</v>
      </c>
      <c r="AS308" s="20" t="n">
        <f aca="false">MAX(0,AL308+AN308+AO308+AM308-AP308)</f>
        <v>16083.6</v>
      </c>
      <c r="AT308" s="20" t="n">
        <f aca="false">MAX(0,AQ308+AR308)</f>
        <v>12450.88</v>
      </c>
      <c r="AU308" s="20" t="n">
        <f aca="false">MIN(PR_PAYE,PR_PAYEcap*(AL308+AN308+AM308))</f>
        <v>2000</v>
      </c>
      <c r="AV308" s="20" t="n">
        <f aca="false">MIN(PR_PAYE,PR_PAYEcap*(AQ308+AR308))</f>
        <v>2000</v>
      </c>
      <c r="AW308" s="20" t="n">
        <f aca="false">IF(C308&gt;=PR_AgeCrAge,PR_AgeCr,0)</f>
        <v>245</v>
      </c>
      <c r="AX308" s="20" t="n">
        <f aca="false">IF(AG308&gt;=PR_AgeCrAge,PR_AgeCr,0)</f>
        <v>245</v>
      </c>
      <c r="AY308" s="20" t="n">
        <f aca="false">IF(AND(F_RentCred=1,D308&lt;=PR_RentLast),1,0)</f>
        <v>0</v>
      </c>
      <c r="AZ308" s="20" t="n">
        <f aca="false">AS308+AT308</f>
        <v>28534.48</v>
      </c>
      <c r="BA308" s="20" t="n">
        <f aca="false">PR_PersonalM+AU308+AV308+AW308+AX308+IF(AY308=1,PR_RentJoint,0)</f>
        <v>8490</v>
      </c>
      <c r="BB308" s="20" t="n">
        <f aca="false">PR_BandM+MIN(MIN(AS308,AT308),PR_Uplift)</f>
        <v>65450.88</v>
      </c>
      <c r="BC308" s="20" t="n">
        <f aca="false">MAX(0,PR_r1*MIN(AZ308,BB308)+PR_r2*MAX(0,AZ308-BB308)-BA308)</f>
        <v>0</v>
      </c>
      <c r="BD308" s="20" t="n">
        <f aca="false">MAX(0,PR_HomeCarer-MAX(0,MIN(AS308,AT308)-PR_HCLimit)/2)</f>
        <v>0</v>
      </c>
      <c r="BE308" s="20" t="n">
        <f aca="false">IF(F_Carer=1,MIN(BC308,MAX(0,PR_r1*MIN(AZ308,PR_BandM)+PR_r2*MAX(0,AZ308-PR_BandM)-BA308-BD308)),BC308)</f>
        <v>0</v>
      </c>
      <c r="BF308" s="20" t="n">
        <f aca="false">IF(OR(C308&gt;=PR_AgeCrAge,AG308&gt;=PR_AgeCrAge),IF(AZ308&lt;=PR_AgeExM,0,MIN(BE308,PR_AgeMarg*(AZ308-PR_AgeExM))),BE308)</f>
        <v>0</v>
      </c>
      <c r="BG308" s="20" t="n">
        <f aca="false">MAX(0,PR_r1*MIN(AS308,IF(F_Spccc=1,PR_BandSPCCC,PR_Band))+PR_r2*MAX(0,AS308-IF(F_Spccc=1,PR_BandSPCCC,PR_Band))-(PR_Personal+AU308+AW308+IF(F_Spccc=1,PR_SPCCC,0)+IF(AY308=1,PR_Rent,0)))</f>
        <v>0</v>
      </c>
      <c r="BH308" s="20" t="n">
        <f aca="false">IF(C308&gt;=PR_AgeCrAge,IF(AS308&lt;=PR_AgeEx,0,MIN(BG308,PR_AgeMarg*(AS308-PR_AgeEx))),BG308)</f>
        <v>0</v>
      </c>
      <c r="BI308" s="20" t="n">
        <f aca="false">IF(F_Partner=1,MAX(0,PR_r1*MIN(AT308,PR_Band)+PR_r2*MAX(0,AT308-PR_Band)-(PR_Personal+AV308+AX308+IF(AND(AY308=1,AT308&gt;0),PR_Rent,0))),0)</f>
        <v>0</v>
      </c>
      <c r="BJ308" s="20" t="n">
        <f aca="false">IF(AG308&gt;=PR_AgeCrAge,IF(AT308&lt;=PR_AgeEx,0,MIN(BI308,PR_AgeMarg*(AT308-PR_AgeEx))),BI308)</f>
        <v>0</v>
      </c>
      <c r="BK308" s="20" t="n">
        <f aca="false">IF(F_Partner=1,IF(F_Married=1,BF308,BH308+BJ308),BH308)</f>
        <v>0</v>
      </c>
      <c r="BL308" s="20" t="n">
        <f aca="false">AL308+AN308+AO308</f>
        <v>0</v>
      </c>
      <c r="BM308" s="20" t="n">
        <f aca="false">IF(BL308&lt;=PR_USCex,0,IF(IF(AND(C308&gt;=PR_USCredAge,BL308&lt;=PR_USCredMax),1,0)=1,PR_USCr1*MIN(BL308,PR_USCredB1)+PR_USCredR2*MAX(0,BL308-PR_USCredB1),PR_USCr1*MIN(BL308,PR_USCb1)+PR_USCr2*MAX(0,MIN(BL308,PR_USCb2)-PR_USCb1)+PR_USCr3*MAX(0,MIN(BL308,PR_USCb3)-PR_USCb2)+PR_USCr4*MAX(0,BL308-PR_USCb3)))+IF(F_SelfEmp=1,PR_USCse*MAX(0,AL308-PR_USCseOver),0)</f>
        <v>0</v>
      </c>
      <c r="BN308" s="20" t="n">
        <f aca="false">AQ308</f>
        <v>0</v>
      </c>
      <c r="BO308" s="20" t="n">
        <f aca="false">IF(F_Partner=1,IF(BN308&lt;=PR_USCex,0,IF(IF(AND(AG308&gt;=PR_USCredAge,BN308&lt;=PR_USCredMax),1,0)=1,PR_USCr1*MIN(BN308,PR_USCredB1)+PR_USCredR2*MAX(0,BN308-PR_USCredB1),PR_USCr1*MIN(BN308,PR_USCb1)+PR_USCr2*MAX(0,MIN(BN308,PR_USCb2)-PR_USCb1)+PR_USCr3*MAX(0,MIN(BN308,PR_USCb3)-PR_USCb2)+PR_USCr4*MAX(0,BN308-PR_USCb3))),0)</f>
        <v>0</v>
      </c>
      <c r="BP308" s="20" t="n">
        <f aca="false">IF(C308&lt;PR_PRSIend,IF(F_SelfEmp=1,IF(AL308&gt;PR_PRSIsMinInc,MAX(PR_PRSIsMin,AL308*J308),0),IF(AL308/52&lt;=PR_PRSIfree,0,MAX(0,(AL308/52*J308-IF(AL308/52&lt;=PR_PRSIcreditTo,MAX(0,PR_PRSIcreditMax-(AL308/52-(PR_PRSIfree+0.01))/PR_PRSItaper),0))*52)))+J308*AN308+IF(AO308&gt;PR_PRSIunearned,J308*AO308,0),0)</f>
        <v>0</v>
      </c>
      <c r="BQ308" s="20" t="n">
        <f aca="false">IF(AND(F_Partner=1,AG308&lt;PR_PRSIend),IF(AQ308/52&lt;=PR_PRSIfree,0,MAX(0,(AQ308/52*J308-IF(AQ308/52&lt;=PR_PRSIcreditTo,MAX(0,PR_PRSIcreditMax-(AQ308/52-(PR_PRSIfree+0.01))/PR_PRSItaper),0))*52)),0)</f>
        <v>0</v>
      </c>
      <c r="BR308" s="20" t="n">
        <f aca="false">BK308+BM308+BO308+BP308+BQ308</f>
        <v>0</v>
      </c>
      <c r="BS308" s="20" t="n">
        <f aca="false">BR308*H308</f>
        <v>0</v>
      </c>
      <c r="BT308" s="20" t="n">
        <f aca="false">K308+AK308+AC308+AF308+AH308+AI308</f>
        <v>123532.910272188</v>
      </c>
    </row>
    <row r="309" customFormat="false" ht="15" hidden="false" customHeight="true" outlineLevel="0" collapsed="false">
      <c r="B309" s="20" t="n">
        <v>75</v>
      </c>
      <c r="C309" s="20" t="n">
        <f aca="false">F_Age+B309</f>
        <v>113</v>
      </c>
      <c r="D309" s="20" t="n">
        <f aca="false">AS_Year0+B309</f>
        <v>2102</v>
      </c>
      <c r="E309" s="44" t="n">
        <f aca="false">(1+AS_Infl)^B309</f>
        <v>4.41583545512767</v>
      </c>
      <c r="F309" s="44" t="n">
        <f aca="false">(1+AS_Wage)^B309</f>
        <v>9.1789256676472</v>
      </c>
      <c r="G309" s="20" t="n">
        <f aca="false">IF(C309&lt;F_R,1,0)</f>
        <v>0</v>
      </c>
      <c r="H309" s="44" t="n">
        <f aca="false">IF(AS_Bands="flat",1,E309)</f>
        <v>4.41583545512767</v>
      </c>
      <c r="I309" s="44" t="n">
        <f aca="false">IF(AS_SpGrow="pay",F309,IF(AS_SpGrow="flat",1,E309))</f>
        <v>4.41583545512767</v>
      </c>
      <c r="J309" s="44" t="n">
        <f aca="false">(12*PR_PRSIr0+(PR_PRSIr1-PR_PRSIr0)*MAX(0,MIN(12,D309*12+12-PR_PRSIt1))+(PR_PRSIr2-PR_PRSIr1)*MAX(0,MIN(12,D309*12+12-PR_PRSIt2))+(PR_PRSIr3-PR_PRSIr2)*MAX(0,MIN(12,D309*12+12-PR_PRSIt3)))/12</f>
        <v>0.047</v>
      </c>
      <c r="K309" s="20" t="n">
        <f aca="false">IF(G309=1,F_Income*F309,0)</f>
        <v>0</v>
      </c>
      <c r="L309" s="20" t="n">
        <f aca="false">IF(G309=1,(F_Own+In_penExtra)*12*F309,0)</f>
        <v>0</v>
      </c>
      <c r="M309" s="20" t="n">
        <f aca="false">IF(G309=1,(F_PenM+In_penExtra)*12*F309,0)</f>
        <v>0</v>
      </c>
      <c r="N309" s="45" t="n">
        <f aca="false">IF(C309&lt;PR_RelA1,PR_RelP1,IF(C309&lt;PR_RelA2,PR_RelP2,IF(C309&lt;PR_RelA3,PR_RelP3,IF(C309&lt;PR_RelA4,PR_RelP4,IF(C309&lt;PR_RelA5,PR_RelP5,PR_RelP6)))))</f>
        <v>0.4</v>
      </c>
      <c r="O309" s="20" t="n">
        <f aca="false">IF(G309=1,MIN(L309/H309,N309*MIN(K309/H309,PR_EarnCap))*H309,0)</f>
        <v>0</v>
      </c>
      <c r="P309" s="20" t="n">
        <f aca="false">IF(AND(G309=1,F_AE=1),MIN(K309/H309,PR_AEcap)*H309,0)</f>
        <v>0</v>
      </c>
      <c r="Q309" s="20" t="n">
        <f aca="false">IF(G309=1,IF(WI_Retire=1,MAX(0,M309+WI_M*12),M309)+(PR_AEee+PR_AEer+PR_AEst)*P309,0)</f>
        <v>0</v>
      </c>
      <c r="R309" s="20" t="n">
        <f aca="false">L309+PR_AEee*P309</f>
        <v>0</v>
      </c>
      <c r="S309" s="20" t="n">
        <f aca="false">AD308</f>
        <v>0</v>
      </c>
      <c r="T309" s="20" t="n">
        <f aca="false">IF(D309&lt;=PR_SFTfrom,PR_SFT2026,IF(D309=PR_SFTfrom+1,PR_SFT2027,IF(D309=PR_SFTfrom+2,PR_SFT2028,IF(D309&lt;=PR_SFTto,PR_SFT2029,PR_SFT2029*(1+AS_Infl)^(D309-PR_SFTto)))))</f>
        <v>11884216.9111471</v>
      </c>
      <c r="U309" s="20" t="n">
        <f aca="false">IF(AND(G309=0,C309=F_V),1,0)</f>
        <v>0</v>
      </c>
      <c r="V309" s="20" t="n">
        <f aca="false">IF(U309=1,PR_SFTrate*MAX(0,S309-T309),0)</f>
        <v>0</v>
      </c>
      <c r="W309" s="20" t="n">
        <f aca="false">S309-V309</f>
        <v>0</v>
      </c>
      <c r="X309" s="20" t="n">
        <f aca="false">IF(AND(U309=1,AS_LumpPct&gt;0),W309*MIN(AS_LumpPct,PR_LSmax),0)</f>
        <v>0</v>
      </c>
      <c r="Y309" s="20" t="n">
        <f aca="false">X309-(PR_LSrate*MAX(0,MIN(X309,PR_LScap)-PR_LSfree)+PR_r2*MAX(0,X309-PR_LScap))</f>
        <v>0</v>
      </c>
      <c r="Z309" s="20" t="n">
        <f aca="false">W309-X309</f>
        <v>0</v>
      </c>
      <c r="AA309" s="45" t="n">
        <f aca="false">IF(C309&gt;=PR_ARFage1,IF(Z309&gt;PR_ARFbig,PR_ARFbigRate,IF(C309&gt;=PR_ARFage2,PR_ARF71,PR_ARF61)),0)</f>
        <v>0.05</v>
      </c>
      <c r="AB309" s="20" t="n">
        <f aca="false">IF(AS_DrawRule="min",Z309*AA309,IF(AS_DrawRule="fixed",MAX(AS_DrawFixed*E309,Z309*AA309),Z309*MAX(1/MAX(1,AS_End-C309+1),AA309)))</f>
        <v>0</v>
      </c>
      <c r="AC309" s="20" t="n">
        <f aca="false">IF(AND(G309=0,C309&gt;=F_V),MIN(Z309,AB309),0)</f>
        <v>0</v>
      </c>
      <c r="AD309" s="20" t="n">
        <f aca="false">IF(G309=1,S309*(1+F_PenG)+Q309,IF(C309&lt;F_V,S309*(1+F_PenG),(Z309-AC309)*(1+AS_PenRet)))</f>
        <v>0</v>
      </c>
      <c r="AE309" s="20" t="n">
        <f aca="false">IF(C309&gt;=PR_SPage,AS_SP*F_SpF*I309+IF(AND(C309&gt;=PR_Over80Age,F_SpF&gt;0),PR_Over80*PR_Weeks*I309,0),0)</f>
        <v>71022.5311260914</v>
      </c>
      <c r="AF309" s="20" t="n">
        <f aca="false">(F_OtherM+F_RentM)*12*E309</f>
        <v>0</v>
      </c>
      <c r="AG309" s="20" t="n">
        <f aca="false">F_PAge+B309</f>
        <v>112</v>
      </c>
      <c r="AH309" s="20" t="n">
        <f aca="false">IF(AND(F_Partner=1,F_PAge&gt;0,AG309&lt;IF(F_PRet&gt;0,F_PRet,PR_SPage)),F_PIncome*F309,0)</f>
        <v>0</v>
      </c>
      <c r="AI309" s="20" t="n">
        <f aca="false">IF(AND(F_Partner=1,AG309&gt;=PR_SPage,F_PSpQA=0),AS_SP*F_PSpF*I309,0)</f>
        <v>54981.03735154</v>
      </c>
      <c r="AJ309" s="20" t="n">
        <f aca="false">IF(AND(F_Partner=1,F_PSpQA=1,C309&gt;=PR_SPage,AH309=0),IF(AG309&gt;=PR_SPage,PR_QA66,PR_QAunder)*PR_Weeks*I309,0)</f>
        <v>0</v>
      </c>
      <c r="AK309" s="20" t="n">
        <f aca="false">AE309+AJ309</f>
        <v>71022.5311260914</v>
      </c>
      <c r="AL309" s="20" t="n">
        <f aca="false">K309/H309</f>
        <v>0</v>
      </c>
      <c r="AM309" s="20" t="n">
        <f aca="false">AK309/H309</f>
        <v>16083.6</v>
      </c>
      <c r="AN309" s="20" t="n">
        <f aca="false">AC309/H309</f>
        <v>0</v>
      </c>
      <c r="AO309" s="20" t="n">
        <f aca="false">AF309/H309</f>
        <v>0</v>
      </c>
      <c r="AP309" s="20" t="n">
        <f aca="false">O309/H309</f>
        <v>0</v>
      </c>
      <c r="AQ309" s="20" t="n">
        <f aca="false">AH309/H309</f>
        <v>0</v>
      </c>
      <c r="AR309" s="20" t="n">
        <f aca="false">AI309/H309</f>
        <v>12450.88</v>
      </c>
      <c r="AS309" s="20" t="n">
        <f aca="false">MAX(0,AL309+AN309+AO309+AM309-AP309)</f>
        <v>16083.6</v>
      </c>
      <c r="AT309" s="20" t="n">
        <f aca="false">MAX(0,AQ309+AR309)</f>
        <v>12450.88</v>
      </c>
      <c r="AU309" s="20" t="n">
        <f aca="false">MIN(PR_PAYE,PR_PAYEcap*(AL309+AN309+AM309))</f>
        <v>2000</v>
      </c>
      <c r="AV309" s="20" t="n">
        <f aca="false">MIN(PR_PAYE,PR_PAYEcap*(AQ309+AR309))</f>
        <v>2000</v>
      </c>
      <c r="AW309" s="20" t="n">
        <f aca="false">IF(C309&gt;=PR_AgeCrAge,PR_AgeCr,0)</f>
        <v>245</v>
      </c>
      <c r="AX309" s="20" t="n">
        <f aca="false">IF(AG309&gt;=PR_AgeCrAge,PR_AgeCr,0)</f>
        <v>245</v>
      </c>
      <c r="AY309" s="20" t="n">
        <f aca="false">IF(AND(F_RentCred=1,D309&lt;=PR_RentLast),1,0)</f>
        <v>0</v>
      </c>
      <c r="AZ309" s="20" t="n">
        <f aca="false">AS309+AT309</f>
        <v>28534.48</v>
      </c>
      <c r="BA309" s="20" t="n">
        <f aca="false">PR_PersonalM+AU309+AV309+AW309+AX309+IF(AY309=1,PR_RentJoint,0)</f>
        <v>8490</v>
      </c>
      <c r="BB309" s="20" t="n">
        <f aca="false">PR_BandM+MIN(MIN(AS309,AT309),PR_Uplift)</f>
        <v>65450.88</v>
      </c>
      <c r="BC309" s="20" t="n">
        <f aca="false">MAX(0,PR_r1*MIN(AZ309,BB309)+PR_r2*MAX(0,AZ309-BB309)-BA309)</f>
        <v>0</v>
      </c>
      <c r="BD309" s="20" t="n">
        <f aca="false">MAX(0,PR_HomeCarer-MAX(0,MIN(AS309,AT309)-PR_HCLimit)/2)</f>
        <v>0</v>
      </c>
      <c r="BE309" s="20" t="n">
        <f aca="false">IF(F_Carer=1,MIN(BC309,MAX(0,PR_r1*MIN(AZ309,PR_BandM)+PR_r2*MAX(0,AZ309-PR_BandM)-BA309-BD309)),BC309)</f>
        <v>0</v>
      </c>
      <c r="BF309" s="20" t="n">
        <f aca="false">IF(OR(C309&gt;=PR_AgeCrAge,AG309&gt;=PR_AgeCrAge),IF(AZ309&lt;=PR_AgeExM,0,MIN(BE309,PR_AgeMarg*(AZ309-PR_AgeExM))),BE309)</f>
        <v>0</v>
      </c>
      <c r="BG309" s="20" t="n">
        <f aca="false">MAX(0,PR_r1*MIN(AS309,IF(F_Spccc=1,PR_BandSPCCC,PR_Band))+PR_r2*MAX(0,AS309-IF(F_Spccc=1,PR_BandSPCCC,PR_Band))-(PR_Personal+AU309+AW309+IF(F_Spccc=1,PR_SPCCC,0)+IF(AY309=1,PR_Rent,0)))</f>
        <v>0</v>
      </c>
      <c r="BH309" s="20" t="n">
        <f aca="false">IF(C309&gt;=PR_AgeCrAge,IF(AS309&lt;=PR_AgeEx,0,MIN(BG309,PR_AgeMarg*(AS309-PR_AgeEx))),BG309)</f>
        <v>0</v>
      </c>
      <c r="BI309" s="20" t="n">
        <f aca="false">IF(F_Partner=1,MAX(0,PR_r1*MIN(AT309,PR_Band)+PR_r2*MAX(0,AT309-PR_Band)-(PR_Personal+AV309+AX309+IF(AND(AY309=1,AT309&gt;0),PR_Rent,0))),0)</f>
        <v>0</v>
      </c>
      <c r="BJ309" s="20" t="n">
        <f aca="false">IF(AG309&gt;=PR_AgeCrAge,IF(AT309&lt;=PR_AgeEx,0,MIN(BI309,PR_AgeMarg*(AT309-PR_AgeEx))),BI309)</f>
        <v>0</v>
      </c>
      <c r="BK309" s="20" t="n">
        <f aca="false">IF(F_Partner=1,IF(F_Married=1,BF309,BH309+BJ309),BH309)</f>
        <v>0</v>
      </c>
      <c r="BL309" s="20" t="n">
        <f aca="false">AL309+AN309+AO309</f>
        <v>0</v>
      </c>
      <c r="BM309" s="20" t="n">
        <f aca="false">IF(BL309&lt;=PR_USCex,0,IF(IF(AND(C309&gt;=PR_USCredAge,BL309&lt;=PR_USCredMax),1,0)=1,PR_USCr1*MIN(BL309,PR_USCredB1)+PR_USCredR2*MAX(0,BL309-PR_USCredB1),PR_USCr1*MIN(BL309,PR_USCb1)+PR_USCr2*MAX(0,MIN(BL309,PR_USCb2)-PR_USCb1)+PR_USCr3*MAX(0,MIN(BL309,PR_USCb3)-PR_USCb2)+PR_USCr4*MAX(0,BL309-PR_USCb3)))+IF(F_SelfEmp=1,PR_USCse*MAX(0,AL309-PR_USCseOver),0)</f>
        <v>0</v>
      </c>
      <c r="BN309" s="20" t="n">
        <f aca="false">AQ309</f>
        <v>0</v>
      </c>
      <c r="BO309" s="20" t="n">
        <f aca="false">IF(F_Partner=1,IF(BN309&lt;=PR_USCex,0,IF(IF(AND(AG309&gt;=PR_USCredAge,BN309&lt;=PR_USCredMax),1,0)=1,PR_USCr1*MIN(BN309,PR_USCredB1)+PR_USCredR2*MAX(0,BN309-PR_USCredB1),PR_USCr1*MIN(BN309,PR_USCb1)+PR_USCr2*MAX(0,MIN(BN309,PR_USCb2)-PR_USCb1)+PR_USCr3*MAX(0,MIN(BN309,PR_USCb3)-PR_USCb2)+PR_USCr4*MAX(0,BN309-PR_USCb3))),0)</f>
        <v>0</v>
      </c>
      <c r="BP309" s="20" t="n">
        <f aca="false">IF(C309&lt;PR_PRSIend,IF(F_SelfEmp=1,IF(AL309&gt;PR_PRSIsMinInc,MAX(PR_PRSIsMin,AL309*J309),0),IF(AL309/52&lt;=PR_PRSIfree,0,MAX(0,(AL309/52*J309-IF(AL309/52&lt;=PR_PRSIcreditTo,MAX(0,PR_PRSIcreditMax-(AL309/52-(PR_PRSIfree+0.01))/PR_PRSItaper),0))*52)))+J309*AN309+IF(AO309&gt;PR_PRSIunearned,J309*AO309,0),0)</f>
        <v>0</v>
      </c>
      <c r="BQ309" s="20" t="n">
        <f aca="false">IF(AND(F_Partner=1,AG309&lt;PR_PRSIend),IF(AQ309/52&lt;=PR_PRSIfree,0,MAX(0,(AQ309/52*J309-IF(AQ309/52&lt;=PR_PRSIcreditTo,MAX(0,PR_PRSIcreditMax-(AQ309/52-(PR_PRSIfree+0.01))/PR_PRSItaper),0))*52)),0)</f>
        <v>0</v>
      </c>
      <c r="BR309" s="20" t="n">
        <f aca="false">BK309+BM309+BO309+BP309+BQ309</f>
        <v>0</v>
      </c>
      <c r="BS309" s="20" t="n">
        <f aca="false">BR309*H309</f>
        <v>0</v>
      </c>
      <c r="BT309" s="20" t="n">
        <f aca="false">K309+AK309+AC309+AF309+AH309+AI309</f>
        <v>126003.568477631</v>
      </c>
    </row>
    <row r="310" customFormat="false" ht="15" hidden="false" customHeight="true" outlineLevel="0" collapsed="false">
      <c r="B310" s="20" t="n">
        <v>76</v>
      </c>
      <c r="C310" s="20" t="n">
        <f aca="false">F_Age+B310</f>
        <v>114</v>
      </c>
      <c r="D310" s="20" t="n">
        <f aca="false">AS_Year0+B310</f>
        <v>2103</v>
      </c>
      <c r="E310" s="44" t="n">
        <f aca="false">(1+AS_Infl)^B310</f>
        <v>4.50415216423022</v>
      </c>
      <c r="F310" s="44" t="n">
        <f aca="false">(1+AS_Wage)^B310</f>
        <v>9.45429343767662</v>
      </c>
      <c r="G310" s="20" t="n">
        <f aca="false">IF(C310&lt;F_R,1,0)</f>
        <v>0</v>
      </c>
      <c r="H310" s="44" t="n">
        <f aca="false">IF(AS_Bands="flat",1,E310)</f>
        <v>4.50415216423022</v>
      </c>
      <c r="I310" s="44" t="n">
        <f aca="false">IF(AS_SpGrow="pay",F310,IF(AS_SpGrow="flat",1,E310))</f>
        <v>4.50415216423022</v>
      </c>
      <c r="J310" s="44" t="n">
        <f aca="false">(12*PR_PRSIr0+(PR_PRSIr1-PR_PRSIr0)*MAX(0,MIN(12,D310*12+12-PR_PRSIt1))+(PR_PRSIr2-PR_PRSIr1)*MAX(0,MIN(12,D310*12+12-PR_PRSIt2))+(PR_PRSIr3-PR_PRSIr2)*MAX(0,MIN(12,D310*12+12-PR_PRSIt3)))/12</f>
        <v>0.047</v>
      </c>
      <c r="K310" s="20" t="n">
        <f aca="false">IF(G310=1,F_Income*F310,0)</f>
        <v>0</v>
      </c>
      <c r="L310" s="20" t="n">
        <f aca="false">IF(G310=1,(F_Own+In_penExtra)*12*F310,0)</f>
        <v>0</v>
      </c>
      <c r="M310" s="20" t="n">
        <f aca="false">IF(G310=1,(F_PenM+In_penExtra)*12*F310,0)</f>
        <v>0</v>
      </c>
      <c r="N310" s="45" t="n">
        <f aca="false">IF(C310&lt;PR_RelA1,PR_RelP1,IF(C310&lt;PR_RelA2,PR_RelP2,IF(C310&lt;PR_RelA3,PR_RelP3,IF(C310&lt;PR_RelA4,PR_RelP4,IF(C310&lt;PR_RelA5,PR_RelP5,PR_RelP6)))))</f>
        <v>0.4</v>
      </c>
      <c r="O310" s="20" t="n">
        <f aca="false">IF(G310=1,MIN(L310/H310,N310*MIN(K310/H310,PR_EarnCap))*H310,0)</f>
        <v>0</v>
      </c>
      <c r="P310" s="20" t="n">
        <f aca="false">IF(AND(G310=1,F_AE=1),MIN(K310/H310,PR_AEcap)*H310,0)</f>
        <v>0</v>
      </c>
      <c r="Q310" s="20" t="n">
        <f aca="false">IF(G310=1,IF(WI_Retire=1,MAX(0,M310+WI_M*12),M310)+(PR_AEee+PR_AEer+PR_AEst)*P310,0)</f>
        <v>0</v>
      </c>
      <c r="R310" s="20" t="n">
        <f aca="false">L310+PR_AEee*P310</f>
        <v>0</v>
      </c>
      <c r="S310" s="20" t="n">
        <f aca="false">AD309</f>
        <v>0</v>
      </c>
      <c r="T310" s="20" t="n">
        <f aca="false">IF(D310&lt;=PR_SFTfrom,PR_SFT2026,IF(D310=PR_SFTfrom+1,PR_SFT2027,IF(D310=PR_SFTfrom+2,PR_SFT2028,IF(D310&lt;=PR_SFTto,PR_SFT2029,PR_SFT2029*(1+AS_Infl)^(D310-PR_SFTto)))))</f>
        <v>12121901.2493701</v>
      </c>
      <c r="U310" s="20" t="n">
        <f aca="false">IF(AND(G310=0,C310=F_V),1,0)</f>
        <v>0</v>
      </c>
      <c r="V310" s="20" t="n">
        <f aca="false">IF(U310=1,PR_SFTrate*MAX(0,S310-T310),0)</f>
        <v>0</v>
      </c>
      <c r="W310" s="20" t="n">
        <f aca="false">S310-V310</f>
        <v>0</v>
      </c>
      <c r="X310" s="20" t="n">
        <f aca="false">IF(AND(U310=1,AS_LumpPct&gt;0),W310*MIN(AS_LumpPct,PR_LSmax),0)</f>
        <v>0</v>
      </c>
      <c r="Y310" s="20" t="n">
        <f aca="false">X310-(PR_LSrate*MAX(0,MIN(X310,PR_LScap)-PR_LSfree)+PR_r2*MAX(0,X310-PR_LScap))</f>
        <v>0</v>
      </c>
      <c r="Z310" s="20" t="n">
        <f aca="false">W310-X310</f>
        <v>0</v>
      </c>
      <c r="AA310" s="45" t="n">
        <f aca="false">IF(C310&gt;=PR_ARFage1,IF(Z310&gt;PR_ARFbig,PR_ARFbigRate,IF(C310&gt;=PR_ARFage2,PR_ARF71,PR_ARF61)),0)</f>
        <v>0.05</v>
      </c>
      <c r="AB310" s="20" t="n">
        <f aca="false">IF(AS_DrawRule="min",Z310*AA310,IF(AS_DrawRule="fixed",MAX(AS_DrawFixed*E310,Z310*AA310),Z310*MAX(1/MAX(1,AS_End-C310+1),AA310)))</f>
        <v>0</v>
      </c>
      <c r="AC310" s="20" t="n">
        <f aca="false">IF(AND(G310=0,C310&gt;=F_V),MIN(Z310,AB310),0)</f>
        <v>0</v>
      </c>
      <c r="AD310" s="20" t="n">
        <f aca="false">IF(G310=1,S310*(1+F_PenG)+Q310,IF(C310&lt;F_V,S310*(1+F_PenG),(Z310-AC310)*(1+AS_PenRet)))</f>
        <v>0</v>
      </c>
      <c r="AE310" s="20" t="n">
        <f aca="false">IF(C310&gt;=PR_SPage,AS_SP*F_SpF*I310+IF(AND(C310&gt;=PR_Over80Age,F_SpF&gt;0),PR_Over80*PR_Weeks*I310,0),0)</f>
        <v>72442.9817486132</v>
      </c>
      <c r="AF310" s="20" t="n">
        <f aca="false">(F_OtherM+F_RentM)*12*E310</f>
        <v>0</v>
      </c>
      <c r="AG310" s="20" t="n">
        <f aca="false">F_PAge+B310</f>
        <v>113</v>
      </c>
      <c r="AH310" s="20" t="n">
        <f aca="false">IF(AND(F_Partner=1,F_PAge&gt;0,AG310&lt;IF(F_PRet&gt;0,F_PRet,PR_SPage)),F_PIncome*F310,0)</f>
        <v>0</v>
      </c>
      <c r="AI310" s="20" t="n">
        <f aca="false">IF(AND(F_Partner=1,AG310&gt;=PR_SPage,F_PSpQA=0),AS_SP*F_PSpF*I310,0)</f>
        <v>56080.6580985708</v>
      </c>
      <c r="AJ310" s="20" t="n">
        <f aca="false">IF(AND(F_Partner=1,F_PSpQA=1,C310&gt;=PR_SPage,AH310=0),IF(AG310&gt;=PR_SPage,PR_QA66,PR_QAunder)*PR_Weeks*I310,0)</f>
        <v>0</v>
      </c>
      <c r="AK310" s="20" t="n">
        <f aca="false">AE310+AJ310</f>
        <v>72442.9817486132</v>
      </c>
      <c r="AL310" s="20" t="n">
        <f aca="false">K310/H310</f>
        <v>0</v>
      </c>
      <c r="AM310" s="20" t="n">
        <f aca="false">AK310/H310</f>
        <v>16083.6</v>
      </c>
      <c r="AN310" s="20" t="n">
        <f aca="false">AC310/H310</f>
        <v>0</v>
      </c>
      <c r="AO310" s="20" t="n">
        <f aca="false">AF310/H310</f>
        <v>0</v>
      </c>
      <c r="AP310" s="20" t="n">
        <f aca="false">O310/H310</f>
        <v>0</v>
      </c>
      <c r="AQ310" s="20" t="n">
        <f aca="false">AH310/H310</f>
        <v>0</v>
      </c>
      <c r="AR310" s="20" t="n">
        <f aca="false">AI310/H310</f>
        <v>12450.88</v>
      </c>
      <c r="AS310" s="20" t="n">
        <f aca="false">MAX(0,AL310+AN310+AO310+AM310-AP310)</f>
        <v>16083.6</v>
      </c>
      <c r="AT310" s="20" t="n">
        <f aca="false">MAX(0,AQ310+AR310)</f>
        <v>12450.88</v>
      </c>
      <c r="AU310" s="20" t="n">
        <f aca="false">MIN(PR_PAYE,PR_PAYEcap*(AL310+AN310+AM310))</f>
        <v>2000</v>
      </c>
      <c r="AV310" s="20" t="n">
        <f aca="false">MIN(PR_PAYE,PR_PAYEcap*(AQ310+AR310))</f>
        <v>2000</v>
      </c>
      <c r="AW310" s="20" t="n">
        <f aca="false">IF(C310&gt;=PR_AgeCrAge,PR_AgeCr,0)</f>
        <v>245</v>
      </c>
      <c r="AX310" s="20" t="n">
        <f aca="false">IF(AG310&gt;=PR_AgeCrAge,PR_AgeCr,0)</f>
        <v>245</v>
      </c>
      <c r="AY310" s="20" t="n">
        <f aca="false">IF(AND(F_RentCred=1,D310&lt;=PR_RentLast),1,0)</f>
        <v>0</v>
      </c>
      <c r="AZ310" s="20" t="n">
        <f aca="false">AS310+AT310</f>
        <v>28534.48</v>
      </c>
      <c r="BA310" s="20" t="n">
        <f aca="false">PR_PersonalM+AU310+AV310+AW310+AX310+IF(AY310=1,PR_RentJoint,0)</f>
        <v>8490</v>
      </c>
      <c r="BB310" s="20" t="n">
        <f aca="false">PR_BandM+MIN(MIN(AS310,AT310),PR_Uplift)</f>
        <v>65450.88</v>
      </c>
      <c r="BC310" s="20" t="n">
        <f aca="false">MAX(0,PR_r1*MIN(AZ310,BB310)+PR_r2*MAX(0,AZ310-BB310)-BA310)</f>
        <v>0</v>
      </c>
      <c r="BD310" s="20" t="n">
        <f aca="false">MAX(0,PR_HomeCarer-MAX(0,MIN(AS310,AT310)-PR_HCLimit)/2)</f>
        <v>0</v>
      </c>
      <c r="BE310" s="20" t="n">
        <f aca="false">IF(F_Carer=1,MIN(BC310,MAX(0,PR_r1*MIN(AZ310,PR_BandM)+PR_r2*MAX(0,AZ310-PR_BandM)-BA310-BD310)),BC310)</f>
        <v>0</v>
      </c>
      <c r="BF310" s="20" t="n">
        <f aca="false">IF(OR(C310&gt;=PR_AgeCrAge,AG310&gt;=PR_AgeCrAge),IF(AZ310&lt;=PR_AgeExM,0,MIN(BE310,PR_AgeMarg*(AZ310-PR_AgeExM))),BE310)</f>
        <v>0</v>
      </c>
      <c r="BG310" s="20" t="n">
        <f aca="false">MAX(0,PR_r1*MIN(AS310,IF(F_Spccc=1,PR_BandSPCCC,PR_Band))+PR_r2*MAX(0,AS310-IF(F_Spccc=1,PR_BandSPCCC,PR_Band))-(PR_Personal+AU310+AW310+IF(F_Spccc=1,PR_SPCCC,0)+IF(AY310=1,PR_Rent,0)))</f>
        <v>0</v>
      </c>
      <c r="BH310" s="20" t="n">
        <f aca="false">IF(C310&gt;=PR_AgeCrAge,IF(AS310&lt;=PR_AgeEx,0,MIN(BG310,PR_AgeMarg*(AS310-PR_AgeEx))),BG310)</f>
        <v>0</v>
      </c>
      <c r="BI310" s="20" t="n">
        <f aca="false">IF(F_Partner=1,MAX(0,PR_r1*MIN(AT310,PR_Band)+PR_r2*MAX(0,AT310-PR_Band)-(PR_Personal+AV310+AX310+IF(AND(AY310=1,AT310&gt;0),PR_Rent,0))),0)</f>
        <v>0</v>
      </c>
      <c r="BJ310" s="20" t="n">
        <f aca="false">IF(AG310&gt;=PR_AgeCrAge,IF(AT310&lt;=PR_AgeEx,0,MIN(BI310,PR_AgeMarg*(AT310-PR_AgeEx))),BI310)</f>
        <v>0</v>
      </c>
      <c r="BK310" s="20" t="n">
        <f aca="false">IF(F_Partner=1,IF(F_Married=1,BF310,BH310+BJ310),BH310)</f>
        <v>0</v>
      </c>
      <c r="BL310" s="20" t="n">
        <f aca="false">AL310+AN310+AO310</f>
        <v>0</v>
      </c>
      <c r="BM310" s="20" t="n">
        <f aca="false">IF(BL310&lt;=PR_USCex,0,IF(IF(AND(C310&gt;=PR_USCredAge,BL310&lt;=PR_USCredMax),1,0)=1,PR_USCr1*MIN(BL310,PR_USCredB1)+PR_USCredR2*MAX(0,BL310-PR_USCredB1),PR_USCr1*MIN(BL310,PR_USCb1)+PR_USCr2*MAX(0,MIN(BL310,PR_USCb2)-PR_USCb1)+PR_USCr3*MAX(0,MIN(BL310,PR_USCb3)-PR_USCb2)+PR_USCr4*MAX(0,BL310-PR_USCb3)))+IF(F_SelfEmp=1,PR_USCse*MAX(0,AL310-PR_USCseOver),0)</f>
        <v>0</v>
      </c>
      <c r="BN310" s="20" t="n">
        <f aca="false">AQ310</f>
        <v>0</v>
      </c>
      <c r="BO310" s="20" t="n">
        <f aca="false">IF(F_Partner=1,IF(BN310&lt;=PR_USCex,0,IF(IF(AND(AG310&gt;=PR_USCredAge,BN310&lt;=PR_USCredMax),1,0)=1,PR_USCr1*MIN(BN310,PR_USCredB1)+PR_USCredR2*MAX(0,BN310-PR_USCredB1),PR_USCr1*MIN(BN310,PR_USCb1)+PR_USCr2*MAX(0,MIN(BN310,PR_USCb2)-PR_USCb1)+PR_USCr3*MAX(0,MIN(BN310,PR_USCb3)-PR_USCb2)+PR_USCr4*MAX(0,BN310-PR_USCb3))),0)</f>
        <v>0</v>
      </c>
      <c r="BP310" s="20" t="n">
        <f aca="false">IF(C310&lt;PR_PRSIend,IF(F_SelfEmp=1,IF(AL310&gt;PR_PRSIsMinInc,MAX(PR_PRSIsMin,AL310*J310),0),IF(AL310/52&lt;=PR_PRSIfree,0,MAX(0,(AL310/52*J310-IF(AL310/52&lt;=PR_PRSIcreditTo,MAX(0,PR_PRSIcreditMax-(AL310/52-(PR_PRSIfree+0.01))/PR_PRSItaper),0))*52)))+J310*AN310+IF(AO310&gt;PR_PRSIunearned,J310*AO310,0),0)</f>
        <v>0</v>
      </c>
      <c r="BQ310" s="20" t="n">
        <f aca="false">IF(AND(F_Partner=1,AG310&lt;PR_PRSIend),IF(AQ310/52&lt;=PR_PRSIfree,0,MAX(0,(AQ310/52*J310-IF(AQ310/52&lt;=PR_PRSIcreditTo,MAX(0,PR_PRSIcreditMax-(AQ310/52-(PR_PRSIfree+0.01))/PR_PRSItaper),0))*52)),0)</f>
        <v>0</v>
      </c>
      <c r="BR310" s="20" t="n">
        <f aca="false">BK310+BM310+BO310+BP310+BQ310</f>
        <v>0</v>
      </c>
      <c r="BS310" s="20" t="n">
        <f aca="false">BR310*H310</f>
        <v>0</v>
      </c>
      <c r="BT310" s="20" t="n">
        <f aca="false">K310+AK310+AC310+AF310+AH310+AI310</f>
        <v>128523.639847184</v>
      </c>
    </row>
    <row r="311" customFormat="false" ht="15" hidden="false" customHeight="true" outlineLevel="0" collapsed="false">
      <c r="B311" s="20" t="n">
        <v>77</v>
      </c>
      <c r="C311" s="20" t="n">
        <f aca="false">F_Age+B311</f>
        <v>115</v>
      </c>
      <c r="D311" s="20" t="n">
        <f aca="false">AS_Year0+B311</f>
        <v>2104</v>
      </c>
      <c r="E311" s="44" t="n">
        <f aca="false">(1+AS_Infl)^B311</f>
        <v>4.59423520751483</v>
      </c>
      <c r="F311" s="44" t="n">
        <f aca="false">(1+AS_Wage)^B311</f>
        <v>9.73792224080692</v>
      </c>
      <c r="G311" s="20" t="n">
        <f aca="false">IF(C311&lt;F_R,1,0)</f>
        <v>0</v>
      </c>
      <c r="H311" s="44" t="n">
        <f aca="false">IF(AS_Bands="flat",1,E311)</f>
        <v>4.59423520751483</v>
      </c>
      <c r="I311" s="44" t="n">
        <f aca="false">IF(AS_SpGrow="pay",F311,IF(AS_SpGrow="flat",1,E311))</f>
        <v>4.59423520751483</v>
      </c>
      <c r="J311" s="44" t="n">
        <f aca="false">(12*PR_PRSIr0+(PR_PRSIr1-PR_PRSIr0)*MAX(0,MIN(12,D311*12+12-PR_PRSIt1))+(PR_PRSIr2-PR_PRSIr1)*MAX(0,MIN(12,D311*12+12-PR_PRSIt2))+(PR_PRSIr3-PR_PRSIr2)*MAX(0,MIN(12,D311*12+12-PR_PRSIt3)))/12</f>
        <v>0.047</v>
      </c>
      <c r="K311" s="20" t="n">
        <f aca="false">IF(G311=1,F_Income*F311,0)</f>
        <v>0</v>
      </c>
      <c r="L311" s="20" t="n">
        <f aca="false">IF(G311=1,(F_Own+In_penExtra)*12*F311,0)</f>
        <v>0</v>
      </c>
      <c r="M311" s="20" t="n">
        <f aca="false">IF(G311=1,(F_PenM+In_penExtra)*12*F311,0)</f>
        <v>0</v>
      </c>
      <c r="N311" s="45" t="n">
        <f aca="false">IF(C311&lt;PR_RelA1,PR_RelP1,IF(C311&lt;PR_RelA2,PR_RelP2,IF(C311&lt;PR_RelA3,PR_RelP3,IF(C311&lt;PR_RelA4,PR_RelP4,IF(C311&lt;PR_RelA5,PR_RelP5,PR_RelP6)))))</f>
        <v>0.4</v>
      </c>
      <c r="O311" s="20" t="n">
        <f aca="false">IF(G311=1,MIN(L311/H311,N311*MIN(K311/H311,PR_EarnCap))*H311,0)</f>
        <v>0</v>
      </c>
      <c r="P311" s="20" t="n">
        <f aca="false">IF(AND(G311=1,F_AE=1),MIN(K311/H311,PR_AEcap)*H311,0)</f>
        <v>0</v>
      </c>
      <c r="Q311" s="20" t="n">
        <f aca="false">IF(G311=1,IF(WI_Retire=1,MAX(0,M311+WI_M*12),M311)+(PR_AEee+PR_AEer+PR_AEst)*P311,0)</f>
        <v>0</v>
      </c>
      <c r="R311" s="20" t="n">
        <f aca="false">L311+PR_AEee*P311</f>
        <v>0</v>
      </c>
      <c r="S311" s="20" t="n">
        <f aca="false">AD310</f>
        <v>0</v>
      </c>
      <c r="T311" s="20" t="n">
        <f aca="false">IF(D311&lt;=PR_SFTfrom,PR_SFT2026,IF(D311=PR_SFTfrom+1,PR_SFT2027,IF(D311=PR_SFTfrom+2,PR_SFT2028,IF(D311&lt;=PR_SFTto,PR_SFT2029,PR_SFT2029*(1+AS_Infl)^(D311-PR_SFTto)))))</f>
        <v>12364339.2743575</v>
      </c>
      <c r="U311" s="20" t="n">
        <f aca="false">IF(AND(G311=0,C311=F_V),1,0)</f>
        <v>0</v>
      </c>
      <c r="V311" s="20" t="n">
        <f aca="false">IF(U311=1,PR_SFTrate*MAX(0,S311-T311),0)</f>
        <v>0</v>
      </c>
      <c r="W311" s="20" t="n">
        <f aca="false">S311-V311</f>
        <v>0</v>
      </c>
      <c r="X311" s="20" t="n">
        <f aca="false">IF(AND(U311=1,AS_LumpPct&gt;0),W311*MIN(AS_LumpPct,PR_LSmax),0)</f>
        <v>0</v>
      </c>
      <c r="Y311" s="20" t="n">
        <f aca="false">X311-(PR_LSrate*MAX(0,MIN(X311,PR_LScap)-PR_LSfree)+PR_r2*MAX(0,X311-PR_LScap))</f>
        <v>0</v>
      </c>
      <c r="Z311" s="20" t="n">
        <f aca="false">W311-X311</f>
        <v>0</v>
      </c>
      <c r="AA311" s="45" t="n">
        <f aca="false">IF(C311&gt;=PR_ARFage1,IF(Z311&gt;PR_ARFbig,PR_ARFbigRate,IF(C311&gt;=PR_ARFage2,PR_ARF71,PR_ARF61)),0)</f>
        <v>0.05</v>
      </c>
      <c r="AB311" s="20" t="n">
        <f aca="false">IF(AS_DrawRule="min",Z311*AA311,IF(AS_DrawRule="fixed",MAX(AS_DrawFixed*E311,Z311*AA311),Z311*MAX(1/MAX(1,AS_End-C311+1),AA311)))</f>
        <v>0</v>
      </c>
      <c r="AC311" s="20" t="n">
        <f aca="false">IF(AND(G311=0,C311&gt;=F_V),MIN(Z311,AB311),0)</f>
        <v>0</v>
      </c>
      <c r="AD311" s="20" t="n">
        <f aca="false">IF(G311=1,S311*(1+F_PenG)+Q311,IF(C311&lt;F_V,S311*(1+F_PenG),(Z311-AC311)*(1+AS_PenRet)))</f>
        <v>0</v>
      </c>
      <c r="AE311" s="20" t="n">
        <f aca="false">IF(C311&gt;=PR_SPage,AS_SP*F_SpF*I311+IF(AND(C311&gt;=PR_Over80Age,F_SpF&gt;0),PR_Over80*PR_Weeks*I311,0),0)</f>
        <v>73891.8413835855</v>
      </c>
      <c r="AF311" s="20" t="n">
        <f aca="false">(F_OtherM+F_RentM)*12*E311</f>
        <v>0</v>
      </c>
      <c r="AG311" s="20" t="n">
        <f aca="false">F_PAge+B311</f>
        <v>114</v>
      </c>
      <c r="AH311" s="20" t="n">
        <f aca="false">IF(AND(F_Partner=1,F_PAge&gt;0,AG311&lt;IF(F_PRet&gt;0,F_PRet,PR_SPage)),F_PIncome*F311,0)</f>
        <v>0</v>
      </c>
      <c r="AI311" s="20" t="n">
        <f aca="false">IF(AND(F_Partner=1,AG311&gt;=PR_SPage,F_PSpQA=0),AS_SP*F_PSpF*I311,0)</f>
        <v>57202.2712605422</v>
      </c>
      <c r="AJ311" s="20" t="n">
        <f aca="false">IF(AND(F_Partner=1,F_PSpQA=1,C311&gt;=PR_SPage,AH311=0),IF(AG311&gt;=PR_SPage,PR_QA66,PR_QAunder)*PR_Weeks*I311,0)</f>
        <v>0</v>
      </c>
      <c r="AK311" s="20" t="n">
        <f aca="false">AE311+AJ311</f>
        <v>73891.8413835855</v>
      </c>
      <c r="AL311" s="20" t="n">
        <f aca="false">K311/H311</f>
        <v>0</v>
      </c>
      <c r="AM311" s="20" t="n">
        <f aca="false">AK311/H311</f>
        <v>16083.6</v>
      </c>
      <c r="AN311" s="20" t="n">
        <f aca="false">AC311/H311</f>
        <v>0</v>
      </c>
      <c r="AO311" s="20" t="n">
        <f aca="false">AF311/H311</f>
        <v>0</v>
      </c>
      <c r="AP311" s="20" t="n">
        <f aca="false">O311/H311</f>
        <v>0</v>
      </c>
      <c r="AQ311" s="20" t="n">
        <f aca="false">AH311/H311</f>
        <v>0</v>
      </c>
      <c r="AR311" s="20" t="n">
        <f aca="false">AI311/H311</f>
        <v>12450.88</v>
      </c>
      <c r="AS311" s="20" t="n">
        <f aca="false">MAX(0,AL311+AN311+AO311+AM311-AP311)</f>
        <v>16083.6</v>
      </c>
      <c r="AT311" s="20" t="n">
        <f aca="false">MAX(0,AQ311+AR311)</f>
        <v>12450.88</v>
      </c>
      <c r="AU311" s="20" t="n">
        <f aca="false">MIN(PR_PAYE,PR_PAYEcap*(AL311+AN311+AM311))</f>
        <v>2000</v>
      </c>
      <c r="AV311" s="20" t="n">
        <f aca="false">MIN(PR_PAYE,PR_PAYEcap*(AQ311+AR311))</f>
        <v>2000</v>
      </c>
      <c r="AW311" s="20" t="n">
        <f aca="false">IF(C311&gt;=PR_AgeCrAge,PR_AgeCr,0)</f>
        <v>245</v>
      </c>
      <c r="AX311" s="20" t="n">
        <f aca="false">IF(AG311&gt;=PR_AgeCrAge,PR_AgeCr,0)</f>
        <v>245</v>
      </c>
      <c r="AY311" s="20" t="n">
        <f aca="false">IF(AND(F_RentCred=1,D311&lt;=PR_RentLast),1,0)</f>
        <v>0</v>
      </c>
      <c r="AZ311" s="20" t="n">
        <f aca="false">AS311+AT311</f>
        <v>28534.48</v>
      </c>
      <c r="BA311" s="20" t="n">
        <f aca="false">PR_PersonalM+AU311+AV311+AW311+AX311+IF(AY311=1,PR_RentJoint,0)</f>
        <v>8490</v>
      </c>
      <c r="BB311" s="20" t="n">
        <f aca="false">PR_BandM+MIN(MIN(AS311,AT311),PR_Uplift)</f>
        <v>65450.88</v>
      </c>
      <c r="BC311" s="20" t="n">
        <f aca="false">MAX(0,PR_r1*MIN(AZ311,BB311)+PR_r2*MAX(0,AZ311-BB311)-BA311)</f>
        <v>0</v>
      </c>
      <c r="BD311" s="20" t="n">
        <f aca="false">MAX(0,PR_HomeCarer-MAX(0,MIN(AS311,AT311)-PR_HCLimit)/2)</f>
        <v>0</v>
      </c>
      <c r="BE311" s="20" t="n">
        <f aca="false">IF(F_Carer=1,MIN(BC311,MAX(0,PR_r1*MIN(AZ311,PR_BandM)+PR_r2*MAX(0,AZ311-PR_BandM)-BA311-BD311)),BC311)</f>
        <v>0</v>
      </c>
      <c r="BF311" s="20" t="n">
        <f aca="false">IF(OR(C311&gt;=PR_AgeCrAge,AG311&gt;=PR_AgeCrAge),IF(AZ311&lt;=PR_AgeExM,0,MIN(BE311,PR_AgeMarg*(AZ311-PR_AgeExM))),BE311)</f>
        <v>0</v>
      </c>
      <c r="BG311" s="20" t="n">
        <f aca="false">MAX(0,PR_r1*MIN(AS311,IF(F_Spccc=1,PR_BandSPCCC,PR_Band))+PR_r2*MAX(0,AS311-IF(F_Spccc=1,PR_BandSPCCC,PR_Band))-(PR_Personal+AU311+AW311+IF(F_Spccc=1,PR_SPCCC,0)+IF(AY311=1,PR_Rent,0)))</f>
        <v>0</v>
      </c>
      <c r="BH311" s="20" t="n">
        <f aca="false">IF(C311&gt;=PR_AgeCrAge,IF(AS311&lt;=PR_AgeEx,0,MIN(BG311,PR_AgeMarg*(AS311-PR_AgeEx))),BG311)</f>
        <v>0</v>
      </c>
      <c r="BI311" s="20" t="n">
        <f aca="false">IF(F_Partner=1,MAX(0,PR_r1*MIN(AT311,PR_Band)+PR_r2*MAX(0,AT311-PR_Band)-(PR_Personal+AV311+AX311+IF(AND(AY311=1,AT311&gt;0),PR_Rent,0))),0)</f>
        <v>0</v>
      </c>
      <c r="BJ311" s="20" t="n">
        <f aca="false">IF(AG311&gt;=PR_AgeCrAge,IF(AT311&lt;=PR_AgeEx,0,MIN(BI311,PR_AgeMarg*(AT311-PR_AgeEx))),BI311)</f>
        <v>0</v>
      </c>
      <c r="BK311" s="20" t="n">
        <f aca="false">IF(F_Partner=1,IF(F_Married=1,BF311,BH311+BJ311),BH311)</f>
        <v>0</v>
      </c>
      <c r="BL311" s="20" t="n">
        <f aca="false">AL311+AN311+AO311</f>
        <v>0</v>
      </c>
      <c r="BM311" s="20" t="n">
        <f aca="false">IF(BL311&lt;=PR_USCex,0,IF(IF(AND(C311&gt;=PR_USCredAge,BL311&lt;=PR_USCredMax),1,0)=1,PR_USCr1*MIN(BL311,PR_USCredB1)+PR_USCredR2*MAX(0,BL311-PR_USCredB1),PR_USCr1*MIN(BL311,PR_USCb1)+PR_USCr2*MAX(0,MIN(BL311,PR_USCb2)-PR_USCb1)+PR_USCr3*MAX(0,MIN(BL311,PR_USCb3)-PR_USCb2)+PR_USCr4*MAX(0,BL311-PR_USCb3)))+IF(F_SelfEmp=1,PR_USCse*MAX(0,AL311-PR_USCseOver),0)</f>
        <v>0</v>
      </c>
      <c r="BN311" s="20" t="n">
        <f aca="false">AQ311</f>
        <v>0</v>
      </c>
      <c r="BO311" s="20" t="n">
        <f aca="false">IF(F_Partner=1,IF(BN311&lt;=PR_USCex,0,IF(IF(AND(AG311&gt;=PR_USCredAge,BN311&lt;=PR_USCredMax),1,0)=1,PR_USCr1*MIN(BN311,PR_USCredB1)+PR_USCredR2*MAX(0,BN311-PR_USCredB1),PR_USCr1*MIN(BN311,PR_USCb1)+PR_USCr2*MAX(0,MIN(BN311,PR_USCb2)-PR_USCb1)+PR_USCr3*MAX(0,MIN(BN311,PR_USCb3)-PR_USCb2)+PR_USCr4*MAX(0,BN311-PR_USCb3))),0)</f>
        <v>0</v>
      </c>
      <c r="BP311" s="20" t="n">
        <f aca="false">IF(C311&lt;PR_PRSIend,IF(F_SelfEmp=1,IF(AL311&gt;PR_PRSIsMinInc,MAX(PR_PRSIsMin,AL311*J311),0),IF(AL311/52&lt;=PR_PRSIfree,0,MAX(0,(AL311/52*J311-IF(AL311/52&lt;=PR_PRSIcreditTo,MAX(0,PR_PRSIcreditMax-(AL311/52-(PR_PRSIfree+0.01))/PR_PRSItaper),0))*52)))+J311*AN311+IF(AO311&gt;PR_PRSIunearned,J311*AO311,0),0)</f>
        <v>0</v>
      </c>
      <c r="BQ311" s="20" t="n">
        <f aca="false">IF(AND(F_Partner=1,AG311&lt;PR_PRSIend),IF(AQ311/52&lt;=PR_PRSIfree,0,MAX(0,(AQ311/52*J311-IF(AQ311/52&lt;=PR_PRSIcreditTo,MAX(0,PR_PRSIcreditMax-(AQ311/52-(PR_PRSIfree+0.01))/PR_PRSItaper),0))*52)),0)</f>
        <v>0</v>
      </c>
      <c r="BR311" s="20" t="n">
        <f aca="false">BK311+BM311+BO311+BP311+BQ311</f>
        <v>0</v>
      </c>
      <c r="BS311" s="20" t="n">
        <f aca="false">BR311*H311</f>
        <v>0</v>
      </c>
      <c r="BT311" s="20" t="n">
        <f aca="false">K311+AK311+AC311+AF311+AH311+AI311</f>
        <v>131094.112644128</v>
      </c>
    </row>
    <row r="312" customFormat="false" ht="15" hidden="false" customHeight="true" outlineLevel="0" collapsed="false">
      <c r="B312" s="20" t="n">
        <v>78</v>
      </c>
      <c r="C312" s="20" t="n">
        <f aca="false">F_Age+B312</f>
        <v>116</v>
      </c>
      <c r="D312" s="20" t="n">
        <f aca="false">AS_Year0+B312</f>
        <v>2105</v>
      </c>
      <c r="E312" s="44" t="n">
        <f aca="false">(1+AS_Infl)^B312</f>
        <v>4.68611991166513</v>
      </c>
      <c r="F312" s="44" t="n">
        <f aca="false">(1+AS_Wage)^B312</f>
        <v>10.0300599080311</v>
      </c>
      <c r="G312" s="20" t="n">
        <f aca="false">IF(C312&lt;F_R,1,0)</f>
        <v>0</v>
      </c>
      <c r="H312" s="44" t="n">
        <f aca="false">IF(AS_Bands="flat",1,E312)</f>
        <v>4.68611991166513</v>
      </c>
      <c r="I312" s="44" t="n">
        <f aca="false">IF(AS_SpGrow="pay",F312,IF(AS_SpGrow="flat",1,E312))</f>
        <v>4.68611991166513</v>
      </c>
      <c r="J312" s="44" t="n">
        <f aca="false">(12*PR_PRSIr0+(PR_PRSIr1-PR_PRSIr0)*MAX(0,MIN(12,D312*12+12-PR_PRSIt1))+(PR_PRSIr2-PR_PRSIr1)*MAX(0,MIN(12,D312*12+12-PR_PRSIt2))+(PR_PRSIr3-PR_PRSIr2)*MAX(0,MIN(12,D312*12+12-PR_PRSIt3)))/12</f>
        <v>0.047</v>
      </c>
      <c r="K312" s="20" t="n">
        <f aca="false">IF(G312=1,F_Income*F312,0)</f>
        <v>0</v>
      </c>
      <c r="L312" s="20" t="n">
        <f aca="false">IF(G312=1,(F_Own+In_penExtra)*12*F312,0)</f>
        <v>0</v>
      </c>
      <c r="M312" s="20" t="n">
        <f aca="false">IF(G312=1,(F_PenM+In_penExtra)*12*F312,0)</f>
        <v>0</v>
      </c>
      <c r="N312" s="45" t="n">
        <f aca="false">IF(C312&lt;PR_RelA1,PR_RelP1,IF(C312&lt;PR_RelA2,PR_RelP2,IF(C312&lt;PR_RelA3,PR_RelP3,IF(C312&lt;PR_RelA4,PR_RelP4,IF(C312&lt;PR_RelA5,PR_RelP5,PR_RelP6)))))</f>
        <v>0.4</v>
      </c>
      <c r="O312" s="20" t="n">
        <f aca="false">IF(G312=1,MIN(L312/H312,N312*MIN(K312/H312,PR_EarnCap))*H312,0)</f>
        <v>0</v>
      </c>
      <c r="P312" s="20" t="n">
        <f aca="false">IF(AND(G312=1,F_AE=1),MIN(K312/H312,PR_AEcap)*H312,0)</f>
        <v>0</v>
      </c>
      <c r="Q312" s="20" t="n">
        <f aca="false">IF(G312=1,IF(WI_Retire=1,MAX(0,M312+WI_M*12),M312)+(PR_AEee+PR_AEer+PR_AEst)*P312,0)</f>
        <v>0</v>
      </c>
      <c r="R312" s="20" t="n">
        <f aca="false">L312+PR_AEee*P312</f>
        <v>0</v>
      </c>
      <c r="S312" s="20" t="n">
        <f aca="false">AD311</f>
        <v>0</v>
      </c>
      <c r="T312" s="20" t="n">
        <f aca="false">IF(D312&lt;=PR_SFTfrom,PR_SFT2026,IF(D312=PR_SFTfrom+1,PR_SFT2027,IF(D312=PR_SFTfrom+2,PR_SFT2028,IF(D312&lt;=PR_SFTto,PR_SFT2029,PR_SFT2029*(1+AS_Infl)^(D312-PR_SFTto)))))</f>
        <v>12611626.0598446</v>
      </c>
      <c r="U312" s="20" t="n">
        <f aca="false">IF(AND(G312=0,C312=F_V),1,0)</f>
        <v>0</v>
      </c>
      <c r="V312" s="20" t="n">
        <f aca="false">IF(U312=1,PR_SFTrate*MAX(0,S312-T312),0)</f>
        <v>0</v>
      </c>
      <c r="W312" s="20" t="n">
        <f aca="false">S312-V312</f>
        <v>0</v>
      </c>
      <c r="X312" s="20" t="n">
        <f aca="false">IF(AND(U312=1,AS_LumpPct&gt;0),W312*MIN(AS_LumpPct,PR_LSmax),0)</f>
        <v>0</v>
      </c>
      <c r="Y312" s="20" t="n">
        <f aca="false">X312-(PR_LSrate*MAX(0,MIN(X312,PR_LScap)-PR_LSfree)+PR_r2*MAX(0,X312-PR_LScap))</f>
        <v>0</v>
      </c>
      <c r="Z312" s="20" t="n">
        <f aca="false">W312-X312</f>
        <v>0</v>
      </c>
      <c r="AA312" s="45" t="n">
        <f aca="false">IF(C312&gt;=PR_ARFage1,IF(Z312&gt;PR_ARFbig,PR_ARFbigRate,IF(C312&gt;=PR_ARFage2,PR_ARF71,PR_ARF61)),0)</f>
        <v>0.05</v>
      </c>
      <c r="AB312" s="20" t="n">
        <f aca="false">IF(AS_DrawRule="min",Z312*AA312,IF(AS_DrawRule="fixed",MAX(AS_DrawFixed*E312,Z312*AA312),Z312*MAX(1/MAX(1,AS_End-C312+1),AA312)))</f>
        <v>0</v>
      </c>
      <c r="AC312" s="20" t="n">
        <f aca="false">IF(AND(G312=0,C312&gt;=F_V),MIN(Z312,AB312),0)</f>
        <v>0</v>
      </c>
      <c r="AD312" s="20" t="n">
        <f aca="false">IF(G312=1,S312*(1+F_PenG)+Q312,IF(C312&lt;F_V,S312*(1+F_PenG),(Z312-AC312)*(1+AS_PenRet)))</f>
        <v>0</v>
      </c>
      <c r="AE312" s="20" t="n">
        <f aca="false">IF(C312&gt;=PR_SPage,AS_SP*F_SpF*I312+IF(AND(C312&gt;=PR_Over80Age,F_SpF&gt;0),PR_Over80*PR_Weeks*I312,0),0)</f>
        <v>75369.6782112572</v>
      </c>
      <c r="AF312" s="20" t="n">
        <f aca="false">(F_OtherM+F_RentM)*12*E312</f>
        <v>0</v>
      </c>
      <c r="AG312" s="20" t="n">
        <f aca="false">F_PAge+B312</f>
        <v>115</v>
      </c>
      <c r="AH312" s="20" t="n">
        <f aca="false">IF(AND(F_Partner=1,F_PAge&gt;0,AG312&lt;IF(F_PRet&gt;0,F_PRet,PR_SPage)),F_PIncome*F312,0)</f>
        <v>0</v>
      </c>
      <c r="AI312" s="20" t="n">
        <f aca="false">IF(AND(F_Partner=1,AG312&gt;=PR_SPage,F_PSpQA=0),AS_SP*F_PSpF*I312,0)</f>
        <v>58346.3166857531</v>
      </c>
      <c r="AJ312" s="20" t="n">
        <f aca="false">IF(AND(F_Partner=1,F_PSpQA=1,C312&gt;=PR_SPage,AH312=0),IF(AG312&gt;=PR_SPage,PR_QA66,PR_QAunder)*PR_Weeks*I312,0)</f>
        <v>0</v>
      </c>
      <c r="AK312" s="20" t="n">
        <f aca="false">AE312+AJ312</f>
        <v>75369.6782112572</v>
      </c>
      <c r="AL312" s="20" t="n">
        <f aca="false">K312/H312</f>
        <v>0</v>
      </c>
      <c r="AM312" s="20" t="n">
        <f aca="false">AK312/H312</f>
        <v>16083.6</v>
      </c>
      <c r="AN312" s="20" t="n">
        <f aca="false">AC312/H312</f>
        <v>0</v>
      </c>
      <c r="AO312" s="20" t="n">
        <f aca="false">AF312/H312</f>
        <v>0</v>
      </c>
      <c r="AP312" s="20" t="n">
        <f aca="false">O312/H312</f>
        <v>0</v>
      </c>
      <c r="AQ312" s="20" t="n">
        <f aca="false">AH312/H312</f>
        <v>0</v>
      </c>
      <c r="AR312" s="20" t="n">
        <f aca="false">AI312/H312</f>
        <v>12450.88</v>
      </c>
      <c r="AS312" s="20" t="n">
        <f aca="false">MAX(0,AL312+AN312+AO312+AM312-AP312)</f>
        <v>16083.6</v>
      </c>
      <c r="AT312" s="20" t="n">
        <f aca="false">MAX(0,AQ312+AR312)</f>
        <v>12450.88</v>
      </c>
      <c r="AU312" s="20" t="n">
        <f aca="false">MIN(PR_PAYE,PR_PAYEcap*(AL312+AN312+AM312))</f>
        <v>2000</v>
      </c>
      <c r="AV312" s="20" t="n">
        <f aca="false">MIN(PR_PAYE,PR_PAYEcap*(AQ312+AR312))</f>
        <v>2000</v>
      </c>
      <c r="AW312" s="20" t="n">
        <f aca="false">IF(C312&gt;=PR_AgeCrAge,PR_AgeCr,0)</f>
        <v>245</v>
      </c>
      <c r="AX312" s="20" t="n">
        <f aca="false">IF(AG312&gt;=PR_AgeCrAge,PR_AgeCr,0)</f>
        <v>245</v>
      </c>
      <c r="AY312" s="20" t="n">
        <f aca="false">IF(AND(F_RentCred=1,D312&lt;=PR_RentLast),1,0)</f>
        <v>0</v>
      </c>
      <c r="AZ312" s="20" t="n">
        <f aca="false">AS312+AT312</f>
        <v>28534.48</v>
      </c>
      <c r="BA312" s="20" t="n">
        <f aca="false">PR_PersonalM+AU312+AV312+AW312+AX312+IF(AY312=1,PR_RentJoint,0)</f>
        <v>8490</v>
      </c>
      <c r="BB312" s="20" t="n">
        <f aca="false">PR_BandM+MIN(MIN(AS312,AT312),PR_Uplift)</f>
        <v>65450.88</v>
      </c>
      <c r="BC312" s="20" t="n">
        <f aca="false">MAX(0,PR_r1*MIN(AZ312,BB312)+PR_r2*MAX(0,AZ312-BB312)-BA312)</f>
        <v>0</v>
      </c>
      <c r="BD312" s="20" t="n">
        <f aca="false">MAX(0,PR_HomeCarer-MAX(0,MIN(AS312,AT312)-PR_HCLimit)/2)</f>
        <v>0</v>
      </c>
      <c r="BE312" s="20" t="n">
        <f aca="false">IF(F_Carer=1,MIN(BC312,MAX(0,PR_r1*MIN(AZ312,PR_BandM)+PR_r2*MAX(0,AZ312-PR_BandM)-BA312-BD312)),BC312)</f>
        <v>0</v>
      </c>
      <c r="BF312" s="20" t="n">
        <f aca="false">IF(OR(C312&gt;=PR_AgeCrAge,AG312&gt;=PR_AgeCrAge),IF(AZ312&lt;=PR_AgeExM,0,MIN(BE312,PR_AgeMarg*(AZ312-PR_AgeExM))),BE312)</f>
        <v>0</v>
      </c>
      <c r="BG312" s="20" t="n">
        <f aca="false">MAX(0,PR_r1*MIN(AS312,IF(F_Spccc=1,PR_BandSPCCC,PR_Band))+PR_r2*MAX(0,AS312-IF(F_Spccc=1,PR_BandSPCCC,PR_Band))-(PR_Personal+AU312+AW312+IF(F_Spccc=1,PR_SPCCC,0)+IF(AY312=1,PR_Rent,0)))</f>
        <v>0</v>
      </c>
      <c r="BH312" s="20" t="n">
        <f aca="false">IF(C312&gt;=PR_AgeCrAge,IF(AS312&lt;=PR_AgeEx,0,MIN(BG312,PR_AgeMarg*(AS312-PR_AgeEx))),BG312)</f>
        <v>0</v>
      </c>
      <c r="BI312" s="20" t="n">
        <f aca="false">IF(F_Partner=1,MAX(0,PR_r1*MIN(AT312,PR_Band)+PR_r2*MAX(0,AT312-PR_Band)-(PR_Personal+AV312+AX312+IF(AND(AY312=1,AT312&gt;0),PR_Rent,0))),0)</f>
        <v>0</v>
      </c>
      <c r="BJ312" s="20" t="n">
        <f aca="false">IF(AG312&gt;=PR_AgeCrAge,IF(AT312&lt;=PR_AgeEx,0,MIN(BI312,PR_AgeMarg*(AT312-PR_AgeEx))),BI312)</f>
        <v>0</v>
      </c>
      <c r="BK312" s="20" t="n">
        <f aca="false">IF(F_Partner=1,IF(F_Married=1,BF312,BH312+BJ312),BH312)</f>
        <v>0</v>
      </c>
      <c r="BL312" s="20" t="n">
        <f aca="false">AL312+AN312+AO312</f>
        <v>0</v>
      </c>
      <c r="BM312" s="20" t="n">
        <f aca="false">IF(BL312&lt;=PR_USCex,0,IF(IF(AND(C312&gt;=PR_USCredAge,BL312&lt;=PR_USCredMax),1,0)=1,PR_USCr1*MIN(BL312,PR_USCredB1)+PR_USCredR2*MAX(0,BL312-PR_USCredB1),PR_USCr1*MIN(BL312,PR_USCb1)+PR_USCr2*MAX(0,MIN(BL312,PR_USCb2)-PR_USCb1)+PR_USCr3*MAX(0,MIN(BL312,PR_USCb3)-PR_USCb2)+PR_USCr4*MAX(0,BL312-PR_USCb3)))+IF(F_SelfEmp=1,PR_USCse*MAX(0,AL312-PR_USCseOver),0)</f>
        <v>0</v>
      </c>
      <c r="BN312" s="20" t="n">
        <f aca="false">AQ312</f>
        <v>0</v>
      </c>
      <c r="BO312" s="20" t="n">
        <f aca="false">IF(F_Partner=1,IF(BN312&lt;=PR_USCex,0,IF(IF(AND(AG312&gt;=PR_USCredAge,BN312&lt;=PR_USCredMax),1,0)=1,PR_USCr1*MIN(BN312,PR_USCredB1)+PR_USCredR2*MAX(0,BN312-PR_USCredB1),PR_USCr1*MIN(BN312,PR_USCb1)+PR_USCr2*MAX(0,MIN(BN312,PR_USCb2)-PR_USCb1)+PR_USCr3*MAX(0,MIN(BN312,PR_USCb3)-PR_USCb2)+PR_USCr4*MAX(0,BN312-PR_USCb3))),0)</f>
        <v>0</v>
      </c>
      <c r="BP312" s="20" t="n">
        <f aca="false">IF(C312&lt;PR_PRSIend,IF(F_SelfEmp=1,IF(AL312&gt;PR_PRSIsMinInc,MAX(PR_PRSIsMin,AL312*J312),0),IF(AL312/52&lt;=PR_PRSIfree,0,MAX(0,(AL312/52*J312-IF(AL312/52&lt;=PR_PRSIcreditTo,MAX(0,PR_PRSIcreditMax-(AL312/52-(PR_PRSIfree+0.01))/PR_PRSItaper),0))*52)))+J312*AN312+IF(AO312&gt;PR_PRSIunearned,J312*AO312,0),0)</f>
        <v>0</v>
      </c>
      <c r="BQ312" s="20" t="n">
        <f aca="false">IF(AND(F_Partner=1,AG312&lt;PR_PRSIend),IF(AQ312/52&lt;=PR_PRSIfree,0,MAX(0,(AQ312/52*J312-IF(AQ312/52&lt;=PR_PRSIcreditTo,MAX(0,PR_PRSIcreditMax-(AQ312/52-(PR_PRSIfree+0.01))/PR_PRSItaper),0))*52)),0)</f>
        <v>0</v>
      </c>
      <c r="BR312" s="20" t="n">
        <f aca="false">BK312+BM312+BO312+BP312+BQ312</f>
        <v>0</v>
      </c>
      <c r="BS312" s="20" t="n">
        <f aca="false">BR312*H312</f>
        <v>0</v>
      </c>
      <c r="BT312" s="20" t="n">
        <f aca="false">K312+AK312+AC312+AF312+AH312+AI312</f>
        <v>133715.99489701</v>
      </c>
    </row>
    <row r="313" customFormat="false" ht="15" hidden="false" customHeight="true" outlineLevel="0" collapsed="false">
      <c r="B313" s="20" t="n">
        <v>79</v>
      </c>
      <c r="C313" s="20" t="n">
        <f aca="false">F_Age+B313</f>
        <v>117</v>
      </c>
      <c r="D313" s="20" t="n">
        <f aca="false">AS_Year0+B313</f>
        <v>2106</v>
      </c>
      <c r="E313" s="44" t="n">
        <f aca="false">(1+AS_Infl)^B313</f>
        <v>4.77984230989843</v>
      </c>
      <c r="F313" s="44" t="n">
        <f aca="false">(1+AS_Wage)^B313</f>
        <v>10.3309617052721</v>
      </c>
      <c r="G313" s="20" t="n">
        <f aca="false">IF(C313&lt;F_R,1,0)</f>
        <v>0</v>
      </c>
      <c r="H313" s="44" t="n">
        <f aca="false">IF(AS_Bands="flat",1,E313)</f>
        <v>4.77984230989843</v>
      </c>
      <c r="I313" s="44" t="n">
        <f aca="false">IF(AS_SpGrow="pay",F313,IF(AS_SpGrow="flat",1,E313))</f>
        <v>4.77984230989843</v>
      </c>
      <c r="J313" s="44" t="n">
        <f aca="false">(12*PR_PRSIr0+(PR_PRSIr1-PR_PRSIr0)*MAX(0,MIN(12,D313*12+12-PR_PRSIt1))+(PR_PRSIr2-PR_PRSIr1)*MAX(0,MIN(12,D313*12+12-PR_PRSIt2))+(PR_PRSIr3-PR_PRSIr2)*MAX(0,MIN(12,D313*12+12-PR_PRSIt3)))/12</f>
        <v>0.047</v>
      </c>
      <c r="K313" s="20" t="n">
        <f aca="false">IF(G313=1,F_Income*F313,0)</f>
        <v>0</v>
      </c>
      <c r="L313" s="20" t="n">
        <f aca="false">IF(G313=1,(F_Own+In_penExtra)*12*F313,0)</f>
        <v>0</v>
      </c>
      <c r="M313" s="20" t="n">
        <f aca="false">IF(G313=1,(F_PenM+In_penExtra)*12*F313,0)</f>
        <v>0</v>
      </c>
      <c r="N313" s="45" t="n">
        <f aca="false">IF(C313&lt;PR_RelA1,PR_RelP1,IF(C313&lt;PR_RelA2,PR_RelP2,IF(C313&lt;PR_RelA3,PR_RelP3,IF(C313&lt;PR_RelA4,PR_RelP4,IF(C313&lt;PR_RelA5,PR_RelP5,PR_RelP6)))))</f>
        <v>0.4</v>
      </c>
      <c r="O313" s="20" t="n">
        <f aca="false">IF(G313=1,MIN(L313/H313,N313*MIN(K313/H313,PR_EarnCap))*H313,0)</f>
        <v>0</v>
      </c>
      <c r="P313" s="20" t="n">
        <f aca="false">IF(AND(G313=1,F_AE=1),MIN(K313/H313,PR_AEcap)*H313,0)</f>
        <v>0</v>
      </c>
      <c r="Q313" s="20" t="n">
        <f aca="false">IF(G313=1,IF(WI_Retire=1,MAX(0,M313+WI_M*12),M313)+(PR_AEee+PR_AEer+PR_AEst)*P313,0)</f>
        <v>0</v>
      </c>
      <c r="R313" s="20" t="n">
        <f aca="false">L313+PR_AEee*P313</f>
        <v>0</v>
      </c>
      <c r="S313" s="20" t="n">
        <f aca="false">AD312</f>
        <v>0</v>
      </c>
      <c r="T313" s="20" t="n">
        <f aca="false">IF(D313&lt;=PR_SFTfrom,PR_SFT2026,IF(D313=PR_SFTfrom+1,PR_SFT2027,IF(D313=PR_SFTfrom+2,PR_SFT2028,IF(D313&lt;=PR_SFTto,PR_SFT2029,PR_SFT2029*(1+AS_Infl)^(D313-PR_SFTto)))))</f>
        <v>12863858.5810415</v>
      </c>
      <c r="U313" s="20" t="n">
        <f aca="false">IF(AND(G313=0,C313=F_V),1,0)</f>
        <v>0</v>
      </c>
      <c r="V313" s="20" t="n">
        <f aca="false">IF(U313=1,PR_SFTrate*MAX(0,S313-T313),0)</f>
        <v>0</v>
      </c>
      <c r="W313" s="20" t="n">
        <f aca="false">S313-V313</f>
        <v>0</v>
      </c>
      <c r="X313" s="20" t="n">
        <f aca="false">IF(AND(U313=1,AS_LumpPct&gt;0),W313*MIN(AS_LumpPct,PR_LSmax),0)</f>
        <v>0</v>
      </c>
      <c r="Y313" s="20" t="n">
        <f aca="false">X313-(PR_LSrate*MAX(0,MIN(X313,PR_LScap)-PR_LSfree)+PR_r2*MAX(0,X313-PR_LScap))</f>
        <v>0</v>
      </c>
      <c r="Z313" s="20" t="n">
        <f aca="false">W313-X313</f>
        <v>0</v>
      </c>
      <c r="AA313" s="45" t="n">
        <f aca="false">IF(C313&gt;=PR_ARFage1,IF(Z313&gt;PR_ARFbig,PR_ARFbigRate,IF(C313&gt;=PR_ARFage2,PR_ARF71,PR_ARF61)),0)</f>
        <v>0.05</v>
      </c>
      <c r="AB313" s="20" t="n">
        <f aca="false">IF(AS_DrawRule="min",Z313*AA313,IF(AS_DrawRule="fixed",MAX(AS_DrawFixed*E313,Z313*AA313),Z313*MAX(1/MAX(1,AS_End-C313+1),AA313)))</f>
        <v>0</v>
      </c>
      <c r="AC313" s="20" t="n">
        <f aca="false">IF(AND(G313=0,C313&gt;=F_V),MIN(Z313,AB313),0)</f>
        <v>0</v>
      </c>
      <c r="AD313" s="20" t="n">
        <f aca="false">IF(G313=1,S313*(1+F_PenG)+Q313,IF(C313&lt;F_V,S313*(1+F_PenG),(Z313-AC313)*(1+AS_PenRet)))</f>
        <v>0</v>
      </c>
      <c r="AE313" s="20" t="n">
        <f aca="false">IF(C313&gt;=PR_SPage,AS_SP*F_SpF*I313+IF(AND(C313&gt;=PR_Over80Age,F_SpF&gt;0),PR_Over80*PR_Weeks*I313,0),0)</f>
        <v>76877.0717754824</v>
      </c>
      <c r="AF313" s="20" t="n">
        <f aca="false">(F_OtherM+F_RentM)*12*E313</f>
        <v>0</v>
      </c>
      <c r="AG313" s="20" t="n">
        <f aca="false">F_PAge+B313</f>
        <v>116</v>
      </c>
      <c r="AH313" s="20" t="n">
        <f aca="false">IF(AND(F_Partner=1,F_PAge&gt;0,AG313&lt;IF(F_PRet&gt;0,F_PRet,PR_SPage)),F_PIncome*F313,0)</f>
        <v>0</v>
      </c>
      <c r="AI313" s="20" t="n">
        <f aca="false">IF(AND(F_Partner=1,AG313&gt;=PR_SPage,F_PSpQA=0),AS_SP*F_PSpF*I313,0)</f>
        <v>59513.2430194681</v>
      </c>
      <c r="AJ313" s="20" t="n">
        <f aca="false">IF(AND(F_Partner=1,F_PSpQA=1,C313&gt;=PR_SPage,AH313=0),IF(AG313&gt;=PR_SPage,PR_QA66,PR_QAunder)*PR_Weeks*I313,0)</f>
        <v>0</v>
      </c>
      <c r="AK313" s="20" t="n">
        <f aca="false">AE313+AJ313</f>
        <v>76877.0717754824</v>
      </c>
      <c r="AL313" s="20" t="n">
        <f aca="false">K313/H313</f>
        <v>0</v>
      </c>
      <c r="AM313" s="20" t="n">
        <f aca="false">AK313/H313</f>
        <v>16083.6</v>
      </c>
      <c r="AN313" s="20" t="n">
        <f aca="false">AC313/H313</f>
        <v>0</v>
      </c>
      <c r="AO313" s="20" t="n">
        <f aca="false">AF313/H313</f>
        <v>0</v>
      </c>
      <c r="AP313" s="20" t="n">
        <f aca="false">O313/H313</f>
        <v>0</v>
      </c>
      <c r="AQ313" s="20" t="n">
        <f aca="false">AH313/H313</f>
        <v>0</v>
      </c>
      <c r="AR313" s="20" t="n">
        <f aca="false">AI313/H313</f>
        <v>12450.88</v>
      </c>
      <c r="AS313" s="20" t="n">
        <f aca="false">MAX(0,AL313+AN313+AO313+AM313-AP313)</f>
        <v>16083.6</v>
      </c>
      <c r="AT313" s="20" t="n">
        <f aca="false">MAX(0,AQ313+AR313)</f>
        <v>12450.88</v>
      </c>
      <c r="AU313" s="20" t="n">
        <f aca="false">MIN(PR_PAYE,PR_PAYEcap*(AL313+AN313+AM313))</f>
        <v>2000</v>
      </c>
      <c r="AV313" s="20" t="n">
        <f aca="false">MIN(PR_PAYE,PR_PAYEcap*(AQ313+AR313))</f>
        <v>2000</v>
      </c>
      <c r="AW313" s="20" t="n">
        <f aca="false">IF(C313&gt;=PR_AgeCrAge,PR_AgeCr,0)</f>
        <v>245</v>
      </c>
      <c r="AX313" s="20" t="n">
        <f aca="false">IF(AG313&gt;=PR_AgeCrAge,PR_AgeCr,0)</f>
        <v>245</v>
      </c>
      <c r="AY313" s="20" t="n">
        <f aca="false">IF(AND(F_RentCred=1,D313&lt;=PR_RentLast),1,0)</f>
        <v>0</v>
      </c>
      <c r="AZ313" s="20" t="n">
        <f aca="false">AS313+AT313</f>
        <v>28534.48</v>
      </c>
      <c r="BA313" s="20" t="n">
        <f aca="false">PR_PersonalM+AU313+AV313+AW313+AX313+IF(AY313=1,PR_RentJoint,0)</f>
        <v>8490</v>
      </c>
      <c r="BB313" s="20" t="n">
        <f aca="false">PR_BandM+MIN(MIN(AS313,AT313),PR_Uplift)</f>
        <v>65450.88</v>
      </c>
      <c r="BC313" s="20" t="n">
        <f aca="false">MAX(0,PR_r1*MIN(AZ313,BB313)+PR_r2*MAX(0,AZ313-BB313)-BA313)</f>
        <v>0</v>
      </c>
      <c r="BD313" s="20" t="n">
        <f aca="false">MAX(0,PR_HomeCarer-MAX(0,MIN(AS313,AT313)-PR_HCLimit)/2)</f>
        <v>0</v>
      </c>
      <c r="BE313" s="20" t="n">
        <f aca="false">IF(F_Carer=1,MIN(BC313,MAX(0,PR_r1*MIN(AZ313,PR_BandM)+PR_r2*MAX(0,AZ313-PR_BandM)-BA313-BD313)),BC313)</f>
        <v>0</v>
      </c>
      <c r="BF313" s="20" t="n">
        <f aca="false">IF(OR(C313&gt;=PR_AgeCrAge,AG313&gt;=PR_AgeCrAge),IF(AZ313&lt;=PR_AgeExM,0,MIN(BE313,PR_AgeMarg*(AZ313-PR_AgeExM))),BE313)</f>
        <v>0</v>
      </c>
      <c r="BG313" s="20" t="n">
        <f aca="false">MAX(0,PR_r1*MIN(AS313,IF(F_Spccc=1,PR_BandSPCCC,PR_Band))+PR_r2*MAX(0,AS313-IF(F_Spccc=1,PR_BandSPCCC,PR_Band))-(PR_Personal+AU313+AW313+IF(F_Spccc=1,PR_SPCCC,0)+IF(AY313=1,PR_Rent,0)))</f>
        <v>0</v>
      </c>
      <c r="BH313" s="20" t="n">
        <f aca="false">IF(C313&gt;=PR_AgeCrAge,IF(AS313&lt;=PR_AgeEx,0,MIN(BG313,PR_AgeMarg*(AS313-PR_AgeEx))),BG313)</f>
        <v>0</v>
      </c>
      <c r="BI313" s="20" t="n">
        <f aca="false">IF(F_Partner=1,MAX(0,PR_r1*MIN(AT313,PR_Band)+PR_r2*MAX(0,AT313-PR_Band)-(PR_Personal+AV313+AX313+IF(AND(AY313=1,AT313&gt;0),PR_Rent,0))),0)</f>
        <v>0</v>
      </c>
      <c r="BJ313" s="20" t="n">
        <f aca="false">IF(AG313&gt;=PR_AgeCrAge,IF(AT313&lt;=PR_AgeEx,0,MIN(BI313,PR_AgeMarg*(AT313-PR_AgeEx))),BI313)</f>
        <v>0</v>
      </c>
      <c r="BK313" s="20" t="n">
        <f aca="false">IF(F_Partner=1,IF(F_Married=1,BF313,BH313+BJ313),BH313)</f>
        <v>0</v>
      </c>
      <c r="BL313" s="20" t="n">
        <f aca="false">AL313+AN313+AO313</f>
        <v>0</v>
      </c>
      <c r="BM313" s="20" t="n">
        <f aca="false">IF(BL313&lt;=PR_USCex,0,IF(IF(AND(C313&gt;=PR_USCredAge,BL313&lt;=PR_USCredMax),1,0)=1,PR_USCr1*MIN(BL313,PR_USCredB1)+PR_USCredR2*MAX(0,BL313-PR_USCredB1),PR_USCr1*MIN(BL313,PR_USCb1)+PR_USCr2*MAX(0,MIN(BL313,PR_USCb2)-PR_USCb1)+PR_USCr3*MAX(0,MIN(BL313,PR_USCb3)-PR_USCb2)+PR_USCr4*MAX(0,BL313-PR_USCb3)))+IF(F_SelfEmp=1,PR_USCse*MAX(0,AL313-PR_USCseOver),0)</f>
        <v>0</v>
      </c>
      <c r="BN313" s="20" t="n">
        <f aca="false">AQ313</f>
        <v>0</v>
      </c>
      <c r="BO313" s="20" t="n">
        <f aca="false">IF(F_Partner=1,IF(BN313&lt;=PR_USCex,0,IF(IF(AND(AG313&gt;=PR_USCredAge,BN313&lt;=PR_USCredMax),1,0)=1,PR_USCr1*MIN(BN313,PR_USCredB1)+PR_USCredR2*MAX(0,BN313-PR_USCredB1),PR_USCr1*MIN(BN313,PR_USCb1)+PR_USCr2*MAX(0,MIN(BN313,PR_USCb2)-PR_USCb1)+PR_USCr3*MAX(0,MIN(BN313,PR_USCb3)-PR_USCb2)+PR_USCr4*MAX(0,BN313-PR_USCb3))),0)</f>
        <v>0</v>
      </c>
      <c r="BP313" s="20" t="n">
        <f aca="false">IF(C313&lt;PR_PRSIend,IF(F_SelfEmp=1,IF(AL313&gt;PR_PRSIsMinInc,MAX(PR_PRSIsMin,AL313*J313),0),IF(AL313/52&lt;=PR_PRSIfree,0,MAX(0,(AL313/52*J313-IF(AL313/52&lt;=PR_PRSIcreditTo,MAX(0,PR_PRSIcreditMax-(AL313/52-(PR_PRSIfree+0.01))/PR_PRSItaper),0))*52)))+J313*AN313+IF(AO313&gt;PR_PRSIunearned,J313*AO313,0),0)</f>
        <v>0</v>
      </c>
      <c r="BQ313" s="20" t="n">
        <f aca="false">IF(AND(F_Partner=1,AG313&lt;PR_PRSIend),IF(AQ313/52&lt;=PR_PRSIfree,0,MAX(0,(AQ313/52*J313-IF(AQ313/52&lt;=PR_PRSIcreditTo,MAX(0,PR_PRSIcreditMax-(AQ313/52-(PR_PRSIfree+0.01))/PR_PRSItaper),0))*52)),0)</f>
        <v>0</v>
      </c>
      <c r="BR313" s="20" t="n">
        <f aca="false">BK313+BM313+BO313+BP313+BQ313</f>
        <v>0</v>
      </c>
      <c r="BS313" s="20" t="n">
        <f aca="false">BR313*H313</f>
        <v>0</v>
      </c>
      <c r="BT313" s="20" t="n">
        <f aca="false">K313+AK313+AC313+AF313+AH313+AI313</f>
        <v>136390.31479495</v>
      </c>
    </row>
    <row r="314" customFormat="false" ht="15" hidden="false" customHeight="true" outlineLevel="0" collapsed="false">
      <c r="B314" s="20" t="n">
        <v>80</v>
      </c>
      <c r="C314" s="20" t="n">
        <f aca="false">F_Age+B314</f>
        <v>118</v>
      </c>
      <c r="D314" s="20" t="n">
        <f aca="false">AS_Year0+B314</f>
        <v>2107</v>
      </c>
      <c r="E314" s="44" t="n">
        <f aca="false">(1+AS_Infl)^B314</f>
        <v>4.8754391560964</v>
      </c>
      <c r="F314" s="44" t="n">
        <f aca="false">(1+AS_Wage)^B314</f>
        <v>10.6408905564302</v>
      </c>
      <c r="G314" s="20" t="n">
        <f aca="false">IF(C314&lt;F_R,1,0)</f>
        <v>0</v>
      </c>
      <c r="H314" s="44" t="n">
        <f aca="false">IF(AS_Bands="flat",1,E314)</f>
        <v>4.8754391560964</v>
      </c>
      <c r="I314" s="44" t="n">
        <f aca="false">IF(AS_SpGrow="pay",F314,IF(AS_SpGrow="flat",1,E314))</f>
        <v>4.8754391560964</v>
      </c>
      <c r="J314" s="44" t="n">
        <f aca="false">(12*PR_PRSIr0+(PR_PRSIr1-PR_PRSIr0)*MAX(0,MIN(12,D314*12+12-PR_PRSIt1))+(PR_PRSIr2-PR_PRSIr1)*MAX(0,MIN(12,D314*12+12-PR_PRSIt2))+(PR_PRSIr3-PR_PRSIr2)*MAX(0,MIN(12,D314*12+12-PR_PRSIt3)))/12</f>
        <v>0.047</v>
      </c>
      <c r="K314" s="20" t="n">
        <f aca="false">IF(G314=1,F_Income*F314,0)</f>
        <v>0</v>
      </c>
      <c r="L314" s="20" t="n">
        <f aca="false">IF(G314=1,(F_Own+In_penExtra)*12*F314,0)</f>
        <v>0</v>
      </c>
      <c r="M314" s="20" t="n">
        <f aca="false">IF(G314=1,(F_PenM+In_penExtra)*12*F314,0)</f>
        <v>0</v>
      </c>
      <c r="N314" s="45" t="n">
        <f aca="false">IF(C314&lt;PR_RelA1,PR_RelP1,IF(C314&lt;PR_RelA2,PR_RelP2,IF(C314&lt;PR_RelA3,PR_RelP3,IF(C314&lt;PR_RelA4,PR_RelP4,IF(C314&lt;PR_RelA5,PR_RelP5,PR_RelP6)))))</f>
        <v>0.4</v>
      </c>
      <c r="O314" s="20" t="n">
        <f aca="false">IF(G314=1,MIN(L314/H314,N314*MIN(K314/H314,PR_EarnCap))*H314,0)</f>
        <v>0</v>
      </c>
      <c r="P314" s="20" t="n">
        <f aca="false">IF(AND(G314=1,F_AE=1),MIN(K314/H314,PR_AEcap)*H314,0)</f>
        <v>0</v>
      </c>
      <c r="Q314" s="20" t="n">
        <f aca="false">IF(G314=1,IF(WI_Retire=1,MAX(0,M314+WI_M*12),M314)+(PR_AEee+PR_AEer+PR_AEst)*P314,0)</f>
        <v>0</v>
      </c>
      <c r="R314" s="20" t="n">
        <f aca="false">L314+PR_AEee*P314</f>
        <v>0</v>
      </c>
      <c r="S314" s="20" t="n">
        <f aca="false">AD313</f>
        <v>0</v>
      </c>
      <c r="T314" s="20" t="n">
        <f aca="false">IF(D314&lt;=PR_SFTfrom,PR_SFT2026,IF(D314=PR_SFTfrom+1,PR_SFT2027,IF(D314=PR_SFTfrom+2,PR_SFT2028,IF(D314&lt;=PR_SFTto,PR_SFT2029,PR_SFT2029*(1+AS_Infl)^(D314-PR_SFTto)))))</f>
        <v>13121135.7526624</v>
      </c>
      <c r="U314" s="20" t="n">
        <f aca="false">IF(AND(G314=0,C314=F_V),1,0)</f>
        <v>0</v>
      </c>
      <c r="V314" s="20" t="n">
        <f aca="false">IF(U314=1,PR_SFTrate*MAX(0,S314-T314),0)</f>
        <v>0</v>
      </c>
      <c r="W314" s="20" t="n">
        <f aca="false">S314-V314</f>
        <v>0</v>
      </c>
      <c r="X314" s="20" t="n">
        <f aca="false">IF(AND(U314=1,AS_LumpPct&gt;0),W314*MIN(AS_LumpPct,PR_LSmax),0)</f>
        <v>0</v>
      </c>
      <c r="Y314" s="20" t="n">
        <f aca="false">X314-(PR_LSrate*MAX(0,MIN(X314,PR_LScap)-PR_LSfree)+PR_r2*MAX(0,X314-PR_LScap))</f>
        <v>0</v>
      </c>
      <c r="Z314" s="20" t="n">
        <f aca="false">W314-X314</f>
        <v>0</v>
      </c>
      <c r="AA314" s="45" t="n">
        <f aca="false">IF(C314&gt;=PR_ARFage1,IF(Z314&gt;PR_ARFbig,PR_ARFbigRate,IF(C314&gt;=PR_ARFage2,PR_ARF71,PR_ARF61)),0)</f>
        <v>0.05</v>
      </c>
      <c r="AB314" s="20" t="n">
        <f aca="false">IF(AS_DrawRule="min",Z314*AA314,IF(AS_DrawRule="fixed",MAX(AS_DrawFixed*E314,Z314*AA314),Z314*MAX(1/MAX(1,AS_End-C314+1),AA314)))</f>
        <v>0</v>
      </c>
      <c r="AC314" s="20" t="n">
        <f aca="false">IF(AND(G314=0,C314&gt;=F_V),MIN(Z314,AB314),0)</f>
        <v>0</v>
      </c>
      <c r="AD314" s="20" t="n">
        <f aca="false">IF(G314=1,S314*(1+F_PenG)+Q314,IF(C314&lt;F_V,S314*(1+F_PenG),(Z314-AC314)*(1+AS_PenRet)))</f>
        <v>0</v>
      </c>
      <c r="AE314" s="20" t="n">
        <f aca="false">IF(C314&gt;=PR_SPage,AS_SP*F_SpF*I314+IF(AND(C314&gt;=PR_Over80Age,F_SpF&gt;0),PR_Over80*PR_Weeks*I314,0),0)</f>
        <v>78414.613210992</v>
      </c>
      <c r="AF314" s="20" t="n">
        <f aca="false">(F_OtherM+F_RentM)*12*E314</f>
        <v>0</v>
      </c>
      <c r="AG314" s="20" t="n">
        <f aca="false">F_PAge+B314</f>
        <v>117</v>
      </c>
      <c r="AH314" s="20" t="n">
        <f aca="false">IF(AND(F_Partner=1,F_PAge&gt;0,AG314&lt;IF(F_PRet&gt;0,F_PRet,PR_SPage)),F_PIncome*F314,0)</f>
        <v>0</v>
      </c>
      <c r="AI314" s="20" t="n">
        <f aca="false">IF(AND(F_Partner=1,AG314&gt;=PR_SPage,F_PSpQA=0),AS_SP*F_PSpF*I314,0)</f>
        <v>60703.5078798575</v>
      </c>
      <c r="AJ314" s="20" t="n">
        <f aca="false">IF(AND(F_Partner=1,F_PSpQA=1,C314&gt;=PR_SPage,AH314=0),IF(AG314&gt;=PR_SPage,PR_QA66,PR_QAunder)*PR_Weeks*I314,0)</f>
        <v>0</v>
      </c>
      <c r="AK314" s="20" t="n">
        <f aca="false">AE314+AJ314</f>
        <v>78414.613210992</v>
      </c>
      <c r="AL314" s="20" t="n">
        <f aca="false">K314/H314</f>
        <v>0</v>
      </c>
      <c r="AM314" s="20" t="n">
        <f aca="false">AK314/H314</f>
        <v>16083.6</v>
      </c>
      <c r="AN314" s="20" t="n">
        <f aca="false">AC314/H314</f>
        <v>0</v>
      </c>
      <c r="AO314" s="20" t="n">
        <f aca="false">AF314/H314</f>
        <v>0</v>
      </c>
      <c r="AP314" s="20" t="n">
        <f aca="false">O314/H314</f>
        <v>0</v>
      </c>
      <c r="AQ314" s="20" t="n">
        <f aca="false">AH314/H314</f>
        <v>0</v>
      </c>
      <c r="AR314" s="20" t="n">
        <f aca="false">AI314/H314</f>
        <v>12450.88</v>
      </c>
      <c r="AS314" s="20" t="n">
        <f aca="false">MAX(0,AL314+AN314+AO314+AM314-AP314)</f>
        <v>16083.6</v>
      </c>
      <c r="AT314" s="20" t="n">
        <f aca="false">MAX(0,AQ314+AR314)</f>
        <v>12450.88</v>
      </c>
      <c r="AU314" s="20" t="n">
        <f aca="false">MIN(PR_PAYE,PR_PAYEcap*(AL314+AN314+AM314))</f>
        <v>2000</v>
      </c>
      <c r="AV314" s="20" t="n">
        <f aca="false">MIN(PR_PAYE,PR_PAYEcap*(AQ314+AR314))</f>
        <v>2000</v>
      </c>
      <c r="AW314" s="20" t="n">
        <f aca="false">IF(C314&gt;=PR_AgeCrAge,PR_AgeCr,0)</f>
        <v>245</v>
      </c>
      <c r="AX314" s="20" t="n">
        <f aca="false">IF(AG314&gt;=PR_AgeCrAge,PR_AgeCr,0)</f>
        <v>245</v>
      </c>
      <c r="AY314" s="20" t="n">
        <f aca="false">IF(AND(F_RentCred=1,D314&lt;=PR_RentLast),1,0)</f>
        <v>0</v>
      </c>
      <c r="AZ314" s="20" t="n">
        <f aca="false">AS314+AT314</f>
        <v>28534.48</v>
      </c>
      <c r="BA314" s="20" t="n">
        <f aca="false">PR_PersonalM+AU314+AV314+AW314+AX314+IF(AY314=1,PR_RentJoint,0)</f>
        <v>8490</v>
      </c>
      <c r="BB314" s="20" t="n">
        <f aca="false">PR_BandM+MIN(MIN(AS314,AT314),PR_Uplift)</f>
        <v>65450.88</v>
      </c>
      <c r="BC314" s="20" t="n">
        <f aca="false">MAX(0,PR_r1*MIN(AZ314,BB314)+PR_r2*MAX(0,AZ314-BB314)-BA314)</f>
        <v>0</v>
      </c>
      <c r="BD314" s="20" t="n">
        <f aca="false">MAX(0,PR_HomeCarer-MAX(0,MIN(AS314,AT314)-PR_HCLimit)/2)</f>
        <v>0</v>
      </c>
      <c r="BE314" s="20" t="n">
        <f aca="false">IF(F_Carer=1,MIN(BC314,MAX(0,PR_r1*MIN(AZ314,PR_BandM)+PR_r2*MAX(0,AZ314-PR_BandM)-BA314-BD314)),BC314)</f>
        <v>0</v>
      </c>
      <c r="BF314" s="20" t="n">
        <f aca="false">IF(OR(C314&gt;=PR_AgeCrAge,AG314&gt;=PR_AgeCrAge),IF(AZ314&lt;=PR_AgeExM,0,MIN(BE314,PR_AgeMarg*(AZ314-PR_AgeExM))),BE314)</f>
        <v>0</v>
      </c>
      <c r="BG314" s="20" t="n">
        <f aca="false">MAX(0,PR_r1*MIN(AS314,IF(F_Spccc=1,PR_BandSPCCC,PR_Band))+PR_r2*MAX(0,AS314-IF(F_Spccc=1,PR_BandSPCCC,PR_Band))-(PR_Personal+AU314+AW314+IF(F_Spccc=1,PR_SPCCC,0)+IF(AY314=1,PR_Rent,0)))</f>
        <v>0</v>
      </c>
      <c r="BH314" s="20" t="n">
        <f aca="false">IF(C314&gt;=PR_AgeCrAge,IF(AS314&lt;=PR_AgeEx,0,MIN(BG314,PR_AgeMarg*(AS314-PR_AgeEx))),BG314)</f>
        <v>0</v>
      </c>
      <c r="BI314" s="20" t="n">
        <f aca="false">IF(F_Partner=1,MAX(0,PR_r1*MIN(AT314,PR_Band)+PR_r2*MAX(0,AT314-PR_Band)-(PR_Personal+AV314+AX314+IF(AND(AY314=1,AT314&gt;0),PR_Rent,0))),0)</f>
        <v>0</v>
      </c>
      <c r="BJ314" s="20" t="n">
        <f aca="false">IF(AG314&gt;=PR_AgeCrAge,IF(AT314&lt;=PR_AgeEx,0,MIN(BI314,PR_AgeMarg*(AT314-PR_AgeEx))),BI314)</f>
        <v>0</v>
      </c>
      <c r="BK314" s="20" t="n">
        <f aca="false">IF(F_Partner=1,IF(F_Married=1,BF314,BH314+BJ314),BH314)</f>
        <v>0</v>
      </c>
      <c r="BL314" s="20" t="n">
        <f aca="false">AL314+AN314+AO314</f>
        <v>0</v>
      </c>
      <c r="BM314" s="20" t="n">
        <f aca="false">IF(BL314&lt;=PR_USCex,0,IF(IF(AND(C314&gt;=PR_USCredAge,BL314&lt;=PR_USCredMax),1,0)=1,PR_USCr1*MIN(BL314,PR_USCredB1)+PR_USCredR2*MAX(0,BL314-PR_USCredB1),PR_USCr1*MIN(BL314,PR_USCb1)+PR_USCr2*MAX(0,MIN(BL314,PR_USCb2)-PR_USCb1)+PR_USCr3*MAX(0,MIN(BL314,PR_USCb3)-PR_USCb2)+PR_USCr4*MAX(0,BL314-PR_USCb3)))+IF(F_SelfEmp=1,PR_USCse*MAX(0,AL314-PR_USCseOver),0)</f>
        <v>0</v>
      </c>
      <c r="BN314" s="20" t="n">
        <f aca="false">AQ314</f>
        <v>0</v>
      </c>
      <c r="BO314" s="20" t="n">
        <f aca="false">IF(F_Partner=1,IF(BN314&lt;=PR_USCex,0,IF(IF(AND(AG314&gt;=PR_USCredAge,BN314&lt;=PR_USCredMax),1,0)=1,PR_USCr1*MIN(BN314,PR_USCredB1)+PR_USCredR2*MAX(0,BN314-PR_USCredB1),PR_USCr1*MIN(BN314,PR_USCb1)+PR_USCr2*MAX(0,MIN(BN314,PR_USCb2)-PR_USCb1)+PR_USCr3*MAX(0,MIN(BN314,PR_USCb3)-PR_USCb2)+PR_USCr4*MAX(0,BN314-PR_USCb3))),0)</f>
        <v>0</v>
      </c>
      <c r="BP314" s="20" t="n">
        <f aca="false">IF(C314&lt;PR_PRSIend,IF(F_SelfEmp=1,IF(AL314&gt;PR_PRSIsMinInc,MAX(PR_PRSIsMin,AL314*J314),0),IF(AL314/52&lt;=PR_PRSIfree,0,MAX(0,(AL314/52*J314-IF(AL314/52&lt;=PR_PRSIcreditTo,MAX(0,PR_PRSIcreditMax-(AL314/52-(PR_PRSIfree+0.01))/PR_PRSItaper),0))*52)))+J314*AN314+IF(AO314&gt;PR_PRSIunearned,J314*AO314,0),0)</f>
        <v>0</v>
      </c>
      <c r="BQ314" s="20" t="n">
        <f aca="false">IF(AND(F_Partner=1,AG314&lt;PR_PRSIend),IF(AQ314/52&lt;=PR_PRSIfree,0,MAX(0,(AQ314/52*J314-IF(AQ314/52&lt;=PR_PRSIcreditTo,MAX(0,PR_PRSIcreditMax-(AQ314/52-(PR_PRSIfree+0.01))/PR_PRSItaper),0))*52)),0)</f>
        <v>0</v>
      </c>
      <c r="BR314" s="20" t="n">
        <f aca="false">BK314+BM314+BO314+BP314+BQ314</f>
        <v>0</v>
      </c>
      <c r="BS314" s="20" t="n">
        <f aca="false">BR314*H314</f>
        <v>0</v>
      </c>
      <c r="BT314" s="20" t="n">
        <f aca="false">K314+AK314+AC314+AF314+AH314+AI314</f>
        <v>139118.12109085</v>
      </c>
    </row>
    <row r="315" customFormat="false" ht="15" hidden="false" customHeight="true" outlineLevel="0" collapsed="false">
      <c r="B315" s="20" t="n">
        <v>81</v>
      </c>
      <c r="C315" s="20" t="n">
        <f aca="false">F_Age+B315</f>
        <v>119</v>
      </c>
      <c r="D315" s="20" t="n">
        <f aca="false">AS_Year0+B315</f>
        <v>2108</v>
      </c>
      <c r="E315" s="44" t="n">
        <f aca="false">(1+AS_Infl)^B315</f>
        <v>4.97294793921833</v>
      </c>
      <c r="F315" s="44" t="n">
        <f aca="false">(1+AS_Wage)^B315</f>
        <v>10.9601172731231</v>
      </c>
      <c r="G315" s="20" t="n">
        <f aca="false">IF(C315&lt;F_R,1,0)</f>
        <v>0</v>
      </c>
      <c r="H315" s="44" t="n">
        <f aca="false">IF(AS_Bands="flat",1,E315)</f>
        <v>4.97294793921833</v>
      </c>
      <c r="I315" s="44" t="n">
        <f aca="false">IF(AS_SpGrow="pay",F315,IF(AS_SpGrow="flat",1,E315))</f>
        <v>4.97294793921833</v>
      </c>
      <c r="J315" s="44" t="n">
        <f aca="false">(12*PR_PRSIr0+(PR_PRSIr1-PR_PRSIr0)*MAX(0,MIN(12,D315*12+12-PR_PRSIt1))+(PR_PRSIr2-PR_PRSIr1)*MAX(0,MIN(12,D315*12+12-PR_PRSIt2))+(PR_PRSIr3-PR_PRSIr2)*MAX(0,MIN(12,D315*12+12-PR_PRSIt3)))/12</f>
        <v>0.047</v>
      </c>
      <c r="K315" s="20" t="n">
        <f aca="false">IF(G315=1,F_Income*F315,0)</f>
        <v>0</v>
      </c>
      <c r="L315" s="20" t="n">
        <f aca="false">IF(G315=1,(F_Own+In_penExtra)*12*F315,0)</f>
        <v>0</v>
      </c>
      <c r="M315" s="20" t="n">
        <f aca="false">IF(G315=1,(F_PenM+In_penExtra)*12*F315,0)</f>
        <v>0</v>
      </c>
      <c r="N315" s="45" t="n">
        <f aca="false">IF(C315&lt;PR_RelA1,PR_RelP1,IF(C315&lt;PR_RelA2,PR_RelP2,IF(C315&lt;PR_RelA3,PR_RelP3,IF(C315&lt;PR_RelA4,PR_RelP4,IF(C315&lt;PR_RelA5,PR_RelP5,PR_RelP6)))))</f>
        <v>0.4</v>
      </c>
      <c r="O315" s="20" t="n">
        <f aca="false">IF(G315=1,MIN(L315/H315,N315*MIN(K315/H315,PR_EarnCap))*H315,0)</f>
        <v>0</v>
      </c>
      <c r="P315" s="20" t="n">
        <f aca="false">IF(AND(G315=1,F_AE=1),MIN(K315/H315,PR_AEcap)*H315,0)</f>
        <v>0</v>
      </c>
      <c r="Q315" s="20" t="n">
        <f aca="false">IF(G315=1,IF(WI_Retire=1,MAX(0,M315+WI_M*12),M315)+(PR_AEee+PR_AEer+PR_AEst)*P315,0)</f>
        <v>0</v>
      </c>
      <c r="R315" s="20" t="n">
        <f aca="false">L315+PR_AEee*P315</f>
        <v>0</v>
      </c>
      <c r="S315" s="20" t="n">
        <f aca="false">AD314</f>
        <v>0</v>
      </c>
      <c r="T315" s="20" t="n">
        <f aca="false">IF(D315&lt;=PR_SFTfrom,PR_SFT2026,IF(D315=PR_SFTfrom+1,PR_SFT2027,IF(D315=PR_SFTfrom+2,PR_SFT2028,IF(D315&lt;=PR_SFTto,PR_SFT2029,PR_SFT2029*(1+AS_Infl)^(D315-PR_SFTto)))))</f>
        <v>13383558.4677156</v>
      </c>
      <c r="U315" s="20" t="n">
        <f aca="false">IF(AND(G315=0,C315=F_V),1,0)</f>
        <v>0</v>
      </c>
      <c r="V315" s="20" t="n">
        <f aca="false">IF(U315=1,PR_SFTrate*MAX(0,S315-T315),0)</f>
        <v>0</v>
      </c>
      <c r="W315" s="20" t="n">
        <f aca="false">S315-V315</f>
        <v>0</v>
      </c>
      <c r="X315" s="20" t="n">
        <f aca="false">IF(AND(U315=1,AS_LumpPct&gt;0),W315*MIN(AS_LumpPct,PR_LSmax),0)</f>
        <v>0</v>
      </c>
      <c r="Y315" s="20" t="n">
        <f aca="false">X315-(PR_LSrate*MAX(0,MIN(X315,PR_LScap)-PR_LSfree)+PR_r2*MAX(0,X315-PR_LScap))</f>
        <v>0</v>
      </c>
      <c r="Z315" s="20" t="n">
        <f aca="false">W315-X315</f>
        <v>0</v>
      </c>
      <c r="AA315" s="45" t="n">
        <f aca="false">IF(C315&gt;=PR_ARFage1,IF(Z315&gt;PR_ARFbig,PR_ARFbigRate,IF(C315&gt;=PR_ARFage2,PR_ARF71,PR_ARF61)),0)</f>
        <v>0.05</v>
      </c>
      <c r="AB315" s="20" t="n">
        <f aca="false">IF(AS_DrawRule="min",Z315*AA315,IF(AS_DrawRule="fixed",MAX(AS_DrawFixed*E315,Z315*AA315),Z315*MAX(1/MAX(1,AS_End-C315+1),AA315)))</f>
        <v>0</v>
      </c>
      <c r="AC315" s="20" t="n">
        <f aca="false">IF(AND(G315=0,C315&gt;=F_V),MIN(Z315,AB315),0)</f>
        <v>0</v>
      </c>
      <c r="AD315" s="20" t="n">
        <f aca="false">IF(G315=1,S315*(1+F_PenG)+Q315,IF(C315&lt;F_V,S315*(1+F_PenG),(Z315-AC315)*(1+AS_PenRet)))</f>
        <v>0</v>
      </c>
      <c r="AE315" s="20" t="n">
        <f aca="false">IF(C315&gt;=PR_SPage,AS_SP*F_SpF*I315+IF(AND(C315&gt;=PR_Over80Age,F_SpF&gt;0),PR_Over80*PR_Weeks*I315,0),0)</f>
        <v>79982.9054752118</v>
      </c>
      <c r="AF315" s="20" t="n">
        <f aca="false">(F_OtherM+F_RentM)*12*E315</f>
        <v>0</v>
      </c>
      <c r="AG315" s="20" t="n">
        <f aca="false">F_PAge+B315</f>
        <v>118</v>
      </c>
      <c r="AH315" s="20" t="n">
        <f aca="false">IF(AND(F_Partner=1,F_PAge&gt;0,AG315&lt;IF(F_PRet&gt;0,F_PRet,PR_SPage)),F_PIncome*F315,0)</f>
        <v>0</v>
      </c>
      <c r="AI315" s="20" t="n">
        <f aca="false">IF(AND(F_Partner=1,AG315&gt;=PR_SPage,F_PSpQA=0),AS_SP*F_PSpF*I315,0)</f>
        <v>61917.5780374547</v>
      </c>
      <c r="AJ315" s="20" t="n">
        <f aca="false">IF(AND(F_Partner=1,F_PSpQA=1,C315&gt;=PR_SPage,AH315=0),IF(AG315&gt;=PR_SPage,PR_QA66,PR_QAunder)*PR_Weeks*I315,0)</f>
        <v>0</v>
      </c>
      <c r="AK315" s="20" t="n">
        <f aca="false">AE315+AJ315</f>
        <v>79982.9054752118</v>
      </c>
      <c r="AL315" s="20" t="n">
        <f aca="false">K315/H315</f>
        <v>0</v>
      </c>
      <c r="AM315" s="20" t="n">
        <f aca="false">AK315/H315</f>
        <v>16083.6</v>
      </c>
      <c r="AN315" s="20" t="n">
        <f aca="false">AC315/H315</f>
        <v>0</v>
      </c>
      <c r="AO315" s="20" t="n">
        <f aca="false">AF315/H315</f>
        <v>0</v>
      </c>
      <c r="AP315" s="20" t="n">
        <f aca="false">O315/H315</f>
        <v>0</v>
      </c>
      <c r="AQ315" s="20" t="n">
        <f aca="false">AH315/H315</f>
        <v>0</v>
      </c>
      <c r="AR315" s="20" t="n">
        <f aca="false">AI315/H315</f>
        <v>12450.88</v>
      </c>
      <c r="AS315" s="20" t="n">
        <f aca="false">MAX(0,AL315+AN315+AO315+AM315-AP315)</f>
        <v>16083.6</v>
      </c>
      <c r="AT315" s="20" t="n">
        <f aca="false">MAX(0,AQ315+AR315)</f>
        <v>12450.88</v>
      </c>
      <c r="AU315" s="20" t="n">
        <f aca="false">MIN(PR_PAYE,PR_PAYEcap*(AL315+AN315+AM315))</f>
        <v>2000</v>
      </c>
      <c r="AV315" s="20" t="n">
        <f aca="false">MIN(PR_PAYE,PR_PAYEcap*(AQ315+AR315))</f>
        <v>2000</v>
      </c>
      <c r="AW315" s="20" t="n">
        <f aca="false">IF(C315&gt;=PR_AgeCrAge,PR_AgeCr,0)</f>
        <v>245</v>
      </c>
      <c r="AX315" s="20" t="n">
        <f aca="false">IF(AG315&gt;=PR_AgeCrAge,PR_AgeCr,0)</f>
        <v>245</v>
      </c>
      <c r="AY315" s="20" t="n">
        <f aca="false">IF(AND(F_RentCred=1,D315&lt;=PR_RentLast),1,0)</f>
        <v>0</v>
      </c>
      <c r="AZ315" s="20" t="n">
        <f aca="false">AS315+AT315</f>
        <v>28534.48</v>
      </c>
      <c r="BA315" s="20" t="n">
        <f aca="false">PR_PersonalM+AU315+AV315+AW315+AX315+IF(AY315=1,PR_RentJoint,0)</f>
        <v>8490</v>
      </c>
      <c r="BB315" s="20" t="n">
        <f aca="false">PR_BandM+MIN(MIN(AS315,AT315),PR_Uplift)</f>
        <v>65450.88</v>
      </c>
      <c r="BC315" s="20" t="n">
        <f aca="false">MAX(0,PR_r1*MIN(AZ315,BB315)+PR_r2*MAX(0,AZ315-BB315)-BA315)</f>
        <v>0</v>
      </c>
      <c r="BD315" s="20" t="n">
        <f aca="false">MAX(0,PR_HomeCarer-MAX(0,MIN(AS315,AT315)-PR_HCLimit)/2)</f>
        <v>0</v>
      </c>
      <c r="BE315" s="20" t="n">
        <f aca="false">IF(F_Carer=1,MIN(BC315,MAX(0,PR_r1*MIN(AZ315,PR_BandM)+PR_r2*MAX(0,AZ315-PR_BandM)-BA315-BD315)),BC315)</f>
        <v>0</v>
      </c>
      <c r="BF315" s="20" t="n">
        <f aca="false">IF(OR(C315&gt;=PR_AgeCrAge,AG315&gt;=PR_AgeCrAge),IF(AZ315&lt;=PR_AgeExM,0,MIN(BE315,PR_AgeMarg*(AZ315-PR_AgeExM))),BE315)</f>
        <v>0</v>
      </c>
      <c r="BG315" s="20" t="n">
        <f aca="false">MAX(0,PR_r1*MIN(AS315,IF(F_Spccc=1,PR_BandSPCCC,PR_Band))+PR_r2*MAX(0,AS315-IF(F_Spccc=1,PR_BandSPCCC,PR_Band))-(PR_Personal+AU315+AW315+IF(F_Spccc=1,PR_SPCCC,0)+IF(AY315=1,PR_Rent,0)))</f>
        <v>0</v>
      </c>
      <c r="BH315" s="20" t="n">
        <f aca="false">IF(C315&gt;=PR_AgeCrAge,IF(AS315&lt;=PR_AgeEx,0,MIN(BG315,PR_AgeMarg*(AS315-PR_AgeEx))),BG315)</f>
        <v>0</v>
      </c>
      <c r="BI315" s="20" t="n">
        <f aca="false">IF(F_Partner=1,MAX(0,PR_r1*MIN(AT315,PR_Band)+PR_r2*MAX(0,AT315-PR_Band)-(PR_Personal+AV315+AX315+IF(AND(AY315=1,AT315&gt;0),PR_Rent,0))),0)</f>
        <v>0</v>
      </c>
      <c r="BJ315" s="20" t="n">
        <f aca="false">IF(AG315&gt;=PR_AgeCrAge,IF(AT315&lt;=PR_AgeEx,0,MIN(BI315,PR_AgeMarg*(AT315-PR_AgeEx))),BI315)</f>
        <v>0</v>
      </c>
      <c r="BK315" s="20" t="n">
        <f aca="false">IF(F_Partner=1,IF(F_Married=1,BF315,BH315+BJ315),BH315)</f>
        <v>0</v>
      </c>
      <c r="BL315" s="20" t="n">
        <f aca="false">AL315+AN315+AO315</f>
        <v>0</v>
      </c>
      <c r="BM315" s="20" t="n">
        <f aca="false">IF(BL315&lt;=PR_USCex,0,IF(IF(AND(C315&gt;=PR_USCredAge,BL315&lt;=PR_USCredMax),1,0)=1,PR_USCr1*MIN(BL315,PR_USCredB1)+PR_USCredR2*MAX(0,BL315-PR_USCredB1),PR_USCr1*MIN(BL315,PR_USCb1)+PR_USCr2*MAX(0,MIN(BL315,PR_USCb2)-PR_USCb1)+PR_USCr3*MAX(0,MIN(BL315,PR_USCb3)-PR_USCb2)+PR_USCr4*MAX(0,BL315-PR_USCb3)))+IF(F_SelfEmp=1,PR_USCse*MAX(0,AL315-PR_USCseOver),0)</f>
        <v>0</v>
      </c>
      <c r="BN315" s="20" t="n">
        <f aca="false">AQ315</f>
        <v>0</v>
      </c>
      <c r="BO315" s="20" t="n">
        <f aca="false">IF(F_Partner=1,IF(BN315&lt;=PR_USCex,0,IF(IF(AND(AG315&gt;=PR_USCredAge,BN315&lt;=PR_USCredMax),1,0)=1,PR_USCr1*MIN(BN315,PR_USCredB1)+PR_USCredR2*MAX(0,BN315-PR_USCredB1),PR_USCr1*MIN(BN315,PR_USCb1)+PR_USCr2*MAX(0,MIN(BN315,PR_USCb2)-PR_USCb1)+PR_USCr3*MAX(0,MIN(BN315,PR_USCb3)-PR_USCb2)+PR_USCr4*MAX(0,BN315-PR_USCb3))),0)</f>
        <v>0</v>
      </c>
      <c r="BP315" s="20" t="n">
        <f aca="false">IF(C315&lt;PR_PRSIend,IF(F_SelfEmp=1,IF(AL315&gt;PR_PRSIsMinInc,MAX(PR_PRSIsMin,AL315*J315),0),IF(AL315/52&lt;=PR_PRSIfree,0,MAX(0,(AL315/52*J315-IF(AL315/52&lt;=PR_PRSIcreditTo,MAX(0,PR_PRSIcreditMax-(AL315/52-(PR_PRSIfree+0.01))/PR_PRSItaper),0))*52)))+J315*AN315+IF(AO315&gt;PR_PRSIunearned,J315*AO315,0),0)</f>
        <v>0</v>
      </c>
      <c r="BQ315" s="20" t="n">
        <f aca="false">IF(AND(F_Partner=1,AG315&lt;PR_PRSIend),IF(AQ315/52&lt;=PR_PRSIfree,0,MAX(0,(AQ315/52*J315-IF(AQ315/52&lt;=PR_PRSIcreditTo,MAX(0,PR_PRSIcreditMax-(AQ315/52-(PR_PRSIfree+0.01))/PR_PRSItaper),0))*52)),0)</f>
        <v>0</v>
      </c>
      <c r="BR315" s="20" t="n">
        <f aca="false">BK315+BM315+BO315+BP315+BQ315</f>
        <v>0</v>
      </c>
      <c r="BS315" s="20" t="n">
        <f aca="false">BR315*H315</f>
        <v>0</v>
      </c>
      <c r="BT315" s="20" t="n">
        <f aca="false">K315+AK315+AC315+AF315+AH315+AI315</f>
        <v>141900.483512666</v>
      </c>
    </row>
    <row r="316" customFormat="false" ht="15" hidden="false" customHeight="true" outlineLevel="0" collapsed="false">
      <c r="B316" s="20" t="n">
        <v>82</v>
      </c>
      <c r="C316" s="20" t="n">
        <f aca="false">F_Age+B316</f>
        <v>120</v>
      </c>
      <c r="D316" s="20" t="n">
        <f aca="false">AS_Year0+B316</f>
        <v>2109</v>
      </c>
      <c r="E316" s="44" t="n">
        <f aca="false">(1+AS_Infl)^B316</f>
        <v>5.07240689800269</v>
      </c>
      <c r="F316" s="44" t="n">
        <f aca="false">(1+AS_Wage)^B316</f>
        <v>11.2889207913168</v>
      </c>
      <c r="G316" s="20" t="n">
        <f aca="false">IF(C316&lt;F_R,1,0)</f>
        <v>0</v>
      </c>
      <c r="H316" s="44" t="n">
        <f aca="false">IF(AS_Bands="flat",1,E316)</f>
        <v>5.07240689800269</v>
      </c>
      <c r="I316" s="44" t="n">
        <f aca="false">IF(AS_SpGrow="pay",F316,IF(AS_SpGrow="flat",1,E316))</f>
        <v>5.07240689800269</v>
      </c>
      <c r="J316" s="44" t="n">
        <f aca="false">(12*PR_PRSIr0+(PR_PRSIr1-PR_PRSIr0)*MAX(0,MIN(12,D316*12+12-PR_PRSIt1))+(PR_PRSIr2-PR_PRSIr1)*MAX(0,MIN(12,D316*12+12-PR_PRSIt2))+(PR_PRSIr3-PR_PRSIr2)*MAX(0,MIN(12,D316*12+12-PR_PRSIt3)))/12</f>
        <v>0.047</v>
      </c>
      <c r="K316" s="20" t="n">
        <f aca="false">IF(G316=1,F_Income*F316,0)</f>
        <v>0</v>
      </c>
      <c r="L316" s="20" t="n">
        <f aca="false">IF(G316=1,(F_Own+In_penExtra)*12*F316,0)</f>
        <v>0</v>
      </c>
      <c r="M316" s="20" t="n">
        <f aca="false">IF(G316=1,(F_PenM+In_penExtra)*12*F316,0)</f>
        <v>0</v>
      </c>
      <c r="N316" s="45" t="n">
        <f aca="false">IF(C316&lt;PR_RelA1,PR_RelP1,IF(C316&lt;PR_RelA2,PR_RelP2,IF(C316&lt;PR_RelA3,PR_RelP3,IF(C316&lt;PR_RelA4,PR_RelP4,IF(C316&lt;PR_RelA5,PR_RelP5,PR_RelP6)))))</f>
        <v>0.4</v>
      </c>
      <c r="O316" s="20" t="n">
        <f aca="false">IF(G316=1,MIN(L316/H316,N316*MIN(K316/H316,PR_EarnCap))*H316,0)</f>
        <v>0</v>
      </c>
      <c r="P316" s="20" t="n">
        <f aca="false">IF(AND(G316=1,F_AE=1),MIN(K316/H316,PR_AEcap)*H316,0)</f>
        <v>0</v>
      </c>
      <c r="Q316" s="20" t="n">
        <f aca="false">IF(G316=1,IF(WI_Retire=1,MAX(0,M316+WI_M*12),M316)+(PR_AEee+PR_AEer+PR_AEst)*P316,0)</f>
        <v>0</v>
      </c>
      <c r="R316" s="20" t="n">
        <f aca="false">L316+PR_AEee*P316</f>
        <v>0</v>
      </c>
      <c r="S316" s="20" t="n">
        <f aca="false">AD315</f>
        <v>0</v>
      </c>
      <c r="T316" s="20" t="n">
        <f aca="false">IF(D316&lt;=PR_SFTfrom,PR_SFT2026,IF(D316=PR_SFTfrom+1,PR_SFT2027,IF(D316=PR_SFTfrom+2,PR_SFT2028,IF(D316&lt;=PR_SFTto,PR_SFT2029,PR_SFT2029*(1+AS_Infl)^(D316-PR_SFTto)))))</f>
        <v>13651229.6370699</v>
      </c>
      <c r="U316" s="20" t="n">
        <f aca="false">IF(AND(G316=0,C316=F_V),1,0)</f>
        <v>0</v>
      </c>
      <c r="V316" s="20" t="n">
        <f aca="false">IF(U316=1,PR_SFTrate*MAX(0,S316-T316),0)</f>
        <v>0</v>
      </c>
      <c r="W316" s="20" t="n">
        <f aca="false">S316-V316</f>
        <v>0</v>
      </c>
      <c r="X316" s="20" t="n">
        <f aca="false">IF(AND(U316=1,AS_LumpPct&gt;0),W316*MIN(AS_LumpPct,PR_LSmax),0)</f>
        <v>0</v>
      </c>
      <c r="Y316" s="20" t="n">
        <f aca="false">X316-(PR_LSrate*MAX(0,MIN(X316,PR_LScap)-PR_LSfree)+PR_r2*MAX(0,X316-PR_LScap))</f>
        <v>0</v>
      </c>
      <c r="Z316" s="20" t="n">
        <f aca="false">W316-X316</f>
        <v>0</v>
      </c>
      <c r="AA316" s="45" t="n">
        <f aca="false">IF(C316&gt;=PR_ARFage1,IF(Z316&gt;PR_ARFbig,PR_ARFbigRate,IF(C316&gt;=PR_ARFage2,PR_ARF71,PR_ARF61)),0)</f>
        <v>0.05</v>
      </c>
      <c r="AB316" s="20" t="n">
        <f aca="false">IF(AS_DrawRule="min",Z316*AA316,IF(AS_DrawRule="fixed",MAX(AS_DrawFixed*E316,Z316*AA316),Z316*MAX(1/MAX(1,AS_End-C316+1),AA316)))</f>
        <v>0</v>
      </c>
      <c r="AC316" s="20" t="n">
        <f aca="false">IF(AND(G316=0,C316&gt;=F_V),MIN(Z316,AB316),0)</f>
        <v>0</v>
      </c>
      <c r="AD316" s="20" t="n">
        <f aca="false">IF(G316=1,S316*(1+F_PenG)+Q316,IF(C316&lt;F_V,S316*(1+F_PenG),(Z316-AC316)*(1+AS_PenRet)))</f>
        <v>0</v>
      </c>
      <c r="AE316" s="20" t="n">
        <f aca="false">IF(C316&gt;=PR_SPage,AS_SP*F_SpF*I316+IF(AND(C316&gt;=PR_Over80Age,F_SpF&gt;0),PR_Over80*PR_Weeks*I316,0),0)</f>
        <v>81582.5635847161</v>
      </c>
      <c r="AF316" s="20" t="n">
        <f aca="false">(F_OtherM+F_RentM)*12*E316</f>
        <v>0</v>
      </c>
      <c r="AG316" s="20" t="n">
        <f aca="false">F_PAge+B316</f>
        <v>119</v>
      </c>
      <c r="AH316" s="20" t="n">
        <f aca="false">IF(AND(F_Partner=1,F_PAge&gt;0,AG316&lt;IF(F_PRet&gt;0,F_PRet,PR_SPage)),F_PIncome*F316,0)</f>
        <v>0</v>
      </c>
      <c r="AI316" s="20" t="n">
        <f aca="false">IF(AND(F_Partner=1,AG316&gt;=PR_SPage,F_PSpQA=0),AS_SP*F_PSpF*I316,0)</f>
        <v>63155.9295982037</v>
      </c>
      <c r="AJ316" s="20" t="n">
        <f aca="false">IF(AND(F_Partner=1,F_PSpQA=1,C316&gt;=PR_SPage,AH316=0),IF(AG316&gt;=PR_SPage,PR_QA66,PR_QAunder)*PR_Weeks*I316,0)</f>
        <v>0</v>
      </c>
      <c r="AK316" s="20" t="n">
        <f aca="false">AE316+AJ316</f>
        <v>81582.5635847161</v>
      </c>
      <c r="AL316" s="20" t="n">
        <f aca="false">K316/H316</f>
        <v>0</v>
      </c>
      <c r="AM316" s="20" t="n">
        <f aca="false">AK316/H316</f>
        <v>16083.6</v>
      </c>
      <c r="AN316" s="20" t="n">
        <f aca="false">AC316/H316</f>
        <v>0</v>
      </c>
      <c r="AO316" s="20" t="n">
        <f aca="false">AF316/H316</f>
        <v>0</v>
      </c>
      <c r="AP316" s="20" t="n">
        <f aca="false">O316/H316</f>
        <v>0</v>
      </c>
      <c r="AQ316" s="20" t="n">
        <f aca="false">AH316/H316</f>
        <v>0</v>
      </c>
      <c r="AR316" s="20" t="n">
        <f aca="false">AI316/H316</f>
        <v>12450.88</v>
      </c>
      <c r="AS316" s="20" t="n">
        <f aca="false">MAX(0,AL316+AN316+AO316+AM316-AP316)</f>
        <v>16083.6</v>
      </c>
      <c r="AT316" s="20" t="n">
        <f aca="false">MAX(0,AQ316+AR316)</f>
        <v>12450.88</v>
      </c>
      <c r="AU316" s="20" t="n">
        <f aca="false">MIN(PR_PAYE,PR_PAYEcap*(AL316+AN316+AM316))</f>
        <v>2000</v>
      </c>
      <c r="AV316" s="20" t="n">
        <f aca="false">MIN(PR_PAYE,PR_PAYEcap*(AQ316+AR316))</f>
        <v>2000</v>
      </c>
      <c r="AW316" s="20" t="n">
        <f aca="false">IF(C316&gt;=PR_AgeCrAge,PR_AgeCr,0)</f>
        <v>245</v>
      </c>
      <c r="AX316" s="20" t="n">
        <f aca="false">IF(AG316&gt;=PR_AgeCrAge,PR_AgeCr,0)</f>
        <v>245</v>
      </c>
      <c r="AY316" s="20" t="n">
        <f aca="false">IF(AND(F_RentCred=1,D316&lt;=PR_RentLast),1,0)</f>
        <v>0</v>
      </c>
      <c r="AZ316" s="20" t="n">
        <f aca="false">AS316+AT316</f>
        <v>28534.48</v>
      </c>
      <c r="BA316" s="20" t="n">
        <f aca="false">PR_PersonalM+AU316+AV316+AW316+AX316+IF(AY316=1,PR_RentJoint,0)</f>
        <v>8490</v>
      </c>
      <c r="BB316" s="20" t="n">
        <f aca="false">PR_BandM+MIN(MIN(AS316,AT316),PR_Uplift)</f>
        <v>65450.88</v>
      </c>
      <c r="BC316" s="20" t="n">
        <f aca="false">MAX(0,PR_r1*MIN(AZ316,BB316)+PR_r2*MAX(0,AZ316-BB316)-BA316)</f>
        <v>0</v>
      </c>
      <c r="BD316" s="20" t="n">
        <f aca="false">MAX(0,PR_HomeCarer-MAX(0,MIN(AS316,AT316)-PR_HCLimit)/2)</f>
        <v>0</v>
      </c>
      <c r="BE316" s="20" t="n">
        <f aca="false">IF(F_Carer=1,MIN(BC316,MAX(0,PR_r1*MIN(AZ316,PR_BandM)+PR_r2*MAX(0,AZ316-PR_BandM)-BA316-BD316)),BC316)</f>
        <v>0</v>
      </c>
      <c r="BF316" s="20" t="n">
        <f aca="false">IF(OR(C316&gt;=PR_AgeCrAge,AG316&gt;=PR_AgeCrAge),IF(AZ316&lt;=PR_AgeExM,0,MIN(BE316,PR_AgeMarg*(AZ316-PR_AgeExM))),BE316)</f>
        <v>0</v>
      </c>
      <c r="BG316" s="20" t="n">
        <f aca="false">MAX(0,PR_r1*MIN(AS316,IF(F_Spccc=1,PR_BandSPCCC,PR_Band))+PR_r2*MAX(0,AS316-IF(F_Spccc=1,PR_BandSPCCC,PR_Band))-(PR_Personal+AU316+AW316+IF(F_Spccc=1,PR_SPCCC,0)+IF(AY316=1,PR_Rent,0)))</f>
        <v>0</v>
      </c>
      <c r="BH316" s="20" t="n">
        <f aca="false">IF(C316&gt;=PR_AgeCrAge,IF(AS316&lt;=PR_AgeEx,0,MIN(BG316,PR_AgeMarg*(AS316-PR_AgeEx))),BG316)</f>
        <v>0</v>
      </c>
      <c r="BI316" s="20" t="n">
        <f aca="false">IF(F_Partner=1,MAX(0,PR_r1*MIN(AT316,PR_Band)+PR_r2*MAX(0,AT316-PR_Band)-(PR_Personal+AV316+AX316+IF(AND(AY316=1,AT316&gt;0),PR_Rent,0))),0)</f>
        <v>0</v>
      </c>
      <c r="BJ316" s="20" t="n">
        <f aca="false">IF(AG316&gt;=PR_AgeCrAge,IF(AT316&lt;=PR_AgeEx,0,MIN(BI316,PR_AgeMarg*(AT316-PR_AgeEx))),BI316)</f>
        <v>0</v>
      </c>
      <c r="BK316" s="20" t="n">
        <f aca="false">IF(F_Partner=1,IF(F_Married=1,BF316,BH316+BJ316),BH316)</f>
        <v>0</v>
      </c>
      <c r="BL316" s="20" t="n">
        <f aca="false">AL316+AN316+AO316</f>
        <v>0</v>
      </c>
      <c r="BM316" s="20" t="n">
        <f aca="false">IF(BL316&lt;=PR_USCex,0,IF(IF(AND(C316&gt;=PR_USCredAge,BL316&lt;=PR_USCredMax),1,0)=1,PR_USCr1*MIN(BL316,PR_USCredB1)+PR_USCredR2*MAX(0,BL316-PR_USCredB1),PR_USCr1*MIN(BL316,PR_USCb1)+PR_USCr2*MAX(0,MIN(BL316,PR_USCb2)-PR_USCb1)+PR_USCr3*MAX(0,MIN(BL316,PR_USCb3)-PR_USCb2)+PR_USCr4*MAX(0,BL316-PR_USCb3)))+IF(F_SelfEmp=1,PR_USCse*MAX(0,AL316-PR_USCseOver),0)</f>
        <v>0</v>
      </c>
      <c r="BN316" s="20" t="n">
        <f aca="false">AQ316</f>
        <v>0</v>
      </c>
      <c r="BO316" s="20" t="n">
        <f aca="false">IF(F_Partner=1,IF(BN316&lt;=PR_USCex,0,IF(IF(AND(AG316&gt;=PR_USCredAge,BN316&lt;=PR_USCredMax),1,0)=1,PR_USCr1*MIN(BN316,PR_USCredB1)+PR_USCredR2*MAX(0,BN316-PR_USCredB1),PR_USCr1*MIN(BN316,PR_USCb1)+PR_USCr2*MAX(0,MIN(BN316,PR_USCb2)-PR_USCb1)+PR_USCr3*MAX(0,MIN(BN316,PR_USCb3)-PR_USCb2)+PR_USCr4*MAX(0,BN316-PR_USCb3))),0)</f>
        <v>0</v>
      </c>
      <c r="BP316" s="20" t="n">
        <f aca="false">IF(C316&lt;PR_PRSIend,IF(F_SelfEmp=1,IF(AL316&gt;PR_PRSIsMinInc,MAX(PR_PRSIsMin,AL316*J316),0),IF(AL316/52&lt;=PR_PRSIfree,0,MAX(0,(AL316/52*J316-IF(AL316/52&lt;=PR_PRSIcreditTo,MAX(0,PR_PRSIcreditMax-(AL316/52-(PR_PRSIfree+0.01))/PR_PRSItaper),0))*52)))+J316*AN316+IF(AO316&gt;PR_PRSIunearned,J316*AO316,0),0)</f>
        <v>0</v>
      </c>
      <c r="BQ316" s="20" t="n">
        <f aca="false">IF(AND(F_Partner=1,AG316&lt;PR_PRSIend),IF(AQ316/52&lt;=PR_PRSIfree,0,MAX(0,(AQ316/52*J316-IF(AQ316/52&lt;=PR_PRSIcreditTo,MAX(0,PR_PRSIcreditMax-(AQ316/52-(PR_PRSIfree+0.01))/PR_PRSItaper),0))*52)),0)</f>
        <v>0</v>
      </c>
      <c r="BR316" s="20" t="n">
        <f aca="false">BK316+BM316+BO316+BP316+BQ316</f>
        <v>0</v>
      </c>
      <c r="BS316" s="20" t="n">
        <f aca="false">BR316*H316</f>
        <v>0</v>
      </c>
      <c r="BT316" s="20" t="n">
        <f aca="false">K316+AK316+AC316+AF316+AH316+AI316</f>
        <v>144738.49318292</v>
      </c>
    </row>
    <row r="317" customFormat="false" ht="15" hidden="false" customHeight="true" outlineLevel="0" collapsed="false">
      <c r="B317" s="20" t="n">
        <v>83</v>
      </c>
      <c r="C317" s="20" t="n">
        <f aca="false">F_Age+B317</f>
        <v>121</v>
      </c>
      <c r="D317" s="20" t="n">
        <f aca="false">AS_Year0+B317</f>
        <v>2110</v>
      </c>
      <c r="E317" s="44" t="n">
        <f aca="false">(1+AS_Infl)^B317</f>
        <v>5.17385503596275</v>
      </c>
      <c r="F317" s="44" t="n">
        <f aca="false">(1+AS_Wage)^B317</f>
        <v>11.6275884150563</v>
      </c>
      <c r="G317" s="20" t="n">
        <f aca="false">IF(C317&lt;F_R,1,0)</f>
        <v>0</v>
      </c>
      <c r="H317" s="44" t="n">
        <f aca="false">IF(AS_Bands="flat",1,E317)</f>
        <v>5.17385503596275</v>
      </c>
      <c r="I317" s="44" t="n">
        <f aca="false">IF(AS_SpGrow="pay",F317,IF(AS_SpGrow="flat",1,E317))</f>
        <v>5.17385503596275</v>
      </c>
      <c r="J317" s="44" t="n">
        <f aca="false">(12*PR_PRSIr0+(PR_PRSIr1-PR_PRSIr0)*MAX(0,MIN(12,D317*12+12-PR_PRSIt1))+(PR_PRSIr2-PR_PRSIr1)*MAX(0,MIN(12,D317*12+12-PR_PRSIt2))+(PR_PRSIr3-PR_PRSIr2)*MAX(0,MIN(12,D317*12+12-PR_PRSIt3)))/12</f>
        <v>0.047</v>
      </c>
      <c r="K317" s="20" t="n">
        <f aca="false">IF(G317=1,F_Income*F317,0)</f>
        <v>0</v>
      </c>
      <c r="L317" s="20" t="n">
        <f aca="false">IF(G317=1,(F_Own+In_penExtra)*12*F317,0)</f>
        <v>0</v>
      </c>
      <c r="M317" s="20" t="n">
        <f aca="false">IF(G317=1,(F_PenM+In_penExtra)*12*F317,0)</f>
        <v>0</v>
      </c>
      <c r="N317" s="45" t="n">
        <f aca="false">IF(C317&lt;PR_RelA1,PR_RelP1,IF(C317&lt;PR_RelA2,PR_RelP2,IF(C317&lt;PR_RelA3,PR_RelP3,IF(C317&lt;PR_RelA4,PR_RelP4,IF(C317&lt;PR_RelA5,PR_RelP5,PR_RelP6)))))</f>
        <v>0.4</v>
      </c>
      <c r="O317" s="20" t="n">
        <f aca="false">IF(G317=1,MIN(L317/H317,N317*MIN(K317/H317,PR_EarnCap))*H317,0)</f>
        <v>0</v>
      </c>
      <c r="P317" s="20" t="n">
        <f aca="false">IF(AND(G317=1,F_AE=1),MIN(K317/H317,PR_AEcap)*H317,0)</f>
        <v>0</v>
      </c>
      <c r="Q317" s="20" t="n">
        <f aca="false">IF(G317=1,IF(WI_Retire=1,MAX(0,M317+WI_M*12),M317)+(PR_AEee+PR_AEer+PR_AEst)*P317,0)</f>
        <v>0</v>
      </c>
      <c r="R317" s="20" t="n">
        <f aca="false">L317+PR_AEee*P317</f>
        <v>0</v>
      </c>
      <c r="S317" s="20" t="n">
        <f aca="false">AD316</f>
        <v>0</v>
      </c>
      <c r="T317" s="20" t="n">
        <f aca="false">IF(D317&lt;=PR_SFTfrom,PR_SFT2026,IF(D317=PR_SFTfrom+1,PR_SFT2027,IF(D317=PR_SFTfrom+2,PR_SFT2028,IF(D317&lt;=PR_SFTto,PR_SFT2029,PR_SFT2029*(1+AS_Infl)^(D317-PR_SFTto)))))</f>
        <v>13924254.2298113</v>
      </c>
      <c r="U317" s="20" t="n">
        <f aca="false">IF(AND(G317=0,C317=F_V),1,0)</f>
        <v>0</v>
      </c>
      <c r="V317" s="20" t="n">
        <f aca="false">IF(U317=1,PR_SFTrate*MAX(0,S317-T317),0)</f>
        <v>0</v>
      </c>
      <c r="W317" s="20" t="n">
        <f aca="false">S317-V317</f>
        <v>0</v>
      </c>
      <c r="X317" s="20" t="n">
        <f aca="false">IF(AND(U317=1,AS_LumpPct&gt;0),W317*MIN(AS_LumpPct,PR_LSmax),0)</f>
        <v>0</v>
      </c>
      <c r="Y317" s="20" t="n">
        <f aca="false">X317-(PR_LSrate*MAX(0,MIN(X317,PR_LScap)-PR_LSfree)+PR_r2*MAX(0,X317-PR_LScap))</f>
        <v>0</v>
      </c>
      <c r="Z317" s="20" t="n">
        <f aca="false">W317-X317</f>
        <v>0</v>
      </c>
      <c r="AA317" s="45" t="n">
        <f aca="false">IF(C317&gt;=PR_ARFage1,IF(Z317&gt;PR_ARFbig,PR_ARFbigRate,IF(C317&gt;=PR_ARFage2,PR_ARF71,PR_ARF61)),0)</f>
        <v>0.05</v>
      </c>
      <c r="AB317" s="20" t="n">
        <f aca="false">IF(AS_DrawRule="min",Z317*AA317,IF(AS_DrawRule="fixed",MAX(AS_DrawFixed*E317,Z317*AA317),Z317*MAX(1/MAX(1,AS_End-C317+1),AA317)))</f>
        <v>0</v>
      </c>
      <c r="AC317" s="20" t="n">
        <f aca="false">IF(AND(G317=0,C317&gt;=F_V),MIN(Z317,AB317),0)</f>
        <v>0</v>
      </c>
      <c r="AD317" s="20" t="n">
        <f aca="false">IF(G317=1,S317*(1+F_PenG)+Q317,IF(C317&lt;F_V,S317*(1+F_PenG),(Z317-AC317)*(1+AS_PenRet)))</f>
        <v>0</v>
      </c>
      <c r="AE317" s="20" t="n">
        <f aca="false">IF(C317&gt;=PR_SPage,AS_SP*F_SpF*I317+IF(AND(C317&gt;=PR_Over80Age,F_SpF&gt;0),PR_Over80*PR_Weeks*I317,0),0)</f>
        <v>83214.2148564104</v>
      </c>
      <c r="AF317" s="20" t="n">
        <f aca="false">(F_OtherM+F_RentM)*12*E317</f>
        <v>0</v>
      </c>
      <c r="AG317" s="20" t="n">
        <f aca="false">F_PAge+B317</f>
        <v>120</v>
      </c>
      <c r="AH317" s="20" t="n">
        <f aca="false">IF(AND(F_Partner=1,F_PAge&gt;0,AG317&lt;IF(F_PRet&gt;0,F_PRet,PR_SPage)),F_PIncome*F317,0)</f>
        <v>0</v>
      </c>
      <c r="AI317" s="20" t="n">
        <f aca="false">IF(AND(F_Partner=1,AG317&gt;=PR_SPage,F_PSpQA=0),AS_SP*F_PSpF*I317,0)</f>
        <v>64419.0481901678</v>
      </c>
      <c r="AJ317" s="20" t="n">
        <f aca="false">IF(AND(F_Partner=1,F_PSpQA=1,C317&gt;=PR_SPage,AH317=0),IF(AG317&gt;=PR_SPage,PR_QA66,PR_QAunder)*PR_Weeks*I317,0)</f>
        <v>0</v>
      </c>
      <c r="AK317" s="20" t="n">
        <f aca="false">AE317+AJ317</f>
        <v>83214.2148564104</v>
      </c>
      <c r="AL317" s="20" t="n">
        <f aca="false">K317/H317</f>
        <v>0</v>
      </c>
      <c r="AM317" s="20" t="n">
        <f aca="false">AK317/H317</f>
        <v>16083.6</v>
      </c>
      <c r="AN317" s="20" t="n">
        <f aca="false">AC317/H317</f>
        <v>0</v>
      </c>
      <c r="AO317" s="20" t="n">
        <f aca="false">AF317/H317</f>
        <v>0</v>
      </c>
      <c r="AP317" s="20" t="n">
        <f aca="false">O317/H317</f>
        <v>0</v>
      </c>
      <c r="AQ317" s="20" t="n">
        <f aca="false">AH317/H317</f>
        <v>0</v>
      </c>
      <c r="AR317" s="20" t="n">
        <f aca="false">AI317/H317</f>
        <v>12450.88</v>
      </c>
      <c r="AS317" s="20" t="n">
        <f aca="false">MAX(0,AL317+AN317+AO317+AM317-AP317)</f>
        <v>16083.6</v>
      </c>
      <c r="AT317" s="20" t="n">
        <f aca="false">MAX(0,AQ317+AR317)</f>
        <v>12450.88</v>
      </c>
      <c r="AU317" s="20" t="n">
        <f aca="false">MIN(PR_PAYE,PR_PAYEcap*(AL317+AN317+AM317))</f>
        <v>2000</v>
      </c>
      <c r="AV317" s="20" t="n">
        <f aca="false">MIN(PR_PAYE,PR_PAYEcap*(AQ317+AR317))</f>
        <v>2000</v>
      </c>
      <c r="AW317" s="20" t="n">
        <f aca="false">IF(C317&gt;=PR_AgeCrAge,PR_AgeCr,0)</f>
        <v>245</v>
      </c>
      <c r="AX317" s="20" t="n">
        <f aca="false">IF(AG317&gt;=PR_AgeCrAge,PR_AgeCr,0)</f>
        <v>245</v>
      </c>
      <c r="AY317" s="20" t="n">
        <f aca="false">IF(AND(F_RentCred=1,D317&lt;=PR_RentLast),1,0)</f>
        <v>0</v>
      </c>
      <c r="AZ317" s="20" t="n">
        <f aca="false">AS317+AT317</f>
        <v>28534.48</v>
      </c>
      <c r="BA317" s="20" t="n">
        <f aca="false">PR_PersonalM+AU317+AV317+AW317+AX317+IF(AY317=1,PR_RentJoint,0)</f>
        <v>8490</v>
      </c>
      <c r="BB317" s="20" t="n">
        <f aca="false">PR_BandM+MIN(MIN(AS317,AT317),PR_Uplift)</f>
        <v>65450.88</v>
      </c>
      <c r="BC317" s="20" t="n">
        <f aca="false">MAX(0,PR_r1*MIN(AZ317,BB317)+PR_r2*MAX(0,AZ317-BB317)-BA317)</f>
        <v>0</v>
      </c>
      <c r="BD317" s="20" t="n">
        <f aca="false">MAX(0,PR_HomeCarer-MAX(0,MIN(AS317,AT317)-PR_HCLimit)/2)</f>
        <v>0</v>
      </c>
      <c r="BE317" s="20" t="n">
        <f aca="false">IF(F_Carer=1,MIN(BC317,MAX(0,PR_r1*MIN(AZ317,PR_BandM)+PR_r2*MAX(0,AZ317-PR_BandM)-BA317-BD317)),BC317)</f>
        <v>0</v>
      </c>
      <c r="BF317" s="20" t="n">
        <f aca="false">IF(OR(C317&gt;=PR_AgeCrAge,AG317&gt;=PR_AgeCrAge),IF(AZ317&lt;=PR_AgeExM,0,MIN(BE317,PR_AgeMarg*(AZ317-PR_AgeExM))),BE317)</f>
        <v>0</v>
      </c>
      <c r="BG317" s="20" t="n">
        <f aca="false">MAX(0,PR_r1*MIN(AS317,IF(F_Spccc=1,PR_BandSPCCC,PR_Band))+PR_r2*MAX(0,AS317-IF(F_Spccc=1,PR_BandSPCCC,PR_Band))-(PR_Personal+AU317+AW317+IF(F_Spccc=1,PR_SPCCC,0)+IF(AY317=1,PR_Rent,0)))</f>
        <v>0</v>
      </c>
      <c r="BH317" s="20" t="n">
        <f aca="false">IF(C317&gt;=PR_AgeCrAge,IF(AS317&lt;=PR_AgeEx,0,MIN(BG317,PR_AgeMarg*(AS317-PR_AgeEx))),BG317)</f>
        <v>0</v>
      </c>
      <c r="BI317" s="20" t="n">
        <f aca="false">IF(F_Partner=1,MAX(0,PR_r1*MIN(AT317,PR_Band)+PR_r2*MAX(0,AT317-PR_Band)-(PR_Personal+AV317+AX317+IF(AND(AY317=1,AT317&gt;0),PR_Rent,0))),0)</f>
        <v>0</v>
      </c>
      <c r="BJ317" s="20" t="n">
        <f aca="false">IF(AG317&gt;=PR_AgeCrAge,IF(AT317&lt;=PR_AgeEx,0,MIN(BI317,PR_AgeMarg*(AT317-PR_AgeEx))),BI317)</f>
        <v>0</v>
      </c>
      <c r="BK317" s="20" t="n">
        <f aca="false">IF(F_Partner=1,IF(F_Married=1,BF317,BH317+BJ317),BH317)</f>
        <v>0</v>
      </c>
      <c r="BL317" s="20" t="n">
        <f aca="false">AL317+AN317+AO317</f>
        <v>0</v>
      </c>
      <c r="BM317" s="20" t="n">
        <f aca="false">IF(BL317&lt;=PR_USCex,0,IF(IF(AND(C317&gt;=PR_USCredAge,BL317&lt;=PR_USCredMax),1,0)=1,PR_USCr1*MIN(BL317,PR_USCredB1)+PR_USCredR2*MAX(0,BL317-PR_USCredB1),PR_USCr1*MIN(BL317,PR_USCb1)+PR_USCr2*MAX(0,MIN(BL317,PR_USCb2)-PR_USCb1)+PR_USCr3*MAX(0,MIN(BL317,PR_USCb3)-PR_USCb2)+PR_USCr4*MAX(0,BL317-PR_USCb3)))+IF(F_SelfEmp=1,PR_USCse*MAX(0,AL317-PR_USCseOver),0)</f>
        <v>0</v>
      </c>
      <c r="BN317" s="20" t="n">
        <f aca="false">AQ317</f>
        <v>0</v>
      </c>
      <c r="BO317" s="20" t="n">
        <f aca="false">IF(F_Partner=1,IF(BN317&lt;=PR_USCex,0,IF(IF(AND(AG317&gt;=PR_USCredAge,BN317&lt;=PR_USCredMax),1,0)=1,PR_USCr1*MIN(BN317,PR_USCredB1)+PR_USCredR2*MAX(0,BN317-PR_USCredB1),PR_USCr1*MIN(BN317,PR_USCb1)+PR_USCr2*MAX(0,MIN(BN317,PR_USCb2)-PR_USCb1)+PR_USCr3*MAX(0,MIN(BN317,PR_USCb3)-PR_USCb2)+PR_USCr4*MAX(0,BN317-PR_USCb3))),0)</f>
        <v>0</v>
      </c>
      <c r="BP317" s="20" t="n">
        <f aca="false">IF(C317&lt;PR_PRSIend,IF(F_SelfEmp=1,IF(AL317&gt;PR_PRSIsMinInc,MAX(PR_PRSIsMin,AL317*J317),0),IF(AL317/52&lt;=PR_PRSIfree,0,MAX(0,(AL317/52*J317-IF(AL317/52&lt;=PR_PRSIcreditTo,MAX(0,PR_PRSIcreditMax-(AL317/52-(PR_PRSIfree+0.01))/PR_PRSItaper),0))*52)))+J317*AN317+IF(AO317&gt;PR_PRSIunearned,J317*AO317,0),0)</f>
        <v>0</v>
      </c>
      <c r="BQ317" s="20" t="n">
        <f aca="false">IF(AND(F_Partner=1,AG317&lt;PR_PRSIend),IF(AQ317/52&lt;=PR_PRSIfree,0,MAX(0,(AQ317/52*J317-IF(AQ317/52&lt;=PR_PRSIcreditTo,MAX(0,PR_PRSIcreditMax-(AQ317/52-(PR_PRSIfree+0.01))/PR_PRSItaper),0))*52)),0)</f>
        <v>0</v>
      </c>
      <c r="BR317" s="20" t="n">
        <f aca="false">BK317+BM317+BO317+BP317+BQ317</f>
        <v>0</v>
      </c>
      <c r="BS317" s="20" t="n">
        <f aca="false">BR317*H317</f>
        <v>0</v>
      </c>
      <c r="BT317" s="20" t="n">
        <f aca="false">K317+AK317+AC317+AF317+AH317+AI317</f>
        <v>147633.263046578</v>
      </c>
    </row>
    <row r="318" customFormat="false" ht="15" hidden="false" customHeight="true" outlineLevel="0" collapsed="false">
      <c r="B318" s="20" t="n">
        <v>84</v>
      </c>
      <c r="C318" s="20" t="n">
        <f aca="false">F_Age+B318</f>
        <v>122</v>
      </c>
      <c r="D318" s="20" t="n">
        <f aca="false">AS_Year0+B318</f>
        <v>2111</v>
      </c>
      <c r="E318" s="44" t="n">
        <f aca="false">(1+AS_Infl)^B318</f>
        <v>5.277332136682</v>
      </c>
      <c r="F318" s="44" t="n">
        <f aca="false">(1+AS_Wage)^B318</f>
        <v>11.976416067508</v>
      </c>
      <c r="G318" s="20" t="n">
        <f aca="false">IF(C318&lt;F_R,1,0)</f>
        <v>0</v>
      </c>
      <c r="H318" s="44" t="n">
        <f aca="false">IF(AS_Bands="flat",1,E318)</f>
        <v>5.277332136682</v>
      </c>
      <c r="I318" s="44" t="n">
        <f aca="false">IF(AS_SpGrow="pay",F318,IF(AS_SpGrow="flat",1,E318))</f>
        <v>5.277332136682</v>
      </c>
      <c r="J318" s="44" t="n">
        <f aca="false">(12*PR_PRSIr0+(PR_PRSIr1-PR_PRSIr0)*MAX(0,MIN(12,D318*12+12-PR_PRSIt1))+(PR_PRSIr2-PR_PRSIr1)*MAX(0,MIN(12,D318*12+12-PR_PRSIt2))+(PR_PRSIr3-PR_PRSIr2)*MAX(0,MIN(12,D318*12+12-PR_PRSIt3)))/12</f>
        <v>0.047</v>
      </c>
      <c r="K318" s="20" t="n">
        <f aca="false">IF(G318=1,F_Income*F318,0)</f>
        <v>0</v>
      </c>
      <c r="L318" s="20" t="n">
        <f aca="false">IF(G318=1,(F_Own+In_penExtra)*12*F318,0)</f>
        <v>0</v>
      </c>
      <c r="M318" s="20" t="n">
        <f aca="false">IF(G318=1,(F_PenM+In_penExtra)*12*F318,0)</f>
        <v>0</v>
      </c>
      <c r="N318" s="45" t="n">
        <f aca="false">IF(C318&lt;PR_RelA1,PR_RelP1,IF(C318&lt;PR_RelA2,PR_RelP2,IF(C318&lt;PR_RelA3,PR_RelP3,IF(C318&lt;PR_RelA4,PR_RelP4,IF(C318&lt;PR_RelA5,PR_RelP5,PR_RelP6)))))</f>
        <v>0.4</v>
      </c>
      <c r="O318" s="20" t="n">
        <f aca="false">IF(G318=1,MIN(L318/H318,N318*MIN(K318/H318,PR_EarnCap))*H318,0)</f>
        <v>0</v>
      </c>
      <c r="P318" s="20" t="n">
        <f aca="false">IF(AND(G318=1,F_AE=1),MIN(K318/H318,PR_AEcap)*H318,0)</f>
        <v>0</v>
      </c>
      <c r="Q318" s="20" t="n">
        <f aca="false">IF(G318=1,IF(WI_Retire=1,MAX(0,M318+WI_M*12),M318)+(PR_AEee+PR_AEer+PR_AEst)*P318,0)</f>
        <v>0</v>
      </c>
      <c r="R318" s="20" t="n">
        <f aca="false">L318+PR_AEee*P318</f>
        <v>0</v>
      </c>
      <c r="S318" s="20" t="n">
        <f aca="false">AD317</f>
        <v>0</v>
      </c>
      <c r="T318" s="20" t="n">
        <f aca="false">IF(D318&lt;=PR_SFTfrom,PR_SFT2026,IF(D318=PR_SFTfrom+1,PR_SFT2027,IF(D318=PR_SFTfrom+2,PR_SFT2028,IF(D318&lt;=PR_SFTto,PR_SFT2029,PR_SFT2029*(1+AS_Infl)^(D318-PR_SFTto)))))</f>
        <v>14202739.3144075</v>
      </c>
      <c r="U318" s="20" t="n">
        <f aca="false">IF(AND(G318=0,C318=F_V),1,0)</f>
        <v>0</v>
      </c>
      <c r="V318" s="20" t="n">
        <f aca="false">IF(U318=1,PR_SFTrate*MAX(0,S318-T318),0)</f>
        <v>0</v>
      </c>
      <c r="W318" s="20" t="n">
        <f aca="false">S318-V318</f>
        <v>0</v>
      </c>
      <c r="X318" s="20" t="n">
        <f aca="false">IF(AND(U318=1,AS_LumpPct&gt;0),W318*MIN(AS_LumpPct,PR_LSmax),0)</f>
        <v>0</v>
      </c>
      <c r="Y318" s="20" t="n">
        <f aca="false">X318-(PR_LSrate*MAX(0,MIN(X318,PR_LScap)-PR_LSfree)+PR_r2*MAX(0,X318-PR_LScap))</f>
        <v>0</v>
      </c>
      <c r="Z318" s="20" t="n">
        <f aca="false">W318-X318</f>
        <v>0</v>
      </c>
      <c r="AA318" s="45" t="n">
        <f aca="false">IF(C318&gt;=PR_ARFage1,IF(Z318&gt;PR_ARFbig,PR_ARFbigRate,IF(C318&gt;=PR_ARFage2,PR_ARF71,PR_ARF61)),0)</f>
        <v>0.05</v>
      </c>
      <c r="AB318" s="20" t="n">
        <f aca="false">IF(AS_DrawRule="min",Z318*AA318,IF(AS_DrawRule="fixed",MAX(AS_DrawFixed*E318,Z318*AA318),Z318*MAX(1/MAX(1,AS_End-C318+1),AA318)))</f>
        <v>0</v>
      </c>
      <c r="AC318" s="20" t="n">
        <f aca="false">IF(AND(G318=0,C318&gt;=F_V),MIN(Z318,AB318),0)</f>
        <v>0</v>
      </c>
      <c r="AD318" s="20" t="n">
        <f aca="false">IF(G318=1,S318*(1+F_PenG)+Q318,IF(C318&lt;F_V,S318*(1+F_PenG),(Z318-AC318)*(1+AS_PenRet)))</f>
        <v>0</v>
      </c>
      <c r="AE318" s="20" t="n">
        <f aca="false">IF(C318&gt;=PR_SPage,AS_SP*F_SpF*I318+IF(AND(C318&gt;=PR_Over80Age,F_SpF&gt;0),PR_Over80*PR_Weeks*I318,0),0)</f>
        <v>84878.4991535386</v>
      </c>
      <c r="AF318" s="20" t="n">
        <f aca="false">(F_OtherM+F_RentM)*12*E318</f>
        <v>0</v>
      </c>
      <c r="AG318" s="20" t="n">
        <f aca="false">F_PAge+B318</f>
        <v>121</v>
      </c>
      <c r="AH318" s="20" t="n">
        <f aca="false">IF(AND(F_Partner=1,F_PAge&gt;0,AG318&lt;IF(F_PRet&gt;0,F_PRet,PR_SPage)),F_PIncome*F318,0)</f>
        <v>0</v>
      </c>
      <c r="AI318" s="20" t="n">
        <f aca="false">IF(AND(F_Partner=1,AG318&gt;=PR_SPage,F_PSpQA=0),AS_SP*F_PSpF*I318,0)</f>
        <v>65707.4291539712</v>
      </c>
      <c r="AJ318" s="20" t="n">
        <f aca="false">IF(AND(F_Partner=1,F_PSpQA=1,C318&gt;=PR_SPage,AH318=0),IF(AG318&gt;=PR_SPage,PR_QA66,PR_QAunder)*PR_Weeks*I318,0)</f>
        <v>0</v>
      </c>
      <c r="AK318" s="20" t="n">
        <f aca="false">AE318+AJ318</f>
        <v>84878.4991535386</v>
      </c>
      <c r="AL318" s="20" t="n">
        <f aca="false">K318/H318</f>
        <v>0</v>
      </c>
      <c r="AM318" s="20" t="n">
        <f aca="false">AK318/H318</f>
        <v>16083.6</v>
      </c>
      <c r="AN318" s="20" t="n">
        <f aca="false">AC318/H318</f>
        <v>0</v>
      </c>
      <c r="AO318" s="20" t="n">
        <f aca="false">AF318/H318</f>
        <v>0</v>
      </c>
      <c r="AP318" s="20" t="n">
        <f aca="false">O318/H318</f>
        <v>0</v>
      </c>
      <c r="AQ318" s="20" t="n">
        <f aca="false">AH318/H318</f>
        <v>0</v>
      </c>
      <c r="AR318" s="20" t="n">
        <f aca="false">AI318/H318</f>
        <v>12450.88</v>
      </c>
      <c r="AS318" s="20" t="n">
        <f aca="false">MAX(0,AL318+AN318+AO318+AM318-AP318)</f>
        <v>16083.6</v>
      </c>
      <c r="AT318" s="20" t="n">
        <f aca="false">MAX(0,AQ318+AR318)</f>
        <v>12450.88</v>
      </c>
      <c r="AU318" s="20" t="n">
        <f aca="false">MIN(PR_PAYE,PR_PAYEcap*(AL318+AN318+AM318))</f>
        <v>2000</v>
      </c>
      <c r="AV318" s="20" t="n">
        <f aca="false">MIN(PR_PAYE,PR_PAYEcap*(AQ318+AR318))</f>
        <v>2000</v>
      </c>
      <c r="AW318" s="20" t="n">
        <f aca="false">IF(C318&gt;=PR_AgeCrAge,PR_AgeCr,0)</f>
        <v>245</v>
      </c>
      <c r="AX318" s="20" t="n">
        <f aca="false">IF(AG318&gt;=PR_AgeCrAge,PR_AgeCr,0)</f>
        <v>245</v>
      </c>
      <c r="AY318" s="20" t="n">
        <f aca="false">IF(AND(F_RentCred=1,D318&lt;=PR_RentLast),1,0)</f>
        <v>0</v>
      </c>
      <c r="AZ318" s="20" t="n">
        <f aca="false">AS318+AT318</f>
        <v>28534.48</v>
      </c>
      <c r="BA318" s="20" t="n">
        <f aca="false">PR_PersonalM+AU318+AV318+AW318+AX318+IF(AY318=1,PR_RentJoint,0)</f>
        <v>8490</v>
      </c>
      <c r="BB318" s="20" t="n">
        <f aca="false">PR_BandM+MIN(MIN(AS318,AT318),PR_Uplift)</f>
        <v>65450.88</v>
      </c>
      <c r="BC318" s="20" t="n">
        <f aca="false">MAX(0,PR_r1*MIN(AZ318,BB318)+PR_r2*MAX(0,AZ318-BB318)-BA318)</f>
        <v>0</v>
      </c>
      <c r="BD318" s="20" t="n">
        <f aca="false">MAX(0,PR_HomeCarer-MAX(0,MIN(AS318,AT318)-PR_HCLimit)/2)</f>
        <v>0</v>
      </c>
      <c r="BE318" s="20" t="n">
        <f aca="false">IF(F_Carer=1,MIN(BC318,MAX(0,PR_r1*MIN(AZ318,PR_BandM)+PR_r2*MAX(0,AZ318-PR_BandM)-BA318-BD318)),BC318)</f>
        <v>0</v>
      </c>
      <c r="BF318" s="20" t="n">
        <f aca="false">IF(OR(C318&gt;=PR_AgeCrAge,AG318&gt;=PR_AgeCrAge),IF(AZ318&lt;=PR_AgeExM,0,MIN(BE318,PR_AgeMarg*(AZ318-PR_AgeExM))),BE318)</f>
        <v>0</v>
      </c>
      <c r="BG318" s="20" t="n">
        <f aca="false">MAX(0,PR_r1*MIN(AS318,IF(F_Spccc=1,PR_BandSPCCC,PR_Band))+PR_r2*MAX(0,AS318-IF(F_Spccc=1,PR_BandSPCCC,PR_Band))-(PR_Personal+AU318+AW318+IF(F_Spccc=1,PR_SPCCC,0)+IF(AY318=1,PR_Rent,0)))</f>
        <v>0</v>
      </c>
      <c r="BH318" s="20" t="n">
        <f aca="false">IF(C318&gt;=PR_AgeCrAge,IF(AS318&lt;=PR_AgeEx,0,MIN(BG318,PR_AgeMarg*(AS318-PR_AgeEx))),BG318)</f>
        <v>0</v>
      </c>
      <c r="BI318" s="20" t="n">
        <f aca="false">IF(F_Partner=1,MAX(0,PR_r1*MIN(AT318,PR_Band)+PR_r2*MAX(0,AT318-PR_Band)-(PR_Personal+AV318+AX318+IF(AND(AY318=1,AT318&gt;0),PR_Rent,0))),0)</f>
        <v>0</v>
      </c>
      <c r="BJ318" s="20" t="n">
        <f aca="false">IF(AG318&gt;=PR_AgeCrAge,IF(AT318&lt;=PR_AgeEx,0,MIN(BI318,PR_AgeMarg*(AT318-PR_AgeEx))),BI318)</f>
        <v>0</v>
      </c>
      <c r="BK318" s="20" t="n">
        <f aca="false">IF(F_Partner=1,IF(F_Married=1,BF318,BH318+BJ318),BH318)</f>
        <v>0</v>
      </c>
      <c r="BL318" s="20" t="n">
        <f aca="false">AL318+AN318+AO318</f>
        <v>0</v>
      </c>
      <c r="BM318" s="20" t="n">
        <f aca="false">IF(BL318&lt;=PR_USCex,0,IF(IF(AND(C318&gt;=PR_USCredAge,BL318&lt;=PR_USCredMax),1,0)=1,PR_USCr1*MIN(BL318,PR_USCredB1)+PR_USCredR2*MAX(0,BL318-PR_USCredB1),PR_USCr1*MIN(BL318,PR_USCb1)+PR_USCr2*MAX(0,MIN(BL318,PR_USCb2)-PR_USCb1)+PR_USCr3*MAX(0,MIN(BL318,PR_USCb3)-PR_USCb2)+PR_USCr4*MAX(0,BL318-PR_USCb3)))+IF(F_SelfEmp=1,PR_USCse*MAX(0,AL318-PR_USCseOver),0)</f>
        <v>0</v>
      </c>
      <c r="BN318" s="20" t="n">
        <f aca="false">AQ318</f>
        <v>0</v>
      </c>
      <c r="BO318" s="20" t="n">
        <f aca="false">IF(F_Partner=1,IF(BN318&lt;=PR_USCex,0,IF(IF(AND(AG318&gt;=PR_USCredAge,BN318&lt;=PR_USCredMax),1,0)=1,PR_USCr1*MIN(BN318,PR_USCredB1)+PR_USCredR2*MAX(0,BN318-PR_USCredB1),PR_USCr1*MIN(BN318,PR_USCb1)+PR_USCr2*MAX(0,MIN(BN318,PR_USCb2)-PR_USCb1)+PR_USCr3*MAX(0,MIN(BN318,PR_USCb3)-PR_USCb2)+PR_USCr4*MAX(0,BN318-PR_USCb3))),0)</f>
        <v>0</v>
      </c>
      <c r="BP318" s="20" t="n">
        <f aca="false">IF(C318&lt;PR_PRSIend,IF(F_SelfEmp=1,IF(AL318&gt;PR_PRSIsMinInc,MAX(PR_PRSIsMin,AL318*J318),0),IF(AL318/52&lt;=PR_PRSIfree,0,MAX(0,(AL318/52*J318-IF(AL318/52&lt;=PR_PRSIcreditTo,MAX(0,PR_PRSIcreditMax-(AL318/52-(PR_PRSIfree+0.01))/PR_PRSItaper),0))*52)))+J318*AN318+IF(AO318&gt;PR_PRSIunearned,J318*AO318,0),0)</f>
        <v>0</v>
      </c>
      <c r="BQ318" s="20" t="n">
        <f aca="false">IF(AND(F_Partner=1,AG318&lt;PR_PRSIend),IF(AQ318/52&lt;=PR_PRSIfree,0,MAX(0,(AQ318/52*J318-IF(AQ318/52&lt;=PR_PRSIcreditTo,MAX(0,PR_PRSIcreditMax-(AQ318/52-(PR_PRSIfree+0.01))/PR_PRSItaper),0))*52)),0)</f>
        <v>0</v>
      </c>
      <c r="BR318" s="20" t="n">
        <f aca="false">BK318+BM318+BO318+BP318+BQ318</f>
        <v>0</v>
      </c>
      <c r="BS318" s="20" t="n">
        <f aca="false">BR318*H318</f>
        <v>0</v>
      </c>
      <c r="BT318" s="20" t="n">
        <f aca="false">K318+AK318+AC318+AF318+AH318+AI318</f>
        <v>150585.92830751</v>
      </c>
    </row>
    <row r="319" customFormat="false" ht="15" hidden="false" customHeight="true" outlineLevel="0" collapsed="false">
      <c r="B319" s="20" t="n">
        <v>85</v>
      </c>
      <c r="C319" s="20" t="n">
        <f aca="false">F_Age+B319</f>
        <v>123</v>
      </c>
      <c r="D319" s="20" t="n">
        <f aca="false">AS_Year0+B319</f>
        <v>2112</v>
      </c>
      <c r="E319" s="44" t="n">
        <f aca="false">(1+AS_Infl)^B319</f>
        <v>5.38287877941564</v>
      </c>
      <c r="F319" s="44" t="n">
        <f aca="false">(1+AS_Wage)^B319</f>
        <v>12.3357085495333</v>
      </c>
      <c r="G319" s="20" t="n">
        <f aca="false">IF(C319&lt;F_R,1,0)</f>
        <v>0</v>
      </c>
      <c r="H319" s="44" t="n">
        <f aca="false">IF(AS_Bands="flat",1,E319)</f>
        <v>5.38287877941564</v>
      </c>
      <c r="I319" s="44" t="n">
        <f aca="false">IF(AS_SpGrow="pay",F319,IF(AS_SpGrow="flat",1,E319))</f>
        <v>5.38287877941564</v>
      </c>
      <c r="J319" s="44" t="n">
        <f aca="false">(12*PR_PRSIr0+(PR_PRSIr1-PR_PRSIr0)*MAX(0,MIN(12,D319*12+12-PR_PRSIt1))+(PR_PRSIr2-PR_PRSIr1)*MAX(0,MIN(12,D319*12+12-PR_PRSIt2))+(PR_PRSIr3-PR_PRSIr2)*MAX(0,MIN(12,D319*12+12-PR_PRSIt3)))/12</f>
        <v>0.047</v>
      </c>
      <c r="K319" s="20" t="n">
        <f aca="false">IF(G319=1,F_Income*F319,0)</f>
        <v>0</v>
      </c>
      <c r="L319" s="20" t="n">
        <f aca="false">IF(G319=1,(F_Own+In_penExtra)*12*F319,0)</f>
        <v>0</v>
      </c>
      <c r="M319" s="20" t="n">
        <f aca="false">IF(G319=1,(F_PenM+In_penExtra)*12*F319,0)</f>
        <v>0</v>
      </c>
      <c r="N319" s="45" t="n">
        <f aca="false">IF(C319&lt;PR_RelA1,PR_RelP1,IF(C319&lt;PR_RelA2,PR_RelP2,IF(C319&lt;PR_RelA3,PR_RelP3,IF(C319&lt;PR_RelA4,PR_RelP4,IF(C319&lt;PR_RelA5,PR_RelP5,PR_RelP6)))))</f>
        <v>0.4</v>
      </c>
      <c r="O319" s="20" t="n">
        <f aca="false">IF(G319=1,MIN(L319/H319,N319*MIN(K319/H319,PR_EarnCap))*H319,0)</f>
        <v>0</v>
      </c>
      <c r="P319" s="20" t="n">
        <f aca="false">IF(AND(G319=1,F_AE=1),MIN(K319/H319,PR_AEcap)*H319,0)</f>
        <v>0</v>
      </c>
      <c r="Q319" s="20" t="n">
        <f aca="false">IF(G319=1,IF(WI_Retire=1,MAX(0,M319+WI_M*12),M319)+(PR_AEee+PR_AEer+PR_AEst)*P319,0)</f>
        <v>0</v>
      </c>
      <c r="R319" s="20" t="n">
        <f aca="false">L319+PR_AEee*P319</f>
        <v>0</v>
      </c>
      <c r="S319" s="20" t="n">
        <f aca="false">AD318</f>
        <v>0</v>
      </c>
      <c r="T319" s="20" t="n">
        <f aca="false">IF(D319&lt;=PR_SFTfrom,PR_SFT2026,IF(D319=PR_SFTfrom+1,PR_SFT2027,IF(D319=PR_SFTfrom+2,PR_SFT2028,IF(D319&lt;=PR_SFTto,PR_SFT2029,PR_SFT2029*(1+AS_Infl)^(D319-PR_SFTto)))))</f>
        <v>14486794.1006957</v>
      </c>
      <c r="U319" s="20" t="n">
        <f aca="false">IF(AND(G319=0,C319=F_V),1,0)</f>
        <v>0</v>
      </c>
      <c r="V319" s="20" t="n">
        <f aca="false">IF(U319=1,PR_SFTrate*MAX(0,S319-T319),0)</f>
        <v>0</v>
      </c>
      <c r="W319" s="20" t="n">
        <f aca="false">S319-V319</f>
        <v>0</v>
      </c>
      <c r="X319" s="20" t="n">
        <f aca="false">IF(AND(U319=1,AS_LumpPct&gt;0),W319*MIN(AS_LumpPct,PR_LSmax),0)</f>
        <v>0</v>
      </c>
      <c r="Y319" s="20" t="n">
        <f aca="false">X319-(PR_LSrate*MAX(0,MIN(X319,PR_LScap)-PR_LSfree)+PR_r2*MAX(0,X319-PR_LScap))</f>
        <v>0</v>
      </c>
      <c r="Z319" s="20" t="n">
        <f aca="false">W319-X319</f>
        <v>0</v>
      </c>
      <c r="AA319" s="45" t="n">
        <f aca="false">IF(C319&gt;=PR_ARFage1,IF(Z319&gt;PR_ARFbig,PR_ARFbigRate,IF(C319&gt;=PR_ARFage2,PR_ARF71,PR_ARF61)),0)</f>
        <v>0.05</v>
      </c>
      <c r="AB319" s="20" t="n">
        <f aca="false">IF(AS_DrawRule="min",Z319*AA319,IF(AS_DrawRule="fixed",MAX(AS_DrawFixed*E319,Z319*AA319),Z319*MAX(1/MAX(1,AS_End-C319+1),AA319)))</f>
        <v>0</v>
      </c>
      <c r="AC319" s="20" t="n">
        <f aca="false">IF(AND(G319=0,C319&gt;=F_V),MIN(Z319,AB319),0)</f>
        <v>0</v>
      </c>
      <c r="AD319" s="20" t="n">
        <f aca="false">IF(G319=1,S319*(1+F_PenG)+Q319,IF(C319&lt;F_V,S319*(1+F_PenG),(Z319-AC319)*(1+AS_PenRet)))</f>
        <v>0</v>
      </c>
      <c r="AE319" s="20" t="n">
        <f aca="false">IF(C319&gt;=PR_SPage,AS_SP*F_SpF*I319+IF(AND(C319&gt;=PR_Over80Age,F_SpF&gt;0),PR_Over80*PR_Weeks*I319,0),0)</f>
        <v>86576.0691366094</v>
      </c>
      <c r="AF319" s="20" t="n">
        <f aca="false">(F_OtherM+F_RentM)*12*E319</f>
        <v>0</v>
      </c>
      <c r="AG319" s="20" t="n">
        <f aca="false">F_PAge+B319</f>
        <v>122</v>
      </c>
      <c r="AH319" s="20" t="n">
        <f aca="false">IF(AND(F_Partner=1,F_PAge&gt;0,AG319&lt;IF(F_PRet&gt;0,F_PRet,PR_SPage)),F_PIncome*F319,0)</f>
        <v>0</v>
      </c>
      <c r="AI319" s="20" t="n">
        <f aca="false">IF(AND(F_Partner=1,AG319&gt;=PR_SPage,F_PSpQA=0),AS_SP*F_PSpF*I319,0)</f>
        <v>67021.5777370506</v>
      </c>
      <c r="AJ319" s="20" t="n">
        <f aca="false">IF(AND(F_Partner=1,F_PSpQA=1,C319&gt;=PR_SPage,AH319=0),IF(AG319&gt;=PR_SPage,PR_QA66,PR_QAunder)*PR_Weeks*I319,0)</f>
        <v>0</v>
      </c>
      <c r="AK319" s="20" t="n">
        <f aca="false">AE319+AJ319</f>
        <v>86576.0691366094</v>
      </c>
      <c r="AL319" s="20" t="n">
        <f aca="false">K319/H319</f>
        <v>0</v>
      </c>
      <c r="AM319" s="20" t="n">
        <f aca="false">AK319/H319</f>
        <v>16083.6</v>
      </c>
      <c r="AN319" s="20" t="n">
        <f aca="false">AC319/H319</f>
        <v>0</v>
      </c>
      <c r="AO319" s="20" t="n">
        <f aca="false">AF319/H319</f>
        <v>0</v>
      </c>
      <c r="AP319" s="20" t="n">
        <f aca="false">O319/H319</f>
        <v>0</v>
      </c>
      <c r="AQ319" s="20" t="n">
        <f aca="false">AH319/H319</f>
        <v>0</v>
      </c>
      <c r="AR319" s="20" t="n">
        <f aca="false">AI319/H319</f>
        <v>12450.88</v>
      </c>
      <c r="AS319" s="20" t="n">
        <f aca="false">MAX(0,AL319+AN319+AO319+AM319-AP319)</f>
        <v>16083.6</v>
      </c>
      <c r="AT319" s="20" t="n">
        <f aca="false">MAX(0,AQ319+AR319)</f>
        <v>12450.88</v>
      </c>
      <c r="AU319" s="20" t="n">
        <f aca="false">MIN(PR_PAYE,PR_PAYEcap*(AL319+AN319+AM319))</f>
        <v>2000</v>
      </c>
      <c r="AV319" s="20" t="n">
        <f aca="false">MIN(PR_PAYE,PR_PAYEcap*(AQ319+AR319))</f>
        <v>2000</v>
      </c>
      <c r="AW319" s="20" t="n">
        <f aca="false">IF(C319&gt;=PR_AgeCrAge,PR_AgeCr,0)</f>
        <v>245</v>
      </c>
      <c r="AX319" s="20" t="n">
        <f aca="false">IF(AG319&gt;=PR_AgeCrAge,PR_AgeCr,0)</f>
        <v>245</v>
      </c>
      <c r="AY319" s="20" t="n">
        <f aca="false">IF(AND(F_RentCred=1,D319&lt;=PR_RentLast),1,0)</f>
        <v>0</v>
      </c>
      <c r="AZ319" s="20" t="n">
        <f aca="false">AS319+AT319</f>
        <v>28534.48</v>
      </c>
      <c r="BA319" s="20" t="n">
        <f aca="false">PR_PersonalM+AU319+AV319+AW319+AX319+IF(AY319=1,PR_RentJoint,0)</f>
        <v>8490</v>
      </c>
      <c r="BB319" s="20" t="n">
        <f aca="false">PR_BandM+MIN(MIN(AS319,AT319),PR_Uplift)</f>
        <v>65450.88</v>
      </c>
      <c r="BC319" s="20" t="n">
        <f aca="false">MAX(0,PR_r1*MIN(AZ319,BB319)+PR_r2*MAX(0,AZ319-BB319)-BA319)</f>
        <v>0</v>
      </c>
      <c r="BD319" s="20" t="n">
        <f aca="false">MAX(0,PR_HomeCarer-MAX(0,MIN(AS319,AT319)-PR_HCLimit)/2)</f>
        <v>0</v>
      </c>
      <c r="BE319" s="20" t="n">
        <f aca="false">IF(F_Carer=1,MIN(BC319,MAX(0,PR_r1*MIN(AZ319,PR_BandM)+PR_r2*MAX(0,AZ319-PR_BandM)-BA319-BD319)),BC319)</f>
        <v>0</v>
      </c>
      <c r="BF319" s="20" t="n">
        <f aca="false">IF(OR(C319&gt;=PR_AgeCrAge,AG319&gt;=PR_AgeCrAge),IF(AZ319&lt;=PR_AgeExM,0,MIN(BE319,PR_AgeMarg*(AZ319-PR_AgeExM))),BE319)</f>
        <v>0</v>
      </c>
      <c r="BG319" s="20" t="n">
        <f aca="false">MAX(0,PR_r1*MIN(AS319,IF(F_Spccc=1,PR_BandSPCCC,PR_Band))+PR_r2*MAX(0,AS319-IF(F_Spccc=1,PR_BandSPCCC,PR_Band))-(PR_Personal+AU319+AW319+IF(F_Spccc=1,PR_SPCCC,0)+IF(AY319=1,PR_Rent,0)))</f>
        <v>0</v>
      </c>
      <c r="BH319" s="20" t="n">
        <f aca="false">IF(C319&gt;=PR_AgeCrAge,IF(AS319&lt;=PR_AgeEx,0,MIN(BG319,PR_AgeMarg*(AS319-PR_AgeEx))),BG319)</f>
        <v>0</v>
      </c>
      <c r="BI319" s="20" t="n">
        <f aca="false">IF(F_Partner=1,MAX(0,PR_r1*MIN(AT319,PR_Band)+PR_r2*MAX(0,AT319-PR_Band)-(PR_Personal+AV319+AX319+IF(AND(AY319=1,AT319&gt;0),PR_Rent,0))),0)</f>
        <v>0</v>
      </c>
      <c r="BJ319" s="20" t="n">
        <f aca="false">IF(AG319&gt;=PR_AgeCrAge,IF(AT319&lt;=PR_AgeEx,0,MIN(BI319,PR_AgeMarg*(AT319-PR_AgeEx))),BI319)</f>
        <v>0</v>
      </c>
      <c r="BK319" s="20" t="n">
        <f aca="false">IF(F_Partner=1,IF(F_Married=1,BF319,BH319+BJ319),BH319)</f>
        <v>0</v>
      </c>
      <c r="BL319" s="20" t="n">
        <f aca="false">AL319+AN319+AO319</f>
        <v>0</v>
      </c>
      <c r="BM319" s="20" t="n">
        <f aca="false">IF(BL319&lt;=PR_USCex,0,IF(IF(AND(C319&gt;=PR_USCredAge,BL319&lt;=PR_USCredMax),1,0)=1,PR_USCr1*MIN(BL319,PR_USCredB1)+PR_USCredR2*MAX(0,BL319-PR_USCredB1),PR_USCr1*MIN(BL319,PR_USCb1)+PR_USCr2*MAX(0,MIN(BL319,PR_USCb2)-PR_USCb1)+PR_USCr3*MAX(0,MIN(BL319,PR_USCb3)-PR_USCb2)+PR_USCr4*MAX(0,BL319-PR_USCb3)))+IF(F_SelfEmp=1,PR_USCse*MAX(0,AL319-PR_USCseOver),0)</f>
        <v>0</v>
      </c>
      <c r="BN319" s="20" t="n">
        <f aca="false">AQ319</f>
        <v>0</v>
      </c>
      <c r="BO319" s="20" t="n">
        <f aca="false">IF(F_Partner=1,IF(BN319&lt;=PR_USCex,0,IF(IF(AND(AG319&gt;=PR_USCredAge,BN319&lt;=PR_USCredMax),1,0)=1,PR_USCr1*MIN(BN319,PR_USCredB1)+PR_USCredR2*MAX(0,BN319-PR_USCredB1),PR_USCr1*MIN(BN319,PR_USCb1)+PR_USCr2*MAX(0,MIN(BN319,PR_USCb2)-PR_USCb1)+PR_USCr3*MAX(0,MIN(BN319,PR_USCb3)-PR_USCb2)+PR_USCr4*MAX(0,BN319-PR_USCb3))),0)</f>
        <v>0</v>
      </c>
      <c r="BP319" s="20" t="n">
        <f aca="false">IF(C319&lt;PR_PRSIend,IF(F_SelfEmp=1,IF(AL319&gt;PR_PRSIsMinInc,MAX(PR_PRSIsMin,AL319*J319),0),IF(AL319/52&lt;=PR_PRSIfree,0,MAX(0,(AL319/52*J319-IF(AL319/52&lt;=PR_PRSIcreditTo,MAX(0,PR_PRSIcreditMax-(AL319/52-(PR_PRSIfree+0.01))/PR_PRSItaper),0))*52)))+J319*AN319+IF(AO319&gt;PR_PRSIunearned,J319*AO319,0),0)</f>
        <v>0</v>
      </c>
      <c r="BQ319" s="20" t="n">
        <f aca="false">IF(AND(F_Partner=1,AG319&lt;PR_PRSIend),IF(AQ319/52&lt;=PR_PRSIfree,0,MAX(0,(AQ319/52*J319-IF(AQ319/52&lt;=PR_PRSIcreditTo,MAX(0,PR_PRSIcreditMax-(AQ319/52-(PR_PRSIfree+0.01))/PR_PRSItaper),0))*52)),0)</f>
        <v>0</v>
      </c>
      <c r="BR319" s="20" t="n">
        <f aca="false">BK319+BM319+BO319+BP319+BQ319</f>
        <v>0</v>
      </c>
      <c r="BS319" s="20" t="n">
        <f aca="false">BR319*H319</f>
        <v>0</v>
      </c>
      <c r="BT319" s="20" t="n">
        <f aca="false">K319+AK319+AC319+AF319+AH319+AI319</f>
        <v>153597.64687366</v>
      </c>
    </row>
    <row r="320" customFormat="false" ht="15" hidden="false" customHeight="true" outlineLevel="0" collapsed="false">
      <c r="B320" s="20" t="n">
        <v>86</v>
      </c>
      <c r="C320" s="20" t="n">
        <f aca="false">F_Age+B320</f>
        <v>124</v>
      </c>
      <c r="D320" s="20" t="n">
        <f aca="false">AS_Year0+B320</f>
        <v>2113</v>
      </c>
      <c r="E320" s="44" t="n">
        <f aca="false">(1+AS_Infl)^B320</f>
        <v>5.49053635500395</v>
      </c>
      <c r="F320" s="44" t="n">
        <f aca="false">(1+AS_Wage)^B320</f>
        <v>12.7057798060193</v>
      </c>
      <c r="G320" s="20" t="n">
        <f aca="false">IF(C320&lt;F_R,1,0)</f>
        <v>0</v>
      </c>
      <c r="H320" s="44" t="n">
        <f aca="false">IF(AS_Bands="flat",1,E320)</f>
        <v>5.49053635500395</v>
      </c>
      <c r="I320" s="44" t="n">
        <f aca="false">IF(AS_SpGrow="pay",F320,IF(AS_SpGrow="flat",1,E320))</f>
        <v>5.49053635500395</v>
      </c>
      <c r="J320" s="44" t="n">
        <f aca="false">(12*PR_PRSIr0+(PR_PRSIr1-PR_PRSIr0)*MAX(0,MIN(12,D320*12+12-PR_PRSIt1))+(PR_PRSIr2-PR_PRSIr1)*MAX(0,MIN(12,D320*12+12-PR_PRSIt2))+(PR_PRSIr3-PR_PRSIr2)*MAX(0,MIN(12,D320*12+12-PR_PRSIt3)))/12</f>
        <v>0.047</v>
      </c>
      <c r="K320" s="20" t="n">
        <f aca="false">IF(G320=1,F_Income*F320,0)</f>
        <v>0</v>
      </c>
      <c r="L320" s="20" t="n">
        <f aca="false">IF(G320=1,(F_Own+In_penExtra)*12*F320,0)</f>
        <v>0</v>
      </c>
      <c r="M320" s="20" t="n">
        <f aca="false">IF(G320=1,(F_PenM+In_penExtra)*12*F320,0)</f>
        <v>0</v>
      </c>
      <c r="N320" s="45" t="n">
        <f aca="false">IF(C320&lt;PR_RelA1,PR_RelP1,IF(C320&lt;PR_RelA2,PR_RelP2,IF(C320&lt;PR_RelA3,PR_RelP3,IF(C320&lt;PR_RelA4,PR_RelP4,IF(C320&lt;PR_RelA5,PR_RelP5,PR_RelP6)))))</f>
        <v>0.4</v>
      </c>
      <c r="O320" s="20" t="n">
        <f aca="false">IF(G320=1,MIN(L320/H320,N320*MIN(K320/H320,PR_EarnCap))*H320,0)</f>
        <v>0</v>
      </c>
      <c r="P320" s="20" t="n">
        <f aca="false">IF(AND(G320=1,F_AE=1),MIN(K320/H320,PR_AEcap)*H320,0)</f>
        <v>0</v>
      </c>
      <c r="Q320" s="20" t="n">
        <f aca="false">IF(G320=1,IF(WI_Retire=1,MAX(0,M320+WI_M*12),M320)+(PR_AEee+PR_AEer+PR_AEst)*P320,0)</f>
        <v>0</v>
      </c>
      <c r="R320" s="20" t="n">
        <f aca="false">L320+PR_AEee*P320</f>
        <v>0</v>
      </c>
      <c r="S320" s="20" t="n">
        <f aca="false">AD319</f>
        <v>0</v>
      </c>
      <c r="T320" s="20" t="n">
        <f aca="false">IF(D320&lt;=PR_SFTfrom,PR_SFT2026,IF(D320=PR_SFTfrom+1,PR_SFT2027,IF(D320=PR_SFTfrom+2,PR_SFT2028,IF(D320&lt;=PR_SFTto,PR_SFT2029,PR_SFT2029*(1+AS_Infl)^(D320-PR_SFTto)))))</f>
        <v>14776529.9827096</v>
      </c>
      <c r="U320" s="20" t="n">
        <f aca="false">IF(AND(G320=0,C320=F_V),1,0)</f>
        <v>0</v>
      </c>
      <c r="V320" s="20" t="n">
        <f aca="false">IF(U320=1,PR_SFTrate*MAX(0,S320-T320),0)</f>
        <v>0</v>
      </c>
      <c r="W320" s="20" t="n">
        <f aca="false">S320-V320</f>
        <v>0</v>
      </c>
      <c r="X320" s="20" t="n">
        <f aca="false">IF(AND(U320=1,AS_LumpPct&gt;0),W320*MIN(AS_LumpPct,PR_LSmax),0)</f>
        <v>0</v>
      </c>
      <c r="Y320" s="20" t="n">
        <f aca="false">X320-(PR_LSrate*MAX(0,MIN(X320,PR_LScap)-PR_LSfree)+PR_r2*MAX(0,X320-PR_LScap))</f>
        <v>0</v>
      </c>
      <c r="Z320" s="20" t="n">
        <f aca="false">W320-X320</f>
        <v>0</v>
      </c>
      <c r="AA320" s="45" t="n">
        <f aca="false">IF(C320&gt;=PR_ARFage1,IF(Z320&gt;PR_ARFbig,PR_ARFbigRate,IF(C320&gt;=PR_ARFage2,PR_ARF71,PR_ARF61)),0)</f>
        <v>0.05</v>
      </c>
      <c r="AB320" s="20" t="n">
        <f aca="false">IF(AS_DrawRule="min",Z320*AA320,IF(AS_DrawRule="fixed",MAX(AS_DrawFixed*E320,Z320*AA320),Z320*MAX(1/MAX(1,AS_End-C320+1),AA320)))</f>
        <v>0</v>
      </c>
      <c r="AC320" s="20" t="n">
        <f aca="false">IF(AND(G320=0,C320&gt;=F_V),MIN(Z320,AB320),0)</f>
        <v>0</v>
      </c>
      <c r="AD320" s="20" t="n">
        <f aca="false">IF(G320=1,S320*(1+F_PenG)+Q320,IF(C320&lt;F_V,S320*(1+F_PenG),(Z320-AC320)*(1+AS_PenRet)))</f>
        <v>0</v>
      </c>
      <c r="AE320" s="20" t="n">
        <f aca="false">IF(C320&gt;=PR_SPage,AS_SP*F_SpF*I320+IF(AND(C320&gt;=PR_Over80Age,F_SpF&gt;0),PR_Over80*PR_Weeks*I320,0),0)</f>
        <v>88307.5905193416</v>
      </c>
      <c r="AF320" s="20" t="n">
        <f aca="false">(F_OtherM+F_RentM)*12*E320</f>
        <v>0</v>
      </c>
      <c r="AG320" s="20" t="n">
        <f aca="false">F_PAge+B320</f>
        <v>123</v>
      </c>
      <c r="AH320" s="20" t="n">
        <f aca="false">IF(AND(F_Partner=1,F_PAge&gt;0,AG320&lt;IF(F_PRet&gt;0,F_PRet,PR_SPage)),F_PIncome*F320,0)</f>
        <v>0</v>
      </c>
      <c r="AI320" s="20" t="n">
        <f aca="false">IF(AND(F_Partner=1,AG320&gt;=PR_SPage,F_PSpQA=0),AS_SP*F_PSpF*I320,0)</f>
        <v>68362.0092917916</v>
      </c>
      <c r="AJ320" s="20" t="n">
        <f aca="false">IF(AND(F_Partner=1,F_PSpQA=1,C320&gt;=PR_SPage,AH320=0),IF(AG320&gt;=PR_SPage,PR_QA66,PR_QAunder)*PR_Weeks*I320,0)</f>
        <v>0</v>
      </c>
      <c r="AK320" s="20" t="n">
        <f aca="false">AE320+AJ320</f>
        <v>88307.5905193416</v>
      </c>
      <c r="AL320" s="20" t="n">
        <f aca="false">K320/H320</f>
        <v>0</v>
      </c>
      <c r="AM320" s="20" t="n">
        <f aca="false">AK320/H320</f>
        <v>16083.6</v>
      </c>
      <c r="AN320" s="20" t="n">
        <f aca="false">AC320/H320</f>
        <v>0</v>
      </c>
      <c r="AO320" s="20" t="n">
        <f aca="false">AF320/H320</f>
        <v>0</v>
      </c>
      <c r="AP320" s="20" t="n">
        <f aca="false">O320/H320</f>
        <v>0</v>
      </c>
      <c r="AQ320" s="20" t="n">
        <f aca="false">AH320/H320</f>
        <v>0</v>
      </c>
      <c r="AR320" s="20" t="n">
        <f aca="false">AI320/H320</f>
        <v>12450.88</v>
      </c>
      <c r="AS320" s="20" t="n">
        <f aca="false">MAX(0,AL320+AN320+AO320+AM320-AP320)</f>
        <v>16083.6</v>
      </c>
      <c r="AT320" s="20" t="n">
        <f aca="false">MAX(0,AQ320+AR320)</f>
        <v>12450.88</v>
      </c>
      <c r="AU320" s="20" t="n">
        <f aca="false">MIN(PR_PAYE,PR_PAYEcap*(AL320+AN320+AM320))</f>
        <v>2000</v>
      </c>
      <c r="AV320" s="20" t="n">
        <f aca="false">MIN(PR_PAYE,PR_PAYEcap*(AQ320+AR320))</f>
        <v>2000</v>
      </c>
      <c r="AW320" s="20" t="n">
        <f aca="false">IF(C320&gt;=PR_AgeCrAge,PR_AgeCr,0)</f>
        <v>245</v>
      </c>
      <c r="AX320" s="20" t="n">
        <f aca="false">IF(AG320&gt;=PR_AgeCrAge,PR_AgeCr,0)</f>
        <v>245</v>
      </c>
      <c r="AY320" s="20" t="n">
        <f aca="false">IF(AND(F_RentCred=1,D320&lt;=PR_RentLast),1,0)</f>
        <v>0</v>
      </c>
      <c r="AZ320" s="20" t="n">
        <f aca="false">AS320+AT320</f>
        <v>28534.48</v>
      </c>
      <c r="BA320" s="20" t="n">
        <f aca="false">PR_PersonalM+AU320+AV320+AW320+AX320+IF(AY320=1,PR_RentJoint,0)</f>
        <v>8490</v>
      </c>
      <c r="BB320" s="20" t="n">
        <f aca="false">PR_BandM+MIN(MIN(AS320,AT320),PR_Uplift)</f>
        <v>65450.88</v>
      </c>
      <c r="BC320" s="20" t="n">
        <f aca="false">MAX(0,PR_r1*MIN(AZ320,BB320)+PR_r2*MAX(0,AZ320-BB320)-BA320)</f>
        <v>0</v>
      </c>
      <c r="BD320" s="20" t="n">
        <f aca="false">MAX(0,PR_HomeCarer-MAX(0,MIN(AS320,AT320)-PR_HCLimit)/2)</f>
        <v>0</v>
      </c>
      <c r="BE320" s="20" t="n">
        <f aca="false">IF(F_Carer=1,MIN(BC320,MAX(0,PR_r1*MIN(AZ320,PR_BandM)+PR_r2*MAX(0,AZ320-PR_BandM)-BA320-BD320)),BC320)</f>
        <v>0</v>
      </c>
      <c r="BF320" s="20" t="n">
        <f aca="false">IF(OR(C320&gt;=PR_AgeCrAge,AG320&gt;=PR_AgeCrAge),IF(AZ320&lt;=PR_AgeExM,0,MIN(BE320,PR_AgeMarg*(AZ320-PR_AgeExM))),BE320)</f>
        <v>0</v>
      </c>
      <c r="BG320" s="20" t="n">
        <f aca="false">MAX(0,PR_r1*MIN(AS320,IF(F_Spccc=1,PR_BandSPCCC,PR_Band))+PR_r2*MAX(0,AS320-IF(F_Spccc=1,PR_BandSPCCC,PR_Band))-(PR_Personal+AU320+AW320+IF(F_Spccc=1,PR_SPCCC,0)+IF(AY320=1,PR_Rent,0)))</f>
        <v>0</v>
      </c>
      <c r="BH320" s="20" t="n">
        <f aca="false">IF(C320&gt;=PR_AgeCrAge,IF(AS320&lt;=PR_AgeEx,0,MIN(BG320,PR_AgeMarg*(AS320-PR_AgeEx))),BG320)</f>
        <v>0</v>
      </c>
      <c r="BI320" s="20" t="n">
        <f aca="false">IF(F_Partner=1,MAX(0,PR_r1*MIN(AT320,PR_Band)+PR_r2*MAX(0,AT320-PR_Band)-(PR_Personal+AV320+AX320+IF(AND(AY320=1,AT320&gt;0),PR_Rent,0))),0)</f>
        <v>0</v>
      </c>
      <c r="BJ320" s="20" t="n">
        <f aca="false">IF(AG320&gt;=PR_AgeCrAge,IF(AT320&lt;=PR_AgeEx,0,MIN(BI320,PR_AgeMarg*(AT320-PR_AgeEx))),BI320)</f>
        <v>0</v>
      </c>
      <c r="BK320" s="20" t="n">
        <f aca="false">IF(F_Partner=1,IF(F_Married=1,BF320,BH320+BJ320),BH320)</f>
        <v>0</v>
      </c>
      <c r="BL320" s="20" t="n">
        <f aca="false">AL320+AN320+AO320</f>
        <v>0</v>
      </c>
      <c r="BM320" s="20" t="n">
        <f aca="false">IF(BL320&lt;=PR_USCex,0,IF(IF(AND(C320&gt;=PR_USCredAge,BL320&lt;=PR_USCredMax),1,0)=1,PR_USCr1*MIN(BL320,PR_USCredB1)+PR_USCredR2*MAX(0,BL320-PR_USCredB1),PR_USCr1*MIN(BL320,PR_USCb1)+PR_USCr2*MAX(0,MIN(BL320,PR_USCb2)-PR_USCb1)+PR_USCr3*MAX(0,MIN(BL320,PR_USCb3)-PR_USCb2)+PR_USCr4*MAX(0,BL320-PR_USCb3)))+IF(F_SelfEmp=1,PR_USCse*MAX(0,AL320-PR_USCseOver),0)</f>
        <v>0</v>
      </c>
      <c r="BN320" s="20" t="n">
        <f aca="false">AQ320</f>
        <v>0</v>
      </c>
      <c r="BO320" s="20" t="n">
        <f aca="false">IF(F_Partner=1,IF(BN320&lt;=PR_USCex,0,IF(IF(AND(AG320&gt;=PR_USCredAge,BN320&lt;=PR_USCredMax),1,0)=1,PR_USCr1*MIN(BN320,PR_USCredB1)+PR_USCredR2*MAX(0,BN320-PR_USCredB1),PR_USCr1*MIN(BN320,PR_USCb1)+PR_USCr2*MAX(0,MIN(BN320,PR_USCb2)-PR_USCb1)+PR_USCr3*MAX(0,MIN(BN320,PR_USCb3)-PR_USCb2)+PR_USCr4*MAX(0,BN320-PR_USCb3))),0)</f>
        <v>0</v>
      </c>
      <c r="BP320" s="20" t="n">
        <f aca="false">IF(C320&lt;PR_PRSIend,IF(F_SelfEmp=1,IF(AL320&gt;PR_PRSIsMinInc,MAX(PR_PRSIsMin,AL320*J320),0),IF(AL320/52&lt;=PR_PRSIfree,0,MAX(0,(AL320/52*J320-IF(AL320/52&lt;=PR_PRSIcreditTo,MAX(0,PR_PRSIcreditMax-(AL320/52-(PR_PRSIfree+0.01))/PR_PRSItaper),0))*52)))+J320*AN320+IF(AO320&gt;PR_PRSIunearned,J320*AO320,0),0)</f>
        <v>0</v>
      </c>
      <c r="BQ320" s="20" t="n">
        <f aca="false">IF(AND(F_Partner=1,AG320&lt;PR_PRSIend),IF(AQ320/52&lt;=PR_PRSIfree,0,MAX(0,(AQ320/52*J320-IF(AQ320/52&lt;=PR_PRSIcreditTo,MAX(0,PR_PRSIcreditMax-(AQ320/52-(PR_PRSIfree+0.01))/PR_PRSItaper),0))*52)),0)</f>
        <v>0</v>
      </c>
      <c r="BR320" s="20" t="n">
        <f aca="false">BK320+BM320+BO320+BP320+BQ320</f>
        <v>0</v>
      </c>
      <c r="BS320" s="20" t="n">
        <f aca="false">BR320*H320</f>
        <v>0</v>
      </c>
      <c r="BT320" s="20" t="n">
        <f aca="false">K320+AK320+AC320+AF320+AH320+AI320</f>
        <v>156669.599811133</v>
      </c>
    </row>
    <row r="321" customFormat="false" ht="15" hidden="false" customHeight="true" outlineLevel="0" collapsed="false">
      <c r="B321" s="20" t="n">
        <v>87</v>
      </c>
      <c r="C321" s="20" t="n">
        <f aca="false">F_Age+B321</f>
        <v>125</v>
      </c>
      <c r="D321" s="20" t="n">
        <f aca="false">AS_Year0+B321</f>
        <v>2114</v>
      </c>
      <c r="E321" s="44" t="n">
        <f aca="false">(1+AS_Infl)^B321</f>
        <v>5.60034708210403</v>
      </c>
      <c r="F321" s="44" t="n">
        <f aca="false">(1+AS_Wage)^B321</f>
        <v>13.0869532001998</v>
      </c>
      <c r="G321" s="20" t="n">
        <f aca="false">IF(C321&lt;F_R,1,0)</f>
        <v>0</v>
      </c>
      <c r="H321" s="44" t="n">
        <f aca="false">IF(AS_Bands="flat",1,E321)</f>
        <v>5.60034708210403</v>
      </c>
      <c r="I321" s="44" t="n">
        <f aca="false">IF(AS_SpGrow="pay",F321,IF(AS_SpGrow="flat",1,E321))</f>
        <v>5.60034708210403</v>
      </c>
      <c r="J321" s="44" t="n">
        <f aca="false">(12*PR_PRSIr0+(PR_PRSIr1-PR_PRSIr0)*MAX(0,MIN(12,D321*12+12-PR_PRSIt1))+(PR_PRSIr2-PR_PRSIr1)*MAX(0,MIN(12,D321*12+12-PR_PRSIt2))+(PR_PRSIr3-PR_PRSIr2)*MAX(0,MIN(12,D321*12+12-PR_PRSIt3)))/12</f>
        <v>0.047</v>
      </c>
      <c r="K321" s="20" t="n">
        <f aca="false">IF(G321=1,F_Income*F321,0)</f>
        <v>0</v>
      </c>
      <c r="L321" s="20" t="n">
        <f aca="false">IF(G321=1,(F_Own+In_penExtra)*12*F321,0)</f>
        <v>0</v>
      </c>
      <c r="M321" s="20" t="n">
        <f aca="false">IF(G321=1,(F_PenM+In_penExtra)*12*F321,0)</f>
        <v>0</v>
      </c>
      <c r="N321" s="45" t="n">
        <f aca="false">IF(C321&lt;PR_RelA1,PR_RelP1,IF(C321&lt;PR_RelA2,PR_RelP2,IF(C321&lt;PR_RelA3,PR_RelP3,IF(C321&lt;PR_RelA4,PR_RelP4,IF(C321&lt;PR_RelA5,PR_RelP5,PR_RelP6)))))</f>
        <v>0.4</v>
      </c>
      <c r="O321" s="20" t="n">
        <f aca="false">IF(G321=1,MIN(L321/H321,N321*MIN(K321/H321,PR_EarnCap))*H321,0)</f>
        <v>0</v>
      </c>
      <c r="P321" s="20" t="n">
        <f aca="false">IF(AND(G321=1,F_AE=1),MIN(K321/H321,PR_AEcap)*H321,0)</f>
        <v>0</v>
      </c>
      <c r="Q321" s="20" t="n">
        <f aca="false">IF(G321=1,IF(WI_Retire=1,MAX(0,M321+WI_M*12),M321)+(PR_AEee+PR_AEer+PR_AEst)*P321,0)</f>
        <v>0</v>
      </c>
      <c r="R321" s="20" t="n">
        <f aca="false">L321+PR_AEee*P321</f>
        <v>0</v>
      </c>
      <c r="S321" s="20" t="n">
        <f aca="false">AD320</f>
        <v>0</v>
      </c>
      <c r="T321" s="20" t="n">
        <f aca="false">IF(D321&lt;=PR_SFTfrom,PR_SFT2026,IF(D321=PR_SFTfrom+1,PR_SFT2027,IF(D321=PR_SFTfrom+2,PR_SFT2028,IF(D321&lt;=PR_SFTto,PR_SFT2029,PR_SFT2029*(1+AS_Infl)^(D321-PR_SFTto)))))</f>
        <v>15072060.5823638</v>
      </c>
      <c r="U321" s="20" t="n">
        <f aca="false">IF(AND(G321=0,C321=F_V),1,0)</f>
        <v>0</v>
      </c>
      <c r="V321" s="20" t="n">
        <f aca="false">IF(U321=1,PR_SFTrate*MAX(0,S321-T321),0)</f>
        <v>0</v>
      </c>
      <c r="W321" s="20" t="n">
        <f aca="false">S321-V321</f>
        <v>0</v>
      </c>
      <c r="X321" s="20" t="n">
        <f aca="false">IF(AND(U321=1,AS_LumpPct&gt;0),W321*MIN(AS_LumpPct,PR_LSmax),0)</f>
        <v>0</v>
      </c>
      <c r="Y321" s="20" t="n">
        <f aca="false">X321-(PR_LSrate*MAX(0,MIN(X321,PR_LScap)-PR_LSfree)+PR_r2*MAX(0,X321-PR_LScap))</f>
        <v>0</v>
      </c>
      <c r="Z321" s="20" t="n">
        <f aca="false">W321-X321</f>
        <v>0</v>
      </c>
      <c r="AA321" s="45" t="n">
        <f aca="false">IF(C321&gt;=PR_ARFage1,IF(Z321&gt;PR_ARFbig,PR_ARFbigRate,IF(C321&gt;=PR_ARFage2,PR_ARF71,PR_ARF61)),0)</f>
        <v>0.05</v>
      </c>
      <c r="AB321" s="20" t="n">
        <f aca="false">IF(AS_DrawRule="min",Z321*AA321,IF(AS_DrawRule="fixed",MAX(AS_DrawFixed*E321,Z321*AA321),Z321*MAX(1/MAX(1,AS_End-C321+1),AA321)))</f>
        <v>0</v>
      </c>
      <c r="AC321" s="20" t="n">
        <f aca="false">IF(AND(G321=0,C321&gt;=F_V),MIN(Z321,AB321),0)</f>
        <v>0</v>
      </c>
      <c r="AD321" s="20" t="n">
        <f aca="false">IF(G321=1,S321*(1+F_PenG)+Q321,IF(C321&lt;F_V,S321*(1+F_PenG),(Z321-AC321)*(1+AS_PenRet)))</f>
        <v>0</v>
      </c>
      <c r="AE321" s="20" t="n">
        <f aca="false">IF(C321&gt;=PR_SPage,AS_SP*F_SpF*I321+IF(AND(C321&gt;=PR_Over80Age,F_SpF&gt;0),PR_Over80*PR_Weeks*I321,0),0)</f>
        <v>90073.7423297284</v>
      </c>
      <c r="AF321" s="20" t="n">
        <f aca="false">(F_OtherM+F_RentM)*12*E321</f>
        <v>0</v>
      </c>
      <c r="AG321" s="20" t="n">
        <f aca="false">F_PAge+B321</f>
        <v>124</v>
      </c>
      <c r="AH321" s="20" t="n">
        <f aca="false">IF(AND(F_Partner=1,F_PAge&gt;0,AG321&lt;IF(F_PRet&gt;0,F_PRet,PR_SPage)),F_PIncome*F321,0)</f>
        <v>0</v>
      </c>
      <c r="AI321" s="20" t="n">
        <f aca="false">IF(AND(F_Partner=1,AG321&gt;=PR_SPage,F_PSpQA=0),AS_SP*F_PSpF*I321,0)</f>
        <v>69729.2494776275</v>
      </c>
      <c r="AJ321" s="20" t="n">
        <f aca="false">IF(AND(F_Partner=1,F_PSpQA=1,C321&gt;=PR_SPage,AH321=0),IF(AG321&gt;=PR_SPage,PR_QA66,PR_QAunder)*PR_Weeks*I321,0)</f>
        <v>0</v>
      </c>
      <c r="AK321" s="20" t="n">
        <f aca="false">AE321+AJ321</f>
        <v>90073.7423297284</v>
      </c>
      <c r="AL321" s="20" t="n">
        <f aca="false">K321/H321</f>
        <v>0</v>
      </c>
      <c r="AM321" s="20" t="n">
        <f aca="false">AK321/H321</f>
        <v>16083.6</v>
      </c>
      <c r="AN321" s="20" t="n">
        <f aca="false">AC321/H321</f>
        <v>0</v>
      </c>
      <c r="AO321" s="20" t="n">
        <f aca="false">AF321/H321</f>
        <v>0</v>
      </c>
      <c r="AP321" s="20" t="n">
        <f aca="false">O321/H321</f>
        <v>0</v>
      </c>
      <c r="AQ321" s="20" t="n">
        <f aca="false">AH321/H321</f>
        <v>0</v>
      </c>
      <c r="AR321" s="20" t="n">
        <f aca="false">AI321/H321</f>
        <v>12450.88</v>
      </c>
      <c r="AS321" s="20" t="n">
        <f aca="false">MAX(0,AL321+AN321+AO321+AM321-AP321)</f>
        <v>16083.6</v>
      </c>
      <c r="AT321" s="20" t="n">
        <f aca="false">MAX(0,AQ321+AR321)</f>
        <v>12450.88</v>
      </c>
      <c r="AU321" s="20" t="n">
        <f aca="false">MIN(PR_PAYE,PR_PAYEcap*(AL321+AN321+AM321))</f>
        <v>2000</v>
      </c>
      <c r="AV321" s="20" t="n">
        <f aca="false">MIN(PR_PAYE,PR_PAYEcap*(AQ321+AR321))</f>
        <v>2000</v>
      </c>
      <c r="AW321" s="20" t="n">
        <f aca="false">IF(C321&gt;=PR_AgeCrAge,PR_AgeCr,0)</f>
        <v>245</v>
      </c>
      <c r="AX321" s="20" t="n">
        <f aca="false">IF(AG321&gt;=PR_AgeCrAge,PR_AgeCr,0)</f>
        <v>245</v>
      </c>
      <c r="AY321" s="20" t="n">
        <f aca="false">IF(AND(F_RentCred=1,D321&lt;=PR_RentLast),1,0)</f>
        <v>0</v>
      </c>
      <c r="AZ321" s="20" t="n">
        <f aca="false">AS321+AT321</f>
        <v>28534.48</v>
      </c>
      <c r="BA321" s="20" t="n">
        <f aca="false">PR_PersonalM+AU321+AV321+AW321+AX321+IF(AY321=1,PR_RentJoint,0)</f>
        <v>8490</v>
      </c>
      <c r="BB321" s="20" t="n">
        <f aca="false">PR_BandM+MIN(MIN(AS321,AT321),PR_Uplift)</f>
        <v>65450.88</v>
      </c>
      <c r="BC321" s="20" t="n">
        <f aca="false">MAX(0,PR_r1*MIN(AZ321,BB321)+PR_r2*MAX(0,AZ321-BB321)-BA321)</f>
        <v>0</v>
      </c>
      <c r="BD321" s="20" t="n">
        <f aca="false">MAX(0,PR_HomeCarer-MAX(0,MIN(AS321,AT321)-PR_HCLimit)/2)</f>
        <v>0</v>
      </c>
      <c r="BE321" s="20" t="n">
        <f aca="false">IF(F_Carer=1,MIN(BC321,MAX(0,PR_r1*MIN(AZ321,PR_BandM)+PR_r2*MAX(0,AZ321-PR_BandM)-BA321-BD321)),BC321)</f>
        <v>0</v>
      </c>
      <c r="BF321" s="20" t="n">
        <f aca="false">IF(OR(C321&gt;=PR_AgeCrAge,AG321&gt;=PR_AgeCrAge),IF(AZ321&lt;=PR_AgeExM,0,MIN(BE321,PR_AgeMarg*(AZ321-PR_AgeExM))),BE321)</f>
        <v>0</v>
      </c>
      <c r="BG321" s="20" t="n">
        <f aca="false">MAX(0,PR_r1*MIN(AS321,IF(F_Spccc=1,PR_BandSPCCC,PR_Band))+PR_r2*MAX(0,AS321-IF(F_Spccc=1,PR_BandSPCCC,PR_Band))-(PR_Personal+AU321+AW321+IF(F_Spccc=1,PR_SPCCC,0)+IF(AY321=1,PR_Rent,0)))</f>
        <v>0</v>
      </c>
      <c r="BH321" s="20" t="n">
        <f aca="false">IF(C321&gt;=PR_AgeCrAge,IF(AS321&lt;=PR_AgeEx,0,MIN(BG321,PR_AgeMarg*(AS321-PR_AgeEx))),BG321)</f>
        <v>0</v>
      </c>
      <c r="BI321" s="20" t="n">
        <f aca="false">IF(F_Partner=1,MAX(0,PR_r1*MIN(AT321,PR_Band)+PR_r2*MAX(0,AT321-PR_Band)-(PR_Personal+AV321+AX321+IF(AND(AY321=1,AT321&gt;0),PR_Rent,0))),0)</f>
        <v>0</v>
      </c>
      <c r="BJ321" s="20" t="n">
        <f aca="false">IF(AG321&gt;=PR_AgeCrAge,IF(AT321&lt;=PR_AgeEx,0,MIN(BI321,PR_AgeMarg*(AT321-PR_AgeEx))),BI321)</f>
        <v>0</v>
      </c>
      <c r="BK321" s="20" t="n">
        <f aca="false">IF(F_Partner=1,IF(F_Married=1,BF321,BH321+BJ321),BH321)</f>
        <v>0</v>
      </c>
      <c r="BL321" s="20" t="n">
        <f aca="false">AL321+AN321+AO321</f>
        <v>0</v>
      </c>
      <c r="BM321" s="20" t="n">
        <f aca="false">IF(BL321&lt;=PR_USCex,0,IF(IF(AND(C321&gt;=PR_USCredAge,BL321&lt;=PR_USCredMax),1,0)=1,PR_USCr1*MIN(BL321,PR_USCredB1)+PR_USCredR2*MAX(0,BL321-PR_USCredB1),PR_USCr1*MIN(BL321,PR_USCb1)+PR_USCr2*MAX(0,MIN(BL321,PR_USCb2)-PR_USCb1)+PR_USCr3*MAX(0,MIN(BL321,PR_USCb3)-PR_USCb2)+PR_USCr4*MAX(0,BL321-PR_USCb3)))+IF(F_SelfEmp=1,PR_USCse*MAX(0,AL321-PR_USCseOver),0)</f>
        <v>0</v>
      </c>
      <c r="BN321" s="20" t="n">
        <f aca="false">AQ321</f>
        <v>0</v>
      </c>
      <c r="BO321" s="20" t="n">
        <f aca="false">IF(F_Partner=1,IF(BN321&lt;=PR_USCex,0,IF(IF(AND(AG321&gt;=PR_USCredAge,BN321&lt;=PR_USCredMax),1,0)=1,PR_USCr1*MIN(BN321,PR_USCredB1)+PR_USCredR2*MAX(0,BN321-PR_USCredB1),PR_USCr1*MIN(BN321,PR_USCb1)+PR_USCr2*MAX(0,MIN(BN321,PR_USCb2)-PR_USCb1)+PR_USCr3*MAX(0,MIN(BN321,PR_USCb3)-PR_USCb2)+PR_USCr4*MAX(0,BN321-PR_USCb3))),0)</f>
        <v>0</v>
      </c>
      <c r="BP321" s="20" t="n">
        <f aca="false">IF(C321&lt;PR_PRSIend,IF(F_SelfEmp=1,IF(AL321&gt;PR_PRSIsMinInc,MAX(PR_PRSIsMin,AL321*J321),0),IF(AL321/52&lt;=PR_PRSIfree,0,MAX(0,(AL321/52*J321-IF(AL321/52&lt;=PR_PRSIcreditTo,MAX(0,PR_PRSIcreditMax-(AL321/52-(PR_PRSIfree+0.01))/PR_PRSItaper),0))*52)))+J321*AN321+IF(AO321&gt;PR_PRSIunearned,J321*AO321,0),0)</f>
        <v>0</v>
      </c>
      <c r="BQ321" s="20" t="n">
        <f aca="false">IF(AND(F_Partner=1,AG321&lt;PR_PRSIend),IF(AQ321/52&lt;=PR_PRSIfree,0,MAX(0,(AQ321/52*J321-IF(AQ321/52&lt;=PR_PRSIcreditTo,MAX(0,PR_PRSIcreditMax-(AQ321/52-(PR_PRSIfree+0.01))/PR_PRSItaper),0))*52)),0)</f>
        <v>0</v>
      </c>
      <c r="BR321" s="20" t="n">
        <f aca="false">BK321+BM321+BO321+BP321+BQ321</f>
        <v>0</v>
      </c>
      <c r="BS321" s="20" t="n">
        <f aca="false">BR321*H321</f>
        <v>0</v>
      </c>
      <c r="BT321" s="20" t="n">
        <f aca="false">K321+AK321+AC321+AF321+AH321+AI321</f>
        <v>159802.991807356</v>
      </c>
    </row>
    <row r="322" customFormat="false" ht="15" hidden="false" customHeight="true" outlineLevel="0" collapsed="false">
      <c r="B322" s="20" t="n">
        <v>88</v>
      </c>
      <c r="C322" s="20" t="n">
        <f aca="false">F_Age+B322</f>
        <v>126</v>
      </c>
      <c r="D322" s="20" t="n">
        <f aca="false">AS_Year0+B322</f>
        <v>2115</v>
      </c>
      <c r="E322" s="44" t="n">
        <f aca="false">(1+AS_Infl)^B322</f>
        <v>5.71235402374611</v>
      </c>
      <c r="F322" s="44" t="n">
        <f aca="false">(1+AS_Wage)^B322</f>
        <v>13.4795617962058</v>
      </c>
      <c r="G322" s="20" t="n">
        <f aca="false">IF(C322&lt;F_R,1,0)</f>
        <v>0</v>
      </c>
      <c r="H322" s="44" t="n">
        <f aca="false">IF(AS_Bands="flat",1,E322)</f>
        <v>5.71235402374611</v>
      </c>
      <c r="I322" s="44" t="n">
        <f aca="false">IF(AS_SpGrow="pay",F322,IF(AS_SpGrow="flat",1,E322))</f>
        <v>5.71235402374611</v>
      </c>
      <c r="J322" s="44" t="n">
        <f aca="false">(12*PR_PRSIr0+(PR_PRSIr1-PR_PRSIr0)*MAX(0,MIN(12,D322*12+12-PR_PRSIt1))+(PR_PRSIr2-PR_PRSIr1)*MAX(0,MIN(12,D322*12+12-PR_PRSIt2))+(PR_PRSIr3-PR_PRSIr2)*MAX(0,MIN(12,D322*12+12-PR_PRSIt3)))/12</f>
        <v>0.047</v>
      </c>
      <c r="K322" s="20" t="n">
        <f aca="false">IF(G322=1,F_Income*F322,0)</f>
        <v>0</v>
      </c>
      <c r="L322" s="20" t="n">
        <f aca="false">IF(G322=1,(F_Own+In_penExtra)*12*F322,0)</f>
        <v>0</v>
      </c>
      <c r="M322" s="20" t="n">
        <f aca="false">IF(G322=1,(F_PenM+In_penExtra)*12*F322,0)</f>
        <v>0</v>
      </c>
      <c r="N322" s="45" t="n">
        <f aca="false">IF(C322&lt;PR_RelA1,PR_RelP1,IF(C322&lt;PR_RelA2,PR_RelP2,IF(C322&lt;PR_RelA3,PR_RelP3,IF(C322&lt;PR_RelA4,PR_RelP4,IF(C322&lt;PR_RelA5,PR_RelP5,PR_RelP6)))))</f>
        <v>0.4</v>
      </c>
      <c r="O322" s="20" t="n">
        <f aca="false">IF(G322=1,MIN(L322/H322,N322*MIN(K322/H322,PR_EarnCap))*H322,0)</f>
        <v>0</v>
      </c>
      <c r="P322" s="20" t="n">
        <f aca="false">IF(AND(G322=1,F_AE=1),MIN(K322/H322,PR_AEcap)*H322,0)</f>
        <v>0</v>
      </c>
      <c r="Q322" s="20" t="n">
        <f aca="false">IF(G322=1,IF(WI_Retire=1,MAX(0,M322+WI_M*12),M322)+(PR_AEee+PR_AEer+PR_AEst)*P322,0)</f>
        <v>0</v>
      </c>
      <c r="R322" s="20" t="n">
        <f aca="false">L322+PR_AEee*P322</f>
        <v>0</v>
      </c>
      <c r="S322" s="20" t="n">
        <f aca="false">AD321</f>
        <v>0</v>
      </c>
      <c r="T322" s="20" t="n">
        <f aca="false">IF(D322&lt;=PR_SFTfrom,PR_SFT2026,IF(D322=PR_SFTfrom+1,PR_SFT2027,IF(D322=PR_SFTfrom+2,PR_SFT2028,IF(D322&lt;=PR_SFTto,PR_SFT2029,PR_SFT2029*(1+AS_Infl)^(D322-PR_SFTto)))))</f>
        <v>15373501.7940111</v>
      </c>
      <c r="U322" s="20" t="n">
        <f aca="false">IF(AND(G322=0,C322=F_V),1,0)</f>
        <v>0</v>
      </c>
      <c r="V322" s="20" t="n">
        <f aca="false">IF(U322=1,PR_SFTrate*MAX(0,S322-T322),0)</f>
        <v>0</v>
      </c>
      <c r="W322" s="20" t="n">
        <f aca="false">S322-V322</f>
        <v>0</v>
      </c>
      <c r="X322" s="20" t="n">
        <f aca="false">IF(AND(U322=1,AS_LumpPct&gt;0),W322*MIN(AS_LumpPct,PR_LSmax),0)</f>
        <v>0</v>
      </c>
      <c r="Y322" s="20" t="n">
        <f aca="false">X322-(PR_LSrate*MAX(0,MIN(X322,PR_LScap)-PR_LSfree)+PR_r2*MAX(0,X322-PR_LScap))</f>
        <v>0</v>
      </c>
      <c r="Z322" s="20" t="n">
        <f aca="false">W322-X322</f>
        <v>0</v>
      </c>
      <c r="AA322" s="45" t="n">
        <f aca="false">IF(C322&gt;=PR_ARFage1,IF(Z322&gt;PR_ARFbig,PR_ARFbigRate,IF(C322&gt;=PR_ARFage2,PR_ARF71,PR_ARF61)),0)</f>
        <v>0.05</v>
      </c>
      <c r="AB322" s="20" t="n">
        <f aca="false">IF(AS_DrawRule="min",Z322*AA322,IF(AS_DrawRule="fixed",MAX(AS_DrawFixed*E322,Z322*AA322),Z322*MAX(1/MAX(1,AS_End-C322+1),AA322)))</f>
        <v>0</v>
      </c>
      <c r="AC322" s="20" t="n">
        <f aca="false">IF(AND(G322=0,C322&gt;=F_V),MIN(Z322,AB322),0)</f>
        <v>0</v>
      </c>
      <c r="AD322" s="20" t="n">
        <f aca="false">IF(G322=1,S322*(1+F_PenG)+Q322,IF(C322&lt;F_V,S322*(1+F_PenG),(Z322-AC322)*(1+AS_PenRet)))</f>
        <v>0</v>
      </c>
      <c r="AE322" s="20" t="n">
        <f aca="false">IF(C322&gt;=PR_SPage,AS_SP*F_SpF*I322+IF(AND(C322&gt;=PR_Over80Age,F_SpF&gt;0),PR_Over80*PR_Weeks*I322,0),0)</f>
        <v>91875.217176323</v>
      </c>
      <c r="AF322" s="20" t="n">
        <f aca="false">(F_OtherM+F_RentM)*12*E322</f>
        <v>0</v>
      </c>
      <c r="AG322" s="20" t="n">
        <f aca="false">F_PAge+B322</f>
        <v>125</v>
      </c>
      <c r="AH322" s="20" t="n">
        <f aca="false">IF(AND(F_Partner=1,F_PAge&gt;0,AG322&lt;IF(F_PRet&gt;0,F_PRet,PR_SPage)),F_PIncome*F322,0)</f>
        <v>0</v>
      </c>
      <c r="AI322" s="20" t="n">
        <f aca="false">IF(AND(F_Partner=1,AG322&gt;=PR_SPage,F_PSpQA=0),AS_SP*F_PSpF*I322,0)</f>
        <v>71123.83446718</v>
      </c>
      <c r="AJ322" s="20" t="n">
        <f aca="false">IF(AND(F_Partner=1,F_PSpQA=1,C322&gt;=PR_SPage,AH322=0),IF(AG322&gt;=PR_SPage,PR_QA66,PR_QAunder)*PR_Weeks*I322,0)</f>
        <v>0</v>
      </c>
      <c r="AK322" s="20" t="n">
        <f aca="false">AE322+AJ322</f>
        <v>91875.217176323</v>
      </c>
      <c r="AL322" s="20" t="n">
        <f aca="false">K322/H322</f>
        <v>0</v>
      </c>
      <c r="AM322" s="20" t="n">
        <f aca="false">AK322/H322</f>
        <v>16083.6</v>
      </c>
      <c r="AN322" s="20" t="n">
        <f aca="false">AC322/H322</f>
        <v>0</v>
      </c>
      <c r="AO322" s="20" t="n">
        <f aca="false">AF322/H322</f>
        <v>0</v>
      </c>
      <c r="AP322" s="20" t="n">
        <f aca="false">O322/H322</f>
        <v>0</v>
      </c>
      <c r="AQ322" s="20" t="n">
        <f aca="false">AH322/H322</f>
        <v>0</v>
      </c>
      <c r="AR322" s="20" t="n">
        <f aca="false">AI322/H322</f>
        <v>12450.88</v>
      </c>
      <c r="AS322" s="20" t="n">
        <f aca="false">MAX(0,AL322+AN322+AO322+AM322-AP322)</f>
        <v>16083.6</v>
      </c>
      <c r="AT322" s="20" t="n">
        <f aca="false">MAX(0,AQ322+AR322)</f>
        <v>12450.88</v>
      </c>
      <c r="AU322" s="20" t="n">
        <f aca="false">MIN(PR_PAYE,PR_PAYEcap*(AL322+AN322+AM322))</f>
        <v>2000</v>
      </c>
      <c r="AV322" s="20" t="n">
        <f aca="false">MIN(PR_PAYE,PR_PAYEcap*(AQ322+AR322))</f>
        <v>2000</v>
      </c>
      <c r="AW322" s="20" t="n">
        <f aca="false">IF(C322&gt;=PR_AgeCrAge,PR_AgeCr,0)</f>
        <v>245</v>
      </c>
      <c r="AX322" s="20" t="n">
        <f aca="false">IF(AG322&gt;=PR_AgeCrAge,PR_AgeCr,0)</f>
        <v>245</v>
      </c>
      <c r="AY322" s="20" t="n">
        <f aca="false">IF(AND(F_RentCred=1,D322&lt;=PR_RentLast),1,0)</f>
        <v>0</v>
      </c>
      <c r="AZ322" s="20" t="n">
        <f aca="false">AS322+AT322</f>
        <v>28534.48</v>
      </c>
      <c r="BA322" s="20" t="n">
        <f aca="false">PR_PersonalM+AU322+AV322+AW322+AX322+IF(AY322=1,PR_RentJoint,0)</f>
        <v>8490</v>
      </c>
      <c r="BB322" s="20" t="n">
        <f aca="false">PR_BandM+MIN(MIN(AS322,AT322),PR_Uplift)</f>
        <v>65450.88</v>
      </c>
      <c r="BC322" s="20" t="n">
        <f aca="false">MAX(0,PR_r1*MIN(AZ322,BB322)+PR_r2*MAX(0,AZ322-BB322)-BA322)</f>
        <v>0</v>
      </c>
      <c r="BD322" s="20" t="n">
        <f aca="false">MAX(0,PR_HomeCarer-MAX(0,MIN(AS322,AT322)-PR_HCLimit)/2)</f>
        <v>0</v>
      </c>
      <c r="BE322" s="20" t="n">
        <f aca="false">IF(F_Carer=1,MIN(BC322,MAX(0,PR_r1*MIN(AZ322,PR_BandM)+PR_r2*MAX(0,AZ322-PR_BandM)-BA322-BD322)),BC322)</f>
        <v>0</v>
      </c>
      <c r="BF322" s="20" t="n">
        <f aca="false">IF(OR(C322&gt;=PR_AgeCrAge,AG322&gt;=PR_AgeCrAge),IF(AZ322&lt;=PR_AgeExM,0,MIN(BE322,PR_AgeMarg*(AZ322-PR_AgeExM))),BE322)</f>
        <v>0</v>
      </c>
      <c r="BG322" s="20" t="n">
        <f aca="false">MAX(0,PR_r1*MIN(AS322,IF(F_Spccc=1,PR_BandSPCCC,PR_Band))+PR_r2*MAX(0,AS322-IF(F_Spccc=1,PR_BandSPCCC,PR_Band))-(PR_Personal+AU322+AW322+IF(F_Spccc=1,PR_SPCCC,0)+IF(AY322=1,PR_Rent,0)))</f>
        <v>0</v>
      </c>
      <c r="BH322" s="20" t="n">
        <f aca="false">IF(C322&gt;=PR_AgeCrAge,IF(AS322&lt;=PR_AgeEx,0,MIN(BG322,PR_AgeMarg*(AS322-PR_AgeEx))),BG322)</f>
        <v>0</v>
      </c>
      <c r="BI322" s="20" t="n">
        <f aca="false">IF(F_Partner=1,MAX(0,PR_r1*MIN(AT322,PR_Band)+PR_r2*MAX(0,AT322-PR_Band)-(PR_Personal+AV322+AX322+IF(AND(AY322=1,AT322&gt;0),PR_Rent,0))),0)</f>
        <v>0</v>
      </c>
      <c r="BJ322" s="20" t="n">
        <f aca="false">IF(AG322&gt;=PR_AgeCrAge,IF(AT322&lt;=PR_AgeEx,0,MIN(BI322,PR_AgeMarg*(AT322-PR_AgeEx))),BI322)</f>
        <v>0</v>
      </c>
      <c r="BK322" s="20" t="n">
        <f aca="false">IF(F_Partner=1,IF(F_Married=1,BF322,BH322+BJ322),BH322)</f>
        <v>0</v>
      </c>
      <c r="BL322" s="20" t="n">
        <f aca="false">AL322+AN322+AO322</f>
        <v>0</v>
      </c>
      <c r="BM322" s="20" t="n">
        <f aca="false">IF(BL322&lt;=PR_USCex,0,IF(IF(AND(C322&gt;=PR_USCredAge,BL322&lt;=PR_USCredMax),1,0)=1,PR_USCr1*MIN(BL322,PR_USCredB1)+PR_USCredR2*MAX(0,BL322-PR_USCredB1),PR_USCr1*MIN(BL322,PR_USCb1)+PR_USCr2*MAX(0,MIN(BL322,PR_USCb2)-PR_USCb1)+PR_USCr3*MAX(0,MIN(BL322,PR_USCb3)-PR_USCb2)+PR_USCr4*MAX(0,BL322-PR_USCb3)))+IF(F_SelfEmp=1,PR_USCse*MAX(0,AL322-PR_USCseOver),0)</f>
        <v>0</v>
      </c>
      <c r="BN322" s="20" t="n">
        <f aca="false">AQ322</f>
        <v>0</v>
      </c>
      <c r="BO322" s="20" t="n">
        <f aca="false">IF(F_Partner=1,IF(BN322&lt;=PR_USCex,0,IF(IF(AND(AG322&gt;=PR_USCredAge,BN322&lt;=PR_USCredMax),1,0)=1,PR_USCr1*MIN(BN322,PR_USCredB1)+PR_USCredR2*MAX(0,BN322-PR_USCredB1),PR_USCr1*MIN(BN322,PR_USCb1)+PR_USCr2*MAX(0,MIN(BN322,PR_USCb2)-PR_USCb1)+PR_USCr3*MAX(0,MIN(BN322,PR_USCb3)-PR_USCb2)+PR_USCr4*MAX(0,BN322-PR_USCb3))),0)</f>
        <v>0</v>
      </c>
      <c r="BP322" s="20" t="n">
        <f aca="false">IF(C322&lt;PR_PRSIend,IF(F_SelfEmp=1,IF(AL322&gt;PR_PRSIsMinInc,MAX(PR_PRSIsMin,AL322*J322),0),IF(AL322/52&lt;=PR_PRSIfree,0,MAX(0,(AL322/52*J322-IF(AL322/52&lt;=PR_PRSIcreditTo,MAX(0,PR_PRSIcreditMax-(AL322/52-(PR_PRSIfree+0.01))/PR_PRSItaper),0))*52)))+J322*AN322+IF(AO322&gt;PR_PRSIunearned,J322*AO322,0),0)</f>
        <v>0</v>
      </c>
      <c r="BQ322" s="20" t="n">
        <f aca="false">IF(AND(F_Partner=1,AG322&lt;PR_PRSIend),IF(AQ322/52&lt;=PR_PRSIfree,0,MAX(0,(AQ322/52*J322-IF(AQ322/52&lt;=PR_PRSIcreditTo,MAX(0,PR_PRSIcreditMax-(AQ322/52-(PR_PRSIfree+0.01))/PR_PRSItaper),0))*52)),0)</f>
        <v>0</v>
      </c>
      <c r="BR322" s="20" t="n">
        <f aca="false">BK322+BM322+BO322+BP322+BQ322</f>
        <v>0</v>
      </c>
      <c r="BS322" s="20" t="n">
        <f aca="false">BR322*H322</f>
        <v>0</v>
      </c>
      <c r="BT322" s="20" t="n">
        <f aca="false">K322+AK322+AC322+AF322+AH322+AI322</f>
        <v>162999.051643503</v>
      </c>
    </row>
    <row r="323" customFormat="false" ht="15" hidden="false" customHeight="true" outlineLevel="0" collapsed="false">
      <c r="B323" s="20" t="n">
        <v>89</v>
      </c>
      <c r="C323" s="20" t="n">
        <f aca="false">F_Age+B323</f>
        <v>127</v>
      </c>
      <c r="D323" s="20" t="n">
        <f aca="false">AS_Year0+B323</f>
        <v>2116</v>
      </c>
      <c r="E323" s="44" t="n">
        <f aca="false">(1+AS_Infl)^B323</f>
        <v>5.82660110422104</v>
      </c>
      <c r="F323" s="44" t="n">
        <f aca="false">(1+AS_Wage)^B323</f>
        <v>13.883948650092</v>
      </c>
      <c r="G323" s="20" t="n">
        <f aca="false">IF(C323&lt;F_R,1,0)</f>
        <v>0</v>
      </c>
      <c r="H323" s="44" t="n">
        <f aca="false">IF(AS_Bands="flat",1,E323)</f>
        <v>5.82660110422104</v>
      </c>
      <c r="I323" s="44" t="n">
        <f aca="false">IF(AS_SpGrow="pay",F323,IF(AS_SpGrow="flat",1,E323))</f>
        <v>5.82660110422104</v>
      </c>
      <c r="J323" s="44" t="n">
        <f aca="false">(12*PR_PRSIr0+(PR_PRSIr1-PR_PRSIr0)*MAX(0,MIN(12,D323*12+12-PR_PRSIt1))+(PR_PRSIr2-PR_PRSIr1)*MAX(0,MIN(12,D323*12+12-PR_PRSIt2))+(PR_PRSIr3-PR_PRSIr2)*MAX(0,MIN(12,D323*12+12-PR_PRSIt3)))/12</f>
        <v>0.047</v>
      </c>
      <c r="K323" s="20" t="n">
        <f aca="false">IF(G323=1,F_Income*F323,0)</f>
        <v>0</v>
      </c>
      <c r="L323" s="20" t="n">
        <f aca="false">IF(G323=1,(F_Own+In_penExtra)*12*F323,0)</f>
        <v>0</v>
      </c>
      <c r="M323" s="20" t="n">
        <f aca="false">IF(G323=1,(F_PenM+In_penExtra)*12*F323,0)</f>
        <v>0</v>
      </c>
      <c r="N323" s="45" t="n">
        <f aca="false">IF(C323&lt;PR_RelA1,PR_RelP1,IF(C323&lt;PR_RelA2,PR_RelP2,IF(C323&lt;PR_RelA3,PR_RelP3,IF(C323&lt;PR_RelA4,PR_RelP4,IF(C323&lt;PR_RelA5,PR_RelP5,PR_RelP6)))))</f>
        <v>0.4</v>
      </c>
      <c r="O323" s="20" t="n">
        <f aca="false">IF(G323=1,MIN(L323/H323,N323*MIN(K323/H323,PR_EarnCap))*H323,0)</f>
        <v>0</v>
      </c>
      <c r="P323" s="20" t="n">
        <f aca="false">IF(AND(G323=1,F_AE=1),MIN(K323/H323,PR_AEcap)*H323,0)</f>
        <v>0</v>
      </c>
      <c r="Q323" s="20" t="n">
        <f aca="false">IF(G323=1,IF(WI_Retire=1,MAX(0,M323+WI_M*12),M323)+(PR_AEee+PR_AEer+PR_AEst)*P323,0)</f>
        <v>0</v>
      </c>
      <c r="R323" s="20" t="n">
        <f aca="false">L323+PR_AEee*P323</f>
        <v>0</v>
      </c>
      <c r="S323" s="20" t="n">
        <f aca="false">AD322</f>
        <v>0</v>
      </c>
      <c r="T323" s="20" t="n">
        <f aca="false">IF(D323&lt;=PR_SFTfrom,PR_SFT2026,IF(D323=PR_SFTfrom+1,PR_SFT2027,IF(D323=PR_SFTfrom+2,PR_SFT2028,IF(D323&lt;=PR_SFTto,PR_SFT2029,PR_SFT2029*(1+AS_Infl)^(D323-PR_SFTto)))))</f>
        <v>15680971.8298913</v>
      </c>
      <c r="U323" s="20" t="n">
        <f aca="false">IF(AND(G323=0,C323=F_V),1,0)</f>
        <v>0</v>
      </c>
      <c r="V323" s="20" t="n">
        <f aca="false">IF(U323=1,PR_SFTrate*MAX(0,S323-T323),0)</f>
        <v>0</v>
      </c>
      <c r="W323" s="20" t="n">
        <f aca="false">S323-V323</f>
        <v>0</v>
      </c>
      <c r="X323" s="20" t="n">
        <f aca="false">IF(AND(U323=1,AS_LumpPct&gt;0),W323*MIN(AS_LumpPct,PR_LSmax),0)</f>
        <v>0</v>
      </c>
      <c r="Y323" s="20" t="n">
        <f aca="false">X323-(PR_LSrate*MAX(0,MIN(X323,PR_LScap)-PR_LSfree)+PR_r2*MAX(0,X323-PR_LScap))</f>
        <v>0</v>
      </c>
      <c r="Z323" s="20" t="n">
        <f aca="false">W323-X323</f>
        <v>0</v>
      </c>
      <c r="AA323" s="45" t="n">
        <f aca="false">IF(C323&gt;=PR_ARFage1,IF(Z323&gt;PR_ARFbig,PR_ARFbigRate,IF(C323&gt;=PR_ARFage2,PR_ARF71,PR_ARF61)),0)</f>
        <v>0.05</v>
      </c>
      <c r="AB323" s="20" t="n">
        <f aca="false">IF(AS_DrawRule="min",Z323*AA323,IF(AS_DrawRule="fixed",MAX(AS_DrawFixed*E323,Z323*AA323),Z323*MAX(1/MAX(1,AS_End-C323+1),AA323)))</f>
        <v>0</v>
      </c>
      <c r="AC323" s="20" t="n">
        <f aca="false">IF(AND(G323=0,C323&gt;=F_V),MIN(Z323,AB323),0)</f>
        <v>0</v>
      </c>
      <c r="AD323" s="20" t="n">
        <f aca="false">IF(G323=1,S323*(1+F_PenG)+Q323,IF(C323&lt;F_V,S323*(1+F_PenG),(Z323-AC323)*(1+AS_PenRet)))</f>
        <v>0</v>
      </c>
      <c r="AE323" s="20" t="n">
        <f aca="false">IF(C323&gt;=PR_SPage,AS_SP*F_SpF*I323+IF(AND(C323&gt;=PR_Over80Age,F_SpF&gt;0),PR_Over80*PR_Weeks*I323,0),0)</f>
        <v>93712.7215198495</v>
      </c>
      <c r="AF323" s="20" t="n">
        <f aca="false">(F_OtherM+F_RentM)*12*E323</f>
        <v>0</v>
      </c>
      <c r="AG323" s="20" t="n">
        <f aca="false">F_PAge+B323</f>
        <v>126</v>
      </c>
      <c r="AH323" s="20" t="n">
        <f aca="false">IF(AND(F_Partner=1,F_PAge&gt;0,AG323&lt;IF(F_PRet&gt;0,F_PRet,PR_SPage)),F_PIncome*F323,0)</f>
        <v>0</v>
      </c>
      <c r="AI323" s="20" t="n">
        <f aca="false">IF(AND(F_Partner=1,AG323&gt;=PR_SPage,F_PSpQA=0),AS_SP*F_PSpF*I323,0)</f>
        <v>72546.3111565236</v>
      </c>
      <c r="AJ323" s="20" t="n">
        <f aca="false">IF(AND(F_Partner=1,F_PSpQA=1,C323&gt;=PR_SPage,AH323=0),IF(AG323&gt;=PR_SPage,PR_QA66,PR_QAunder)*PR_Weeks*I323,0)</f>
        <v>0</v>
      </c>
      <c r="AK323" s="20" t="n">
        <f aca="false">AE323+AJ323</f>
        <v>93712.7215198495</v>
      </c>
      <c r="AL323" s="20" t="n">
        <f aca="false">K323/H323</f>
        <v>0</v>
      </c>
      <c r="AM323" s="20" t="n">
        <f aca="false">AK323/H323</f>
        <v>16083.6</v>
      </c>
      <c r="AN323" s="20" t="n">
        <f aca="false">AC323/H323</f>
        <v>0</v>
      </c>
      <c r="AO323" s="20" t="n">
        <f aca="false">AF323/H323</f>
        <v>0</v>
      </c>
      <c r="AP323" s="20" t="n">
        <f aca="false">O323/H323</f>
        <v>0</v>
      </c>
      <c r="AQ323" s="20" t="n">
        <f aca="false">AH323/H323</f>
        <v>0</v>
      </c>
      <c r="AR323" s="20" t="n">
        <f aca="false">AI323/H323</f>
        <v>12450.88</v>
      </c>
      <c r="AS323" s="20" t="n">
        <f aca="false">MAX(0,AL323+AN323+AO323+AM323-AP323)</f>
        <v>16083.6</v>
      </c>
      <c r="AT323" s="20" t="n">
        <f aca="false">MAX(0,AQ323+AR323)</f>
        <v>12450.88</v>
      </c>
      <c r="AU323" s="20" t="n">
        <f aca="false">MIN(PR_PAYE,PR_PAYEcap*(AL323+AN323+AM323))</f>
        <v>2000</v>
      </c>
      <c r="AV323" s="20" t="n">
        <f aca="false">MIN(PR_PAYE,PR_PAYEcap*(AQ323+AR323))</f>
        <v>2000</v>
      </c>
      <c r="AW323" s="20" t="n">
        <f aca="false">IF(C323&gt;=PR_AgeCrAge,PR_AgeCr,0)</f>
        <v>245</v>
      </c>
      <c r="AX323" s="20" t="n">
        <f aca="false">IF(AG323&gt;=PR_AgeCrAge,PR_AgeCr,0)</f>
        <v>245</v>
      </c>
      <c r="AY323" s="20" t="n">
        <f aca="false">IF(AND(F_RentCred=1,D323&lt;=PR_RentLast),1,0)</f>
        <v>0</v>
      </c>
      <c r="AZ323" s="20" t="n">
        <f aca="false">AS323+AT323</f>
        <v>28534.48</v>
      </c>
      <c r="BA323" s="20" t="n">
        <f aca="false">PR_PersonalM+AU323+AV323+AW323+AX323+IF(AY323=1,PR_RentJoint,0)</f>
        <v>8490</v>
      </c>
      <c r="BB323" s="20" t="n">
        <f aca="false">PR_BandM+MIN(MIN(AS323,AT323),PR_Uplift)</f>
        <v>65450.88</v>
      </c>
      <c r="BC323" s="20" t="n">
        <f aca="false">MAX(0,PR_r1*MIN(AZ323,BB323)+PR_r2*MAX(0,AZ323-BB323)-BA323)</f>
        <v>0</v>
      </c>
      <c r="BD323" s="20" t="n">
        <f aca="false">MAX(0,PR_HomeCarer-MAX(0,MIN(AS323,AT323)-PR_HCLimit)/2)</f>
        <v>0</v>
      </c>
      <c r="BE323" s="20" t="n">
        <f aca="false">IF(F_Carer=1,MIN(BC323,MAX(0,PR_r1*MIN(AZ323,PR_BandM)+PR_r2*MAX(0,AZ323-PR_BandM)-BA323-BD323)),BC323)</f>
        <v>0</v>
      </c>
      <c r="BF323" s="20" t="n">
        <f aca="false">IF(OR(C323&gt;=PR_AgeCrAge,AG323&gt;=PR_AgeCrAge),IF(AZ323&lt;=PR_AgeExM,0,MIN(BE323,PR_AgeMarg*(AZ323-PR_AgeExM))),BE323)</f>
        <v>0</v>
      </c>
      <c r="BG323" s="20" t="n">
        <f aca="false">MAX(0,PR_r1*MIN(AS323,IF(F_Spccc=1,PR_BandSPCCC,PR_Band))+PR_r2*MAX(0,AS323-IF(F_Spccc=1,PR_BandSPCCC,PR_Band))-(PR_Personal+AU323+AW323+IF(F_Spccc=1,PR_SPCCC,0)+IF(AY323=1,PR_Rent,0)))</f>
        <v>0</v>
      </c>
      <c r="BH323" s="20" t="n">
        <f aca="false">IF(C323&gt;=PR_AgeCrAge,IF(AS323&lt;=PR_AgeEx,0,MIN(BG323,PR_AgeMarg*(AS323-PR_AgeEx))),BG323)</f>
        <v>0</v>
      </c>
      <c r="BI323" s="20" t="n">
        <f aca="false">IF(F_Partner=1,MAX(0,PR_r1*MIN(AT323,PR_Band)+PR_r2*MAX(0,AT323-PR_Band)-(PR_Personal+AV323+AX323+IF(AND(AY323=1,AT323&gt;0),PR_Rent,0))),0)</f>
        <v>0</v>
      </c>
      <c r="BJ323" s="20" t="n">
        <f aca="false">IF(AG323&gt;=PR_AgeCrAge,IF(AT323&lt;=PR_AgeEx,0,MIN(BI323,PR_AgeMarg*(AT323-PR_AgeEx))),BI323)</f>
        <v>0</v>
      </c>
      <c r="BK323" s="20" t="n">
        <f aca="false">IF(F_Partner=1,IF(F_Married=1,BF323,BH323+BJ323),BH323)</f>
        <v>0</v>
      </c>
      <c r="BL323" s="20" t="n">
        <f aca="false">AL323+AN323+AO323</f>
        <v>0</v>
      </c>
      <c r="BM323" s="20" t="n">
        <f aca="false">IF(BL323&lt;=PR_USCex,0,IF(IF(AND(C323&gt;=PR_USCredAge,BL323&lt;=PR_USCredMax),1,0)=1,PR_USCr1*MIN(BL323,PR_USCredB1)+PR_USCredR2*MAX(0,BL323-PR_USCredB1),PR_USCr1*MIN(BL323,PR_USCb1)+PR_USCr2*MAX(0,MIN(BL323,PR_USCb2)-PR_USCb1)+PR_USCr3*MAX(0,MIN(BL323,PR_USCb3)-PR_USCb2)+PR_USCr4*MAX(0,BL323-PR_USCb3)))+IF(F_SelfEmp=1,PR_USCse*MAX(0,AL323-PR_USCseOver),0)</f>
        <v>0</v>
      </c>
      <c r="BN323" s="20" t="n">
        <f aca="false">AQ323</f>
        <v>0</v>
      </c>
      <c r="BO323" s="20" t="n">
        <f aca="false">IF(F_Partner=1,IF(BN323&lt;=PR_USCex,0,IF(IF(AND(AG323&gt;=PR_USCredAge,BN323&lt;=PR_USCredMax),1,0)=1,PR_USCr1*MIN(BN323,PR_USCredB1)+PR_USCredR2*MAX(0,BN323-PR_USCredB1),PR_USCr1*MIN(BN323,PR_USCb1)+PR_USCr2*MAX(0,MIN(BN323,PR_USCb2)-PR_USCb1)+PR_USCr3*MAX(0,MIN(BN323,PR_USCb3)-PR_USCb2)+PR_USCr4*MAX(0,BN323-PR_USCb3))),0)</f>
        <v>0</v>
      </c>
      <c r="BP323" s="20" t="n">
        <f aca="false">IF(C323&lt;PR_PRSIend,IF(F_SelfEmp=1,IF(AL323&gt;PR_PRSIsMinInc,MAX(PR_PRSIsMin,AL323*J323),0),IF(AL323/52&lt;=PR_PRSIfree,0,MAX(0,(AL323/52*J323-IF(AL323/52&lt;=PR_PRSIcreditTo,MAX(0,PR_PRSIcreditMax-(AL323/52-(PR_PRSIfree+0.01))/PR_PRSItaper),0))*52)))+J323*AN323+IF(AO323&gt;PR_PRSIunearned,J323*AO323,0),0)</f>
        <v>0</v>
      </c>
      <c r="BQ323" s="20" t="n">
        <f aca="false">IF(AND(F_Partner=1,AG323&lt;PR_PRSIend),IF(AQ323/52&lt;=PR_PRSIfree,0,MAX(0,(AQ323/52*J323-IF(AQ323/52&lt;=PR_PRSIcreditTo,MAX(0,PR_PRSIcreditMax-(AQ323/52-(PR_PRSIfree+0.01))/PR_PRSItaper),0))*52)),0)</f>
        <v>0</v>
      </c>
      <c r="BR323" s="20" t="n">
        <f aca="false">BK323+BM323+BO323+BP323+BQ323</f>
        <v>0</v>
      </c>
      <c r="BS323" s="20" t="n">
        <f aca="false">BR323*H323</f>
        <v>0</v>
      </c>
      <c r="BT323" s="20" t="n">
        <f aca="false">K323+AK323+AC323+AF323+AH323+AI323</f>
        <v>166259.032676373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8B57"/>
    <pageSetUpPr fitToPage="false"/>
  </sheetPr>
  <dimension ref="B1:AB1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20" width="2"/>
    <col collapsed="false" customWidth="true" hidden="false" outlineLevel="0" max="2" min="2" style="20" width="30"/>
    <col collapsed="false" customWidth="true" hidden="false" outlineLevel="0" max="3" min="3" style="20" width="14"/>
    <col collapsed="false" customWidth="true" hidden="false" outlineLevel="0" max="4" min="4" style="20" width="12"/>
    <col collapsed="false" customWidth="true" hidden="false" outlineLevel="0" max="5" min="5" style="20" width="26"/>
    <col collapsed="false" customWidth="true" hidden="false" outlineLevel="0" max="6" min="6" style="20" width="12"/>
    <col collapsed="false" customWidth="true" hidden="false" outlineLevel="0" max="7" min="7" style="20" width="14"/>
    <col collapsed="false" customWidth="true" hidden="false" outlineLevel="0" max="10" min="8" style="20" width="12"/>
    <col collapsed="false" customWidth="true" hidden="false" outlineLevel="0" max="11" min="11" style="20" width="14"/>
    <col collapsed="false" customWidth="true" hidden="false" outlineLevel="0" max="12" min="12" style="20" width="24"/>
    <col collapsed="false" customWidth="true" hidden="false" outlineLevel="0" max="13" min="13" style="20" width="70"/>
    <col collapsed="false" customWidth="true" hidden="false" outlineLevel="0" max="15" min="14" style="20" width="14"/>
    <col collapsed="false" customWidth="true" hidden="false" outlineLevel="0" max="16" min="16" style="20" width="16"/>
    <col collapsed="false" customWidth="true" hidden="false" outlineLevel="0" max="22" min="17" style="20" width="14"/>
    <col collapsed="false" customWidth="true" hidden="false" outlineLevel="0" max="28" min="23" style="20" width="22"/>
  </cols>
  <sheetData>
    <row r="1" customFormat="false" ht="17.25" hidden="false" customHeight="true" outlineLevel="0" collapsed="false">
      <c r="B1" s="21" t="s">
        <v>1576</v>
      </c>
    </row>
    <row r="2" customFormat="false" ht="48" hidden="false" customHeight="true" outlineLevel="0" collapsed="false">
      <c r="B2" s="2" t="s">
        <v>1577</v>
      </c>
      <c r="C2" s="2"/>
      <c r="D2" s="2"/>
      <c r="E2" s="2"/>
      <c r="F2" s="2"/>
      <c r="G2" s="2"/>
      <c r="H2" s="2"/>
      <c r="I2" s="2"/>
      <c r="J2" s="2"/>
      <c r="K2" s="2"/>
      <c r="L2" s="2"/>
    </row>
    <row r="4" customFormat="false" ht="15" hidden="false" customHeight="true" outlineLevel="0" collapsed="false">
      <c r="B4" s="46" t="s">
        <v>1578</v>
      </c>
    </row>
    <row r="5" customFormat="false" ht="45.75" hidden="false" customHeight="true" outlineLevel="0" collapsed="false">
      <c r="B5" s="33" t="s">
        <v>584</v>
      </c>
      <c r="C5" s="33" t="s">
        <v>1579</v>
      </c>
      <c r="D5" s="33" t="s">
        <v>1580</v>
      </c>
      <c r="E5" s="33" t="s">
        <v>1581</v>
      </c>
      <c r="F5" s="33" t="s">
        <v>1582</v>
      </c>
      <c r="G5" s="33" t="s">
        <v>1583</v>
      </c>
    </row>
    <row r="6" customFormat="false" ht="15" hidden="false" customHeight="true" outlineLevel="0" collapsed="false">
      <c r="B6" s="20" t="s">
        <v>1584</v>
      </c>
      <c r="C6" s="20" t="s">
        <v>1585</v>
      </c>
      <c r="D6" s="20" t="n">
        <v>40000</v>
      </c>
      <c r="E6" s="20" t="n">
        <v>4</v>
      </c>
      <c r="F6" s="20" t="s">
        <v>1586</v>
      </c>
      <c r="G6" s="20" t="s">
        <v>1587</v>
      </c>
    </row>
    <row r="7" customFormat="false" ht="15" hidden="false" customHeight="true" outlineLevel="0" collapsed="false">
      <c r="B7" s="20" t="s">
        <v>1588</v>
      </c>
      <c r="C7" s="20" t="s">
        <v>1589</v>
      </c>
      <c r="D7" s="20" t="n">
        <v>40000</v>
      </c>
      <c r="E7" s="20" t="n">
        <v>0</v>
      </c>
      <c r="F7" s="20" t="s">
        <v>1588</v>
      </c>
      <c r="G7" s="20" t="s">
        <v>1071</v>
      </c>
    </row>
    <row r="8" customFormat="false" ht="15" hidden="false" customHeight="true" outlineLevel="0" collapsed="false">
      <c r="B8" s="20" t="s">
        <v>1590</v>
      </c>
      <c r="C8" s="20" t="s">
        <v>1591</v>
      </c>
      <c r="D8" s="20" t="n">
        <v>15000</v>
      </c>
      <c r="E8" s="20" t="n">
        <v>3</v>
      </c>
      <c r="F8" s="20" t="s">
        <v>1586</v>
      </c>
      <c r="G8" s="20" t="s">
        <v>1592</v>
      </c>
    </row>
    <row r="9" customFormat="false" ht="15" hidden="false" customHeight="true" outlineLevel="0" collapsed="false">
      <c r="B9" s="20" t="s">
        <v>1593</v>
      </c>
      <c r="C9" s="20" t="s">
        <v>1594</v>
      </c>
      <c r="D9" s="20" t="n">
        <v>30000</v>
      </c>
      <c r="E9" s="20" t="n">
        <v>10</v>
      </c>
      <c r="F9" s="20" t="s">
        <v>1586</v>
      </c>
      <c r="G9" s="20" t="s">
        <v>1595</v>
      </c>
    </row>
    <row r="10" customFormat="false" ht="15" hidden="false" customHeight="true" outlineLevel="0" collapsed="false">
      <c r="B10" s="20" t="s">
        <v>1596</v>
      </c>
      <c r="C10" s="20" t="s">
        <v>1597</v>
      </c>
      <c r="D10" s="20" t="n">
        <v>8000</v>
      </c>
      <c r="E10" s="20" t="n">
        <v>2</v>
      </c>
      <c r="F10" s="20" t="s">
        <v>1586</v>
      </c>
      <c r="G10" s="20" t="s">
        <v>1595</v>
      </c>
    </row>
    <row r="11" customFormat="false" ht="15" hidden="false" customHeight="true" outlineLevel="0" collapsed="false">
      <c r="B11" s="20" t="s">
        <v>1598</v>
      </c>
      <c r="C11" s="20" t="s">
        <v>1599</v>
      </c>
      <c r="D11" s="20" t="n">
        <v>25000</v>
      </c>
      <c r="E11" s="20" t="n">
        <v>5</v>
      </c>
      <c r="F11" s="20" t="s">
        <v>1586</v>
      </c>
      <c r="G11" s="20" t="s">
        <v>1595</v>
      </c>
    </row>
    <row r="12" customFormat="false" ht="15" hidden="false" customHeight="true" outlineLevel="0" collapsed="false">
      <c r="B12" s="20" t="s">
        <v>1600</v>
      </c>
      <c r="C12" s="20" t="s">
        <v>1601</v>
      </c>
      <c r="D12" s="20" t="n">
        <v>150000</v>
      </c>
      <c r="E12" s="20" t="n">
        <v>15</v>
      </c>
      <c r="F12" s="20" t="s">
        <v>1600</v>
      </c>
      <c r="G12" s="20" t="s">
        <v>1587</v>
      </c>
    </row>
    <row r="13" customFormat="false" ht="15" hidden="false" customHeight="true" outlineLevel="0" collapsed="false">
      <c r="B13" s="20" t="s">
        <v>1602</v>
      </c>
      <c r="C13" s="20" t="s">
        <v>141</v>
      </c>
      <c r="D13" s="20" t="n">
        <v>15000</v>
      </c>
      <c r="E13" s="20" t="n">
        <v>2</v>
      </c>
      <c r="F13" s="20" t="s">
        <v>1603</v>
      </c>
      <c r="G13" s="20" t="s">
        <v>1595</v>
      </c>
    </row>
    <row r="14" customFormat="false" ht="15" hidden="false" customHeight="true" outlineLevel="0" collapsed="false">
      <c r="B14" s="20" t="s">
        <v>1604</v>
      </c>
      <c r="C14" s="20" t="s">
        <v>1605</v>
      </c>
      <c r="D14" s="20" t="n">
        <v>50000</v>
      </c>
      <c r="E14" s="20" t="n">
        <v>10</v>
      </c>
      <c r="F14" s="20" t="s">
        <v>1603</v>
      </c>
      <c r="G14" s="20" t="s">
        <v>1606</v>
      </c>
    </row>
    <row r="15" customFormat="false" ht="15" hidden="false" customHeight="true" outlineLevel="0" collapsed="false">
      <c r="B15" s="20" t="s">
        <v>1607</v>
      </c>
      <c r="C15" s="20" t="s">
        <v>1608</v>
      </c>
      <c r="D15" s="20" t="n">
        <v>20000</v>
      </c>
      <c r="E15" s="20" t="n">
        <v>8</v>
      </c>
      <c r="F15" s="20" t="s">
        <v>1586</v>
      </c>
      <c r="G15" s="20" t="s">
        <v>1595</v>
      </c>
    </row>
    <row r="16" customFormat="false" ht="15" hidden="false" customHeight="true" outlineLevel="0" collapsed="false">
      <c r="B16" s="20" t="s">
        <v>1609</v>
      </c>
      <c r="C16" s="20" t="s">
        <v>1610</v>
      </c>
      <c r="D16" s="20" t="n">
        <v>100000</v>
      </c>
      <c r="E16" s="20" t="n">
        <v>0</v>
      </c>
      <c r="F16" s="20" t="s">
        <v>1609</v>
      </c>
      <c r="G16" s="20" t="s">
        <v>1595</v>
      </c>
    </row>
    <row r="17" customFormat="false" ht="15" hidden="false" customHeight="true" outlineLevel="0" collapsed="false">
      <c r="B17" s="20" t="s">
        <v>1611</v>
      </c>
      <c r="C17" s="20" t="s">
        <v>1612</v>
      </c>
      <c r="D17" s="20" t="n">
        <v>25000</v>
      </c>
      <c r="E17" s="20" t="n">
        <v>3</v>
      </c>
      <c r="F17" s="20" t="s">
        <v>1586</v>
      </c>
      <c r="G17" s="20" t="s">
        <v>1595</v>
      </c>
    </row>
    <row r="18" customFormat="false" ht="15" hidden="false" customHeight="true" outlineLevel="0" collapsed="false">
      <c r="B18" s="20" t="s">
        <v>1613</v>
      </c>
      <c r="C18" s="20" t="s">
        <v>1614</v>
      </c>
      <c r="D18" s="20" t="n">
        <v>30000</v>
      </c>
      <c r="E18" s="20" t="n">
        <v>3</v>
      </c>
      <c r="F18" s="20" t="s">
        <v>1586</v>
      </c>
      <c r="G18" s="20" t="s">
        <v>1595</v>
      </c>
    </row>
    <row r="19" customFormat="false" ht="15" hidden="false" customHeight="true" outlineLevel="0" collapsed="false">
      <c r="B19" s="20" t="s">
        <v>1615</v>
      </c>
      <c r="C19" s="20" t="s">
        <v>1616</v>
      </c>
      <c r="D19" s="20" t="n">
        <v>10000</v>
      </c>
      <c r="E19" s="20" t="n">
        <v>5</v>
      </c>
      <c r="F19" s="20" t="s">
        <v>1586</v>
      </c>
      <c r="G19" s="20" t="s">
        <v>1592</v>
      </c>
    </row>
    <row r="20" customFormat="false" ht="15" hidden="false" customHeight="true" outlineLevel="0" collapsed="false">
      <c r="B20" s="20" t="s">
        <v>1617</v>
      </c>
      <c r="C20" s="20" t="s">
        <v>1618</v>
      </c>
      <c r="D20" s="20" t="n">
        <v>10000</v>
      </c>
      <c r="E20" s="20" t="n">
        <v>4</v>
      </c>
      <c r="F20" s="20" t="s">
        <v>1586</v>
      </c>
      <c r="G20" s="20" t="s">
        <v>1595</v>
      </c>
    </row>
    <row r="22" customFormat="false" ht="15" hidden="false" customHeight="true" outlineLevel="0" collapsed="false">
      <c r="B22" s="46" t="s">
        <v>1619</v>
      </c>
    </row>
    <row r="23" customFormat="false" ht="45.75" hidden="false" customHeight="true" outlineLevel="0" collapsed="false">
      <c r="B23" s="33" t="s">
        <v>1620</v>
      </c>
      <c r="C23" s="33" t="s">
        <v>1621</v>
      </c>
      <c r="D23" s="33" t="s">
        <v>1582</v>
      </c>
      <c r="E23" s="33" t="s">
        <v>1622</v>
      </c>
      <c r="F23" s="33" t="s">
        <v>1623</v>
      </c>
      <c r="G23" s="33" t="s">
        <v>1624</v>
      </c>
      <c r="H23" s="33" t="s">
        <v>1625</v>
      </c>
      <c r="I23" s="33" t="s">
        <v>1626</v>
      </c>
      <c r="J23" s="33" t="s">
        <v>1627</v>
      </c>
      <c r="K23" s="33" t="s">
        <v>1137</v>
      </c>
      <c r="L23" s="33" t="s">
        <v>1138</v>
      </c>
      <c r="M23" s="33" t="s">
        <v>1628</v>
      </c>
      <c r="N23" s="33" t="s">
        <v>1629</v>
      </c>
      <c r="O23" s="33" t="s">
        <v>1630</v>
      </c>
      <c r="P23" s="33" t="s">
        <v>1631</v>
      </c>
    </row>
    <row r="24" customFormat="false" ht="15" hidden="false" customHeight="true" outlineLevel="0" collapsed="false">
      <c r="B24" s="20" t="s">
        <v>1149</v>
      </c>
      <c r="C24" s="20" t="str">
        <f aca="false">Goal1_key</f>
        <v>edu</v>
      </c>
      <c r="D24" s="20" t="str">
        <f aca="false">IFERROR(INDEX(Goal_Kinds,MATCH(C24,Goal_Keys,0)),"")</f>
        <v>spend</v>
      </c>
      <c r="E24" s="20" t="str">
        <f aca="false">Goal1_name</f>
        <v>Kids' education</v>
      </c>
      <c r="F24" s="20" t="n">
        <f aca="false">Goal1_age</f>
        <v>48</v>
      </c>
      <c r="G24" s="20" t="n">
        <f aca="false">IF(OR(D24="spend",D24="mfree",D24="pot"),1,0)</f>
        <v>1</v>
      </c>
      <c r="H24" s="20" t="n">
        <f aca="false">IF(G24=1,MAX(F_Age+1,MIN(AS_End,F24)),"")</f>
        <v>48</v>
      </c>
      <c r="I24" s="20" t="n">
        <f aca="false">IF(D24="retire",F_R,IF(D24="legacy",AS_End,F24))</f>
        <v>48</v>
      </c>
      <c r="J24" s="20" t="n">
        <f aca="false">IF(AND(C24="safety",Goal1_auto="Yes",Has_costsM=1),ROUND(F_EssM*AS_Months,0),Goal1_amount)</f>
        <v>50000</v>
      </c>
      <c r="K24" s="20" t="n">
        <f aca="false">Goal1_saved</f>
        <v>0</v>
      </c>
      <c r="L24" s="20" t="str">
        <f aca="false">Goal1_prio</f>
        <v>Must have</v>
      </c>
      <c r="M24" s="20" t="str">
        <f aca="false">Goal1_rank</f>
        <v/>
      </c>
      <c r="N24" s="20" t="n">
        <f aca="false">IF(Goal_RankSet=1,IF(M24&lt;&gt;"",M24-1,IF(C24="safety",-1,PR_SortBig)),0)</f>
        <v>0</v>
      </c>
      <c r="O24" s="20" t="n">
        <f aca="false">IF(G24=1,(N24+1)*100000000+IF(C24="safety",0,1)*10000000+IF(L24="Nice to have",1,0)*1000000+H24*1000+1,1000000000000000)</f>
        <v>110048001</v>
      </c>
      <c r="P24" s="20" t="n">
        <f aca="false">IF(G24=1,1+SUMPRODUCT(($G$24:$G$45=1)*($O$24:$O$45&lt;O24)),"")</f>
        <v>3</v>
      </c>
    </row>
    <row r="25" customFormat="false" ht="15" hidden="false" customHeight="true" outlineLevel="0" collapsed="false">
      <c r="B25" s="20" t="s">
        <v>1150</v>
      </c>
      <c r="C25" s="20" t="str">
        <f aca="false">Goal2_key</f>
        <v>travel</v>
      </c>
      <c r="D25" s="20" t="str">
        <f aca="false">IFERROR(INDEX(Goal_Kinds,MATCH(C25,Goal_Keys,0)),"")</f>
        <v>spend</v>
      </c>
      <c r="E25" s="20" t="str">
        <f aca="false">Goal2_name</f>
        <v>Travel</v>
      </c>
      <c r="F25" s="20" t="n">
        <f aca="false">Goal2_age</f>
        <v>41</v>
      </c>
      <c r="G25" s="20" t="n">
        <f aca="false">IF(OR(D25="spend",D25="mfree",D25="pot"),1,0)</f>
        <v>1</v>
      </c>
      <c r="H25" s="20" t="n">
        <f aca="false">IF(G25=1,MAX(F_Age+1,MIN(AS_End,F25)),"")</f>
        <v>41</v>
      </c>
      <c r="I25" s="20" t="n">
        <f aca="false">IF(D25="retire",F_R,IF(D25="legacy",AS_End,F25))</f>
        <v>41</v>
      </c>
      <c r="J25" s="20" t="n">
        <f aca="false">IF(AND(C25="safety",Goal2_auto="Yes",Has_costsM=1),ROUND(F_EssM*AS_Months,0),Goal2_amount)</f>
        <v>12000</v>
      </c>
      <c r="K25" s="20" t="n">
        <f aca="false">Goal2_saved</f>
        <v>0</v>
      </c>
      <c r="L25" s="20" t="str">
        <f aca="false">Goal2_prio</f>
        <v>Must have</v>
      </c>
      <c r="M25" s="20" t="str">
        <f aca="false">Goal2_rank</f>
        <v/>
      </c>
      <c r="N25" s="20" t="n">
        <f aca="false">IF(Goal_RankSet=1,IF(M25&lt;&gt;"",M25-1,IF(C25="safety",-1,PR_SortBig)),0)</f>
        <v>0</v>
      </c>
      <c r="O25" s="20" t="n">
        <f aca="false">IF(G25=1,(N25+1)*100000000+IF(C25="safety",0,1)*10000000+IF(L25="Nice to have",1,0)*1000000+H25*1000+2,1000000000000000)</f>
        <v>110041002</v>
      </c>
      <c r="P25" s="20" t="n">
        <f aca="false">IF(G25=1,1+SUMPRODUCT(($G$24:$G$45=1)*($O$24:$O$45&lt;O25)),"")</f>
        <v>2</v>
      </c>
    </row>
    <row r="26" customFormat="false" ht="15" hidden="false" customHeight="true" outlineLevel="0" collapsed="false">
      <c r="B26" s="20" t="s">
        <v>1151</v>
      </c>
      <c r="C26" s="20" t="str">
        <f aca="false">Goal3_key</f>
        <v>mfree</v>
      </c>
      <c r="D26" s="20" t="str">
        <f aca="false">IFERROR(INDEX(Goal_Kinds,MATCH(C26,Goal_Keys,0)),"")</f>
        <v>mfree</v>
      </c>
      <c r="E26" s="20" t="str">
        <f aca="false">Goal3_name</f>
        <v>Be mortgage-free</v>
      </c>
      <c r="F26" s="20" t="n">
        <f aca="false">Goal3_age</f>
        <v>55</v>
      </c>
      <c r="G26" s="20" t="n">
        <f aca="false">IF(OR(D26="spend",D26="mfree",D26="pot"),1,0)</f>
        <v>1</v>
      </c>
      <c r="H26" s="20" t="n">
        <f aca="false">IF(G26=1,MAX(F_Age+1,MIN(AS_End,F26)),"")</f>
        <v>55</v>
      </c>
      <c r="I26" s="20" t="n">
        <f aca="false">IF(D26="retire",F_R,IF(D26="legacy",AS_End,F26))</f>
        <v>55</v>
      </c>
      <c r="J26" s="20" t="n">
        <f aca="false">IF(AND(C26="safety",Goal3_auto="Yes",Has_costsM=1),ROUND(F_EssM*AS_Months,0),Goal3_amount)</f>
        <v>150000</v>
      </c>
      <c r="K26" s="20" t="n">
        <f aca="false">Goal3_saved</f>
        <v>0</v>
      </c>
      <c r="L26" s="20" t="str">
        <f aca="false">Goal3_prio</f>
        <v>Must have</v>
      </c>
      <c r="M26" s="20" t="str">
        <f aca="false">Goal3_rank</f>
        <v/>
      </c>
      <c r="N26" s="20" t="n">
        <f aca="false">IF(Goal_RankSet=1,IF(M26&lt;&gt;"",M26-1,IF(C26="safety",-1,PR_SortBig)),0)</f>
        <v>0</v>
      </c>
      <c r="O26" s="20" t="n">
        <f aca="false">IF(G26=1,(N26+1)*100000000+IF(C26="safety",0,1)*10000000+IF(L26="Nice to have",1,0)*1000000+H26*1000+3,1000000000000000)</f>
        <v>110055003</v>
      </c>
      <c r="P26" s="20" t="n">
        <f aca="false">IF(G26=1,1+SUMPRODUCT(($G$24:$G$45=1)*($O$24:$O$45&lt;O26)),"")</f>
        <v>4</v>
      </c>
    </row>
    <row r="27" customFormat="false" ht="15" hidden="false" customHeight="true" outlineLevel="0" collapsed="false">
      <c r="B27" s="20" t="s">
        <v>1152</v>
      </c>
      <c r="C27" s="20" t="str">
        <f aca="false">Goal4_key</f>
        <v>safety</v>
      </c>
      <c r="D27" s="20" t="str">
        <f aca="false">IFERROR(INDEX(Goal_Kinds,MATCH(C27,Goal_Keys,0)),"")</f>
        <v>pot</v>
      </c>
      <c r="E27" s="20" t="str">
        <f aca="false">Goal4_name</f>
        <v>Emergency fund</v>
      </c>
      <c r="F27" s="20" t="n">
        <f aca="false">Goal4_age</f>
        <v>40</v>
      </c>
      <c r="G27" s="20" t="n">
        <f aca="false">IF(OR(D27="spend",D27="mfree",D27="pot"),1,0)</f>
        <v>1</v>
      </c>
      <c r="H27" s="20" t="n">
        <f aca="false">IF(G27=1,MAX(F_Age+1,MIN(AS_End,F27)),"")</f>
        <v>40</v>
      </c>
      <c r="I27" s="20" t="n">
        <f aca="false">IF(D27="retire",F_R,IF(D27="legacy",AS_End,F27))</f>
        <v>40</v>
      </c>
      <c r="J27" s="20" t="n">
        <f aca="false">IF(AND(C27="safety",Goal4_auto="Yes",Has_costsM=1),ROUND(F_EssM*AS_Months,0),Goal4_amount)</f>
        <v>15000</v>
      </c>
      <c r="K27" s="20" t="n">
        <f aca="false">Goal4_saved</f>
        <v>5000</v>
      </c>
      <c r="L27" s="20" t="str">
        <f aca="false">Goal4_prio</f>
        <v>Must have</v>
      </c>
      <c r="M27" s="20" t="str">
        <f aca="false">Goal4_rank</f>
        <v/>
      </c>
      <c r="N27" s="20" t="n">
        <f aca="false">IF(Goal_RankSet=1,IF(M27&lt;&gt;"",M27-1,IF(C27="safety",-1,PR_SortBig)),0)</f>
        <v>0</v>
      </c>
      <c r="O27" s="20" t="n">
        <f aca="false">IF(G27=1,(N27+1)*100000000+IF(C27="safety",0,1)*10000000+IF(L27="Nice to have",1,0)*1000000+H27*1000+4,1000000000000000)</f>
        <v>100040004</v>
      </c>
      <c r="P27" s="20" t="n">
        <f aca="false">IF(G27=1,1+SUMPRODUCT(($G$24:$G$45=1)*($O$24:$O$45&lt;O27)),"")</f>
        <v>1</v>
      </c>
    </row>
    <row r="28" customFormat="false" ht="15" hidden="false" customHeight="true" outlineLevel="0" collapsed="false">
      <c r="B28" s="20" t="s">
        <v>1153</v>
      </c>
      <c r="C28" s="20" t="str">
        <f aca="false">Goal5_key</f>
        <v>retire</v>
      </c>
      <c r="D28" s="20" t="str">
        <f aca="false">IFERROR(INDEX(Goal_Kinds,MATCH(C28,Goal_Keys,0)),"")</f>
        <v>retire</v>
      </c>
      <c r="E28" s="20" t="str">
        <f aca="false">Goal5_name</f>
        <v>Retire comfortably</v>
      </c>
      <c r="F28" s="20" t="n">
        <f aca="false">Goal5_age</f>
        <v>63</v>
      </c>
      <c r="G28" s="20" t="n">
        <f aca="false">IF(OR(D28="spend",D28="mfree",D28="pot"),1,0)</f>
        <v>0</v>
      </c>
      <c r="H28" s="20" t="str">
        <f aca="false">IF(G28=1,MAX(F_Age+1,MIN(AS_End,F28)),"")</f>
        <v/>
      </c>
      <c r="I28" s="20" t="n">
        <f aca="false">IF(D28="retire",F_R,IF(D28="legacy",AS_End,F28))</f>
        <v>63</v>
      </c>
      <c r="J28" s="20" t="n">
        <f aca="false">IF(AND(C28="safety",Goal5_auto="Yes",Has_costsM=1),ROUND(F_EssM*AS_Months,0),Goal5_amount)</f>
        <v>46000</v>
      </c>
      <c r="K28" s="20" t="n">
        <f aca="false">Goal5_saved</f>
        <v>0</v>
      </c>
      <c r="L28" s="20" t="str">
        <f aca="false">Goal5_prio</f>
        <v>Must have</v>
      </c>
      <c r="M28" s="20" t="str">
        <f aca="false">Goal5_rank</f>
        <v/>
      </c>
      <c r="N28" s="20" t="n">
        <f aca="false">IF(Goal_RankSet=1,IF(M28&lt;&gt;"",M28-1,IF(C28="safety",-1,PR_SortBig)),0)</f>
        <v>0</v>
      </c>
      <c r="O28" s="20" t="n">
        <f aca="false">IF(G28=1,(N28+1)*100000000+IF(C28="safety",0,1)*10000000+IF(L28="Nice to have",1,0)*1000000+H28*1000+5,1000000000000000)</f>
        <v>1000000000000000</v>
      </c>
      <c r="P28" s="20" t="str">
        <f aca="false">IF(G28=1,1+SUMPRODUCT(($G$24:$G$45=1)*($O$24:$O$45&lt;O28)),"")</f>
        <v/>
      </c>
    </row>
    <row r="29" customFormat="false" ht="15" hidden="false" customHeight="true" outlineLevel="0" collapsed="false">
      <c r="B29" s="20" t="s">
        <v>1154</v>
      </c>
      <c r="C29" s="20" t="str">
        <f aca="false">Goal6_key</f>
        <v/>
      </c>
      <c r="D29" s="20" t="str">
        <f aca="false">IFERROR(INDEX(Goal_Kinds,MATCH(C29,Goal_Keys,0)),"")</f>
        <v/>
      </c>
      <c r="E29" s="20" t="str">
        <f aca="false">Goal6_name</f>
        <v/>
      </c>
      <c r="F29" s="20" t="n">
        <f aca="false">Goal6_age</f>
        <v>0</v>
      </c>
      <c r="G29" s="20" t="n">
        <f aca="false">IF(OR(D29="spend",D29="mfree",D29="pot"),1,0)</f>
        <v>0</v>
      </c>
      <c r="H29" s="20" t="str">
        <f aca="false">IF(G29=1,MAX(F_Age+1,MIN(AS_End,F29)),"")</f>
        <v/>
      </c>
      <c r="I29" s="20" t="n">
        <f aca="false">IF(D29="retire",F_R,IF(D29="legacy",AS_End,F29))</f>
        <v>0</v>
      </c>
      <c r="J29" s="20" t="n">
        <f aca="false">IF(AND(C29="safety",Goal6_auto="Yes",Has_costsM=1),ROUND(F_EssM*AS_Months,0),Goal6_amount)</f>
        <v>0</v>
      </c>
      <c r="K29" s="20" t="n">
        <f aca="false">Goal6_saved</f>
        <v>0</v>
      </c>
      <c r="L29" s="20" t="str">
        <f aca="false">Goal6_prio</f>
        <v>Must have</v>
      </c>
      <c r="M29" s="20" t="str">
        <f aca="false">Goal6_rank</f>
        <v/>
      </c>
      <c r="N29" s="20" t="n">
        <f aca="false">IF(Goal_RankSet=1,IF(M29&lt;&gt;"",M29-1,IF(C29="safety",-1,PR_SortBig)),0)</f>
        <v>0</v>
      </c>
      <c r="O29" s="20" t="n">
        <f aca="false">IF(G29=1,(N29+1)*100000000+IF(C29="safety",0,1)*10000000+IF(L29="Nice to have",1,0)*1000000+H29*1000+6,1000000000000000)</f>
        <v>1000000000000000</v>
      </c>
      <c r="P29" s="20" t="str">
        <f aca="false">IF(G29=1,1+SUMPRODUCT(($G$24:$G$45=1)*($O$24:$O$45&lt;O29)),"")</f>
        <v/>
      </c>
    </row>
    <row r="30" customFormat="false" ht="15" hidden="false" customHeight="true" outlineLevel="0" collapsed="false">
      <c r="B30" s="20" t="s">
        <v>1155</v>
      </c>
      <c r="C30" s="20" t="str">
        <f aca="false">Goal7_key</f>
        <v/>
      </c>
      <c r="D30" s="20" t="str">
        <f aca="false">IFERROR(INDEX(Goal_Kinds,MATCH(C30,Goal_Keys,0)),"")</f>
        <v/>
      </c>
      <c r="E30" s="20" t="str">
        <f aca="false">Goal7_name</f>
        <v/>
      </c>
      <c r="F30" s="20" t="n">
        <f aca="false">Goal7_age</f>
        <v>0</v>
      </c>
      <c r="G30" s="20" t="n">
        <f aca="false">IF(OR(D30="spend",D30="mfree",D30="pot"),1,0)</f>
        <v>0</v>
      </c>
      <c r="H30" s="20" t="str">
        <f aca="false">IF(G30=1,MAX(F_Age+1,MIN(AS_End,F30)),"")</f>
        <v/>
      </c>
      <c r="I30" s="20" t="n">
        <f aca="false">IF(D30="retire",F_R,IF(D30="legacy",AS_End,F30))</f>
        <v>0</v>
      </c>
      <c r="J30" s="20" t="n">
        <f aca="false">IF(AND(C30="safety",Goal7_auto="Yes",Has_costsM=1),ROUND(F_EssM*AS_Months,0),Goal7_amount)</f>
        <v>0</v>
      </c>
      <c r="K30" s="20" t="n">
        <f aca="false">Goal7_saved</f>
        <v>0</v>
      </c>
      <c r="L30" s="20" t="str">
        <f aca="false">Goal7_prio</f>
        <v>Must have</v>
      </c>
      <c r="M30" s="20" t="str">
        <f aca="false">Goal7_rank</f>
        <v/>
      </c>
      <c r="N30" s="20" t="n">
        <f aca="false">IF(Goal_RankSet=1,IF(M30&lt;&gt;"",M30-1,IF(C30="safety",-1,PR_SortBig)),0)</f>
        <v>0</v>
      </c>
      <c r="O30" s="20" t="n">
        <f aca="false">IF(G30=1,(N30+1)*100000000+IF(C30="safety",0,1)*10000000+IF(L30="Nice to have",1,0)*1000000+H30*1000+7,1000000000000000)</f>
        <v>1000000000000000</v>
      </c>
      <c r="P30" s="20" t="str">
        <f aca="false">IF(G30=1,1+SUMPRODUCT(($G$24:$G$45=1)*($O$24:$O$45&lt;O30)),"")</f>
        <v/>
      </c>
    </row>
    <row r="31" customFormat="false" ht="15" hidden="false" customHeight="true" outlineLevel="0" collapsed="false">
      <c r="B31" s="20" t="s">
        <v>1156</v>
      </c>
      <c r="C31" s="20" t="str">
        <f aca="false">Goal8_key</f>
        <v/>
      </c>
      <c r="D31" s="20" t="str">
        <f aca="false">IFERROR(INDEX(Goal_Kinds,MATCH(C31,Goal_Keys,0)),"")</f>
        <v/>
      </c>
      <c r="E31" s="20" t="str">
        <f aca="false">Goal8_name</f>
        <v/>
      </c>
      <c r="F31" s="20" t="n">
        <f aca="false">Goal8_age</f>
        <v>0</v>
      </c>
      <c r="G31" s="20" t="n">
        <f aca="false">IF(OR(D31="spend",D31="mfree",D31="pot"),1,0)</f>
        <v>0</v>
      </c>
      <c r="H31" s="20" t="str">
        <f aca="false">IF(G31=1,MAX(F_Age+1,MIN(AS_End,F31)),"")</f>
        <v/>
      </c>
      <c r="I31" s="20" t="n">
        <f aca="false">IF(D31="retire",F_R,IF(D31="legacy",AS_End,F31))</f>
        <v>0</v>
      </c>
      <c r="J31" s="20" t="n">
        <f aca="false">IF(AND(C31="safety",Goal8_auto="Yes",Has_costsM=1),ROUND(F_EssM*AS_Months,0),Goal8_amount)</f>
        <v>0</v>
      </c>
      <c r="K31" s="20" t="n">
        <f aca="false">Goal8_saved</f>
        <v>0</v>
      </c>
      <c r="L31" s="20" t="str">
        <f aca="false">Goal8_prio</f>
        <v>Must have</v>
      </c>
      <c r="M31" s="20" t="str">
        <f aca="false">Goal8_rank</f>
        <v/>
      </c>
      <c r="N31" s="20" t="n">
        <f aca="false">IF(Goal_RankSet=1,IF(M31&lt;&gt;"",M31-1,IF(C31="safety",-1,PR_SortBig)),0)</f>
        <v>0</v>
      </c>
      <c r="O31" s="20" t="n">
        <f aca="false">IF(G31=1,(N31+1)*100000000+IF(C31="safety",0,1)*10000000+IF(L31="Nice to have",1,0)*1000000+H31*1000+8,1000000000000000)</f>
        <v>1000000000000000</v>
      </c>
      <c r="P31" s="20" t="str">
        <f aca="false">IF(G31=1,1+SUMPRODUCT(($G$24:$G$45=1)*($O$24:$O$45&lt;O31)),"")</f>
        <v/>
      </c>
    </row>
    <row r="32" customFormat="false" ht="15" hidden="false" customHeight="true" outlineLevel="0" collapsed="false">
      <c r="B32" s="20" t="s">
        <v>1157</v>
      </c>
      <c r="C32" s="20" t="str">
        <f aca="false">Goal9_key</f>
        <v/>
      </c>
      <c r="D32" s="20" t="str">
        <f aca="false">IFERROR(INDEX(Goal_Kinds,MATCH(C32,Goal_Keys,0)),"")</f>
        <v/>
      </c>
      <c r="E32" s="20" t="str">
        <f aca="false">Goal9_name</f>
        <v/>
      </c>
      <c r="F32" s="20" t="n">
        <f aca="false">Goal9_age</f>
        <v>0</v>
      </c>
      <c r="G32" s="20" t="n">
        <f aca="false">IF(OR(D32="spend",D32="mfree",D32="pot"),1,0)</f>
        <v>0</v>
      </c>
      <c r="H32" s="20" t="str">
        <f aca="false">IF(G32=1,MAX(F_Age+1,MIN(AS_End,F32)),"")</f>
        <v/>
      </c>
      <c r="I32" s="20" t="n">
        <f aca="false">IF(D32="retire",F_R,IF(D32="legacy",AS_End,F32))</f>
        <v>0</v>
      </c>
      <c r="J32" s="20" t="n">
        <f aca="false">IF(AND(C32="safety",Goal9_auto="Yes",Has_costsM=1),ROUND(F_EssM*AS_Months,0),Goal9_amount)</f>
        <v>0</v>
      </c>
      <c r="K32" s="20" t="n">
        <f aca="false">Goal9_saved</f>
        <v>0</v>
      </c>
      <c r="L32" s="20" t="str">
        <f aca="false">Goal9_prio</f>
        <v>Must have</v>
      </c>
      <c r="M32" s="20" t="str">
        <f aca="false">Goal9_rank</f>
        <v/>
      </c>
      <c r="N32" s="20" t="n">
        <f aca="false">IF(Goal_RankSet=1,IF(M32&lt;&gt;"",M32-1,IF(C32="safety",-1,PR_SortBig)),0)</f>
        <v>0</v>
      </c>
      <c r="O32" s="20" t="n">
        <f aca="false">IF(G32=1,(N32+1)*100000000+IF(C32="safety",0,1)*10000000+IF(L32="Nice to have",1,0)*1000000+H32*1000+9,1000000000000000)</f>
        <v>1000000000000000</v>
      </c>
      <c r="P32" s="20" t="str">
        <f aca="false">IF(G32=1,1+SUMPRODUCT(($G$24:$G$45=1)*($O$24:$O$45&lt;O32)),"")</f>
        <v/>
      </c>
    </row>
    <row r="33" customFormat="false" ht="15" hidden="false" customHeight="true" outlineLevel="0" collapsed="false">
      <c r="B33" s="20" t="s">
        <v>1158</v>
      </c>
      <c r="C33" s="20" t="str">
        <f aca="false">Goal10_key</f>
        <v/>
      </c>
      <c r="D33" s="20" t="str">
        <f aca="false">IFERROR(INDEX(Goal_Kinds,MATCH(C33,Goal_Keys,0)),"")</f>
        <v/>
      </c>
      <c r="E33" s="20" t="str">
        <f aca="false">Goal10_name</f>
        <v/>
      </c>
      <c r="F33" s="20" t="n">
        <f aca="false">Goal10_age</f>
        <v>0</v>
      </c>
      <c r="G33" s="20" t="n">
        <f aca="false">IF(OR(D33="spend",D33="mfree",D33="pot"),1,0)</f>
        <v>0</v>
      </c>
      <c r="H33" s="20" t="str">
        <f aca="false">IF(G33=1,MAX(F_Age+1,MIN(AS_End,F33)),"")</f>
        <v/>
      </c>
      <c r="I33" s="20" t="n">
        <f aca="false">IF(D33="retire",F_R,IF(D33="legacy",AS_End,F33))</f>
        <v>0</v>
      </c>
      <c r="J33" s="20" t="n">
        <f aca="false">IF(AND(C33="safety",Goal10_auto="Yes",Has_costsM=1),ROUND(F_EssM*AS_Months,0),Goal10_amount)</f>
        <v>0</v>
      </c>
      <c r="K33" s="20" t="n">
        <f aca="false">Goal10_saved</f>
        <v>0</v>
      </c>
      <c r="L33" s="20" t="str">
        <f aca="false">Goal10_prio</f>
        <v>Must have</v>
      </c>
      <c r="M33" s="20" t="str">
        <f aca="false">Goal10_rank</f>
        <v/>
      </c>
      <c r="N33" s="20" t="n">
        <f aca="false">IF(Goal_RankSet=1,IF(M33&lt;&gt;"",M33-1,IF(C33="safety",-1,PR_SortBig)),0)</f>
        <v>0</v>
      </c>
      <c r="O33" s="20" t="n">
        <f aca="false">IF(G33=1,(N33+1)*100000000+IF(C33="safety",0,1)*10000000+IF(L33="Nice to have",1,0)*1000000+H33*1000+10,1000000000000000)</f>
        <v>1000000000000000</v>
      </c>
      <c r="P33" s="20" t="str">
        <f aca="false">IF(G33=1,1+SUMPRODUCT(($G$24:$G$45=1)*($O$24:$O$45&lt;O33)),"")</f>
        <v/>
      </c>
    </row>
    <row r="34" customFormat="false" ht="15" hidden="false" customHeight="true" outlineLevel="0" collapsed="false">
      <c r="B34" s="20" t="s">
        <v>1159</v>
      </c>
      <c r="C34" s="20" t="str">
        <f aca="false">Goal11_key</f>
        <v/>
      </c>
      <c r="D34" s="20" t="str">
        <f aca="false">IFERROR(INDEX(Goal_Kinds,MATCH(C34,Goal_Keys,0)),"")</f>
        <v/>
      </c>
      <c r="E34" s="20" t="str">
        <f aca="false">Goal11_name</f>
        <v/>
      </c>
      <c r="F34" s="20" t="n">
        <f aca="false">Goal11_age</f>
        <v>0</v>
      </c>
      <c r="G34" s="20" t="n">
        <f aca="false">IF(OR(D34="spend",D34="mfree",D34="pot"),1,0)</f>
        <v>0</v>
      </c>
      <c r="H34" s="20" t="str">
        <f aca="false">IF(G34=1,MAX(F_Age+1,MIN(AS_End,F34)),"")</f>
        <v/>
      </c>
      <c r="I34" s="20" t="n">
        <f aca="false">IF(D34="retire",F_R,IF(D34="legacy",AS_End,F34))</f>
        <v>0</v>
      </c>
      <c r="J34" s="20" t="n">
        <f aca="false">IF(AND(C34="safety",Goal11_auto="Yes",Has_costsM=1),ROUND(F_EssM*AS_Months,0),Goal11_amount)</f>
        <v>0</v>
      </c>
      <c r="K34" s="20" t="n">
        <f aca="false">Goal11_saved</f>
        <v>0</v>
      </c>
      <c r="L34" s="20" t="str">
        <f aca="false">Goal11_prio</f>
        <v>Must have</v>
      </c>
      <c r="M34" s="20" t="str">
        <f aca="false">Goal11_rank</f>
        <v/>
      </c>
      <c r="N34" s="20" t="n">
        <f aca="false">IF(Goal_RankSet=1,IF(M34&lt;&gt;"",M34-1,IF(C34="safety",-1,PR_SortBig)),0)</f>
        <v>0</v>
      </c>
      <c r="O34" s="20" t="n">
        <f aca="false">IF(G34=1,(N34+1)*100000000+IF(C34="safety",0,1)*10000000+IF(L34="Nice to have",1,0)*1000000+H34*1000+11,1000000000000000)</f>
        <v>1000000000000000</v>
      </c>
      <c r="P34" s="20" t="str">
        <f aca="false">IF(G34=1,1+SUMPRODUCT(($G$24:$G$45=1)*($O$24:$O$45&lt;O34)),"")</f>
        <v/>
      </c>
    </row>
    <row r="35" customFormat="false" ht="15" hidden="false" customHeight="true" outlineLevel="0" collapsed="false">
      <c r="B35" s="20" t="s">
        <v>1160</v>
      </c>
      <c r="C35" s="20" t="str">
        <f aca="false">Goal12_key</f>
        <v/>
      </c>
      <c r="D35" s="20" t="str">
        <f aca="false">IFERROR(INDEX(Goal_Kinds,MATCH(C35,Goal_Keys,0)),"")</f>
        <v/>
      </c>
      <c r="E35" s="20" t="str">
        <f aca="false">Goal12_name</f>
        <v/>
      </c>
      <c r="F35" s="20" t="n">
        <f aca="false">Goal12_age</f>
        <v>0</v>
      </c>
      <c r="G35" s="20" t="n">
        <f aca="false">IF(OR(D35="spend",D35="mfree",D35="pot"),1,0)</f>
        <v>0</v>
      </c>
      <c r="H35" s="20" t="str">
        <f aca="false">IF(G35=1,MAX(F_Age+1,MIN(AS_End,F35)),"")</f>
        <v/>
      </c>
      <c r="I35" s="20" t="n">
        <f aca="false">IF(D35="retire",F_R,IF(D35="legacy",AS_End,F35))</f>
        <v>0</v>
      </c>
      <c r="J35" s="20" t="n">
        <f aca="false">IF(AND(C35="safety",Goal12_auto="Yes",Has_costsM=1),ROUND(F_EssM*AS_Months,0),Goal12_amount)</f>
        <v>0</v>
      </c>
      <c r="K35" s="20" t="n">
        <f aca="false">Goal12_saved</f>
        <v>0</v>
      </c>
      <c r="L35" s="20" t="str">
        <f aca="false">Goal12_prio</f>
        <v>Must have</v>
      </c>
      <c r="M35" s="20" t="str">
        <f aca="false">Goal12_rank</f>
        <v/>
      </c>
      <c r="N35" s="20" t="n">
        <f aca="false">IF(Goal_RankSet=1,IF(M35&lt;&gt;"",M35-1,IF(C35="safety",-1,PR_SortBig)),0)</f>
        <v>0</v>
      </c>
      <c r="O35" s="20" t="n">
        <f aca="false">IF(G35=1,(N35+1)*100000000+IF(C35="safety",0,1)*10000000+IF(L35="Nice to have",1,0)*1000000+H35*1000+12,1000000000000000)</f>
        <v>1000000000000000</v>
      </c>
      <c r="P35" s="20" t="str">
        <f aca="false">IF(G35=1,1+SUMPRODUCT(($G$24:$G$45=1)*($O$24:$O$45&lt;O35)),"")</f>
        <v/>
      </c>
    </row>
    <row r="36" customFormat="false" ht="15" hidden="false" customHeight="true" outlineLevel="0" collapsed="false">
      <c r="B36" s="20" t="s">
        <v>1161</v>
      </c>
      <c r="C36" s="20" t="str">
        <f aca="false">Goal13_key</f>
        <v/>
      </c>
      <c r="D36" s="20" t="str">
        <f aca="false">IFERROR(INDEX(Goal_Kinds,MATCH(C36,Goal_Keys,0)),"")</f>
        <v/>
      </c>
      <c r="E36" s="20" t="str">
        <f aca="false">Goal13_name</f>
        <v/>
      </c>
      <c r="F36" s="20" t="n">
        <f aca="false">Goal13_age</f>
        <v>0</v>
      </c>
      <c r="G36" s="20" t="n">
        <f aca="false">IF(OR(D36="spend",D36="mfree",D36="pot"),1,0)</f>
        <v>0</v>
      </c>
      <c r="H36" s="20" t="str">
        <f aca="false">IF(G36=1,MAX(F_Age+1,MIN(AS_End,F36)),"")</f>
        <v/>
      </c>
      <c r="I36" s="20" t="n">
        <f aca="false">IF(D36="retire",F_R,IF(D36="legacy",AS_End,F36))</f>
        <v>0</v>
      </c>
      <c r="J36" s="20" t="n">
        <f aca="false">IF(AND(C36="safety",Goal13_auto="Yes",Has_costsM=1),ROUND(F_EssM*AS_Months,0),Goal13_amount)</f>
        <v>0</v>
      </c>
      <c r="K36" s="20" t="n">
        <f aca="false">Goal13_saved</f>
        <v>0</v>
      </c>
      <c r="L36" s="20" t="str">
        <f aca="false">Goal13_prio</f>
        <v>Must have</v>
      </c>
      <c r="M36" s="20" t="str">
        <f aca="false">Goal13_rank</f>
        <v/>
      </c>
      <c r="N36" s="20" t="n">
        <f aca="false">IF(Goal_RankSet=1,IF(M36&lt;&gt;"",M36-1,IF(C36="safety",-1,PR_SortBig)),0)</f>
        <v>0</v>
      </c>
      <c r="O36" s="20" t="n">
        <f aca="false">IF(G36=1,(N36+1)*100000000+IF(C36="safety",0,1)*10000000+IF(L36="Nice to have",1,0)*1000000+H36*1000+13,1000000000000000)</f>
        <v>1000000000000000</v>
      </c>
      <c r="P36" s="20" t="str">
        <f aca="false">IF(G36=1,1+SUMPRODUCT(($G$24:$G$45=1)*($O$24:$O$45&lt;O36)),"")</f>
        <v/>
      </c>
    </row>
    <row r="37" customFormat="false" ht="15" hidden="false" customHeight="true" outlineLevel="0" collapsed="false">
      <c r="B37" s="20" t="s">
        <v>1162</v>
      </c>
      <c r="C37" s="20" t="str">
        <f aca="false">Goal14_key</f>
        <v/>
      </c>
      <c r="D37" s="20" t="str">
        <f aca="false">IFERROR(INDEX(Goal_Kinds,MATCH(C37,Goal_Keys,0)),"")</f>
        <v/>
      </c>
      <c r="E37" s="20" t="str">
        <f aca="false">Goal14_name</f>
        <v/>
      </c>
      <c r="F37" s="20" t="n">
        <f aca="false">Goal14_age</f>
        <v>0</v>
      </c>
      <c r="G37" s="20" t="n">
        <f aca="false">IF(OR(D37="spend",D37="mfree",D37="pot"),1,0)</f>
        <v>0</v>
      </c>
      <c r="H37" s="20" t="str">
        <f aca="false">IF(G37=1,MAX(F_Age+1,MIN(AS_End,F37)),"")</f>
        <v/>
      </c>
      <c r="I37" s="20" t="n">
        <f aca="false">IF(D37="retire",F_R,IF(D37="legacy",AS_End,F37))</f>
        <v>0</v>
      </c>
      <c r="J37" s="20" t="n">
        <f aca="false">IF(AND(C37="safety",Goal14_auto="Yes",Has_costsM=1),ROUND(F_EssM*AS_Months,0),Goal14_amount)</f>
        <v>0</v>
      </c>
      <c r="K37" s="20" t="n">
        <f aca="false">Goal14_saved</f>
        <v>0</v>
      </c>
      <c r="L37" s="20" t="str">
        <f aca="false">Goal14_prio</f>
        <v>Must have</v>
      </c>
      <c r="M37" s="20" t="str">
        <f aca="false">Goal14_rank</f>
        <v/>
      </c>
      <c r="N37" s="20" t="n">
        <f aca="false">IF(Goal_RankSet=1,IF(M37&lt;&gt;"",M37-1,IF(C37="safety",-1,PR_SortBig)),0)</f>
        <v>0</v>
      </c>
      <c r="O37" s="20" t="n">
        <f aca="false">IF(G37=1,(N37+1)*100000000+IF(C37="safety",0,1)*10000000+IF(L37="Nice to have",1,0)*1000000+H37*1000+14,1000000000000000)</f>
        <v>1000000000000000</v>
      </c>
      <c r="P37" s="20" t="str">
        <f aca="false">IF(G37=1,1+SUMPRODUCT(($G$24:$G$45=1)*($O$24:$O$45&lt;O37)),"")</f>
        <v/>
      </c>
    </row>
    <row r="38" customFormat="false" ht="15" hidden="false" customHeight="true" outlineLevel="0" collapsed="false">
      <c r="B38" s="20" t="s">
        <v>1163</v>
      </c>
      <c r="C38" s="20" t="str">
        <f aca="false">Goal15_key</f>
        <v/>
      </c>
      <c r="D38" s="20" t="str">
        <f aca="false">IFERROR(INDEX(Goal_Kinds,MATCH(C38,Goal_Keys,0)),"")</f>
        <v/>
      </c>
      <c r="E38" s="20" t="str">
        <f aca="false">Goal15_name</f>
        <v/>
      </c>
      <c r="F38" s="20" t="n">
        <f aca="false">Goal15_age</f>
        <v>0</v>
      </c>
      <c r="G38" s="20" t="n">
        <f aca="false">IF(OR(D38="spend",D38="mfree",D38="pot"),1,0)</f>
        <v>0</v>
      </c>
      <c r="H38" s="20" t="str">
        <f aca="false">IF(G38=1,MAX(F_Age+1,MIN(AS_End,F38)),"")</f>
        <v/>
      </c>
      <c r="I38" s="20" t="n">
        <f aca="false">IF(D38="retire",F_R,IF(D38="legacy",AS_End,F38))</f>
        <v>0</v>
      </c>
      <c r="J38" s="20" t="n">
        <f aca="false">IF(AND(C38="safety",Goal15_auto="Yes",Has_costsM=1),ROUND(F_EssM*AS_Months,0),Goal15_amount)</f>
        <v>0</v>
      </c>
      <c r="K38" s="20" t="n">
        <f aca="false">Goal15_saved</f>
        <v>0</v>
      </c>
      <c r="L38" s="20" t="str">
        <f aca="false">Goal15_prio</f>
        <v>Must have</v>
      </c>
      <c r="M38" s="20" t="str">
        <f aca="false">Goal15_rank</f>
        <v/>
      </c>
      <c r="N38" s="20" t="n">
        <f aca="false">IF(Goal_RankSet=1,IF(M38&lt;&gt;"",M38-1,IF(C38="safety",-1,PR_SortBig)),0)</f>
        <v>0</v>
      </c>
      <c r="O38" s="20" t="n">
        <f aca="false">IF(G38=1,(N38+1)*100000000+IF(C38="safety",0,1)*10000000+IF(L38="Nice to have",1,0)*1000000+H38*1000+15,1000000000000000)</f>
        <v>1000000000000000</v>
      </c>
      <c r="P38" s="20" t="str">
        <f aca="false">IF(G38=1,1+SUMPRODUCT(($G$24:$G$45=1)*($O$24:$O$45&lt;O38)),"")</f>
        <v/>
      </c>
    </row>
    <row r="39" customFormat="false" ht="15" hidden="false" customHeight="true" outlineLevel="0" collapsed="false">
      <c r="B39" s="20" t="s">
        <v>1164</v>
      </c>
      <c r="C39" s="20" t="str">
        <f aca="false">Goal16_key</f>
        <v/>
      </c>
      <c r="D39" s="20" t="str">
        <f aca="false">IFERROR(INDEX(Goal_Kinds,MATCH(C39,Goal_Keys,0)),"")</f>
        <v/>
      </c>
      <c r="E39" s="20" t="str">
        <f aca="false">Goal16_name</f>
        <v/>
      </c>
      <c r="F39" s="20" t="n">
        <f aca="false">Goal16_age</f>
        <v>0</v>
      </c>
      <c r="G39" s="20" t="n">
        <f aca="false">IF(OR(D39="spend",D39="mfree",D39="pot"),1,0)</f>
        <v>0</v>
      </c>
      <c r="H39" s="20" t="str">
        <f aca="false">IF(G39=1,MAX(F_Age+1,MIN(AS_End,F39)),"")</f>
        <v/>
      </c>
      <c r="I39" s="20" t="n">
        <f aca="false">IF(D39="retire",F_R,IF(D39="legacy",AS_End,F39))</f>
        <v>0</v>
      </c>
      <c r="J39" s="20" t="n">
        <f aca="false">IF(AND(C39="safety",Goal16_auto="Yes",Has_costsM=1),ROUND(F_EssM*AS_Months,0),Goal16_amount)</f>
        <v>0</v>
      </c>
      <c r="K39" s="20" t="n">
        <f aca="false">Goal16_saved</f>
        <v>0</v>
      </c>
      <c r="L39" s="20" t="str">
        <f aca="false">Goal16_prio</f>
        <v>Must have</v>
      </c>
      <c r="M39" s="20" t="str">
        <f aca="false">Goal16_rank</f>
        <v/>
      </c>
      <c r="N39" s="20" t="n">
        <f aca="false">IF(Goal_RankSet=1,IF(M39&lt;&gt;"",M39-1,IF(C39="safety",-1,PR_SortBig)),0)</f>
        <v>0</v>
      </c>
      <c r="O39" s="20" t="n">
        <f aca="false">IF(G39=1,(N39+1)*100000000+IF(C39="safety",0,1)*10000000+IF(L39="Nice to have",1,0)*1000000+H39*1000+16,1000000000000000)</f>
        <v>1000000000000000</v>
      </c>
      <c r="P39" s="20" t="str">
        <f aca="false">IF(G39=1,1+SUMPRODUCT(($G$24:$G$45=1)*($O$24:$O$45&lt;O39)),"")</f>
        <v/>
      </c>
    </row>
    <row r="40" customFormat="false" ht="15" hidden="false" customHeight="true" outlineLevel="0" collapsed="false">
      <c r="B40" s="20" t="s">
        <v>1165</v>
      </c>
      <c r="C40" s="20" t="str">
        <f aca="false">Goal17_key</f>
        <v/>
      </c>
      <c r="D40" s="20" t="str">
        <f aca="false">IFERROR(INDEX(Goal_Kinds,MATCH(C40,Goal_Keys,0)),"")</f>
        <v/>
      </c>
      <c r="E40" s="20" t="str">
        <f aca="false">Goal17_name</f>
        <v/>
      </c>
      <c r="F40" s="20" t="n">
        <f aca="false">Goal17_age</f>
        <v>0</v>
      </c>
      <c r="G40" s="20" t="n">
        <f aca="false">IF(OR(D40="spend",D40="mfree",D40="pot"),1,0)</f>
        <v>0</v>
      </c>
      <c r="H40" s="20" t="str">
        <f aca="false">IF(G40=1,MAX(F_Age+1,MIN(AS_End,F40)),"")</f>
        <v/>
      </c>
      <c r="I40" s="20" t="n">
        <f aca="false">IF(D40="retire",F_R,IF(D40="legacy",AS_End,F40))</f>
        <v>0</v>
      </c>
      <c r="J40" s="20" t="n">
        <f aca="false">IF(AND(C40="safety",Goal17_auto="Yes",Has_costsM=1),ROUND(F_EssM*AS_Months,0),Goal17_amount)</f>
        <v>0</v>
      </c>
      <c r="K40" s="20" t="n">
        <f aca="false">Goal17_saved</f>
        <v>0</v>
      </c>
      <c r="L40" s="20" t="str">
        <f aca="false">Goal17_prio</f>
        <v>Must have</v>
      </c>
      <c r="M40" s="20" t="str">
        <f aca="false">Goal17_rank</f>
        <v/>
      </c>
      <c r="N40" s="20" t="n">
        <f aca="false">IF(Goal_RankSet=1,IF(M40&lt;&gt;"",M40-1,IF(C40="safety",-1,PR_SortBig)),0)</f>
        <v>0</v>
      </c>
      <c r="O40" s="20" t="n">
        <f aca="false">IF(G40=1,(N40+1)*100000000+IF(C40="safety",0,1)*10000000+IF(L40="Nice to have",1,0)*1000000+H40*1000+17,1000000000000000)</f>
        <v>1000000000000000</v>
      </c>
      <c r="P40" s="20" t="str">
        <f aca="false">IF(G40=1,1+SUMPRODUCT(($G$24:$G$45=1)*($O$24:$O$45&lt;O40)),"")</f>
        <v/>
      </c>
    </row>
    <row r="41" customFormat="false" ht="15" hidden="false" customHeight="true" outlineLevel="0" collapsed="false">
      <c r="B41" s="20" t="s">
        <v>1166</v>
      </c>
      <c r="C41" s="20" t="str">
        <f aca="false">Goal18_key</f>
        <v/>
      </c>
      <c r="D41" s="20" t="str">
        <f aca="false">IFERROR(INDEX(Goal_Kinds,MATCH(C41,Goal_Keys,0)),"")</f>
        <v/>
      </c>
      <c r="E41" s="20" t="str">
        <f aca="false">Goal18_name</f>
        <v/>
      </c>
      <c r="F41" s="20" t="n">
        <f aca="false">Goal18_age</f>
        <v>0</v>
      </c>
      <c r="G41" s="20" t="n">
        <f aca="false">IF(OR(D41="spend",D41="mfree",D41="pot"),1,0)</f>
        <v>0</v>
      </c>
      <c r="H41" s="20" t="str">
        <f aca="false">IF(G41=1,MAX(F_Age+1,MIN(AS_End,F41)),"")</f>
        <v/>
      </c>
      <c r="I41" s="20" t="n">
        <f aca="false">IF(D41="retire",F_R,IF(D41="legacy",AS_End,F41))</f>
        <v>0</v>
      </c>
      <c r="J41" s="20" t="n">
        <f aca="false">IF(AND(C41="safety",Goal18_auto="Yes",Has_costsM=1),ROUND(F_EssM*AS_Months,0),Goal18_amount)</f>
        <v>0</v>
      </c>
      <c r="K41" s="20" t="n">
        <f aca="false">Goal18_saved</f>
        <v>0</v>
      </c>
      <c r="L41" s="20" t="str">
        <f aca="false">Goal18_prio</f>
        <v>Must have</v>
      </c>
      <c r="M41" s="20" t="str">
        <f aca="false">Goal18_rank</f>
        <v/>
      </c>
      <c r="N41" s="20" t="n">
        <f aca="false">IF(Goal_RankSet=1,IF(M41&lt;&gt;"",M41-1,IF(C41="safety",-1,PR_SortBig)),0)</f>
        <v>0</v>
      </c>
      <c r="O41" s="20" t="n">
        <f aca="false">IF(G41=1,(N41+1)*100000000+IF(C41="safety",0,1)*10000000+IF(L41="Nice to have",1,0)*1000000+H41*1000+18,1000000000000000)</f>
        <v>1000000000000000</v>
      </c>
      <c r="P41" s="20" t="str">
        <f aca="false">IF(G41=1,1+SUMPRODUCT(($G$24:$G$45=1)*($O$24:$O$45&lt;O41)),"")</f>
        <v/>
      </c>
    </row>
    <row r="42" customFormat="false" ht="15" hidden="false" customHeight="true" outlineLevel="0" collapsed="false">
      <c r="B42" s="20" t="s">
        <v>1167</v>
      </c>
      <c r="C42" s="20" t="str">
        <f aca="false">Goal19_key</f>
        <v/>
      </c>
      <c r="D42" s="20" t="str">
        <f aca="false">IFERROR(INDEX(Goal_Kinds,MATCH(C42,Goal_Keys,0)),"")</f>
        <v/>
      </c>
      <c r="E42" s="20" t="str">
        <f aca="false">Goal19_name</f>
        <v/>
      </c>
      <c r="F42" s="20" t="n">
        <f aca="false">Goal19_age</f>
        <v>0</v>
      </c>
      <c r="G42" s="20" t="n">
        <f aca="false">IF(OR(D42="spend",D42="mfree",D42="pot"),1,0)</f>
        <v>0</v>
      </c>
      <c r="H42" s="20" t="str">
        <f aca="false">IF(G42=1,MAX(F_Age+1,MIN(AS_End,F42)),"")</f>
        <v/>
      </c>
      <c r="I42" s="20" t="n">
        <f aca="false">IF(D42="retire",F_R,IF(D42="legacy",AS_End,F42))</f>
        <v>0</v>
      </c>
      <c r="J42" s="20" t="n">
        <f aca="false">IF(AND(C42="safety",Goal19_auto="Yes",Has_costsM=1),ROUND(F_EssM*AS_Months,0),Goal19_amount)</f>
        <v>0</v>
      </c>
      <c r="K42" s="20" t="n">
        <f aca="false">Goal19_saved</f>
        <v>0</v>
      </c>
      <c r="L42" s="20" t="str">
        <f aca="false">Goal19_prio</f>
        <v>Must have</v>
      </c>
      <c r="M42" s="20" t="str">
        <f aca="false">Goal19_rank</f>
        <v/>
      </c>
      <c r="N42" s="20" t="n">
        <f aca="false">IF(Goal_RankSet=1,IF(M42&lt;&gt;"",M42-1,IF(C42="safety",-1,PR_SortBig)),0)</f>
        <v>0</v>
      </c>
      <c r="O42" s="20" t="n">
        <f aca="false">IF(G42=1,(N42+1)*100000000+IF(C42="safety",0,1)*10000000+IF(L42="Nice to have",1,0)*1000000+H42*1000+19,1000000000000000)</f>
        <v>1000000000000000</v>
      </c>
      <c r="P42" s="20" t="str">
        <f aca="false">IF(G42=1,1+SUMPRODUCT(($G$24:$G$45=1)*($O$24:$O$45&lt;O42)),"")</f>
        <v/>
      </c>
    </row>
    <row r="43" customFormat="false" ht="15" hidden="false" customHeight="true" outlineLevel="0" collapsed="false">
      <c r="B43" s="20" t="s">
        <v>1168</v>
      </c>
      <c r="C43" s="20" t="str">
        <f aca="false">Goal20_key</f>
        <v/>
      </c>
      <c r="D43" s="20" t="str">
        <f aca="false">IFERROR(INDEX(Goal_Kinds,MATCH(C43,Goal_Keys,0)),"")</f>
        <v/>
      </c>
      <c r="E43" s="20" t="str">
        <f aca="false">Goal20_name</f>
        <v/>
      </c>
      <c r="F43" s="20" t="n">
        <f aca="false">Goal20_age</f>
        <v>0</v>
      </c>
      <c r="G43" s="20" t="n">
        <f aca="false">IF(OR(D43="spend",D43="mfree",D43="pot"),1,0)</f>
        <v>0</v>
      </c>
      <c r="H43" s="20" t="str">
        <f aca="false">IF(G43=1,MAX(F_Age+1,MIN(AS_End,F43)),"")</f>
        <v/>
      </c>
      <c r="I43" s="20" t="n">
        <f aca="false">IF(D43="retire",F_R,IF(D43="legacy",AS_End,F43))</f>
        <v>0</v>
      </c>
      <c r="J43" s="20" t="n">
        <f aca="false">IF(AND(C43="safety",Goal20_auto="Yes",Has_costsM=1),ROUND(F_EssM*AS_Months,0),Goal20_amount)</f>
        <v>0</v>
      </c>
      <c r="K43" s="20" t="n">
        <f aca="false">Goal20_saved</f>
        <v>0</v>
      </c>
      <c r="L43" s="20" t="str">
        <f aca="false">Goal20_prio</f>
        <v>Must have</v>
      </c>
      <c r="M43" s="20" t="str">
        <f aca="false">Goal20_rank</f>
        <v/>
      </c>
      <c r="N43" s="20" t="n">
        <f aca="false">IF(Goal_RankSet=1,IF(M43&lt;&gt;"",M43-1,IF(C43="safety",-1,PR_SortBig)),0)</f>
        <v>0</v>
      </c>
      <c r="O43" s="20" t="n">
        <f aca="false">IF(G43=1,(N43+1)*100000000+IF(C43="safety",0,1)*10000000+IF(L43="Nice to have",1,0)*1000000+H43*1000+20,1000000000000000)</f>
        <v>1000000000000000</v>
      </c>
      <c r="P43" s="20" t="str">
        <f aca="false">IF(G43=1,1+SUMPRODUCT(($G$24:$G$45=1)*($O$24:$O$45&lt;O43)),"")</f>
        <v/>
      </c>
    </row>
    <row r="44" customFormat="false" ht="15" hidden="false" customHeight="true" outlineLevel="0" collapsed="false">
      <c r="B44" s="20" t="s">
        <v>1169</v>
      </c>
      <c r="C44" s="20" t="str">
        <f aca="false">Goal21_key</f>
        <v/>
      </c>
      <c r="D44" s="20" t="str">
        <f aca="false">IFERROR(INDEX(Goal_Kinds,MATCH(C44,Goal_Keys,0)),"")</f>
        <v/>
      </c>
      <c r="E44" s="20" t="str">
        <f aca="false">Goal21_name</f>
        <v/>
      </c>
      <c r="F44" s="20" t="n">
        <f aca="false">Goal21_age</f>
        <v>0</v>
      </c>
      <c r="G44" s="20" t="n">
        <f aca="false">IF(OR(D44="spend",D44="mfree",D44="pot"),1,0)</f>
        <v>0</v>
      </c>
      <c r="H44" s="20" t="str">
        <f aca="false">IF(G44=1,MAX(F_Age+1,MIN(AS_End,F44)),"")</f>
        <v/>
      </c>
      <c r="I44" s="20" t="n">
        <f aca="false">IF(D44="retire",F_R,IF(D44="legacy",AS_End,F44))</f>
        <v>0</v>
      </c>
      <c r="J44" s="20" t="n">
        <f aca="false">IF(AND(C44="safety",Goal21_auto="Yes",Has_costsM=1),ROUND(F_EssM*AS_Months,0),Goal21_amount)</f>
        <v>0</v>
      </c>
      <c r="K44" s="20" t="n">
        <f aca="false">Goal21_saved</f>
        <v>0</v>
      </c>
      <c r="L44" s="20" t="str">
        <f aca="false">Goal21_prio</f>
        <v>Must have</v>
      </c>
      <c r="M44" s="20" t="str">
        <f aca="false">Goal21_rank</f>
        <v/>
      </c>
      <c r="N44" s="20" t="n">
        <f aca="false">IF(Goal_RankSet=1,IF(M44&lt;&gt;"",M44-1,IF(C44="safety",-1,PR_SortBig)),0)</f>
        <v>0</v>
      </c>
      <c r="O44" s="20" t="n">
        <f aca="false">IF(G44=1,(N44+1)*100000000+IF(C44="safety",0,1)*10000000+IF(L44="Nice to have",1,0)*1000000+H44*1000+21,1000000000000000)</f>
        <v>1000000000000000</v>
      </c>
      <c r="P44" s="20" t="str">
        <f aca="false">IF(G44=1,1+SUMPRODUCT(($G$24:$G$45=1)*($O$24:$O$45&lt;O44)),"")</f>
        <v/>
      </c>
    </row>
    <row r="45" customFormat="false" ht="15" hidden="false" customHeight="true" outlineLevel="0" collapsed="false">
      <c r="B45" s="20" t="s">
        <v>1170</v>
      </c>
      <c r="C45" s="20" t="str">
        <f aca="false">Goal22_key</f>
        <v/>
      </c>
      <c r="D45" s="20" t="str">
        <f aca="false">IFERROR(INDEX(Goal_Kinds,MATCH(C45,Goal_Keys,0)),"")</f>
        <v/>
      </c>
      <c r="E45" s="20" t="str">
        <f aca="false">Goal22_name</f>
        <v/>
      </c>
      <c r="F45" s="20" t="n">
        <f aca="false">Goal22_age</f>
        <v>0</v>
      </c>
      <c r="G45" s="20" t="n">
        <f aca="false">IF(OR(D45="spend",D45="mfree",D45="pot"),1,0)</f>
        <v>0</v>
      </c>
      <c r="H45" s="20" t="str">
        <f aca="false">IF(G45=1,MAX(F_Age+1,MIN(AS_End,F45)),"")</f>
        <v/>
      </c>
      <c r="I45" s="20" t="n">
        <f aca="false">IF(D45="retire",F_R,IF(D45="legacy",AS_End,F45))</f>
        <v>0</v>
      </c>
      <c r="J45" s="20" t="n">
        <f aca="false">IF(AND(C45="safety",Goal22_auto="Yes",Has_costsM=1),ROUND(F_EssM*AS_Months,0),Goal22_amount)</f>
        <v>0</v>
      </c>
      <c r="K45" s="20" t="n">
        <f aca="false">Goal22_saved</f>
        <v>0</v>
      </c>
      <c r="L45" s="20" t="str">
        <f aca="false">Goal22_prio</f>
        <v>Must have</v>
      </c>
      <c r="M45" s="20" t="str">
        <f aca="false">Goal22_rank</f>
        <v/>
      </c>
      <c r="N45" s="20" t="n">
        <f aca="false">IF(Goal_RankSet=1,IF(M45&lt;&gt;"",M45-1,IF(C45="safety",-1,PR_SortBig)),0)</f>
        <v>0</v>
      </c>
      <c r="O45" s="20" t="n">
        <f aca="false">IF(G45=1,(N45+1)*100000000+IF(C45="safety",0,1)*10000000+IF(L45="Nice to have",1,0)*1000000+H45*1000+22,1000000000000000)</f>
        <v>1000000000000000</v>
      </c>
      <c r="P45" s="20" t="str">
        <f aca="false">IF(G45=1,1+SUMPRODUCT(($G$24:$G$45=1)*($O$24:$O$45&lt;O45)),"")</f>
        <v/>
      </c>
    </row>
    <row r="47" customFormat="false" ht="15" hidden="false" customHeight="true" outlineLevel="0" collapsed="false">
      <c r="B47" s="20" t="s">
        <v>1632</v>
      </c>
      <c r="D47" s="36" t="n">
        <f aca="false">IF(COUNT($M$24:$M$45)&gt;0,1,0)</f>
        <v>0</v>
      </c>
      <c r="E47" s="25"/>
    </row>
    <row r="48" customFormat="false" ht="15" hidden="false" customHeight="true" outlineLevel="0" collapsed="false">
      <c r="B48" s="20" t="s">
        <v>1633</v>
      </c>
      <c r="D48" s="36" t="n">
        <f aca="false">IF(COUNTIF(GL_Kind,"retire")&gt;0,1,0)</f>
        <v>1</v>
      </c>
      <c r="E48" s="25"/>
    </row>
    <row r="49" customFormat="false" ht="15" hidden="false" customHeight="true" outlineLevel="0" collapsed="false">
      <c r="B49" s="20" t="s">
        <v>1634</v>
      </c>
      <c r="D49" s="36" t="n">
        <f aca="false">IFERROR(MATCH("retire",GL_Kind,0),0)</f>
        <v>5</v>
      </c>
      <c r="E49" s="25"/>
    </row>
    <row r="50" customFormat="false" ht="15" hidden="false" customHeight="true" outlineLevel="0" collapsed="false">
      <c r="B50" s="20" t="s">
        <v>1635</v>
      </c>
      <c r="D50" s="36" t="n">
        <f aca="false">IF(RG_Row&gt;0,INDEX(GL_Amount,RG_Row),0)</f>
        <v>46000</v>
      </c>
      <c r="E50" s="25"/>
    </row>
    <row r="52" customFormat="false" ht="15" hidden="false" customHeight="true" outlineLevel="0" collapsed="false">
      <c r="B52" s="46" t="s">
        <v>1636</v>
      </c>
    </row>
    <row r="53" customFormat="false" ht="45.75" hidden="false" customHeight="true" outlineLevel="0" collapsed="false">
      <c r="B53" s="33" t="s">
        <v>1637</v>
      </c>
      <c r="C53" s="33" t="s">
        <v>1638</v>
      </c>
      <c r="D53" s="33" t="s">
        <v>1639</v>
      </c>
      <c r="E53" s="33" t="s">
        <v>1621</v>
      </c>
      <c r="F53" s="33" t="s">
        <v>1582</v>
      </c>
      <c r="G53" s="33" t="s">
        <v>1640</v>
      </c>
      <c r="H53" s="33" t="s">
        <v>1641</v>
      </c>
      <c r="I53" s="33" t="s">
        <v>1137</v>
      </c>
      <c r="J53" s="33" t="s">
        <v>1642</v>
      </c>
      <c r="K53" s="33" t="s">
        <v>1643</v>
      </c>
      <c r="L53" s="33" t="s">
        <v>1644</v>
      </c>
      <c r="M53" s="33" t="s">
        <v>1645</v>
      </c>
      <c r="N53" s="33" t="s">
        <v>1646</v>
      </c>
      <c r="O53" s="33" t="s">
        <v>1647</v>
      </c>
      <c r="P53" s="33" t="s">
        <v>1648</v>
      </c>
      <c r="Q53" s="33" t="s">
        <v>1649</v>
      </c>
      <c r="R53" s="33" t="s">
        <v>1650</v>
      </c>
      <c r="S53" s="33" t="s">
        <v>1651</v>
      </c>
      <c r="T53" s="33" t="s">
        <v>1652</v>
      </c>
      <c r="U53" s="33" t="s">
        <v>1653</v>
      </c>
      <c r="V53" s="33" t="s">
        <v>1654</v>
      </c>
      <c r="W53" s="33" t="s">
        <v>1655</v>
      </c>
      <c r="X53" s="33" t="s">
        <v>1656</v>
      </c>
    </row>
    <row r="54" customFormat="false" ht="15" hidden="false" customHeight="true" outlineLevel="0" collapsed="false">
      <c r="B54" s="20" t="n">
        <v>1</v>
      </c>
      <c r="C54" s="20" t="n">
        <f aca="false">IFERROR(MATCH(1,GL_Pos,0),0)</f>
        <v>4</v>
      </c>
      <c r="D54" s="20" t="n">
        <f aca="false">IF(C54&gt;0,1,0)</f>
        <v>1</v>
      </c>
      <c r="E54" s="20" t="str">
        <f aca="false">IF(D54=1,INDEX(GL_Key,C54),"")</f>
        <v>safety</v>
      </c>
      <c r="F54" s="20" t="str">
        <f aca="false">IF(D54=1,INDEX(GL_Kind,C54),"")</f>
        <v>pot</v>
      </c>
      <c r="G54" s="20" t="n">
        <f aca="false">IF(D54=1,INDEX(GL_Age,C54),0)</f>
        <v>40</v>
      </c>
      <c r="H54" s="20" t="n">
        <f aca="false">IF(D54=1,INDEX(GL_Amount,C54),0)</f>
        <v>15000</v>
      </c>
      <c r="I54" s="20" t="n">
        <f aca="false">IF(D54=1,INDEX(GL_Saved,C54),0)</f>
        <v>5000</v>
      </c>
      <c r="J54" s="20" t="n">
        <f aca="false">IF(D54=1,MAX(0,G54-F_Age),0)</f>
        <v>2</v>
      </c>
      <c r="K54" s="47" t="n">
        <f aca="false">IF(J54&gt;=AS_LongYrs,AS_Inv,AS_Cash)</f>
        <v>0.01</v>
      </c>
      <c r="L54" s="20" t="n">
        <f aca="false">IF(D54=1,IF(F54="mfree",IF(F_MortBal&gt;0,INDEX(Plan_mPath,MIN(J54+1,F_N)+1),H54*(1+AS_Infl)^J54),H54*(1+AS_Infl)^J54),0)</f>
        <v>15606</v>
      </c>
      <c r="M54" s="20" t="n">
        <f aca="false">IF(OR(F54="spend",F54="mfree"),1,0)</f>
        <v>0</v>
      </c>
      <c r="N54" s="20" t="n">
        <f aca="false">IF(AND(F54="pot",E54&lt;&gt;"safety"),1,0)</f>
        <v>0</v>
      </c>
      <c r="O54" s="20" t="n">
        <f aca="false">IF(AND(F54="pot",E54="safety"),1,0)</f>
        <v>1</v>
      </c>
      <c r="P54" s="20" t="n">
        <f aca="false">IF(F54="mfree",1,0)</f>
        <v>0</v>
      </c>
      <c r="Q54" s="20" t="n">
        <f aca="false">IF(AND(D54=1,In_wiGoal&gt;0,C54=In_wiGoal),1,0)</f>
        <v>0</v>
      </c>
      <c r="R54" s="20" t="n">
        <f aca="false">IF(D54=1,MIN(I54,F_Cash),0)</f>
        <v>5000</v>
      </c>
      <c r="S54" s="20" t="n">
        <f aca="false">IF(AND(Q54=1,WI_Retire=0),WI_L,0)</f>
        <v>0</v>
      </c>
      <c r="T54" s="20" t="n">
        <f aca="false">F_Cash-R54</f>
        <v>4000</v>
      </c>
      <c r="U54" s="20" t="n">
        <f aca="false">IF(D54=1,MAX(0,L54/(1+K54)^J54-(R54+S54)),0)</f>
        <v>10298.5001470444</v>
      </c>
      <c r="V54" s="20" t="n">
        <f aca="false">MIN(U54,Init_Free0)</f>
        <v>10200</v>
      </c>
      <c r="W54" s="20" t="n">
        <f aca="false">Init_Free0-V54</f>
        <v>0</v>
      </c>
      <c r="X54" s="20" t="n">
        <f aca="false">R54+S54+V54</f>
        <v>15200</v>
      </c>
    </row>
    <row r="55" customFormat="false" ht="15" hidden="false" customHeight="true" outlineLevel="0" collapsed="false">
      <c r="B55" s="20" t="n">
        <v>2</v>
      </c>
      <c r="C55" s="20" t="n">
        <f aca="false">IFERROR(MATCH(2,GL_Pos,0),0)</f>
        <v>2</v>
      </c>
      <c r="D55" s="20" t="n">
        <f aca="false">IF(C55&gt;0,1,0)</f>
        <v>1</v>
      </c>
      <c r="E55" s="20" t="str">
        <f aca="false">IF(D55=1,INDEX(GL_Key,C55),"")</f>
        <v>travel</v>
      </c>
      <c r="F55" s="20" t="str">
        <f aca="false">IF(D55=1,INDEX(GL_Kind,C55),"")</f>
        <v>spend</v>
      </c>
      <c r="G55" s="20" t="n">
        <f aca="false">IF(D55=1,INDEX(GL_Age,C55),0)</f>
        <v>41</v>
      </c>
      <c r="H55" s="20" t="n">
        <f aca="false">IF(D55=1,INDEX(GL_Amount,C55),0)</f>
        <v>12000</v>
      </c>
      <c r="I55" s="20" t="n">
        <f aca="false">IF(D55=1,INDEX(GL_Saved,C55),0)</f>
        <v>0</v>
      </c>
      <c r="J55" s="20" t="n">
        <f aca="false">IF(D55=1,MAX(0,G55-F_Age),0)</f>
        <v>3</v>
      </c>
      <c r="K55" s="47" t="n">
        <f aca="false">IF(J55&gt;=AS_LongYrs,AS_Inv,AS_Cash)</f>
        <v>0.01</v>
      </c>
      <c r="L55" s="20" t="n">
        <f aca="false">IF(D55=1,IF(F55="mfree",IF(F_MortBal&gt;0,INDEX(Plan_mPath,MIN(J55+1,F_N)+1),H55*(1+AS_Infl)^J55),H55*(1+AS_Infl)^J55),0)</f>
        <v>12734.496</v>
      </c>
      <c r="M55" s="20" t="n">
        <f aca="false">IF(OR(F55="spend",F55="mfree"),1,0)</f>
        <v>1</v>
      </c>
      <c r="N55" s="20" t="n">
        <f aca="false">IF(AND(F55="pot",E55&lt;&gt;"safety"),1,0)</f>
        <v>0</v>
      </c>
      <c r="O55" s="20" t="n">
        <f aca="false">IF(AND(F55="pot",E55="safety"),1,0)</f>
        <v>0</v>
      </c>
      <c r="P55" s="20" t="n">
        <f aca="false">IF(F55="mfree",1,0)</f>
        <v>0</v>
      </c>
      <c r="Q55" s="20" t="n">
        <f aca="false">IF(AND(D55=1,In_wiGoal&gt;0,C55=In_wiGoal),1,0)</f>
        <v>0</v>
      </c>
      <c r="R55" s="20" t="n">
        <f aca="false">IF(D55=1,MIN(I55,T54),0)</f>
        <v>0</v>
      </c>
      <c r="S55" s="20" t="n">
        <f aca="false">IF(AND(Q55=1,WI_Retire=0),WI_L,0)</f>
        <v>0</v>
      </c>
      <c r="T55" s="20" t="n">
        <f aca="false">T54-R55</f>
        <v>4000</v>
      </c>
      <c r="U55" s="20" t="n">
        <f aca="false">IF(D55=1,MAX(0,L55/(1+K55)^J55-(R55+S55)),0)</f>
        <v>12359.976356424</v>
      </c>
      <c r="V55" s="20" t="n">
        <f aca="false">MIN(U55,W54)</f>
        <v>0</v>
      </c>
      <c r="W55" s="20" t="n">
        <f aca="false">W54-V55</f>
        <v>0</v>
      </c>
      <c r="X55" s="20" t="n">
        <f aca="false">R55+S55+V55</f>
        <v>0</v>
      </c>
    </row>
    <row r="56" customFormat="false" ht="15" hidden="false" customHeight="true" outlineLevel="0" collapsed="false">
      <c r="B56" s="20" t="n">
        <v>3</v>
      </c>
      <c r="C56" s="20" t="n">
        <f aca="false">IFERROR(MATCH(3,GL_Pos,0),0)</f>
        <v>1</v>
      </c>
      <c r="D56" s="20" t="n">
        <f aca="false">IF(C56&gt;0,1,0)</f>
        <v>1</v>
      </c>
      <c r="E56" s="20" t="str">
        <f aca="false">IF(D56=1,INDEX(GL_Key,C56),"")</f>
        <v>edu</v>
      </c>
      <c r="F56" s="20" t="str">
        <f aca="false">IF(D56=1,INDEX(GL_Kind,C56),"")</f>
        <v>spend</v>
      </c>
      <c r="G56" s="20" t="n">
        <f aca="false">IF(D56=1,INDEX(GL_Age,C56),0)</f>
        <v>48</v>
      </c>
      <c r="H56" s="20" t="n">
        <f aca="false">IF(D56=1,INDEX(GL_Amount,C56),0)</f>
        <v>50000</v>
      </c>
      <c r="I56" s="20" t="n">
        <f aca="false">IF(D56=1,INDEX(GL_Saved,C56),0)</f>
        <v>0</v>
      </c>
      <c r="J56" s="20" t="n">
        <f aca="false">IF(D56=1,MAX(0,G56-F_Age),0)</f>
        <v>10</v>
      </c>
      <c r="K56" s="47" t="n">
        <f aca="false">IF(J56&gt;=AS_LongYrs,AS_Inv,AS_Cash)</f>
        <v>0.026</v>
      </c>
      <c r="L56" s="20" t="n">
        <f aca="false">IF(D56=1,IF(F56="mfree",IF(F_MortBal&gt;0,INDEX(Plan_mPath,MIN(J56+1,F_N)+1),H56*(1+AS_Infl)^J56),H56*(1+AS_Infl)^J56),0)</f>
        <v>60949.7209997379</v>
      </c>
      <c r="M56" s="20" t="n">
        <f aca="false">IF(OR(F56="spend",F56="mfree"),1,0)</f>
        <v>1</v>
      </c>
      <c r="N56" s="20" t="n">
        <f aca="false">IF(AND(F56="pot",E56&lt;&gt;"safety"),1,0)</f>
        <v>0</v>
      </c>
      <c r="O56" s="20" t="n">
        <f aca="false">IF(AND(F56="pot",E56="safety"),1,0)</f>
        <v>0</v>
      </c>
      <c r="P56" s="20" t="n">
        <f aca="false">IF(F56="mfree",1,0)</f>
        <v>0</v>
      </c>
      <c r="Q56" s="20" t="n">
        <f aca="false">IF(AND(D56=1,In_wiGoal&gt;0,C56=In_wiGoal),1,0)</f>
        <v>0</v>
      </c>
      <c r="R56" s="20" t="n">
        <f aca="false">IF(D56=1,MIN(I56,T55),0)</f>
        <v>0</v>
      </c>
      <c r="S56" s="20" t="n">
        <f aca="false">IF(AND(Q56=1,WI_Retire=0),WI_L,0)</f>
        <v>0</v>
      </c>
      <c r="T56" s="20" t="n">
        <f aca="false">T55-R56</f>
        <v>4000</v>
      </c>
      <c r="U56" s="20" t="n">
        <f aca="false">IF(D56=1,MAX(0,L56/(1+K56)^J56-(R56+S56)),0)</f>
        <v>47151.7823897231</v>
      </c>
      <c r="V56" s="20" t="n">
        <f aca="false">MIN(U56,W55)</f>
        <v>0</v>
      </c>
      <c r="W56" s="20" t="n">
        <f aca="false">W55-V56</f>
        <v>0</v>
      </c>
      <c r="X56" s="20" t="n">
        <f aca="false">R56+S56+V56</f>
        <v>0</v>
      </c>
    </row>
    <row r="57" customFormat="false" ht="15" hidden="false" customHeight="true" outlineLevel="0" collapsed="false">
      <c r="B57" s="20" t="n">
        <v>4</v>
      </c>
      <c r="C57" s="20" t="n">
        <f aca="false">IFERROR(MATCH(4,GL_Pos,0),0)</f>
        <v>3</v>
      </c>
      <c r="D57" s="20" t="n">
        <f aca="false">IF(C57&gt;0,1,0)</f>
        <v>1</v>
      </c>
      <c r="E57" s="20" t="str">
        <f aca="false">IF(D57=1,INDEX(GL_Key,C57),"")</f>
        <v>mfree</v>
      </c>
      <c r="F57" s="20" t="str">
        <f aca="false">IF(D57=1,INDEX(GL_Kind,C57),"")</f>
        <v>mfree</v>
      </c>
      <c r="G57" s="20" t="n">
        <f aca="false">IF(D57=1,INDEX(GL_Age,C57),0)</f>
        <v>55</v>
      </c>
      <c r="H57" s="20" t="n">
        <f aca="false">IF(D57=1,INDEX(GL_Amount,C57),0)</f>
        <v>150000</v>
      </c>
      <c r="I57" s="20" t="n">
        <f aca="false">IF(D57=1,INDEX(GL_Saved,C57),0)</f>
        <v>0</v>
      </c>
      <c r="J57" s="20" t="n">
        <f aca="false">IF(D57=1,MAX(0,G57-F_Age),0)</f>
        <v>17</v>
      </c>
      <c r="K57" s="47" t="n">
        <f aca="false">IF(J57&gt;=AS_LongYrs,AS_Inv,AS_Cash)</f>
        <v>0.026</v>
      </c>
      <c r="L57" s="20" t="n">
        <f aca="false">IF(D57=1,IF(F57="mfree",IF(F_MortBal&gt;0,INDEX(Plan_mPath,MIN(J57+1,F_N)+1),H57*(1+AS_Infl)^J57),H57*(1+AS_Infl)^J57),0)</f>
        <v>40019.8956528291</v>
      </c>
      <c r="M57" s="20" t="n">
        <f aca="false">IF(OR(F57="spend",F57="mfree"),1,0)</f>
        <v>1</v>
      </c>
      <c r="N57" s="20" t="n">
        <f aca="false">IF(AND(F57="pot",E57&lt;&gt;"safety"),1,0)</f>
        <v>0</v>
      </c>
      <c r="O57" s="20" t="n">
        <f aca="false">IF(AND(F57="pot",E57="safety"),1,0)</f>
        <v>0</v>
      </c>
      <c r="P57" s="20" t="n">
        <f aca="false">IF(F57="mfree",1,0)</f>
        <v>1</v>
      </c>
      <c r="Q57" s="20" t="n">
        <f aca="false">IF(AND(D57=1,In_wiGoal&gt;0,C57=In_wiGoal),1,0)</f>
        <v>0</v>
      </c>
      <c r="R57" s="20" t="n">
        <f aca="false">IF(D57=1,MIN(I57,T56),0)</f>
        <v>0</v>
      </c>
      <c r="S57" s="20" t="n">
        <f aca="false">IF(AND(Q57=1,WI_Retire=0),WI_L,0)</f>
        <v>0</v>
      </c>
      <c r="T57" s="20" t="n">
        <f aca="false">T56-R57</f>
        <v>4000</v>
      </c>
      <c r="U57" s="20" t="n">
        <f aca="false">IF(D57=1,MAX(0,L57/(1+K57)^J57-(R57+S57)),0)</f>
        <v>25868.4745131418</v>
      </c>
      <c r="V57" s="20" t="n">
        <f aca="false">MIN(U57,W56)</f>
        <v>0</v>
      </c>
      <c r="W57" s="20" t="n">
        <f aca="false">W56-V57</f>
        <v>0</v>
      </c>
      <c r="X57" s="20" t="n">
        <f aca="false">R57+S57+V57</f>
        <v>0</v>
      </c>
    </row>
    <row r="58" customFormat="false" ht="15" hidden="false" customHeight="true" outlineLevel="0" collapsed="false">
      <c r="B58" s="20" t="n">
        <v>5</v>
      </c>
      <c r="C58" s="20" t="n">
        <f aca="false">IFERROR(MATCH(5,GL_Pos,0),0)</f>
        <v>0</v>
      </c>
      <c r="D58" s="20" t="n">
        <f aca="false">IF(C58&gt;0,1,0)</f>
        <v>0</v>
      </c>
      <c r="E58" s="20" t="str">
        <f aca="false">IF(D58=1,INDEX(GL_Key,C58),"")</f>
        <v/>
      </c>
      <c r="F58" s="20" t="str">
        <f aca="false">IF(D58=1,INDEX(GL_Kind,C58),"")</f>
        <v/>
      </c>
      <c r="G58" s="20" t="n">
        <f aca="false">IF(D58=1,INDEX(GL_Age,C58),0)</f>
        <v>0</v>
      </c>
      <c r="H58" s="20" t="n">
        <f aca="false">IF(D58=1,INDEX(GL_Amount,C58),0)</f>
        <v>0</v>
      </c>
      <c r="I58" s="20" t="n">
        <f aca="false">IF(D58=1,INDEX(GL_Saved,C58),0)</f>
        <v>0</v>
      </c>
      <c r="J58" s="20" t="n">
        <f aca="false">IF(D58=1,MAX(0,G58-F_Age),0)</f>
        <v>0</v>
      </c>
      <c r="K58" s="47" t="n">
        <f aca="false">IF(J58&gt;=AS_LongYrs,AS_Inv,AS_Cash)</f>
        <v>0.01</v>
      </c>
      <c r="L58" s="20" t="n">
        <f aca="false">IF(D58=1,IF(F58="mfree",IF(F_MortBal&gt;0,INDEX(Plan_mPath,MIN(J58+1,F_N)+1),H58*(1+AS_Infl)^J58),H58*(1+AS_Infl)^J58),0)</f>
        <v>0</v>
      </c>
      <c r="M58" s="20" t="n">
        <f aca="false">IF(OR(F58="spend",F58="mfree"),1,0)</f>
        <v>0</v>
      </c>
      <c r="N58" s="20" t="n">
        <f aca="false">IF(AND(F58="pot",E58&lt;&gt;"safety"),1,0)</f>
        <v>0</v>
      </c>
      <c r="O58" s="20" t="n">
        <f aca="false">IF(AND(F58="pot",E58="safety"),1,0)</f>
        <v>0</v>
      </c>
      <c r="P58" s="20" t="n">
        <f aca="false">IF(F58="mfree",1,0)</f>
        <v>0</v>
      </c>
      <c r="Q58" s="20" t="n">
        <f aca="false">IF(AND(D58=1,In_wiGoal&gt;0,C58=In_wiGoal),1,0)</f>
        <v>0</v>
      </c>
      <c r="R58" s="20" t="n">
        <f aca="false">IF(D58=1,MIN(I58,T57),0)</f>
        <v>0</v>
      </c>
      <c r="S58" s="20" t="n">
        <f aca="false">IF(AND(Q58=1,WI_Retire=0),WI_L,0)</f>
        <v>0</v>
      </c>
      <c r="T58" s="20" t="n">
        <f aca="false">T57-R58</f>
        <v>4000</v>
      </c>
      <c r="U58" s="20" t="n">
        <f aca="false">IF(D58=1,MAX(0,L58/(1+K58)^J58-(R58+S58)),0)</f>
        <v>0</v>
      </c>
      <c r="V58" s="20" t="n">
        <f aca="false">MIN(U58,W57)</f>
        <v>0</v>
      </c>
      <c r="W58" s="20" t="n">
        <f aca="false">W57-V58</f>
        <v>0</v>
      </c>
      <c r="X58" s="20" t="n">
        <f aca="false">R58+S58+V58</f>
        <v>0</v>
      </c>
    </row>
    <row r="59" customFormat="false" ht="15" hidden="false" customHeight="true" outlineLevel="0" collapsed="false">
      <c r="B59" s="20" t="n">
        <v>6</v>
      </c>
      <c r="C59" s="20" t="n">
        <f aca="false">IFERROR(MATCH(6,GL_Pos,0),0)</f>
        <v>0</v>
      </c>
      <c r="D59" s="20" t="n">
        <f aca="false">IF(C59&gt;0,1,0)</f>
        <v>0</v>
      </c>
      <c r="E59" s="20" t="str">
        <f aca="false">IF(D59=1,INDEX(GL_Key,C59),"")</f>
        <v/>
      </c>
      <c r="F59" s="20" t="str">
        <f aca="false">IF(D59=1,INDEX(GL_Kind,C59),"")</f>
        <v/>
      </c>
      <c r="G59" s="20" t="n">
        <f aca="false">IF(D59=1,INDEX(GL_Age,C59),0)</f>
        <v>0</v>
      </c>
      <c r="H59" s="20" t="n">
        <f aca="false">IF(D59=1,INDEX(GL_Amount,C59),0)</f>
        <v>0</v>
      </c>
      <c r="I59" s="20" t="n">
        <f aca="false">IF(D59=1,INDEX(GL_Saved,C59),0)</f>
        <v>0</v>
      </c>
      <c r="J59" s="20" t="n">
        <f aca="false">IF(D59=1,MAX(0,G59-F_Age),0)</f>
        <v>0</v>
      </c>
      <c r="K59" s="47" t="n">
        <f aca="false">IF(J59&gt;=AS_LongYrs,AS_Inv,AS_Cash)</f>
        <v>0.01</v>
      </c>
      <c r="L59" s="20" t="n">
        <f aca="false">IF(D59=1,IF(F59="mfree",IF(F_MortBal&gt;0,INDEX(Plan_mPath,MIN(J59+1,F_N)+1),H59*(1+AS_Infl)^J59),H59*(1+AS_Infl)^J59),0)</f>
        <v>0</v>
      </c>
      <c r="M59" s="20" t="n">
        <f aca="false">IF(OR(F59="spend",F59="mfree"),1,0)</f>
        <v>0</v>
      </c>
      <c r="N59" s="20" t="n">
        <f aca="false">IF(AND(F59="pot",E59&lt;&gt;"safety"),1,0)</f>
        <v>0</v>
      </c>
      <c r="O59" s="20" t="n">
        <f aca="false">IF(AND(F59="pot",E59="safety"),1,0)</f>
        <v>0</v>
      </c>
      <c r="P59" s="20" t="n">
        <f aca="false">IF(F59="mfree",1,0)</f>
        <v>0</v>
      </c>
      <c r="Q59" s="20" t="n">
        <f aca="false">IF(AND(D59=1,In_wiGoal&gt;0,C59=In_wiGoal),1,0)</f>
        <v>0</v>
      </c>
      <c r="R59" s="20" t="n">
        <f aca="false">IF(D59=1,MIN(I59,T58),0)</f>
        <v>0</v>
      </c>
      <c r="S59" s="20" t="n">
        <f aca="false">IF(AND(Q59=1,WI_Retire=0),WI_L,0)</f>
        <v>0</v>
      </c>
      <c r="T59" s="20" t="n">
        <f aca="false">T58-R59</f>
        <v>4000</v>
      </c>
      <c r="U59" s="20" t="n">
        <f aca="false">IF(D59=1,MAX(0,L59/(1+K59)^J59-(R59+S59)),0)</f>
        <v>0</v>
      </c>
      <c r="V59" s="20" t="n">
        <f aca="false">MIN(U59,W58)</f>
        <v>0</v>
      </c>
      <c r="W59" s="20" t="n">
        <f aca="false">W58-V59</f>
        <v>0</v>
      </c>
      <c r="X59" s="20" t="n">
        <f aca="false">R59+S59+V59</f>
        <v>0</v>
      </c>
    </row>
    <row r="60" customFormat="false" ht="15" hidden="false" customHeight="true" outlineLevel="0" collapsed="false">
      <c r="B60" s="20" t="n">
        <v>7</v>
      </c>
      <c r="C60" s="20" t="n">
        <f aca="false">IFERROR(MATCH(7,GL_Pos,0),0)</f>
        <v>0</v>
      </c>
      <c r="D60" s="20" t="n">
        <f aca="false">IF(C60&gt;0,1,0)</f>
        <v>0</v>
      </c>
      <c r="E60" s="20" t="str">
        <f aca="false">IF(D60=1,INDEX(GL_Key,C60),"")</f>
        <v/>
      </c>
      <c r="F60" s="20" t="str">
        <f aca="false">IF(D60=1,INDEX(GL_Kind,C60),"")</f>
        <v/>
      </c>
      <c r="G60" s="20" t="n">
        <f aca="false">IF(D60=1,INDEX(GL_Age,C60),0)</f>
        <v>0</v>
      </c>
      <c r="H60" s="20" t="n">
        <f aca="false">IF(D60=1,INDEX(GL_Amount,C60),0)</f>
        <v>0</v>
      </c>
      <c r="I60" s="20" t="n">
        <f aca="false">IF(D60=1,INDEX(GL_Saved,C60),0)</f>
        <v>0</v>
      </c>
      <c r="J60" s="20" t="n">
        <f aca="false">IF(D60=1,MAX(0,G60-F_Age),0)</f>
        <v>0</v>
      </c>
      <c r="K60" s="47" t="n">
        <f aca="false">IF(J60&gt;=AS_LongYrs,AS_Inv,AS_Cash)</f>
        <v>0.01</v>
      </c>
      <c r="L60" s="20" t="n">
        <f aca="false">IF(D60=1,IF(F60="mfree",IF(F_MortBal&gt;0,INDEX(Plan_mPath,MIN(J60+1,F_N)+1),H60*(1+AS_Infl)^J60),H60*(1+AS_Infl)^J60),0)</f>
        <v>0</v>
      </c>
      <c r="M60" s="20" t="n">
        <f aca="false">IF(OR(F60="spend",F60="mfree"),1,0)</f>
        <v>0</v>
      </c>
      <c r="N60" s="20" t="n">
        <f aca="false">IF(AND(F60="pot",E60&lt;&gt;"safety"),1,0)</f>
        <v>0</v>
      </c>
      <c r="O60" s="20" t="n">
        <f aca="false">IF(AND(F60="pot",E60="safety"),1,0)</f>
        <v>0</v>
      </c>
      <c r="P60" s="20" t="n">
        <f aca="false">IF(F60="mfree",1,0)</f>
        <v>0</v>
      </c>
      <c r="Q60" s="20" t="n">
        <f aca="false">IF(AND(D60=1,In_wiGoal&gt;0,C60=In_wiGoal),1,0)</f>
        <v>0</v>
      </c>
      <c r="R60" s="20" t="n">
        <f aca="false">IF(D60=1,MIN(I60,T59),0)</f>
        <v>0</v>
      </c>
      <c r="S60" s="20" t="n">
        <f aca="false">IF(AND(Q60=1,WI_Retire=0),WI_L,0)</f>
        <v>0</v>
      </c>
      <c r="T60" s="20" t="n">
        <f aca="false">T59-R60</f>
        <v>4000</v>
      </c>
      <c r="U60" s="20" t="n">
        <f aca="false">IF(D60=1,MAX(0,L60/(1+K60)^J60-(R60+S60)),0)</f>
        <v>0</v>
      </c>
      <c r="V60" s="20" t="n">
        <f aca="false">MIN(U60,W59)</f>
        <v>0</v>
      </c>
      <c r="W60" s="20" t="n">
        <f aca="false">W59-V60</f>
        <v>0</v>
      </c>
      <c r="X60" s="20" t="n">
        <f aca="false">R60+S60+V60</f>
        <v>0</v>
      </c>
    </row>
    <row r="61" customFormat="false" ht="15" hidden="false" customHeight="true" outlineLevel="0" collapsed="false">
      <c r="B61" s="20" t="n">
        <v>8</v>
      </c>
      <c r="C61" s="20" t="n">
        <f aca="false">IFERROR(MATCH(8,GL_Pos,0),0)</f>
        <v>0</v>
      </c>
      <c r="D61" s="20" t="n">
        <f aca="false">IF(C61&gt;0,1,0)</f>
        <v>0</v>
      </c>
      <c r="E61" s="20" t="str">
        <f aca="false">IF(D61=1,INDEX(GL_Key,C61),"")</f>
        <v/>
      </c>
      <c r="F61" s="20" t="str">
        <f aca="false">IF(D61=1,INDEX(GL_Kind,C61),"")</f>
        <v/>
      </c>
      <c r="G61" s="20" t="n">
        <f aca="false">IF(D61=1,INDEX(GL_Age,C61),0)</f>
        <v>0</v>
      </c>
      <c r="H61" s="20" t="n">
        <f aca="false">IF(D61=1,INDEX(GL_Amount,C61),0)</f>
        <v>0</v>
      </c>
      <c r="I61" s="20" t="n">
        <f aca="false">IF(D61=1,INDEX(GL_Saved,C61),0)</f>
        <v>0</v>
      </c>
      <c r="J61" s="20" t="n">
        <f aca="false">IF(D61=1,MAX(0,G61-F_Age),0)</f>
        <v>0</v>
      </c>
      <c r="K61" s="47" t="n">
        <f aca="false">IF(J61&gt;=AS_LongYrs,AS_Inv,AS_Cash)</f>
        <v>0.01</v>
      </c>
      <c r="L61" s="20" t="n">
        <f aca="false">IF(D61=1,IF(F61="mfree",IF(F_MortBal&gt;0,INDEX(Plan_mPath,MIN(J61+1,F_N)+1),H61*(1+AS_Infl)^J61),H61*(1+AS_Infl)^J61),0)</f>
        <v>0</v>
      </c>
      <c r="M61" s="20" t="n">
        <f aca="false">IF(OR(F61="spend",F61="mfree"),1,0)</f>
        <v>0</v>
      </c>
      <c r="N61" s="20" t="n">
        <f aca="false">IF(AND(F61="pot",E61&lt;&gt;"safety"),1,0)</f>
        <v>0</v>
      </c>
      <c r="O61" s="20" t="n">
        <f aca="false">IF(AND(F61="pot",E61="safety"),1,0)</f>
        <v>0</v>
      </c>
      <c r="P61" s="20" t="n">
        <f aca="false">IF(F61="mfree",1,0)</f>
        <v>0</v>
      </c>
      <c r="Q61" s="20" t="n">
        <f aca="false">IF(AND(D61=1,In_wiGoal&gt;0,C61=In_wiGoal),1,0)</f>
        <v>0</v>
      </c>
      <c r="R61" s="20" t="n">
        <f aca="false">IF(D61=1,MIN(I61,T60),0)</f>
        <v>0</v>
      </c>
      <c r="S61" s="20" t="n">
        <f aca="false">IF(AND(Q61=1,WI_Retire=0),WI_L,0)</f>
        <v>0</v>
      </c>
      <c r="T61" s="20" t="n">
        <f aca="false">T60-R61</f>
        <v>4000</v>
      </c>
      <c r="U61" s="20" t="n">
        <f aca="false">IF(D61=1,MAX(0,L61/(1+K61)^J61-(R61+S61)),0)</f>
        <v>0</v>
      </c>
      <c r="V61" s="20" t="n">
        <f aca="false">MIN(U61,W60)</f>
        <v>0</v>
      </c>
      <c r="W61" s="20" t="n">
        <f aca="false">W60-V61</f>
        <v>0</v>
      </c>
      <c r="X61" s="20" t="n">
        <f aca="false">R61+S61+V61</f>
        <v>0</v>
      </c>
    </row>
    <row r="62" customFormat="false" ht="15" hidden="false" customHeight="true" outlineLevel="0" collapsed="false">
      <c r="B62" s="20" t="n">
        <v>9</v>
      </c>
      <c r="C62" s="20" t="n">
        <f aca="false">IFERROR(MATCH(9,GL_Pos,0),0)</f>
        <v>0</v>
      </c>
      <c r="D62" s="20" t="n">
        <f aca="false">IF(C62&gt;0,1,0)</f>
        <v>0</v>
      </c>
      <c r="E62" s="20" t="str">
        <f aca="false">IF(D62=1,INDEX(GL_Key,C62),"")</f>
        <v/>
      </c>
      <c r="F62" s="20" t="str">
        <f aca="false">IF(D62=1,INDEX(GL_Kind,C62),"")</f>
        <v/>
      </c>
      <c r="G62" s="20" t="n">
        <f aca="false">IF(D62=1,INDEX(GL_Age,C62),0)</f>
        <v>0</v>
      </c>
      <c r="H62" s="20" t="n">
        <f aca="false">IF(D62=1,INDEX(GL_Amount,C62),0)</f>
        <v>0</v>
      </c>
      <c r="I62" s="20" t="n">
        <f aca="false">IF(D62=1,INDEX(GL_Saved,C62),0)</f>
        <v>0</v>
      </c>
      <c r="J62" s="20" t="n">
        <f aca="false">IF(D62=1,MAX(0,G62-F_Age),0)</f>
        <v>0</v>
      </c>
      <c r="K62" s="47" t="n">
        <f aca="false">IF(J62&gt;=AS_LongYrs,AS_Inv,AS_Cash)</f>
        <v>0.01</v>
      </c>
      <c r="L62" s="20" t="n">
        <f aca="false">IF(D62=1,IF(F62="mfree",IF(F_MortBal&gt;0,INDEX(Plan_mPath,MIN(J62+1,F_N)+1),H62*(1+AS_Infl)^J62),H62*(1+AS_Infl)^J62),0)</f>
        <v>0</v>
      </c>
      <c r="M62" s="20" t="n">
        <f aca="false">IF(OR(F62="spend",F62="mfree"),1,0)</f>
        <v>0</v>
      </c>
      <c r="N62" s="20" t="n">
        <f aca="false">IF(AND(F62="pot",E62&lt;&gt;"safety"),1,0)</f>
        <v>0</v>
      </c>
      <c r="O62" s="20" t="n">
        <f aca="false">IF(AND(F62="pot",E62="safety"),1,0)</f>
        <v>0</v>
      </c>
      <c r="P62" s="20" t="n">
        <f aca="false">IF(F62="mfree",1,0)</f>
        <v>0</v>
      </c>
      <c r="Q62" s="20" t="n">
        <f aca="false">IF(AND(D62=1,In_wiGoal&gt;0,C62=In_wiGoal),1,0)</f>
        <v>0</v>
      </c>
      <c r="R62" s="20" t="n">
        <f aca="false">IF(D62=1,MIN(I62,T61),0)</f>
        <v>0</v>
      </c>
      <c r="S62" s="20" t="n">
        <f aca="false">IF(AND(Q62=1,WI_Retire=0),WI_L,0)</f>
        <v>0</v>
      </c>
      <c r="T62" s="20" t="n">
        <f aca="false">T61-R62</f>
        <v>4000</v>
      </c>
      <c r="U62" s="20" t="n">
        <f aca="false">IF(D62=1,MAX(0,L62/(1+K62)^J62-(R62+S62)),0)</f>
        <v>0</v>
      </c>
      <c r="V62" s="20" t="n">
        <f aca="false">MIN(U62,W61)</f>
        <v>0</v>
      </c>
      <c r="W62" s="20" t="n">
        <f aca="false">W61-V62</f>
        <v>0</v>
      </c>
      <c r="X62" s="20" t="n">
        <f aca="false">R62+S62+V62</f>
        <v>0</v>
      </c>
    </row>
    <row r="63" customFormat="false" ht="15" hidden="false" customHeight="true" outlineLevel="0" collapsed="false">
      <c r="B63" s="20" t="n">
        <v>10</v>
      </c>
      <c r="C63" s="20" t="n">
        <f aca="false">IFERROR(MATCH(10,GL_Pos,0),0)</f>
        <v>0</v>
      </c>
      <c r="D63" s="20" t="n">
        <f aca="false">IF(C63&gt;0,1,0)</f>
        <v>0</v>
      </c>
      <c r="E63" s="20" t="str">
        <f aca="false">IF(D63=1,INDEX(GL_Key,C63),"")</f>
        <v/>
      </c>
      <c r="F63" s="20" t="str">
        <f aca="false">IF(D63=1,INDEX(GL_Kind,C63),"")</f>
        <v/>
      </c>
      <c r="G63" s="20" t="n">
        <f aca="false">IF(D63=1,INDEX(GL_Age,C63),0)</f>
        <v>0</v>
      </c>
      <c r="H63" s="20" t="n">
        <f aca="false">IF(D63=1,INDEX(GL_Amount,C63),0)</f>
        <v>0</v>
      </c>
      <c r="I63" s="20" t="n">
        <f aca="false">IF(D63=1,INDEX(GL_Saved,C63),0)</f>
        <v>0</v>
      </c>
      <c r="J63" s="20" t="n">
        <f aca="false">IF(D63=1,MAX(0,G63-F_Age),0)</f>
        <v>0</v>
      </c>
      <c r="K63" s="47" t="n">
        <f aca="false">IF(J63&gt;=AS_LongYrs,AS_Inv,AS_Cash)</f>
        <v>0.01</v>
      </c>
      <c r="L63" s="20" t="n">
        <f aca="false">IF(D63=1,IF(F63="mfree",IF(F_MortBal&gt;0,INDEX(Plan_mPath,MIN(J63+1,F_N)+1),H63*(1+AS_Infl)^J63),H63*(1+AS_Infl)^J63),0)</f>
        <v>0</v>
      </c>
      <c r="M63" s="20" t="n">
        <f aca="false">IF(OR(F63="spend",F63="mfree"),1,0)</f>
        <v>0</v>
      </c>
      <c r="N63" s="20" t="n">
        <f aca="false">IF(AND(F63="pot",E63&lt;&gt;"safety"),1,0)</f>
        <v>0</v>
      </c>
      <c r="O63" s="20" t="n">
        <f aca="false">IF(AND(F63="pot",E63="safety"),1,0)</f>
        <v>0</v>
      </c>
      <c r="P63" s="20" t="n">
        <f aca="false">IF(F63="mfree",1,0)</f>
        <v>0</v>
      </c>
      <c r="Q63" s="20" t="n">
        <f aca="false">IF(AND(D63=1,In_wiGoal&gt;0,C63=In_wiGoal),1,0)</f>
        <v>0</v>
      </c>
      <c r="R63" s="20" t="n">
        <f aca="false">IF(D63=1,MIN(I63,T62),0)</f>
        <v>0</v>
      </c>
      <c r="S63" s="20" t="n">
        <f aca="false">IF(AND(Q63=1,WI_Retire=0),WI_L,0)</f>
        <v>0</v>
      </c>
      <c r="T63" s="20" t="n">
        <f aca="false">T62-R63</f>
        <v>4000</v>
      </c>
      <c r="U63" s="20" t="n">
        <f aca="false">IF(D63=1,MAX(0,L63/(1+K63)^J63-(R63+S63)),0)</f>
        <v>0</v>
      </c>
      <c r="V63" s="20" t="n">
        <f aca="false">MIN(U63,W62)</f>
        <v>0</v>
      </c>
      <c r="W63" s="20" t="n">
        <f aca="false">W62-V63</f>
        <v>0</v>
      </c>
      <c r="X63" s="20" t="n">
        <f aca="false">R63+S63+V63</f>
        <v>0</v>
      </c>
    </row>
    <row r="64" customFormat="false" ht="15" hidden="false" customHeight="true" outlineLevel="0" collapsed="false">
      <c r="B64" s="20" t="n">
        <v>11</v>
      </c>
      <c r="C64" s="20" t="n">
        <f aca="false">IFERROR(MATCH(11,GL_Pos,0),0)</f>
        <v>0</v>
      </c>
      <c r="D64" s="20" t="n">
        <f aca="false">IF(C64&gt;0,1,0)</f>
        <v>0</v>
      </c>
      <c r="E64" s="20" t="str">
        <f aca="false">IF(D64=1,INDEX(GL_Key,C64),"")</f>
        <v/>
      </c>
      <c r="F64" s="20" t="str">
        <f aca="false">IF(D64=1,INDEX(GL_Kind,C64),"")</f>
        <v/>
      </c>
      <c r="G64" s="20" t="n">
        <f aca="false">IF(D64=1,INDEX(GL_Age,C64),0)</f>
        <v>0</v>
      </c>
      <c r="H64" s="20" t="n">
        <f aca="false">IF(D64=1,INDEX(GL_Amount,C64),0)</f>
        <v>0</v>
      </c>
      <c r="I64" s="20" t="n">
        <f aca="false">IF(D64=1,INDEX(GL_Saved,C64),0)</f>
        <v>0</v>
      </c>
      <c r="J64" s="20" t="n">
        <f aca="false">IF(D64=1,MAX(0,G64-F_Age),0)</f>
        <v>0</v>
      </c>
      <c r="K64" s="47" t="n">
        <f aca="false">IF(J64&gt;=AS_LongYrs,AS_Inv,AS_Cash)</f>
        <v>0.01</v>
      </c>
      <c r="L64" s="20" t="n">
        <f aca="false">IF(D64=1,IF(F64="mfree",IF(F_MortBal&gt;0,INDEX(Plan_mPath,MIN(J64+1,F_N)+1),H64*(1+AS_Infl)^J64),H64*(1+AS_Infl)^J64),0)</f>
        <v>0</v>
      </c>
      <c r="M64" s="20" t="n">
        <f aca="false">IF(OR(F64="spend",F64="mfree"),1,0)</f>
        <v>0</v>
      </c>
      <c r="N64" s="20" t="n">
        <f aca="false">IF(AND(F64="pot",E64&lt;&gt;"safety"),1,0)</f>
        <v>0</v>
      </c>
      <c r="O64" s="20" t="n">
        <f aca="false">IF(AND(F64="pot",E64="safety"),1,0)</f>
        <v>0</v>
      </c>
      <c r="P64" s="20" t="n">
        <f aca="false">IF(F64="mfree",1,0)</f>
        <v>0</v>
      </c>
      <c r="Q64" s="20" t="n">
        <f aca="false">IF(AND(D64=1,In_wiGoal&gt;0,C64=In_wiGoal),1,0)</f>
        <v>0</v>
      </c>
      <c r="R64" s="20" t="n">
        <f aca="false">IF(D64=1,MIN(I64,T63),0)</f>
        <v>0</v>
      </c>
      <c r="S64" s="20" t="n">
        <f aca="false">IF(AND(Q64=1,WI_Retire=0),WI_L,0)</f>
        <v>0</v>
      </c>
      <c r="T64" s="20" t="n">
        <f aca="false">T63-R64</f>
        <v>4000</v>
      </c>
      <c r="U64" s="20" t="n">
        <f aca="false">IF(D64=1,MAX(0,L64/(1+K64)^J64-(R64+S64)),0)</f>
        <v>0</v>
      </c>
      <c r="V64" s="20" t="n">
        <f aca="false">MIN(U64,W63)</f>
        <v>0</v>
      </c>
      <c r="W64" s="20" t="n">
        <f aca="false">W63-V64</f>
        <v>0</v>
      </c>
      <c r="X64" s="20" t="n">
        <f aca="false">R64+S64+V64</f>
        <v>0</v>
      </c>
    </row>
    <row r="65" customFormat="false" ht="15" hidden="false" customHeight="true" outlineLevel="0" collapsed="false">
      <c r="B65" s="20" t="n">
        <v>12</v>
      </c>
      <c r="C65" s="20" t="n">
        <f aca="false">IFERROR(MATCH(12,GL_Pos,0),0)</f>
        <v>0</v>
      </c>
      <c r="D65" s="20" t="n">
        <f aca="false">IF(C65&gt;0,1,0)</f>
        <v>0</v>
      </c>
      <c r="E65" s="20" t="str">
        <f aca="false">IF(D65=1,INDEX(GL_Key,C65),"")</f>
        <v/>
      </c>
      <c r="F65" s="20" t="str">
        <f aca="false">IF(D65=1,INDEX(GL_Kind,C65),"")</f>
        <v/>
      </c>
      <c r="G65" s="20" t="n">
        <f aca="false">IF(D65=1,INDEX(GL_Age,C65),0)</f>
        <v>0</v>
      </c>
      <c r="H65" s="20" t="n">
        <f aca="false">IF(D65=1,INDEX(GL_Amount,C65),0)</f>
        <v>0</v>
      </c>
      <c r="I65" s="20" t="n">
        <f aca="false">IF(D65=1,INDEX(GL_Saved,C65),0)</f>
        <v>0</v>
      </c>
      <c r="J65" s="20" t="n">
        <f aca="false">IF(D65=1,MAX(0,G65-F_Age),0)</f>
        <v>0</v>
      </c>
      <c r="K65" s="47" t="n">
        <f aca="false">IF(J65&gt;=AS_LongYrs,AS_Inv,AS_Cash)</f>
        <v>0.01</v>
      </c>
      <c r="L65" s="20" t="n">
        <f aca="false">IF(D65=1,IF(F65="mfree",IF(F_MortBal&gt;0,INDEX(Plan_mPath,MIN(J65+1,F_N)+1),H65*(1+AS_Infl)^J65),H65*(1+AS_Infl)^J65),0)</f>
        <v>0</v>
      </c>
      <c r="M65" s="20" t="n">
        <f aca="false">IF(OR(F65="spend",F65="mfree"),1,0)</f>
        <v>0</v>
      </c>
      <c r="N65" s="20" t="n">
        <f aca="false">IF(AND(F65="pot",E65&lt;&gt;"safety"),1,0)</f>
        <v>0</v>
      </c>
      <c r="O65" s="20" t="n">
        <f aca="false">IF(AND(F65="pot",E65="safety"),1,0)</f>
        <v>0</v>
      </c>
      <c r="P65" s="20" t="n">
        <f aca="false">IF(F65="mfree",1,0)</f>
        <v>0</v>
      </c>
      <c r="Q65" s="20" t="n">
        <f aca="false">IF(AND(D65=1,In_wiGoal&gt;0,C65=In_wiGoal),1,0)</f>
        <v>0</v>
      </c>
      <c r="R65" s="20" t="n">
        <f aca="false">IF(D65=1,MIN(I65,T64),0)</f>
        <v>0</v>
      </c>
      <c r="S65" s="20" t="n">
        <f aca="false">IF(AND(Q65=1,WI_Retire=0),WI_L,0)</f>
        <v>0</v>
      </c>
      <c r="T65" s="20" t="n">
        <f aca="false">T64-R65</f>
        <v>4000</v>
      </c>
      <c r="U65" s="20" t="n">
        <f aca="false">IF(D65=1,MAX(0,L65/(1+K65)^J65-(R65+S65)),0)</f>
        <v>0</v>
      </c>
      <c r="V65" s="20" t="n">
        <f aca="false">MIN(U65,W64)</f>
        <v>0</v>
      </c>
      <c r="W65" s="20" t="n">
        <f aca="false">W64-V65</f>
        <v>0</v>
      </c>
      <c r="X65" s="20" t="n">
        <f aca="false">R65+S65+V65</f>
        <v>0</v>
      </c>
    </row>
    <row r="66" customFormat="false" ht="15" hidden="false" customHeight="true" outlineLevel="0" collapsed="false">
      <c r="B66" s="20" t="n">
        <v>13</v>
      </c>
      <c r="C66" s="20" t="n">
        <f aca="false">IFERROR(MATCH(13,GL_Pos,0),0)</f>
        <v>0</v>
      </c>
      <c r="D66" s="20" t="n">
        <f aca="false">IF(C66&gt;0,1,0)</f>
        <v>0</v>
      </c>
      <c r="E66" s="20" t="str">
        <f aca="false">IF(D66=1,INDEX(GL_Key,C66),"")</f>
        <v/>
      </c>
      <c r="F66" s="20" t="str">
        <f aca="false">IF(D66=1,INDEX(GL_Kind,C66),"")</f>
        <v/>
      </c>
      <c r="G66" s="20" t="n">
        <f aca="false">IF(D66=1,INDEX(GL_Age,C66),0)</f>
        <v>0</v>
      </c>
      <c r="H66" s="20" t="n">
        <f aca="false">IF(D66=1,INDEX(GL_Amount,C66),0)</f>
        <v>0</v>
      </c>
      <c r="I66" s="20" t="n">
        <f aca="false">IF(D66=1,INDEX(GL_Saved,C66),0)</f>
        <v>0</v>
      </c>
      <c r="J66" s="20" t="n">
        <f aca="false">IF(D66=1,MAX(0,G66-F_Age),0)</f>
        <v>0</v>
      </c>
      <c r="K66" s="47" t="n">
        <f aca="false">IF(J66&gt;=AS_LongYrs,AS_Inv,AS_Cash)</f>
        <v>0.01</v>
      </c>
      <c r="L66" s="20" t="n">
        <f aca="false">IF(D66=1,IF(F66="mfree",IF(F_MortBal&gt;0,INDEX(Plan_mPath,MIN(J66+1,F_N)+1),H66*(1+AS_Infl)^J66),H66*(1+AS_Infl)^J66),0)</f>
        <v>0</v>
      </c>
      <c r="M66" s="20" t="n">
        <f aca="false">IF(OR(F66="spend",F66="mfree"),1,0)</f>
        <v>0</v>
      </c>
      <c r="N66" s="20" t="n">
        <f aca="false">IF(AND(F66="pot",E66&lt;&gt;"safety"),1,0)</f>
        <v>0</v>
      </c>
      <c r="O66" s="20" t="n">
        <f aca="false">IF(AND(F66="pot",E66="safety"),1,0)</f>
        <v>0</v>
      </c>
      <c r="P66" s="20" t="n">
        <f aca="false">IF(F66="mfree",1,0)</f>
        <v>0</v>
      </c>
      <c r="Q66" s="20" t="n">
        <f aca="false">IF(AND(D66=1,In_wiGoal&gt;0,C66=In_wiGoal),1,0)</f>
        <v>0</v>
      </c>
      <c r="R66" s="20" t="n">
        <f aca="false">IF(D66=1,MIN(I66,T65),0)</f>
        <v>0</v>
      </c>
      <c r="S66" s="20" t="n">
        <f aca="false">IF(AND(Q66=1,WI_Retire=0),WI_L,0)</f>
        <v>0</v>
      </c>
      <c r="T66" s="20" t="n">
        <f aca="false">T65-R66</f>
        <v>4000</v>
      </c>
      <c r="U66" s="20" t="n">
        <f aca="false">IF(D66=1,MAX(0,L66/(1+K66)^J66-(R66+S66)),0)</f>
        <v>0</v>
      </c>
      <c r="V66" s="20" t="n">
        <f aca="false">MIN(U66,W65)</f>
        <v>0</v>
      </c>
      <c r="W66" s="20" t="n">
        <f aca="false">W65-V66</f>
        <v>0</v>
      </c>
      <c r="X66" s="20" t="n">
        <f aca="false">R66+S66+V66</f>
        <v>0</v>
      </c>
    </row>
    <row r="67" customFormat="false" ht="15" hidden="false" customHeight="true" outlineLevel="0" collapsed="false">
      <c r="B67" s="20" t="n">
        <v>14</v>
      </c>
      <c r="C67" s="20" t="n">
        <f aca="false">IFERROR(MATCH(14,GL_Pos,0),0)</f>
        <v>0</v>
      </c>
      <c r="D67" s="20" t="n">
        <f aca="false">IF(C67&gt;0,1,0)</f>
        <v>0</v>
      </c>
      <c r="E67" s="20" t="str">
        <f aca="false">IF(D67=1,INDEX(GL_Key,C67),"")</f>
        <v/>
      </c>
      <c r="F67" s="20" t="str">
        <f aca="false">IF(D67=1,INDEX(GL_Kind,C67),"")</f>
        <v/>
      </c>
      <c r="G67" s="20" t="n">
        <f aca="false">IF(D67=1,INDEX(GL_Age,C67),0)</f>
        <v>0</v>
      </c>
      <c r="H67" s="20" t="n">
        <f aca="false">IF(D67=1,INDEX(GL_Amount,C67),0)</f>
        <v>0</v>
      </c>
      <c r="I67" s="20" t="n">
        <f aca="false">IF(D67=1,INDEX(GL_Saved,C67),0)</f>
        <v>0</v>
      </c>
      <c r="J67" s="20" t="n">
        <f aca="false">IF(D67=1,MAX(0,G67-F_Age),0)</f>
        <v>0</v>
      </c>
      <c r="K67" s="47" t="n">
        <f aca="false">IF(J67&gt;=AS_LongYrs,AS_Inv,AS_Cash)</f>
        <v>0.01</v>
      </c>
      <c r="L67" s="20" t="n">
        <f aca="false">IF(D67=1,IF(F67="mfree",IF(F_MortBal&gt;0,INDEX(Plan_mPath,MIN(J67+1,F_N)+1),H67*(1+AS_Infl)^J67),H67*(1+AS_Infl)^J67),0)</f>
        <v>0</v>
      </c>
      <c r="M67" s="20" t="n">
        <f aca="false">IF(OR(F67="spend",F67="mfree"),1,0)</f>
        <v>0</v>
      </c>
      <c r="N67" s="20" t="n">
        <f aca="false">IF(AND(F67="pot",E67&lt;&gt;"safety"),1,0)</f>
        <v>0</v>
      </c>
      <c r="O67" s="20" t="n">
        <f aca="false">IF(AND(F67="pot",E67="safety"),1,0)</f>
        <v>0</v>
      </c>
      <c r="P67" s="20" t="n">
        <f aca="false">IF(F67="mfree",1,0)</f>
        <v>0</v>
      </c>
      <c r="Q67" s="20" t="n">
        <f aca="false">IF(AND(D67=1,In_wiGoal&gt;0,C67=In_wiGoal),1,0)</f>
        <v>0</v>
      </c>
      <c r="R67" s="20" t="n">
        <f aca="false">IF(D67=1,MIN(I67,T66),0)</f>
        <v>0</v>
      </c>
      <c r="S67" s="20" t="n">
        <f aca="false">IF(AND(Q67=1,WI_Retire=0),WI_L,0)</f>
        <v>0</v>
      </c>
      <c r="T67" s="20" t="n">
        <f aca="false">T66-R67</f>
        <v>4000</v>
      </c>
      <c r="U67" s="20" t="n">
        <f aca="false">IF(D67=1,MAX(0,L67/(1+K67)^J67-(R67+S67)),0)</f>
        <v>0</v>
      </c>
      <c r="V67" s="20" t="n">
        <f aca="false">MIN(U67,W66)</f>
        <v>0</v>
      </c>
      <c r="W67" s="20" t="n">
        <f aca="false">W66-V67</f>
        <v>0</v>
      </c>
      <c r="X67" s="20" t="n">
        <f aca="false">R67+S67+V67</f>
        <v>0</v>
      </c>
    </row>
    <row r="68" customFormat="false" ht="15" hidden="false" customHeight="true" outlineLevel="0" collapsed="false">
      <c r="B68" s="20" t="n">
        <v>15</v>
      </c>
      <c r="C68" s="20" t="n">
        <f aca="false">IFERROR(MATCH(15,GL_Pos,0),0)</f>
        <v>0</v>
      </c>
      <c r="D68" s="20" t="n">
        <f aca="false">IF(C68&gt;0,1,0)</f>
        <v>0</v>
      </c>
      <c r="E68" s="20" t="str">
        <f aca="false">IF(D68=1,INDEX(GL_Key,C68),"")</f>
        <v/>
      </c>
      <c r="F68" s="20" t="str">
        <f aca="false">IF(D68=1,INDEX(GL_Kind,C68),"")</f>
        <v/>
      </c>
      <c r="G68" s="20" t="n">
        <f aca="false">IF(D68=1,INDEX(GL_Age,C68),0)</f>
        <v>0</v>
      </c>
      <c r="H68" s="20" t="n">
        <f aca="false">IF(D68=1,INDEX(GL_Amount,C68),0)</f>
        <v>0</v>
      </c>
      <c r="I68" s="20" t="n">
        <f aca="false">IF(D68=1,INDEX(GL_Saved,C68),0)</f>
        <v>0</v>
      </c>
      <c r="J68" s="20" t="n">
        <f aca="false">IF(D68=1,MAX(0,G68-F_Age),0)</f>
        <v>0</v>
      </c>
      <c r="K68" s="47" t="n">
        <f aca="false">IF(J68&gt;=AS_LongYrs,AS_Inv,AS_Cash)</f>
        <v>0.01</v>
      </c>
      <c r="L68" s="20" t="n">
        <f aca="false">IF(D68=1,IF(F68="mfree",IF(F_MortBal&gt;0,INDEX(Plan_mPath,MIN(J68+1,F_N)+1),H68*(1+AS_Infl)^J68),H68*(1+AS_Infl)^J68),0)</f>
        <v>0</v>
      </c>
      <c r="M68" s="20" t="n">
        <f aca="false">IF(OR(F68="spend",F68="mfree"),1,0)</f>
        <v>0</v>
      </c>
      <c r="N68" s="20" t="n">
        <f aca="false">IF(AND(F68="pot",E68&lt;&gt;"safety"),1,0)</f>
        <v>0</v>
      </c>
      <c r="O68" s="20" t="n">
        <f aca="false">IF(AND(F68="pot",E68="safety"),1,0)</f>
        <v>0</v>
      </c>
      <c r="P68" s="20" t="n">
        <f aca="false">IF(F68="mfree",1,0)</f>
        <v>0</v>
      </c>
      <c r="Q68" s="20" t="n">
        <f aca="false">IF(AND(D68=1,In_wiGoal&gt;0,C68=In_wiGoal),1,0)</f>
        <v>0</v>
      </c>
      <c r="R68" s="20" t="n">
        <f aca="false">IF(D68=1,MIN(I68,T67),0)</f>
        <v>0</v>
      </c>
      <c r="S68" s="20" t="n">
        <f aca="false">IF(AND(Q68=1,WI_Retire=0),WI_L,0)</f>
        <v>0</v>
      </c>
      <c r="T68" s="20" t="n">
        <f aca="false">T67-R68</f>
        <v>4000</v>
      </c>
      <c r="U68" s="20" t="n">
        <f aca="false">IF(D68=1,MAX(0,L68/(1+K68)^J68-(R68+S68)),0)</f>
        <v>0</v>
      </c>
      <c r="V68" s="20" t="n">
        <f aca="false">MIN(U68,W67)</f>
        <v>0</v>
      </c>
      <c r="W68" s="20" t="n">
        <f aca="false">W67-V68</f>
        <v>0</v>
      </c>
      <c r="X68" s="20" t="n">
        <f aca="false">R68+S68+V68</f>
        <v>0</v>
      </c>
    </row>
    <row r="69" customFormat="false" ht="15" hidden="false" customHeight="true" outlineLevel="0" collapsed="false">
      <c r="B69" s="20" t="n">
        <v>16</v>
      </c>
      <c r="C69" s="20" t="n">
        <f aca="false">IFERROR(MATCH(16,GL_Pos,0),0)</f>
        <v>0</v>
      </c>
      <c r="D69" s="20" t="n">
        <f aca="false">IF(C69&gt;0,1,0)</f>
        <v>0</v>
      </c>
      <c r="E69" s="20" t="str">
        <f aca="false">IF(D69=1,INDEX(GL_Key,C69),"")</f>
        <v/>
      </c>
      <c r="F69" s="20" t="str">
        <f aca="false">IF(D69=1,INDEX(GL_Kind,C69),"")</f>
        <v/>
      </c>
      <c r="G69" s="20" t="n">
        <f aca="false">IF(D69=1,INDEX(GL_Age,C69),0)</f>
        <v>0</v>
      </c>
      <c r="H69" s="20" t="n">
        <f aca="false">IF(D69=1,INDEX(GL_Amount,C69),0)</f>
        <v>0</v>
      </c>
      <c r="I69" s="20" t="n">
        <f aca="false">IF(D69=1,INDEX(GL_Saved,C69),0)</f>
        <v>0</v>
      </c>
      <c r="J69" s="20" t="n">
        <f aca="false">IF(D69=1,MAX(0,G69-F_Age),0)</f>
        <v>0</v>
      </c>
      <c r="K69" s="47" t="n">
        <f aca="false">IF(J69&gt;=AS_LongYrs,AS_Inv,AS_Cash)</f>
        <v>0.01</v>
      </c>
      <c r="L69" s="20" t="n">
        <f aca="false">IF(D69=1,IF(F69="mfree",IF(F_MortBal&gt;0,INDEX(Plan_mPath,MIN(J69+1,F_N)+1),H69*(1+AS_Infl)^J69),H69*(1+AS_Infl)^J69),0)</f>
        <v>0</v>
      </c>
      <c r="M69" s="20" t="n">
        <f aca="false">IF(OR(F69="spend",F69="mfree"),1,0)</f>
        <v>0</v>
      </c>
      <c r="N69" s="20" t="n">
        <f aca="false">IF(AND(F69="pot",E69&lt;&gt;"safety"),1,0)</f>
        <v>0</v>
      </c>
      <c r="O69" s="20" t="n">
        <f aca="false">IF(AND(F69="pot",E69="safety"),1,0)</f>
        <v>0</v>
      </c>
      <c r="P69" s="20" t="n">
        <f aca="false">IF(F69="mfree",1,0)</f>
        <v>0</v>
      </c>
      <c r="Q69" s="20" t="n">
        <f aca="false">IF(AND(D69=1,In_wiGoal&gt;0,C69=In_wiGoal),1,0)</f>
        <v>0</v>
      </c>
      <c r="R69" s="20" t="n">
        <f aca="false">IF(D69=1,MIN(I69,T68),0)</f>
        <v>0</v>
      </c>
      <c r="S69" s="20" t="n">
        <f aca="false">IF(AND(Q69=1,WI_Retire=0),WI_L,0)</f>
        <v>0</v>
      </c>
      <c r="T69" s="20" t="n">
        <f aca="false">T68-R69</f>
        <v>4000</v>
      </c>
      <c r="U69" s="20" t="n">
        <f aca="false">IF(D69=1,MAX(0,L69/(1+K69)^J69-(R69+S69)),0)</f>
        <v>0</v>
      </c>
      <c r="V69" s="20" t="n">
        <f aca="false">MIN(U69,W68)</f>
        <v>0</v>
      </c>
      <c r="W69" s="20" t="n">
        <f aca="false">W68-V69</f>
        <v>0</v>
      </c>
      <c r="X69" s="20" t="n">
        <f aca="false">R69+S69+V69</f>
        <v>0</v>
      </c>
    </row>
    <row r="70" customFormat="false" ht="15" hidden="false" customHeight="true" outlineLevel="0" collapsed="false">
      <c r="B70" s="20" t="n">
        <v>17</v>
      </c>
      <c r="C70" s="20" t="n">
        <f aca="false">IFERROR(MATCH(17,GL_Pos,0),0)</f>
        <v>0</v>
      </c>
      <c r="D70" s="20" t="n">
        <f aca="false">IF(C70&gt;0,1,0)</f>
        <v>0</v>
      </c>
      <c r="E70" s="20" t="str">
        <f aca="false">IF(D70=1,INDEX(GL_Key,C70),"")</f>
        <v/>
      </c>
      <c r="F70" s="20" t="str">
        <f aca="false">IF(D70=1,INDEX(GL_Kind,C70),"")</f>
        <v/>
      </c>
      <c r="G70" s="20" t="n">
        <f aca="false">IF(D70=1,INDEX(GL_Age,C70),0)</f>
        <v>0</v>
      </c>
      <c r="H70" s="20" t="n">
        <f aca="false">IF(D70=1,INDEX(GL_Amount,C70),0)</f>
        <v>0</v>
      </c>
      <c r="I70" s="20" t="n">
        <f aca="false">IF(D70=1,INDEX(GL_Saved,C70),0)</f>
        <v>0</v>
      </c>
      <c r="J70" s="20" t="n">
        <f aca="false">IF(D70=1,MAX(0,G70-F_Age),0)</f>
        <v>0</v>
      </c>
      <c r="K70" s="47" t="n">
        <f aca="false">IF(J70&gt;=AS_LongYrs,AS_Inv,AS_Cash)</f>
        <v>0.01</v>
      </c>
      <c r="L70" s="20" t="n">
        <f aca="false">IF(D70=1,IF(F70="mfree",IF(F_MortBal&gt;0,INDEX(Plan_mPath,MIN(J70+1,F_N)+1),H70*(1+AS_Infl)^J70),H70*(1+AS_Infl)^J70),0)</f>
        <v>0</v>
      </c>
      <c r="M70" s="20" t="n">
        <f aca="false">IF(OR(F70="spend",F70="mfree"),1,0)</f>
        <v>0</v>
      </c>
      <c r="N70" s="20" t="n">
        <f aca="false">IF(AND(F70="pot",E70&lt;&gt;"safety"),1,0)</f>
        <v>0</v>
      </c>
      <c r="O70" s="20" t="n">
        <f aca="false">IF(AND(F70="pot",E70="safety"),1,0)</f>
        <v>0</v>
      </c>
      <c r="P70" s="20" t="n">
        <f aca="false">IF(F70="mfree",1,0)</f>
        <v>0</v>
      </c>
      <c r="Q70" s="20" t="n">
        <f aca="false">IF(AND(D70=1,In_wiGoal&gt;0,C70=In_wiGoal),1,0)</f>
        <v>0</v>
      </c>
      <c r="R70" s="20" t="n">
        <f aca="false">IF(D70=1,MIN(I70,T69),0)</f>
        <v>0</v>
      </c>
      <c r="S70" s="20" t="n">
        <f aca="false">IF(AND(Q70=1,WI_Retire=0),WI_L,0)</f>
        <v>0</v>
      </c>
      <c r="T70" s="20" t="n">
        <f aca="false">T69-R70</f>
        <v>4000</v>
      </c>
      <c r="U70" s="20" t="n">
        <f aca="false">IF(D70=1,MAX(0,L70/(1+K70)^J70-(R70+S70)),0)</f>
        <v>0</v>
      </c>
      <c r="V70" s="20" t="n">
        <f aca="false">MIN(U70,W69)</f>
        <v>0</v>
      </c>
      <c r="W70" s="20" t="n">
        <f aca="false">W69-V70</f>
        <v>0</v>
      </c>
      <c r="X70" s="20" t="n">
        <f aca="false">R70+S70+V70</f>
        <v>0</v>
      </c>
    </row>
    <row r="71" customFormat="false" ht="15" hidden="false" customHeight="true" outlineLevel="0" collapsed="false">
      <c r="B71" s="20" t="n">
        <v>18</v>
      </c>
      <c r="C71" s="20" t="n">
        <f aca="false">IFERROR(MATCH(18,GL_Pos,0),0)</f>
        <v>0</v>
      </c>
      <c r="D71" s="20" t="n">
        <f aca="false">IF(C71&gt;0,1,0)</f>
        <v>0</v>
      </c>
      <c r="E71" s="20" t="str">
        <f aca="false">IF(D71=1,INDEX(GL_Key,C71),"")</f>
        <v/>
      </c>
      <c r="F71" s="20" t="str">
        <f aca="false">IF(D71=1,INDEX(GL_Kind,C71),"")</f>
        <v/>
      </c>
      <c r="G71" s="20" t="n">
        <f aca="false">IF(D71=1,INDEX(GL_Age,C71),0)</f>
        <v>0</v>
      </c>
      <c r="H71" s="20" t="n">
        <f aca="false">IF(D71=1,INDEX(GL_Amount,C71),0)</f>
        <v>0</v>
      </c>
      <c r="I71" s="20" t="n">
        <f aca="false">IF(D71=1,INDEX(GL_Saved,C71),0)</f>
        <v>0</v>
      </c>
      <c r="J71" s="20" t="n">
        <f aca="false">IF(D71=1,MAX(0,G71-F_Age),0)</f>
        <v>0</v>
      </c>
      <c r="K71" s="47" t="n">
        <f aca="false">IF(J71&gt;=AS_LongYrs,AS_Inv,AS_Cash)</f>
        <v>0.01</v>
      </c>
      <c r="L71" s="20" t="n">
        <f aca="false">IF(D71=1,IF(F71="mfree",IF(F_MortBal&gt;0,INDEX(Plan_mPath,MIN(J71+1,F_N)+1),H71*(1+AS_Infl)^J71),H71*(1+AS_Infl)^J71),0)</f>
        <v>0</v>
      </c>
      <c r="M71" s="20" t="n">
        <f aca="false">IF(OR(F71="spend",F71="mfree"),1,0)</f>
        <v>0</v>
      </c>
      <c r="N71" s="20" t="n">
        <f aca="false">IF(AND(F71="pot",E71&lt;&gt;"safety"),1,0)</f>
        <v>0</v>
      </c>
      <c r="O71" s="20" t="n">
        <f aca="false">IF(AND(F71="pot",E71="safety"),1,0)</f>
        <v>0</v>
      </c>
      <c r="P71" s="20" t="n">
        <f aca="false">IF(F71="mfree",1,0)</f>
        <v>0</v>
      </c>
      <c r="Q71" s="20" t="n">
        <f aca="false">IF(AND(D71=1,In_wiGoal&gt;0,C71=In_wiGoal),1,0)</f>
        <v>0</v>
      </c>
      <c r="R71" s="20" t="n">
        <f aca="false">IF(D71=1,MIN(I71,T70),0)</f>
        <v>0</v>
      </c>
      <c r="S71" s="20" t="n">
        <f aca="false">IF(AND(Q71=1,WI_Retire=0),WI_L,0)</f>
        <v>0</v>
      </c>
      <c r="T71" s="20" t="n">
        <f aca="false">T70-R71</f>
        <v>4000</v>
      </c>
      <c r="U71" s="20" t="n">
        <f aca="false">IF(D71=1,MAX(0,L71/(1+K71)^J71-(R71+S71)),0)</f>
        <v>0</v>
      </c>
      <c r="V71" s="20" t="n">
        <f aca="false">MIN(U71,W70)</f>
        <v>0</v>
      </c>
      <c r="W71" s="20" t="n">
        <f aca="false">W70-V71</f>
        <v>0</v>
      </c>
      <c r="X71" s="20" t="n">
        <f aca="false">R71+S71+V71</f>
        <v>0</v>
      </c>
    </row>
    <row r="72" customFormat="false" ht="15" hidden="false" customHeight="true" outlineLevel="0" collapsed="false">
      <c r="B72" s="20" t="n">
        <v>19</v>
      </c>
      <c r="C72" s="20" t="n">
        <f aca="false">IFERROR(MATCH(19,GL_Pos,0),0)</f>
        <v>0</v>
      </c>
      <c r="D72" s="20" t="n">
        <f aca="false">IF(C72&gt;0,1,0)</f>
        <v>0</v>
      </c>
      <c r="E72" s="20" t="str">
        <f aca="false">IF(D72=1,INDEX(GL_Key,C72),"")</f>
        <v/>
      </c>
      <c r="F72" s="20" t="str">
        <f aca="false">IF(D72=1,INDEX(GL_Kind,C72),"")</f>
        <v/>
      </c>
      <c r="G72" s="20" t="n">
        <f aca="false">IF(D72=1,INDEX(GL_Age,C72),0)</f>
        <v>0</v>
      </c>
      <c r="H72" s="20" t="n">
        <f aca="false">IF(D72=1,INDEX(GL_Amount,C72),0)</f>
        <v>0</v>
      </c>
      <c r="I72" s="20" t="n">
        <f aca="false">IF(D72=1,INDEX(GL_Saved,C72),0)</f>
        <v>0</v>
      </c>
      <c r="J72" s="20" t="n">
        <f aca="false">IF(D72=1,MAX(0,G72-F_Age),0)</f>
        <v>0</v>
      </c>
      <c r="K72" s="47" t="n">
        <f aca="false">IF(J72&gt;=AS_LongYrs,AS_Inv,AS_Cash)</f>
        <v>0.01</v>
      </c>
      <c r="L72" s="20" t="n">
        <f aca="false">IF(D72=1,IF(F72="mfree",IF(F_MortBal&gt;0,INDEX(Plan_mPath,MIN(J72+1,F_N)+1),H72*(1+AS_Infl)^J72),H72*(1+AS_Infl)^J72),0)</f>
        <v>0</v>
      </c>
      <c r="M72" s="20" t="n">
        <f aca="false">IF(OR(F72="spend",F72="mfree"),1,0)</f>
        <v>0</v>
      </c>
      <c r="N72" s="20" t="n">
        <f aca="false">IF(AND(F72="pot",E72&lt;&gt;"safety"),1,0)</f>
        <v>0</v>
      </c>
      <c r="O72" s="20" t="n">
        <f aca="false">IF(AND(F72="pot",E72="safety"),1,0)</f>
        <v>0</v>
      </c>
      <c r="P72" s="20" t="n">
        <f aca="false">IF(F72="mfree",1,0)</f>
        <v>0</v>
      </c>
      <c r="Q72" s="20" t="n">
        <f aca="false">IF(AND(D72=1,In_wiGoal&gt;0,C72=In_wiGoal),1,0)</f>
        <v>0</v>
      </c>
      <c r="R72" s="20" t="n">
        <f aca="false">IF(D72=1,MIN(I72,T71),0)</f>
        <v>0</v>
      </c>
      <c r="S72" s="20" t="n">
        <f aca="false">IF(AND(Q72=1,WI_Retire=0),WI_L,0)</f>
        <v>0</v>
      </c>
      <c r="T72" s="20" t="n">
        <f aca="false">T71-R72</f>
        <v>4000</v>
      </c>
      <c r="U72" s="20" t="n">
        <f aca="false">IF(D72=1,MAX(0,L72/(1+K72)^J72-(R72+S72)),0)</f>
        <v>0</v>
      </c>
      <c r="V72" s="20" t="n">
        <f aca="false">MIN(U72,W71)</f>
        <v>0</v>
      </c>
      <c r="W72" s="20" t="n">
        <f aca="false">W71-V72</f>
        <v>0</v>
      </c>
      <c r="X72" s="20" t="n">
        <f aca="false">R72+S72+V72</f>
        <v>0</v>
      </c>
    </row>
    <row r="73" customFormat="false" ht="15" hidden="false" customHeight="true" outlineLevel="0" collapsed="false">
      <c r="B73" s="20" t="n">
        <v>20</v>
      </c>
      <c r="C73" s="20" t="n">
        <f aca="false">IFERROR(MATCH(20,GL_Pos,0),0)</f>
        <v>0</v>
      </c>
      <c r="D73" s="20" t="n">
        <f aca="false">IF(C73&gt;0,1,0)</f>
        <v>0</v>
      </c>
      <c r="E73" s="20" t="str">
        <f aca="false">IF(D73=1,INDEX(GL_Key,C73),"")</f>
        <v/>
      </c>
      <c r="F73" s="20" t="str">
        <f aca="false">IF(D73=1,INDEX(GL_Kind,C73),"")</f>
        <v/>
      </c>
      <c r="G73" s="20" t="n">
        <f aca="false">IF(D73=1,INDEX(GL_Age,C73),0)</f>
        <v>0</v>
      </c>
      <c r="H73" s="20" t="n">
        <f aca="false">IF(D73=1,INDEX(GL_Amount,C73),0)</f>
        <v>0</v>
      </c>
      <c r="I73" s="20" t="n">
        <f aca="false">IF(D73=1,INDEX(GL_Saved,C73),0)</f>
        <v>0</v>
      </c>
      <c r="J73" s="20" t="n">
        <f aca="false">IF(D73=1,MAX(0,G73-F_Age),0)</f>
        <v>0</v>
      </c>
      <c r="K73" s="47" t="n">
        <f aca="false">IF(J73&gt;=AS_LongYrs,AS_Inv,AS_Cash)</f>
        <v>0.01</v>
      </c>
      <c r="L73" s="20" t="n">
        <f aca="false">IF(D73=1,IF(F73="mfree",IF(F_MortBal&gt;0,INDEX(Plan_mPath,MIN(J73+1,F_N)+1),H73*(1+AS_Infl)^J73),H73*(1+AS_Infl)^J73),0)</f>
        <v>0</v>
      </c>
      <c r="M73" s="20" t="n">
        <f aca="false">IF(OR(F73="spend",F73="mfree"),1,0)</f>
        <v>0</v>
      </c>
      <c r="N73" s="20" t="n">
        <f aca="false">IF(AND(F73="pot",E73&lt;&gt;"safety"),1,0)</f>
        <v>0</v>
      </c>
      <c r="O73" s="20" t="n">
        <f aca="false">IF(AND(F73="pot",E73="safety"),1,0)</f>
        <v>0</v>
      </c>
      <c r="P73" s="20" t="n">
        <f aca="false">IF(F73="mfree",1,0)</f>
        <v>0</v>
      </c>
      <c r="Q73" s="20" t="n">
        <f aca="false">IF(AND(D73=1,In_wiGoal&gt;0,C73=In_wiGoal),1,0)</f>
        <v>0</v>
      </c>
      <c r="R73" s="20" t="n">
        <f aca="false">IF(D73=1,MIN(I73,T72),0)</f>
        <v>0</v>
      </c>
      <c r="S73" s="20" t="n">
        <f aca="false">IF(AND(Q73=1,WI_Retire=0),WI_L,0)</f>
        <v>0</v>
      </c>
      <c r="T73" s="20" t="n">
        <f aca="false">T72-R73</f>
        <v>4000</v>
      </c>
      <c r="U73" s="20" t="n">
        <f aca="false">IF(D73=1,MAX(0,L73/(1+K73)^J73-(R73+S73)),0)</f>
        <v>0</v>
      </c>
      <c r="V73" s="20" t="n">
        <f aca="false">MIN(U73,W72)</f>
        <v>0</v>
      </c>
      <c r="W73" s="20" t="n">
        <f aca="false">W72-V73</f>
        <v>0</v>
      </c>
      <c r="X73" s="20" t="n">
        <f aca="false">R73+S73+V73</f>
        <v>0</v>
      </c>
    </row>
    <row r="75" customFormat="false" ht="15" hidden="false" customHeight="true" outlineLevel="0" collapsed="false">
      <c r="B75" s="20" t="s">
        <v>1657</v>
      </c>
      <c r="D75" s="36" t="n">
        <f aca="false">IF(SUM($O$54:$O$73)&gt;0,1,0)</f>
        <v>1</v>
      </c>
      <c r="E75" s="25"/>
    </row>
    <row r="76" customFormat="false" ht="15" hidden="false" customHeight="true" outlineLevel="0" collapsed="false">
      <c r="B76" s="20" t="s">
        <v>1658</v>
      </c>
      <c r="D76" s="36" t="n">
        <f aca="false">IF(HasSafety=1,0,MIN($T$73,AS_Months*F_EssM))</f>
        <v>0</v>
      </c>
      <c r="E76" s="25"/>
    </row>
    <row r="77" customFormat="false" ht="15" hidden="false" customHeight="true" outlineLevel="0" collapsed="false">
      <c r="B77" s="20" t="s">
        <v>1659</v>
      </c>
      <c r="D77" s="36" t="n">
        <f aca="false">$T$73-Init_Buf0+F_Invest</f>
        <v>10200</v>
      </c>
      <c r="E77" s="25"/>
    </row>
    <row r="78" customFormat="false" ht="15" hidden="false" customHeight="true" outlineLevel="0" collapsed="false">
      <c r="B78" s="20" t="s">
        <v>1660</v>
      </c>
      <c r="D78" s="36" t="n">
        <f aca="false">$W$73</f>
        <v>0</v>
      </c>
      <c r="E78" s="25"/>
    </row>
    <row r="79" customFormat="false" ht="15" hidden="false" customHeight="true" outlineLevel="0" collapsed="false">
      <c r="B79" s="20" t="s">
        <v>1661</v>
      </c>
      <c r="D79" s="36" t="n">
        <f aca="false">(1-AS_InvShare)*AS_Cash+AS_InvShare*AS_Inv</f>
        <v>0.0164</v>
      </c>
      <c r="E79" s="25"/>
    </row>
    <row r="80" customFormat="false" ht="15" hidden="false" customHeight="true" outlineLevel="0" collapsed="false">
      <c r="B80" s="20" t="s">
        <v>1662</v>
      </c>
      <c r="D80" s="36" t="n">
        <f aca="false">SUM($G$24:$G$45)</f>
        <v>4</v>
      </c>
      <c r="E80" s="25"/>
    </row>
    <row r="81" customFormat="false" ht="15" hidden="false" customHeight="true" outlineLevel="0" collapsed="false">
      <c r="B81" s="20" t="s">
        <v>1663</v>
      </c>
      <c r="D81" s="36" t="n">
        <f aca="false">IF(Slots_Funded&gt;20,1,0)</f>
        <v>0</v>
      </c>
      <c r="E81" s="25"/>
    </row>
    <row r="82" customFormat="false" ht="15" hidden="false" customHeight="true" outlineLevel="0" collapsed="false">
      <c r="B82" s="20" t="s">
        <v>1664</v>
      </c>
      <c r="D82" s="36" t="n">
        <f aca="false">COUNTIF(GL_Key,"?*")</f>
        <v>5</v>
      </c>
      <c r="E82" s="25"/>
    </row>
    <row r="83" customFormat="false" ht="15" hidden="false" customHeight="true" outlineLevel="0" collapsed="false">
      <c r="B83" s="20" t="s">
        <v>1665</v>
      </c>
      <c r="D83" s="36" t="str">
        <f aca="false">IF(Slots_TooMany=1,"TOO MANY GOALS: the app has no limit, but this workbook funds at most 20 goals from savings ("&amp;Slots_Funded&amp;" are set), so the goal results, savings left and the Results numbers are NOT complete. Remove goals to match the app.",IF(Goal_RowsUsed&gt;=22,"ALL 22 GOAL ROWS ARE USED: the app has no limit. If you have more goals than this, the extra ones are missing here and the results are not complete.",""))</f>
        <v/>
      </c>
      <c r="E83" s="25"/>
    </row>
    <row r="85" customFormat="false" ht="15" hidden="false" customHeight="true" outlineLevel="0" collapsed="false">
      <c r="B85" s="46" t="s">
        <v>1666</v>
      </c>
    </row>
    <row r="86" customFormat="false" ht="45.75" hidden="false" customHeight="true" outlineLevel="0" collapsed="false">
      <c r="B86" s="33" t="s">
        <v>1637</v>
      </c>
      <c r="C86" s="33" t="s">
        <v>1667</v>
      </c>
      <c r="D86" s="33" t="s">
        <v>1668</v>
      </c>
      <c r="E86" s="33" t="s">
        <v>1669</v>
      </c>
      <c r="F86" s="33" t="s">
        <v>1670</v>
      </c>
      <c r="G86" s="33" t="s">
        <v>1671</v>
      </c>
      <c r="H86" s="33" t="s">
        <v>1672</v>
      </c>
      <c r="I86" s="33" t="s">
        <v>1673</v>
      </c>
      <c r="J86" s="33" t="s">
        <v>1674</v>
      </c>
      <c r="K86" s="33" t="s">
        <v>1675</v>
      </c>
      <c r="L86" s="33" t="s">
        <v>1676</v>
      </c>
      <c r="M86" s="33" t="s">
        <v>1677</v>
      </c>
    </row>
    <row r="87" customFormat="false" ht="15" hidden="false" customHeight="true" outlineLevel="0" collapsed="false">
      <c r="B87" s="20" t="n">
        <v>1</v>
      </c>
      <c r="C87" s="20" t="n">
        <f aca="false">IF(Slot1_On=1,INDEX('Plan cashflow'!$AA$8:$AA$97,Slot1_Age-F_Age+1),0)</f>
        <v>15606</v>
      </c>
      <c r="D87" s="20" t="n">
        <f aca="false">Slot1_Cost</f>
        <v>15606</v>
      </c>
      <c r="E87" s="20" t="n">
        <f aca="false">IF(Slot1_On=1,IF(D87&gt;0,IF(C87&gt;=D87-1,100,MIN(PR_PctCap,MAX(0,INT(C87/D87*100)))),100),"")</f>
        <v>100</v>
      </c>
      <c r="F87" s="20" t="n">
        <f aca="false">IF(AND(Slot1_On=1,E87&lt;PR_Good),1,0)</f>
        <v>0</v>
      </c>
      <c r="G87" s="20" t="n">
        <f aca="false">INDEX('Plan cashflow'!$QP$8:$QP$97,1)</f>
        <v>48.7672296641426</v>
      </c>
      <c r="H87" s="20" t="n">
        <f aca="false">INDEX('Plan cashflow'!$QO$8:$QO$97,1)</f>
        <v>48.7672296641426</v>
      </c>
      <c r="I87" s="20" t="n">
        <f aca="false">SUMIFS('Plan cashflow'!$QN$8:$QN$97,'Plan cashflow'!$C$8:$C$97,1)</f>
        <v>98.0125694230313</v>
      </c>
      <c r="J87" s="20" t="n">
        <f aca="false">SUMIFS('Plan cashflow'!$W$8:$W$97,'Plan cashflow'!$C$8:$C$97,1)</f>
        <v>2</v>
      </c>
      <c r="K87" s="20" t="n">
        <f aca="false">ROUND(G87/12,0)</f>
        <v>4</v>
      </c>
      <c r="L87" s="20" t="n">
        <f aca="false">ROUND(H87/12,0)</f>
        <v>4</v>
      </c>
      <c r="M87" s="20" t="n">
        <f aca="false">IF(J87&gt;0,ROUND(I87/J87/12,0),0)</f>
        <v>4</v>
      </c>
    </row>
    <row r="88" customFormat="false" ht="15" hidden="false" customHeight="true" outlineLevel="0" collapsed="false">
      <c r="B88" s="20" t="n">
        <v>2</v>
      </c>
      <c r="C88" s="20" t="n">
        <f aca="false">IF(Slot2_On=1,INDEX('Plan cashflow'!$AL$8:$AL$97,Slot2_Age-F_Age+1),0)</f>
        <v>3643.1278565332</v>
      </c>
      <c r="D88" s="20" t="n">
        <f aca="false">Slot2_Cost</f>
        <v>12734.496</v>
      </c>
      <c r="E88" s="20" t="n">
        <f aca="false">IF(Slot2_On=1,IF(D88&gt;0,IF(C88&gt;=D88-1,100,MIN(PR_PctCap,MAX(0,INT(C88/D88*100)))),100),"")</f>
        <v>28</v>
      </c>
      <c r="F88" s="20" t="n">
        <f aca="false">IF(AND(Slot2_On=1,E88&lt;PR_Good),1,0)</f>
        <v>1</v>
      </c>
      <c r="G88" s="20" t="n">
        <f aca="false">INDEX('Plan cashflow'!$QT$8:$QT$97,1)</f>
        <v>4039.47453983537</v>
      </c>
      <c r="H88" s="20" t="n">
        <f aca="false">INDEX('Plan cashflow'!$QS$8:$QS$97,1)</f>
        <v>699.213042560381</v>
      </c>
      <c r="I88" s="20" t="n">
        <f aca="false">SUMIFS('Plan cashflow'!$QR$8:$QR$97,'Plan cashflow'!$C$8:$C$97,1)</f>
        <v>3492.57664551583</v>
      </c>
      <c r="J88" s="20" t="n">
        <f aca="false">SUMIFS('Plan cashflow'!$AH$8:$AH$97,'Plan cashflow'!$C$8:$C$97,1)</f>
        <v>3</v>
      </c>
      <c r="K88" s="20" t="n">
        <f aca="false">ROUND(G88/12,0)</f>
        <v>337</v>
      </c>
      <c r="L88" s="20" t="n">
        <f aca="false">ROUND(H88/12,0)</f>
        <v>58</v>
      </c>
      <c r="M88" s="20" t="n">
        <f aca="false">IF(J88&gt;0,ROUND(I88/J88/12,0),0)</f>
        <v>97</v>
      </c>
    </row>
    <row r="89" customFormat="false" ht="15" hidden="false" customHeight="true" outlineLevel="0" collapsed="false">
      <c r="B89" s="20" t="n">
        <v>3</v>
      </c>
      <c r="C89" s="20" t="n">
        <f aca="false">IF(Slot3_On=1,INDEX('Plan cashflow'!$AV$8:$AV$97,Slot3_Age-F_Age+1),0)</f>
        <v>30927.1211760735</v>
      </c>
      <c r="D89" s="20" t="n">
        <f aca="false">Slot3_Cost</f>
        <v>60949.7209997379</v>
      </c>
      <c r="E89" s="20" t="n">
        <f aca="false">IF(Slot3_On=1,IF(D89&gt;0,IF(C89&gt;=D89-1,100,MIN(PR_PctCap,MAX(0,INT(C89/D89*100)))),100),"")</f>
        <v>50</v>
      </c>
      <c r="F89" s="20" t="n">
        <f aca="false">IF(AND(Slot3_On=1,E89&lt;PR_Good),1,0)</f>
        <v>1</v>
      </c>
      <c r="G89" s="20" t="n">
        <f aca="false">INDEX('Plan cashflow'!$QX$8:$QX$97,1)</f>
        <v>4633.04590752452</v>
      </c>
      <c r="H89" s="20" t="n">
        <f aca="false">INDEX('Plan cashflow'!$QW$8:$QW$97,1)</f>
        <v>0</v>
      </c>
      <c r="I89" s="20" t="n">
        <f aca="false">SUMIFS('Plan cashflow'!$QV$8:$QV$97,'Plan cashflow'!$C$8:$C$97,1)</f>
        <v>24842.4988866021</v>
      </c>
      <c r="J89" s="20" t="n">
        <f aca="false">SUMIFS('Plan cashflow'!$AR$8:$AR$97,'Plan cashflow'!$C$8:$C$97,1)</f>
        <v>10</v>
      </c>
      <c r="K89" s="20" t="n">
        <f aca="false">ROUND(G89/12,0)</f>
        <v>386</v>
      </c>
      <c r="L89" s="20" t="n">
        <f aca="false">ROUND(H89/12,0)</f>
        <v>0</v>
      </c>
      <c r="M89" s="20" t="n">
        <f aca="false">IF(J89&gt;0,ROUND(I89/J89/12,0),0)</f>
        <v>207</v>
      </c>
    </row>
    <row r="90" customFormat="false" ht="15" hidden="false" customHeight="true" outlineLevel="0" collapsed="false">
      <c r="B90" s="20" t="n">
        <v>4</v>
      </c>
      <c r="C90" s="20" t="n">
        <f aca="false">IF(Slot4_On=1,INDEX('Plan cashflow'!$BF$8:$BF$97,Slot4_Age-F_Age+1),0)</f>
        <v>40019.8956528291</v>
      </c>
      <c r="D90" s="20" t="n">
        <f aca="false">Slot4_Cost</f>
        <v>40019.8956528291</v>
      </c>
      <c r="E90" s="20" t="n">
        <f aca="false">IF(Slot4_On=1,IF(D90&gt;0,IF(C90&gt;=D90-1,100,MIN(PR_PctCap,MAX(0,INT(C90/D90*100)))),100),"")</f>
        <v>100</v>
      </c>
      <c r="F90" s="20" t="n">
        <f aca="false">IF(AND(Slot4_On=1,E90&lt;PR_Good),1,0)</f>
        <v>0</v>
      </c>
      <c r="G90" s="20" t="n">
        <f aca="false">INDEX('Plan cashflow'!$RB$8:$RB$97,1)</f>
        <v>1474.7692869697</v>
      </c>
      <c r="H90" s="20" t="n">
        <f aca="false">INDEX('Plan cashflow'!$RA$8:$RA$97,1)</f>
        <v>0</v>
      </c>
      <c r="I90" s="20" t="n">
        <f aca="false">SUMIFS('Plan cashflow'!$QZ$8:$QZ$97,'Plan cashflow'!$C$8:$C$97,1)</f>
        <v>27922.4676773319</v>
      </c>
      <c r="J90" s="20" t="n">
        <f aca="false">SUMIFS('Plan cashflow'!$BB$8:$BB$97,'Plan cashflow'!$C$8:$C$97,1)</f>
        <v>17</v>
      </c>
      <c r="K90" s="20" t="n">
        <f aca="false">ROUND(G90/12,0)</f>
        <v>123</v>
      </c>
      <c r="L90" s="20" t="n">
        <f aca="false">ROUND(H90/12,0)</f>
        <v>0</v>
      </c>
      <c r="M90" s="20" t="n">
        <f aca="false">IF(J90&gt;0,ROUND(I90/J90/12,0),0)</f>
        <v>137</v>
      </c>
    </row>
    <row r="91" customFormat="false" ht="15" hidden="false" customHeight="true" outlineLevel="0" collapsed="false">
      <c r="B91" s="20" t="n">
        <v>5</v>
      </c>
      <c r="C91" s="20" t="n">
        <f aca="false">IF(Slot5_On=1,INDEX('Plan cashflow'!$BP$8:$BP$97,Slot5_Age-F_Age+1),0)</f>
        <v>0</v>
      </c>
      <c r="D91" s="20" t="n">
        <f aca="false">Slot5_Cost</f>
        <v>0</v>
      </c>
      <c r="E91" s="20" t="str">
        <f aca="false">IF(Slot5_On=1,IF(D91&gt;0,IF(C91&gt;=D91-1,100,MIN(PR_PctCap,MAX(0,INT(C91/D91*100)))),100),"")</f>
        <v/>
      </c>
      <c r="F91" s="20" t="n">
        <f aca="false">IF(AND(Slot5_On=1,E91&lt;PR_Good),1,0)</f>
        <v>0</v>
      </c>
      <c r="G91" s="20" t="n">
        <f aca="false">INDEX('Plan cashflow'!$RF$8:$RF$97,1)</f>
        <v>0</v>
      </c>
      <c r="H91" s="20" t="n">
        <f aca="false">INDEX('Plan cashflow'!$RE$8:$RE$97,1)</f>
        <v>0</v>
      </c>
      <c r="I91" s="20" t="n">
        <f aca="false">SUMIFS('Plan cashflow'!$RD$8:$RD$97,'Plan cashflow'!$C$8:$C$97,1)</f>
        <v>0</v>
      </c>
      <c r="J91" s="20" t="n">
        <f aca="false">SUMIFS('Plan cashflow'!$BL$8:$BL$97,'Plan cashflow'!$C$8:$C$97,1)</f>
        <v>0</v>
      </c>
      <c r="K91" s="20" t="n">
        <f aca="false">ROUND(G91/12,0)</f>
        <v>0</v>
      </c>
      <c r="L91" s="20" t="n">
        <f aca="false">ROUND(H91/12,0)</f>
        <v>0</v>
      </c>
      <c r="M91" s="20" t="n">
        <f aca="false">IF(J91&gt;0,ROUND(I91/J91/12,0),0)</f>
        <v>0</v>
      </c>
    </row>
    <row r="92" customFormat="false" ht="15" hidden="false" customHeight="true" outlineLevel="0" collapsed="false">
      <c r="B92" s="20" t="n">
        <v>6</v>
      </c>
      <c r="C92" s="20" t="n">
        <f aca="false">IF(Slot6_On=1,INDEX('Plan cashflow'!$BZ$8:$BZ$97,Slot6_Age-F_Age+1),0)</f>
        <v>0</v>
      </c>
      <c r="D92" s="20" t="n">
        <f aca="false">Slot6_Cost</f>
        <v>0</v>
      </c>
      <c r="E92" s="20" t="str">
        <f aca="false">IF(Slot6_On=1,IF(D92&gt;0,IF(C92&gt;=D92-1,100,MIN(PR_PctCap,MAX(0,INT(C92/D92*100)))),100),"")</f>
        <v/>
      </c>
      <c r="F92" s="20" t="n">
        <f aca="false">IF(AND(Slot6_On=1,E92&lt;PR_Good),1,0)</f>
        <v>0</v>
      </c>
      <c r="G92" s="20" t="n">
        <f aca="false">INDEX('Plan cashflow'!$RJ$8:$RJ$97,1)</f>
        <v>0</v>
      </c>
      <c r="H92" s="20" t="n">
        <f aca="false">INDEX('Plan cashflow'!$RI$8:$RI$97,1)</f>
        <v>0</v>
      </c>
      <c r="I92" s="20" t="n">
        <f aca="false">SUMIFS('Plan cashflow'!$RH$8:$RH$97,'Plan cashflow'!$C$8:$C$97,1)</f>
        <v>0</v>
      </c>
      <c r="J92" s="20" t="n">
        <f aca="false">SUMIFS('Plan cashflow'!$BV$8:$BV$97,'Plan cashflow'!$C$8:$C$97,1)</f>
        <v>0</v>
      </c>
      <c r="K92" s="20" t="n">
        <f aca="false">ROUND(G92/12,0)</f>
        <v>0</v>
      </c>
      <c r="L92" s="20" t="n">
        <f aca="false">ROUND(H92/12,0)</f>
        <v>0</v>
      </c>
      <c r="M92" s="20" t="n">
        <f aca="false">IF(J92&gt;0,ROUND(I92/J92/12,0),0)</f>
        <v>0</v>
      </c>
    </row>
    <row r="93" customFormat="false" ht="15" hidden="false" customHeight="true" outlineLevel="0" collapsed="false">
      <c r="B93" s="20" t="n">
        <v>7</v>
      </c>
      <c r="C93" s="20" t="n">
        <f aca="false">IF(Slot7_On=1,INDEX('Plan cashflow'!$CJ$8:$CJ$97,Slot7_Age-F_Age+1),0)</f>
        <v>0</v>
      </c>
      <c r="D93" s="20" t="n">
        <f aca="false">Slot7_Cost</f>
        <v>0</v>
      </c>
      <c r="E93" s="20" t="str">
        <f aca="false">IF(Slot7_On=1,IF(D93&gt;0,IF(C93&gt;=D93-1,100,MIN(PR_PctCap,MAX(0,INT(C93/D93*100)))),100),"")</f>
        <v/>
      </c>
      <c r="F93" s="20" t="n">
        <f aca="false">IF(AND(Slot7_On=1,E93&lt;PR_Good),1,0)</f>
        <v>0</v>
      </c>
      <c r="G93" s="20" t="n">
        <f aca="false">INDEX('Plan cashflow'!$RN$8:$RN$97,1)</f>
        <v>0</v>
      </c>
      <c r="H93" s="20" t="n">
        <f aca="false">INDEX('Plan cashflow'!$RM$8:$RM$97,1)</f>
        <v>0</v>
      </c>
      <c r="I93" s="20" t="n">
        <f aca="false">SUMIFS('Plan cashflow'!$RL$8:$RL$97,'Plan cashflow'!$C$8:$C$97,1)</f>
        <v>0</v>
      </c>
      <c r="J93" s="20" t="n">
        <f aca="false">SUMIFS('Plan cashflow'!$CF$8:$CF$97,'Plan cashflow'!$C$8:$C$97,1)</f>
        <v>0</v>
      </c>
      <c r="K93" s="20" t="n">
        <f aca="false">ROUND(G93/12,0)</f>
        <v>0</v>
      </c>
      <c r="L93" s="20" t="n">
        <f aca="false">ROUND(H93/12,0)</f>
        <v>0</v>
      </c>
      <c r="M93" s="20" t="n">
        <f aca="false">IF(J93&gt;0,ROUND(I93/J93/12,0),0)</f>
        <v>0</v>
      </c>
    </row>
    <row r="94" customFormat="false" ht="15" hidden="false" customHeight="true" outlineLevel="0" collapsed="false">
      <c r="B94" s="20" t="n">
        <v>8</v>
      </c>
      <c r="C94" s="20" t="n">
        <f aca="false">IF(Slot8_On=1,INDEX('Plan cashflow'!$CT$8:$CT$97,Slot8_Age-F_Age+1),0)</f>
        <v>0</v>
      </c>
      <c r="D94" s="20" t="n">
        <f aca="false">Slot8_Cost</f>
        <v>0</v>
      </c>
      <c r="E94" s="20" t="str">
        <f aca="false">IF(Slot8_On=1,IF(D94&gt;0,IF(C94&gt;=D94-1,100,MIN(PR_PctCap,MAX(0,INT(C94/D94*100)))),100),"")</f>
        <v/>
      </c>
      <c r="F94" s="20" t="n">
        <f aca="false">IF(AND(Slot8_On=1,E94&lt;PR_Good),1,0)</f>
        <v>0</v>
      </c>
      <c r="G94" s="20" t="n">
        <f aca="false">INDEX('Plan cashflow'!$RR$8:$RR$97,1)</f>
        <v>0</v>
      </c>
      <c r="H94" s="20" t="n">
        <f aca="false">INDEX('Plan cashflow'!$RQ$8:$RQ$97,1)</f>
        <v>0</v>
      </c>
      <c r="I94" s="20" t="n">
        <f aca="false">SUMIFS('Plan cashflow'!$RP$8:$RP$97,'Plan cashflow'!$C$8:$C$97,1)</f>
        <v>0</v>
      </c>
      <c r="J94" s="20" t="n">
        <f aca="false">SUMIFS('Plan cashflow'!$CP$8:$CP$97,'Plan cashflow'!$C$8:$C$97,1)</f>
        <v>0</v>
      </c>
      <c r="K94" s="20" t="n">
        <f aca="false">ROUND(G94/12,0)</f>
        <v>0</v>
      </c>
      <c r="L94" s="20" t="n">
        <f aca="false">ROUND(H94/12,0)</f>
        <v>0</v>
      </c>
      <c r="M94" s="20" t="n">
        <f aca="false">IF(J94&gt;0,ROUND(I94/J94/12,0),0)</f>
        <v>0</v>
      </c>
    </row>
    <row r="95" customFormat="false" ht="15" hidden="false" customHeight="true" outlineLevel="0" collapsed="false">
      <c r="B95" s="20" t="n">
        <v>9</v>
      </c>
      <c r="C95" s="20" t="n">
        <f aca="false">IF(Slot9_On=1,INDEX('Plan cashflow'!$DD$8:$DD$97,Slot9_Age-F_Age+1),0)</f>
        <v>0</v>
      </c>
      <c r="D95" s="20" t="n">
        <f aca="false">Slot9_Cost</f>
        <v>0</v>
      </c>
      <c r="E95" s="20" t="str">
        <f aca="false">IF(Slot9_On=1,IF(D95&gt;0,IF(C95&gt;=D95-1,100,MIN(PR_PctCap,MAX(0,INT(C95/D95*100)))),100),"")</f>
        <v/>
      </c>
      <c r="F95" s="20" t="n">
        <f aca="false">IF(AND(Slot9_On=1,E95&lt;PR_Good),1,0)</f>
        <v>0</v>
      </c>
      <c r="G95" s="20" t="n">
        <f aca="false">INDEX('Plan cashflow'!$RV$8:$RV$97,1)</f>
        <v>0</v>
      </c>
      <c r="H95" s="20" t="n">
        <f aca="false">INDEX('Plan cashflow'!$RU$8:$RU$97,1)</f>
        <v>0</v>
      </c>
      <c r="I95" s="20" t="n">
        <f aca="false">SUMIFS('Plan cashflow'!$RT$8:$RT$97,'Plan cashflow'!$C$8:$C$97,1)</f>
        <v>0</v>
      </c>
      <c r="J95" s="20" t="n">
        <f aca="false">SUMIFS('Plan cashflow'!$CZ$8:$CZ$97,'Plan cashflow'!$C$8:$C$97,1)</f>
        <v>0</v>
      </c>
      <c r="K95" s="20" t="n">
        <f aca="false">ROUND(G95/12,0)</f>
        <v>0</v>
      </c>
      <c r="L95" s="20" t="n">
        <f aca="false">ROUND(H95/12,0)</f>
        <v>0</v>
      </c>
      <c r="M95" s="20" t="n">
        <f aca="false">IF(J95&gt;0,ROUND(I95/J95/12,0),0)</f>
        <v>0</v>
      </c>
    </row>
    <row r="96" customFormat="false" ht="15" hidden="false" customHeight="true" outlineLevel="0" collapsed="false">
      <c r="B96" s="20" t="n">
        <v>10</v>
      </c>
      <c r="C96" s="20" t="n">
        <f aca="false">IF(Slot10_On=1,INDEX('Plan cashflow'!$DN$8:$DN$97,Slot10_Age-F_Age+1),0)</f>
        <v>0</v>
      </c>
      <c r="D96" s="20" t="n">
        <f aca="false">Slot10_Cost</f>
        <v>0</v>
      </c>
      <c r="E96" s="20" t="str">
        <f aca="false">IF(Slot10_On=1,IF(D96&gt;0,IF(C96&gt;=D96-1,100,MIN(PR_PctCap,MAX(0,INT(C96/D96*100)))),100),"")</f>
        <v/>
      </c>
      <c r="F96" s="20" t="n">
        <f aca="false">IF(AND(Slot10_On=1,E96&lt;PR_Good),1,0)</f>
        <v>0</v>
      </c>
      <c r="G96" s="20" t="n">
        <f aca="false">INDEX('Plan cashflow'!$RZ$8:$RZ$97,1)</f>
        <v>0</v>
      </c>
      <c r="H96" s="20" t="n">
        <f aca="false">INDEX('Plan cashflow'!$RY$8:$RY$97,1)</f>
        <v>0</v>
      </c>
      <c r="I96" s="20" t="n">
        <f aca="false">SUMIFS('Plan cashflow'!$RX$8:$RX$97,'Plan cashflow'!$C$8:$C$97,1)</f>
        <v>0</v>
      </c>
      <c r="J96" s="20" t="n">
        <f aca="false">SUMIFS('Plan cashflow'!$DJ$8:$DJ$97,'Plan cashflow'!$C$8:$C$97,1)</f>
        <v>0</v>
      </c>
      <c r="K96" s="20" t="n">
        <f aca="false">ROUND(G96/12,0)</f>
        <v>0</v>
      </c>
      <c r="L96" s="20" t="n">
        <f aca="false">ROUND(H96/12,0)</f>
        <v>0</v>
      </c>
      <c r="M96" s="20" t="n">
        <f aca="false">IF(J96&gt;0,ROUND(I96/J96/12,0),0)</f>
        <v>0</v>
      </c>
    </row>
    <row r="97" customFormat="false" ht="15" hidden="false" customHeight="true" outlineLevel="0" collapsed="false">
      <c r="B97" s="20" t="n">
        <v>11</v>
      </c>
      <c r="C97" s="20" t="n">
        <f aca="false">IF(Slot11_On=1,INDEX('Plan cashflow'!$DX$8:$DX$97,Slot11_Age-F_Age+1),0)</f>
        <v>0</v>
      </c>
      <c r="D97" s="20" t="n">
        <f aca="false">Slot11_Cost</f>
        <v>0</v>
      </c>
      <c r="E97" s="20" t="str">
        <f aca="false">IF(Slot11_On=1,IF(D97&gt;0,IF(C97&gt;=D97-1,100,MIN(PR_PctCap,MAX(0,INT(C97/D97*100)))),100),"")</f>
        <v/>
      </c>
      <c r="F97" s="20" t="n">
        <f aca="false">IF(AND(Slot11_On=1,E97&lt;PR_Good),1,0)</f>
        <v>0</v>
      </c>
      <c r="G97" s="20" t="n">
        <f aca="false">INDEX('Plan cashflow'!$SD$8:$SD$97,1)</f>
        <v>0</v>
      </c>
      <c r="H97" s="20" t="n">
        <f aca="false">INDEX('Plan cashflow'!$SC$8:$SC$97,1)</f>
        <v>0</v>
      </c>
      <c r="I97" s="20" t="n">
        <f aca="false">SUMIFS('Plan cashflow'!$SB$8:$SB$97,'Plan cashflow'!$C$8:$C$97,1)</f>
        <v>0</v>
      </c>
      <c r="J97" s="20" t="n">
        <f aca="false">SUMIFS('Plan cashflow'!$DT$8:$DT$97,'Plan cashflow'!$C$8:$C$97,1)</f>
        <v>0</v>
      </c>
      <c r="K97" s="20" t="n">
        <f aca="false">ROUND(G97/12,0)</f>
        <v>0</v>
      </c>
      <c r="L97" s="20" t="n">
        <f aca="false">ROUND(H97/12,0)</f>
        <v>0</v>
      </c>
      <c r="M97" s="20" t="n">
        <f aca="false">IF(J97&gt;0,ROUND(I97/J97/12,0),0)</f>
        <v>0</v>
      </c>
    </row>
    <row r="98" customFormat="false" ht="15" hidden="false" customHeight="true" outlineLevel="0" collapsed="false">
      <c r="B98" s="20" t="n">
        <v>12</v>
      </c>
      <c r="C98" s="20" t="n">
        <f aca="false">IF(Slot12_On=1,INDEX('Plan cashflow'!$EH$8:$EH$97,Slot12_Age-F_Age+1),0)</f>
        <v>0</v>
      </c>
      <c r="D98" s="20" t="n">
        <f aca="false">Slot12_Cost</f>
        <v>0</v>
      </c>
      <c r="E98" s="20" t="str">
        <f aca="false">IF(Slot12_On=1,IF(D98&gt;0,IF(C98&gt;=D98-1,100,MIN(PR_PctCap,MAX(0,INT(C98/D98*100)))),100),"")</f>
        <v/>
      </c>
      <c r="F98" s="20" t="n">
        <f aca="false">IF(AND(Slot12_On=1,E98&lt;PR_Good),1,0)</f>
        <v>0</v>
      </c>
      <c r="G98" s="20" t="n">
        <f aca="false">INDEX('Plan cashflow'!$SH$8:$SH$97,1)</f>
        <v>0</v>
      </c>
      <c r="H98" s="20" t="n">
        <f aca="false">INDEX('Plan cashflow'!$SG$8:$SG$97,1)</f>
        <v>0</v>
      </c>
      <c r="I98" s="20" t="n">
        <f aca="false">SUMIFS('Plan cashflow'!$SF$8:$SF$97,'Plan cashflow'!$C$8:$C$97,1)</f>
        <v>0</v>
      </c>
      <c r="J98" s="20" t="n">
        <f aca="false">SUMIFS('Plan cashflow'!$ED$8:$ED$97,'Plan cashflow'!$C$8:$C$97,1)</f>
        <v>0</v>
      </c>
      <c r="K98" s="20" t="n">
        <f aca="false">ROUND(G98/12,0)</f>
        <v>0</v>
      </c>
      <c r="L98" s="20" t="n">
        <f aca="false">ROUND(H98/12,0)</f>
        <v>0</v>
      </c>
      <c r="M98" s="20" t="n">
        <f aca="false">IF(J98&gt;0,ROUND(I98/J98/12,0),0)</f>
        <v>0</v>
      </c>
    </row>
    <row r="99" customFormat="false" ht="15" hidden="false" customHeight="true" outlineLevel="0" collapsed="false">
      <c r="B99" s="20" t="n">
        <v>13</v>
      </c>
      <c r="C99" s="20" t="n">
        <f aca="false">IF(Slot13_On=1,INDEX('Plan cashflow'!$ER$8:$ER$97,Slot13_Age-F_Age+1),0)</f>
        <v>0</v>
      </c>
      <c r="D99" s="20" t="n">
        <f aca="false">Slot13_Cost</f>
        <v>0</v>
      </c>
      <c r="E99" s="20" t="str">
        <f aca="false">IF(Slot13_On=1,IF(D99&gt;0,IF(C99&gt;=D99-1,100,MIN(PR_PctCap,MAX(0,INT(C99/D99*100)))),100),"")</f>
        <v/>
      </c>
      <c r="F99" s="20" t="n">
        <f aca="false">IF(AND(Slot13_On=1,E99&lt;PR_Good),1,0)</f>
        <v>0</v>
      </c>
      <c r="G99" s="20" t="n">
        <f aca="false">INDEX('Plan cashflow'!$SL$8:$SL$97,1)</f>
        <v>0</v>
      </c>
      <c r="H99" s="20" t="n">
        <f aca="false">INDEX('Plan cashflow'!$SK$8:$SK$97,1)</f>
        <v>0</v>
      </c>
      <c r="I99" s="20" t="n">
        <f aca="false">SUMIFS('Plan cashflow'!$SJ$8:$SJ$97,'Plan cashflow'!$C$8:$C$97,1)</f>
        <v>0</v>
      </c>
      <c r="J99" s="20" t="n">
        <f aca="false">SUMIFS('Plan cashflow'!$EN$8:$EN$97,'Plan cashflow'!$C$8:$C$97,1)</f>
        <v>0</v>
      </c>
      <c r="K99" s="20" t="n">
        <f aca="false">ROUND(G99/12,0)</f>
        <v>0</v>
      </c>
      <c r="L99" s="20" t="n">
        <f aca="false">ROUND(H99/12,0)</f>
        <v>0</v>
      </c>
      <c r="M99" s="20" t="n">
        <f aca="false">IF(J99&gt;0,ROUND(I99/J99/12,0),0)</f>
        <v>0</v>
      </c>
    </row>
    <row r="100" customFormat="false" ht="15" hidden="false" customHeight="true" outlineLevel="0" collapsed="false">
      <c r="B100" s="20" t="n">
        <v>14</v>
      </c>
      <c r="C100" s="20" t="n">
        <f aca="false">IF(Slot14_On=1,INDEX('Plan cashflow'!$FB$8:$FB$97,Slot14_Age-F_Age+1),0)</f>
        <v>0</v>
      </c>
      <c r="D100" s="20" t="n">
        <f aca="false">Slot14_Cost</f>
        <v>0</v>
      </c>
      <c r="E100" s="20" t="str">
        <f aca="false">IF(Slot14_On=1,IF(D100&gt;0,IF(C100&gt;=D100-1,100,MIN(PR_PctCap,MAX(0,INT(C100/D100*100)))),100),"")</f>
        <v/>
      </c>
      <c r="F100" s="20" t="n">
        <f aca="false">IF(AND(Slot14_On=1,E100&lt;PR_Good),1,0)</f>
        <v>0</v>
      </c>
      <c r="G100" s="20" t="n">
        <f aca="false">INDEX('Plan cashflow'!$SP$8:$SP$97,1)</f>
        <v>0</v>
      </c>
      <c r="H100" s="20" t="n">
        <f aca="false">INDEX('Plan cashflow'!$SO$8:$SO$97,1)</f>
        <v>0</v>
      </c>
      <c r="I100" s="20" t="n">
        <f aca="false">SUMIFS('Plan cashflow'!$SN$8:$SN$97,'Plan cashflow'!$C$8:$C$97,1)</f>
        <v>0</v>
      </c>
      <c r="J100" s="20" t="n">
        <f aca="false">SUMIFS('Plan cashflow'!$EX$8:$EX$97,'Plan cashflow'!$C$8:$C$97,1)</f>
        <v>0</v>
      </c>
      <c r="K100" s="20" t="n">
        <f aca="false">ROUND(G100/12,0)</f>
        <v>0</v>
      </c>
      <c r="L100" s="20" t="n">
        <f aca="false">ROUND(H100/12,0)</f>
        <v>0</v>
      </c>
      <c r="M100" s="20" t="n">
        <f aca="false">IF(J100&gt;0,ROUND(I100/J100/12,0),0)</f>
        <v>0</v>
      </c>
    </row>
    <row r="101" customFormat="false" ht="15" hidden="false" customHeight="true" outlineLevel="0" collapsed="false">
      <c r="B101" s="20" t="n">
        <v>15</v>
      </c>
      <c r="C101" s="20" t="n">
        <f aca="false">IF(Slot15_On=1,INDEX('Plan cashflow'!$FL$8:$FL$97,Slot15_Age-F_Age+1),0)</f>
        <v>0</v>
      </c>
      <c r="D101" s="20" t="n">
        <f aca="false">Slot15_Cost</f>
        <v>0</v>
      </c>
      <c r="E101" s="20" t="str">
        <f aca="false">IF(Slot15_On=1,IF(D101&gt;0,IF(C101&gt;=D101-1,100,MIN(PR_PctCap,MAX(0,INT(C101/D101*100)))),100),"")</f>
        <v/>
      </c>
      <c r="F101" s="20" t="n">
        <f aca="false">IF(AND(Slot15_On=1,E101&lt;PR_Good),1,0)</f>
        <v>0</v>
      </c>
      <c r="G101" s="20" t="n">
        <f aca="false">INDEX('Plan cashflow'!$ST$8:$ST$97,1)</f>
        <v>0</v>
      </c>
      <c r="H101" s="20" t="n">
        <f aca="false">INDEX('Plan cashflow'!$SS$8:$SS$97,1)</f>
        <v>0</v>
      </c>
      <c r="I101" s="20" t="n">
        <f aca="false">SUMIFS('Plan cashflow'!$SR$8:$SR$97,'Plan cashflow'!$C$8:$C$97,1)</f>
        <v>0</v>
      </c>
      <c r="J101" s="20" t="n">
        <f aca="false">SUMIFS('Plan cashflow'!$FH$8:$FH$97,'Plan cashflow'!$C$8:$C$97,1)</f>
        <v>0</v>
      </c>
      <c r="K101" s="20" t="n">
        <f aca="false">ROUND(G101/12,0)</f>
        <v>0</v>
      </c>
      <c r="L101" s="20" t="n">
        <f aca="false">ROUND(H101/12,0)</f>
        <v>0</v>
      </c>
      <c r="M101" s="20" t="n">
        <f aca="false">IF(J101&gt;0,ROUND(I101/J101/12,0),0)</f>
        <v>0</v>
      </c>
    </row>
    <row r="102" customFormat="false" ht="15" hidden="false" customHeight="true" outlineLevel="0" collapsed="false">
      <c r="B102" s="20" t="n">
        <v>16</v>
      </c>
      <c r="C102" s="20" t="n">
        <f aca="false">IF(Slot16_On=1,INDEX('Plan cashflow'!$FV$8:$FV$97,Slot16_Age-F_Age+1),0)</f>
        <v>0</v>
      </c>
      <c r="D102" s="20" t="n">
        <f aca="false">Slot16_Cost</f>
        <v>0</v>
      </c>
      <c r="E102" s="20" t="str">
        <f aca="false">IF(Slot16_On=1,IF(D102&gt;0,IF(C102&gt;=D102-1,100,MIN(PR_PctCap,MAX(0,INT(C102/D102*100)))),100),"")</f>
        <v/>
      </c>
      <c r="F102" s="20" t="n">
        <f aca="false">IF(AND(Slot16_On=1,E102&lt;PR_Good),1,0)</f>
        <v>0</v>
      </c>
      <c r="G102" s="20" t="n">
        <f aca="false">INDEX('Plan cashflow'!$SX$8:$SX$97,1)</f>
        <v>0</v>
      </c>
      <c r="H102" s="20" t="n">
        <f aca="false">INDEX('Plan cashflow'!$SW$8:$SW$97,1)</f>
        <v>0</v>
      </c>
      <c r="I102" s="20" t="n">
        <f aca="false">SUMIFS('Plan cashflow'!$SV$8:$SV$97,'Plan cashflow'!$C$8:$C$97,1)</f>
        <v>0</v>
      </c>
      <c r="J102" s="20" t="n">
        <f aca="false">SUMIFS('Plan cashflow'!$FR$8:$FR$97,'Plan cashflow'!$C$8:$C$97,1)</f>
        <v>0</v>
      </c>
      <c r="K102" s="20" t="n">
        <f aca="false">ROUND(G102/12,0)</f>
        <v>0</v>
      </c>
      <c r="L102" s="20" t="n">
        <f aca="false">ROUND(H102/12,0)</f>
        <v>0</v>
      </c>
      <c r="M102" s="20" t="n">
        <f aca="false">IF(J102&gt;0,ROUND(I102/J102/12,0),0)</f>
        <v>0</v>
      </c>
    </row>
    <row r="103" customFormat="false" ht="15" hidden="false" customHeight="true" outlineLevel="0" collapsed="false">
      <c r="B103" s="20" t="n">
        <v>17</v>
      </c>
      <c r="C103" s="20" t="n">
        <f aca="false">IF(Slot17_On=1,INDEX('Plan cashflow'!$GF$8:$GF$97,Slot17_Age-F_Age+1),0)</f>
        <v>0</v>
      </c>
      <c r="D103" s="20" t="n">
        <f aca="false">Slot17_Cost</f>
        <v>0</v>
      </c>
      <c r="E103" s="20" t="str">
        <f aca="false">IF(Slot17_On=1,IF(D103&gt;0,IF(C103&gt;=D103-1,100,MIN(PR_PctCap,MAX(0,INT(C103/D103*100)))),100),"")</f>
        <v/>
      </c>
      <c r="F103" s="20" t="n">
        <f aca="false">IF(AND(Slot17_On=1,E103&lt;PR_Good),1,0)</f>
        <v>0</v>
      </c>
      <c r="G103" s="20" t="n">
        <f aca="false">INDEX('Plan cashflow'!$TB$8:$TB$97,1)</f>
        <v>0</v>
      </c>
      <c r="H103" s="20" t="n">
        <f aca="false">INDEX('Plan cashflow'!$TA$8:$TA$97,1)</f>
        <v>0</v>
      </c>
      <c r="I103" s="20" t="n">
        <f aca="false">SUMIFS('Plan cashflow'!$SZ$8:$SZ$97,'Plan cashflow'!$C$8:$C$97,1)</f>
        <v>0</v>
      </c>
      <c r="J103" s="20" t="n">
        <f aca="false">SUMIFS('Plan cashflow'!$GB$8:$GB$97,'Plan cashflow'!$C$8:$C$97,1)</f>
        <v>0</v>
      </c>
      <c r="K103" s="20" t="n">
        <f aca="false">ROUND(G103/12,0)</f>
        <v>0</v>
      </c>
      <c r="L103" s="20" t="n">
        <f aca="false">ROUND(H103/12,0)</f>
        <v>0</v>
      </c>
      <c r="M103" s="20" t="n">
        <f aca="false">IF(J103&gt;0,ROUND(I103/J103/12,0),0)</f>
        <v>0</v>
      </c>
    </row>
    <row r="104" customFormat="false" ht="15" hidden="false" customHeight="true" outlineLevel="0" collapsed="false">
      <c r="B104" s="20" t="n">
        <v>18</v>
      </c>
      <c r="C104" s="20" t="n">
        <f aca="false">IF(Slot18_On=1,INDEX('Plan cashflow'!$GP$8:$GP$97,Slot18_Age-F_Age+1),0)</f>
        <v>0</v>
      </c>
      <c r="D104" s="20" t="n">
        <f aca="false">Slot18_Cost</f>
        <v>0</v>
      </c>
      <c r="E104" s="20" t="str">
        <f aca="false">IF(Slot18_On=1,IF(D104&gt;0,IF(C104&gt;=D104-1,100,MIN(PR_PctCap,MAX(0,INT(C104/D104*100)))),100),"")</f>
        <v/>
      </c>
      <c r="F104" s="20" t="n">
        <f aca="false">IF(AND(Slot18_On=1,E104&lt;PR_Good),1,0)</f>
        <v>0</v>
      </c>
      <c r="G104" s="20" t="n">
        <f aca="false">INDEX('Plan cashflow'!$TF$8:$TF$97,1)</f>
        <v>0</v>
      </c>
      <c r="H104" s="20" t="n">
        <f aca="false">INDEX('Plan cashflow'!$TE$8:$TE$97,1)</f>
        <v>0</v>
      </c>
      <c r="I104" s="20" t="n">
        <f aca="false">SUMIFS('Plan cashflow'!$TD$8:$TD$97,'Plan cashflow'!$C$8:$C$97,1)</f>
        <v>0</v>
      </c>
      <c r="J104" s="20" t="n">
        <f aca="false">SUMIFS('Plan cashflow'!$GL$8:$GL$97,'Plan cashflow'!$C$8:$C$97,1)</f>
        <v>0</v>
      </c>
      <c r="K104" s="20" t="n">
        <f aca="false">ROUND(G104/12,0)</f>
        <v>0</v>
      </c>
      <c r="L104" s="20" t="n">
        <f aca="false">ROUND(H104/12,0)</f>
        <v>0</v>
      </c>
      <c r="M104" s="20" t="n">
        <f aca="false">IF(J104&gt;0,ROUND(I104/J104/12,0),0)</f>
        <v>0</v>
      </c>
    </row>
    <row r="105" customFormat="false" ht="15" hidden="false" customHeight="true" outlineLevel="0" collapsed="false">
      <c r="B105" s="20" t="n">
        <v>19</v>
      </c>
      <c r="C105" s="20" t="n">
        <f aca="false">IF(Slot19_On=1,INDEX('Plan cashflow'!$GZ$8:$GZ$97,Slot19_Age-F_Age+1),0)</f>
        <v>0</v>
      </c>
      <c r="D105" s="20" t="n">
        <f aca="false">Slot19_Cost</f>
        <v>0</v>
      </c>
      <c r="E105" s="20" t="str">
        <f aca="false">IF(Slot19_On=1,IF(D105&gt;0,IF(C105&gt;=D105-1,100,MIN(PR_PctCap,MAX(0,INT(C105/D105*100)))),100),"")</f>
        <v/>
      </c>
      <c r="F105" s="20" t="n">
        <f aca="false">IF(AND(Slot19_On=1,E105&lt;PR_Good),1,0)</f>
        <v>0</v>
      </c>
      <c r="G105" s="20" t="n">
        <f aca="false">INDEX('Plan cashflow'!$TJ$8:$TJ$97,1)</f>
        <v>0</v>
      </c>
      <c r="H105" s="20" t="n">
        <f aca="false">INDEX('Plan cashflow'!$TI$8:$TI$97,1)</f>
        <v>0</v>
      </c>
      <c r="I105" s="20" t="n">
        <f aca="false">SUMIFS('Plan cashflow'!$TH$8:$TH$97,'Plan cashflow'!$C$8:$C$97,1)</f>
        <v>0</v>
      </c>
      <c r="J105" s="20" t="n">
        <f aca="false">SUMIFS('Plan cashflow'!$GV$8:$GV$97,'Plan cashflow'!$C$8:$C$97,1)</f>
        <v>0</v>
      </c>
      <c r="K105" s="20" t="n">
        <f aca="false">ROUND(G105/12,0)</f>
        <v>0</v>
      </c>
      <c r="L105" s="20" t="n">
        <f aca="false">ROUND(H105/12,0)</f>
        <v>0</v>
      </c>
      <c r="M105" s="20" t="n">
        <f aca="false">IF(J105&gt;0,ROUND(I105/J105/12,0),0)</f>
        <v>0</v>
      </c>
    </row>
    <row r="106" customFormat="false" ht="15" hidden="false" customHeight="true" outlineLevel="0" collapsed="false">
      <c r="B106" s="20" t="n">
        <v>20</v>
      </c>
      <c r="C106" s="20" t="n">
        <f aca="false">IF(Slot20_On=1,INDEX('Plan cashflow'!$HJ$8:$HJ$97,Slot20_Age-F_Age+1),0)</f>
        <v>0</v>
      </c>
      <c r="D106" s="20" t="n">
        <f aca="false">Slot20_Cost</f>
        <v>0</v>
      </c>
      <c r="E106" s="20" t="str">
        <f aca="false">IF(Slot20_On=1,IF(D106&gt;0,IF(C106&gt;=D106-1,100,MIN(PR_PctCap,MAX(0,INT(C106/D106*100)))),100),"")</f>
        <v/>
      </c>
      <c r="F106" s="20" t="n">
        <f aca="false">IF(AND(Slot20_On=1,E106&lt;PR_Good),1,0)</f>
        <v>0</v>
      </c>
      <c r="G106" s="20" t="n">
        <f aca="false">INDEX('Plan cashflow'!$TN$8:$TN$97,1)</f>
        <v>0</v>
      </c>
      <c r="H106" s="20" t="n">
        <f aca="false">INDEX('Plan cashflow'!$TM$8:$TM$97,1)</f>
        <v>0</v>
      </c>
      <c r="I106" s="20" t="n">
        <f aca="false">SUMIFS('Plan cashflow'!$TL$8:$TL$97,'Plan cashflow'!$C$8:$C$97,1)</f>
        <v>0</v>
      </c>
      <c r="J106" s="20" t="n">
        <f aca="false">SUMIFS('Plan cashflow'!$HF$8:$HF$97,'Plan cashflow'!$C$8:$C$97,1)</f>
        <v>0</v>
      </c>
      <c r="K106" s="20" t="n">
        <f aca="false">ROUND(G106/12,0)</f>
        <v>0</v>
      </c>
      <c r="L106" s="20" t="n">
        <f aca="false">ROUND(H106/12,0)</f>
        <v>0</v>
      </c>
      <c r="M106" s="20" t="n">
        <f aca="false">IF(J106&gt;0,ROUND(I106/J106/12,0),0)</f>
        <v>0</v>
      </c>
    </row>
    <row r="108" customFormat="false" ht="15" hidden="false" customHeight="true" outlineLevel="0" collapsed="false">
      <c r="B108" s="46" t="s">
        <v>1678</v>
      </c>
    </row>
    <row r="109" customFormat="false" ht="90" hidden="false" customHeight="true" outlineLevel="0" collapsed="false">
      <c r="B109" s="33" t="s">
        <v>1620</v>
      </c>
      <c r="C109" s="33" t="s">
        <v>1622</v>
      </c>
      <c r="D109" s="33" t="s">
        <v>1582</v>
      </c>
      <c r="E109" s="33" t="s">
        <v>1679</v>
      </c>
      <c r="F109" s="33" t="s">
        <v>1680</v>
      </c>
      <c r="G109" s="33" t="s">
        <v>1669</v>
      </c>
      <c r="H109" s="33" t="s">
        <v>1681</v>
      </c>
      <c r="I109" s="33" t="s">
        <v>1631</v>
      </c>
      <c r="J109" s="33" t="s">
        <v>1682</v>
      </c>
      <c r="K109" s="33" t="s">
        <v>1683</v>
      </c>
      <c r="L109" s="33" t="s">
        <v>1684</v>
      </c>
      <c r="M109" s="33" t="s">
        <v>1685</v>
      </c>
      <c r="N109" s="33" t="s">
        <v>1626</v>
      </c>
      <c r="O109" s="33" t="s">
        <v>1686</v>
      </c>
      <c r="P109" s="33" t="s">
        <v>1687</v>
      </c>
      <c r="Q109" s="33" t="s">
        <v>1621</v>
      </c>
      <c r="R109" s="33" t="s">
        <v>1688</v>
      </c>
      <c r="S109" s="33" t="s">
        <v>1583</v>
      </c>
      <c r="T109" s="33" t="s">
        <v>1689</v>
      </c>
      <c r="U109" s="33" t="s">
        <v>1690</v>
      </c>
      <c r="V109" s="33" t="s">
        <v>1691</v>
      </c>
      <c r="W109" s="33" t="s">
        <v>1692</v>
      </c>
      <c r="X109" s="33" t="s">
        <v>1693</v>
      </c>
      <c r="Y109" s="33" t="s">
        <v>1694</v>
      </c>
      <c r="Z109" s="33" t="s">
        <v>1695</v>
      </c>
      <c r="AA109" s="33" t="s">
        <v>1696</v>
      </c>
      <c r="AB109" s="33" t="s">
        <v>1697</v>
      </c>
    </row>
    <row r="110" customFormat="false" ht="15" hidden="false" customHeight="true" outlineLevel="0" collapsed="false">
      <c r="B110" s="20" t="n">
        <v>1</v>
      </c>
      <c r="C110" s="20" t="str">
        <f aca="false">IF($Q110="","",INDEX(GL_Name,1))</f>
        <v>Kids' education</v>
      </c>
      <c r="D110" s="20" t="str">
        <f aca="false">INDEX(GL_Kind,1)</f>
        <v>spend</v>
      </c>
      <c r="E110" s="20" t="n">
        <f aca="false">IF($Q110="","",IF(OR($D110="spend",$D110="mfree",$D110="pot"),CHOOSE($I110,Slot1_Cost,Slot2_Cost,Slot3_Cost,Slot4_Cost,Slot5_Cost,Slot6_Cost,Slot7_Cost,Slot8_Cost,Slot9_Cost,Slot10_Cost,Slot11_Cost,Slot12_Cost,Slot13_Cost,Slot14_Cost,Slot15_Cost,Slot16_Cost,Slot17_Cost,Slot18_Cost,Slot19_Cost,Slot20_Cost),IF($D110="retire",SUMIFS('Plan cashflow'!$TS$8:$TS$97,'Plan cashflow'!$C$8:$C$97,1),IF($D110="legacy",INDEX(GL_Amount,1)*(1+AS_Infl)^F_N,0))))</f>
        <v>60949.7209997379</v>
      </c>
      <c r="F110" s="20" t="n">
        <f aca="false">IF($Q110="","",IF(OR($D110="spend",$D110="mfree",$D110="pot"),CHOOSE($I110,Slot1_Paid,Slot2_Paid,Slot3_Paid,Slot4_Paid,Slot5_Paid,Slot6_Paid,Slot7_Paid,Slot8_Paid,Slot9_Paid,Slot10_Paid,Slot11_Paid,Slot12_Paid,Slot13_Paid,Slot14_Paid,Slot15_Paid,Slot16_Paid,Slot17_Paid,Slot18_Paid,Slot19_Paid,Slot20_Paid),IF($D110="retire",SUMIFS('Plan cashflow'!$TT$8:$TT$97,'Plan cashflow'!$C$8:$C$97,1),IF($D110="legacy",MIN(E110,INDEX('Plan cashflow'!$QK$8:$QK$97,F_N+1)+INDEX('Plan cashflow'!$QL$8:$QL$97,F_N+1)),0))))</f>
        <v>30927.1211760735</v>
      </c>
      <c r="G110" s="20" t="n">
        <f aca="false">IF($Q110="","",IF($D110="retire",IF(SUM('Plan cashflow'!$UH$8:$UH$97)&gt;0,MIN(IF(E110&gt;0,IF(F110&gt;=E110-1,100,MIN(PR_PctCap,MAX(0,INT(F110/E110*100)))),100),94),IF(E110&gt;0,IF(F110&gt;=E110-1,100,MIN(PR_PctCap,MAX(0,INT(F110/E110*100)))),100)),IF(E110&gt;0,IF(F110&gt;=E110-1,100,MIN(PR_PctCap,MAX(0,INT(F110/E110*100)))),100)))</f>
        <v>50</v>
      </c>
      <c r="H110" s="20" t="str">
        <f aca="false">IF(G110="","",IF(G110&gt;=PR_Good,"good",IF(G110&gt;=PR_Nudge,"nudge","alert")))</f>
        <v>alert</v>
      </c>
      <c r="I110" s="20" t="n">
        <f aca="false">IF(OR($D110="spend",$D110="mfree",$D110="pot"),INDEX(GL_Pos,1),"")</f>
        <v>3</v>
      </c>
      <c r="J110" s="20" t="n">
        <f aca="false">IF(OR($D110="spend",$D110="mfree",$D110="pot"),CHOOSE($I110,Slot1_NeedM,Slot2_NeedM,Slot3_NeedM,Slot4_NeedM,Slot5_NeedM,Slot6_NeedM,Slot7_NeedM,Slot8_NeedM,Slot9_NeedM,Slot10_NeedM,Slot11_NeedM,Slot12_NeedM,Slot13_NeedM,Slot14_NeedM,Slot15_NeedM,Slot16_NeedM,Slot17_NeedM,Slot18_NeedM,Slot19_NeedM,Slot20_NeedM),"")</f>
        <v>386</v>
      </c>
      <c r="K110" s="20" t="n">
        <f aca="false">IF(OR($D110="spend",$D110="mfree",$D110="pot"),CHOOSE($I110,Slot1_AvgM,Slot2_AvgM,Slot3_AvgM,Slot4_AvgM,Slot5_AvgM,Slot6_AvgM,Slot7_AvgM,Slot8_AvgM,Slot9_AvgM,Slot10_AvgM,Slot11_AvgM,Slot12_AvgM,Slot13_AvgM,Slot14_AvgM,Slot15_AvgM,Slot16_AvgM,Slot17_AvgM,Slot18_AvgM,Slot19_AvgM,Slot20_AvgM),"")</f>
        <v>207</v>
      </c>
      <c r="L110" s="24"/>
      <c r="M110" s="20" t="str">
        <f aca="false">IF(NOT(OR($D110="spend",$D110="mfree",$D110="pot")),"",IF(AND($D110="mfree",In_home&lt;&gt;"",In_home&lt;&gt;"Own with mortgage"),"No mortgage in Your finances: remove this goal, or add your mortgage",IF(G110&gt;=100,"Fully funded"&amp;IF(K110&gt;0," · on average you'll put "&amp;"€"&amp;TEXT(ROUND(K110,0),"#,##0")&amp;" a month",""),IF(AB110="","Type the extra the what-if search finds in column L to see this line",IF(IF(AB110="none",TRUE(),K110+AB110&gt;Save_SurplusM),"Needs about "&amp;"€"&amp;TEXT(ROUND(IF(AB110="none",MAX(J110,K110+5),K110+AB110),0),"#,##0")&amp;" a month, more than your spare money · on average you'll put "&amp;"€"&amp;TEXT(ROUND(K110,0),"#,##0")&amp;" a month","Needs about "&amp;"€"&amp;TEXT(ROUND(K110+AB110,0),"#,##0")&amp;" a month · on average you'll put "&amp;"€"&amp;TEXT(ROUND(K110,0),"#,##0")&amp;" a month")))))</f>
        <v>Needs about €462 a month, more than your spare money · on average you'll put €207 a month</v>
      </c>
      <c r="N110" s="20" t="n">
        <f aca="false">IF($Q110="","",INDEX(GL_AgeT,1))</f>
        <v>48</v>
      </c>
      <c r="O110" s="20" t="str">
        <f aca="false">IF(AND($Q110&lt;&gt;"",G110&gt;=PR_Good,Findings_Over=0),G110*1000000-N110*1000-1,"")</f>
        <v/>
      </c>
      <c r="P110" s="20" t="n">
        <f aca="false">IF($Q110="","",G110*1000000+N110*1000+1)</f>
        <v>50048001</v>
      </c>
      <c r="Q110" s="20" t="str">
        <f aca="false">INDEX(GL_Key,1)</f>
        <v>edu</v>
      </c>
      <c r="R110" s="20" t="n">
        <f aca="false">IF(G110="",0,G110)</f>
        <v>50</v>
      </c>
      <c r="S110" s="20" t="str">
        <f aca="false">IF($Q110="","",IFERROR(INDEX(Goal_Specs,MATCH($Q110,Goal_Keys,0)),""))</f>
        <v>planner</v>
      </c>
      <c r="T110" s="20" t="n">
        <f aca="false">IF($Q110="",9999,G110)</f>
        <v>50</v>
      </c>
      <c r="U110" s="20" t="str">
        <f aca="false">IF($Q110="","",IF($D110="legacy","at the end of your plan"&amp;IF(Has_a_planEnd=1," ("&amp;AS_End&amp;")",""),IF(INDEX(GL_AgeT,1)&lt;F_Age,"Date has passed",IF($D110="retire",IF(Has_retireAge=1,"at "&amp;INDEX(GL_AgeT,1),"at an age you haven't chosen yet"),"in "&amp;(INDEX(GL_AgeRaw,1)-F_Age)&amp;IF(INDEX(GL_AgeRaw,1)-F_Age=1," year"," years")))))</f>
        <v>in 10 years</v>
      </c>
      <c r="V110" s="20" t="str">
        <f aca="false">IF(AND($Q110="safety",F_EssM&gt;0,INDEX(GL_Amount,1)&gt;0),ROUND(INDEX(GL_Amount,1)/F_EssM*10,0)/10,"")</f>
        <v/>
      </c>
      <c r="W110" s="20" t="n">
        <f aca="false">IF($Q110="","",AS_Year0+INDEX(GL_AgeT,1)-F_Age)</f>
        <v>2037</v>
      </c>
      <c r="X110" s="20" t="str">
        <f aca="false">IF($Q110="","",IF(AND($D110&lt;&gt;"legacy",INDEX(GL_AgeT,1)&lt;F_Age),"Date has passed",IF($D110="retire","Age ","age ")&amp;INDEX(GL_AgeT,1)&amp;" · "&amp;W110))</f>
        <v>age 48 · 2037</v>
      </c>
      <c r="Y110" s="20" t="n">
        <f aca="false">IF($Q110="","",G110*1000+IF($D110="legacy",AS_End,INDEX(GL_AgeT,1)))</f>
        <v>50048</v>
      </c>
      <c r="Z110" s="24"/>
      <c r="AA110" s="20" t="str">
        <f aca="false">IF($Q110="","",IF(IF(Z110&lt;&gt;"",Z110,IF(AND(WI_M=0,WI_L=0),G110,""))="","",IF(IF(Z110&lt;&gt;"",Z110,G110)&lt;&gt;G110,C110&amp;" goes from "&amp;IF(Z110&lt;&gt;"",Z110,G110)&amp;"% to "&amp;G110&amp;"%","")))</f>
        <v/>
      </c>
      <c r="AB110" s="20" t="n">
        <f aca="false">IF(ISBLANK(L110),IF(AND(Fill_Example="Yes",TRUE()),255,""),L110)</f>
        <v>255</v>
      </c>
    </row>
    <row r="111" customFormat="false" ht="15" hidden="false" customHeight="true" outlineLevel="0" collapsed="false">
      <c r="B111" s="20" t="n">
        <v>2</v>
      </c>
      <c r="C111" s="20" t="str">
        <f aca="false">IF($Q111="","",INDEX(GL_Name,2))</f>
        <v>Travel</v>
      </c>
      <c r="D111" s="20" t="str">
        <f aca="false">INDEX(GL_Kind,2)</f>
        <v>spend</v>
      </c>
      <c r="E111" s="20" t="n">
        <f aca="false">IF($Q111="","",IF(OR($D111="spend",$D111="mfree",$D111="pot"),CHOOSE($I111,Slot1_Cost,Slot2_Cost,Slot3_Cost,Slot4_Cost,Slot5_Cost,Slot6_Cost,Slot7_Cost,Slot8_Cost,Slot9_Cost,Slot10_Cost,Slot11_Cost,Slot12_Cost,Slot13_Cost,Slot14_Cost,Slot15_Cost,Slot16_Cost,Slot17_Cost,Slot18_Cost,Slot19_Cost,Slot20_Cost),IF($D111="retire",SUMIFS('Plan cashflow'!$TS$8:$TS$97,'Plan cashflow'!$C$8:$C$97,1),IF($D111="legacy",INDEX(GL_Amount,2)*(1+AS_Infl)^F_N,0))))</f>
        <v>12734.496</v>
      </c>
      <c r="F111" s="20" t="n">
        <f aca="false">IF($Q111="","",IF(OR($D111="spend",$D111="mfree",$D111="pot"),CHOOSE($I111,Slot1_Paid,Slot2_Paid,Slot3_Paid,Slot4_Paid,Slot5_Paid,Slot6_Paid,Slot7_Paid,Slot8_Paid,Slot9_Paid,Slot10_Paid,Slot11_Paid,Slot12_Paid,Slot13_Paid,Slot14_Paid,Slot15_Paid,Slot16_Paid,Slot17_Paid,Slot18_Paid,Slot19_Paid,Slot20_Paid),IF($D111="retire",SUMIFS('Plan cashflow'!$TT$8:$TT$97,'Plan cashflow'!$C$8:$C$97,1),IF($D111="legacy",MIN(E111,INDEX('Plan cashflow'!$QK$8:$QK$97,F_N+1)+INDEX('Plan cashflow'!$QL$8:$QL$97,F_N+1)),0))))</f>
        <v>3643.1278565332</v>
      </c>
      <c r="G111" s="20" t="n">
        <f aca="false">IF($Q111="","",IF($D111="retire",IF(SUM('Plan cashflow'!$UH$8:$UH$97)&gt;0,MIN(IF(E111&gt;0,IF(F111&gt;=E111-1,100,MIN(PR_PctCap,MAX(0,INT(F111/E111*100)))),100),94),IF(E111&gt;0,IF(F111&gt;=E111-1,100,MIN(PR_PctCap,MAX(0,INT(F111/E111*100)))),100)),IF(E111&gt;0,IF(F111&gt;=E111-1,100,MIN(PR_PctCap,MAX(0,INT(F111/E111*100)))),100)))</f>
        <v>28</v>
      </c>
      <c r="H111" s="20" t="str">
        <f aca="false">IF(G111="","",IF(G111&gt;=PR_Good,"good",IF(G111&gt;=PR_Nudge,"nudge","alert")))</f>
        <v>alert</v>
      </c>
      <c r="I111" s="20" t="n">
        <f aca="false">IF(OR($D111="spend",$D111="mfree",$D111="pot"),INDEX(GL_Pos,2),"")</f>
        <v>2</v>
      </c>
      <c r="J111" s="20" t="n">
        <f aca="false">IF(OR($D111="spend",$D111="mfree",$D111="pot"),CHOOSE($I111,Slot1_NeedM,Slot2_NeedM,Slot3_NeedM,Slot4_NeedM,Slot5_NeedM,Slot6_NeedM,Slot7_NeedM,Slot8_NeedM,Slot9_NeedM,Slot10_NeedM,Slot11_NeedM,Slot12_NeedM,Slot13_NeedM,Slot14_NeedM,Slot15_NeedM,Slot16_NeedM,Slot17_NeedM,Slot18_NeedM,Slot19_NeedM,Slot20_NeedM),"")</f>
        <v>337</v>
      </c>
      <c r="K111" s="20" t="n">
        <f aca="false">IF(OR($D111="spend",$D111="mfree",$D111="pot"),CHOOSE($I111,Slot1_AvgM,Slot2_AvgM,Slot3_AvgM,Slot4_AvgM,Slot5_AvgM,Slot6_AvgM,Slot7_AvgM,Slot8_AvgM,Slot9_AvgM,Slot10_AvgM,Slot11_AvgM,Slot12_AvgM,Slot13_AvgM,Slot14_AvgM,Slot15_AvgM,Slot16_AvgM,Slot17_AvgM,Slot18_AvgM,Slot19_AvgM,Slot20_AvgM),"")</f>
        <v>97</v>
      </c>
      <c r="L111" s="24"/>
      <c r="M111" s="20" t="str">
        <f aca="false">IF(NOT(OR($D111="spend",$D111="mfree",$D111="pot")),"",IF(AND($D111="mfree",In_home&lt;&gt;"",In_home&lt;&gt;"Own with mortgage"),"No mortgage in Your finances: remove this goal, or add your mortgage",IF(G111&gt;=100,"Fully funded"&amp;IF(K111&gt;0," · on average you'll put "&amp;"€"&amp;TEXT(ROUND(K111,0),"#,##0")&amp;" a month",""),IF(AB111="","Type the extra the what-if search finds in column L to see this line",IF(IF(AB111="none",TRUE(),K111+AB111&gt;Save_SurplusM),"Needs about "&amp;"€"&amp;TEXT(ROUND(IF(AB111="none",MAX(J111,K111+5),K111+AB111),0),"#,##0")&amp;" a month, more than your spare money · on average you'll put "&amp;"€"&amp;TEXT(ROUND(K111,0),"#,##0")&amp;" a month","Needs about "&amp;"€"&amp;TEXT(ROUND(K111+AB111,0),"#,##0")&amp;" a month · on average you'll put "&amp;"€"&amp;TEXT(ROUND(K111,0),"#,##0")&amp;" a month")))))</f>
        <v>Needs about €337 a month, more than your spare money · on average you'll put €97 a month</v>
      </c>
      <c r="N111" s="20" t="n">
        <f aca="false">IF($Q111="","",INDEX(GL_AgeT,2))</f>
        <v>41</v>
      </c>
      <c r="O111" s="20" t="str">
        <f aca="false">IF(AND($Q111&lt;&gt;"",G111&gt;=PR_Good,Findings_Over=0),G111*1000000-N111*1000-2,"")</f>
        <v/>
      </c>
      <c r="P111" s="20" t="n">
        <f aca="false">IF($Q111="","",G111*1000000+N111*1000+2)</f>
        <v>28041002</v>
      </c>
      <c r="Q111" s="20" t="str">
        <f aca="false">INDEX(GL_Key,2)</f>
        <v>travel</v>
      </c>
      <c r="R111" s="20" t="n">
        <f aca="false">IF(G111="",0,G111)</f>
        <v>28</v>
      </c>
      <c r="S111" s="20" t="str">
        <f aca="false">IF($Q111="","",IFERROR(INDEX(Goal_Specs,MATCH($Q111,Goal_Keys,0)),""))</f>
        <v>planner</v>
      </c>
      <c r="T111" s="20" t="n">
        <f aca="false">IF($Q111="",9999,G111)</f>
        <v>28</v>
      </c>
      <c r="U111" s="20" t="str">
        <f aca="false">IF($Q111="","",IF($D111="legacy","at the end of your plan"&amp;IF(Has_a_planEnd=1," ("&amp;AS_End&amp;")",""),IF(INDEX(GL_AgeT,2)&lt;F_Age,"Date has passed",IF($D111="retire",IF(Has_retireAge=1,"at "&amp;INDEX(GL_AgeT,2),"at an age you haven't chosen yet"),"in "&amp;(INDEX(GL_AgeRaw,2)-F_Age)&amp;IF(INDEX(GL_AgeRaw,2)-F_Age=1," year"," years")))))</f>
        <v>in 3 years</v>
      </c>
      <c r="V111" s="20" t="str">
        <f aca="false">IF(AND($Q111="safety",F_EssM&gt;0,INDEX(GL_Amount,2)&gt;0),ROUND(INDEX(GL_Amount,2)/F_EssM*10,0)/10,"")</f>
        <v/>
      </c>
      <c r="W111" s="20" t="n">
        <f aca="false">IF($Q111="","",AS_Year0+INDEX(GL_AgeT,2)-F_Age)</f>
        <v>2030</v>
      </c>
      <c r="X111" s="20" t="str">
        <f aca="false">IF($Q111="","",IF(AND($D111&lt;&gt;"legacy",INDEX(GL_AgeT,2)&lt;F_Age),"Date has passed",IF($D111="retire","Age ","age ")&amp;INDEX(GL_AgeT,2)&amp;" · "&amp;W111))</f>
        <v>age 41 · 2030</v>
      </c>
      <c r="Y111" s="20" t="n">
        <f aca="false">IF($Q111="","",G111*1000+IF($D111="legacy",AS_End,INDEX(GL_AgeT,2)))</f>
        <v>28041</v>
      </c>
      <c r="Z111" s="24"/>
      <c r="AA111" s="20" t="str">
        <f aca="false">IF($Q111="","",IF(IF(Z111&lt;&gt;"",Z111,IF(AND(WI_M=0,WI_L=0),G111,""))="","",IF(IF(Z111&lt;&gt;"",Z111,G111)&lt;&gt;G111,C111&amp;" goes from "&amp;IF(Z111&lt;&gt;"",Z111,G111)&amp;"% to "&amp;G111&amp;"%","")))</f>
        <v/>
      </c>
      <c r="AB111" s="20" t="str">
        <f aca="false">IF(ISBLANK(L111),IF(AND(Fill_Example="Yes",TRUE()),"none",""),L111)</f>
        <v>none</v>
      </c>
    </row>
    <row r="112" customFormat="false" ht="15" hidden="false" customHeight="true" outlineLevel="0" collapsed="false">
      <c r="B112" s="20" t="n">
        <v>3</v>
      </c>
      <c r="C112" s="20" t="str">
        <f aca="false">IF($Q112="","",INDEX(GL_Name,3))</f>
        <v>Be mortgage-free</v>
      </c>
      <c r="D112" s="20" t="str">
        <f aca="false">INDEX(GL_Kind,3)</f>
        <v>mfree</v>
      </c>
      <c r="E112" s="20" t="n">
        <f aca="false">IF($Q112="","",IF(OR($D112="spend",$D112="mfree",$D112="pot"),CHOOSE($I112,Slot1_Cost,Slot2_Cost,Slot3_Cost,Slot4_Cost,Slot5_Cost,Slot6_Cost,Slot7_Cost,Slot8_Cost,Slot9_Cost,Slot10_Cost,Slot11_Cost,Slot12_Cost,Slot13_Cost,Slot14_Cost,Slot15_Cost,Slot16_Cost,Slot17_Cost,Slot18_Cost,Slot19_Cost,Slot20_Cost),IF($D112="retire",SUMIFS('Plan cashflow'!$TS$8:$TS$97,'Plan cashflow'!$C$8:$C$97,1),IF($D112="legacy",INDEX(GL_Amount,3)*(1+AS_Infl)^F_N,0))))</f>
        <v>40019.8956528291</v>
      </c>
      <c r="F112" s="20" t="n">
        <f aca="false">IF($Q112="","",IF(OR($D112="spend",$D112="mfree",$D112="pot"),CHOOSE($I112,Slot1_Paid,Slot2_Paid,Slot3_Paid,Slot4_Paid,Slot5_Paid,Slot6_Paid,Slot7_Paid,Slot8_Paid,Slot9_Paid,Slot10_Paid,Slot11_Paid,Slot12_Paid,Slot13_Paid,Slot14_Paid,Slot15_Paid,Slot16_Paid,Slot17_Paid,Slot18_Paid,Slot19_Paid,Slot20_Paid),IF($D112="retire",SUMIFS('Plan cashflow'!$TT$8:$TT$97,'Plan cashflow'!$C$8:$C$97,1),IF($D112="legacy",MIN(E112,INDEX('Plan cashflow'!$QK$8:$QK$97,F_N+1)+INDEX('Plan cashflow'!$QL$8:$QL$97,F_N+1)),0))))</f>
        <v>40019.8956528291</v>
      </c>
      <c r="G112" s="20" t="n">
        <f aca="false">IF($Q112="","",IF($D112="retire",IF(SUM('Plan cashflow'!$UH$8:$UH$97)&gt;0,MIN(IF(E112&gt;0,IF(F112&gt;=E112-1,100,MIN(PR_PctCap,MAX(0,INT(F112/E112*100)))),100),94),IF(E112&gt;0,IF(F112&gt;=E112-1,100,MIN(PR_PctCap,MAX(0,INT(F112/E112*100)))),100)),IF(E112&gt;0,IF(F112&gt;=E112-1,100,MIN(PR_PctCap,MAX(0,INT(F112/E112*100)))),100)))</f>
        <v>100</v>
      </c>
      <c r="H112" s="20" t="str">
        <f aca="false">IF(G112="","",IF(G112&gt;=PR_Good,"good",IF(G112&gt;=PR_Nudge,"nudge","alert")))</f>
        <v>good</v>
      </c>
      <c r="I112" s="20" t="n">
        <f aca="false">IF(OR($D112="spend",$D112="mfree",$D112="pot"),INDEX(GL_Pos,3),"")</f>
        <v>4</v>
      </c>
      <c r="J112" s="20" t="n">
        <f aca="false">IF(OR($D112="spend",$D112="mfree",$D112="pot"),CHOOSE($I112,Slot1_NeedM,Slot2_NeedM,Slot3_NeedM,Slot4_NeedM,Slot5_NeedM,Slot6_NeedM,Slot7_NeedM,Slot8_NeedM,Slot9_NeedM,Slot10_NeedM,Slot11_NeedM,Slot12_NeedM,Slot13_NeedM,Slot14_NeedM,Slot15_NeedM,Slot16_NeedM,Slot17_NeedM,Slot18_NeedM,Slot19_NeedM,Slot20_NeedM),"")</f>
        <v>123</v>
      </c>
      <c r="K112" s="20" t="n">
        <f aca="false">IF(OR($D112="spend",$D112="mfree",$D112="pot"),CHOOSE($I112,Slot1_AvgM,Slot2_AvgM,Slot3_AvgM,Slot4_AvgM,Slot5_AvgM,Slot6_AvgM,Slot7_AvgM,Slot8_AvgM,Slot9_AvgM,Slot10_AvgM,Slot11_AvgM,Slot12_AvgM,Slot13_AvgM,Slot14_AvgM,Slot15_AvgM,Slot16_AvgM,Slot17_AvgM,Slot18_AvgM,Slot19_AvgM,Slot20_AvgM),"")</f>
        <v>137</v>
      </c>
      <c r="L112" s="24"/>
      <c r="M112" s="20" t="str">
        <f aca="false">IF(NOT(OR($D112="spend",$D112="mfree",$D112="pot")),"",IF(AND($D112="mfree",In_home&lt;&gt;"",In_home&lt;&gt;"Own with mortgage"),"No mortgage in Your finances: remove this goal, or add your mortgage",IF(G112&gt;=100,"Fully funded"&amp;IF(K112&gt;0," · on average you'll put "&amp;"€"&amp;TEXT(ROUND(K112,0),"#,##0")&amp;" a month",""),IF(AB112="","Type the extra the what-if search finds in column L to see this line",IF(IF(AB112="none",TRUE(),K112+AB112&gt;Save_SurplusM),"Needs about "&amp;"€"&amp;TEXT(ROUND(IF(AB112="none",MAX(J112,K112+5),K112+AB112),0),"#,##0")&amp;" a month, more than your spare money · on average you'll put "&amp;"€"&amp;TEXT(ROUND(K112,0),"#,##0")&amp;" a month","Needs about "&amp;"€"&amp;TEXT(ROUND(K112+AB112,0),"#,##0")&amp;" a month · on average you'll put "&amp;"€"&amp;TEXT(ROUND(K112,0),"#,##0")&amp;" a month")))))</f>
        <v>Fully funded · on average you'll put €137 a month</v>
      </c>
      <c r="N112" s="20" t="n">
        <f aca="false">IF($Q112="","",INDEX(GL_AgeT,3))</f>
        <v>55</v>
      </c>
      <c r="O112" s="20" t="n">
        <f aca="false">IF(AND($Q112&lt;&gt;"",G112&gt;=PR_Good,Findings_Over=0),G112*1000000-N112*1000-3,"")</f>
        <v>99944997</v>
      </c>
      <c r="P112" s="20" t="n">
        <f aca="false">IF($Q112="","",G112*1000000+N112*1000+3)</f>
        <v>100055003</v>
      </c>
      <c r="Q112" s="20" t="str">
        <f aca="false">INDEX(GL_Key,3)</f>
        <v>mfree</v>
      </c>
      <c r="R112" s="20" t="n">
        <f aca="false">IF(G112="",0,G112)</f>
        <v>100</v>
      </c>
      <c r="S112" s="20" t="str">
        <f aca="false">IF($Q112="","",IFERROR(INDEX(Goal_Specs,MATCH($Q112,Goal_Keys,0)),""))</f>
        <v>mortgage</v>
      </c>
      <c r="T112" s="20" t="n">
        <f aca="false">IF($Q112="",9999,G112)</f>
        <v>100</v>
      </c>
      <c r="U112" s="20" t="str">
        <f aca="false">IF($Q112="","",IF($D112="legacy","at the end of your plan"&amp;IF(Has_a_planEnd=1," ("&amp;AS_End&amp;")",""),IF(INDEX(GL_AgeT,3)&lt;F_Age,"Date has passed",IF($D112="retire",IF(Has_retireAge=1,"at "&amp;INDEX(GL_AgeT,3),"at an age you haven't chosen yet"),"in "&amp;(INDEX(GL_AgeRaw,3)-F_Age)&amp;IF(INDEX(GL_AgeRaw,3)-F_Age=1," year"," years")))))</f>
        <v>in 17 years</v>
      </c>
      <c r="V112" s="20" t="str">
        <f aca="false">IF(AND($Q112="safety",F_EssM&gt;0,INDEX(GL_Amount,3)&gt;0),ROUND(INDEX(GL_Amount,3)/F_EssM*10,0)/10,"")</f>
        <v/>
      </c>
      <c r="W112" s="20" t="n">
        <f aca="false">IF($Q112="","",AS_Year0+INDEX(GL_AgeT,3)-F_Age)</f>
        <v>2044</v>
      </c>
      <c r="X112" s="20" t="str">
        <f aca="false">IF($Q112="","",IF(AND($D112&lt;&gt;"legacy",INDEX(GL_AgeT,3)&lt;F_Age),"Date has passed",IF($D112="retire","Age ","age ")&amp;INDEX(GL_AgeT,3)&amp;" · "&amp;W112))</f>
        <v>age 55 · 2044</v>
      </c>
      <c r="Y112" s="20" t="n">
        <f aca="false">IF($Q112="","",G112*1000+IF($D112="legacy",AS_End,INDEX(GL_AgeT,3)))</f>
        <v>100055</v>
      </c>
      <c r="Z112" s="24"/>
      <c r="AA112" s="20" t="str">
        <f aca="false">IF($Q112="","",IF(IF(Z112&lt;&gt;"",Z112,IF(AND(WI_M=0,WI_L=0),G112,""))="","",IF(IF(Z112&lt;&gt;"",Z112,G112)&lt;&gt;G112,C112&amp;" goes from "&amp;IF(Z112&lt;&gt;"",Z112,G112)&amp;"% to "&amp;G112&amp;"%","")))</f>
        <v/>
      </c>
      <c r="AB112" s="20" t="str">
        <f aca="false">IF(ISBLANK(L112),IF(AND(Fill_Example="Yes",FALSE()),"",""),L112)</f>
        <v/>
      </c>
    </row>
    <row r="113" customFormat="false" ht="15" hidden="false" customHeight="true" outlineLevel="0" collapsed="false">
      <c r="B113" s="20" t="n">
        <v>4</v>
      </c>
      <c r="C113" s="20" t="str">
        <f aca="false">IF($Q113="","",INDEX(GL_Name,4))</f>
        <v>Emergency fund</v>
      </c>
      <c r="D113" s="20" t="str">
        <f aca="false">INDEX(GL_Kind,4)</f>
        <v>pot</v>
      </c>
      <c r="E113" s="20" t="n">
        <f aca="false">IF($Q113="","",IF(OR($D113="spend",$D113="mfree",$D113="pot"),CHOOSE($I113,Slot1_Cost,Slot2_Cost,Slot3_Cost,Slot4_Cost,Slot5_Cost,Slot6_Cost,Slot7_Cost,Slot8_Cost,Slot9_Cost,Slot10_Cost,Slot11_Cost,Slot12_Cost,Slot13_Cost,Slot14_Cost,Slot15_Cost,Slot16_Cost,Slot17_Cost,Slot18_Cost,Slot19_Cost,Slot20_Cost),IF($D113="retire",SUMIFS('Plan cashflow'!$TS$8:$TS$97,'Plan cashflow'!$C$8:$C$97,1),IF($D113="legacy",INDEX(GL_Amount,4)*(1+AS_Infl)^F_N,0))))</f>
        <v>15606</v>
      </c>
      <c r="F113" s="20" t="n">
        <f aca="false">IF($Q113="","",IF(OR($D113="spend",$D113="mfree",$D113="pot"),CHOOSE($I113,Slot1_Paid,Slot2_Paid,Slot3_Paid,Slot4_Paid,Slot5_Paid,Slot6_Paid,Slot7_Paid,Slot8_Paid,Slot9_Paid,Slot10_Paid,Slot11_Paid,Slot12_Paid,Slot13_Paid,Slot14_Paid,Slot15_Paid,Slot16_Paid,Slot17_Paid,Slot18_Paid,Slot19_Paid,Slot20_Paid),IF($D113="retire",SUMIFS('Plan cashflow'!$TT$8:$TT$97,'Plan cashflow'!$C$8:$C$97,1),IF($D113="legacy",MIN(E113,INDEX('Plan cashflow'!$QK$8:$QK$97,F_N+1)+INDEX('Plan cashflow'!$QL$8:$QL$97,F_N+1)),0))))</f>
        <v>15606</v>
      </c>
      <c r="G113" s="20" t="n">
        <f aca="false">IF($Q113="","",IF($D113="retire",IF(SUM('Plan cashflow'!$UH$8:$UH$97)&gt;0,MIN(IF(E113&gt;0,IF(F113&gt;=E113-1,100,MIN(PR_PctCap,MAX(0,INT(F113/E113*100)))),100),94),IF(E113&gt;0,IF(F113&gt;=E113-1,100,MIN(PR_PctCap,MAX(0,INT(F113/E113*100)))),100)),IF(E113&gt;0,IF(F113&gt;=E113-1,100,MIN(PR_PctCap,MAX(0,INT(F113/E113*100)))),100)))</f>
        <v>100</v>
      </c>
      <c r="H113" s="20" t="str">
        <f aca="false">IF(G113="","",IF(G113&gt;=PR_Good,"good",IF(G113&gt;=PR_Nudge,"nudge","alert")))</f>
        <v>good</v>
      </c>
      <c r="I113" s="20" t="n">
        <f aca="false">IF(OR($D113="spend",$D113="mfree",$D113="pot"),INDEX(GL_Pos,4),"")</f>
        <v>1</v>
      </c>
      <c r="J113" s="20" t="n">
        <f aca="false">IF(OR($D113="spend",$D113="mfree",$D113="pot"),CHOOSE($I113,Slot1_NeedM,Slot2_NeedM,Slot3_NeedM,Slot4_NeedM,Slot5_NeedM,Slot6_NeedM,Slot7_NeedM,Slot8_NeedM,Slot9_NeedM,Slot10_NeedM,Slot11_NeedM,Slot12_NeedM,Slot13_NeedM,Slot14_NeedM,Slot15_NeedM,Slot16_NeedM,Slot17_NeedM,Slot18_NeedM,Slot19_NeedM,Slot20_NeedM),"")</f>
        <v>4</v>
      </c>
      <c r="K113" s="20" t="n">
        <f aca="false">IF(OR($D113="spend",$D113="mfree",$D113="pot"),CHOOSE($I113,Slot1_AvgM,Slot2_AvgM,Slot3_AvgM,Slot4_AvgM,Slot5_AvgM,Slot6_AvgM,Slot7_AvgM,Slot8_AvgM,Slot9_AvgM,Slot10_AvgM,Slot11_AvgM,Slot12_AvgM,Slot13_AvgM,Slot14_AvgM,Slot15_AvgM,Slot16_AvgM,Slot17_AvgM,Slot18_AvgM,Slot19_AvgM,Slot20_AvgM),"")</f>
        <v>4</v>
      </c>
      <c r="L113" s="24"/>
      <c r="M113" s="20" t="str">
        <f aca="false">IF(NOT(OR($D113="spend",$D113="mfree",$D113="pot")),"",IF(AND($D113="mfree",In_home&lt;&gt;"",In_home&lt;&gt;"Own with mortgage"),"No mortgage in Your finances: remove this goal, or add your mortgage",IF(G113&gt;=100,"Fully funded"&amp;IF(K113&gt;0," · on average you'll put "&amp;"€"&amp;TEXT(ROUND(K113,0),"#,##0")&amp;" a month",""),IF(AB113="","Type the extra the what-if search finds in column L to see this line",IF(IF(AB113="none",TRUE(),K113+AB113&gt;Save_SurplusM),"Needs about "&amp;"€"&amp;TEXT(ROUND(IF(AB113="none",MAX(J113,K113+5),K113+AB113),0),"#,##0")&amp;" a month, more than your spare money · on average you'll put "&amp;"€"&amp;TEXT(ROUND(K113,0),"#,##0")&amp;" a month","Needs about "&amp;"€"&amp;TEXT(ROUND(K113+AB113,0),"#,##0")&amp;" a month · on average you'll put "&amp;"€"&amp;TEXT(ROUND(K113,0),"#,##0")&amp;" a month")))))</f>
        <v>Fully funded · on average you'll put €4 a month</v>
      </c>
      <c r="N113" s="20" t="n">
        <f aca="false">IF($Q113="","",INDEX(GL_AgeT,4))</f>
        <v>40</v>
      </c>
      <c r="O113" s="20" t="n">
        <f aca="false">IF(AND($Q113&lt;&gt;"",G113&gt;=PR_Good,Findings_Over=0),G113*1000000-N113*1000-4,"")</f>
        <v>99959996</v>
      </c>
      <c r="P113" s="20" t="n">
        <f aca="false">IF($Q113="","",G113*1000000+N113*1000+4)</f>
        <v>100040004</v>
      </c>
      <c r="Q113" s="20" t="str">
        <f aca="false">INDEX(GL_Key,4)</f>
        <v>safety</v>
      </c>
      <c r="R113" s="20" t="n">
        <f aca="false">IF(G113="",0,G113)</f>
        <v>100</v>
      </c>
      <c r="S113" s="20" t="str">
        <f aca="false">IF($Q113="","",IFERROR(INDEX(Goal_Specs,MATCH($Q113,Goal_Keys,0)),""))</f>
        <v>planner</v>
      </c>
      <c r="T113" s="20" t="n">
        <f aca="false">IF($Q113="",9999,G113)</f>
        <v>100</v>
      </c>
      <c r="U113" s="20" t="str">
        <f aca="false">IF($Q113="","",IF($D113="legacy","at the end of your plan"&amp;IF(Has_a_planEnd=1," ("&amp;AS_End&amp;")",""),IF(INDEX(GL_AgeT,4)&lt;F_Age,"Date has passed",IF($D113="retire",IF(Has_retireAge=1,"at "&amp;INDEX(GL_AgeT,4),"at an age you haven't chosen yet"),"in "&amp;(INDEX(GL_AgeRaw,4)-F_Age)&amp;IF(INDEX(GL_AgeRaw,4)-F_Age=1," year"," years")))))</f>
        <v>in 2 years</v>
      </c>
      <c r="V113" s="20" t="n">
        <f aca="false">IF(AND($Q113="safety",F_EssM&gt;0,INDEX(GL_Amount,4)&gt;0),ROUND(INDEX(GL_Amount,4)/F_EssM*10,0)/10,"")</f>
        <v>3</v>
      </c>
      <c r="W113" s="20" t="n">
        <f aca="false">IF($Q113="","",AS_Year0+INDEX(GL_AgeT,4)-F_Age)</f>
        <v>2029</v>
      </c>
      <c r="X113" s="20" t="str">
        <f aca="false">IF($Q113="","",IF(AND($D113&lt;&gt;"legacy",INDEX(GL_AgeT,4)&lt;F_Age),"Date has passed",IF($D113="retire","Age ","age ")&amp;INDEX(GL_AgeT,4)&amp;" · "&amp;W113))</f>
        <v>age 40 · 2029</v>
      </c>
      <c r="Y113" s="20" t="n">
        <f aca="false">IF($Q113="","",G113*1000+IF($D113="legacy",AS_End,INDEX(GL_AgeT,4)))</f>
        <v>100040</v>
      </c>
      <c r="Z113" s="24"/>
      <c r="AA113" s="20" t="str">
        <f aca="false">IF($Q113="","",IF(IF(Z113&lt;&gt;"",Z113,IF(AND(WI_M=0,WI_L=0),G113,""))="","",IF(IF(Z113&lt;&gt;"",Z113,G113)&lt;&gt;G113,C113&amp;" goes from "&amp;IF(Z113&lt;&gt;"",Z113,G113)&amp;"% to "&amp;G113&amp;"%","")))</f>
        <v/>
      </c>
      <c r="AB113" s="20" t="str">
        <f aca="false">IF(ISBLANK(L113),IF(AND(Fill_Example="Yes",FALSE()),"",""),L113)</f>
        <v/>
      </c>
    </row>
    <row r="114" customFormat="false" ht="15" hidden="false" customHeight="true" outlineLevel="0" collapsed="false">
      <c r="B114" s="20" t="n">
        <v>5</v>
      </c>
      <c r="C114" s="20" t="str">
        <f aca="false">IF($Q114="","",INDEX(GL_Name,5))</f>
        <v>Retire comfortably</v>
      </c>
      <c r="D114" s="20" t="str">
        <f aca="false">INDEX(GL_Kind,5)</f>
        <v>retire</v>
      </c>
      <c r="E114" s="20" t="n">
        <f aca="false">IF($Q114="","",IF(OR($D114="spend",$D114="mfree",$D114="pot"),CHOOSE($I114,Slot1_Cost,Slot2_Cost,Slot3_Cost,Slot4_Cost,Slot5_Cost,Slot6_Cost,Slot7_Cost,Slot8_Cost,Slot9_Cost,Slot10_Cost,Slot11_Cost,Slot12_Cost,Slot13_Cost,Slot14_Cost,Slot15_Cost,Slot16_Cost,Slot17_Cost,Slot18_Cost,Slot19_Cost,Slot20_Cost),IF($D114="retire",SUMIFS('Plan cashflow'!$TS$8:$TS$97,'Plan cashflow'!$C$8:$C$97,1),IF($D114="legacy",INDEX(GL_Amount,5)*(1+AS_Infl)^F_N,0))))</f>
        <v>3616113.9033267</v>
      </c>
      <c r="F114" s="20" t="n">
        <f aca="false">IF($Q114="","",IF(OR($D114="spend",$D114="mfree",$D114="pot"),CHOOSE($I114,Slot1_Paid,Slot2_Paid,Slot3_Paid,Slot4_Paid,Slot5_Paid,Slot6_Paid,Slot7_Paid,Slot8_Paid,Slot9_Paid,Slot10_Paid,Slot11_Paid,Slot12_Paid,Slot13_Paid,Slot14_Paid,Slot15_Paid,Slot16_Paid,Slot17_Paid,Slot18_Paid,Slot19_Paid,Slot20_Paid),IF($D114="retire",SUMIFS('Plan cashflow'!$TT$8:$TT$97,'Plan cashflow'!$C$8:$C$97,1),IF($D114="legacy",MIN(E114,INDEX('Plan cashflow'!$QK$8:$QK$97,F_N+1)+INDEX('Plan cashflow'!$QL$8:$QL$97,F_N+1)),0))))</f>
        <v>3127026.97733703</v>
      </c>
      <c r="G114" s="20" t="n">
        <f aca="false">IF($Q114="","",IF($D114="retire",IF(SUM('Plan cashflow'!$UH$8:$UH$97)&gt;0,MIN(IF(E114&gt;0,IF(F114&gt;=E114-1,100,MIN(PR_PctCap,MAX(0,INT(F114/E114*100)))),100),94),IF(E114&gt;0,IF(F114&gt;=E114-1,100,MIN(PR_PctCap,MAX(0,INT(F114/E114*100)))),100)),IF(E114&gt;0,IF(F114&gt;=E114-1,100,MIN(PR_PctCap,MAX(0,INT(F114/E114*100)))),100)))</f>
        <v>86</v>
      </c>
      <c r="H114" s="20" t="str">
        <f aca="false">IF(G114="","",IF(G114&gt;=PR_Good,"good",IF(G114&gt;=PR_Nudge,"nudge","alert")))</f>
        <v>nudge</v>
      </c>
      <c r="I114" s="20" t="str">
        <f aca="false">IF(OR($D114="spend",$D114="mfree",$D114="pot"),INDEX(GL_Pos,5),"")</f>
        <v/>
      </c>
      <c r="J114" s="20" t="str">
        <f aca="false">IF(OR($D114="spend",$D114="mfree",$D114="pot"),CHOOSE($I114,Slot1_NeedM,Slot2_NeedM,Slot3_NeedM,Slot4_NeedM,Slot5_NeedM,Slot6_NeedM,Slot7_NeedM,Slot8_NeedM,Slot9_NeedM,Slot10_NeedM,Slot11_NeedM,Slot12_NeedM,Slot13_NeedM,Slot14_NeedM,Slot15_NeedM,Slot16_NeedM,Slot17_NeedM,Slot18_NeedM,Slot19_NeedM,Slot20_NeedM),"")</f>
        <v/>
      </c>
      <c r="K114" s="20" t="str">
        <f aca="false">IF(OR($D114="spend",$D114="mfree",$D114="pot"),CHOOSE($I114,Slot1_AvgM,Slot2_AvgM,Slot3_AvgM,Slot4_AvgM,Slot5_AvgM,Slot6_AvgM,Slot7_AvgM,Slot8_AvgM,Slot9_AvgM,Slot10_AvgM,Slot11_AvgM,Slot12_AvgM,Slot13_AvgM,Slot14_AvgM,Slot15_AvgM,Slot16_AvgM,Slot17_AvgM,Slot18_AvgM,Slot19_AvgM,Slot20_AvgM),"")</f>
        <v/>
      </c>
      <c r="L114" s="24"/>
      <c r="M114" s="20" t="str">
        <f aca="false">IF(NOT(OR($D114="spend",$D114="mfree",$D114="pot")),"",IF(AND($D114="mfree",In_home&lt;&gt;"",In_home&lt;&gt;"Own with mortgage"),"No mortgage in Your finances: remove this goal, or add your mortgage",IF(G114&gt;=100,"Fully funded"&amp;IF(K114&gt;0," · on average you'll put "&amp;"€"&amp;TEXT(ROUND(K114,0),"#,##0")&amp;" a month",""),IF(AB114="","Type the extra the what-if search finds in column L to see this line",IF(IF(AB114="none",TRUE(),K114+AB114&gt;Save_SurplusM),"Needs about "&amp;"€"&amp;TEXT(ROUND(IF(AB114="none",MAX(J114,K114+5),K114+AB114),0),"#,##0")&amp;" a month, more than your spare money · on average you'll put "&amp;"€"&amp;TEXT(ROUND(K114,0),"#,##0")&amp;" a month","Needs about "&amp;"€"&amp;TEXT(ROUND(K114+AB114,0),"#,##0")&amp;" a month · on average you'll put "&amp;"€"&amp;TEXT(ROUND(K114,0),"#,##0")&amp;" a month")))))</f>
        <v/>
      </c>
      <c r="N114" s="20" t="n">
        <f aca="false">IF($Q114="","",INDEX(GL_AgeT,5))</f>
        <v>63</v>
      </c>
      <c r="O114" s="20" t="str">
        <f aca="false">IF(AND($Q114&lt;&gt;"",G114&gt;=PR_Good,Findings_Over=0),G114*1000000-N114*1000-5,"")</f>
        <v/>
      </c>
      <c r="P114" s="20" t="n">
        <f aca="false">IF($Q114="","",G114*1000000+N114*1000+5)</f>
        <v>86063005</v>
      </c>
      <c r="Q114" s="20" t="str">
        <f aca="false">INDEX(GL_Key,5)</f>
        <v>retire</v>
      </c>
      <c r="R114" s="20" t="n">
        <f aca="false">IF(G114="",0,G114)</f>
        <v>86</v>
      </c>
      <c r="S114" s="20" t="str">
        <f aca="false">IF($Q114="","",IFERROR(INDEX(Goal_Specs,MATCH($Q114,Goal_Keys,0)),""))</f>
        <v>pension</v>
      </c>
      <c r="T114" s="20" t="n">
        <f aca="false">IF($Q114="",9999,G114)</f>
        <v>86</v>
      </c>
      <c r="U114" s="20" t="str">
        <f aca="false">IF($Q114="","",IF($D114="legacy","at the end of your plan"&amp;IF(Has_a_planEnd=1," ("&amp;AS_End&amp;")",""),IF(INDEX(GL_AgeT,5)&lt;F_Age,"Date has passed",IF($D114="retire",IF(Has_retireAge=1,"at "&amp;INDEX(GL_AgeT,5),"at an age you haven't chosen yet"),"in "&amp;(INDEX(GL_AgeRaw,5)-F_Age)&amp;IF(INDEX(GL_AgeRaw,5)-F_Age=1," year"," years")))))</f>
        <v>at 63</v>
      </c>
      <c r="V114" s="20" t="str">
        <f aca="false">IF(AND($Q114="safety",F_EssM&gt;0,INDEX(GL_Amount,5)&gt;0),ROUND(INDEX(GL_Amount,5)/F_EssM*10,0)/10,"")</f>
        <v/>
      </c>
      <c r="W114" s="20" t="n">
        <f aca="false">IF($Q114="","",AS_Year0+INDEX(GL_AgeT,5)-F_Age)</f>
        <v>2052</v>
      </c>
      <c r="X114" s="20" t="str">
        <f aca="false">IF($Q114="","",IF(AND($D114&lt;&gt;"legacy",INDEX(GL_AgeT,5)&lt;F_Age),"Date has passed",IF($D114="retire","Age ","age ")&amp;INDEX(GL_AgeT,5)&amp;" · "&amp;W114))</f>
        <v>Age 63 · 2052</v>
      </c>
      <c r="Y114" s="20" t="n">
        <f aca="false">IF($Q114="","",G114*1000+IF($D114="legacy",AS_End,INDEX(GL_AgeT,5)))</f>
        <v>86063</v>
      </c>
      <c r="Z114" s="24"/>
      <c r="AA114" s="20" t="str">
        <f aca="false">IF($Q114="","",IF(IF(Z114&lt;&gt;"",Z114,IF(AND(WI_M=0,WI_L=0),G114,""))="","",IF(IF(Z114&lt;&gt;"",Z114,G114)&lt;&gt;G114,C114&amp;" goes from "&amp;IF(Z114&lt;&gt;"",Z114,G114)&amp;"% to "&amp;G114&amp;"%","")))</f>
        <v/>
      </c>
      <c r="AB114" s="20" t="str">
        <f aca="false">IF(ISBLANK(L114),IF(AND(Fill_Example="Yes",FALSE()),"",""),L114)</f>
        <v/>
      </c>
    </row>
    <row r="115" customFormat="false" ht="15" hidden="false" customHeight="true" outlineLevel="0" collapsed="false">
      <c r="B115" s="20" t="n">
        <v>6</v>
      </c>
      <c r="C115" s="20" t="str">
        <f aca="false">IF($Q115="","",INDEX(GL_Name,6))</f>
        <v/>
      </c>
      <c r="D115" s="20" t="str">
        <f aca="false">INDEX(GL_Kind,6)</f>
        <v/>
      </c>
      <c r="E115" s="20" t="str">
        <f aca="false">IF($Q115="","",IF(OR($D115="spend",$D115="mfree",$D115="pot"),CHOOSE($I115,Slot1_Cost,Slot2_Cost,Slot3_Cost,Slot4_Cost,Slot5_Cost,Slot6_Cost,Slot7_Cost,Slot8_Cost,Slot9_Cost,Slot10_Cost,Slot11_Cost,Slot12_Cost,Slot13_Cost,Slot14_Cost,Slot15_Cost,Slot16_Cost,Slot17_Cost,Slot18_Cost,Slot19_Cost,Slot20_Cost),IF($D115="retire",SUMIFS('Plan cashflow'!$TS$8:$TS$97,'Plan cashflow'!$C$8:$C$97,1),IF($D115="legacy",INDEX(GL_Amount,6)*(1+AS_Infl)^F_N,0))))</f>
        <v/>
      </c>
      <c r="F115" s="20" t="str">
        <f aca="false">IF($Q115="","",IF(OR($D115="spend",$D115="mfree",$D115="pot"),CHOOSE($I115,Slot1_Paid,Slot2_Paid,Slot3_Paid,Slot4_Paid,Slot5_Paid,Slot6_Paid,Slot7_Paid,Slot8_Paid,Slot9_Paid,Slot10_Paid,Slot11_Paid,Slot12_Paid,Slot13_Paid,Slot14_Paid,Slot15_Paid,Slot16_Paid,Slot17_Paid,Slot18_Paid,Slot19_Paid,Slot20_Paid),IF($D115="retire",SUMIFS('Plan cashflow'!$TT$8:$TT$97,'Plan cashflow'!$C$8:$C$97,1),IF($D115="legacy",MIN(E115,INDEX('Plan cashflow'!$QK$8:$QK$97,F_N+1)+INDEX('Plan cashflow'!$QL$8:$QL$97,F_N+1)),0))))</f>
        <v/>
      </c>
      <c r="G115" s="20" t="str">
        <f aca="false">IF($Q115="","",IF($D115="retire",IF(SUM('Plan cashflow'!$UH$8:$UH$97)&gt;0,MIN(IF(E115&gt;0,IF(F115&gt;=E115-1,100,MIN(PR_PctCap,MAX(0,INT(F115/E115*100)))),100),94),IF(E115&gt;0,IF(F115&gt;=E115-1,100,MIN(PR_PctCap,MAX(0,INT(F115/E115*100)))),100)),IF(E115&gt;0,IF(F115&gt;=E115-1,100,MIN(PR_PctCap,MAX(0,INT(F115/E115*100)))),100)))</f>
        <v/>
      </c>
      <c r="H115" s="20" t="str">
        <f aca="false">IF(G115="","",IF(G115&gt;=PR_Good,"good",IF(G115&gt;=PR_Nudge,"nudge","alert")))</f>
        <v/>
      </c>
      <c r="I115" s="20" t="str">
        <f aca="false">IF(OR($D115="spend",$D115="mfree",$D115="pot"),INDEX(GL_Pos,6),"")</f>
        <v/>
      </c>
      <c r="J115" s="20" t="str">
        <f aca="false">IF(OR($D115="spend",$D115="mfree",$D115="pot"),CHOOSE($I115,Slot1_NeedM,Slot2_NeedM,Slot3_NeedM,Slot4_NeedM,Slot5_NeedM,Slot6_NeedM,Slot7_NeedM,Slot8_NeedM,Slot9_NeedM,Slot10_NeedM,Slot11_NeedM,Slot12_NeedM,Slot13_NeedM,Slot14_NeedM,Slot15_NeedM,Slot16_NeedM,Slot17_NeedM,Slot18_NeedM,Slot19_NeedM,Slot20_NeedM),"")</f>
        <v/>
      </c>
      <c r="K115" s="20" t="str">
        <f aca="false">IF(OR($D115="spend",$D115="mfree",$D115="pot"),CHOOSE($I115,Slot1_AvgM,Slot2_AvgM,Slot3_AvgM,Slot4_AvgM,Slot5_AvgM,Slot6_AvgM,Slot7_AvgM,Slot8_AvgM,Slot9_AvgM,Slot10_AvgM,Slot11_AvgM,Slot12_AvgM,Slot13_AvgM,Slot14_AvgM,Slot15_AvgM,Slot16_AvgM,Slot17_AvgM,Slot18_AvgM,Slot19_AvgM,Slot20_AvgM),"")</f>
        <v/>
      </c>
      <c r="L115" s="24"/>
      <c r="M115" s="20" t="str">
        <f aca="false">IF(NOT(OR($D115="spend",$D115="mfree",$D115="pot")),"",IF(AND($D115="mfree",In_home&lt;&gt;"",In_home&lt;&gt;"Own with mortgage"),"No mortgage in Your finances: remove this goal, or add your mortgage",IF(G115&gt;=100,"Fully funded"&amp;IF(K115&gt;0," · on average you'll put "&amp;"€"&amp;TEXT(ROUND(K115,0),"#,##0")&amp;" a month",""),IF(AB115="","Type the extra the what-if search finds in column L to see this line",IF(IF(AB115="none",TRUE(),K115+AB115&gt;Save_SurplusM),"Needs about "&amp;"€"&amp;TEXT(ROUND(IF(AB115="none",MAX(J115,K115+5),K115+AB115),0),"#,##0")&amp;" a month, more than your spare money · on average you'll put "&amp;"€"&amp;TEXT(ROUND(K115,0),"#,##0")&amp;" a month","Needs about "&amp;"€"&amp;TEXT(ROUND(K115+AB115,0),"#,##0")&amp;" a month · on average you'll put "&amp;"€"&amp;TEXT(ROUND(K115,0),"#,##0")&amp;" a month")))))</f>
        <v/>
      </c>
      <c r="N115" s="20" t="str">
        <f aca="false">IF($Q115="","",INDEX(GL_AgeT,6))</f>
        <v/>
      </c>
      <c r="O115" s="20" t="str">
        <f aca="false">IF(AND($Q115&lt;&gt;"",G115&gt;=PR_Good,Findings_Over=0),G115*1000000-N115*1000-6,"")</f>
        <v/>
      </c>
      <c r="P115" s="20" t="str">
        <f aca="false">IF($Q115="","",G115*1000000+N115*1000+6)</f>
        <v/>
      </c>
      <c r="Q115" s="20" t="str">
        <f aca="false">INDEX(GL_Key,6)</f>
        <v/>
      </c>
      <c r="R115" s="20" t="n">
        <f aca="false">IF(G115="",0,G115)</f>
        <v>0</v>
      </c>
      <c r="S115" s="20" t="str">
        <f aca="false">IF($Q115="","",IFERROR(INDEX(Goal_Specs,MATCH($Q115,Goal_Keys,0)),""))</f>
        <v/>
      </c>
      <c r="T115" s="20" t="n">
        <f aca="false">IF($Q115="",9999,G115)</f>
        <v>9999</v>
      </c>
      <c r="U115" s="20" t="str">
        <f aca="false">IF($Q115="","",IF($D115="legacy","at the end of your plan"&amp;IF(Has_a_planEnd=1," ("&amp;AS_End&amp;")",""),IF(INDEX(GL_AgeT,6)&lt;F_Age,"Date has passed",IF($D115="retire",IF(Has_retireAge=1,"at "&amp;INDEX(GL_AgeT,6),"at an age you haven't chosen yet"),"in "&amp;(INDEX(GL_AgeRaw,6)-F_Age)&amp;IF(INDEX(GL_AgeRaw,6)-F_Age=1," year"," years")))))</f>
        <v/>
      </c>
      <c r="V115" s="20" t="str">
        <f aca="false">IF(AND($Q115="safety",F_EssM&gt;0,INDEX(GL_Amount,6)&gt;0),ROUND(INDEX(GL_Amount,6)/F_EssM*10,0)/10,"")</f>
        <v/>
      </c>
      <c r="W115" s="20" t="str">
        <f aca="false">IF($Q115="","",AS_Year0+INDEX(GL_AgeT,6)-F_Age)</f>
        <v/>
      </c>
      <c r="X115" s="20" t="str">
        <f aca="false">IF($Q115="","",IF(AND($D115&lt;&gt;"legacy",INDEX(GL_AgeT,6)&lt;F_Age),"Date has passed",IF($D115="retire","Age ","age ")&amp;INDEX(GL_AgeT,6)&amp;" · "&amp;W115))</f>
        <v/>
      </c>
      <c r="Y115" s="20" t="str">
        <f aca="false">IF($Q115="","",G115*1000+IF($D115="legacy",AS_End,INDEX(GL_AgeT,6)))</f>
        <v/>
      </c>
      <c r="Z115" s="24"/>
      <c r="AA115" s="20" t="str">
        <f aca="false">IF($Q115="","",IF(IF(Z115&lt;&gt;"",Z115,IF(AND(WI_M=0,WI_L=0),G115,""))="","",IF(IF(Z115&lt;&gt;"",Z115,G115)&lt;&gt;G115,C115&amp;" goes from "&amp;IF(Z115&lt;&gt;"",Z115,G115)&amp;"% to "&amp;G115&amp;"%","")))</f>
        <v/>
      </c>
      <c r="AB115" s="20" t="str">
        <f aca="false">IF(ISBLANK(L115),IF(AND(Fill_Example="Yes",FALSE()),"",""),L115)</f>
        <v/>
      </c>
    </row>
    <row r="116" customFormat="false" ht="15" hidden="false" customHeight="true" outlineLevel="0" collapsed="false">
      <c r="B116" s="20" t="n">
        <v>7</v>
      </c>
      <c r="C116" s="20" t="str">
        <f aca="false">IF($Q116="","",INDEX(GL_Name,7))</f>
        <v/>
      </c>
      <c r="D116" s="20" t="str">
        <f aca="false">INDEX(GL_Kind,7)</f>
        <v/>
      </c>
      <c r="E116" s="20" t="str">
        <f aca="false">IF($Q116="","",IF(OR($D116="spend",$D116="mfree",$D116="pot"),CHOOSE($I116,Slot1_Cost,Slot2_Cost,Slot3_Cost,Slot4_Cost,Slot5_Cost,Slot6_Cost,Slot7_Cost,Slot8_Cost,Slot9_Cost,Slot10_Cost,Slot11_Cost,Slot12_Cost,Slot13_Cost,Slot14_Cost,Slot15_Cost,Slot16_Cost,Slot17_Cost,Slot18_Cost,Slot19_Cost,Slot20_Cost),IF($D116="retire",SUMIFS('Plan cashflow'!$TS$8:$TS$97,'Plan cashflow'!$C$8:$C$97,1),IF($D116="legacy",INDEX(GL_Amount,7)*(1+AS_Infl)^F_N,0))))</f>
        <v/>
      </c>
      <c r="F116" s="20" t="str">
        <f aca="false">IF($Q116="","",IF(OR($D116="spend",$D116="mfree",$D116="pot"),CHOOSE($I116,Slot1_Paid,Slot2_Paid,Slot3_Paid,Slot4_Paid,Slot5_Paid,Slot6_Paid,Slot7_Paid,Slot8_Paid,Slot9_Paid,Slot10_Paid,Slot11_Paid,Slot12_Paid,Slot13_Paid,Slot14_Paid,Slot15_Paid,Slot16_Paid,Slot17_Paid,Slot18_Paid,Slot19_Paid,Slot20_Paid),IF($D116="retire",SUMIFS('Plan cashflow'!$TT$8:$TT$97,'Plan cashflow'!$C$8:$C$97,1),IF($D116="legacy",MIN(E116,INDEX('Plan cashflow'!$QK$8:$QK$97,F_N+1)+INDEX('Plan cashflow'!$QL$8:$QL$97,F_N+1)),0))))</f>
        <v/>
      </c>
      <c r="G116" s="20" t="str">
        <f aca="false">IF($Q116="","",IF($D116="retire",IF(SUM('Plan cashflow'!$UH$8:$UH$97)&gt;0,MIN(IF(E116&gt;0,IF(F116&gt;=E116-1,100,MIN(PR_PctCap,MAX(0,INT(F116/E116*100)))),100),94),IF(E116&gt;0,IF(F116&gt;=E116-1,100,MIN(PR_PctCap,MAX(0,INT(F116/E116*100)))),100)),IF(E116&gt;0,IF(F116&gt;=E116-1,100,MIN(PR_PctCap,MAX(0,INT(F116/E116*100)))),100)))</f>
        <v/>
      </c>
      <c r="H116" s="20" t="str">
        <f aca="false">IF(G116="","",IF(G116&gt;=PR_Good,"good",IF(G116&gt;=PR_Nudge,"nudge","alert")))</f>
        <v/>
      </c>
      <c r="I116" s="20" t="str">
        <f aca="false">IF(OR($D116="spend",$D116="mfree",$D116="pot"),INDEX(GL_Pos,7),"")</f>
        <v/>
      </c>
      <c r="J116" s="20" t="str">
        <f aca="false">IF(OR($D116="spend",$D116="mfree",$D116="pot"),CHOOSE($I116,Slot1_NeedM,Slot2_NeedM,Slot3_NeedM,Slot4_NeedM,Slot5_NeedM,Slot6_NeedM,Slot7_NeedM,Slot8_NeedM,Slot9_NeedM,Slot10_NeedM,Slot11_NeedM,Slot12_NeedM,Slot13_NeedM,Slot14_NeedM,Slot15_NeedM,Slot16_NeedM,Slot17_NeedM,Slot18_NeedM,Slot19_NeedM,Slot20_NeedM),"")</f>
        <v/>
      </c>
      <c r="K116" s="20" t="str">
        <f aca="false">IF(OR($D116="spend",$D116="mfree",$D116="pot"),CHOOSE($I116,Slot1_AvgM,Slot2_AvgM,Slot3_AvgM,Slot4_AvgM,Slot5_AvgM,Slot6_AvgM,Slot7_AvgM,Slot8_AvgM,Slot9_AvgM,Slot10_AvgM,Slot11_AvgM,Slot12_AvgM,Slot13_AvgM,Slot14_AvgM,Slot15_AvgM,Slot16_AvgM,Slot17_AvgM,Slot18_AvgM,Slot19_AvgM,Slot20_AvgM),"")</f>
        <v/>
      </c>
      <c r="L116" s="24"/>
      <c r="M116" s="20" t="str">
        <f aca="false">IF(NOT(OR($D116="spend",$D116="mfree",$D116="pot")),"",IF(AND($D116="mfree",In_home&lt;&gt;"",In_home&lt;&gt;"Own with mortgage"),"No mortgage in Your finances: remove this goal, or add your mortgage",IF(G116&gt;=100,"Fully funded"&amp;IF(K116&gt;0," · on average you'll put "&amp;"€"&amp;TEXT(ROUND(K116,0),"#,##0")&amp;" a month",""),IF(AB116="","Type the extra the what-if search finds in column L to see this line",IF(IF(AB116="none",TRUE(),K116+AB116&gt;Save_SurplusM),"Needs about "&amp;"€"&amp;TEXT(ROUND(IF(AB116="none",MAX(J116,K116+5),K116+AB116),0),"#,##0")&amp;" a month, more than your spare money · on average you'll put "&amp;"€"&amp;TEXT(ROUND(K116,0),"#,##0")&amp;" a month","Needs about "&amp;"€"&amp;TEXT(ROUND(K116+AB116,0),"#,##0")&amp;" a month · on average you'll put "&amp;"€"&amp;TEXT(ROUND(K116,0),"#,##0")&amp;" a month")))))</f>
        <v/>
      </c>
      <c r="N116" s="20" t="str">
        <f aca="false">IF($Q116="","",INDEX(GL_AgeT,7))</f>
        <v/>
      </c>
      <c r="O116" s="20" t="str">
        <f aca="false">IF(AND($Q116&lt;&gt;"",G116&gt;=PR_Good,Findings_Over=0),G116*1000000-N116*1000-7,"")</f>
        <v/>
      </c>
      <c r="P116" s="20" t="str">
        <f aca="false">IF($Q116="","",G116*1000000+N116*1000+7)</f>
        <v/>
      </c>
      <c r="Q116" s="20" t="str">
        <f aca="false">INDEX(GL_Key,7)</f>
        <v/>
      </c>
      <c r="R116" s="20" t="n">
        <f aca="false">IF(G116="",0,G116)</f>
        <v>0</v>
      </c>
      <c r="S116" s="20" t="str">
        <f aca="false">IF($Q116="","",IFERROR(INDEX(Goal_Specs,MATCH($Q116,Goal_Keys,0)),""))</f>
        <v/>
      </c>
      <c r="T116" s="20" t="n">
        <f aca="false">IF($Q116="",9999,G116)</f>
        <v>9999</v>
      </c>
      <c r="U116" s="20" t="str">
        <f aca="false">IF($Q116="","",IF($D116="legacy","at the end of your plan"&amp;IF(Has_a_planEnd=1," ("&amp;AS_End&amp;")",""),IF(INDEX(GL_AgeT,7)&lt;F_Age,"Date has passed",IF($D116="retire",IF(Has_retireAge=1,"at "&amp;INDEX(GL_AgeT,7),"at an age you haven't chosen yet"),"in "&amp;(INDEX(GL_AgeRaw,7)-F_Age)&amp;IF(INDEX(GL_AgeRaw,7)-F_Age=1," year"," years")))))</f>
        <v/>
      </c>
      <c r="V116" s="20" t="str">
        <f aca="false">IF(AND($Q116="safety",F_EssM&gt;0,INDEX(GL_Amount,7)&gt;0),ROUND(INDEX(GL_Amount,7)/F_EssM*10,0)/10,"")</f>
        <v/>
      </c>
      <c r="W116" s="20" t="str">
        <f aca="false">IF($Q116="","",AS_Year0+INDEX(GL_AgeT,7)-F_Age)</f>
        <v/>
      </c>
      <c r="X116" s="20" t="str">
        <f aca="false">IF($Q116="","",IF(AND($D116&lt;&gt;"legacy",INDEX(GL_AgeT,7)&lt;F_Age),"Date has passed",IF($D116="retire","Age ","age ")&amp;INDEX(GL_AgeT,7)&amp;" · "&amp;W116))</f>
        <v/>
      </c>
      <c r="Y116" s="20" t="str">
        <f aca="false">IF($Q116="","",G116*1000+IF($D116="legacy",AS_End,INDEX(GL_AgeT,7)))</f>
        <v/>
      </c>
      <c r="Z116" s="24"/>
      <c r="AA116" s="20" t="str">
        <f aca="false">IF($Q116="","",IF(IF(Z116&lt;&gt;"",Z116,IF(AND(WI_M=0,WI_L=0),G116,""))="","",IF(IF(Z116&lt;&gt;"",Z116,G116)&lt;&gt;G116,C116&amp;" goes from "&amp;IF(Z116&lt;&gt;"",Z116,G116)&amp;"% to "&amp;G116&amp;"%","")))</f>
        <v/>
      </c>
      <c r="AB116" s="20" t="str">
        <f aca="false">IF(ISBLANK(L116),IF(AND(Fill_Example="Yes",FALSE()),"",""),L116)</f>
        <v/>
      </c>
    </row>
    <row r="117" customFormat="false" ht="15" hidden="false" customHeight="true" outlineLevel="0" collapsed="false">
      <c r="B117" s="20" t="n">
        <v>8</v>
      </c>
      <c r="C117" s="20" t="str">
        <f aca="false">IF($Q117="","",INDEX(GL_Name,8))</f>
        <v/>
      </c>
      <c r="D117" s="20" t="str">
        <f aca="false">INDEX(GL_Kind,8)</f>
        <v/>
      </c>
      <c r="E117" s="20" t="str">
        <f aca="false">IF($Q117="","",IF(OR($D117="spend",$D117="mfree",$D117="pot"),CHOOSE($I117,Slot1_Cost,Slot2_Cost,Slot3_Cost,Slot4_Cost,Slot5_Cost,Slot6_Cost,Slot7_Cost,Slot8_Cost,Slot9_Cost,Slot10_Cost,Slot11_Cost,Slot12_Cost,Slot13_Cost,Slot14_Cost,Slot15_Cost,Slot16_Cost,Slot17_Cost,Slot18_Cost,Slot19_Cost,Slot20_Cost),IF($D117="retire",SUMIFS('Plan cashflow'!$TS$8:$TS$97,'Plan cashflow'!$C$8:$C$97,1),IF($D117="legacy",INDEX(GL_Amount,8)*(1+AS_Infl)^F_N,0))))</f>
        <v/>
      </c>
      <c r="F117" s="20" t="str">
        <f aca="false">IF($Q117="","",IF(OR($D117="spend",$D117="mfree",$D117="pot"),CHOOSE($I117,Slot1_Paid,Slot2_Paid,Slot3_Paid,Slot4_Paid,Slot5_Paid,Slot6_Paid,Slot7_Paid,Slot8_Paid,Slot9_Paid,Slot10_Paid,Slot11_Paid,Slot12_Paid,Slot13_Paid,Slot14_Paid,Slot15_Paid,Slot16_Paid,Slot17_Paid,Slot18_Paid,Slot19_Paid,Slot20_Paid),IF($D117="retire",SUMIFS('Plan cashflow'!$TT$8:$TT$97,'Plan cashflow'!$C$8:$C$97,1),IF($D117="legacy",MIN(E117,INDEX('Plan cashflow'!$QK$8:$QK$97,F_N+1)+INDEX('Plan cashflow'!$QL$8:$QL$97,F_N+1)),0))))</f>
        <v/>
      </c>
      <c r="G117" s="20" t="str">
        <f aca="false">IF($Q117="","",IF($D117="retire",IF(SUM('Plan cashflow'!$UH$8:$UH$97)&gt;0,MIN(IF(E117&gt;0,IF(F117&gt;=E117-1,100,MIN(PR_PctCap,MAX(0,INT(F117/E117*100)))),100),94),IF(E117&gt;0,IF(F117&gt;=E117-1,100,MIN(PR_PctCap,MAX(0,INT(F117/E117*100)))),100)),IF(E117&gt;0,IF(F117&gt;=E117-1,100,MIN(PR_PctCap,MAX(0,INT(F117/E117*100)))),100)))</f>
        <v/>
      </c>
      <c r="H117" s="20" t="str">
        <f aca="false">IF(G117="","",IF(G117&gt;=PR_Good,"good",IF(G117&gt;=PR_Nudge,"nudge","alert")))</f>
        <v/>
      </c>
      <c r="I117" s="20" t="str">
        <f aca="false">IF(OR($D117="spend",$D117="mfree",$D117="pot"),INDEX(GL_Pos,8),"")</f>
        <v/>
      </c>
      <c r="J117" s="20" t="str">
        <f aca="false">IF(OR($D117="spend",$D117="mfree",$D117="pot"),CHOOSE($I117,Slot1_NeedM,Slot2_NeedM,Slot3_NeedM,Slot4_NeedM,Slot5_NeedM,Slot6_NeedM,Slot7_NeedM,Slot8_NeedM,Slot9_NeedM,Slot10_NeedM,Slot11_NeedM,Slot12_NeedM,Slot13_NeedM,Slot14_NeedM,Slot15_NeedM,Slot16_NeedM,Slot17_NeedM,Slot18_NeedM,Slot19_NeedM,Slot20_NeedM),"")</f>
        <v/>
      </c>
      <c r="K117" s="20" t="str">
        <f aca="false">IF(OR($D117="spend",$D117="mfree",$D117="pot"),CHOOSE($I117,Slot1_AvgM,Slot2_AvgM,Slot3_AvgM,Slot4_AvgM,Slot5_AvgM,Slot6_AvgM,Slot7_AvgM,Slot8_AvgM,Slot9_AvgM,Slot10_AvgM,Slot11_AvgM,Slot12_AvgM,Slot13_AvgM,Slot14_AvgM,Slot15_AvgM,Slot16_AvgM,Slot17_AvgM,Slot18_AvgM,Slot19_AvgM,Slot20_AvgM),"")</f>
        <v/>
      </c>
      <c r="L117" s="24"/>
      <c r="M117" s="20" t="str">
        <f aca="false">IF(NOT(OR($D117="spend",$D117="mfree",$D117="pot")),"",IF(AND($D117="mfree",In_home&lt;&gt;"",In_home&lt;&gt;"Own with mortgage"),"No mortgage in Your finances: remove this goal, or add your mortgage",IF(G117&gt;=100,"Fully funded"&amp;IF(K117&gt;0," · on average you'll put "&amp;"€"&amp;TEXT(ROUND(K117,0),"#,##0")&amp;" a month",""),IF(AB117="","Type the extra the what-if search finds in column L to see this line",IF(IF(AB117="none",TRUE(),K117+AB117&gt;Save_SurplusM),"Needs about "&amp;"€"&amp;TEXT(ROUND(IF(AB117="none",MAX(J117,K117+5),K117+AB117),0),"#,##0")&amp;" a month, more than your spare money · on average you'll put "&amp;"€"&amp;TEXT(ROUND(K117,0),"#,##0")&amp;" a month","Needs about "&amp;"€"&amp;TEXT(ROUND(K117+AB117,0),"#,##0")&amp;" a month · on average you'll put "&amp;"€"&amp;TEXT(ROUND(K117,0),"#,##0")&amp;" a month")))))</f>
        <v/>
      </c>
      <c r="N117" s="20" t="str">
        <f aca="false">IF($Q117="","",INDEX(GL_AgeT,8))</f>
        <v/>
      </c>
      <c r="O117" s="20" t="str">
        <f aca="false">IF(AND($Q117&lt;&gt;"",G117&gt;=PR_Good,Findings_Over=0),G117*1000000-N117*1000-8,"")</f>
        <v/>
      </c>
      <c r="P117" s="20" t="str">
        <f aca="false">IF($Q117="","",G117*1000000+N117*1000+8)</f>
        <v/>
      </c>
      <c r="Q117" s="20" t="str">
        <f aca="false">INDEX(GL_Key,8)</f>
        <v/>
      </c>
      <c r="R117" s="20" t="n">
        <f aca="false">IF(G117="",0,G117)</f>
        <v>0</v>
      </c>
      <c r="S117" s="20" t="str">
        <f aca="false">IF($Q117="","",IFERROR(INDEX(Goal_Specs,MATCH($Q117,Goal_Keys,0)),""))</f>
        <v/>
      </c>
      <c r="T117" s="20" t="n">
        <f aca="false">IF($Q117="",9999,G117)</f>
        <v>9999</v>
      </c>
      <c r="U117" s="20" t="str">
        <f aca="false">IF($Q117="","",IF($D117="legacy","at the end of your plan"&amp;IF(Has_a_planEnd=1," ("&amp;AS_End&amp;")",""),IF(INDEX(GL_AgeT,8)&lt;F_Age,"Date has passed",IF($D117="retire",IF(Has_retireAge=1,"at "&amp;INDEX(GL_AgeT,8),"at an age you haven't chosen yet"),"in "&amp;(INDEX(GL_AgeRaw,8)-F_Age)&amp;IF(INDEX(GL_AgeRaw,8)-F_Age=1," year"," years")))))</f>
        <v/>
      </c>
      <c r="V117" s="20" t="str">
        <f aca="false">IF(AND($Q117="safety",F_EssM&gt;0,INDEX(GL_Amount,8)&gt;0),ROUND(INDEX(GL_Amount,8)/F_EssM*10,0)/10,"")</f>
        <v/>
      </c>
      <c r="W117" s="20" t="str">
        <f aca="false">IF($Q117="","",AS_Year0+INDEX(GL_AgeT,8)-F_Age)</f>
        <v/>
      </c>
      <c r="X117" s="20" t="str">
        <f aca="false">IF($Q117="","",IF(AND($D117&lt;&gt;"legacy",INDEX(GL_AgeT,8)&lt;F_Age),"Date has passed",IF($D117="retire","Age ","age ")&amp;INDEX(GL_AgeT,8)&amp;" · "&amp;W117))</f>
        <v/>
      </c>
      <c r="Y117" s="20" t="str">
        <f aca="false">IF($Q117="","",G117*1000+IF($D117="legacy",AS_End,INDEX(GL_AgeT,8)))</f>
        <v/>
      </c>
      <c r="Z117" s="24"/>
      <c r="AA117" s="20" t="str">
        <f aca="false">IF($Q117="","",IF(IF(Z117&lt;&gt;"",Z117,IF(AND(WI_M=0,WI_L=0),G117,""))="","",IF(IF(Z117&lt;&gt;"",Z117,G117)&lt;&gt;G117,C117&amp;" goes from "&amp;IF(Z117&lt;&gt;"",Z117,G117)&amp;"% to "&amp;G117&amp;"%","")))</f>
        <v/>
      </c>
      <c r="AB117" s="20" t="str">
        <f aca="false">IF(ISBLANK(L117),IF(AND(Fill_Example="Yes",FALSE()),"",""),L117)</f>
        <v/>
      </c>
    </row>
    <row r="118" customFormat="false" ht="15" hidden="false" customHeight="true" outlineLevel="0" collapsed="false">
      <c r="B118" s="20" t="n">
        <v>9</v>
      </c>
      <c r="C118" s="20" t="str">
        <f aca="false">IF($Q118="","",INDEX(GL_Name,9))</f>
        <v/>
      </c>
      <c r="D118" s="20" t="str">
        <f aca="false">INDEX(GL_Kind,9)</f>
        <v/>
      </c>
      <c r="E118" s="20" t="str">
        <f aca="false">IF($Q118="","",IF(OR($D118="spend",$D118="mfree",$D118="pot"),CHOOSE($I118,Slot1_Cost,Slot2_Cost,Slot3_Cost,Slot4_Cost,Slot5_Cost,Slot6_Cost,Slot7_Cost,Slot8_Cost,Slot9_Cost,Slot10_Cost,Slot11_Cost,Slot12_Cost,Slot13_Cost,Slot14_Cost,Slot15_Cost,Slot16_Cost,Slot17_Cost,Slot18_Cost,Slot19_Cost,Slot20_Cost),IF($D118="retire",SUMIFS('Plan cashflow'!$TS$8:$TS$97,'Plan cashflow'!$C$8:$C$97,1),IF($D118="legacy",INDEX(GL_Amount,9)*(1+AS_Infl)^F_N,0))))</f>
        <v/>
      </c>
      <c r="F118" s="20" t="str">
        <f aca="false">IF($Q118="","",IF(OR($D118="spend",$D118="mfree",$D118="pot"),CHOOSE($I118,Slot1_Paid,Slot2_Paid,Slot3_Paid,Slot4_Paid,Slot5_Paid,Slot6_Paid,Slot7_Paid,Slot8_Paid,Slot9_Paid,Slot10_Paid,Slot11_Paid,Slot12_Paid,Slot13_Paid,Slot14_Paid,Slot15_Paid,Slot16_Paid,Slot17_Paid,Slot18_Paid,Slot19_Paid,Slot20_Paid),IF($D118="retire",SUMIFS('Plan cashflow'!$TT$8:$TT$97,'Plan cashflow'!$C$8:$C$97,1),IF($D118="legacy",MIN(E118,INDEX('Plan cashflow'!$QK$8:$QK$97,F_N+1)+INDEX('Plan cashflow'!$QL$8:$QL$97,F_N+1)),0))))</f>
        <v/>
      </c>
      <c r="G118" s="20" t="str">
        <f aca="false">IF($Q118="","",IF($D118="retire",IF(SUM('Plan cashflow'!$UH$8:$UH$97)&gt;0,MIN(IF(E118&gt;0,IF(F118&gt;=E118-1,100,MIN(PR_PctCap,MAX(0,INT(F118/E118*100)))),100),94),IF(E118&gt;0,IF(F118&gt;=E118-1,100,MIN(PR_PctCap,MAX(0,INT(F118/E118*100)))),100)),IF(E118&gt;0,IF(F118&gt;=E118-1,100,MIN(PR_PctCap,MAX(0,INT(F118/E118*100)))),100)))</f>
        <v/>
      </c>
      <c r="H118" s="20" t="str">
        <f aca="false">IF(G118="","",IF(G118&gt;=PR_Good,"good",IF(G118&gt;=PR_Nudge,"nudge","alert")))</f>
        <v/>
      </c>
      <c r="I118" s="20" t="str">
        <f aca="false">IF(OR($D118="spend",$D118="mfree",$D118="pot"),INDEX(GL_Pos,9),"")</f>
        <v/>
      </c>
      <c r="J118" s="20" t="str">
        <f aca="false">IF(OR($D118="spend",$D118="mfree",$D118="pot"),CHOOSE($I118,Slot1_NeedM,Slot2_NeedM,Slot3_NeedM,Slot4_NeedM,Slot5_NeedM,Slot6_NeedM,Slot7_NeedM,Slot8_NeedM,Slot9_NeedM,Slot10_NeedM,Slot11_NeedM,Slot12_NeedM,Slot13_NeedM,Slot14_NeedM,Slot15_NeedM,Slot16_NeedM,Slot17_NeedM,Slot18_NeedM,Slot19_NeedM,Slot20_NeedM),"")</f>
        <v/>
      </c>
      <c r="K118" s="20" t="str">
        <f aca="false">IF(OR($D118="spend",$D118="mfree",$D118="pot"),CHOOSE($I118,Slot1_AvgM,Slot2_AvgM,Slot3_AvgM,Slot4_AvgM,Slot5_AvgM,Slot6_AvgM,Slot7_AvgM,Slot8_AvgM,Slot9_AvgM,Slot10_AvgM,Slot11_AvgM,Slot12_AvgM,Slot13_AvgM,Slot14_AvgM,Slot15_AvgM,Slot16_AvgM,Slot17_AvgM,Slot18_AvgM,Slot19_AvgM,Slot20_AvgM),"")</f>
        <v/>
      </c>
      <c r="L118" s="24"/>
      <c r="M118" s="20" t="str">
        <f aca="false">IF(NOT(OR($D118="spend",$D118="mfree",$D118="pot")),"",IF(AND($D118="mfree",In_home&lt;&gt;"",In_home&lt;&gt;"Own with mortgage"),"No mortgage in Your finances: remove this goal, or add your mortgage",IF(G118&gt;=100,"Fully funded"&amp;IF(K118&gt;0," · on average you'll put "&amp;"€"&amp;TEXT(ROUND(K118,0),"#,##0")&amp;" a month",""),IF(AB118="","Type the extra the what-if search finds in column L to see this line",IF(IF(AB118="none",TRUE(),K118+AB118&gt;Save_SurplusM),"Needs about "&amp;"€"&amp;TEXT(ROUND(IF(AB118="none",MAX(J118,K118+5),K118+AB118),0),"#,##0")&amp;" a month, more than your spare money · on average you'll put "&amp;"€"&amp;TEXT(ROUND(K118,0),"#,##0")&amp;" a month","Needs about "&amp;"€"&amp;TEXT(ROUND(K118+AB118,0),"#,##0")&amp;" a month · on average you'll put "&amp;"€"&amp;TEXT(ROUND(K118,0),"#,##0")&amp;" a month")))))</f>
        <v/>
      </c>
      <c r="N118" s="20" t="str">
        <f aca="false">IF($Q118="","",INDEX(GL_AgeT,9))</f>
        <v/>
      </c>
      <c r="O118" s="20" t="str">
        <f aca="false">IF(AND($Q118&lt;&gt;"",G118&gt;=PR_Good,Findings_Over=0),G118*1000000-N118*1000-9,"")</f>
        <v/>
      </c>
      <c r="P118" s="20" t="str">
        <f aca="false">IF($Q118="","",G118*1000000+N118*1000+9)</f>
        <v/>
      </c>
      <c r="Q118" s="20" t="str">
        <f aca="false">INDEX(GL_Key,9)</f>
        <v/>
      </c>
      <c r="R118" s="20" t="n">
        <f aca="false">IF(G118="",0,G118)</f>
        <v>0</v>
      </c>
      <c r="S118" s="20" t="str">
        <f aca="false">IF($Q118="","",IFERROR(INDEX(Goal_Specs,MATCH($Q118,Goal_Keys,0)),""))</f>
        <v/>
      </c>
      <c r="T118" s="20" t="n">
        <f aca="false">IF($Q118="",9999,G118)</f>
        <v>9999</v>
      </c>
      <c r="U118" s="20" t="str">
        <f aca="false">IF($Q118="","",IF($D118="legacy","at the end of your plan"&amp;IF(Has_a_planEnd=1," ("&amp;AS_End&amp;")",""),IF(INDEX(GL_AgeT,9)&lt;F_Age,"Date has passed",IF($D118="retire",IF(Has_retireAge=1,"at "&amp;INDEX(GL_AgeT,9),"at an age you haven't chosen yet"),"in "&amp;(INDEX(GL_AgeRaw,9)-F_Age)&amp;IF(INDEX(GL_AgeRaw,9)-F_Age=1," year"," years")))))</f>
        <v/>
      </c>
      <c r="V118" s="20" t="str">
        <f aca="false">IF(AND($Q118="safety",F_EssM&gt;0,INDEX(GL_Amount,9)&gt;0),ROUND(INDEX(GL_Amount,9)/F_EssM*10,0)/10,"")</f>
        <v/>
      </c>
      <c r="W118" s="20" t="str">
        <f aca="false">IF($Q118="","",AS_Year0+INDEX(GL_AgeT,9)-F_Age)</f>
        <v/>
      </c>
      <c r="X118" s="20" t="str">
        <f aca="false">IF($Q118="","",IF(AND($D118&lt;&gt;"legacy",INDEX(GL_AgeT,9)&lt;F_Age),"Date has passed",IF($D118="retire","Age ","age ")&amp;INDEX(GL_AgeT,9)&amp;" · "&amp;W118))</f>
        <v/>
      </c>
      <c r="Y118" s="20" t="str">
        <f aca="false">IF($Q118="","",G118*1000+IF($D118="legacy",AS_End,INDEX(GL_AgeT,9)))</f>
        <v/>
      </c>
      <c r="Z118" s="24"/>
      <c r="AA118" s="20" t="str">
        <f aca="false">IF($Q118="","",IF(IF(Z118&lt;&gt;"",Z118,IF(AND(WI_M=0,WI_L=0),G118,""))="","",IF(IF(Z118&lt;&gt;"",Z118,G118)&lt;&gt;G118,C118&amp;" goes from "&amp;IF(Z118&lt;&gt;"",Z118,G118)&amp;"% to "&amp;G118&amp;"%","")))</f>
        <v/>
      </c>
      <c r="AB118" s="20" t="str">
        <f aca="false">IF(ISBLANK(L118),IF(AND(Fill_Example="Yes",FALSE()),"",""),L118)</f>
        <v/>
      </c>
    </row>
    <row r="119" customFormat="false" ht="15" hidden="false" customHeight="true" outlineLevel="0" collapsed="false">
      <c r="B119" s="20" t="n">
        <v>10</v>
      </c>
      <c r="C119" s="20" t="str">
        <f aca="false">IF($Q119="","",INDEX(GL_Name,10))</f>
        <v/>
      </c>
      <c r="D119" s="20" t="str">
        <f aca="false">INDEX(GL_Kind,10)</f>
        <v/>
      </c>
      <c r="E119" s="20" t="str">
        <f aca="false">IF($Q119="","",IF(OR($D119="spend",$D119="mfree",$D119="pot"),CHOOSE($I119,Slot1_Cost,Slot2_Cost,Slot3_Cost,Slot4_Cost,Slot5_Cost,Slot6_Cost,Slot7_Cost,Slot8_Cost,Slot9_Cost,Slot10_Cost,Slot11_Cost,Slot12_Cost,Slot13_Cost,Slot14_Cost,Slot15_Cost,Slot16_Cost,Slot17_Cost,Slot18_Cost,Slot19_Cost,Slot20_Cost),IF($D119="retire",SUMIFS('Plan cashflow'!$TS$8:$TS$97,'Plan cashflow'!$C$8:$C$97,1),IF($D119="legacy",INDEX(GL_Amount,10)*(1+AS_Infl)^F_N,0))))</f>
        <v/>
      </c>
      <c r="F119" s="20" t="str">
        <f aca="false">IF($Q119="","",IF(OR($D119="spend",$D119="mfree",$D119="pot"),CHOOSE($I119,Slot1_Paid,Slot2_Paid,Slot3_Paid,Slot4_Paid,Slot5_Paid,Slot6_Paid,Slot7_Paid,Slot8_Paid,Slot9_Paid,Slot10_Paid,Slot11_Paid,Slot12_Paid,Slot13_Paid,Slot14_Paid,Slot15_Paid,Slot16_Paid,Slot17_Paid,Slot18_Paid,Slot19_Paid,Slot20_Paid),IF($D119="retire",SUMIFS('Plan cashflow'!$TT$8:$TT$97,'Plan cashflow'!$C$8:$C$97,1),IF($D119="legacy",MIN(E119,INDEX('Plan cashflow'!$QK$8:$QK$97,F_N+1)+INDEX('Plan cashflow'!$QL$8:$QL$97,F_N+1)),0))))</f>
        <v/>
      </c>
      <c r="G119" s="20" t="str">
        <f aca="false">IF($Q119="","",IF($D119="retire",IF(SUM('Plan cashflow'!$UH$8:$UH$97)&gt;0,MIN(IF(E119&gt;0,IF(F119&gt;=E119-1,100,MIN(PR_PctCap,MAX(0,INT(F119/E119*100)))),100),94),IF(E119&gt;0,IF(F119&gt;=E119-1,100,MIN(PR_PctCap,MAX(0,INT(F119/E119*100)))),100)),IF(E119&gt;0,IF(F119&gt;=E119-1,100,MIN(PR_PctCap,MAX(0,INT(F119/E119*100)))),100)))</f>
        <v/>
      </c>
      <c r="H119" s="20" t="str">
        <f aca="false">IF(G119="","",IF(G119&gt;=PR_Good,"good",IF(G119&gt;=PR_Nudge,"nudge","alert")))</f>
        <v/>
      </c>
      <c r="I119" s="20" t="str">
        <f aca="false">IF(OR($D119="spend",$D119="mfree",$D119="pot"),INDEX(GL_Pos,10),"")</f>
        <v/>
      </c>
      <c r="J119" s="20" t="str">
        <f aca="false">IF(OR($D119="spend",$D119="mfree",$D119="pot"),CHOOSE($I119,Slot1_NeedM,Slot2_NeedM,Slot3_NeedM,Slot4_NeedM,Slot5_NeedM,Slot6_NeedM,Slot7_NeedM,Slot8_NeedM,Slot9_NeedM,Slot10_NeedM,Slot11_NeedM,Slot12_NeedM,Slot13_NeedM,Slot14_NeedM,Slot15_NeedM,Slot16_NeedM,Slot17_NeedM,Slot18_NeedM,Slot19_NeedM,Slot20_NeedM),"")</f>
        <v/>
      </c>
      <c r="K119" s="20" t="str">
        <f aca="false">IF(OR($D119="spend",$D119="mfree",$D119="pot"),CHOOSE($I119,Slot1_AvgM,Slot2_AvgM,Slot3_AvgM,Slot4_AvgM,Slot5_AvgM,Slot6_AvgM,Slot7_AvgM,Slot8_AvgM,Slot9_AvgM,Slot10_AvgM,Slot11_AvgM,Slot12_AvgM,Slot13_AvgM,Slot14_AvgM,Slot15_AvgM,Slot16_AvgM,Slot17_AvgM,Slot18_AvgM,Slot19_AvgM,Slot20_AvgM),"")</f>
        <v/>
      </c>
      <c r="L119" s="24"/>
      <c r="M119" s="20" t="str">
        <f aca="false">IF(NOT(OR($D119="spend",$D119="mfree",$D119="pot")),"",IF(AND($D119="mfree",In_home&lt;&gt;"",In_home&lt;&gt;"Own with mortgage"),"No mortgage in Your finances: remove this goal, or add your mortgage",IF(G119&gt;=100,"Fully funded"&amp;IF(K119&gt;0," · on average you'll put "&amp;"€"&amp;TEXT(ROUND(K119,0),"#,##0")&amp;" a month",""),IF(AB119="","Type the extra the what-if search finds in column L to see this line",IF(IF(AB119="none",TRUE(),K119+AB119&gt;Save_SurplusM),"Needs about "&amp;"€"&amp;TEXT(ROUND(IF(AB119="none",MAX(J119,K119+5),K119+AB119),0),"#,##0")&amp;" a month, more than your spare money · on average you'll put "&amp;"€"&amp;TEXT(ROUND(K119,0),"#,##0")&amp;" a month","Needs about "&amp;"€"&amp;TEXT(ROUND(K119+AB119,0),"#,##0")&amp;" a month · on average you'll put "&amp;"€"&amp;TEXT(ROUND(K119,0),"#,##0")&amp;" a month")))))</f>
        <v/>
      </c>
      <c r="N119" s="20" t="str">
        <f aca="false">IF($Q119="","",INDEX(GL_AgeT,10))</f>
        <v/>
      </c>
      <c r="O119" s="20" t="str">
        <f aca="false">IF(AND($Q119&lt;&gt;"",G119&gt;=PR_Good,Findings_Over=0),G119*1000000-N119*1000-10,"")</f>
        <v/>
      </c>
      <c r="P119" s="20" t="str">
        <f aca="false">IF($Q119="","",G119*1000000+N119*1000+10)</f>
        <v/>
      </c>
      <c r="Q119" s="20" t="str">
        <f aca="false">INDEX(GL_Key,10)</f>
        <v/>
      </c>
      <c r="R119" s="20" t="n">
        <f aca="false">IF(G119="",0,G119)</f>
        <v>0</v>
      </c>
      <c r="S119" s="20" t="str">
        <f aca="false">IF($Q119="","",IFERROR(INDEX(Goal_Specs,MATCH($Q119,Goal_Keys,0)),""))</f>
        <v/>
      </c>
      <c r="T119" s="20" t="n">
        <f aca="false">IF($Q119="",9999,G119)</f>
        <v>9999</v>
      </c>
      <c r="U119" s="20" t="str">
        <f aca="false">IF($Q119="","",IF($D119="legacy","at the end of your plan"&amp;IF(Has_a_planEnd=1," ("&amp;AS_End&amp;")",""),IF(INDEX(GL_AgeT,10)&lt;F_Age,"Date has passed",IF($D119="retire",IF(Has_retireAge=1,"at "&amp;INDEX(GL_AgeT,10),"at an age you haven't chosen yet"),"in "&amp;(INDEX(GL_AgeRaw,10)-F_Age)&amp;IF(INDEX(GL_AgeRaw,10)-F_Age=1," year"," years")))))</f>
        <v/>
      </c>
      <c r="V119" s="20" t="str">
        <f aca="false">IF(AND($Q119="safety",F_EssM&gt;0,INDEX(GL_Amount,10)&gt;0),ROUND(INDEX(GL_Amount,10)/F_EssM*10,0)/10,"")</f>
        <v/>
      </c>
      <c r="W119" s="20" t="str">
        <f aca="false">IF($Q119="","",AS_Year0+INDEX(GL_AgeT,10)-F_Age)</f>
        <v/>
      </c>
      <c r="X119" s="20" t="str">
        <f aca="false">IF($Q119="","",IF(AND($D119&lt;&gt;"legacy",INDEX(GL_AgeT,10)&lt;F_Age),"Date has passed",IF($D119="retire","Age ","age ")&amp;INDEX(GL_AgeT,10)&amp;" · "&amp;W119))</f>
        <v/>
      </c>
      <c r="Y119" s="20" t="str">
        <f aca="false">IF($Q119="","",G119*1000+IF($D119="legacy",AS_End,INDEX(GL_AgeT,10)))</f>
        <v/>
      </c>
      <c r="Z119" s="24"/>
      <c r="AA119" s="20" t="str">
        <f aca="false">IF($Q119="","",IF(IF(Z119&lt;&gt;"",Z119,IF(AND(WI_M=0,WI_L=0),G119,""))="","",IF(IF(Z119&lt;&gt;"",Z119,G119)&lt;&gt;G119,C119&amp;" goes from "&amp;IF(Z119&lt;&gt;"",Z119,G119)&amp;"% to "&amp;G119&amp;"%","")))</f>
        <v/>
      </c>
      <c r="AB119" s="20" t="str">
        <f aca="false">IF(ISBLANK(L119),IF(AND(Fill_Example="Yes",FALSE()),"",""),L119)</f>
        <v/>
      </c>
    </row>
    <row r="120" customFormat="false" ht="15" hidden="false" customHeight="true" outlineLevel="0" collapsed="false">
      <c r="B120" s="20" t="n">
        <v>11</v>
      </c>
      <c r="C120" s="20" t="str">
        <f aca="false">IF($Q120="","",INDEX(GL_Name,11))</f>
        <v/>
      </c>
      <c r="D120" s="20" t="str">
        <f aca="false">INDEX(GL_Kind,11)</f>
        <v/>
      </c>
      <c r="E120" s="20" t="str">
        <f aca="false">IF($Q120="","",IF(OR($D120="spend",$D120="mfree",$D120="pot"),CHOOSE($I120,Slot1_Cost,Slot2_Cost,Slot3_Cost,Slot4_Cost,Slot5_Cost,Slot6_Cost,Slot7_Cost,Slot8_Cost,Slot9_Cost,Slot10_Cost,Slot11_Cost,Slot12_Cost,Slot13_Cost,Slot14_Cost,Slot15_Cost,Slot16_Cost,Slot17_Cost,Slot18_Cost,Slot19_Cost,Slot20_Cost),IF($D120="retire",SUMIFS('Plan cashflow'!$TS$8:$TS$97,'Plan cashflow'!$C$8:$C$97,1),IF($D120="legacy",INDEX(GL_Amount,11)*(1+AS_Infl)^F_N,0))))</f>
        <v/>
      </c>
      <c r="F120" s="20" t="str">
        <f aca="false">IF($Q120="","",IF(OR($D120="spend",$D120="mfree",$D120="pot"),CHOOSE($I120,Slot1_Paid,Slot2_Paid,Slot3_Paid,Slot4_Paid,Slot5_Paid,Slot6_Paid,Slot7_Paid,Slot8_Paid,Slot9_Paid,Slot10_Paid,Slot11_Paid,Slot12_Paid,Slot13_Paid,Slot14_Paid,Slot15_Paid,Slot16_Paid,Slot17_Paid,Slot18_Paid,Slot19_Paid,Slot20_Paid),IF($D120="retire",SUMIFS('Plan cashflow'!$TT$8:$TT$97,'Plan cashflow'!$C$8:$C$97,1),IF($D120="legacy",MIN(E120,INDEX('Plan cashflow'!$QK$8:$QK$97,F_N+1)+INDEX('Plan cashflow'!$QL$8:$QL$97,F_N+1)),0))))</f>
        <v/>
      </c>
      <c r="G120" s="20" t="str">
        <f aca="false">IF($Q120="","",IF($D120="retire",IF(SUM('Plan cashflow'!$UH$8:$UH$97)&gt;0,MIN(IF(E120&gt;0,IF(F120&gt;=E120-1,100,MIN(PR_PctCap,MAX(0,INT(F120/E120*100)))),100),94),IF(E120&gt;0,IF(F120&gt;=E120-1,100,MIN(PR_PctCap,MAX(0,INT(F120/E120*100)))),100)),IF(E120&gt;0,IF(F120&gt;=E120-1,100,MIN(PR_PctCap,MAX(0,INT(F120/E120*100)))),100)))</f>
        <v/>
      </c>
      <c r="H120" s="20" t="str">
        <f aca="false">IF(G120="","",IF(G120&gt;=PR_Good,"good",IF(G120&gt;=PR_Nudge,"nudge","alert")))</f>
        <v/>
      </c>
      <c r="I120" s="20" t="str">
        <f aca="false">IF(OR($D120="spend",$D120="mfree",$D120="pot"),INDEX(GL_Pos,11),"")</f>
        <v/>
      </c>
      <c r="J120" s="20" t="str">
        <f aca="false">IF(OR($D120="spend",$D120="mfree",$D120="pot"),CHOOSE($I120,Slot1_NeedM,Slot2_NeedM,Slot3_NeedM,Slot4_NeedM,Slot5_NeedM,Slot6_NeedM,Slot7_NeedM,Slot8_NeedM,Slot9_NeedM,Slot10_NeedM,Slot11_NeedM,Slot12_NeedM,Slot13_NeedM,Slot14_NeedM,Slot15_NeedM,Slot16_NeedM,Slot17_NeedM,Slot18_NeedM,Slot19_NeedM,Slot20_NeedM),"")</f>
        <v/>
      </c>
      <c r="K120" s="20" t="str">
        <f aca="false">IF(OR($D120="spend",$D120="mfree",$D120="pot"),CHOOSE($I120,Slot1_AvgM,Slot2_AvgM,Slot3_AvgM,Slot4_AvgM,Slot5_AvgM,Slot6_AvgM,Slot7_AvgM,Slot8_AvgM,Slot9_AvgM,Slot10_AvgM,Slot11_AvgM,Slot12_AvgM,Slot13_AvgM,Slot14_AvgM,Slot15_AvgM,Slot16_AvgM,Slot17_AvgM,Slot18_AvgM,Slot19_AvgM,Slot20_AvgM),"")</f>
        <v/>
      </c>
      <c r="L120" s="24"/>
      <c r="M120" s="20" t="str">
        <f aca="false">IF(NOT(OR($D120="spend",$D120="mfree",$D120="pot")),"",IF(AND($D120="mfree",In_home&lt;&gt;"",In_home&lt;&gt;"Own with mortgage"),"No mortgage in Your finances: remove this goal, or add your mortgage",IF(G120&gt;=100,"Fully funded"&amp;IF(K120&gt;0," · on average you'll put "&amp;"€"&amp;TEXT(ROUND(K120,0),"#,##0")&amp;" a month",""),IF(AB120="","Type the extra the what-if search finds in column L to see this line",IF(IF(AB120="none",TRUE(),K120+AB120&gt;Save_SurplusM),"Needs about "&amp;"€"&amp;TEXT(ROUND(IF(AB120="none",MAX(J120,K120+5),K120+AB120),0),"#,##0")&amp;" a month, more than your spare money · on average you'll put "&amp;"€"&amp;TEXT(ROUND(K120,0),"#,##0")&amp;" a month","Needs about "&amp;"€"&amp;TEXT(ROUND(K120+AB120,0),"#,##0")&amp;" a month · on average you'll put "&amp;"€"&amp;TEXT(ROUND(K120,0),"#,##0")&amp;" a month")))))</f>
        <v/>
      </c>
      <c r="N120" s="20" t="str">
        <f aca="false">IF($Q120="","",INDEX(GL_AgeT,11))</f>
        <v/>
      </c>
      <c r="O120" s="20" t="str">
        <f aca="false">IF(AND($Q120&lt;&gt;"",G120&gt;=PR_Good,Findings_Over=0),G120*1000000-N120*1000-11,"")</f>
        <v/>
      </c>
      <c r="P120" s="20" t="str">
        <f aca="false">IF($Q120="","",G120*1000000+N120*1000+11)</f>
        <v/>
      </c>
      <c r="Q120" s="20" t="str">
        <f aca="false">INDEX(GL_Key,11)</f>
        <v/>
      </c>
      <c r="R120" s="20" t="n">
        <f aca="false">IF(G120="",0,G120)</f>
        <v>0</v>
      </c>
      <c r="S120" s="20" t="str">
        <f aca="false">IF($Q120="","",IFERROR(INDEX(Goal_Specs,MATCH($Q120,Goal_Keys,0)),""))</f>
        <v/>
      </c>
      <c r="T120" s="20" t="n">
        <f aca="false">IF($Q120="",9999,G120)</f>
        <v>9999</v>
      </c>
      <c r="U120" s="20" t="str">
        <f aca="false">IF($Q120="","",IF($D120="legacy","at the end of your plan"&amp;IF(Has_a_planEnd=1," ("&amp;AS_End&amp;")",""),IF(INDEX(GL_AgeT,11)&lt;F_Age,"Date has passed",IF($D120="retire",IF(Has_retireAge=1,"at "&amp;INDEX(GL_AgeT,11),"at an age you haven't chosen yet"),"in "&amp;(INDEX(GL_AgeRaw,11)-F_Age)&amp;IF(INDEX(GL_AgeRaw,11)-F_Age=1," year"," years")))))</f>
        <v/>
      </c>
      <c r="V120" s="20" t="str">
        <f aca="false">IF(AND($Q120="safety",F_EssM&gt;0,INDEX(GL_Amount,11)&gt;0),ROUND(INDEX(GL_Amount,11)/F_EssM*10,0)/10,"")</f>
        <v/>
      </c>
      <c r="W120" s="20" t="str">
        <f aca="false">IF($Q120="","",AS_Year0+INDEX(GL_AgeT,11)-F_Age)</f>
        <v/>
      </c>
      <c r="X120" s="20" t="str">
        <f aca="false">IF($Q120="","",IF(AND($D120&lt;&gt;"legacy",INDEX(GL_AgeT,11)&lt;F_Age),"Date has passed",IF($D120="retire","Age ","age ")&amp;INDEX(GL_AgeT,11)&amp;" · "&amp;W120))</f>
        <v/>
      </c>
      <c r="Y120" s="20" t="str">
        <f aca="false">IF($Q120="","",G120*1000+IF($D120="legacy",AS_End,INDEX(GL_AgeT,11)))</f>
        <v/>
      </c>
      <c r="Z120" s="24"/>
      <c r="AA120" s="20" t="str">
        <f aca="false">IF($Q120="","",IF(IF(Z120&lt;&gt;"",Z120,IF(AND(WI_M=0,WI_L=0),G120,""))="","",IF(IF(Z120&lt;&gt;"",Z120,G120)&lt;&gt;G120,C120&amp;" goes from "&amp;IF(Z120&lt;&gt;"",Z120,G120)&amp;"% to "&amp;G120&amp;"%","")))</f>
        <v/>
      </c>
      <c r="AB120" s="20" t="str">
        <f aca="false">IF(ISBLANK(L120),IF(AND(Fill_Example="Yes",FALSE()),"",""),L120)</f>
        <v/>
      </c>
    </row>
    <row r="121" customFormat="false" ht="15" hidden="false" customHeight="true" outlineLevel="0" collapsed="false">
      <c r="B121" s="20" t="n">
        <v>12</v>
      </c>
      <c r="C121" s="20" t="str">
        <f aca="false">IF($Q121="","",INDEX(GL_Name,12))</f>
        <v/>
      </c>
      <c r="D121" s="20" t="str">
        <f aca="false">INDEX(GL_Kind,12)</f>
        <v/>
      </c>
      <c r="E121" s="20" t="str">
        <f aca="false">IF($Q121="","",IF(OR($D121="spend",$D121="mfree",$D121="pot"),CHOOSE($I121,Slot1_Cost,Slot2_Cost,Slot3_Cost,Slot4_Cost,Slot5_Cost,Slot6_Cost,Slot7_Cost,Slot8_Cost,Slot9_Cost,Slot10_Cost,Slot11_Cost,Slot12_Cost,Slot13_Cost,Slot14_Cost,Slot15_Cost,Slot16_Cost,Slot17_Cost,Slot18_Cost,Slot19_Cost,Slot20_Cost),IF($D121="retire",SUMIFS('Plan cashflow'!$TS$8:$TS$97,'Plan cashflow'!$C$8:$C$97,1),IF($D121="legacy",INDEX(GL_Amount,12)*(1+AS_Infl)^F_N,0))))</f>
        <v/>
      </c>
      <c r="F121" s="20" t="str">
        <f aca="false">IF($Q121="","",IF(OR($D121="spend",$D121="mfree",$D121="pot"),CHOOSE($I121,Slot1_Paid,Slot2_Paid,Slot3_Paid,Slot4_Paid,Slot5_Paid,Slot6_Paid,Slot7_Paid,Slot8_Paid,Slot9_Paid,Slot10_Paid,Slot11_Paid,Slot12_Paid,Slot13_Paid,Slot14_Paid,Slot15_Paid,Slot16_Paid,Slot17_Paid,Slot18_Paid,Slot19_Paid,Slot20_Paid),IF($D121="retire",SUMIFS('Plan cashflow'!$TT$8:$TT$97,'Plan cashflow'!$C$8:$C$97,1),IF($D121="legacy",MIN(E121,INDEX('Plan cashflow'!$QK$8:$QK$97,F_N+1)+INDEX('Plan cashflow'!$QL$8:$QL$97,F_N+1)),0))))</f>
        <v/>
      </c>
      <c r="G121" s="20" t="str">
        <f aca="false">IF($Q121="","",IF($D121="retire",IF(SUM('Plan cashflow'!$UH$8:$UH$97)&gt;0,MIN(IF(E121&gt;0,IF(F121&gt;=E121-1,100,MIN(PR_PctCap,MAX(0,INT(F121/E121*100)))),100),94),IF(E121&gt;0,IF(F121&gt;=E121-1,100,MIN(PR_PctCap,MAX(0,INT(F121/E121*100)))),100)),IF(E121&gt;0,IF(F121&gt;=E121-1,100,MIN(PR_PctCap,MAX(0,INT(F121/E121*100)))),100)))</f>
        <v/>
      </c>
      <c r="H121" s="20" t="str">
        <f aca="false">IF(G121="","",IF(G121&gt;=PR_Good,"good",IF(G121&gt;=PR_Nudge,"nudge","alert")))</f>
        <v/>
      </c>
      <c r="I121" s="20" t="str">
        <f aca="false">IF(OR($D121="spend",$D121="mfree",$D121="pot"),INDEX(GL_Pos,12),"")</f>
        <v/>
      </c>
      <c r="J121" s="20" t="str">
        <f aca="false">IF(OR($D121="spend",$D121="mfree",$D121="pot"),CHOOSE($I121,Slot1_NeedM,Slot2_NeedM,Slot3_NeedM,Slot4_NeedM,Slot5_NeedM,Slot6_NeedM,Slot7_NeedM,Slot8_NeedM,Slot9_NeedM,Slot10_NeedM,Slot11_NeedM,Slot12_NeedM,Slot13_NeedM,Slot14_NeedM,Slot15_NeedM,Slot16_NeedM,Slot17_NeedM,Slot18_NeedM,Slot19_NeedM,Slot20_NeedM),"")</f>
        <v/>
      </c>
      <c r="K121" s="20" t="str">
        <f aca="false">IF(OR($D121="spend",$D121="mfree",$D121="pot"),CHOOSE($I121,Slot1_AvgM,Slot2_AvgM,Slot3_AvgM,Slot4_AvgM,Slot5_AvgM,Slot6_AvgM,Slot7_AvgM,Slot8_AvgM,Slot9_AvgM,Slot10_AvgM,Slot11_AvgM,Slot12_AvgM,Slot13_AvgM,Slot14_AvgM,Slot15_AvgM,Slot16_AvgM,Slot17_AvgM,Slot18_AvgM,Slot19_AvgM,Slot20_AvgM),"")</f>
        <v/>
      </c>
      <c r="L121" s="24"/>
      <c r="M121" s="20" t="str">
        <f aca="false">IF(NOT(OR($D121="spend",$D121="mfree",$D121="pot")),"",IF(AND($D121="mfree",In_home&lt;&gt;"",In_home&lt;&gt;"Own with mortgage"),"No mortgage in Your finances: remove this goal, or add your mortgage",IF(G121&gt;=100,"Fully funded"&amp;IF(K121&gt;0," · on average you'll put "&amp;"€"&amp;TEXT(ROUND(K121,0),"#,##0")&amp;" a month",""),IF(AB121="","Type the extra the what-if search finds in column L to see this line",IF(IF(AB121="none",TRUE(),K121+AB121&gt;Save_SurplusM),"Needs about "&amp;"€"&amp;TEXT(ROUND(IF(AB121="none",MAX(J121,K121+5),K121+AB121),0),"#,##0")&amp;" a month, more than your spare money · on average you'll put "&amp;"€"&amp;TEXT(ROUND(K121,0),"#,##0")&amp;" a month","Needs about "&amp;"€"&amp;TEXT(ROUND(K121+AB121,0),"#,##0")&amp;" a month · on average you'll put "&amp;"€"&amp;TEXT(ROUND(K121,0),"#,##0")&amp;" a month")))))</f>
        <v/>
      </c>
      <c r="N121" s="20" t="str">
        <f aca="false">IF($Q121="","",INDEX(GL_AgeT,12))</f>
        <v/>
      </c>
      <c r="O121" s="20" t="str">
        <f aca="false">IF(AND($Q121&lt;&gt;"",G121&gt;=PR_Good,Findings_Over=0),G121*1000000-N121*1000-12,"")</f>
        <v/>
      </c>
      <c r="P121" s="20" t="str">
        <f aca="false">IF($Q121="","",G121*1000000+N121*1000+12)</f>
        <v/>
      </c>
      <c r="Q121" s="20" t="str">
        <f aca="false">INDEX(GL_Key,12)</f>
        <v/>
      </c>
      <c r="R121" s="20" t="n">
        <f aca="false">IF(G121="",0,G121)</f>
        <v>0</v>
      </c>
      <c r="S121" s="20" t="str">
        <f aca="false">IF($Q121="","",IFERROR(INDEX(Goal_Specs,MATCH($Q121,Goal_Keys,0)),""))</f>
        <v/>
      </c>
      <c r="T121" s="20" t="n">
        <f aca="false">IF($Q121="",9999,G121)</f>
        <v>9999</v>
      </c>
      <c r="U121" s="20" t="str">
        <f aca="false">IF($Q121="","",IF($D121="legacy","at the end of your plan"&amp;IF(Has_a_planEnd=1," ("&amp;AS_End&amp;")",""),IF(INDEX(GL_AgeT,12)&lt;F_Age,"Date has passed",IF($D121="retire",IF(Has_retireAge=1,"at "&amp;INDEX(GL_AgeT,12),"at an age you haven't chosen yet"),"in "&amp;(INDEX(GL_AgeRaw,12)-F_Age)&amp;IF(INDEX(GL_AgeRaw,12)-F_Age=1," year"," years")))))</f>
        <v/>
      </c>
      <c r="V121" s="20" t="str">
        <f aca="false">IF(AND($Q121="safety",F_EssM&gt;0,INDEX(GL_Amount,12)&gt;0),ROUND(INDEX(GL_Amount,12)/F_EssM*10,0)/10,"")</f>
        <v/>
      </c>
      <c r="W121" s="20" t="str">
        <f aca="false">IF($Q121="","",AS_Year0+INDEX(GL_AgeT,12)-F_Age)</f>
        <v/>
      </c>
      <c r="X121" s="20" t="str">
        <f aca="false">IF($Q121="","",IF(AND($D121&lt;&gt;"legacy",INDEX(GL_AgeT,12)&lt;F_Age),"Date has passed",IF($D121="retire","Age ","age ")&amp;INDEX(GL_AgeT,12)&amp;" · "&amp;W121))</f>
        <v/>
      </c>
      <c r="Y121" s="20" t="str">
        <f aca="false">IF($Q121="","",G121*1000+IF($D121="legacy",AS_End,INDEX(GL_AgeT,12)))</f>
        <v/>
      </c>
      <c r="Z121" s="24"/>
      <c r="AA121" s="20" t="str">
        <f aca="false">IF($Q121="","",IF(IF(Z121&lt;&gt;"",Z121,IF(AND(WI_M=0,WI_L=0),G121,""))="","",IF(IF(Z121&lt;&gt;"",Z121,G121)&lt;&gt;G121,C121&amp;" goes from "&amp;IF(Z121&lt;&gt;"",Z121,G121)&amp;"% to "&amp;G121&amp;"%","")))</f>
        <v/>
      </c>
      <c r="AB121" s="20" t="str">
        <f aca="false">IF(ISBLANK(L121),IF(AND(Fill_Example="Yes",FALSE()),"",""),L121)</f>
        <v/>
      </c>
    </row>
    <row r="122" customFormat="false" ht="15" hidden="false" customHeight="true" outlineLevel="0" collapsed="false">
      <c r="B122" s="20" t="n">
        <v>13</v>
      </c>
      <c r="C122" s="20" t="str">
        <f aca="false">IF($Q122="","",INDEX(GL_Name,13))</f>
        <v/>
      </c>
      <c r="D122" s="20" t="str">
        <f aca="false">INDEX(GL_Kind,13)</f>
        <v/>
      </c>
      <c r="E122" s="20" t="str">
        <f aca="false">IF($Q122="","",IF(OR($D122="spend",$D122="mfree",$D122="pot"),CHOOSE($I122,Slot1_Cost,Slot2_Cost,Slot3_Cost,Slot4_Cost,Slot5_Cost,Slot6_Cost,Slot7_Cost,Slot8_Cost,Slot9_Cost,Slot10_Cost,Slot11_Cost,Slot12_Cost,Slot13_Cost,Slot14_Cost,Slot15_Cost,Slot16_Cost,Slot17_Cost,Slot18_Cost,Slot19_Cost,Slot20_Cost),IF($D122="retire",SUMIFS('Plan cashflow'!$TS$8:$TS$97,'Plan cashflow'!$C$8:$C$97,1),IF($D122="legacy",INDEX(GL_Amount,13)*(1+AS_Infl)^F_N,0))))</f>
        <v/>
      </c>
      <c r="F122" s="20" t="str">
        <f aca="false">IF($Q122="","",IF(OR($D122="spend",$D122="mfree",$D122="pot"),CHOOSE($I122,Slot1_Paid,Slot2_Paid,Slot3_Paid,Slot4_Paid,Slot5_Paid,Slot6_Paid,Slot7_Paid,Slot8_Paid,Slot9_Paid,Slot10_Paid,Slot11_Paid,Slot12_Paid,Slot13_Paid,Slot14_Paid,Slot15_Paid,Slot16_Paid,Slot17_Paid,Slot18_Paid,Slot19_Paid,Slot20_Paid),IF($D122="retire",SUMIFS('Plan cashflow'!$TT$8:$TT$97,'Plan cashflow'!$C$8:$C$97,1),IF($D122="legacy",MIN(E122,INDEX('Plan cashflow'!$QK$8:$QK$97,F_N+1)+INDEX('Plan cashflow'!$QL$8:$QL$97,F_N+1)),0))))</f>
        <v/>
      </c>
      <c r="G122" s="20" t="str">
        <f aca="false">IF($Q122="","",IF($D122="retire",IF(SUM('Plan cashflow'!$UH$8:$UH$97)&gt;0,MIN(IF(E122&gt;0,IF(F122&gt;=E122-1,100,MIN(PR_PctCap,MAX(0,INT(F122/E122*100)))),100),94),IF(E122&gt;0,IF(F122&gt;=E122-1,100,MIN(PR_PctCap,MAX(0,INT(F122/E122*100)))),100)),IF(E122&gt;0,IF(F122&gt;=E122-1,100,MIN(PR_PctCap,MAX(0,INT(F122/E122*100)))),100)))</f>
        <v/>
      </c>
      <c r="H122" s="20" t="str">
        <f aca="false">IF(G122="","",IF(G122&gt;=PR_Good,"good",IF(G122&gt;=PR_Nudge,"nudge","alert")))</f>
        <v/>
      </c>
      <c r="I122" s="20" t="str">
        <f aca="false">IF(OR($D122="spend",$D122="mfree",$D122="pot"),INDEX(GL_Pos,13),"")</f>
        <v/>
      </c>
      <c r="J122" s="20" t="str">
        <f aca="false">IF(OR($D122="spend",$D122="mfree",$D122="pot"),CHOOSE($I122,Slot1_NeedM,Slot2_NeedM,Slot3_NeedM,Slot4_NeedM,Slot5_NeedM,Slot6_NeedM,Slot7_NeedM,Slot8_NeedM,Slot9_NeedM,Slot10_NeedM,Slot11_NeedM,Slot12_NeedM,Slot13_NeedM,Slot14_NeedM,Slot15_NeedM,Slot16_NeedM,Slot17_NeedM,Slot18_NeedM,Slot19_NeedM,Slot20_NeedM),"")</f>
        <v/>
      </c>
      <c r="K122" s="20" t="str">
        <f aca="false">IF(OR($D122="spend",$D122="mfree",$D122="pot"),CHOOSE($I122,Slot1_AvgM,Slot2_AvgM,Slot3_AvgM,Slot4_AvgM,Slot5_AvgM,Slot6_AvgM,Slot7_AvgM,Slot8_AvgM,Slot9_AvgM,Slot10_AvgM,Slot11_AvgM,Slot12_AvgM,Slot13_AvgM,Slot14_AvgM,Slot15_AvgM,Slot16_AvgM,Slot17_AvgM,Slot18_AvgM,Slot19_AvgM,Slot20_AvgM),"")</f>
        <v/>
      </c>
      <c r="L122" s="24"/>
      <c r="M122" s="20" t="str">
        <f aca="false">IF(NOT(OR($D122="spend",$D122="mfree",$D122="pot")),"",IF(AND($D122="mfree",In_home&lt;&gt;"",In_home&lt;&gt;"Own with mortgage"),"No mortgage in Your finances: remove this goal, or add your mortgage",IF(G122&gt;=100,"Fully funded"&amp;IF(K122&gt;0," · on average you'll put "&amp;"€"&amp;TEXT(ROUND(K122,0),"#,##0")&amp;" a month",""),IF(AB122="","Type the extra the what-if search finds in column L to see this line",IF(IF(AB122="none",TRUE(),K122+AB122&gt;Save_SurplusM),"Needs about "&amp;"€"&amp;TEXT(ROUND(IF(AB122="none",MAX(J122,K122+5),K122+AB122),0),"#,##0")&amp;" a month, more than your spare money · on average you'll put "&amp;"€"&amp;TEXT(ROUND(K122,0),"#,##0")&amp;" a month","Needs about "&amp;"€"&amp;TEXT(ROUND(K122+AB122,0),"#,##0")&amp;" a month · on average you'll put "&amp;"€"&amp;TEXT(ROUND(K122,0),"#,##0")&amp;" a month")))))</f>
        <v/>
      </c>
      <c r="N122" s="20" t="str">
        <f aca="false">IF($Q122="","",INDEX(GL_AgeT,13))</f>
        <v/>
      </c>
      <c r="O122" s="20" t="str">
        <f aca="false">IF(AND($Q122&lt;&gt;"",G122&gt;=PR_Good,Findings_Over=0),G122*1000000-N122*1000-13,"")</f>
        <v/>
      </c>
      <c r="P122" s="20" t="str">
        <f aca="false">IF($Q122="","",G122*1000000+N122*1000+13)</f>
        <v/>
      </c>
      <c r="Q122" s="20" t="str">
        <f aca="false">INDEX(GL_Key,13)</f>
        <v/>
      </c>
      <c r="R122" s="20" t="n">
        <f aca="false">IF(G122="",0,G122)</f>
        <v>0</v>
      </c>
      <c r="S122" s="20" t="str">
        <f aca="false">IF($Q122="","",IFERROR(INDEX(Goal_Specs,MATCH($Q122,Goal_Keys,0)),""))</f>
        <v/>
      </c>
      <c r="T122" s="20" t="n">
        <f aca="false">IF($Q122="",9999,G122)</f>
        <v>9999</v>
      </c>
      <c r="U122" s="20" t="str">
        <f aca="false">IF($Q122="","",IF($D122="legacy","at the end of your plan"&amp;IF(Has_a_planEnd=1," ("&amp;AS_End&amp;")",""),IF(INDEX(GL_AgeT,13)&lt;F_Age,"Date has passed",IF($D122="retire",IF(Has_retireAge=1,"at "&amp;INDEX(GL_AgeT,13),"at an age you haven't chosen yet"),"in "&amp;(INDEX(GL_AgeRaw,13)-F_Age)&amp;IF(INDEX(GL_AgeRaw,13)-F_Age=1," year"," years")))))</f>
        <v/>
      </c>
      <c r="V122" s="20" t="str">
        <f aca="false">IF(AND($Q122="safety",F_EssM&gt;0,INDEX(GL_Amount,13)&gt;0),ROUND(INDEX(GL_Amount,13)/F_EssM*10,0)/10,"")</f>
        <v/>
      </c>
      <c r="W122" s="20" t="str">
        <f aca="false">IF($Q122="","",AS_Year0+INDEX(GL_AgeT,13)-F_Age)</f>
        <v/>
      </c>
      <c r="X122" s="20" t="str">
        <f aca="false">IF($Q122="","",IF(AND($D122&lt;&gt;"legacy",INDEX(GL_AgeT,13)&lt;F_Age),"Date has passed",IF($D122="retire","Age ","age ")&amp;INDEX(GL_AgeT,13)&amp;" · "&amp;W122))</f>
        <v/>
      </c>
      <c r="Y122" s="20" t="str">
        <f aca="false">IF($Q122="","",G122*1000+IF($D122="legacy",AS_End,INDEX(GL_AgeT,13)))</f>
        <v/>
      </c>
      <c r="Z122" s="24"/>
      <c r="AA122" s="20" t="str">
        <f aca="false">IF($Q122="","",IF(IF(Z122&lt;&gt;"",Z122,IF(AND(WI_M=0,WI_L=0),G122,""))="","",IF(IF(Z122&lt;&gt;"",Z122,G122)&lt;&gt;G122,C122&amp;" goes from "&amp;IF(Z122&lt;&gt;"",Z122,G122)&amp;"% to "&amp;G122&amp;"%","")))</f>
        <v/>
      </c>
      <c r="AB122" s="20" t="str">
        <f aca="false">IF(ISBLANK(L122),IF(AND(Fill_Example="Yes",FALSE()),"",""),L122)</f>
        <v/>
      </c>
    </row>
    <row r="123" customFormat="false" ht="15" hidden="false" customHeight="true" outlineLevel="0" collapsed="false">
      <c r="B123" s="20" t="n">
        <v>14</v>
      </c>
      <c r="C123" s="20" t="str">
        <f aca="false">IF($Q123="","",INDEX(GL_Name,14))</f>
        <v/>
      </c>
      <c r="D123" s="20" t="str">
        <f aca="false">INDEX(GL_Kind,14)</f>
        <v/>
      </c>
      <c r="E123" s="20" t="str">
        <f aca="false">IF($Q123="","",IF(OR($D123="spend",$D123="mfree",$D123="pot"),CHOOSE($I123,Slot1_Cost,Slot2_Cost,Slot3_Cost,Slot4_Cost,Slot5_Cost,Slot6_Cost,Slot7_Cost,Slot8_Cost,Slot9_Cost,Slot10_Cost,Slot11_Cost,Slot12_Cost,Slot13_Cost,Slot14_Cost,Slot15_Cost,Slot16_Cost,Slot17_Cost,Slot18_Cost,Slot19_Cost,Slot20_Cost),IF($D123="retire",SUMIFS('Plan cashflow'!$TS$8:$TS$97,'Plan cashflow'!$C$8:$C$97,1),IF($D123="legacy",INDEX(GL_Amount,14)*(1+AS_Infl)^F_N,0))))</f>
        <v/>
      </c>
      <c r="F123" s="20" t="str">
        <f aca="false">IF($Q123="","",IF(OR($D123="spend",$D123="mfree",$D123="pot"),CHOOSE($I123,Slot1_Paid,Slot2_Paid,Slot3_Paid,Slot4_Paid,Slot5_Paid,Slot6_Paid,Slot7_Paid,Slot8_Paid,Slot9_Paid,Slot10_Paid,Slot11_Paid,Slot12_Paid,Slot13_Paid,Slot14_Paid,Slot15_Paid,Slot16_Paid,Slot17_Paid,Slot18_Paid,Slot19_Paid,Slot20_Paid),IF($D123="retire",SUMIFS('Plan cashflow'!$TT$8:$TT$97,'Plan cashflow'!$C$8:$C$97,1),IF($D123="legacy",MIN(E123,INDEX('Plan cashflow'!$QK$8:$QK$97,F_N+1)+INDEX('Plan cashflow'!$QL$8:$QL$97,F_N+1)),0))))</f>
        <v/>
      </c>
      <c r="G123" s="20" t="str">
        <f aca="false">IF($Q123="","",IF($D123="retire",IF(SUM('Plan cashflow'!$UH$8:$UH$97)&gt;0,MIN(IF(E123&gt;0,IF(F123&gt;=E123-1,100,MIN(PR_PctCap,MAX(0,INT(F123/E123*100)))),100),94),IF(E123&gt;0,IF(F123&gt;=E123-1,100,MIN(PR_PctCap,MAX(0,INT(F123/E123*100)))),100)),IF(E123&gt;0,IF(F123&gt;=E123-1,100,MIN(PR_PctCap,MAX(0,INT(F123/E123*100)))),100)))</f>
        <v/>
      </c>
      <c r="H123" s="20" t="str">
        <f aca="false">IF(G123="","",IF(G123&gt;=PR_Good,"good",IF(G123&gt;=PR_Nudge,"nudge","alert")))</f>
        <v/>
      </c>
      <c r="I123" s="20" t="str">
        <f aca="false">IF(OR($D123="spend",$D123="mfree",$D123="pot"),INDEX(GL_Pos,14),"")</f>
        <v/>
      </c>
      <c r="J123" s="20" t="str">
        <f aca="false">IF(OR($D123="spend",$D123="mfree",$D123="pot"),CHOOSE($I123,Slot1_NeedM,Slot2_NeedM,Slot3_NeedM,Slot4_NeedM,Slot5_NeedM,Slot6_NeedM,Slot7_NeedM,Slot8_NeedM,Slot9_NeedM,Slot10_NeedM,Slot11_NeedM,Slot12_NeedM,Slot13_NeedM,Slot14_NeedM,Slot15_NeedM,Slot16_NeedM,Slot17_NeedM,Slot18_NeedM,Slot19_NeedM,Slot20_NeedM),"")</f>
        <v/>
      </c>
      <c r="K123" s="20" t="str">
        <f aca="false">IF(OR($D123="spend",$D123="mfree",$D123="pot"),CHOOSE($I123,Slot1_AvgM,Slot2_AvgM,Slot3_AvgM,Slot4_AvgM,Slot5_AvgM,Slot6_AvgM,Slot7_AvgM,Slot8_AvgM,Slot9_AvgM,Slot10_AvgM,Slot11_AvgM,Slot12_AvgM,Slot13_AvgM,Slot14_AvgM,Slot15_AvgM,Slot16_AvgM,Slot17_AvgM,Slot18_AvgM,Slot19_AvgM,Slot20_AvgM),"")</f>
        <v/>
      </c>
      <c r="L123" s="24"/>
      <c r="M123" s="20" t="str">
        <f aca="false">IF(NOT(OR($D123="spend",$D123="mfree",$D123="pot")),"",IF(AND($D123="mfree",In_home&lt;&gt;"",In_home&lt;&gt;"Own with mortgage"),"No mortgage in Your finances: remove this goal, or add your mortgage",IF(G123&gt;=100,"Fully funded"&amp;IF(K123&gt;0," · on average you'll put "&amp;"€"&amp;TEXT(ROUND(K123,0),"#,##0")&amp;" a month",""),IF(AB123="","Type the extra the what-if search finds in column L to see this line",IF(IF(AB123="none",TRUE(),K123+AB123&gt;Save_SurplusM),"Needs about "&amp;"€"&amp;TEXT(ROUND(IF(AB123="none",MAX(J123,K123+5),K123+AB123),0),"#,##0")&amp;" a month, more than your spare money · on average you'll put "&amp;"€"&amp;TEXT(ROUND(K123,0),"#,##0")&amp;" a month","Needs about "&amp;"€"&amp;TEXT(ROUND(K123+AB123,0),"#,##0")&amp;" a month · on average you'll put "&amp;"€"&amp;TEXT(ROUND(K123,0),"#,##0")&amp;" a month")))))</f>
        <v/>
      </c>
      <c r="N123" s="20" t="str">
        <f aca="false">IF($Q123="","",INDEX(GL_AgeT,14))</f>
        <v/>
      </c>
      <c r="O123" s="20" t="str">
        <f aca="false">IF(AND($Q123&lt;&gt;"",G123&gt;=PR_Good,Findings_Over=0),G123*1000000-N123*1000-14,"")</f>
        <v/>
      </c>
      <c r="P123" s="20" t="str">
        <f aca="false">IF($Q123="","",G123*1000000+N123*1000+14)</f>
        <v/>
      </c>
      <c r="Q123" s="20" t="str">
        <f aca="false">INDEX(GL_Key,14)</f>
        <v/>
      </c>
      <c r="R123" s="20" t="n">
        <f aca="false">IF(G123="",0,G123)</f>
        <v>0</v>
      </c>
      <c r="S123" s="20" t="str">
        <f aca="false">IF($Q123="","",IFERROR(INDEX(Goal_Specs,MATCH($Q123,Goal_Keys,0)),""))</f>
        <v/>
      </c>
      <c r="T123" s="20" t="n">
        <f aca="false">IF($Q123="",9999,G123)</f>
        <v>9999</v>
      </c>
      <c r="U123" s="20" t="str">
        <f aca="false">IF($Q123="","",IF($D123="legacy","at the end of your plan"&amp;IF(Has_a_planEnd=1," ("&amp;AS_End&amp;")",""),IF(INDEX(GL_AgeT,14)&lt;F_Age,"Date has passed",IF($D123="retire",IF(Has_retireAge=1,"at "&amp;INDEX(GL_AgeT,14),"at an age you haven't chosen yet"),"in "&amp;(INDEX(GL_AgeRaw,14)-F_Age)&amp;IF(INDEX(GL_AgeRaw,14)-F_Age=1," year"," years")))))</f>
        <v/>
      </c>
      <c r="V123" s="20" t="str">
        <f aca="false">IF(AND($Q123="safety",F_EssM&gt;0,INDEX(GL_Amount,14)&gt;0),ROUND(INDEX(GL_Amount,14)/F_EssM*10,0)/10,"")</f>
        <v/>
      </c>
      <c r="W123" s="20" t="str">
        <f aca="false">IF($Q123="","",AS_Year0+INDEX(GL_AgeT,14)-F_Age)</f>
        <v/>
      </c>
      <c r="X123" s="20" t="str">
        <f aca="false">IF($Q123="","",IF(AND($D123&lt;&gt;"legacy",INDEX(GL_AgeT,14)&lt;F_Age),"Date has passed",IF($D123="retire","Age ","age ")&amp;INDEX(GL_AgeT,14)&amp;" · "&amp;W123))</f>
        <v/>
      </c>
      <c r="Y123" s="20" t="str">
        <f aca="false">IF($Q123="","",G123*1000+IF($D123="legacy",AS_End,INDEX(GL_AgeT,14)))</f>
        <v/>
      </c>
      <c r="Z123" s="24"/>
      <c r="AA123" s="20" t="str">
        <f aca="false">IF($Q123="","",IF(IF(Z123&lt;&gt;"",Z123,IF(AND(WI_M=0,WI_L=0),G123,""))="","",IF(IF(Z123&lt;&gt;"",Z123,G123)&lt;&gt;G123,C123&amp;" goes from "&amp;IF(Z123&lt;&gt;"",Z123,G123)&amp;"% to "&amp;G123&amp;"%","")))</f>
        <v/>
      </c>
      <c r="AB123" s="20" t="str">
        <f aca="false">IF(ISBLANK(L123),IF(AND(Fill_Example="Yes",FALSE()),"",""),L123)</f>
        <v/>
      </c>
    </row>
    <row r="124" customFormat="false" ht="15" hidden="false" customHeight="true" outlineLevel="0" collapsed="false">
      <c r="B124" s="20" t="n">
        <v>15</v>
      </c>
      <c r="C124" s="20" t="str">
        <f aca="false">IF($Q124="","",INDEX(GL_Name,15))</f>
        <v/>
      </c>
      <c r="D124" s="20" t="str">
        <f aca="false">INDEX(GL_Kind,15)</f>
        <v/>
      </c>
      <c r="E124" s="20" t="str">
        <f aca="false">IF($Q124="","",IF(OR($D124="spend",$D124="mfree",$D124="pot"),CHOOSE($I124,Slot1_Cost,Slot2_Cost,Slot3_Cost,Slot4_Cost,Slot5_Cost,Slot6_Cost,Slot7_Cost,Slot8_Cost,Slot9_Cost,Slot10_Cost,Slot11_Cost,Slot12_Cost,Slot13_Cost,Slot14_Cost,Slot15_Cost,Slot16_Cost,Slot17_Cost,Slot18_Cost,Slot19_Cost,Slot20_Cost),IF($D124="retire",SUMIFS('Plan cashflow'!$TS$8:$TS$97,'Plan cashflow'!$C$8:$C$97,1),IF($D124="legacy",INDEX(GL_Amount,15)*(1+AS_Infl)^F_N,0))))</f>
        <v/>
      </c>
      <c r="F124" s="20" t="str">
        <f aca="false">IF($Q124="","",IF(OR($D124="spend",$D124="mfree",$D124="pot"),CHOOSE($I124,Slot1_Paid,Slot2_Paid,Slot3_Paid,Slot4_Paid,Slot5_Paid,Slot6_Paid,Slot7_Paid,Slot8_Paid,Slot9_Paid,Slot10_Paid,Slot11_Paid,Slot12_Paid,Slot13_Paid,Slot14_Paid,Slot15_Paid,Slot16_Paid,Slot17_Paid,Slot18_Paid,Slot19_Paid,Slot20_Paid),IF($D124="retire",SUMIFS('Plan cashflow'!$TT$8:$TT$97,'Plan cashflow'!$C$8:$C$97,1),IF($D124="legacy",MIN(E124,INDEX('Plan cashflow'!$QK$8:$QK$97,F_N+1)+INDEX('Plan cashflow'!$QL$8:$QL$97,F_N+1)),0))))</f>
        <v/>
      </c>
      <c r="G124" s="20" t="str">
        <f aca="false">IF($Q124="","",IF($D124="retire",IF(SUM('Plan cashflow'!$UH$8:$UH$97)&gt;0,MIN(IF(E124&gt;0,IF(F124&gt;=E124-1,100,MIN(PR_PctCap,MAX(0,INT(F124/E124*100)))),100),94),IF(E124&gt;0,IF(F124&gt;=E124-1,100,MIN(PR_PctCap,MAX(0,INT(F124/E124*100)))),100)),IF(E124&gt;0,IF(F124&gt;=E124-1,100,MIN(PR_PctCap,MAX(0,INT(F124/E124*100)))),100)))</f>
        <v/>
      </c>
      <c r="H124" s="20" t="str">
        <f aca="false">IF(G124="","",IF(G124&gt;=PR_Good,"good",IF(G124&gt;=PR_Nudge,"nudge","alert")))</f>
        <v/>
      </c>
      <c r="I124" s="20" t="str">
        <f aca="false">IF(OR($D124="spend",$D124="mfree",$D124="pot"),INDEX(GL_Pos,15),"")</f>
        <v/>
      </c>
      <c r="J124" s="20" t="str">
        <f aca="false">IF(OR($D124="spend",$D124="mfree",$D124="pot"),CHOOSE($I124,Slot1_NeedM,Slot2_NeedM,Slot3_NeedM,Slot4_NeedM,Slot5_NeedM,Slot6_NeedM,Slot7_NeedM,Slot8_NeedM,Slot9_NeedM,Slot10_NeedM,Slot11_NeedM,Slot12_NeedM,Slot13_NeedM,Slot14_NeedM,Slot15_NeedM,Slot16_NeedM,Slot17_NeedM,Slot18_NeedM,Slot19_NeedM,Slot20_NeedM),"")</f>
        <v/>
      </c>
      <c r="K124" s="20" t="str">
        <f aca="false">IF(OR($D124="spend",$D124="mfree",$D124="pot"),CHOOSE($I124,Slot1_AvgM,Slot2_AvgM,Slot3_AvgM,Slot4_AvgM,Slot5_AvgM,Slot6_AvgM,Slot7_AvgM,Slot8_AvgM,Slot9_AvgM,Slot10_AvgM,Slot11_AvgM,Slot12_AvgM,Slot13_AvgM,Slot14_AvgM,Slot15_AvgM,Slot16_AvgM,Slot17_AvgM,Slot18_AvgM,Slot19_AvgM,Slot20_AvgM),"")</f>
        <v/>
      </c>
      <c r="L124" s="24"/>
      <c r="M124" s="20" t="str">
        <f aca="false">IF(NOT(OR($D124="spend",$D124="mfree",$D124="pot")),"",IF(AND($D124="mfree",In_home&lt;&gt;"",In_home&lt;&gt;"Own with mortgage"),"No mortgage in Your finances: remove this goal, or add your mortgage",IF(G124&gt;=100,"Fully funded"&amp;IF(K124&gt;0," · on average you'll put "&amp;"€"&amp;TEXT(ROUND(K124,0),"#,##0")&amp;" a month",""),IF(AB124="","Type the extra the what-if search finds in column L to see this line",IF(IF(AB124="none",TRUE(),K124+AB124&gt;Save_SurplusM),"Needs about "&amp;"€"&amp;TEXT(ROUND(IF(AB124="none",MAX(J124,K124+5),K124+AB124),0),"#,##0")&amp;" a month, more than your spare money · on average you'll put "&amp;"€"&amp;TEXT(ROUND(K124,0),"#,##0")&amp;" a month","Needs about "&amp;"€"&amp;TEXT(ROUND(K124+AB124,0),"#,##0")&amp;" a month · on average you'll put "&amp;"€"&amp;TEXT(ROUND(K124,0),"#,##0")&amp;" a month")))))</f>
        <v/>
      </c>
      <c r="N124" s="20" t="str">
        <f aca="false">IF($Q124="","",INDEX(GL_AgeT,15))</f>
        <v/>
      </c>
      <c r="O124" s="20" t="str">
        <f aca="false">IF(AND($Q124&lt;&gt;"",G124&gt;=PR_Good,Findings_Over=0),G124*1000000-N124*1000-15,"")</f>
        <v/>
      </c>
      <c r="P124" s="20" t="str">
        <f aca="false">IF($Q124="","",G124*1000000+N124*1000+15)</f>
        <v/>
      </c>
      <c r="Q124" s="20" t="str">
        <f aca="false">INDEX(GL_Key,15)</f>
        <v/>
      </c>
      <c r="R124" s="20" t="n">
        <f aca="false">IF(G124="",0,G124)</f>
        <v>0</v>
      </c>
      <c r="S124" s="20" t="str">
        <f aca="false">IF($Q124="","",IFERROR(INDEX(Goal_Specs,MATCH($Q124,Goal_Keys,0)),""))</f>
        <v/>
      </c>
      <c r="T124" s="20" t="n">
        <f aca="false">IF($Q124="",9999,G124)</f>
        <v>9999</v>
      </c>
      <c r="U124" s="20" t="str">
        <f aca="false">IF($Q124="","",IF($D124="legacy","at the end of your plan"&amp;IF(Has_a_planEnd=1," ("&amp;AS_End&amp;")",""),IF(INDEX(GL_AgeT,15)&lt;F_Age,"Date has passed",IF($D124="retire",IF(Has_retireAge=1,"at "&amp;INDEX(GL_AgeT,15),"at an age you haven't chosen yet"),"in "&amp;(INDEX(GL_AgeRaw,15)-F_Age)&amp;IF(INDEX(GL_AgeRaw,15)-F_Age=1," year"," years")))))</f>
        <v/>
      </c>
      <c r="V124" s="20" t="str">
        <f aca="false">IF(AND($Q124="safety",F_EssM&gt;0,INDEX(GL_Amount,15)&gt;0),ROUND(INDEX(GL_Amount,15)/F_EssM*10,0)/10,"")</f>
        <v/>
      </c>
      <c r="W124" s="20" t="str">
        <f aca="false">IF($Q124="","",AS_Year0+INDEX(GL_AgeT,15)-F_Age)</f>
        <v/>
      </c>
      <c r="X124" s="20" t="str">
        <f aca="false">IF($Q124="","",IF(AND($D124&lt;&gt;"legacy",INDEX(GL_AgeT,15)&lt;F_Age),"Date has passed",IF($D124="retire","Age ","age ")&amp;INDEX(GL_AgeT,15)&amp;" · "&amp;W124))</f>
        <v/>
      </c>
      <c r="Y124" s="20" t="str">
        <f aca="false">IF($Q124="","",G124*1000+IF($D124="legacy",AS_End,INDEX(GL_AgeT,15)))</f>
        <v/>
      </c>
      <c r="Z124" s="24"/>
      <c r="AA124" s="20" t="str">
        <f aca="false">IF($Q124="","",IF(IF(Z124&lt;&gt;"",Z124,IF(AND(WI_M=0,WI_L=0),G124,""))="","",IF(IF(Z124&lt;&gt;"",Z124,G124)&lt;&gt;G124,C124&amp;" goes from "&amp;IF(Z124&lt;&gt;"",Z124,G124)&amp;"% to "&amp;G124&amp;"%","")))</f>
        <v/>
      </c>
      <c r="AB124" s="20" t="str">
        <f aca="false">IF(ISBLANK(L124),IF(AND(Fill_Example="Yes",FALSE()),"",""),L124)</f>
        <v/>
      </c>
    </row>
    <row r="125" customFormat="false" ht="15" hidden="false" customHeight="true" outlineLevel="0" collapsed="false">
      <c r="B125" s="20" t="n">
        <v>16</v>
      </c>
      <c r="C125" s="20" t="str">
        <f aca="false">IF($Q125="","",INDEX(GL_Name,16))</f>
        <v/>
      </c>
      <c r="D125" s="20" t="str">
        <f aca="false">INDEX(GL_Kind,16)</f>
        <v/>
      </c>
      <c r="E125" s="20" t="str">
        <f aca="false">IF($Q125="","",IF(OR($D125="spend",$D125="mfree",$D125="pot"),CHOOSE($I125,Slot1_Cost,Slot2_Cost,Slot3_Cost,Slot4_Cost,Slot5_Cost,Slot6_Cost,Slot7_Cost,Slot8_Cost,Slot9_Cost,Slot10_Cost,Slot11_Cost,Slot12_Cost,Slot13_Cost,Slot14_Cost,Slot15_Cost,Slot16_Cost,Slot17_Cost,Slot18_Cost,Slot19_Cost,Slot20_Cost),IF($D125="retire",SUMIFS('Plan cashflow'!$TS$8:$TS$97,'Plan cashflow'!$C$8:$C$97,1),IF($D125="legacy",INDEX(GL_Amount,16)*(1+AS_Infl)^F_N,0))))</f>
        <v/>
      </c>
      <c r="F125" s="20" t="str">
        <f aca="false">IF($Q125="","",IF(OR($D125="spend",$D125="mfree",$D125="pot"),CHOOSE($I125,Slot1_Paid,Slot2_Paid,Slot3_Paid,Slot4_Paid,Slot5_Paid,Slot6_Paid,Slot7_Paid,Slot8_Paid,Slot9_Paid,Slot10_Paid,Slot11_Paid,Slot12_Paid,Slot13_Paid,Slot14_Paid,Slot15_Paid,Slot16_Paid,Slot17_Paid,Slot18_Paid,Slot19_Paid,Slot20_Paid),IF($D125="retire",SUMIFS('Plan cashflow'!$TT$8:$TT$97,'Plan cashflow'!$C$8:$C$97,1),IF($D125="legacy",MIN(E125,INDEX('Plan cashflow'!$QK$8:$QK$97,F_N+1)+INDEX('Plan cashflow'!$QL$8:$QL$97,F_N+1)),0))))</f>
        <v/>
      </c>
      <c r="G125" s="20" t="str">
        <f aca="false">IF($Q125="","",IF($D125="retire",IF(SUM('Plan cashflow'!$UH$8:$UH$97)&gt;0,MIN(IF(E125&gt;0,IF(F125&gt;=E125-1,100,MIN(PR_PctCap,MAX(0,INT(F125/E125*100)))),100),94),IF(E125&gt;0,IF(F125&gt;=E125-1,100,MIN(PR_PctCap,MAX(0,INT(F125/E125*100)))),100)),IF(E125&gt;0,IF(F125&gt;=E125-1,100,MIN(PR_PctCap,MAX(0,INT(F125/E125*100)))),100)))</f>
        <v/>
      </c>
      <c r="H125" s="20" t="str">
        <f aca="false">IF(G125="","",IF(G125&gt;=PR_Good,"good",IF(G125&gt;=PR_Nudge,"nudge","alert")))</f>
        <v/>
      </c>
      <c r="I125" s="20" t="str">
        <f aca="false">IF(OR($D125="spend",$D125="mfree",$D125="pot"),INDEX(GL_Pos,16),"")</f>
        <v/>
      </c>
      <c r="J125" s="20" t="str">
        <f aca="false">IF(OR($D125="spend",$D125="mfree",$D125="pot"),CHOOSE($I125,Slot1_NeedM,Slot2_NeedM,Slot3_NeedM,Slot4_NeedM,Slot5_NeedM,Slot6_NeedM,Slot7_NeedM,Slot8_NeedM,Slot9_NeedM,Slot10_NeedM,Slot11_NeedM,Slot12_NeedM,Slot13_NeedM,Slot14_NeedM,Slot15_NeedM,Slot16_NeedM,Slot17_NeedM,Slot18_NeedM,Slot19_NeedM,Slot20_NeedM),"")</f>
        <v/>
      </c>
      <c r="K125" s="20" t="str">
        <f aca="false">IF(OR($D125="spend",$D125="mfree",$D125="pot"),CHOOSE($I125,Slot1_AvgM,Slot2_AvgM,Slot3_AvgM,Slot4_AvgM,Slot5_AvgM,Slot6_AvgM,Slot7_AvgM,Slot8_AvgM,Slot9_AvgM,Slot10_AvgM,Slot11_AvgM,Slot12_AvgM,Slot13_AvgM,Slot14_AvgM,Slot15_AvgM,Slot16_AvgM,Slot17_AvgM,Slot18_AvgM,Slot19_AvgM,Slot20_AvgM),"")</f>
        <v/>
      </c>
      <c r="L125" s="24"/>
      <c r="M125" s="20" t="str">
        <f aca="false">IF(NOT(OR($D125="spend",$D125="mfree",$D125="pot")),"",IF(AND($D125="mfree",In_home&lt;&gt;"",In_home&lt;&gt;"Own with mortgage"),"No mortgage in Your finances: remove this goal, or add your mortgage",IF(G125&gt;=100,"Fully funded"&amp;IF(K125&gt;0," · on average you'll put "&amp;"€"&amp;TEXT(ROUND(K125,0),"#,##0")&amp;" a month",""),IF(AB125="","Type the extra the what-if search finds in column L to see this line",IF(IF(AB125="none",TRUE(),K125+AB125&gt;Save_SurplusM),"Needs about "&amp;"€"&amp;TEXT(ROUND(IF(AB125="none",MAX(J125,K125+5),K125+AB125),0),"#,##0")&amp;" a month, more than your spare money · on average you'll put "&amp;"€"&amp;TEXT(ROUND(K125,0),"#,##0")&amp;" a month","Needs about "&amp;"€"&amp;TEXT(ROUND(K125+AB125,0),"#,##0")&amp;" a month · on average you'll put "&amp;"€"&amp;TEXT(ROUND(K125,0),"#,##0")&amp;" a month")))))</f>
        <v/>
      </c>
      <c r="N125" s="20" t="str">
        <f aca="false">IF($Q125="","",INDEX(GL_AgeT,16))</f>
        <v/>
      </c>
      <c r="O125" s="20" t="str">
        <f aca="false">IF(AND($Q125&lt;&gt;"",G125&gt;=PR_Good,Findings_Over=0),G125*1000000-N125*1000-16,"")</f>
        <v/>
      </c>
      <c r="P125" s="20" t="str">
        <f aca="false">IF($Q125="","",G125*1000000+N125*1000+16)</f>
        <v/>
      </c>
      <c r="Q125" s="20" t="str">
        <f aca="false">INDEX(GL_Key,16)</f>
        <v/>
      </c>
      <c r="R125" s="20" t="n">
        <f aca="false">IF(G125="",0,G125)</f>
        <v>0</v>
      </c>
      <c r="S125" s="20" t="str">
        <f aca="false">IF($Q125="","",IFERROR(INDEX(Goal_Specs,MATCH($Q125,Goal_Keys,0)),""))</f>
        <v/>
      </c>
      <c r="T125" s="20" t="n">
        <f aca="false">IF($Q125="",9999,G125)</f>
        <v>9999</v>
      </c>
      <c r="U125" s="20" t="str">
        <f aca="false">IF($Q125="","",IF($D125="legacy","at the end of your plan"&amp;IF(Has_a_planEnd=1," ("&amp;AS_End&amp;")",""),IF(INDEX(GL_AgeT,16)&lt;F_Age,"Date has passed",IF($D125="retire",IF(Has_retireAge=1,"at "&amp;INDEX(GL_AgeT,16),"at an age you haven't chosen yet"),"in "&amp;(INDEX(GL_AgeRaw,16)-F_Age)&amp;IF(INDEX(GL_AgeRaw,16)-F_Age=1," year"," years")))))</f>
        <v/>
      </c>
      <c r="V125" s="20" t="str">
        <f aca="false">IF(AND($Q125="safety",F_EssM&gt;0,INDEX(GL_Amount,16)&gt;0),ROUND(INDEX(GL_Amount,16)/F_EssM*10,0)/10,"")</f>
        <v/>
      </c>
      <c r="W125" s="20" t="str">
        <f aca="false">IF($Q125="","",AS_Year0+INDEX(GL_AgeT,16)-F_Age)</f>
        <v/>
      </c>
      <c r="X125" s="20" t="str">
        <f aca="false">IF($Q125="","",IF(AND($D125&lt;&gt;"legacy",INDEX(GL_AgeT,16)&lt;F_Age),"Date has passed",IF($D125="retire","Age ","age ")&amp;INDEX(GL_AgeT,16)&amp;" · "&amp;W125))</f>
        <v/>
      </c>
      <c r="Y125" s="20" t="str">
        <f aca="false">IF($Q125="","",G125*1000+IF($D125="legacy",AS_End,INDEX(GL_AgeT,16)))</f>
        <v/>
      </c>
      <c r="Z125" s="24"/>
      <c r="AA125" s="20" t="str">
        <f aca="false">IF($Q125="","",IF(IF(Z125&lt;&gt;"",Z125,IF(AND(WI_M=0,WI_L=0),G125,""))="","",IF(IF(Z125&lt;&gt;"",Z125,G125)&lt;&gt;G125,C125&amp;" goes from "&amp;IF(Z125&lt;&gt;"",Z125,G125)&amp;"% to "&amp;G125&amp;"%","")))</f>
        <v/>
      </c>
      <c r="AB125" s="20" t="str">
        <f aca="false">IF(ISBLANK(L125),IF(AND(Fill_Example="Yes",FALSE()),"",""),L125)</f>
        <v/>
      </c>
    </row>
    <row r="126" customFormat="false" ht="15" hidden="false" customHeight="true" outlineLevel="0" collapsed="false">
      <c r="B126" s="20" t="n">
        <v>17</v>
      </c>
      <c r="C126" s="20" t="str">
        <f aca="false">IF($Q126="","",INDEX(GL_Name,17))</f>
        <v/>
      </c>
      <c r="D126" s="20" t="str">
        <f aca="false">INDEX(GL_Kind,17)</f>
        <v/>
      </c>
      <c r="E126" s="20" t="str">
        <f aca="false">IF($Q126="","",IF(OR($D126="spend",$D126="mfree",$D126="pot"),CHOOSE($I126,Slot1_Cost,Slot2_Cost,Slot3_Cost,Slot4_Cost,Slot5_Cost,Slot6_Cost,Slot7_Cost,Slot8_Cost,Slot9_Cost,Slot10_Cost,Slot11_Cost,Slot12_Cost,Slot13_Cost,Slot14_Cost,Slot15_Cost,Slot16_Cost,Slot17_Cost,Slot18_Cost,Slot19_Cost,Slot20_Cost),IF($D126="retire",SUMIFS('Plan cashflow'!$TS$8:$TS$97,'Plan cashflow'!$C$8:$C$97,1),IF($D126="legacy",INDEX(GL_Amount,17)*(1+AS_Infl)^F_N,0))))</f>
        <v/>
      </c>
      <c r="F126" s="20" t="str">
        <f aca="false">IF($Q126="","",IF(OR($D126="spend",$D126="mfree",$D126="pot"),CHOOSE($I126,Slot1_Paid,Slot2_Paid,Slot3_Paid,Slot4_Paid,Slot5_Paid,Slot6_Paid,Slot7_Paid,Slot8_Paid,Slot9_Paid,Slot10_Paid,Slot11_Paid,Slot12_Paid,Slot13_Paid,Slot14_Paid,Slot15_Paid,Slot16_Paid,Slot17_Paid,Slot18_Paid,Slot19_Paid,Slot20_Paid),IF($D126="retire",SUMIFS('Plan cashflow'!$TT$8:$TT$97,'Plan cashflow'!$C$8:$C$97,1),IF($D126="legacy",MIN(E126,INDEX('Plan cashflow'!$QK$8:$QK$97,F_N+1)+INDEX('Plan cashflow'!$QL$8:$QL$97,F_N+1)),0))))</f>
        <v/>
      </c>
      <c r="G126" s="20" t="str">
        <f aca="false">IF($Q126="","",IF($D126="retire",IF(SUM('Plan cashflow'!$UH$8:$UH$97)&gt;0,MIN(IF(E126&gt;0,IF(F126&gt;=E126-1,100,MIN(PR_PctCap,MAX(0,INT(F126/E126*100)))),100),94),IF(E126&gt;0,IF(F126&gt;=E126-1,100,MIN(PR_PctCap,MAX(0,INT(F126/E126*100)))),100)),IF(E126&gt;0,IF(F126&gt;=E126-1,100,MIN(PR_PctCap,MAX(0,INT(F126/E126*100)))),100)))</f>
        <v/>
      </c>
      <c r="H126" s="20" t="str">
        <f aca="false">IF(G126="","",IF(G126&gt;=PR_Good,"good",IF(G126&gt;=PR_Nudge,"nudge","alert")))</f>
        <v/>
      </c>
      <c r="I126" s="20" t="str">
        <f aca="false">IF(OR($D126="spend",$D126="mfree",$D126="pot"),INDEX(GL_Pos,17),"")</f>
        <v/>
      </c>
      <c r="J126" s="20" t="str">
        <f aca="false">IF(OR($D126="spend",$D126="mfree",$D126="pot"),CHOOSE($I126,Slot1_NeedM,Slot2_NeedM,Slot3_NeedM,Slot4_NeedM,Slot5_NeedM,Slot6_NeedM,Slot7_NeedM,Slot8_NeedM,Slot9_NeedM,Slot10_NeedM,Slot11_NeedM,Slot12_NeedM,Slot13_NeedM,Slot14_NeedM,Slot15_NeedM,Slot16_NeedM,Slot17_NeedM,Slot18_NeedM,Slot19_NeedM,Slot20_NeedM),"")</f>
        <v/>
      </c>
      <c r="K126" s="20" t="str">
        <f aca="false">IF(OR($D126="spend",$D126="mfree",$D126="pot"),CHOOSE($I126,Slot1_AvgM,Slot2_AvgM,Slot3_AvgM,Slot4_AvgM,Slot5_AvgM,Slot6_AvgM,Slot7_AvgM,Slot8_AvgM,Slot9_AvgM,Slot10_AvgM,Slot11_AvgM,Slot12_AvgM,Slot13_AvgM,Slot14_AvgM,Slot15_AvgM,Slot16_AvgM,Slot17_AvgM,Slot18_AvgM,Slot19_AvgM,Slot20_AvgM),"")</f>
        <v/>
      </c>
      <c r="L126" s="24"/>
      <c r="M126" s="20" t="str">
        <f aca="false">IF(NOT(OR($D126="spend",$D126="mfree",$D126="pot")),"",IF(AND($D126="mfree",In_home&lt;&gt;"",In_home&lt;&gt;"Own with mortgage"),"No mortgage in Your finances: remove this goal, or add your mortgage",IF(G126&gt;=100,"Fully funded"&amp;IF(K126&gt;0," · on average you'll put "&amp;"€"&amp;TEXT(ROUND(K126,0),"#,##0")&amp;" a month",""),IF(AB126="","Type the extra the what-if search finds in column L to see this line",IF(IF(AB126="none",TRUE(),K126+AB126&gt;Save_SurplusM),"Needs about "&amp;"€"&amp;TEXT(ROUND(IF(AB126="none",MAX(J126,K126+5),K126+AB126),0),"#,##0")&amp;" a month, more than your spare money · on average you'll put "&amp;"€"&amp;TEXT(ROUND(K126,0),"#,##0")&amp;" a month","Needs about "&amp;"€"&amp;TEXT(ROUND(K126+AB126,0),"#,##0")&amp;" a month · on average you'll put "&amp;"€"&amp;TEXT(ROUND(K126,0),"#,##0")&amp;" a month")))))</f>
        <v/>
      </c>
      <c r="N126" s="20" t="str">
        <f aca="false">IF($Q126="","",INDEX(GL_AgeT,17))</f>
        <v/>
      </c>
      <c r="O126" s="20" t="str">
        <f aca="false">IF(AND($Q126&lt;&gt;"",G126&gt;=PR_Good,Findings_Over=0),G126*1000000-N126*1000-17,"")</f>
        <v/>
      </c>
      <c r="P126" s="20" t="str">
        <f aca="false">IF($Q126="","",G126*1000000+N126*1000+17)</f>
        <v/>
      </c>
      <c r="Q126" s="20" t="str">
        <f aca="false">INDEX(GL_Key,17)</f>
        <v/>
      </c>
      <c r="R126" s="20" t="n">
        <f aca="false">IF(G126="",0,G126)</f>
        <v>0</v>
      </c>
      <c r="S126" s="20" t="str">
        <f aca="false">IF($Q126="","",IFERROR(INDEX(Goal_Specs,MATCH($Q126,Goal_Keys,0)),""))</f>
        <v/>
      </c>
      <c r="T126" s="20" t="n">
        <f aca="false">IF($Q126="",9999,G126)</f>
        <v>9999</v>
      </c>
      <c r="U126" s="20" t="str">
        <f aca="false">IF($Q126="","",IF($D126="legacy","at the end of your plan"&amp;IF(Has_a_planEnd=1," ("&amp;AS_End&amp;")",""),IF(INDEX(GL_AgeT,17)&lt;F_Age,"Date has passed",IF($D126="retire",IF(Has_retireAge=1,"at "&amp;INDEX(GL_AgeT,17),"at an age you haven't chosen yet"),"in "&amp;(INDEX(GL_AgeRaw,17)-F_Age)&amp;IF(INDEX(GL_AgeRaw,17)-F_Age=1," year"," years")))))</f>
        <v/>
      </c>
      <c r="V126" s="20" t="str">
        <f aca="false">IF(AND($Q126="safety",F_EssM&gt;0,INDEX(GL_Amount,17)&gt;0),ROUND(INDEX(GL_Amount,17)/F_EssM*10,0)/10,"")</f>
        <v/>
      </c>
      <c r="W126" s="20" t="str">
        <f aca="false">IF($Q126="","",AS_Year0+INDEX(GL_AgeT,17)-F_Age)</f>
        <v/>
      </c>
      <c r="X126" s="20" t="str">
        <f aca="false">IF($Q126="","",IF(AND($D126&lt;&gt;"legacy",INDEX(GL_AgeT,17)&lt;F_Age),"Date has passed",IF($D126="retire","Age ","age ")&amp;INDEX(GL_AgeT,17)&amp;" · "&amp;W126))</f>
        <v/>
      </c>
      <c r="Y126" s="20" t="str">
        <f aca="false">IF($Q126="","",G126*1000+IF($D126="legacy",AS_End,INDEX(GL_AgeT,17)))</f>
        <v/>
      </c>
      <c r="Z126" s="24"/>
      <c r="AA126" s="20" t="str">
        <f aca="false">IF($Q126="","",IF(IF(Z126&lt;&gt;"",Z126,IF(AND(WI_M=0,WI_L=0),G126,""))="","",IF(IF(Z126&lt;&gt;"",Z126,G126)&lt;&gt;G126,C126&amp;" goes from "&amp;IF(Z126&lt;&gt;"",Z126,G126)&amp;"% to "&amp;G126&amp;"%","")))</f>
        <v/>
      </c>
      <c r="AB126" s="20" t="str">
        <f aca="false">IF(ISBLANK(L126),IF(AND(Fill_Example="Yes",FALSE()),"",""),L126)</f>
        <v/>
      </c>
    </row>
    <row r="127" customFormat="false" ht="15" hidden="false" customHeight="true" outlineLevel="0" collapsed="false">
      <c r="B127" s="20" t="n">
        <v>18</v>
      </c>
      <c r="C127" s="20" t="str">
        <f aca="false">IF($Q127="","",INDEX(GL_Name,18))</f>
        <v/>
      </c>
      <c r="D127" s="20" t="str">
        <f aca="false">INDEX(GL_Kind,18)</f>
        <v/>
      </c>
      <c r="E127" s="20" t="str">
        <f aca="false">IF($Q127="","",IF(OR($D127="spend",$D127="mfree",$D127="pot"),CHOOSE($I127,Slot1_Cost,Slot2_Cost,Slot3_Cost,Slot4_Cost,Slot5_Cost,Slot6_Cost,Slot7_Cost,Slot8_Cost,Slot9_Cost,Slot10_Cost,Slot11_Cost,Slot12_Cost,Slot13_Cost,Slot14_Cost,Slot15_Cost,Slot16_Cost,Slot17_Cost,Slot18_Cost,Slot19_Cost,Slot20_Cost),IF($D127="retire",SUMIFS('Plan cashflow'!$TS$8:$TS$97,'Plan cashflow'!$C$8:$C$97,1),IF($D127="legacy",INDEX(GL_Amount,18)*(1+AS_Infl)^F_N,0))))</f>
        <v/>
      </c>
      <c r="F127" s="20" t="str">
        <f aca="false">IF($Q127="","",IF(OR($D127="spend",$D127="mfree",$D127="pot"),CHOOSE($I127,Slot1_Paid,Slot2_Paid,Slot3_Paid,Slot4_Paid,Slot5_Paid,Slot6_Paid,Slot7_Paid,Slot8_Paid,Slot9_Paid,Slot10_Paid,Slot11_Paid,Slot12_Paid,Slot13_Paid,Slot14_Paid,Slot15_Paid,Slot16_Paid,Slot17_Paid,Slot18_Paid,Slot19_Paid,Slot20_Paid),IF($D127="retire",SUMIFS('Plan cashflow'!$TT$8:$TT$97,'Plan cashflow'!$C$8:$C$97,1),IF($D127="legacy",MIN(E127,INDEX('Plan cashflow'!$QK$8:$QK$97,F_N+1)+INDEX('Plan cashflow'!$QL$8:$QL$97,F_N+1)),0))))</f>
        <v/>
      </c>
      <c r="G127" s="20" t="str">
        <f aca="false">IF($Q127="","",IF($D127="retire",IF(SUM('Plan cashflow'!$UH$8:$UH$97)&gt;0,MIN(IF(E127&gt;0,IF(F127&gt;=E127-1,100,MIN(PR_PctCap,MAX(0,INT(F127/E127*100)))),100),94),IF(E127&gt;0,IF(F127&gt;=E127-1,100,MIN(PR_PctCap,MAX(0,INT(F127/E127*100)))),100)),IF(E127&gt;0,IF(F127&gt;=E127-1,100,MIN(PR_PctCap,MAX(0,INT(F127/E127*100)))),100)))</f>
        <v/>
      </c>
      <c r="H127" s="20" t="str">
        <f aca="false">IF(G127="","",IF(G127&gt;=PR_Good,"good",IF(G127&gt;=PR_Nudge,"nudge","alert")))</f>
        <v/>
      </c>
      <c r="I127" s="20" t="str">
        <f aca="false">IF(OR($D127="spend",$D127="mfree",$D127="pot"),INDEX(GL_Pos,18),"")</f>
        <v/>
      </c>
      <c r="J127" s="20" t="str">
        <f aca="false">IF(OR($D127="spend",$D127="mfree",$D127="pot"),CHOOSE($I127,Slot1_NeedM,Slot2_NeedM,Slot3_NeedM,Slot4_NeedM,Slot5_NeedM,Slot6_NeedM,Slot7_NeedM,Slot8_NeedM,Slot9_NeedM,Slot10_NeedM,Slot11_NeedM,Slot12_NeedM,Slot13_NeedM,Slot14_NeedM,Slot15_NeedM,Slot16_NeedM,Slot17_NeedM,Slot18_NeedM,Slot19_NeedM,Slot20_NeedM),"")</f>
        <v/>
      </c>
      <c r="K127" s="20" t="str">
        <f aca="false">IF(OR($D127="spend",$D127="mfree",$D127="pot"),CHOOSE($I127,Slot1_AvgM,Slot2_AvgM,Slot3_AvgM,Slot4_AvgM,Slot5_AvgM,Slot6_AvgM,Slot7_AvgM,Slot8_AvgM,Slot9_AvgM,Slot10_AvgM,Slot11_AvgM,Slot12_AvgM,Slot13_AvgM,Slot14_AvgM,Slot15_AvgM,Slot16_AvgM,Slot17_AvgM,Slot18_AvgM,Slot19_AvgM,Slot20_AvgM),"")</f>
        <v/>
      </c>
      <c r="L127" s="24"/>
      <c r="M127" s="20" t="str">
        <f aca="false">IF(NOT(OR($D127="spend",$D127="mfree",$D127="pot")),"",IF(AND($D127="mfree",In_home&lt;&gt;"",In_home&lt;&gt;"Own with mortgage"),"No mortgage in Your finances: remove this goal, or add your mortgage",IF(G127&gt;=100,"Fully funded"&amp;IF(K127&gt;0," · on average you'll put "&amp;"€"&amp;TEXT(ROUND(K127,0),"#,##0")&amp;" a month",""),IF(AB127="","Type the extra the what-if search finds in column L to see this line",IF(IF(AB127="none",TRUE(),K127+AB127&gt;Save_SurplusM),"Needs about "&amp;"€"&amp;TEXT(ROUND(IF(AB127="none",MAX(J127,K127+5),K127+AB127),0),"#,##0")&amp;" a month, more than your spare money · on average you'll put "&amp;"€"&amp;TEXT(ROUND(K127,0),"#,##0")&amp;" a month","Needs about "&amp;"€"&amp;TEXT(ROUND(K127+AB127,0),"#,##0")&amp;" a month · on average you'll put "&amp;"€"&amp;TEXT(ROUND(K127,0),"#,##0")&amp;" a month")))))</f>
        <v/>
      </c>
      <c r="N127" s="20" t="str">
        <f aca="false">IF($Q127="","",INDEX(GL_AgeT,18))</f>
        <v/>
      </c>
      <c r="O127" s="20" t="str">
        <f aca="false">IF(AND($Q127&lt;&gt;"",G127&gt;=PR_Good,Findings_Over=0),G127*1000000-N127*1000-18,"")</f>
        <v/>
      </c>
      <c r="P127" s="20" t="str">
        <f aca="false">IF($Q127="","",G127*1000000+N127*1000+18)</f>
        <v/>
      </c>
      <c r="Q127" s="20" t="str">
        <f aca="false">INDEX(GL_Key,18)</f>
        <v/>
      </c>
      <c r="R127" s="20" t="n">
        <f aca="false">IF(G127="",0,G127)</f>
        <v>0</v>
      </c>
      <c r="S127" s="20" t="str">
        <f aca="false">IF($Q127="","",IFERROR(INDEX(Goal_Specs,MATCH($Q127,Goal_Keys,0)),""))</f>
        <v/>
      </c>
      <c r="T127" s="20" t="n">
        <f aca="false">IF($Q127="",9999,G127)</f>
        <v>9999</v>
      </c>
      <c r="U127" s="20" t="str">
        <f aca="false">IF($Q127="","",IF($D127="legacy","at the end of your plan"&amp;IF(Has_a_planEnd=1," ("&amp;AS_End&amp;")",""),IF(INDEX(GL_AgeT,18)&lt;F_Age,"Date has passed",IF($D127="retire",IF(Has_retireAge=1,"at "&amp;INDEX(GL_AgeT,18),"at an age you haven't chosen yet"),"in "&amp;(INDEX(GL_AgeRaw,18)-F_Age)&amp;IF(INDEX(GL_AgeRaw,18)-F_Age=1," year"," years")))))</f>
        <v/>
      </c>
      <c r="V127" s="20" t="str">
        <f aca="false">IF(AND($Q127="safety",F_EssM&gt;0,INDEX(GL_Amount,18)&gt;0),ROUND(INDEX(GL_Amount,18)/F_EssM*10,0)/10,"")</f>
        <v/>
      </c>
      <c r="W127" s="20" t="str">
        <f aca="false">IF($Q127="","",AS_Year0+INDEX(GL_AgeT,18)-F_Age)</f>
        <v/>
      </c>
      <c r="X127" s="20" t="str">
        <f aca="false">IF($Q127="","",IF(AND($D127&lt;&gt;"legacy",INDEX(GL_AgeT,18)&lt;F_Age),"Date has passed",IF($D127="retire","Age ","age ")&amp;INDEX(GL_AgeT,18)&amp;" · "&amp;W127))</f>
        <v/>
      </c>
      <c r="Y127" s="20" t="str">
        <f aca="false">IF($Q127="","",G127*1000+IF($D127="legacy",AS_End,INDEX(GL_AgeT,18)))</f>
        <v/>
      </c>
      <c r="Z127" s="24"/>
      <c r="AA127" s="20" t="str">
        <f aca="false">IF($Q127="","",IF(IF(Z127&lt;&gt;"",Z127,IF(AND(WI_M=0,WI_L=0),G127,""))="","",IF(IF(Z127&lt;&gt;"",Z127,G127)&lt;&gt;G127,C127&amp;" goes from "&amp;IF(Z127&lt;&gt;"",Z127,G127)&amp;"% to "&amp;G127&amp;"%","")))</f>
        <v/>
      </c>
      <c r="AB127" s="20" t="str">
        <f aca="false">IF(ISBLANK(L127),IF(AND(Fill_Example="Yes",FALSE()),"",""),L127)</f>
        <v/>
      </c>
    </row>
    <row r="128" customFormat="false" ht="15" hidden="false" customHeight="true" outlineLevel="0" collapsed="false">
      <c r="B128" s="20" t="n">
        <v>19</v>
      </c>
      <c r="C128" s="20" t="str">
        <f aca="false">IF($Q128="","",INDEX(GL_Name,19))</f>
        <v/>
      </c>
      <c r="D128" s="20" t="str">
        <f aca="false">INDEX(GL_Kind,19)</f>
        <v/>
      </c>
      <c r="E128" s="20" t="str">
        <f aca="false">IF($Q128="","",IF(OR($D128="spend",$D128="mfree",$D128="pot"),CHOOSE($I128,Slot1_Cost,Slot2_Cost,Slot3_Cost,Slot4_Cost,Slot5_Cost,Slot6_Cost,Slot7_Cost,Slot8_Cost,Slot9_Cost,Slot10_Cost,Slot11_Cost,Slot12_Cost,Slot13_Cost,Slot14_Cost,Slot15_Cost,Slot16_Cost,Slot17_Cost,Slot18_Cost,Slot19_Cost,Slot20_Cost),IF($D128="retire",SUMIFS('Plan cashflow'!$TS$8:$TS$97,'Plan cashflow'!$C$8:$C$97,1),IF($D128="legacy",INDEX(GL_Amount,19)*(1+AS_Infl)^F_N,0))))</f>
        <v/>
      </c>
      <c r="F128" s="20" t="str">
        <f aca="false">IF($Q128="","",IF(OR($D128="spend",$D128="mfree",$D128="pot"),CHOOSE($I128,Slot1_Paid,Slot2_Paid,Slot3_Paid,Slot4_Paid,Slot5_Paid,Slot6_Paid,Slot7_Paid,Slot8_Paid,Slot9_Paid,Slot10_Paid,Slot11_Paid,Slot12_Paid,Slot13_Paid,Slot14_Paid,Slot15_Paid,Slot16_Paid,Slot17_Paid,Slot18_Paid,Slot19_Paid,Slot20_Paid),IF($D128="retire",SUMIFS('Plan cashflow'!$TT$8:$TT$97,'Plan cashflow'!$C$8:$C$97,1),IF($D128="legacy",MIN(E128,INDEX('Plan cashflow'!$QK$8:$QK$97,F_N+1)+INDEX('Plan cashflow'!$QL$8:$QL$97,F_N+1)),0))))</f>
        <v/>
      </c>
      <c r="G128" s="20" t="str">
        <f aca="false">IF($Q128="","",IF($D128="retire",IF(SUM('Plan cashflow'!$UH$8:$UH$97)&gt;0,MIN(IF(E128&gt;0,IF(F128&gt;=E128-1,100,MIN(PR_PctCap,MAX(0,INT(F128/E128*100)))),100),94),IF(E128&gt;0,IF(F128&gt;=E128-1,100,MIN(PR_PctCap,MAX(0,INT(F128/E128*100)))),100)),IF(E128&gt;0,IF(F128&gt;=E128-1,100,MIN(PR_PctCap,MAX(0,INT(F128/E128*100)))),100)))</f>
        <v/>
      </c>
      <c r="H128" s="20" t="str">
        <f aca="false">IF(G128="","",IF(G128&gt;=PR_Good,"good",IF(G128&gt;=PR_Nudge,"nudge","alert")))</f>
        <v/>
      </c>
      <c r="I128" s="20" t="str">
        <f aca="false">IF(OR($D128="spend",$D128="mfree",$D128="pot"),INDEX(GL_Pos,19),"")</f>
        <v/>
      </c>
      <c r="J128" s="20" t="str">
        <f aca="false">IF(OR($D128="spend",$D128="mfree",$D128="pot"),CHOOSE($I128,Slot1_NeedM,Slot2_NeedM,Slot3_NeedM,Slot4_NeedM,Slot5_NeedM,Slot6_NeedM,Slot7_NeedM,Slot8_NeedM,Slot9_NeedM,Slot10_NeedM,Slot11_NeedM,Slot12_NeedM,Slot13_NeedM,Slot14_NeedM,Slot15_NeedM,Slot16_NeedM,Slot17_NeedM,Slot18_NeedM,Slot19_NeedM,Slot20_NeedM),"")</f>
        <v/>
      </c>
      <c r="K128" s="20" t="str">
        <f aca="false">IF(OR($D128="spend",$D128="mfree",$D128="pot"),CHOOSE($I128,Slot1_AvgM,Slot2_AvgM,Slot3_AvgM,Slot4_AvgM,Slot5_AvgM,Slot6_AvgM,Slot7_AvgM,Slot8_AvgM,Slot9_AvgM,Slot10_AvgM,Slot11_AvgM,Slot12_AvgM,Slot13_AvgM,Slot14_AvgM,Slot15_AvgM,Slot16_AvgM,Slot17_AvgM,Slot18_AvgM,Slot19_AvgM,Slot20_AvgM),"")</f>
        <v/>
      </c>
      <c r="L128" s="24"/>
      <c r="M128" s="20" t="str">
        <f aca="false">IF(NOT(OR($D128="spend",$D128="mfree",$D128="pot")),"",IF(AND($D128="mfree",In_home&lt;&gt;"",In_home&lt;&gt;"Own with mortgage"),"No mortgage in Your finances: remove this goal, or add your mortgage",IF(G128&gt;=100,"Fully funded"&amp;IF(K128&gt;0," · on average you'll put "&amp;"€"&amp;TEXT(ROUND(K128,0),"#,##0")&amp;" a month",""),IF(AB128="","Type the extra the what-if search finds in column L to see this line",IF(IF(AB128="none",TRUE(),K128+AB128&gt;Save_SurplusM),"Needs about "&amp;"€"&amp;TEXT(ROUND(IF(AB128="none",MAX(J128,K128+5),K128+AB128),0),"#,##0")&amp;" a month, more than your spare money · on average you'll put "&amp;"€"&amp;TEXT(ROUND(K128,0),"#,##0")&amp;" a month","Needs about "&amp;"€"&amp;TEXT(ROUND(K128+AB128,0),"#,##0")&amp;" a month · on average you'll put "&amp;"€"&amp;TEXT(ROUND(K128,0),"#,##0")&amp;" a month")))))</f>
        <v/>
      </c>
      <c r="N128" s="20" t="str">
        <f aca="false">IF($Q128="","",INDEX(GL_AgeT,19))</f>
        <v/>
      </c>
      <c r="O128" s="20" t="str">
        <f aca="false">IF(AND($Q128&lt;&gt;"",G128&gt;=PR_Good,Findings_Over=0),G128*1000000-N128*1000-19,"")</f>
        <v/>
      </c>
      <c r="P128" s="20" t="str">
        <f aca="false">IF($Q128="","",G128*1000000+N128*1000+19)</f>
        <v/>
      </c>
      <c r="Q128" s="20" t="str">
        <f aca="false">INDEX(GL_Key,19)</f>
        <v/>
      </c>
      <c r="R128" s="20" t="n">
        <f aca="false">IF(G128="",0,G128)</f>
        <v>0</v>
      </c>
      <c r="S128" s="20" t="str">
        <f aca="false">IF($Q128="","",IFERROR(INDEX(Goal_Specs,MATCH($Q128,Goal_Keys,0)),""))</f>
        <v/>
      </c>
      <c r="T128" s="20" t="n">
        <f aca="false">IF($Q128="",9999,G128)</f>
        <v>9999</v>
      </c>
      <c r="U128" s="20" t="str">
        <f aca="false">IF($Q128="","",IF($D128="legacy","at the end of your plan"&amp;IF(Has_a_planEnd=1," ("&amp;AS_End&amp;")",""),IF(INDEX(GL_AgeT,19)&lt;F_Age,"Date has passed",IF($D128="retire",IF(Has_retireAge=1,"at "&amp;INDEX(GL_AgeT,19),"at an age you haven't chosen yet"),"in "&amp;(INDEX(GL_AgeRaw,19)-F_Age)&amp;IF(INDEX(GL_AgeRaw,19)-F_Age=1," year"," years")))))</f>
        <v/>
      </c>
      <c r="V128" s="20" t="str">
        <f aca="false">IF(AND($Q128="safety",F_EssM&gt;0,INDEX(GL_Amount,19)&gt;0),ROUND(INDEX(GL_Amount,19)/F_EssM*10,0)/10,"")</f>
        <v/>
      </c>
      <c r="W128" s="20" t="str">
        <f aca="false">IF($Q128="","",AS_Year0+INDEX(GL_AgeT,19)-F_Age)</f>
        <v/>
      </c>
      <c r="X128" s="20" t="str">
        <f aca="false">IF($Q128="","",IF(AND($D128&lt;&gt;"legacy",INDEX(GL_AgeT,19)&lt;F_Age),"Date has passed",IF($D128="retire","Age ","age ")&amp;INDEX(GL_AgeT,19)&amp;" · "&amp;W128))</f>
        <v/>
      </c>
      <c r="Y128" s="20" t="str">
        <f aca="false">IF($Q128="","",G128*1000+IF($D128="legacy",AS_End,INDEX(GL_AgeT,19)))</f>
        <v/>
      </c>
      <c r="Z128" s="24"/>
      <c r="AA128" s="20" t="str">
        <f aca="false">IF($Q128="","",IF(IF(Z128&lt;&gt;"",Z128,IF(AND(WI_M=0,WI_L=0),G128,""))="","",IF(IF(Z128&lt;&gt;"",Z128,G128)&lt;&gt;G128,C128&amp;" goes from "&amp;IF(Z128&lt;&gt;"",Z128,G128)&amp;"% to "&amp;G128&amp;"%","")))</f>
        <v/>
      </c>
      <c r="AB128" s="20" t="str">
        <f aca="false">IF(ISBLANK(L128),IF(AND(Fill_Example="Yes",FALSE()),"",""),L128)</f>
        <v/>
      </c>
    </row>
    <row r="129" customFormat="false" ht="15" hidden="false" customHeight="true" outlineLevel="0" collapsed="false">
      <c r="B129" s="20" t="n">
        <v>20</v>
      </c>
      <c r="C129" s="20" t="str">
        <f aca="false">IF($Q129="","",INDEX(GL_Name,20))</f>
        <v/>
      </c>
      <c r="D129" s="20" t="str">
        <f aca="false">INDEX(GL_Kind,20)</f>
        <v/>
      </c>
      <c r="E129" s="20" t="str">
        <f aca="false">IF($Q129="","",IF(OR($D129="spend",$D129="mfree",$D129="pot"),CHOOSE($I129,Slot1_Cost,Slot2_Cost,Slot3_Cost,Slot4_Cost,Slot5_Cost,Slot6_Cost,Slot7_Cost,Slot8_Cost,Slot9_Cost,Slot10_Cost,Slot11_Cost,Slot12_Cost,Slot13_Cost,Slot14_Cost,Slot15_Cost,Slot16_Cost,Slot17_Cost,Slot18_Cost,Slot19_Cost,Slot20_Cost),IF($D129="retire",SUMIFS('Plan cashflow'!$TS$8:$TS$97,'Plan cashflow'!$C$8:$C$97,1),IF($D129="legacy",INDEX(GL_Amount,20)*(1+AS_Infl)^F_N,0))))</f>
        <v/>
      </c>
      <c r="F129" s="20" t="str">
        <f aca="false">IF($Q129="","",IF(OR($D129="spend",$D129="mfree",$D129="pot"),CHOOSE($I129,Slot1_Paid,Slot2_Paid,Slot3_Paid,Slot4_Paid,Slot5_Paid,Slot6_Paid,Slot7_Paid,Slot8_Paid,Slot9_Paid,Slot10_Paid,Slot11_Paid,Slot12_Paid,Slot13_Paid,Slot14_Paid,Slot15_Paid,Slot16_Paid,Slot17_Paid,Slot18_Paid,Slot19_Paid,Slot20_Paid),IF($D129="retire",SUMIFS('Plan cashflow'!$TT$8:$TT$97,'Plan cashflow'!$C$8:$C$97,1),IF($D129="legacy",MIN(E129,INDEX('Plan cashflow'!$QK$8:$QK$97,F_N+1)+INDEX('Plan cashflow'!$QL$8:$QL$97,F_N+1)),0))))</f>
        <v/>
      </c>
      <c r="G129" s="20" t="str">
        <f aca="false">IF($Q129="","",IF($D129="retire",IF(SUM('Plan cashflow'!$UH$8:$UH$97)&gt;0,MIN(IF(E129&gt;0,IF(F129&gt;=E129-1,100,MIN(PR_PctCap,MAX(0,INT(F129/E129*100)))),100),94),IF(E129&gt;0,IF(F129&gt;=E129-1,100,MIN(PR_PctCap,MAX(0,INT(F129/E129*100)))),100)),IF(E129&gt;0,IF(F129&gt;=E129-1,100,MIN(PR_PctCap,MAX(0,INT(F129/E129*100)))),100)))</f>
        <v/>
      </c>
      <c r="H129" s="20" t="str">
        <f aca="false">IF(G129="","",IF(G129&gt;=PR_Good,"good",IF(G129&gt;=PR_Nudge,"nudge","alert")))</f>
        <v/>
      </c>
      <c r="I129" s="20" t="str">
        <f aca="false">IF(OR($D129="spend",$D129="mfree",$D129="pot"),INDEX(GL_Pos,20),"")</f>
        <v/>
      </c>
      <c r="J129" s="20" t="str">
        <f aca="false">IF(OR($D129="spend",$D129="mfree",$D129="pot"),CHOOSE($I129,Slot1_NeedM,Slot2_NeedM,Slot3_NeedM,Slot4_NeedM,Slot5_NeedM,Slot6_NeedM,Slot7_NeedM,Slot8_NeedM,Slot9_NeedM,Slot10_NeedM,Slot11_NeedM,Slot12_NeedM,Slot13_NeedM,Slot14_NeedM,Slot15_NeedM,Slot16_NeedM,Slot17_NeedM,Slot18_NeedM,Slot19_NeedM,Slot20_NeedM),"")</f>
        <v/>
      </c>
      <c r="K129" s="20" t="str">
        <f aca="false">IF(OR($D129="spend",$D129="mfree",$D129="pot"),CHOOSE($I129,Slot1_AvgM,Slot2_AvgM,Slot3_AvgM,Slot4_AvgM,Slot5_AvgM,Slot6_AvgM,Slot7_AvgM,Slot8_AvgM,Slot9_AvgM,Slot10_AvgM,Slot11_AvgM,Slot12_AvgM,Slot13_AvgM,Slot14_AvgM,Slot15_AvgM,Slot16_AvgM,Slot17_AvgM,Slot18_AvgM,Slot19_AvgM,Slot20_AvgM),"")</f>
        <v/>
      </c>
      <c r="L129" s="24"/>
      <c r="M129" s="20" t="str">
        <f aca="false">IF(NOT(OR($D129="spend",$D129="mfree",$D129="pot")),"",IF(AND($D129="mfree",In_home&lt;&gt;"",In_home&lt;&gt;"Own with mortgage"),"No mortgage in Your finances: remove this goal, or add your mortgage",IF(G129&gt;=100,"Fully funded"&amp;IF(K129&gt;0," · on average you'll put "&amp;"€"&amp;TEXT(ROUND(K129,0),"#,##0")&amp;" a month",""),IF(AB129="","Type the extra the what-if search finds in column L to see this line",IF(IF(AB129="none",TRUE(),K129+AB129&gt;Save_SurplusM),"Needs about "&amp;"€"&amp;TEXT(ROUND(IF(AB129="none",MAX(J129,K129+5),K129+AB129),0),"#,##0")&amp;" a month, more than your spare money · on average you'll put "&amp;"€"&amp;TEXT(ROUND(K129,0),"#,##0")&amp;" a month","Needs about "&amp;"€"&amp;TEXT(ROUND(K129+AB129,0),"#,##0")&amp;" a month · on average you'll put "&amp;"€"&amp;TEXT(ROUND(K129,0),"#,##0")&amp;" a month")))))</f>
        <v/>
      </c>
      <c r="N129" s="20" t="str">
        <f aca="false">IF($Q129="","",INDEX(GL_AgeT,20))</f>
        <v/>
      </c>
      <c r="O129" s="20" t="str">
        <f aca="false">IF(AND($Q129&lt;&gt;"",G129&gt;=PR_Good,Findings_Over=0),G129*1000000-N129*1000-20,"")</f>
        <v/>
      </c>
      <c r="P129" s="20" t="str">
        <f aca="false">IF($Q129="","",G129*1000000+N129*1000+20)</f>
        <v/>
      </c>
      <c r="Q129" s="20" t="str">
        <f aca="false">INDEX(GL_Key,20)</f>
        <v/>
      </c>
      <c r="R129" s="20" t="n">
        <f aca="false">IF(G129="",0,G129)</f>
        <v>0</v>
      </c>
      <c r="S129" s="20" t="str">
        <f aca="false">IF($Q129="","",IFERROR(INDEX(Goal_Specs,MATCH($Q129,Goal_Keys,0)),""))</f>
        <v/>
      </c>
      <c r="T129" s="20" t="n">
        <f aca="false">IF($Q129="",9999,G129)</f>
        <v>9999</v>
      </c>
      <c r="U129" s="20" t="str">
        <f aca="false">IF($Q129="","",IF($D129="legacy","at the end of your plan"&amp;IF(Has_a_planEnd=1," ("&amp;AS_End&amp;")",""),IF(INDEX(GL_AgeT,20)&lt;F_Age,"Date has passed",IF($D129="retire",IF(Has_retireAge=1,"at "&amp;INDEX(GL_AgeT,20),"at an age you haven't chosen yet"),"in "&amp;(INDEX(GL_AgeRaw,20)-F_Age)&amp;IF(INDEX(GL_AgeRaw,20)-F_Age=1," year"," years")))))</f>
        <v/>
      </c>
      <c r="V129" s="20" t="str">
        <f aca="false">IF(AND($Q129="safety",F_EssM&gt;0,INDEX(GL_Amount,20)&gt;0),ROUND(INDEX(GL_Amount,20)/F_EssM*10,0)/10,"")</f>
        <v/>
      </c>
      <c r="W129" s="20" t="str">
        <f aca="false">IF($Q129="","",AS_Year0+INDEX(GL_AgeT,20)-F_Age)</f>
        <v/>
      </c>
      <c r="X129" s="20" t="str">
        <f aca="false">IF($Q129="","",IF(AND($D129&lt;&gt;"legacy",INDEX(GL_AgeT,20)&lt;F_Age),"Date has passed",IF($D129="retire","Age ","age ")&amp;INDEX(GL_AgeT,20)&amp;" · "&amp;W129))</f>
        <v/>
      </c>
      <c r="Y129" s="20" t="str">
        <f aca="false">IF($Q129="","",G129*1000+IF($D129="legacy",AS_End,INDEX(GL_AgeT,20)))</f>
        <v/>
      </c>
      <c r="Z129" s="24"/>
      <c r="AA129" s="20" t="str">
        <f aca="false">IF($Q129="","",IF(IF(Z129&lt;&gt;"",Z129,IF(AND(WI_M=0,WI_L=0),G129,""))="","",IF(IF(Z129&lt;&gt;"",Z129,G129)&lt;&gt;G129,C129&amp;" goes from "&amp;IF(Z129&lt;&gt;"",Z129,G129)&amp;"% to "&amp;G129&amp;"%","")))</f>
        <v/>
      </c>
      <c r="AB129" s="20" t="str">
        <f aca="false">IF(ISBLANK(L129),IF(AND(Fill_Example="Yes",FALSE()),"",""),L129)</f>
        <v/>
      </c>
    </row>
    <row r="130" customFormat="false" ht="15" hidden="false" customHeight="true" outlineLevel="0" collapsed="false">
      <c r="B130" s="20" t="n">
        <v>21</v>
      </c>
      <c r="C130" s="20" t="str">
        <f aca="false">IF($Q130="","",INDEX(GL_Name,21))</f>
        <v/>
      </c>
      <c r="D130" s="20" t="str">
        <f aca="false">INDEX(GL_Kind,21)</f>
        <v/>
      </c>
      <c r="E130" s="20" t="str">
        <f aca="false">IF($Q130="","",IF(OR($D130="spend",$D130="mfree",$D130="pot"),CHOOSE($I130,Slot1_Cost,Slot2_Cost,Slot3_Cost,Slot4_Cost,Slot5_Cost,Slot6_Cost,Slot7_Cost,Slot8_Cost,Slot9_Cost,Slot10_Cost,Slot11_Cost,Slot12_Cost,Slot13_Cost,Slot14_Cost,Slot15_Cost,Slot16_Cost,Slot17_Cost,Slot18_Cost,Slot19_Cost,Slot20_Cost),IF($D130="retire",SUMIFS('Plan cashflow'!$TS$8:$TS$97,'Plan cashflow'!$C$8:$C$97,1),IF($D130="legacy",INDEX(GL_Amount,21)*(1+AS_Infl)^F_N,0))))</f>
        <v/>
      </c>
      <c r="F130" s="20" t="str">
        <f aca="false">IF($Q130="","",IF(OR($D130="spend",$D130="mfree",$D130="pot"),CHOOSE($I130,Slot1_Paid,Slot2_Paid,Slot3_Paid,Slot4_Paid,Slot5_Paid,Slot6_Paid,Slot7_Paid,Slot8_Paid,Slot9_Paid,Slot10_Paid,Slot11_Paid,Slot12_Paid,Slot13_Paid,Slot14_Paid,Slot15_Paid,Slot16_Paid,Slot17_Paid,Slot18_Paid,Slot19_Paid,Slot20_Paid),IF($D130="retire",SUMIFS('Plan cashflow'!$TT$8:$TT$97,'Plan cashflow'!$C$8:$C$97,1),IF($D130="legacy",MIN(E130,INDEX('Plan cashflow'!$QK$8:$QK$97,F_N+1)+INDEX('Plan cashflow'!$QL$8:$QL$97,F_N+1)),0))))</f>
        <v/>
      </c>
      <c r="G130" s="20" t="str">
        <f aca="false">IF($Q130="","",IF($D130="retire",IF(SUM('Plan cashflow'!$UH$8:$UH$97)&gt;0,MIN(IF(E130&gt;0,IF(F130&gt;=E130-1,100,MIN(PR_PctCap,MAX(0,INT(F130/E130*100)))),100),94),IF(E130&gt;0,IF(F130&gt;=E130-1,100,MIN(PR_PctCap,MAX(0,INT(F130/E130*100)))),100)),IF(E130&gt;0,IF(F130&gt;=E130-1,100,MIN(PR_PctCap,MAX(0,INT(F130/E130*100)))),100)))</f>
        <v/>
      </c>
      <c r="H130" s="20" t="str">
        <f aca="false">IF(G130="","",IF(G130&gt;=PR_Good,"good",IF(G130&gt;=PR_Nudge,"nudge","alert")))</f>
        <v/>
      </c>
      <c r="I130" s="20" t="str">
        <f aca="false">IF(OR($D130="spend",$D130="mfree",$D130="pot"),INDEX(GL_Pos,21),"")</f>
        <v/>
      </c>
      <c r="J130" s="20" t="str">
        <f aca="false">IF(OR($D130="spend",$D130="mfree",$D130="pot"),CHOOSE($I130,Slot1_NeedM,Slot2_NeedM,Slot3_NeedM,Slot4_NeedM,Slot5_NeedM,Slot6_NeedM,Slot7_NeedM,Slot8_NeedM,Slot9_NeedM,Slot10_NeedM,Slot11_NeedM,Slot12_NeedM,Slot13_NeedM,Slot14_NeedM,Slot15_NeedM,Slot16_NeedM,Slot17_NeedM,Slot18_NeedM,Slot19_NeedM,Slot20_NeedM),"")</f>
        <v/>
      </c>
      <c r="K130" s="20" t="str">
        <f aca="false">IF(OR($D130="spend",$D130="mfree",$D130="pot"),CHOOSE($I130,Slot1_AvgM,Slot2_AvgM,Slot3_AvgM,Slot4_AvgM,Slot5_AvgM,Slot6_AvgM,Slot7_AvgM,Slot8_AvgM,Slot9_AvgM,Slot10_AvgM,Slot11_AvgM,Slot12_AvgM,Slot13_AvgM,Slot14_AvgM,Slot15_AvgM,Slot16_AvgM,Slot17_AvgM,Slot18_AvgM,Slot19_AvgM,Slot20_AvgM),"")</f>
        <v/>
      </c>
      <c r="L130" s="24"/>
      <c r="M130" s="20" t="str">
        <f aca="false">IF(NOT(OR($D130="spend",$D130="mfree",$D130="pot")),"",IF(AND($D130="mfree",In_home&lt;&gt;"",In_home&lt;&gt;"Own with mortgage"),"No mortgage in Your finances: remove this goal, or add your mortgage",IF(G130&gt;=100,"Fully funded"&amp;IF(K130&gt;0," · on average you'll put "&amp;"€"&amp;TEXT(ROUND(K130,0),"#,##0")&amp;" a month",""),IF(AB130="","Type the extra the what-if search finds in column L to see this line",IF(IF(AB130="none",TRUE(),K130+AB130&gt;Save_SurplusM),"Needs about "&amp;"€"&amp;TEXT(ROUND(IF(AB130="none",MAX(J130,K130+5),K130+AB130),0),"#,##0")&amp;" a month, more than your spare money · on average you'll put "&amp;"€"&amp;TEXT(ROUND(K130,0),"#,##0")&amp;" a month","Needs about "&amp;"€"&amp;TEXT(ROUND(K130+AB130,0),"#,##0")&amp;" a month · on average you'll put "&amp;"€"&amp;TEXT(ROUND(K130,0),"#,##0")&amp;" a month")))))</f>
        <v/>
      </c>
      <c r="N130" s="20" t="str">
        <f aca="false">IF($Q130="","",INDEX(GL_AgeT,21))</f>
        <v/>
      </c>
      <c r="O130" s="20" t="str">
        <f aca="false">IF(AND($Q130&lt;&gt;"",G130&gt;=PR_Good,Findings_Over=0),G130*1000000-N130*1000-21,"")</f>
        <v/>
      </c>
      <c r="P130" s="20" t="str">
        <f aca="false">IF($Q130="","",G130*1000000+N130*1000+21)</f>
        <v/>
      </c>
      <c r="Q130" s="20" t="str">
        <f aca="false">INDEX(GL_Key,21)</f>
        <v/>
      </c>
      <c r="R130" s="20" t="n">
        <f aca="false">IF(G130="",0,G130)</f>
        <v>0</v>
      </c>
      <c r="S130" s="20" t="str">
        <f aca="false">IF($Q130="","",IFERROR(INDEX(Goal_Specs,MATCH($Q130,Goal_Keys,0)),""))</f>
        <v/>
      </c>
      <c r="T130" s="20" t="n">
        <f aca="false">IF($Q130="",9999,G130)</f>
        <v>9999</v>
      </c>
      <c r="U130" s="20" t="str">
        <f aca="false">IF($Q130="","",IF($D130="legacy","at the end of your plan"&amp;IF(Has_a_planEnd=1," ("&amp;AS_End&amp;")",""),IF(INDEX(GL_AgeT,21)&lt;F_Age,"Date has passed",IF($D130="retire",IF(Has_retireAge=1,"at "&amp;INDEX(GL_AgeT,21),"at an age you haven't chosen yet"),"in "&amp;(INDEX(GL_AgeRaw,21)-F_Age)&amp;IF(INDEX(GL_AgeRaw,21)-F_Age=1," year"," years")))))</f>
        <v/>
      </c>
      <c r="V130" s="20" t="str">
        <f aca="false">IF(AND($Q130="safety",F_EssM&gt;0,INDEX(GL_Amount,21)&gt;0),ROUND(INDEX(GL_Amount,21)/F_EssM*10,0)/10,"")</f>
        <v/>
      </c>
      <c r="W130" s="20" t="str">
        <f aca="false">IF($Q130="","",AS_Year0+INDEX(GL_AgeT,21)-F_Age)</f>
        <v/>
      </c>
      <c r="X130" s="20" t="str">
        <f aca="false">IF($Q130="","",IF(AND($D130&lt;&gt;"legacy",INDEX(GL_AgeT,21)&lt;F_Age),"Date has passed",IF($D130="retire","Age ","age ")&amp;INDEX(GL_AgeT,21)&amp;" · "&amp;W130))</f>
        <v/>
      </c>
      <c r="Y130" s="20" t="str">
        <f aca="false">IF($Q130="","",G130*1000+IF($D130="legacy",AS_End,INDEX(GL_AgeT,21)))</f>
        <v/>
      </c>
      <c r="Z130" s="24"/>
      <c r="AA130" s="20" t="str">
        <f aca="false">IF($Q130="","",IF(IF(Z130&lt;&gt;"",Z130,IF(AND(WI_M=0,WI_L=0),G130,""))="","",IF(IF(Z130&lt;&gt;"",Z130,G130)&lt;&gt;G130,C130&amp;" goes from "&amp;IF(Z130&lt;&gt;"",Z130,G130)&amp;"% to "&amp;G130&amp;"%","")))</f>
        <v/>
      </c>
      <c r="AB130" s="20" t="str">
        <f aca="false">IF(ISBLANK(L130),IF(AND(Fill_Example="Yes",FALSE()),"",""),L130)</f>
        <v/>
      </c>
    </row>
    <row r="131" customFormat="false" ht="15" hidden="false" customHeight="true" outlineLevel="0" collapsed="false">
      <c r="B131" s="20" t="n">
        <v>22</v>
      </c>
      <c r="C131" s="20" t="str">
        <f aca="false">IF($Q131="","",INDEX(GL_Name,22))</f>
        <v/>
      </c>
      <c r="D131" s="20" t="str">
        <f aca="false">INDEX(GL_Kind,22)</f>
        <v/>
      </c>
      <c r="E131" s="20" t="str">
        <f aca="false">IF($Q131="","",IF(OR($D131="spend",$D131="mfree",$D131="pot"),CHOOSE($I131,Slot1_Cost,Slot2_Cost,Slot3_Cost,Slot4_Cost,Slot5_Cost,Slot6_Cost,Slot7_Cost,Slot8_Cost,Slot9_Cost,Slot10_Cost,Slot11_Cost,Slot12_Cost,Slot13_Cost,Slot14_Cost,Slot15_Cost,Slot16_Cost,Slot17_Cost,Slot18_Cost,Slot19_Cost,Slot20_Cost),IF($D131="retire",SUMIFS('Plan cashflow'!$TS$8:$TS$97,'Plan cashflow'!$C$8:$C$97,1),IF($D131="legacy",INDEX(GL_Amount,22)*(1+AS_Infl)^F_N,0))))</f>
        <v/>
      </c>
      <c r="F131" s="20" t="str">
        <f aca="false">IF($Q131="","",IF(OR($D131="spend",$D131="mfree",$D131="pot"),CHOOSE($I131,Slot1_Paid,Slot2_Paid,Slot3_Paid,Slot4_Paid,Slot5_Paid,Slot6_Paid,Slot7_Paid,Slot8_Paid,Slot9_Paid,Slot10_Paid,Slot11_Paid,Slot12_Paid,Slot13_Paid,Slot14_Paid,Slot15_Paid,Slot16_Paid,Slot17_Paid,Slot18_Paid,Slot19_Paid,Slot20_Paid),IF($D131="retire",SUMIFS('Plan cashflow'!$TT$8:$TT$97,'Plan cashflow'!$C$8:$C$97,1),IF($D131="legacy",MIN(E131,INDEX('Plan cashflow'!$QK$8:$QK$97,F_N+1)+INDEX('Plan cashflow'!$QL$8:$QL$97,F_N+1)),0))))</f>
        <v/>
      </c>
      <c r="G131" s="20" t="str">
        <f aca="false">IF($Q131="","",IF($D131="retire",IF(SUM('Plan cashflow'!$UH$8:$UH$97)&gt;0,MIN(IF(E131&gt;0,IF(F131&gt;=E131-1,100,MIN(PR_PctCap,MAX(0,INT(F131/E131*100)))),100),94),IF(E131&gt;0,IF(F131&gt;=E131-1,100,MIN(PR_PctCap,MAX(0,INT(F131/E131*100)))),100)),IF(E131&gt;0,IF(F131&gt;=E131-1,100,MIN(PR_PctCap,MAX(0,INT(F131/E131*100)))),100)))</f>
        <v/>
      </c>
      <c r="H131" s="20" t="str">
        <f aca="false">IF(G131="","",IF(G131&gt;=PR_Good,"good",IF(G131&gt;=PR_Nudge,"nudge","alert")))</f>
        <v/>
      </c>
      <c r="I131" s="20" t="str">
        <f aca="false">IF(OR($D131="spend",$D131="mfree",$D131="pot"),INDEX(GL_Pos,22),"")</f>
        <v/>
      </c>
      <c r="J131" s="20" t="str">
        <f aca="false">IF(OR($D131="spend",$D131="mfree",$D131="pot"),CHOOSE($I131,Slot1_NeedM,Slot2_NeedM,Slot3_NeedM,Slot4_NeedM,Slot5_NeedM,Slot6_NeedM,Slot7_NeedM,Slot8_NeedM,Slot9_NeedM,Slot10_NeedM,Slot11_NeedM,Slot12_NeedM,Slot13_NeedM,Slot14_NeedM,Slot15_NeedM,Slot16_NeedM,Slot17_NeedM,Slot18_NeedM,Slot19_NeedM,Slot20_NeedM),"")</f>
        <v/>
      </c>
      <c r="K131" s="20" t="str">
        <f aca="false">IF(OR($D131="spend",$D131="mfree",$D131="pot"),CHOOSE($I131,Slot1_AvgM,Slot2_AvgM,Slot3_AvgM,Slot4_AvgM,Slot5_AvgM,Slot6_AvgM,Slot7_AvgM,Slot8_AvgM,Slot9_AvgM,Slot10_AvgM,Slot11_AvgM,Slot12_AvgM,Slot13_AvgM,Slot14_AvgM,Slot15_AvgM,Slot16_AvgM,Slot17_AvgM,Slot18_AvgM,Slot19_AvgM,Slot20_AvgM),"")</f>
        <v/>
      </c>
      <c r="L131" s="24"/>
      <c r="M131" s="20" t="str">
        <f aca="false">IF(NOT(OR($D131="spend",$D131="mfree",$D131="pot")),"",IF(AND($D131="mfree",In_home&lt;&gt;"",In_home&lt;&gt;"Own with mortgage"),"No mortgage in Your finances: remove this goal, or add your mortgage",IF(G131&gt;=100,"Fully funded"&amp;IF(K131&gt;0," · on average you'll put "&amp;"€"&amp;TEXT(ROUND(K131,0),"#,##0")&amp;" a month",""),IF(AB131="","Type the extra the what-if search finds in column L to see this line",IF(IF(AB131="none",TRUE(),K131+AB131&gt;Save_SurplusM),"Needs about "&amp;"€"&amp;TEXT(ROUND(IF(AB131="none",MAX(J131,K131+5),K131+AB131),0),"#,##0")&amp;" a month, more than your spare money · on average you'll put "&amp;"€"&amp;TEXT(ROUND(K131,0),"#,##0")&amp;" a month","Needs about "&amp;"€"&amp;TEXT(ROUND(K131+AB131,0),"#,##0")&amp;" a month · on average you'll put "&amp;"€"&amp;TEXT(ROUND(K131,0),"#,##0")&amp;" a month")))))</f>
        <v/>
      </c>
      <c r="N131" s="20" t="str">
        <f aca="false">IF($Q131="","",INDEX(GL_AgeT,22))</f>
        <v/>
      </c>
      <c r="O131" s="20" t="str">
        <f aca="false">IF(AND($Q131&lt;&gt;"",G131&gt;=PR_Good,Findings_Over=0),G131*1000000-N131*1000-22,"")</f>
        <v/>
      </c>
      <c r="P131" s="20" t="str">
        <f aca="false">IF($Q131="","",G131*1000000+N131*1000+22)</f>
        <v/>
      </c>
      <c r="Q131" s="20" t="str">
        <f aca="false">INDEX(GL_Key,22)</f>
        <v/>
      </c>
      <c r="R131" s="20" t="n">
        <f aca="false">IF(G131="",0,G131)</f>
        <v>0</v>
      </c>
      <c r="S131" s="20" t="str">
        <f aca="false">IF($Q131="","",IFERROR(INDEX(Goal_Specs,MATCH($Q131,Goal_Keys,0)),""))</f>
        <v/>
      </c>
      <c r="T131" s="20" t="n">
        <f aca="false">IF($Q131="",9999,G131)</f>
        <v>9999</v>
      </c>
      <c r="U131" s="20" t="str">
        <f aca="false">IF($Q131="","",IF($D131="legacy","at the end of your plan"&amp;IF(Has_a_planEnd=1," ("&amp;AS_End&amp;")",""),IF(INDEX(GL_AgeT,22)&lt;F_Age,"Date has passed",IF($D131="retire",IF(Has_retireAge=1,"at "&amp;INDEX(GL_AgeT,22),"at an age you haven't chosen yet"),"in "&amp;(INDEX(GL_AgeRaw,22)-F_Age)&amp;IF(INDEX(GL_AgeRaw,22)-F_Age=1," year"," years")))))</f>
        <v/>
      </c>
      <c r="V131" s="20" t="str">
        <f aca="false">IF(AND($Q131="safety",F_EssM&gt;0,INDEX(GL_Amount,22)&gt;0),ROUND(INDEX(GL_Amount,22)/F_EssM*10,0)/10,"")</f>
        <v/>
      </c>
      <c r="W131" s="20" t="str">
        <f aca="false">IF($Q131="","",AS_Year0+INDEX(GL_AgeT,22)-F_Age)</f>
        <v/>
      </c>
      <c r="X131" s="20" t="str">
        <f aca="false">IF($Q131="","",IF(AND($D131&lt;&gt;"legacy",INDEX(GL_AgeT,22)&lt;F_Age),"Date has passed",IF($D131="retire","Age ","age ")&amp;INDEX(GL_AgeT,22)&amp;" · "&amp;W131))</f>
        <v/>
      </c>
      <c r="Y131" s="20" t="str">
        <f aca="false">IF($Q131="","",G131*1000+IF($D131="legacy",AS_End,INDEX(GL_AgeT,22)))</f>
        <v/>
      </c>
      <c r="Z131" s="24"/>
      <c r="AA131" s="20" t="str">
        <f aca="false">IF($Q131="","",IF(IF(Z131&lt;&gt;"",Z131,IF(AND(WI_M=0,WI_L=0),G131,""))="","",IF(IF(Z131&lt;&gt;"",Z131,G131)&lt;&gt;G131,C131&amp;" goes from "&amp;IF(Z131&lt;&gt;"",Z131,G131)&amp;"% to "&amp;G131&amp;"%","")))</f>
        <v/>
      </c>
      <c r="AB131" s="20" t="str">
        <f aca="false">IF(ISBLANK(L131),IF(AND(Fill_Example="Yes",FALSE()),"",""),L131)</f>
        <v/>
      </c>
    </row>
  </sheetData>
  <mergeCells count="1">
    <mergeCell ref="B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8B57"/>
    <pageSetUpPr fitToPage="false"/>
  </sheetPr>
  <dimension ref="A1:UJ9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7" topLeftCell="C8" activePane="bottomRight" state="frozen"/>
      <selection pane="topLeft" activeCell="A1" activeCellId="0" sqref="A1"/>
      <selection pane="topRight" activeCell="C1" activeCellId="0" sqref="C1"/>
      <selection pane="bottomLeft" activeCell="A8" activeCellId="0" sqref="A8"/>
      <selection pane="bottomRight" activeCell="A1" activeCellId="0" sqref="A1"/>
    </sheetView>
  </sheetViews>
  <sheetFormatPr defaultColWidth="8.5390625" defaultRowHeight="15" zeroHeight="false" outlineLevelRow="0" outlineLevelCol="0"/>
  <cols>
    <col collapsed="false" customWidth="true" hidden="false" outlineLevel="0" max="2" min="2" style="20" width="6"/>
    <col collapsed="false" customWidth="true" hidden="false" outlineLevel="0" max="4" min="3" style="20" width="7"/>
    <col collapsed="false" customWidth="true" hidden="false" outlineLevel="0" max="5" min="5" style="20" width="36.44"/>
    <col collapsed="false" customWidth="true" hidden="false" outlineLevel="0" max="6" min="6" style="20" width="11"/>
    <col collapsed="false" customWidth="true" hidden="false" outlineLevel="0" max="7" min="7" style="20" width="7"/>
    <col collapsed="false" customWidth="true" hidden="false" outlineLevel="0" max="20" min="8" style="20" width="11"/>
    <col collapsed="false" customWidth="true" hidden="false" outlineLevel="0" max="23" min="21" style="20" width="7"/>
    <col collapsed="false" customWidth="true" hidden="false" outlineLevel="0" max="32" min="24" style="20" width="11"/>
    <col collapsed="false" customWidth="true" hidden="false" outlineLevel="0" max="34" min="33" style="20" width="7"/>
    <col collapsed="false" customWidth="true" hidden="false" outlineLevel="0" max="42" min="35" style="20" width="11"/>
    <col collapsed="false" customWidth="true" hidden="false" outlineLevel="0" max="44" min="43" style="20" width="7"/>
    <col collapsed="false" customWidth="true" hidden="false" outlineLevel="0" max="52" min="45" style="20" width="11"/>
    <col collapsed="false" customWidth="true" hidden="false" outlineLevel="0" max="54" min="53" style="20" width="7"/>
    <col collapsed="false" customWidth="true" hidden="false" outlineLevel="0" max="62" min="55" style="20" width="11"/>
    <col collapsed="false" customWidth="true" hidden="false" outlineLevel="0" max="64" min="63" style="20" width="7"/>
    <col collapsed="false" customWidth="true" hidden="false" outlineLevel="0" max="72" min="65" style="20" width="11"/>
    <col collapsed="false" customWidth="true" hidden="false" outlineLevel="0" max="74" min="73" style="20" width="7"/>
    <col collapsed="false" customWidth="true" hidden="false" outlineLevel="0" max="82" min="75" style="20" width="11"/>
    <col collapsed="false" customWidth="true" hidden="false" outlineLevel="0" max="84" min="83" style="20" width="7"/>
    <col collapsed="false" customWidth="true" hidden="false" outlineLevel="0" max="92" min="85" style="20" width="11"/>
    <col collapsed="false" customWidth="true" hidden="false" outlineLevel="0" max="94" min="93" style="20" width="7"/>
    <col collapsed="false" customWidth="true" hidden="false" outlineLevel="0" max="102" min="95" style="20" width="11"/>
    <col collapsed="false" customWidth="true" hidden="false" outlineLevel="0" max="104" min="103" style="20" width="7"/>
    <col collapsed="false" customWidth="true" hidden="false" outlineLevel="0" max="112" min="105" style="20" width="11"/>
    <col collapsed="false" customWidth="true" hidden="false" outlineLevel="0" max="114" min="113" style="20" width="7"/>
    <col collapsed="false" customWidth="true" hidden="false" outlineLevel="0" max="122" min="115" style="20" width="11"/>
    <col collapsed="false" customWidth="true" hidden="false" outlineLevel="0" max="124" min="123" style="20" width="7"/>
    <col collapsed="false" customWidth="true" hidden="false" outlineLevel="0" max="132" min="125" style="20" width="11"/>
    <col collapsed="false" customWidth="true" hidden="false" outlineLevel="0" max="134" min="133" style="20" width="7"/>
    <col collapsed="false" customWidth="true" hidden="false" outlineLevel="0" max="142" min="135" style="20" width="11"/>
    <col collapsed="false" customWidth="true" hidden="false" outlineLevel="0" max="144" min="143" style="20" width="7"/>
    <col collapsed="false" customWidth="true" hidden="false" outlineLevel="0" max="152" min="145" style="20" width="11"/>
    <col collapsed="false" customWidth="true" hidden="false" outlineLevel="0" max="154" min="153" style="20" width="7"/>
    <col collapsed="false" customWidth="true" hidden="false" outlineLevel="0" max="162" min="155" style="20" width="11"/>
    <col collapsed="false" customWidth="true" hidden="false" outlineLevel="0" max="164" min="163" style="20" width="7"/>
    <col collapsed="false" customWidth="true" hidden="false" outlineLevel="0" max="172" min="165" style="20" width="11"/>
    <col collapsed="false" customWidth="true" hidden="false" outlineLevel="0" max="174" min="173" style="20" width="7"/>
    <col collapsed="false" customWidth="true" hidden="false" outlineLevel="0" max="182" min="175" style="20" width="11"/>
    <col collapsed="false" customWidth="true" hidden="false" outlineLevel="0" max="184" min="183" style="20" width="7"/>
    <col collapsed="false" customWidth="true" hidden="false" outlineLevel="0" max="192" min="185" style="20" width="11"/>
    <col collapsed="false" customWidth="true" hidden="false" outlineLevel="0" max="194" min="193" style="20" width="7"/>
    <col collapsed="false" customWidth="true" hidden="false" outlineLevel="0" max="202" min="195" style="20" width="11"/>
    <col collapsed="false" customWidth="true" hidden="false" outlineLevel="0" max="204" min="203" style="20" width="7"/>
    <col collapsed="false" customWidth="true" hidden="false" outlineLevel="0" max="212" min="205" style="20" width="11"/>
    <col collapsed="false" customWidth="true" hidden="false" outlineLevel="0" max="214" min="213" style="20" width="7"/>
    <col collapsed="false" customWidth="true" hidden="false" outlineLevel="0" max="228" min="215" style="20" width="11"/>
    <col collapsed="false" customWidth="true" hidden="false" outlineLevel="0" max="229" min="229" style="20" width="7"/>
    <col collapsed="false" customWidth="true" hidden="false" outlineLevel="0" max="231" min="230" style="20" width="11"/>
    <col collapsed="false" customWidth="true" hidden="false" outlineLevel="0" max="232" min="232" style="20" width="7"/>
    <col collapsed="false" customWidth="true" hidden="false" outlineLevel="0" max="235" min="233" style="20" width="11"/>
    <col collapsed="false" customWidth="true" hidden="false" outlineLevel="0" max="236" min="236" style="20" width="7"/>
    <col collapsed="false" customWidth="true" hidden="false" outlineLevel="0" max="537" min="237" style="20" width="11"/>
    <col collapsed="false" customWidth="true" hidden="false" outlineLevel="0" max="538" min="538" style="20" width="7"/>
    <col collapsed="false" customWidth="true" hidden="false" outlineLevel="0" max="541" min="539" style="20" width="11"/>
    <col collapsed="false" customWidth="true" hidden="false" outlineLevel="0" max="542" min="542" style="20" width="7"/>
    <col collapsed="false" customWidth="true" hidden="false" outlineLevel="0" max="545" min="543" style="20" width="11"/>
    <col collapsed="false" customWidth="true" hidden="false" outlineLevel="0" max="549" min="546" style="20" width="7"/>
    <col collapsed="false" customWidth="true" hidden="false" outlineLevel="0" max="550" min="550" style="20" width="24"/>
    <col collapsed="false" customWidth="true" hidden="false" outlineLevel="0" max="556" min="551" style="20" width="7"/>
  </cols>
  <sheetData>
    <row r="1" customFormat="false" ht="17.25" hidden="false" customHeight="true" outlineLevel="0" collapsed="false">
      <c r="B1" s="21" t="s">
        <v>1698</v>
      </c>
    </row>
    <row r="2" customFormat="false" ht="48" hidden="false" customHeight="true" outlineLevel="0" collapsed="false">
      <c r="B2" s="2" t="s">
        <v>1699</v>
      </c>
      <c r="C2" s="2"/>
      <c r="D2" s="2"/>
      <c r="E2" s="2"/>
      <c r="F2" s="2"/>
      <c r="G2" s="2"/>
      <c r="H2" s="2"/>
      <c r="I2" s="2"/>
      <c r="J2" s="2"/>
      <c r="K2" s="2"/>
      <c r="L2" s="2"/>
      <c r="M2" s="2"/>
    </row>
    <row r="6" customFormat="false" ht="122.25" hidden="false" customHeight="true" outlineLevel="0" collapsed="false">
      <c r="A6" s="23" t="s">
        <v>1506</v>
      </c>
      <c r="B6" s="33" t="s">
        <v>1507</v>
      </c>
      <c r="C6" s="33" t="s">
        <v>1700</v>
      </c>
      <c r="D6" s="33" t="s">
        <v>1446</v>
      </c>
      <c r="E6" s="33" t="s">
        <v>1701</v>
      </c>
      <c r="F6" s="33" t="s">
        <v>1509</v>
      </c>
      <c r="G6" s="33" t="s">
        <v>1511</v>
      </c>
      <c r="H6" s="33" t="s">
        <v>1702</v>
      </c>
      <c r="I6" s="33" t="s">
        <v>1703</v>
      </c>
      <c r="J6" s="33" t="s">
        <v>1704</v>
      </c>
      <c r="K6" s="33" t="s">
        <v>1705</v>
      </c>
      <c r="L6" s="33" t="s">
        <v>1706</v>
      </c>
      <c r="M6" s="33" t="s">
        <v>1707</v>
      </c>
      <c r="N6" s="33" t="s">
        <v>1708</v>
      </c>
      <c r="O6" s="33" t="s">
        <v>1709</v>
      </c>
      <c r="P6" s="33" t="s">
        <v>1710</v>
      </c>
      <c r="Q6" s="33" t="s">
        <v>1711</v>
      </c>
      <c r="R6" s="33" t="s">
        <v>1712</v>
      </c>
      <c r="S6" s="33" t="s">
        <v>1713</v>
      </c>
      <c r="T6" s="33" t="s">
        <v>1714</v>
      </c>
      <c r="U6" s="33" t="s">
        <v>1715</v>
      </c>
      <c r="V6" s="33" t="s">
        <v>1716</v>
      </c>
      <c r="W6" s="33" t="s">
        <v>1717</v>
      </c>
      <c r="X6" s="33" t="s">
        <v>1718</v>
      </c>
      <c r="Y6" s="33" t="s">
        <v>1719</v>
      </c>
      <c r="Z6" s="33" t="s">
        <v>1720</v>
      </c>
      <c r="AA6" s="33" t="s">
        <v>1721</v>
      </c>
      <c r="AB6" s="33" t="s">
        <v>1722</v>
      </c>
      <c r="AC6" s="33" t="s">
        <v>1723</v>
      </c>
      <c r="AD6" s="33" t="s">
        <v>1724</v>
      </c>
      <c r="AE6" s="33" t="s">
        <v>1725</v>
      </c>
      <c r="AF6" s="33" t="s">
        <v>1726</v>
      </c>
      <c r="AG6" s="33" t="s">
        <v>1727</v>
      </c>
      <c r="AH6" s="33" t="s">
        <v>1728</v>
      </c>
      <c r="AI6" s="33" t="s">
        <v>1729</v>
      </c>
      <c r="AJ6" s="33" t="s">
        <v>1730</v>
      </c>
      <c r="AK6" s="33" t="s">
        <v>1731</v>
      </c>
      <c r="AL6" s="33" t="s">
        <v>1732</v>
      </c>
      <c r="AM6" s="33" t="s">
        <v>1733</v>
      </c>
      <c r="AN6" s="33" t="s">
        <v>1734</v>
      </c>
      <c r="AO6" s="33" t="s">
        <v>1735</v>
      </c>
      <c r="AP6" s="33" t="s">
        <v>1736</v>
      </c>
      <c r="AQ6" s="33" t="s">
        <v>1737</v>
      </c>
      <c r="AR6" s="33" t="s">
        <v>1738</v>
      </c>
      <c r="AS6" s="33" t="s">
        <v>1739</v>
      </c>
      <c r="AT6" s="33" t="s">
        <v>1740</v>
      </c>
      <c r="AU6" s="33" t="s">
        <v>1741</v>
      </c>
      <c r="AV6" s="33" t="s">
        <v>1742</v>
      </c>
      <c r="AW6" s="33" t="s">
        <v>1743</v>
      </c>
      <c r="AX6" s="33" t="s">
        <v>1744</v>
      </c>
      <c r="AY6" s="33" t="s">
        <v>1745</v>
      </c>
      <c r="AZ6" s="33" t="s">
        <v>1746</v>
      </c>
      <c r="BA6" s="33" t="s">
        <v>1747</v>
      </c>
      <c r="BB6" s="33" t="s">
        <v>1748</v>
      </c>
      <c r="BC6" s="33" t="s">
        <v>1749</v>
      </c>
      <c r="BD6" s="33" t="s">
        <v>1750</v>
      </c>
      <c r="BE6" s="33" t="s">
        <v>1751</v>
      </c>
      <c r="BF6" s="33" t="s">
        <v>1752</v>
      </c>
      <c r="BG6" s="33" t="s">
        <v>1753</v>
      </c>
      <c r="BH6" s="33" t="s">
        <v>1754</v>
      </c>
      <c r="BI6" s="33" t="s">
        <v>1755</v>
      </c>
      <c r="BJ6" s="33" t="s">
        <v>1756</v>
      </c>
      <c r="BK6" s="33" t="s">
        <v>1757</v>
      </c>
      <c r="BL6" s="33" t="s">
        <v>1758</v>
      </c>
      <c r="BM6" s="33" t="s">
        <v>1759</v>
      </c>
      <c r="BN6" s="33" t="s">
        <v>1760</v>
      </c>
      <c r="BO6" s="33" t="s">
        <v>1761</v>
      </c>
      <c r="BP6" s="33" t="s">
        <v>1762</v>
      </c>
      <c r="BQ6" s="33" t="s">
        <v>1763</v>
      </c>
      <c r="BR6" s="33" t="s">
        <v>1764</v>
      </c>
      <c r="BS6" s="33" t="s">
        <v>1765</v>
      </c>
      <c r="BT6" s="33" t="s">
        <v>1766</v>
      </c>
      <c r="BU6" s="33" t="s">
        <v>1767</v>
      </c>
      <c r="BV6" s="33" t="s">
        <v>1768</v>
      </c>
      <c r="BW6" s="33" t="s">
        <v>1769</v>
      </c>
      <c r="BX6" s="33" t="s">
        <v>1770</v>
      </c>
      <c r="BY6" s="33" t="s">
        <v>1771</v>
      </c>
      <c r="BZ6" s="33" t="s">
        <v>1772</v>
      </c>
      <c r="CA6" s="33" t="s">
        <v>1773</v>
      </c>
      <c r="CB6" s="33" t="s">
        <v>1774</v>
      </c>
      <c r="CC6" s="33" t="s">
        <v>1775</v>
      </c>
      <c r="CD6" s="33" t="s">
        <v>1776</v>
      </c>
      <c r="CE6" s="33" t="s">
        <v>1777</v>
      </c>
      <c r="CF6" s="33" t="s">
        <v>1778</v>
      </c>
      <c r="CG6" s="33" t="s">
        <v>1779</v>
      </c>
      <c r="CH6" s="33" t="s">
        <v>1780</v>
      </c>
      <c r="CI6" s="33" t="s">
        <v>1781</v>
      </c>
      <c r="CJ6" s="33" t="s">
        <v>1782</v>
      </c>
      <c r="CK6" s="33" t="s">
        <v>1783</v>
      </c>
      <c r="CL6" s="33" t="s">
        <v>1784</v>
      </c>
      <c r="CM6" s="33" t="s">
        <v>1785</v>
      </c>
      <c r="CN6" s="33" t="s">
        <v>1786</v>
      </c>
      <c r="CO6" s="33" t="s">
        <v>1787</v>
      </c>
      <c r="CP6" s="33" t="s">
        <v>1788</v>
      </c>
      <c r="CQ6" s="33" t="s">
        <v>1789</v>
      </c>
      <c r="CR6" s="33" t="s">
        <v>1790</v>
      </c>
      <c r="CS6" s="33" t="s">
        <v>1791</v>
      </c>
      <c r="CT6" s="33" t="s">
        <v>1792</v>
      </c>
      <c r="CU6" s="33" t="s">
        <v>1793</v>
      </c>
      <c r="CV6" s="33" t="s">
        <v>1794</v>
      </c>
      <c r="CW6" s="33" t="s">
        <v>1795</v>
      </c>
      <c r="CX6" s="33" t="s">
        <v>1796</v>
      </c>
      <c r="CY6" s="33" t="s">
        <v>1797</v>
      </c>
      <c r="CZ6" s="33" t="s">
        <v>1798</v>
      </c>
      <c r="DA6" s="33" t="s">
        <v>1799</v>
      </c>
      <c r="DB6" s="33" t="s">
        <v>1800</v>
      </c>
      <c r="DC6" s="33" t="s">
        <v>1801</v>
      </c>
      <c r="DD6" s="33" t="s">
        <v>1802</v>
      </c>
      <c r="DE6" s="33" t="s">
        <v>1803</v>
      </c>
      <c r="DF6" s="33" t="s">
        <v>1804</v>
      </c>
      <c r="DG6" s="33" t="s">
        <v>1805</v>
      </c>
      <c r="DH6" s="33" t="s">
        <v>1806</v>
      </c>
      <c r="DI6" s="33" t="s">
        <v>1807</v>
      </c>
      <c r="DJ6" s="33" t="s">
        <v>1808</v>
      </c>
      <c r="DK6" s="33" t="s">
        <v>1809</v>
      </c>
      <c r="DL6" s="33" t="s">
        <v>1810</v>
      </c>
      <c r="DM6" s="33" t="s">
        <v>1811</v>
      </c>
      <c r="DN6" s="33" t="s">
        <v>1812</v>
      </c>
      <c r="DO6" s="33" t="s">
        <v>1813</v>
      </c>
      <c r="DP6" s="33" t="s">
        <v>1814</v>
      </c>
      <c r="DQ6" s="33" t="s">
        <v>1815</v>
      </c>
      <c r="DR6" s="33" t="s">
        <v>1816</v>
      </c>
      <c r="DS6" s="33" t="s">
        <v>1817</v>
      </c>
      <c r="DT6" s="33" t="s">
        <v>1818</v>
      </c>
      <c r="DU6" s="33" t="s">
        <v>1819</v>
      </c>
      <c r="DV6" s="33" t="s">
        <v>1820</v>
      </c>
      <c r="DW6" s="33" t="s">
        <v>1821</v>
      </c>
      <c r="DX6" s="33" t="s">
        <v>1822</v>
      </c>
      <c r="DY6" s="33" t="s">
        <v>1823</v>
      </c>
      <c r="DZ6" s="33" t="s">
        <v>1824</v>
      </c>
      <c r="EA6" s="33" t="s">
        <v>1825</v>
      </c>
      <c r="EB6" s="33" t="s">
        <v>1826</v>
      </c>
      <c r="EC6" s="33" t="s">
        <v>1827</v>
      </c>
      <c r="ED6" s="33" t="s">
        <v>1828</v>
      </c>
      <c r="EE6" s="33" t="s">
        <v>1829</v>
      </c>
      <c r="EF6" s="33" t="s">
        <v>1830</v>
      </c>
      <c r="EG6" s="33" t="s">
        <v>1831</v>
      </c>
      <c r="EH6" s="33" t="s">
        <v>1832</v>
      </c>
      <c r="EI6" s="33" t="s">
        <v>1833</v>
      </c>
      <c r="EJ6" s="33" t="s">
        <v>1834</v>
      </c>
      <c r="EK6" s="33" t="s">
        <v>1835</v>
      </c>
      <c r="EL6" s="33" t="s">
        <v>1836</v>
      </c>
      <c r="EM6" s="33" t="s">
        <v>1837</v>
      </c>
      <c r="EN6" s="33" t="s">
        <v>1838</v>
      </c>
      <c r="EO6" s="33" t="s">
        <v>1839</v>
      </c>
      <c r="EP6" s="33" t="s">
        <v>1840</v>
      </c>
      <c r="EQ6" s="33" t="s">
        <v>1841</v>
      </c>
      <c r="ER6" s="33" t="s">
        <v>1842</v>
      </c>
      <c r="ES6" s="33" t="s">
        <v>1843</v>
      </c>
      <c r="ET6" s="33" t="s">
        <v>1844</v>
      </c>
      <c r="EU6" s="33" t="s">
        <v>1845</v>
      </c>
      <c r="EV6" s="33" t="s">
        <v>1846</v>
      </c>
      <c r="EW6" s="33" t="s">
        <v>1847</v>
      </c>
      <c r="EX6" s="33" t="s">
        <v>1848</v>
      </c>
      <c r="EY6" s="33" t="s">
        <v>1849</v>
      </c>
      <c r="EZ6" s="33" t="s">
        <v>1850</v>
      </c>
      <c r="FA6" s="33" t="s">
        <v>1851</v>
      </c>
      <c r="FB6" s="33" t="s">
        <v>1852</v>
      </c>
      <c r="FC6" s="33" t="s">
        <v>1853</v>
      </c>
      <c r="FD6" s="33" t="s">
        <v>1854</v>
      </c>
      <c r="FE6" s="33" t="s">
        <v>1855</v>
      </c>
      <c r="FF6" s="33" t="s">
        <v>1856</v>
      </c>
      <c r="FG6" s="33" t="s">
        <v>1857</v>
      </c>
      <c r="FH6" s="33" t="s">
        <v>1858</v>
      </c>
      <c r="FI6" s="33" t="s">
        <v>1859</v>
      </c>
      <c r="FJ6" s="33" t="s">
        <v>1860</v>
      </c>
      <c r="FK6" s="33" t="s">
        <v>1861</v>
      </c>
      <c r="FL6" s="33" t="s">
        <v>1862</v>
      </c>
      <c r="FM6" s="33" t="s">
        <v>1863</v>
      </c>
      <c r="FN6" s="33" t="s">
        <v>1864</v>
      </c>
      <c r="FO6" s="33" t="s">
        <v>1865</v>
      </c>
      <c r="FP6" s="33" t="s">
        <v>1866</v>
      </c>
      <c r="FQ6" s="33" t="s">
        <v>1867</v>
      </c>
      <c r="FR6" s="33" t="s">
        <v>1868</v>
      </c>
      <c r="FS6" s="33" t="s">
        <v>1869</v>
      </c>
      <c r="FT6" s="33" t="s">
        <v>1870</v>
      </c>
      <c r="FU6" s="33" t="s">
        <v>1871</v>
      </c>
      <c r="FV6" s="33" t="s">
        <v>1872</v>
      </c>
      <c r="FW6" s="33" t="s">
        <v>1873</v>
      </c>
      <c r="FX6" s="33" t="s">
        <v>1874</v>
      </c>
      <c r="FY6" s="33" t="s">
        <v>1875</v>
      </c>
      <c r="FZ6" s="33" t="s">
        <v>1876</v>
      </c>
      <c r="GA6" s="33" t="s">
        <v>1877</v>
      </c>
      <c r="GB6" s="33" t="s">
        <v>1878</v>
      </c>
      <c r="GC6" s="33" t="s">
        <v>1879</v>
      </c>
      <c r="GD6" s="33" t="s">
        <v>1880</v>
      </c>
      <c r="GE6" s="33" t="s">
        <v>1881</v>
      </c>
      <c r="GF6" s="33" t="s">
        <v>1882</v>
      </c>
      <c r="GG6" s="33" t="s">
        <v>1883</v>
      </c>
      <c r="GH6" s="33" t="s">
        <v>1884</v>
      </c>
      <c r="GI6" s="33" t="s">
        <v>1885</v>
      </c>
      <c r="GJ6" s="33" t="s">
        <v>1886</v>
      </c>
      <c r="GK6" s="33" t="s">
        <v>1887</v>
      </c>
      <c r="GL6" s="33" t="s">
        <v>1888</v>
      </c>
      <c r="GM6" s="33" t="s">
        <v>1889</v>
      </c>
      <c r="GN6" s="33" t="s">
        <v>1890</v>
      </c>
      <c r="GO6" s="33" t="s">
        <v>1891</v>
      </c>
      <c r="GP6" s="33" t="s">
        <v>1892</v>
      </c>
      <c r="GQ6" s="33" t="s">
        <v>1893</v>
      </c>
      <c r="GR6" s="33" t="s">
        <v>1894</v>
      </c>
      <c r="GS6" s="33" t="s">
        <v>1895</v>
      </c>
      <c r="GT6" s="33" t="s">
        <v>1896</v>
      </c>
      <c r="GU6" s="33" t="s">
        <v>1897</v>
      </c>
      <c r="GV6" s="33" t="s">
        <v>1898</v>
      </c>
      <c r="GW6" s="33" t="s">
        <v>1899</v>
      </c>
      <c r="GX6" s="33" t="s">
        <v>1900</v>
      </c>
      <c r="GY6" s="33" t="s">
        <v>1901</v>
      </c>
      <c r="GZ6" s="33" t="s">
        <v>1902</v>
      </c>
      <c r="HA6" s="33" t="s">
        <v>1903</v>
      </c>
      <c r="HB6" s="33" t="s">
        <v>1904</v>
      </c>
      <c r="HC6" s="33" t="s">
        <v>1905</v>
      </c>
      <c r="HD6" s="33" t="s">
        <v>1906</v>
      </c>
      <c r="HE6" s="33" t="s">
        <v>1907</v>
      </c>
      <c r="HF6" s="33" t="s">
        <v>1908</v>
      </c>
      <c r="HG6" s="33" t="s">
        <v>1909</v>
      </c>
      <c r="HH6" s="33" t="s">
        <v>1910</v>
      </c>
      <c r="HI6" s="33" t="s">
        <v>1911</v>
      </c>
      <c r="HJ6" s="33" t="s">
        <v>1912</v>
      </c>
      <c r="HK6" s="33" t="s">
        <v>1913</v>
      </c>
      <c r="HL6" s="33" t="s">
        <v>1914</v>
      </c>
      <c r="HM6" s="33" t="s">
        <v>1915</v>
      </c>
      <c r="HN6" s="33" t="s">
        <v>1916</v>
      </c>
      <c r="HO6" s="33" t="s">
        <v>1917</v>
      </c>
      <c r="HP6" s="33" t="s">
        <v>1918</v>
      </c>
      <c r="HQ6" s="33" t="s">
        <v>1919</v>
      </c>
      <c r="HR6" s="33" t="s">
        <v>1920</v>
      </c>
      <c r="HS6" s="33" t="s">
        <v>1921</v>
      </c>
      <c r="HT6" s="33" t="s">
        <v>1922</v>
      </c>
      <c r="HU6" s="33" t="s">
        <v>1923</v>
      </c>
      <c r="HV6" s="33" t="s">
        <v>1924</v>
      </c>
      <c r="HW6" s="33" t="s">
        <v>1925</v>
      </c>
      <c r="HX6" s="33" t="s">
        <v>1926</v>
      </c>
      <c r="HY6" s="33" t="s">
        <v>1927</v>
      </c>
      <c r="HZ6" s="33" t="s">
        <v>1928</v>
      </c>
      <c r="IA6" s="33" t="s">
        <v>1929</v>
      </c>
      <c r="IB6" s="33" t="s">
        <v>1930</v>
      </c>
      <c r="IC6" s="33" t="s">
        <v>1931</v>
      </c>
      <c r="ID6" s="33" t="s">
        <v>1932</v>
      </c>
      <c r="IE6" s="33" t="s">
        <v>1933</v>
      </c>
      <c r="IF6" s="33" t="s">
        <v>1934</v>
      </c>
      <c r="IG6" s="33" t="s">
        <v>1935</v>
      </c>
      <c r="IH6" s="33" t="s">
        <v>1936</v>
      </c>
      <c r="II6" s="33" t="s">
        <v>1937</v>
      </c>
      <c r="IJ6" s="33" t="s">
        <v>1938</v>
      </c>
      <c r="IK6" s="33" t="s">
        <v>1939</v>
      </c>
      <c r="IL6" s="33" t="s">
        <v>1940</v>
      </c>
      <c r="IM6" s="33" t="s">
        <v>1941</v>
      </c>
      <c r="IN6" s="33" t="s">
        <v>1942</v>
      </c>
      <c r="IO6" s="33" t="s">
        <v>1943</v>
      </c>
      <c r="IP6" s="33" t="s">
        <v>1944</v>
      </c>
      <c r="IQ6" s="33" t="s">
        <v>1945</v>
      </c>
      <c r="IR6" s="33" t="s">
        <v>1946</v>
      </c>
      <c r="IS6" s="33" t="s">
        <v>1947</v>
      </c>
      <c r="IT6" s="33" t="s">
        <v>1948</v>
      </c>
      <c r="IU6" s="33" t="s">
        <v>1949</v>
      </c>
      <c r="IV6" s="33" t="s">
        <v>1950</v>
      </c>
      <c r="IW6" s="33" t="s">
        <v>1951</v>
      </c>
      <c r="IX6" s="33" t="s">
        <v>1952</v>
      </c>
      <c r="IY6" s="33" t="s">
        <v>1953</v>
      </c>
      <c r="IZ6" s="33" t="s">
        <v>1954</v>
      </c>
      <c r="JA6" s="33" t="s">
        <v>1955</v>
      </c>
      <c r="JB6" s="33" t="s">
        <v>1956</v>
      </c>
      <c r="JC6" s="33" t="s">
        <v>1957</v>
      </c>
      <c r="JD6" s="33" t="s">
        <v>1958</v>
      </c>
      <c r="JE6" s="33" t="s">
        <v>1959</v>
      </c>
      <c r="JF6" s="33" t="s">
        <v>1960</v>
      </c>
      <c r="JG6" s="33" t="s">
        <v>1961</v>
      </c>
      <c r="JH6" s="33" t="s">
        <v>1962</v>
      </c>
      <c r="JI6" s="33" t="s">
        <v>1963</v>
      </c>
      <c r="JJ6" s="33" t="s">
        <v>1964</v>
      </c>
      <c r="JK6" s="33" t="s">
        <v>1965</v>
      </c>
      <c r="JL6" s="33" t="s">
        <v>1966</v>
      </c>
      <c r="JM6" s="33" t="s">
        <v>1967</v>
      </c>
      <c r="JN6" s="33" t="s">
        <v>1968</v>
      </c>
      <c r="JO6" s="33" t="s">
        <v>1969</v>
      </c>
      <c r="JP6" s="33" t="s">
        <v>1970</v>
      </c>
      <c r="JQ6" s="33" t="s">
        <v>1971</v>
      </c>
      <c r="JR6" s="33" t="s">
        <v>1972</v>
      </c>
      <c r="JS6" s="33" t="s">
        <v>1973</v>
      </c>
      <c r="JT6" s="33" t="s">
        <v>1974</v>
      </c>
      <c r="JU6" s="33" t="s">
        <v>1975</v>
      </c>
      <c r="JV6" s="33" t="s">
        <v>1976</v>
      </c>
      <c r="JW6" s="33" t="s">
        <v>1977</v>
      </c>
      <c r="JX6" s="33" t="s">
        <v>1978</v>
      </c>
      <c r="JY6" s="33" t="s">
        <v>1979</v>
      </c>
      <c r="JZ6" s="33" t="s">
        <v>1980</v>
      </c>
      <c r="KA6" s="33" t="s">
        <v>1981</v>
      </c>
      <c r="KB6" s="33" t="s">
        <v>1982</v>
      </c>
      <c r="KC6" s="33" t="s">
        <v>1983</v>
      </c>
      <c r="KD6" s="33" t="s">
        <v>1984</v>
      </c>
      <c r="KE6" s="33" t="s">
        <v>1985</v>
      </c>
      <c r="KF6" s="33" t="s">
        <v>1986</v>
      </c>
      <c r="KG6" s="33" t="s">
        <v>1987</v>
      </c>
      <c r="KH6" s="33" t="s">
        <v>1988</v>
      </c>
      <c r="KI6" s="33" t="s">
        <v>1989</v>
      </c>
      <c r="KJ6" s="33" t="s">
        <v>1990</v>
      </c>
      <c r="KK6" s="33" t="s">
        <v>1991</v>
      </c>
      <c r="KL6" s="33" t="s">
        <v>1992</v>
      </c>
      <c r="KM6" s="33" t="s">
        <v>1993</v>
      </c>
      <c r="KN6" s="33" t="s">
        <v>1994</v>
      </c>
      <c r="KO6" s="33" t="s">
        <v>1995</v>
      </c>
      <c r="KP6" s="33" t="s">
        <v>1996</v>
      </c>
      <c r="KQ6" s="33" t="s">
        <v>1997</v>
      </c>
      <c r="KR6" s="33" t="s">
        <v>1998</v>
      </c>
      <c r="KS6" s="33" t="s">
        <v>1999</v>
      </c>
      <c r="KT6" s="33" t="s">
        <v>2000</v>
      </c>
      <c r="KU6" s="33" t="s">
        <v>2001</v>
      </c>
      <c r="KV6" s="33" t="s">
        <v>2002</v>
      </c>
      <c r="KW6" s="33" t="s">
        <v>2003</v>
      </c>
      <c r="KX6" s="33" t="s">
        <v>2004</v>
      </c>
      <c r="KY6" s="33" t="s">
        <v>2005</v>
      </c>
      <c r="KZ6" s="33" t="s">
        <v>2006</v>
      </c>
      <c r="LA6" s="33" t="s">
        <v>2007</v>
      </c>
      <c r="LB6" s="33" t="s">
        <v>2008</v>
      </c>
      <c r="LC6" s="33" t="s">
        <v>2009</v>
      </c>
      <c r="LD6" s="33" t="s">
        <v>2010</v>
      </c>
      <c r="LE6" s="33" t="s">
        <v>2011</v>
      </c>
      <c r="LF6" s="33" t="s">
        <v>2012</v>
      </c>
      <c r="LG6" s="33" t="s">
        <v>2013</v>
      </c>
      <c r="LH6" s="33" t="s">
        <v>2014</v>
      </c>
      <c r="LI6" s="33" t="s">
        <v>2015</v>
      </c>
      <c r="LJ6" s="33" t="s">
        <v>2016</v>
      </c>
      <c r="LK6" s="33" t="s">
        <v>2017</v>
      </c>
      <c r="LL6" s="33" t="s">
        <v>2018</v>
      </c>
      <c r="LM6" s="33" t="s">
        <v>2019</v>
      </c>
      <c r="LN6" s="33" t="s">
        <v>2020</v>
      </c>
      <c r="LO6" s="33" t="s">
        <v>2021</v>
      </c>
      <c r="LP6" s="33" t="s">
        <v>2022</v>
      </c>
      <c r="LQ6" s="33" t="s">
        <v>2023</v>
      </c>
      <c r="LR6" s="33" t="s">
        <v>2024</v>
      </c>
      <c r="LS6" s="33" t="s">
        <v>2025</v>
      </c>
      <c r="LT6" s="33" t="s">
        <v>2026</v>
      </c>
      <c r="LU6" s="33" t="s">
        <v>2027</v>
      </c>
      <c r="LV6" s="33" t="s">
        <v>2028</v>
      </c>
      <c r="LW6" s="33" t="s">
        <v>2029</v>
      </c>
      <c r="LX6" s="33" t="s">
        <v>2030</v>
      </c>
      <c r="LY6" s="33" t="s">
        <v>2031</v>
      </c>
      <c r="LZ6" s="33" t="s">
        <v>2032</v>
      </c>
      <c r="MA6" s="33" t="s">
        <v>2033</v>
      </c>
      <c r="MB6" s="33" t="s">
        <v>2034</v>
      </c>
      <c r="MC6" s="33" t="s">
        <v>2035</v>
      </c>
      <c r="MD6" s="33" t="s">
        <v>2036</v>
      </c>
      <c r="ME6" s="33" t="s">
        <v>2037</v>
      </c>
      <c r="MF6" s="33" t="s">
        <v>2038</v>
      </c>
      <c r="MG6" s="33" t="s">
        <v>2039</v>
      </c>
      <c r="MH6" s="33" t="s">
        <v>2040</v>
      </c>
      <c r="MI6" s="33" t="s">
        <v>2041</v>
      </c>
      <c r="MJ6" s="33" t="s">
        <v>2042</v>
      </c>
      <c r="MK6" s="33" t="s">
        <v>2043</v>
      </c>
      <c r="ML6" s="33" t="s">
        <v>2044</v>
      </c>
      <c r="MM6" s="33" t="s">
        <v>2045</v>
      </c>
      <c r="MN6" s="33" t="s">
        <v>2046</v>
      </c>
      <c r="MO6" s="33" t="s">
        <v>2047</v>
      </c>
      <c r="MP6" s="33" t="s">
        <v>2048</v>
      </c>
      <c r="MQ6" s="33" t="s">
        <v>2049</v>
      </c>
      <c r="MR6" s="33" t="s">
        <v>2050</v>
      </c>
      <c r="MS6" s="33" t="s">
        <v>2051</v>
      </c>
      <c r="MT6" s="33" t="s">
        <v>2052</v>
      </c>
      <c r="MU6" s="33" t="s">
        <v>2053</v>
      </c>
      <c r="MV6" s="33" t="s">
        <v>2054</v>
      </c>
      <c r="MW6" s="33" t="s">
        <v>2055</v>
      </c>
      <c r="MX6" s="33" t="s">
        <v>2056</v>
      </c>
      <c r="MY6" s="33" t="s">
        <v>2057</v>
      </c>
      <c r="MZ6" s="33" t="s">
        <v>2058</v>
      </c>
      <c r="NA6" s="33" t="s">
        <v>2059</v>
      </c>
      <c r="NB6" s="33" t="s">
        <v>2060</v>
      </c>
      <c r="NC6" s="33" t="s">
        <v>2061</v>
      </c>
      <c r="ND6" s="33" t="s">
        <v>2062</v>
      </c>
      <c r="NE6" s="33" t="s">
        <v>2063</v>
      </c>
      <c r="NF6" s="33" t="s">
        <v>2064</v>
      </c>
      <c r="NG6" s="33" t="s">
        <v>2065</v>
      </c>
      <c r="NH6" s="33" t="s">
        <v>2066</v>
      </c>
      <c r="NI6" s="33" t="s">
        <v>2067</v>
      </c>
      <c r="NJ6" s="33" t="s">
        <v>2068</v>
      </c>
      <c r="NK6" s="33" t="s">
        <v>2069</v>
      </c>
      <c r="NL6" s="33" t="s">
        <v>2070</v>
      </c>
      <c r="NM6" s="33" t="s">
        <v>2071</v>
      </c>
      <c r="NN6" s="33" t="s">
        <v>2072</v>
      </c>
      <c r="NO6" s="33" t="s">
        <v>2073</v>
      </c>
      <c r="NP6" s="33" t="s">
        <v>2074</v>
      </c>
      <c r="NQ6" s="33" t="s">
        <v>2075</v>
      </c>
      <c r="NR6" s="33" t="s">
        <v>2076</v>
      </c>
      <c r="NS6" s="33" t="s">
        <v>2077</v>
      </c>
      <c r="NT6" s="33" t="s">
        <v>2078</v>
      </c>
      <c r="NU6" s="33" t="s">
        <v>2079</v>
      </c>
      <c r="NV6" s="33" t="s">
        <v>2080</v>
      </c>
      <c r="NW6" s="33" t="s">
        <v>2081</v>
      </c>
      <c r="NX6" s="33" t="s">
        <v>2082</v>
      </c>
      <c r="NY6" s="33" t="s">
        <v>2083</v>
      </c>
      <c r="NZ6" s="33" t="s">
        <v>2084</v>
      </c>
      <c r="OA6" s="33" t="s">
        <v>2085</v>
      </c>
      <c r="OB6" s="33" t="s">
        <v>2086</v>
      </c>
      <c r="OC6" s="33" t="s">
        <v>2087</v>
      </c>
      <c r="OD6" s="33" t="s">
        <v>2088</v>
      </c>
      <c r="OE6" s="33" t="s">
        <v>2089</v>
      </c>
      <c r="OF6" s="33" t="s">
        <v>2090</v>
      </c>
      <c r="OG6" s="33" t="s">
        <v>2091</v>
      </c>
      <c r="OH6" s="33" t="s">
        <v>2092</v>
      </c>
      <c r="OI6" s="33" t="s">
        <v>2093</v>
      </c>
      <c r="OJ6" s="33" t="s">
        <v>2094</v>
      </c>
      <c r="OK6" s="33" t="s">
        <v>2095</v>
      </c>
      <c r="OL6" s="33" t="s">
        <v>2096</v>
      </c>
      <c r="OM6" s="33" t="s">
        <v>2097</v>
      </c>
      <c r="ON6" s="33" t="s">
        <v>2098</v>
      </c>
      <c r="OO6" s="33" t="s">
        <v>2099</v>
      </c>
      <c r="OP6" s="33" t="s">
        <v>2100</v>
      </c>
      <c r="OQ6" s="33" t="s">
        <v>2101</v>
      </c>
      <c r="OR6" s="33" t="s">
        <v>2102</v>
      </c>
      <c r="OS6" s="33" t="s">
        <v>2103</v>
      </c>
      <c r="OT6" s="33" t="s">
        <v>2104</v>
      </c>
      <c r="OU6" s="33" t="s">
        <v>2105</v>
      </c>
      <c r="OV6" s="33" t="s">
        <v>2106</v>
      </c>
      <c r="OW6" s="33" t="s">
        <v>2107</v>
      </c>
      <c r="OX6" s="33" t="s">
        <v>2108</v>
      </c>
      <c r="OY6" s="33" t="s">
        <v>2109</v>
      </c>
      <c r="OZ6" s="33" t="s">
        <v>2110</v>
      </c>
      <c r="PA6" s="33" t="s">
        <v>2111</v>
      </c>
      <c r="PB6" s="33" t="s">
        <v>2112</v>
      </c>
      <c r="PC6" s="33" t="s">
        <v>2113</v>
      </c>
      <c r="PD6" s="33" t="s">
        <v>2114</v>
      </c>
      <c r="PE6" s="33" t="s">
        <v>2115</v>
      </c>
      <c r="PF6" s="33" t="s">
        <v>2116</v>
      </c>
      <c r="PG6" s="33" t="s">
        <v>2117</v>
      </c>
      <c r="PH6" s="33" t="s">
        <v>2118</v>
      </c>
      <c r="PI6" s="33" t="s">
        <v>2119</v>
      </c>
      <c r="PJ6" s="33" t="s">
        <v>2120</v>
      </c>
      <c r="PK6" s="33" t="s">
        <v>2121</v>
      </c>
      <c r="PL6" s="33" t="s">
        <v>2122</v>
      </c>
      <c r="PM6" s="33" t="s">
        <v>2123</v>
      </c>
      <c r="PN6" s="33" t="s">
        <v>2124</v>
      </c>
      <c r="PO6" s="33" t="s">
        <v>2125</v>
      </c>
      <c r="PP6" s="33" t="s">
        <v>2126</v>
      </c>
      <c r="PQ6" s="33" t="s">
        <v>2127</v>
      </c>
      <c r="PR6" s="33" t="s">
        <v>2128</v>
      </c>
      <c r="PS6" s="33" t="s">
        <v>2129</v>
      </c>
      <c r="PT6" s="33" t="s">
        <v>2130</v>
      </c>
      <c r="PU6" s="33" t="s">
        <v>2131</v>
      </c>
      <c r="PV6" s="33" t="s">
        <v>2132</v>
      </c>
      <c r="PW6" s="33" t="s">
        <v>2133</v>
      </c>
      <c r="PX6" s="33" t="s">
        <v>2134</v>
      </c>
      <c r="PY6" s="33" t="s">
        <v>2135</v>
      </c>
      <c r="PZ6" s="33" t="s">
        <v>2136</v>
      </c>
      <c r="QA6" s="33" t="s">
        <v>2137</v>
      </c>
      <c r="QB6" s="33" t="s">
        <v>2138</v>
      </c>
      <c r="QC6" s="33" t="s">
        <v>2139</v>
      </c>
      <c r="QD6" s="33" t="s">
        <v>2140</v>
      </c>
      <c r="QE6" s="33" t="s">
        <v>2141</v>
      </c>
      <c r="QF6" s="33" t="s">
        <v>2142</v>
      </c>
      <c r="QG6" s="33" t="s">
        <v>2143</v>
      </c>
      <c r="QH6" s="33" t="s">
        <v>2144</v>
      </c>
      <c r="QI6" s="33" t="s">
        <v>2145</v>
      </c>
      <c r="QJ6" s="33" t="s">
        <v>2146</v>
      </c>
      <c r="QK6" s="33" t="s">
        <v>2147</v>
      </c>
      <c r="QL6" s="33" t="s">
        <v>2148</v>
      </c>
      <c r="QM6" s="33" t="s">
        <v>2149</v>
      </c>
      <c r="QN6" s="33" t="s">
        <v>2150</v>
      </c>
      <c r="QO6" s="33" t="s">
        <v>2151</v>
      </c>
      <c r="QP6" s="33" t="s">
        <v>2152</v>
      </c>
      <c r="QQ6" s="33" t="s">
        <v>2153</v>
      </c>
      <c r="QR6" s="33" t="s">
        <v>2154</v>
      </c>
      <c r="QS6" s="33" t="s">
        <v>2155</v>
      </c>
      <c r="QT6" s="33" t="s">
        <v>2156</v>
      </c>
      <c r="QU6" s="33" t="s">
        <v>2157</v>
      </c>
      <c r="QV6" s="33" t="s">
        <v>2158</v>
      </c>
      <c r="QW6" s="33" t="s">
        <v>2159</v>
      </c>
      <c r="QX6" s="33" t="s">
        <v>2160</v>
      </c>
      <c r="QY6" s="33" t="s">
        <v>2161</v>
      </c>
      <c r="QZ6" s="33" t="s">
        <v>2162</v>
      </c>
      <c r="RA6" s="33" t="s">
        <v>2163</v>
      </c>
      <c r="RB6" s="33" t="s">
        <v>2164</v>
      </c>
      <c r="RC6" s="33" t="s">
        <v>2165</v>
      </c>
      <c r="RD6" s="33" t="s">
        <v>2166</v>
      </c>
      <c r="RE6" s="33" t="s">
        <v>2167</v>
      </c>
      <c r="RF6" s="33" t="s">
        <v>2168</v>
      </c>
      <c r="RG6" s="33" t="s">
        <v>2169</v>
      </c>
      <c r="RH6" s="33" t="s">
        <v>2170</v>
      </c>
      <c r="RI6" s="33" t="s">
        <v>2171</v>
      </c>
      <c r="RJ6" s="33" t="s">
        <v>2172</v>
      </c>
      <c r="RK6" s="33" t="s">
        <v>2173</v>
      </c>
      <c r="RL6" s="33" t="s">
        <v>2174</v>
      </c>
      <c r="RM6" s="33" t="s">
        <v>2175</v>
      </c>
      <c r="RN6" s="33" t="s">
        <v>2176</v>
      </c>
      <c r="RO6" s="33" t="s">
        <v>2177</v>
      </c>
      <c r="RP6" s="33" t="s">
        <v>2178</v>
      </c>
      <c r="RQ6" s="33" t="s">
        <v>2179</v>
      </c>
      <c r="RR6" s="33" t="s">
        <v>2180</v>
      </c>
      <c r="RS6" s="33" t="s">
        <v>2181</v>
      </c>
      <c r="RT6" s="33" t="s">
        <v>2182</v>
      </c>
      <c r="RU6" s="33" t="s">
        <v>2183</v>
      </c>
      <c r="RV6" s="33" t="s">
        <v>2184</v>
      </c>
      <c r="RW6" s="33" t="s">
        <v>2185</v>
      </c>
      <c r="RX6" s="33" t="s">
        <v>2186</v>
      </c>
      <c r="RY6" s="33" t="s">
        <v>2187</v>
      </c>
      <c r="RZ6" s="33" t="s">
        <v>2188</v>
      </c>
      <c r="SA6" s="33" t="s">
        <v>2189</v>
      </c>
      <c r="SB6" s="33" t="s">
        <v>2190</v>
      </c>
      <c r="SC6" s="33" t="s">
        <v>2191</v>
      </c>
      <c r="SD6" s="33" t="s">
        <v>2192</v>
      </c>
      <c r="SE6" s="33" t="s">
        <v>2193</v>
      </c>
      <c r="SF6" s="33" t="s">
        <v>2194</v>
      </c>
      <c r="SG6" s="33" t="s">
        <v>2195</v>
      </c>
      <c r="SH6" s="33" t="s">
        <v>2196</v>
      </c>
      <c r="SI6" s="33" t="s">
        <v>2197</v>
      </c>
      <c r="SJ6" s="33" t="s">
        <v>2198</v>
      </c>
      <c r="SK6" s="33" t="s">
        <v>2199</v>
      </c>
      <c r="SL6" s="33" t="s">
        <v>2200</v>
      </c>
      <c r="SM6" s="33" t="s">
        <v>2201</v>
      </c>
      <c r="SN6" s="33" t="s">
        <v>2202</v>
      </c>
      <c r="SO6" s="33" t="s">
        <v>2203</v>
      </c>
      <c r="SP6" s="33" t="s">
        <v>2204</v>
      </c>
      <c r="SQ6" s="33" t="s">
        <v>2205</v>
      </c>
      <c r="SR6" s="33" t="s">
        <v>2206</v>
      </c>
      <c r="SS6" s="33" t="s">
        <v>2207</v>
      </c>
      <c r="ST6" s="33" t="s">
        <v>2208</v>
      </c>
      <c r="SU6" s="33" t="s">
        <v>2209</v>
      </c>
      <c r="SV6" s="33" t="s">
        <v>2210</v>
      </c>
      <c r="SW6" s="33" t="s">
        <v>2211</v>
      </c>
      <c r="SX6" s="33" t="s">
        <v>2212</v>
      </c>
      <c r="SY6" s="33" t="s">
        <v>2213</v>
      </c>
      <c r="SZ6" s="33" t="s">
        <v>2214</v>
      </c>
      <c r="TA6" s="33" t="s">
        <v>2215</v>
      </c>
      <c r="TB6" s="33" t="s">
        <v>2216</v>
      </c>
      <c r="TC6" s="33" t="s">
        <v>2217</v>
      </c>
      <c r="TD6" s="33" t="s">
        <v>2218</v>
      </c>
      <c r="TE6" s="33" t="s">
        <v>2219</v>
      </c>
      <c r="TF6" s="33" t="s">
        <v>2220</v>
      </c>
      <c r="TG6" s="33" t="s">
        <v>2221</v>
      </c>
      <c r="TH6" s="33" t="s">
        <v>2222</v>
      </c>
      <c r="TI6" s="33" t="s">
        <v>2223</v>
      </c>
      <c r="TJ6" s="33" t="s">
        <v>2224</v>
      </c>
      <c r="TK6" s="33" t="s">
        <v>2225</v>
      </c>
      <c r="TL6" s="33" t="s">
        <v>2226</v>
      </c>
      <c r="TM6" s="33" t="s">
        <v>2227</v>
      </c>
      <c r="TN6" s="33" t="s">
        <v>2228</v>
      </c>
      <c r="TO6" s="33" t="s">
        <v>2229</v>
      </c>
      <c r="TP6" s="33" t="s">
        <v>2230</v>
      </c>
      <c r="TQ6" s="33" t="s">
        <v>2231</v>
      </c>
      <c r="TR6" s="33" t="s">
        <v>2232</v>
      </c>
      <c r="TS6" s="33" t="s">
        <v>2233</v>
      </c>
      <c r="TT6" s="33" t="s">
        <v>2234</v>
      </c>
      <c r="TU6" s="33" t="s">
        <v>1533</v>
      </c>
      <c r="TV6" s="33" t="s">
        <v>2235</v>
      </c>
      <c r="TW6" s="33" t="s">
        <v>2236</v>
      </c>
      <c r="TX6" s="33" t="s">
        <v>2237</v>
      </c>
      <c r="TY6" s="33" t="s">
        <v>2238</v>
      </c>
      <c r="TZ6" s="33" t="s">
        <v>2239</v>
      </c>
      <c r="UA6" s="33" t="s">
        <v>2240</v>
      </c>
      <c r="UB6" s="33" t="s">
        <v>2241</v>
      </c>
      <c r="UC6" s="33" t="s">
        <v>2242</v>
      </c>
      <c r="UD6" s="33" t="s">
        <v>2243</v>
      </c>
      <c r="UE6" s="33" t="s">
        <v>2244</v>
      </c>
      <c r="UF6" s="33" t="s">
        <v>2245</v>
      </c>
      <c r="UG6" s="33" t="s">
        <v>2246</v>
      </c>
      <c r="UH6" s="33" t="s">
        <v>2247</v>
      </c>
      <c r="UI6" s="33" t="s">
        <v>2248</v>
      </c>
      <c r="UJ6" s="33" t="s">
        <v>2249</v>
      </c>
    </row>
    <row r="7" customFormat="false" ht="15" hidden="false" customHeight="true" outlineLevel="0" collapsed="false">
      <c r="A7" s="20" t="s">
        <v>1575</v>
      </c>
      <c r="O7" s="43" t="n">
        <f aca="false">F_CardBal</f>
        <v>400</v>
      </c>
      <c r="R7" s="43" t="n">
        <f aca="false">F_LoanBal</f>
        <v>3500</v>
      </c>
      <c r="T7" s="43" t="n">
        <f aca="false">Init_Free0</f>
        <v>10200</v>
      </c>
      <c r="AF7" s="43" t="n">
        <f aca="false">Init_Buf0</f>
        <v>0</v>
      </c>
      <c r="HR7" s="43" t="n">
        <f aca="false">F_MortBal</f>
        <v>203700</v>
      </c>
      <c r="HT7" s="43" t="n">
        <v>0</v>
      </c>
      <c r="QK7" s="43" t="n">
        <f aca="false">Init_Free1</f>
        <v>0</v>
      </c>
      <c r="QL7" s="43" t="n">
        <f aca="false">Init_Buf0</f>
        <v>0</v>
      </c>
      <c r="QM7" s="43" t="n">
        <f aca="false">Slot1_Pot0</f>
        <v>15200</v>
      </c>
      <c r="QQ7" s="43" t="n">
        <f aca="false">Slot2_Pot0</f>
        <v>0</v>
      </c>
      <c r="QU7" s="43" t="n">
        <f aca="false">Slot3_Pot0</f>
        <v>0</v>
      </c>
      <c r="QY7" s="43" t="n">
        <f aca="false">Slot4_Pot0</f>
        <v>0</v>
      </c>
      <c r="RC7" s="43" t="n">
        <f aca="false">Slot5_Pot0</f>
        <v>0</v>
      </c>
      <c r="RG7" s="43" t="n">
        <f aca="false">Slot6_Pot0</f>
        <v>0</v>
      </c>
      <c r="RK7" s="43" t="n">
        <f aca="false">Slot7_Pot0</f>
        <v>0</v>
      </c>
      <c r="RO7" s="43" t="n">
        <f aca="false">Slot8_Pot0</f>
        <v>0</v>
      </c>
      <c r="RS7" s="43" t="n">
        <f aca="false">Slot9_Pot0</f>
        <v>0</v>
      </c>
      <c r="RW7" s="43" t="n">
        <f aca="false">Slot10_Pot0</f>
        <v>0</v>
      </c>
      <c r="SA7" s="43" t="n">
        <f aca="false">Slot11_Pot0</f>
        <v>0</v>
      </c>
      <c r="SE7" s="43" t="n">
        <f aca="false">Slot12_Pot0</f>
        <v>0</v>
      </c>
      <c r="SI7" s="43" t="n">
        <f aca="false">Slot13_Pot0</f>
        <v>0</v>
      </c>
      <c r="SM7" s="43" t="n">
        <f aca="false">Slot14_Pot0</f>
        <v>0</v>
      </c>
      <c r="SQ7" s="43" t="n">
        <f aca="false">Slot15_Pot0</f>
        <v>0</v>
      </c>
      <c r="SU7" s="43" t="n">
        <f aca="false">Slot16_Pot0</f>
        <v>0</v>
      </c>
      <c r="SY7" s="43" t="n">
        <f aca="false">Slot17_Pot0</f>
        <v>0</v>
      </c>
      <c r="TC7" s="43" t="n">
        <f aca="false">Slot18_Pot0</f>
        <v>0</v>
      </c>
      <c r="TG7" s="43" t="n">
        <f aca="false">Slot19_Pot0</f>
        <v>0</v>
      </c>
      <c r="TK7" s="43" t="n">
        <f aca="false">Slot20_Pot0</f>
        <v>0</v>
      </c>
      <c r="UF7" s="43" t="n">
        <v>0</v>
      </c>
    </row>
    <row r="8" customFormat="false" ht="15" hidden="false" customHeight="true" outlineLevel="0" collapsed="false">
      <c r="B8" s="20" t="n">
        <v>0</v>
      </c>
      <c r="C8" s="20" t="n">
        <f aca="false">IF(B8&lt;=F_N,1,0)</f>
        <v>1</v>
      </c>
      <c r="D8" s="20" t="n">
        <f aca="false">'Plan pay &amp; tax'!C234</f>
        <v>38</v>
      </c>
      <c r="E8" s="20" t="str">
        <f aca="false">IF($C8=1,"Income tax "&amp;TEXT(N('Plan pay &amp; tax'!BK234),"#,##0")&amp;"; USC "&amp;TEXT(N('Plan pay &amp; tax'!BM234)+N('Plan pay &amp; tax'!BO234),"#,##0")&amp;"; PRSI "&amp;TEXT(N('Plan pay &amp; tax'!BP234)+N('Plan pay &amp; tax'!BQ234),"#,##0")&amp;". DIRT and exit tax are inside the growth rates here.","")</f>
        <v>Income tax 9,552; USC 1,533; PRSI 3,502. DIRT and exit tax are inside the growth rates here.</v>
      </c>
      <c r="F8" s="44" t="n">
        <f aca="false">'Plan pay &amp; tax'!E234</f>
        <v>1</v>
      </c>
      <c r="G8" s="20" t="n">
        <f aca="false">'Plan pay &amp; tax'!G234</f>
        <v>1</v>
      </c>
      <c r="H8" s="20" t="n">
        <f aca="false">'Plan pay &amp; tax'!BT234-'Plan pay &amp; tax'!BS234-'Plan pay &amp; tax'!R234</f>
        <v>62293.4466666667</v>
      </c>
      <c r="I8" s="20" t="n">
        <f aca="false">IF(G8=1,F_CostsM*12,IF(RG_Exists=1,RG_Amount,F_CostsM*12*AS_RetireSpend))*F8+F_OneOffY*F8</f>
        <v>45000</v>
      </c>
      <c r="J8" s="20" t="n">
        <f aca="false">HR7</f>
        <v>203700</v>
      </c>
      <c r="K8" s="20" t="n">
        <f aca="false">IF(J8&gt;1,'Plan debt months'!AC8,0)</f>
        <v>14160</v>
      </c>
      <c r="L8" s="20" t="n">
        <f aca="false">IF(J8&gt;1,'Plan debt months'!AB8,J8)</f>
        <v>197269.770715164</v>
      </c>
      <c r="M8" s="20" t="n">
        <f aca="false">O7</f>
        <v>400</v>
      </c>
      <c r="N8" s="20" t="n">
        <f aca="false">IF(M8&gt;1,'Plan debt months'!BD8,0)</f>
        <v>437.486122217622</v>
      </c>
      <c r="O8" s="20" t="n">
        <f aca="false">IF(M8&gt;1,'Plan debt months'!BC8,M8)</f>
        <v>0</v>
      </c>
      <c r="P8" s="20" t="n">
        <f aca="false">R7</f>
        <v>3500</v>
      </c>
      <c r="Q8" s="20" t="n">
        <f aca="false">IF(P8&gt;1,'Plan debt months'!CE8,0)</f>
        <v>1200</v>
      </c>
      <c r="R8" s="20" t="n">
        <f aca="false">IF(P8&gt;1,'Plan debt months'!CD8,P8)</f>
        <v>2536.61135194847</v>
      </c>
      <c r="S8" s="20" t="n">
        <f aca="false">K8+N8+Q8</f>
        <v>15797.4861222176</v>
      </c>
      <c r="T8" s="20" t="n">
        <f aca="false">QK7+'Plan pay &amp; tax'!Y234</f>
        <v>0</v>
      </c>
      <c r="U8" s="20" t="n">
        <f aca="false">QK7</f>
        <v>0</v>
      </c>
      <c r="V8" s="20" t="n">
        <f aca="false">IF(AND(Slot1_On=1,D8=Slot1_Age),1,0)</f>
        <v>0</v>
      </c>
      <c r="W8" s="20" t="n">
        <f aca="false">IF(AND(Slot1_On=1,Slot1_Age&gt;D8),1,0)</f>
        <v>1</v>
      </c>
      <c r="X8" s="20" t="n">
        <f aca="false">QM7</f>
        <v>15200</v>
      </c>
      <c r="Y8" s="20" t="n">
        <f aca="false">V8*MIN(Slot1_Cost,X8)</f>
        <v>0</v>
      </c>
      <c r="Z8" s="20" t="n">
        <f aca="false">V8*Slot1_SpendLike*MIN(Slot1_Cost-Y8,T8)</f>
        <v>0</v>
      </c>
      <c r="AA8" s="20" t="n">
        <f aca="false">Y8+Z8</f>
        <v>0</v>
      </c>
      <c r="AB8" s="20" t="n">
        <f aca="false">T8-Z8+V8*IF(Slot1_SpendLike=1,X8-Y8,IF(Slot1_PotFree=1,X8,0))</f>
        <v>0</v>
      </c>
      <c r="AC8" s="20" t="n">
        <f aca="false">AF8+V8*Slot1_BufPot*X8</f>
        <v>0</v>
      </c>
      <c r="AD8" s="20" t="n">
        <f aca="false">IF(AND(V8=1,Slot1_IsMfree=1),IF(AA8&gt;=Slot1_Cost-1,0,MAX(0,L8-AA8)),L8)</f>
        <v>197269.770715164</v>
      </c>
      <c r="AE8" s="20" t="n">
        <f aca="false">V8*(Slot1_Cost-AA8)</f>
        <v>0</v>
      </c>
      <c r="AF8" s="20" t="n">
        <f aca="false">QL7</f>
        <v>0</v>
      </c>
      <c r="AG8" s="20" t="n">
        <f aca="false">IF(AND(Slot2_On=1,D8=Slot2_Age),1,0)</f>
        <v>0</v>
      </c>
      <c r="AH8" s="20" t="n">
        <f aca="false">IF(AND(Slot2_On=1,Slot2_Age&gt;D8),1,0)</f>
        <v>1</v>
      </c>
      <c r="AI8" s="20" t="n">
        <f aca="false">QQ7</f>
        <v>0</v>
      </c>
      <c r="AJ8" s="20" t="n">
        <f aca="false">AG8*MIN(Slot2_Cost,AI8)</f>
        <v>0</v>
      </c>
      <c r="AK8" s="20" t="n">
        <f aca="false">AG8*Slot2_SpendLike*MIN(Slot2_Cost-AJ8,AB8)</f>
        <v>0</v>
      </c>
      <c r="AL8" s="20" t="n">
        <f aca="false">AJ8+AK8</f>
        <v>0</v>
      </c>
      <c r="AM8" s="20" t="n">
        <f aca="false">AB8-AK8+AG8*IF(Slot2_SpendLike=1,AI8-AJ8,IF(Slot2_PotFree=1,AI8,0))</f>
        <v>0</v>
      </c>
      <c r="AN8" s="20" t="n">
        <f aca="false">AC8+AG8*Slot2_BufPot*AI8</f>
        <v>0</v>
      </c>
      <c r="AO8" s="20" t="n">
        <f aca="false">IF(AND(AG8=1,Slot2_IsMfree=1),IF(AL8&gt;=Slot2_Cost-1,0,MAX(0,AD8-AL8)),AD8)</f>
        <v>197269.770715164</v>
      </c>
      <c r="AP8" s="20" t="n">
        <f aca="false">AG8*(Slot2_Cost-AL8)</f>
        <v>0</v>
      </c>
      <c r="AQ8" s="20" t="n">
        <f aca="false">IF(AND(Slot3_On=1,D8=Slot3_Age),1,0)</f>
        <v>0</v>
      </c>
      <c r="AR8" s="20" t="n">
        <f aca="false">IF(AND(Slot3_On=1,Slot3_Age&gt;D8),1,0)</f>
        <v>1</v>
      </c>
      <c r="AS8" s="20" t="n">
        <f aca="false">QU7</f>
        <v>0</v>
      </c>
      <c r="AT8" s="20" t="n">
        <f aca="false">AQ8*MIN(Slot3_Cost,AS8)</f>
        <v>0</v>
      </c>
      <c r="AU8" s="20" t="n">
        <f aca="false">AQ8*Slot3_SpendLike*MIN(Slot3_Cost-AT8,AM8)</f>
        <v>0</v>
      </c>
      <c r="AV8" s="20" t="n">
        <f aca="false">AT8+AU8</f>
        <v>0</v>
      </c>
      <c r="AW8" s="20" t="n">
        <f aca="false">AM8-AU8+AQ8*IF(Slot3_SpendLike=1,AS8-AT8,IF(Slot3_PotFree=1,AS8,0))</f>
        <v>0</v>
      </c>
      <c r="AX8" s="20" t="n">
        <f aca="false">AN8+AQ8*Slot3_BufPot*AS8</f>
        <v>0</v>
      </c>
      <c r="AY8" s="20" t="n">
        <f aca="false">IF(AND(AQ8=1,Slot3_IsMfree=1),IF(AV8&gt;=Slot3_Cost-1,0,MAX(0,AO8-AV8)),AO8)</f>
        <v>197269.770715164</v>
      </c>
      <c r="AZ8" s="20" t="n">
        <f aca="false">AQ8*(Slot3_Cost-AV8)</f>
        <v>0</v>
      </c>
      <c r="BA8" s="20" t="n">
        <f aca="false">IF(AND(Slot4_On=1,D8=Slot4_Age),1,0)</f>
        <v>0</v>
      </c>
      <c r="BB8" s="20" t="n">
        <f aca="false">IF(AND(Slot4_On=1,Slot4_Age&gt;D8),1,0)</f>
        <v>1</v>
      </c>
      <c r="BC8" s="20" t="n">
        <f aca="false">QY7</f>
        <v>0</v>
      </c>
      <c r="BD8" s="20" t="n">
        <f aca="false">BA8*MIN(Slot4_Cost,BC8)</f>
        <v>0</v>
      </c>
      <c r="BE8" s="20" t="n">
        <f aca="false">BA8*Slot4_SpendLike*MIN(Slot4_Cost-BD8,AW8)</f>
        <v>0</v>
      </c>
      <c r="BF8" s="20" t="n">
        <f aca="false">BD8+BE8</f>
        <v>0</v>
      </c>
      <c r="BG8" s="20" t="n">
        <f aca="false">AW8-BE8+BA8*IF(Slot4_SpendLike=1,BC8-BD8,IF(Slot4_PotFree=1,BC8,0))</f>
        <v>0</v>
      </c>
      <c r="BH8" s="20" t="n">
        <f aca="false">AX8+BA8*Slot4_BufPot*BC8</f>
        <v>0</v>
      </c>
      <c r="BI8" s="20" t="n">
        <f aca="false">IF(AND(BA8=1,Slot4_IsMfree=1),IF(BF8&gt;=Slot4_Cost-1,0,MAX(0,AY8-BF8)),AY8)</f>
        <v>197269.770715164</v>
      </c>
      <c r="BJ8" s="20" t="n">
        <f aca="false">BA8*(Slot4_Cost-BF8)</f>
        <v>0</v>
      </c>
      <c r="BK8" s="20" t="n">
        <f aca="false">IF(AND(Slot5_On=1,D8=Slot5_Age),1,0)</f>
        <v>0</v>
      </c>
      <c r="BL8" s="20" t="n">
        <f aca="false">IF(AND(Slot5_On=1,Slot5_Age&gt;D8),1,0)</f>
        <v>0</v>
      </c>
      <c r="BM8" s="20" t="n">
        <f aca="false">RC7</f>
        <v>0</v>
      </c>
      <c r="BN8" s="20" t="n">
        <f aca="false">BK8*MIN(Slot5_Cost,BM8)</f>
        <v>0</v>
      </c>
      <c r="BO8" s="20" t="n">
        <f aca="false">BK8*Slot5_SpendLike*MIN(Slot5_Cost-BN8,BG8)</f>
        <v>0</v>
      </c>
      <c r="BP8" s="20" t="n">
        <f aca="false">BN8+BO8</f>
        <v>0</v>
      </c>
      <c r="BQ8" s="20" t="n">
        <f aca="false">BG8-BO8+BK8*IF(Slot5_SpendLike=1,BM8-BN8,IF(Slot5_PotFree=1,BM8,0))</f>
        <v>0</v>
      </c>
      <c r="BR8" s="20" t="n">
        <f aca="false">BH8+BK8*Slot5_BufPot*BM8</f>
        <v>0</v>
      </c>
      <c r="BS8" s="20" t="n">
        <f aca="false">IF(AND(BK8=1,Slot5_IsMfree=1),IF(BP8&gt;=Slot5_Cost-1,0,MAX(0,BI8-BP8)),BI8)</f>
        <v>197269.770715164</v>
      </c>
      <c r="BT8" s="20" t="n">
        <f aca="false">BK8*(Slot5_Cost-BP8)</f>
        <v>0</v>
      </c>
      <c r="BU8" s="20" t="n">
        <f aca="false">IF(AND(Slot6_On=1,D8=Slot6_Age),1,0)</f>
        <v>0</v>
      </c>
      <c r="BV8" s="20" t="n">
        <f aca="false">IF(AND(Slot6_On=1,Slot6_Age&gt;D8),1,0)</f>
        <v>0</v>
      </c>
      <c r="BW8" s="20" t="n">
        <f aca="false">RG7</f>
        <v>0</v>
      </c>
      <c r="BX8" s="20" t="n">
        <f aca="false">BU8*MIN(Slot6_Cost,BW8)</f>
        <v>0</v>
      </c>
      <c r="BY8" s="20" t="n">
        <f aca="false">BU8*Slot6_SpendLike*MIN(Slot6_Cost-BX8,BQ8)</f>
        <v>0</v>
      </c>
      <c r="BZ8" s="20" t="n">
        <f aca="false">BX8+BY8</f>
        <v>0</v>
      </c>
      <c r="CA8" s="20" t="n">
        <f aca="false">BQ8-BY8+BU8*IF(Slot6_SpendLike=1,BW8-BX8,IF(Slot6_PotFree=1,BW8,0))</f>
        <v>0</v>
      </c>
      <c r="CB8" s="20" t="n">
        <f aca="false">BR8+BU8*Slot6_BufPot*BW8</f>
        <v>0</v>
      </c>
      <c r="CC8" s="20" t="n">
        <f aca="false">IF(AND(BU8=1,Slot6_IsMfree=1),IF(BZ8&gt;=Slot6_Cost-1,0,MAX(0,BS8-BZ8)),BS8)</f>
        <v>197269.770715164</v>
      </c>
      <c r="CD8" s="20" t="n">
        <f aca="false">BU8*(Slot6_Cost-BZ8)</f>
        <v>0</v>
      </c>
      <c r="CE8" s="20" t="n">
        <f aca="false">IF(AND(Slot7_On=1,D8=Slot7_Age),1,0)</f>
        <v>0</v>
      </c>
      <c r="CF8" s="20" t="n">
        <f aca="false">IF(AND(Slot7_On=1,Slot7_Age&gt;D8),1,0)</f>
        <v>0</v>
      </c>
      <c r="CG8" s="20" t="n">
        <f aca="false">RK7</f>
        <v>0</v>
      </c>
      <c r="CH8" s="20" t="n">
        <f aca="false">CE8*MIN(Slot7_Cost,CG8)</f>
        <v>0</v>
      </c>
      <c r="CI8" s="20" t="n">
        <f aca="false">CE8*Slot7_SpendLike*MIN(Slot7_Cost-CH8,CA8)</f>
        <v>0</v>
      </c>
      <c r="CJ8" s="20" t="n">
        <f aca="false">CH8+CI8</f>
        <v>0</v>
      </c>
      <c r="CK8" s="20" t="n">
        <f aca="false">CA8-CI8+CE8*IF(Slot7_SpendLike=1,CG8-CH8,IF(Slot7_PotFree=1,CG8,0))</f>
        <v>0</v>
      </c>
      <c r="CL8" s="20" t="n">
        <f aca="false">CB8+CE8*Slot7_BufPot*CG8</f>
        <v>0</v>
      </c>
      <c r="CM8" s="20" t="n">
        <f aca="false">IF(AND(CE8=1,Slot7_IsMfree=1),IF(CJ8&gt;=Slot7_Cost-1,0,MAX(0,CC8-CJ8)),CC8)</f>
        <v>197269.770715164</v>
      </c>
      <c r="CN8" s="20" t="n">
        <f aca="false">CE8*(Slot7_Cost-CJ8)</f>
        <v>0</v>
      </c>
      <c r="CO8" s="20" t="n">
        <f aca="false">IF(AND(Slot8_On=1,D8=Slot8_Age),1,0)</f>
        <v>0</v>
      </c>
      <c r="CP8" s="20" t="n">
        <f aca="false">IF(AND(Slot8_On=1,Slot8_Age&gt;D8),1,0)</f>
        <v>0</v>
      </c>
      <c r="CQ8" s="20" t="n">
        <f aca="false">RO7</f>
        <v>0</v>
      </c>
      <c r="CR8" s="20" t="n">
        <f aca="false">CO8*MIN(Slot8_Cost,CQ8)</f>
        <v>0</v>
      </c>
      <c r="CS8" s="20" t="n">
        <f aca="false">CO8*Slot8_SpendLike*MIN(Slot8_Cost-CR8,CK8)</f>
        <v>0</v>
      </c>
      <c r="CT8" s="20" t="n">
        <f aca="false">CR8+CS8</f>
        <v>0</v>
      </c>
      <c r="CU8" s="20" t="n">
        <f aca="false">CK8-CS8+CO8*IF(Slot8_SpendLike=1,CQ8-CR8,IF(Slot8_PotFree=1,CQ8,0))</f>
        <v>0</v>
      </c>
      <c r="CV8" s="20" t="n">
        <f aca="false">CL8+CO8*Slot8_BufPot*CQ8</f>
        <v>0</v>
      </c>
      <c r="CW8" s="20" t="n">
        <f aca="false">IF(AND(CO8=1,Slot8_IsMfree=1),IF(CT8&gt;=Slot8_Cost-1,0,MAX(0,CM8-CT8)),CM8)</f>
        <v>197269.770715164</v>
      </c>
      <c r="CX8" s="20" t="n">
        <f aca="false">CO8*(Slot8_Cost-CT8)</f>
        <v>0</v>
      </c>
      <c r="CY8" s="20" t="n">
        <f aca="false">IF(AND(Slot9_On=1,D8=Slot9_Age),1,0)</f>
        <v>0</v>
      </c>
      <c r="CZ8" s="20" t="n">
        <f aca="false">IF(AND(Slot9_On=1,Slot9_Age&gt;D8),1,0)</f>
        <v>0</v>
      </c>
      <c r="DA8" s="20" t="n">
        <f aca="false">RS7</f>
        <v>0</v>
      </c>
      <c r="DB8" s="20" t="n">
        <f aca="false">CY8*MIN(Slot9_Cost,DA8)</f>
        <v>0</v>
      </c>
      <c r="DC8" s="20" t="n">
        <f aca="false">CY8*Slot9_SpendLike*MIN(Slot9_Cost-DB8,CU8)</f>
        <v>0</v>
      </c>
      <c r="DD8" s="20" t="n">
        <f aca="false">DB8+DC8</f>
        <v>0</v>
      </c>
      <c r="DE8" s="20" t="n">
        <f aca="false">CU8-DC8+CY8*IF(Slot9_SpendLike=1,DA8-DB8,IF(Slot9_PotFree=1,DA8,0))</f>
        <v>0</v>
      </c>
      <c r="DF8" s="20" t="n">
        <f aca="false">CV8+CY8*Slot9_BufPot*DA8</f>
        <v>0</v>
      </c>
      <c r="DG8" s="20" t="n">
        <f aca="false">IF(AND(CY8=1,Slot9_IsMfree=1),IF(DD8&gt;=Slot9_Cost-1,0,MAX(0,CW8-DD8)),CW8)</f>
        <v>197269.770715164</v>
      </c>
      <c r="DH8" s="20" t="n">
        <f aca="false">CY8*(Slot9_Cost-DD8)</f>
        <v>0</v>
      </c>
      <c r="DI8" s="20" t="n">
        <f aca="false">IF(AND(Slot10_On=1,D8=Slot10_Age),1,0)</f>
        <v>0</v>
      </c>
      <c r="DJ8" s="20" t="n">
        <f aca="false">IF(AND(Slot10_On=1,Slot10_Age&gt;D8),1,0)</f>
        <v>0</v>
      </c>
      <c r="DK8" s="20" t="n">
        <f aca="false">RW7</f>
        <v>0</v>
      </c>
      <c r="DL8" s="20" t="n">
        <f aca="false">DI8*MIN(Slot10_Cost,DK8)</f>
        <v>0</v>
      </c>
      <c r="DM8" s="20" t="n">
        <f aca="false">DI8*Slot10_SpendLike*MIN(Slot10_Cost-DL8,DE8)</f>
        <v>0</v>
      </c>
      <c r="DN8" s="20" t="n">
        <f aca="false">DL8+DM8</f>
        <v>0</v>
      </c>
      <c r="DO8" s="20" t="n">
        <f aca="false">DE8-DM8+DI8*IF(Slot10_SpendLike=1,DK8-DL8,IF(Slot10_PotFree=1,DK8,0))</f>
        <v>0</v>
      </c>
      <c r="DP8" s="20" t="n">
        <f aca="false">DF8+DI8*Slot10_BufPot*DK8</f>
        <v>0</v>
      </c>
      <c r="DQ8" s="20" t="n">
        <f aca="false">IF(AND(DI8=1,Slot10_IsMfree=1),IF(DN8&gt;=Slot10_Cost-1,0,MAX(0,DG8-DN8)),DG8)</f>
        <v>197269.770715164</v>
      </c>
      <c r="DR8" s="20" t="n">
        <f aca="false">DI8*(Slot10_Cost-DN8)</f>
        <v>0</v>
      </c>
      <c r="DS8" s="20" t="n">
        <f aca="false">IF(AND(Slot11_On=1,D8=Slot11_Age),1,0)</f>
        <v>0</v>
      </c>
      <c r="DT8" s="20" t="n">
        <f aca="false">IF(AND(Slot11_On=1,Slot11_Age&gt;D8),1,0)</f>
        <v>0</v>
      </c>
      <c r="DU8" s="20" t="n">
        <f aca="false">SA7</f>
        <v>0</v>
      </c>
      <c r="DV8" s="20" t="n">
        <f aca="false">DS8*MIN(Slot11_Cost,DU8)</f>
        <v>0</v>
      </c>
      <c r="DW8" s="20" t="n">
        <f aca="false">DS8*Slot11_SpendLike*MIN(Slot11_Cost-DV8,DO8)</f>
        <v>0</v>
      </c>
      <c r="DX8" s="20" t="n">
        <f aca="false">DV8+DW8</f>
        <v>0</v>
      </c>
      <c r="DY8" s="20" t="n">
        <f aca="false">DO8-DW8+DS8*IF(Slot11_SpendLike=1,DU8-DV8,IF(Slot11_PotFree=1,DU8,0))</f>
        <v>0</v>
      </c>
      <c r="DZ8" s="20" t="n">
        <f aca="false">DP8+DS8*Slot11_BufPot*DU8</f>
        <v>0</v>
      </c>
      <c r="EA8" s="20" t="n">
        <f aca="false">IF(AND(DS8=1,Slot11_IsMfree=1),IF(DX8&gt;=Slot11_Cost-1,0,MAX(0,DQ8-DX8)),DQ8)</f>
        <v>197269.770715164</v>
      </c>
      <c r="EB8" s="20" t="n">
        <f aca="false">DS8*(Slot11_Cost-DX8)</f>
        <v>0</v>
      </c>
      <c r="EC8" s="20" t="n">
        <f aca="false">IF(AND(Slot12_On=1,D8=Slot12_Age),1,0)</f>
        <v>0</v>
      </c>
      <c r="ED8" s="20" t="n">
        <f aca="false">IF(AND(Slot12_On=1,Slot12_Age&gt;D8),1,0)</f>
        <v>0</v>
      </c>
      <c r="EE8" s="20" t="n">
        <f aca="false">SE7</f>
        <v>0</v>
      </c>
      <c r="EF8" s="20" t="n">
        <f aca="false">EC8*MIN(Slot12_Cost,EE8)</f>
        <v>0</v>
      </c>
      <c r="EG8" s="20" t="n">
        <f aca="false">EC8*Slot12_SpendLike*MIN(Slot12_Cost-EF8,DY8)</f>
        <v>0</v>
      </c>
      <c r="EH8" s="20" t="n">
        <f aca="false">EF8+EG8</f>
        <v>0</v>
      </c>
      <c r="EI8" s="20" t="n">
        <f aca="false">DY8-EG8+EC8*IF(Slot12_SpendLike=1,EE8-EF8,IF(Slot12_PotFree=1,EE8,0))</f>
        <v>0</v>
      </c>
      <c r="EJ8" s="20" t="n">
        <f aca="false">DZ8+EC8*Slot12_BufPot*EE8</f>
        <v>0</v>
      </c>
      <c r="EK8" s="20" t="n">
        <f aca="false">IF(AND(EC8=1,Slot12_IsMfree=1),IF(EH8&gt;=Slot12_Cost-1,0,MAX(0,EA8-EH8)),EA8)</f>
        <v>197269.770715164</v>
      </c>
      <c r="EL8" s="20" t="n">
        <f aca="false">EC8*(Slot12_Cost-EH8)</f>
        <v>0</v>
      </c>
      <c r="EM8" s="20" t="n">
        <f aca="false">IF(AND(Slot13_On=1,D8=Slot13_Age),1,0)</f>
        <v>0</v>
      </c>
      <c r="EN8" s="20" t="n">
        <f aca="false">IF(AND(Slot13_On=1,Slot13_Age&gt;D8),1,0)</f>
        <v>0</v>
      </c>
      <c r="EO8" s="20" t="n">
        <f aca="false">SI7</f>
        <v>0</v>
      </c>
      <c r="EP8" s="20" t="n">
        <f aca="false">EM8*MIN(Slot13_Cost,EO8)</f>
        <v>0</v>
      </c>
      <c r="EQ8" s="20" t="n">
        <f aca="false">EM8*Slot13_SpendLike*MIN(Slot13_Cost-EP8,EI8)</f>
        <v>0</v>
      </c>
      <c r="ER8" s="20" t="n">
        <f aca="false">EP8+EQ8</f>
        <v>0</v>
      </c>
      <c r="ES8" s="20" t="n">
        <f aca="false">EI8-EQ8+EM8*IF(Slot13_SpendLike=1,EO8-EP8,IF(Slot13_PotFree=1,EO8,0))</f>
        <v>0</v>
      </c>
      <c r="ET8" s="20" t="n">
        <f aca="false">EJ8+EM8*Slot13_BufPot*EO8</f>
        <v>0</v>
      </c>
      <c r="EU8" s="20" t="n">
        <f aca="false">IF(AND(EM8=1,Slot13_IsMfree=1),IF(ER8&gt;=Slot13_Cost-1,0,MAX(0,EK8-ER8)),EK8)</f>
        <v>197269.770715164</v>
      </c>
      <c r="EV8" s="20" t="n">
        <f aca="false">EM8*(Slot13_Cost-ER8)</f>
        <v>0</v>
      </c>
      <c r="EW8" s="20" t="n">
        <f aca="false">IF(AND(Slot14_On=1,D8=Slot14_Age),1,0)</f>
        <v>0</v>
      </c>
      <c r="EX8" s="20" t="n">
        <f aca="false">IF(AND(Slot14_On=1,Slot14_Age&gt;D8),1,0)</f>
        <v>0</v>
      </c>
      <c r="EY8" s="20" t="n">
        <f aca="false">SM7</f>
        <v>0</v>
      </c>
      <c r="EZ8" s="20" t="n">
        <f aca="false">EW8*MIN(Slot14_Cost,EY8)</f>
        <v>0</v>
      </c>
      <c r="FA8" s="20" t="n">
        <f aca="false">EW8*Slot14_SpendLike*MIN(Slot14_Cost-EZ8,ES8)</f>
        <v>0</v>
      </c>
      <c r="FB8" s="20" t="n">
        <f aca="false">EZ8+FA8</f>
        <v>0</v>
      </c>
      <c r="FC8" s="20" t="n">
        <f aca="false">ES8-FA8+EW8*IF(Slot14_SpendLike=1,EY8-EZ8,IF(Slot14_PotFree=1,EY8,0))</f>
        <v>0</v>
      </c>
      <c r="FD8" s="20" t="n">
        <f aca="false">ET8+EW8*Slot14_BufPot*EY8</f>
        <v>0</v>
      </c>
      <c r="FE8" s="20" t="n">
        <f aca="false">IF(AND(EW8=1,Slot14_IsMfree=1),IF(FB8&gt;=Slot14_Cost-1,0,MAX(0,EU8-FB8)),EU8)</f>
        <v>197269.770715164</v>
      </c>
      <c r="FF8" s="20" t="n">
        <f aca="false">EW8*(Slot14_Cost-FB8)</f>
        <v>0</v>
      </c>
      <c r="FG8" s="20" t="n">
        <f aca="false">IF(AND(Slot15_On=1,D8=Slot15_Age),1,0)</f>
        <v>0</v>
      </c>
      <c r="FH8" s="20" t="n">
        <f aca="false">IF(AND(Slot15_On=1,Slot15_Age&gt;D8),1,0)</f>
        <v>0</v>
      </c>
      <c r="FI8" s="20" t="n">
        <f aca="false">SQ7</f>
        <v>0</v>
      </c>
      <c r="FJ8" s="20" t="n">
        <f aca="false">FG8*MIN(Slot15_Cost,FI8)</f>
        <v>0</v>
      </c>
      <c r="FK8" s="20" t="n">
        <f aca="false">FG8*Slot15_SpendLike*MIN(Slot15_Cost-FJ8,FC8)</f>
        <v>0</v>
      </c>
      <c r="FL8" s="20" t="n">
        <f aca="false">FJ8+FK8</f>
        <v>0</v>
      </c>
      <c r="FM8" s="20" t="n">
        <f aca="false">FC8-FK8+FG8*IF(Slot15_SpendLike=1,FI8-FJ8,IF(Slot15_PotFree=1,FI8,0))</f>
        <v>0</v>
      </c>
      <c r="FN8" s="20" t="n">
        <f aca="false">FD8+FG8*Slot15_BufPot*FI8</f>
        <v>0</v>
      </c>
      <c r="FO8" s="20" t="n">
        <f aca="false">IF(AND(FG8=1,Slot15_IsMfree=1),IF(FL8&gt;=Slot15_Cost-1,0,MAX(0,FE8-FL8)),FE8)</f>
        <v>197269.770715164</v>
      </c>
      <c r="FP8" s="20" t="n">
        <f aca="false">FG8*(Slot15_Cost-FL8)</f>
        <v>0</v>
      </c>
      <c r="FQ8" s="20" t="n">
        <f aca="false">IF(AND(Slot16_On=1,D8=Slot16_Age),1,0)</f>
        <v>0</v>
      </c>
      <c r="FR8" s="20" t="n">
        <f aca="false">IF(AND(Slot16_On=1,Slot16_Age&gt;D8),1,0)</f>
        <v>0</v>
      </c>
      <c r="FS8" s="20" t="n">
        <f aca="false">SU7</f>
        <v>0</v>
      </c>
      <c r="FT8" s="20" t="n">
        <f aca="false">FQ8*MIN(Slot16_Cost,FS8)</f>
        <v>0</v>
      </c>
      <c r="FU8" s="20" t="n">
        <f aca="false">FQ8*Slot16_SpendLike*MIN(Slot16_Cost-FT8,FM8)</f>
        <v>0</v>
      </c>
      <c r="FV8" s="20" t="n">
        <f aca="false">FT8+FU8</f>
        <v>0</v>
      </c>
      <c r="FW8" s="20" t="n">
        <f aca="false">FM8-FU8+FQ8*IF(Slot16_SpendLike=1,FS8-FT8,IF(Slot16_PotFree=1,FS8,0))</f>
        <v>0</v>
      </c>
      <c r="FX8" s="20" t="n">
        <f aca="false">FN8+FQ8*Slot16_BufPot*FS8</f>
        <v>0</v>
      </c>
      <c r="FY8" s="20" t="n">
        <f aca="false">IF(AND(FQ8=1,Slot16_IsMfree=1),IF(FV8&gt;=Slot16_Cost-1,0,MAX(0,FO8-FV8)),FO8)</f>
        <v>197269.770715164</v>
      </c>
      <c r="FZ8" s="20" t="n">
        <f aca="false">FQ8*(Slot16_Cost-FV8)</f>
        <v>0</v>
      </c>
      <c r="GA8" s="20" t="n">
        <f aca="false">IF(AND(Slot17_On=1,D8=Slot17_Age),1,0)</f>
        <v>0</v>
      </c>
      <c r="GB8" s="20" t="n">
        <f aca="false">IF(AND(Slot17_On=1,Slot17_Age&gt;D8),1,0)</f>
        <v>0</v>
      </c>
      <c r="GC8" s="20" t="n">
        <f aca="false">SY7</f>
        <v>0</v>
      </c>
      <c r="GD8" s="20" t="n">
        <f aca="false">GA8*MIN(Slot17_Cost,GC8)</f>
        <v>0</v>
      </c>
      <c r="GE8" s="20" t="n">
        <f aca="false">GA8*Slot17_SpendLike*MIN(Slot17_Cost-GD8,FW8)</f>
        <v>0</v>
      </c>
      <c r="GF8" s="20" t="n">
        <f aca="false">GD8+GE8</f>
        <v>0</v>
      </c>
      <c r="GG8" s="20" t="n">
        <f aca="false">FW8-GE8+GA8*IF(Slot17_SpendLike=1,GC8-GD8,IF(Slot17_PotFree=1,GC8,0))</f>
        <v>0</v>
      </c>
      <c r="GH8" s="20" t="n">
        <f aca="false">FX8+GA8*Slot17_BufPot*GC8</f>
        <v>0</v>
      </c>
      <c r="GI8" s="20" t="n">
        <f aca="false">IF(AND(GA8=1,Slot17_IsMfree=1),IF(GF8&gt;=Slot17_Cost-1,0,MAX(0,FY8-GF8)),FY8)</f>
        <v>197269.770715164</v>
      </c>
      <c r="GJ8" s="20" t="n">
        <f aca="false">GA8*(Slot17_Cost-GF8)</f>
        <v>0</v>
      </c>
      <c r="GK8" s="20" t="n">
        <f aca="false">IF(AND(Slot18_On=1,D8=Slot18_Age),1,0)</f>
        <v>0</v>
      </c>
      <c r="GL8" s="20" t="n">
        <f aca="false">IF(AND(Slot18_On=1,Slot18_Age&gt;D8),1,0)</f>
        <v>0</v>
      </c>
      <c r="GM8" s="20" t="n">
        <f aca="false">TC7</f>
        <v>0</v>
      </c>
      <c r="GN8" s="20" t="n">
        <f aca="false">GK8*MIN(Slot18_Cost,GM8)</f>
        <v>0</v>
      </c>
      <c r="GO8" s="20" t="n">
        <f aca="false">GK8*Slot18_SpendLike*MIN(Slot18_Cost-GN8,GG8)</f>
        <v>0</v>
      </c>
      <c r="GP8" s="20" t="n">
        <f aca="false">GN8+GO8</f>
        <v>0</v>
      </c>
      <c r="GQ8" s="20" t="n">
        <f aca="false">GG8-GO8+GK8*IF(Slot18_SpendLike=1,GM8-GN8,IF(Slot18_PotFree=1,GM8,0))</f>
        <v>0</v>
      </c>
      <c r="GR8" s="20" t="n">
        <f aca="false">GH8+GK8*Slot18_BufPot*GM8</f>
        <v>0</v>
      </c>
      <c r="GS8" s="20" t="n">
        <f aca="false">IF(AND(GK8=1,Slot18_IsMfree=1),IF(GP8&gt;=Slot18_Cost-1,0,MAX(0,GI8-GP8)),GI8)</f>
        <v>197269.770715164</v>
      </c>
      <c r="GT8" s="20" t="n">
        <f aca="false">GK8*(Slot18_Cost-GP8)</f>
        <v>0</v>
      </c>
      <c r="GU8" s="20" t="n">
        <f aca="false">IF(AND(Slot19_On=1,D8=Slot19_Age),1,0)</f>
        <v>0</v>
      </c>
      <c r="GV8" s="20" t="n">
        <f aca="false">IF(AND(Slot19_On=1,Slot19_Age&gt;D8),1,0)</f>
        <v>0</v>
      </c>
      <c r="GW8" s="20" t="n">
        <f aca="false">TG7</f>
        <v>0</v>
      </c>
      <c r="GX8" s="20" t="n">
        <f aca="false">GU8*MIN(Slot19_Cost,GW8)</f>
        <v>0</v>
      </c>
      <c r="GY8" s="20" t="n">
        <f aca="false">GU8*Slot19_SpendLike*MIN(Slot19_Cost-GX8,GQ8)</f>
        <v>0</v>
      </c>
      <c r="GZ8" s="20" t="n">
        <f aca="false">GX8+GY8</f>
        <v>0</v>
      </c>
      <c r="HA8" s="20" t="n">
        <f aca="false">GQ8-GY8+GU8*IF(Slot19_SpendLike=1,GW8-GX8,IF(Slot19_PotFree=1,GW8,0))</f>
        <v>0</v>
      </c>
      <c r="HB8" s="20" t="n">
        <f aca="false">GR8+GU8*Slot19_BufPot*GW8</f>
        <v>0</v>
      </c>
      <c r="HC8" s="20" t="n">
        <f aca="false">IF(AND(GU8=1,Slot19_IsMfree=1),IF(GZ8&gt;=Slot19_Cost-1,0,MAX(0,GS8-GZ8)),GS8)</f>
        <v>197269.770715164</v>
      </c>
      <c r="HD8" s="20" t="n">
        <f aca="false">GU8*(Slot19_Cost-GZ8)</f>
        <v>0</v>
      </c>
      <c r="HE8" s="20" t="n">
        <f aca="false">IF(AND(Slot20_On=1,D8=Slot20_Age),1,0)</f>
        <v>0</v>
      </c>
      <c r="HF8" s="20" t="n">
        <f aca="false">IF(AND(Slot20_On=1,Slot20_Age&gt;D8),1,0)</f>
        <v>0</v>
      </c>
      <c r="HG8" s="20" t="n">
        <f aca="false">TK7</f>
        <v>0</v>
      </c>
      <c r="HH8" s="20" t="n">
        <f aca="false">HE8*MIN(Slot20_Cost,HG8)</f>
        <v>0</v>
      </c>
      <c r="HI8" s="20" t="n">
        <f aca="false">HE8*Slot20_SpendLike*MIN(Slot20_Cost-HH8,HA8)</f>
        <v>0</v>
      </c>
      <c r="HJ8" s="20" t="n">
        <f aca="false">HH8+HI8</f>
        <v>0</v>
      </c>
      <c r="HK8" s="20" t="n">
        <f aca="false">HA8-HI8+HE8*IF(Slot20_SpendLike=1,HG8-HH8,IF(Slot20_PotFree=1,HG8,0))</f>
        <v>0</v>
      </c>
      <c r="HL8" s="20" t="n">
        <f aca="false">HB8+HE8*Slot20_BufPot*HG8</f>
        <v>0</v>
      </c>
      <c r="HM8" s="20" t="n">
        <f aca="false">IF(AND(HE8=1,Slot20_IsMfree=1),IF(HJ8&gt;=Slot20_Cost-1,0,MAX(0,HC8-HJ8)),HC8)</f>
        <v>197269.770715164</v>
      </c>
      <c r="HN8" s="20" t="n">
        <f aca="false">HE8*(Slot20_Cost-HJ8)</f>
        <v>0</v>
      </c>
      <c r="HO8" s="20" t="n">
        <f aca="false">V8*Slot1_SpendLike*AA8+AG8*Slot2_SpendLike*AL8+AQ8*Slot3_SpendLike*AV8+BA8*Slot4_SpendLike*BF8+BK8*Slot5_SpendLike*BP8+BU8*Slot6_SpendLike*BZ8+CE8*Slot7_SpendLike*CJ8+CO8*Slot8_SpendLike*CT8+CY8*Slot9_SpendLike*DD8+DI8*Slot10_SpendLike*DN8+DS8*Slot11_SpendLike*DX8+EC8*Slot12_SpendLike*EH8+EM8*Slot13_SpendLike*ER8+EW8*Slot14_SpendLike*FB8+FG8*Slot15_SpendLike*FL8+FQ8*Slot16_SpendLike*FV8+GA8*Slot17_SpendLike*GF8+GK8*Slot18_SpendLike*GP8+GU8*Slot19_SpendLike*GZ8+HE8*Slot20_SpendLike*HJ8</f>
        <v>0</v>
      </c>
      <c r="HP8" s="20" t="n">
        <f aca="false">AE8+AP8+AZ8+BJ8+BT8+CD8+CN8+CX8+DH8+DR8+EB8+EL8+EV8+FF8+FP8+FZ8+GJ8+GT8+HD8+HN8</f>
        <v>0</v>
      </c>
      <c r="HQ8" s="20" t="n">
        <f aca="false">V8*Slot1_Cost+AG8*Slot2_Cost+AQ8*Slot3_Cost+BA8*Slot4_Cost+BK8*Slot5_Cost+BU8*Slot6_Cost+CE8*Slot7_Cost+CO8*Slot8_Cost+CY8*Slot9_Cost+DI8*Slot10_Cost+DS8*Slot11_Cost+EC8*Slot12_Cost+EM8*Slot13_Cost+EW8*Slot14_Cost+FG8*Slot15_Cost+FQ8*Slot16_Cost+GA8*Slot17_Cost+GK8*Slot18_Cost+GU8*Slot19_Cost+HE8*Slot20_Cost</f>
        <v>0</v>
      </c>
      <c r="HR8" s="20" t="n">
        <f aca="false">HM8</f>
        <v>197269.770715164</v>
      </c>
      <c r="HS8" s="20" t="n">
        <f aca="false">H8-I8-S8</f>
        <v>1495.96054444905</v>
      </c>
      <c r="HT8" s="20" t="n">
        <f aca="false">IF(B8=0,IF(AND(Has_q6=1,In_q6=4),PR_ShareVaries*(MAX(0,HS8)/12),MIN(IF(Has_q6=1,CHOOSE(In_q6+1,PR_SaveB1,PR_SaveB2,PR_SaveB3,PR_SaveB4,0),AS_NoAnswer),AS_SaveShare*(MAX(0,HS8)/12))),HT7)</f>
        <v>62.3316893520437</v>
      </c>
      <c r="HU8" s="20" t="n">
        <f aca="false">IF(HS8&gt;=0,1,0)</f>
        <v>1</v>
      </c>
      <c r="HV8" s="20" t="n">
        <f aca="false">MAX(0,HS8/12/F8)</f>
        <v>124.663378704087</v>
      </c>
      <c r="HW8" s="20" t="n">
        <f aca="false">IF(AND(Has_q6=1,In_q6=4),PR_ShareVaries*(HV8),MIN(IF(Has_q6=1,CHOOSE(In_q6+1,PR_SaveB1,PR_SaveB2,PR_SaveB3,PR_SaveB4,0),AS_NoAnswer),AS_SaveShare*(HV8)))</f>
        <v>62.3316893520437</v>
      </c>
      <c r="HX8" s="20" t="n">
        <f aca="false">IF(Has_saveM=1,IF(In_saveUp="Yes",1,IF(In_saveUp="No",0,IF(In_saveM&gt;=HT8-0.5,1,0))),0)</f>
        <v>0</v>
      </c>
      <c r="HY8" s="20" t="n">
        <f aca="false">IF(Has_saveM=1,MIN(HV8,IF(HX8=1,MAX(In_saveM,HW8),MIN(In_saveM,HW8))),HW8)</f>
        <v>62.3316893520437</v>
      </c>
      <c r="HZ8" s="20" t="n">
        <f aca="false">IF(G8=1,HY8*12*F8,0)</f>
        <v>747.980272224524</v>
      </c>
      <c r="IA8" s="20" t="n">
        <f aca="false">MAX(0,HZ8+IF(AND(WI_Retire=0,WI_M&lt;0,G8=1),WI_M*12*F8,0))</f>
        <v>747.980272224524</v>
      </c>
      <c r="IB8" s="20" t="n">
        <f aca="false">Slot1_IsWG*W8+Slot2_IsWG*AH8+Slot3_IsWG*AR8+Slot4_IsWG*BB8+Slot5_IsWG*BL8+Slot6_IsWG*BV8+Slot7_IsWG*CF8+Slot8_IsWG*CP8+Slot9_IsWG*CZ8+Slot10_IsWG*DJ8+Slot11_IsWG*DT8+Slot12_IsWG*ED8+Slot13_IsWG*EN8+Slot14_IsWG*EX8+Slot15_IsWG*FH8+Slot16_IsWG*FR8+Slot17_IsWG*GB8+Slot18_IsWG*GL8+Slot19_IsWG*GV8+Slot20_IsWG*HF8</f>
        <v>0</v>
      </c>
      <c r="IC8" s="20" t="n">
        <f aca="false">IF(AND(WI_Retire=0,WI_M&gt;0,G8=1,IB8&gt;=1),WI_M*12*F8,0)</f>
        <v>0</v>
      </c>
      <c r="ID8" s="20" t="n">
        <f aca="false">IF(HU8=1,MIN(IA8,HS8),0)</f>
        <v>747.980272224524</v>
      </c>
      <c r="IE8" s="20" t="n">
        <f aca="false">IF(HU8=1,MIN(IC8,HS8-ID8),0)</f>
        <v>0</v>
      </c>
      <c r="IF8" s="20" t="n">
        <f aca="false">IF(W8=1,IF(ABS((1+AS_Wage)/(1+Slot1_Rate)-1)&lt;0.000000000001,(Slot1_Age-D8)*(1+Slot1_Rate)^(Slot1_Age-D8),(1+Slot1_Rate)^(Slot1_Age-D8)*(1-((1+AS_Wage)/(1+Slot1_Rate))^(Slot1_Age-D8))/(1-(1+AS_Wage)/(1+Slot1_Rate))),1)</f>
        <v>2.0604</v>
      </c>
      <c r="IG8" s="20" t="n">
        <f aca="false">IF(AND(HU8=1,IE8&gt;0,Slot1_IsWG=1,W8=1),MAX(0,(Slot1_Cost-X8*(1+Slot1_Rate)^(Slot1_Age-D8))/IF8),0)</f>
        <v>0</v>
      </c>
      <c r="IH8" s="20" t="n">
        <f aca="false">IF(AND(HU8=1,IE8&gt;0,Slot1_IsWG=1,W8=1),MIN(IE8,IG8),0)</f>
        <v>0</v>
      </c>
      <c r="II8" s="20" t="n">
        <f aca="false">X8+IH8</f>
        <v>15200</v>
      </c>
      <c r="IJ8" s="20" t="n">
        <f aca="false">IF(W8=1,MAX(0,(Slot1_Cost-II8*(1+Slot1_Rate)^(Slot1_Age-D8))/IF8),0)</f>
        <v>48.7672296641426</v>
      </c>
      <c r="IK8" s="20" t="n">
        <f aca="false">IF(W8=1,MAX(0,(Slot1_Cost-X8*(1+Slot1_Rate)^(Slot1_Age-D8))/IF8),0)</f>
        <v>48.7672296641426</v>
      </c>
      <c r="IL8" s="20" t="n">
        <f aca="false">IF(AND(HU8=1,W8=1),MIN(ID8,IJ8),0)</f>
        <v>48.7672296641426</v>
      </c>
      <c r="IM8" s="20" t="n">
        <f aca="false">ID8-IL8</f>
        <v>699.213042560381</v>
      </c>
      <c r="IN8" s="20" t="n">
        <f aca="false">IF(AH8=1,IF(ABS((1+AS_Wage)/(1+Slot2_Rate)-1)&lt;0.000000000001,(Slot2_Age-D8)*(1+Slot2_Rate)^(Slot2_Age-D8),(1+Slot2_Rate)^(Slot2_Age-D8)*(1-((1+AS_Wage)/(1+Slot2_Rate))^(Slot2_Age-D8))/(1-(1+AS_Wage)/(1+Slot2_Rate))),1)</f>
        <v>3.152513</v>
      </c>
      <c r="IO8" s="20" t="n">
        <f aca="false">IF(AND(HU8=1,IE8&gt;0,Slot2_IsWG=1,AH8=1),MAX(0,(Slot2_Cost-AI8*(1+Slot2_Rate)^(Slot2_Age-D8))/IN8),0)</f>
        <v>0</v>
      </c>
      <c r="IP8" s="20" t="n">
        <f aca="false">IF(AND(HU8=1,IE8&gt;0,Slot2_IsWG=1,AH8=1),MIN(IE8,IO8),0)</f>
        <v>0</v>
      </c>
      <c r="IQ8" s="20" t="n">
        <f aca="false">AI8+IP8</f>
        <v>0</v>
      </c>
      <c r="IR8" s="20" t="n">
        <f aca="false">IF(AH8=1,MAX(0,(Slot2_Cost-IQ8*(1+Slot2_Rate)^(Slot2_Age-D8))/IN8),0)</f>
        <v>4039.47453983537</v>
      </c>
      <c r="IS8" s="20" t="n">
        <f aca="false">IF(AH8=1,MAX(0,(Slot2_Cost-AI8*(1+Slot2_Rate)^(Slot2_Age-D8))/IN8),0)</f>
        <v>4039.47453983537</v>
      </c>
      <c r="IT8" s="20" t="n">
        <f aca="false">IF(AND(HU8=1,AH8=1),MIN(IM8,IR8),0)</f>
        <v>699.213042560381</v>
      </c>
      <c r="IU8" s="20" t="n">
        <f aca="false">IM8-IT8</f>
        <v>0</v>
      </c>
      <c r="IV8" s="20" t="n">
        <f aca="false">IF(AR8=1,IF(ABS((1+AS_Wage)/(1+Slot3_Rate)-1)&lt;0.000000000001,(Slot3_Age-D8)*(1+Slot3_Rate)^(Slot3_Age-D8),(1+Slot3_Rate)^(Slot3_Age-D8)*(1-((1+AS_Wage)/(1+Slot3_Rate))^(Slot3_Age-D8))/(1-(1+AS_Wage)/(1+Slot3_Rate))),1)</f>
        <v>13.1554321317536</v>
      </c>
      <c r="IW8" s="20" t="n">
        <f aca="false">IF(AND(HU8=1,IE8&gt;0,Slot3_IsWG=1,AR8=1),MAX(0,(Slot3_Cost-AS8*(1+Slot3_Rate)^(Slot3_Age-D8))/IV8),0)</f>
        <v>0</v>
      </c>
      <c r="IX8" s="20" t="n">
        <f aca="false">IF(AND(HU8=1,IE8&gt;0,Slot3_IsWG=1,AR8=1),MIN(IE8,IW8),0)</f>
        <v>0</v>
      </c>
      <c r="IY8" s="20" t="n">
        <f aca="false">AS8+IX8</f>
        <v>0</v>
      </c>
      <c r="IZ8" s="20" t="n">
        <f aca="false">IF(AR8=1,MAX(0,(Slot3_Cost-IY8*(1+Slot3_Rate)^(Slot3_Age-D8))/IV8),0)</f>
        <v>4633.04590752452</v>
      </c>
      <c r="JA8" s="20" t="n">
        <f aca="false">IF(AR8=1,MAX(0,(Slot3_Cost-AS8*(1+Slot3_Rate)^(Slot3_Age-D8))/IV8),0)</f>
        <v>4633.04590752452</v>
      </c>
      <c r="JB8" s="20" t="n">
        <f aca="false">IF(AND(HU8=1,AR8=1),MIN(IU8,IZ8),0)</f>
        <v>0</v>
      </c>
      <c r="JC8" s="20" t="n">
        <f aca="false">IU8-JB8</f>
        <v>0</v>
      </c>
      <c r="JD8" s="20" t="n">
        <f aca="false">IF(BB8=1,IF(ABS((1+AS_Wage)/(1+Slot4_Rate)-1)&lt;0.000000000001,(Slot4_Age-D8)*(1+Slot4_Rate)^(Slot4_Age-D8),(1+Slot4_Rate)^(Slot4_Age-D8)*(1-((1+AS_Wage)/(1+Slot4_Rate))^(Slot4_Age-D8))/(1-(1+AS_Wage)/(1+Slot4_Rate))),1)</f>
        <v>27.1363771990808</v>
      </c>
      <c r="JE8" s="20" t="n">
        <f aca="false">IF(AND(HU8=1,IE8&gt;0,Slot4_IsWG=1,BB8=1),MAX(0,(Slot4_Cost-BC8*(1+Slot4_Rate)^(Slot4_Age-D8))/JD8),0)</f>
        <v>0</v>
      </c>
      <c r="JF8" s="20" t="n">
        <f aca="false">IF(AND(HU8=1,IE8&gt;0,Slot4_IsWG=1,BB8=1),MIN(IE8,JE8),0)</f>
        <v>0</v>
      </c>
      <c r="JG8" s="20" t="n">
        <f aca="false">BC8+JF8</f>
        <v>0</v>
      </c>
      <c r="JH8" s="20" t="n">
        <f aca="false">IF(BB8=1,MAX(0,(Slot4_Cost-JG8*(1+Slot4_Rate)^(Slot4_Age-D8))/JD8),0)</f>
        <v>1474.7692869697</v>
      </c>
      <c r="JI8" s="20" t="n">
        <f aca="false">IF(BB8=1,MAX(0,(Slot4_Cost-BC8*(1+Slot4_Rate)^(Slot4_Age-D8))/JD8),0)</f>
        <v>1474.7692869697</v>
      </c>
      <c r="JJ8" s="20" t="n">
        <f aca="false">IF(AND(HU8=1,BB8=1),MIN(JC8,JH8),0)</f>
        <v>0</v>
      </c>
      <c r="JK8" s="20" t="n">
        <f aca="false">JC8-JJ8</f>
        <v>0</v>
      </c>
      <c r="JL8" s="20" t="n">
        <f aca="false">IF(BL8=1,IF(ABS((1+AS_Wage)/(1+Slot5_Rate)-1)&lt;0.000000000001,(Slot5_Age-D8)*(1+Slot5_Rate)^(Slot5_Age-D8),(1+Slot5_Rate)^(Slot5_Age-D8)*(1-((1+AS_Wage)/(1+Slot5_Rate))^(Slot5_Age-D8))/(1-(1+AS_Wage)/(1+Slot5_Rate))),1)</f>
        <v>1</v>
      </c>
      <c r="JM8" s="20" t="n">
        <f aca="false">IF(AND(HU8=1,IE8&gt;0,Slot5_IsWG=1,BL8=1),MAX(0,(Slot5_Cost-BM8*(1+Slot5_Rate)^(Slot5_Age-D8))/JL8),0)</f>
        <v>0</v>
      </c>
      <c r="JN8" s="20" t="n">
        <f aca="false">IF(AND(HU8=1,IE8&gt;0,Slot5_IsWG=1,BL8=1),MIN(IE8,JM8),0)</f>
        <v>0</v>
      </c>
      <c r="JO8" s="20" t="n">
        <f aca="false">BM8+JN8</f>
        <v>0</v>
      </c>
      <c r="JP8" s="20" t="n">
        <f aca="false">IF(BL8=1,MAX(0,(Slot5_Cost-JO8*(1+Slot5_Rate)^(Slot5_Age-D8))/JL8),0)</f>
        <v>0</v>
      </c>
      <c r="JQ8" s="20" t="n">
        <f aca="false">IF(BL8=1,MAX(0,(Slot5_Cost-BM8*(1+Slot5_Rate)^(Slot5_Age-D8))/JL8),0)</f>
        <v>0</v>
      </c>
      <c r="JR8" s="20" t="n">
        <f aca="false">IF(AND(HU8=1,BL8=1),MIN(JK8,JP8),0)</f>
        <v>0</v>
      </c>
      <c r="JS8" s="20" t="n">
        <f aca="false">JK8-JR8</f>
        <v>0</v>
      </c>
      <c r="JT8" s="20" t="n">
        <f aca="false">IF(BV8=1,IF(ABS((1+AS_Wage)/(1+Slot6_Rate)-1)&lt;0.000000000001,(Slot6_Age-D8)*(1+Slot6_Rate)^(Slot6_Age-D8),(1+Slot6_Rate)^(Slot6_Age-D8)*(1-((1+AS_Wage)/(1+Slot6_Rate))^(Slot6_Age-D8))/(1-(1+AS_Wage)/(1+Slot6_Rate))),1)</f>
        <v>1</v>
      </c>
      <c r="JU8" s="20" t="n">
        <f aca="false">IF(AND(HU8=1,IE8&gt;0,Slot6_IsWG=1,BV8=1),MAX(0,(Slot6_Cost-BW8*(1+Slot6_Rate)^(Slot6_Age-D8))/JT8),0)</f>
        <v>0</v>
      </c>
      <c r="JV8" s="20" t="n">
        <f aca="false">IF(AND(HU8=1,IE8&gt;0,Slot6_IsWG=1,BV8=1),MIN(IE8,JU8),0)</f>
        <v>0</v>
      </c>
      <c r="JW8" s="20" t="n">
        <f aca="false">BW8+JV8</f>
        <v>0</v>
      </c>
      <c r="JX8" s="20" t="n">
        <f aca="false">IF(BV8=1,MAX(0,(Slot6_Cost-JW8*(1+Slot6_Rate)^(Slot6_Age-D8))/JT8),0)</f>
        <v>0</v>
      </c>
      <c r="JY8" s="20" t="n">
        <f aca="false">IF(BV8=1,MAX(0,(Slot6_Cost-BW8*(1+Slot6_Rate)^(Slot6_Age-D8))/JT8),0)</f>
        <v>0</v>
      </c>
      <c r="JZ8" s="20" t="n">
        <f aca="false">IF(AND(HU8=1,BV8=1),MIN(JS8,JX8),0)</f>
        <v>0</v>
      </c>
      <c r="KA8" s="20" t="n">
        <f aca="false">JS8-JZ8</f>
        <v>0</v>
      </c>
      <c r="KB8" s="20" t="n">
        <f aca="false">IF(CF8=1,IF(ABS((1+AS_Wage)/(1+Slot7_Rate)-1)&lt;0.000000000001,(Slot7_Age-D8)*(1+Slot7_Rate)^(Slot7_Age-D8),(1+Slot7_Rate)^(Slot7_Age-D8)*(1-((1+AS_Wage)/(1+Slot7_Rate))^(Slot7_Age-D8))/(1-(1+AS_Wage)/(1+Slot7_Rate))),1)</f>
        <v>1</v>
      </c>
      <c r="KC8" s="20" t="n">
        <f aca="false">IF(AND(HU8=1,IE8&gt;0,Slot7_IsWG=1,CF8=1),MAX(0,(Slot7_Cost-CG8*(1+Slot7_Rate)^(Slot7_Age-D8))/KB8),0)</f>
        <v>0</v>
      </c>
      <c r="KD8" s="20" t="n">
        <f aca="false">IF(AND(HU8=1,IE8&gt;0,Slot7_IsWG=1,CF8=1),MIN(IE8,KC8),0)</f>
        <v>0</v>
      </c>
      <c r="KE8" s="20" t="n">
        <f aca="false">CG8+KD8</f>
        <v>0</v>
      </c>
      <c r="KF8" s="20" t="n">
        <f aca="false">IF(CF8=1,MAX(0,(Slot7_Cost-KE8*(1+Slot7_Rate)^(Slot7_Age-D8))/KB8),0)</f>
        <v>0</v>
      </c>
      <c r="KG8" s="20" t="n">
        <f aca="false">IF(CF8=1,MAX(0,(Slot7_Cost-CG8*(1+Slot7_Rate)^(Slot7_Age-D8))/KB8),0)</f>
        <v>0</v>
      </c>
      <c r="KH8" s="20" t="n">
        <f aca="false">IF(AND(HU8=1,CF8=1),MIN(KA8,KF8),0)</f>
        <v>0</v>
      </c>
      <c r="KI8" s="20" t="n">
        <f aca="false">KA8-KH8</f>
        <v>0</v>
      </c>
      <c r="KJ8" s="20" t="n">
        <f aca="false">IF(CP8=1,IF(ABS((1+AS_Wage)/(1+Slot8_Rate)-1)&lt;0.000000000001,(Slot8_Age-D8)*(1+Slot8_Rate)^(Slot8_Age-D8),(1+Slot8_Rate)^(Slot8_Age-D8)*(1-((1+AS_Wage)/(1+Slot8_Rate))^(Slot8_Age-D8))/(1-(1+AS_Wage)/(1+Slot8_Rate))),1)</f>
        <v>1</v>
      </c>
      <c r="KK8" s="20" t="n">
        <f aca="false">IF(AND(HU8=1,IE8&gt;0,Slot8_IsWG=1,CP8=1),MAX(0,(Slot8_Cost-CQ8*(1+Slot8_Rate)^(Slot8_Age-D8))/KJ8),0)</f>
        <v>0</v>
      </c>
      <c r="KL8" s="20" t="n">
        <f aca="false">IF(AND(HU8=1,IE8&gt;0,Slot8_IsWG=1,CP8=1),MIN(IE8,KK8),0)</f>
        <v>0</v>
      </c>
      <c r="KM8" s="20" t="n">
        <f aca="false">CQ8+KL8</f>
        <v>0</v>
      </c>
      <c r="KN8" s="20" t="n">
        <f aca="false">IF(CP8=1,MAX(0,(Slot8_Cost-KM8*(1+Slot8_Rate)^(Slot8_Age-D8))/KJ8),0)</f>
        <v>0</v>
      </c>
      <c r="KO8" s="20" t="n">
        <f aca="false">IF(CP8=1,MAX(0,(Slot8_Cost-CQ8*(1+Slot8_Rate)^(Slot8_Age-D8))/KJ8),0)</f>
        <v>0</v>
      </c>
      <c r="KP8" s="20" t="n">
        <f aca="false">IF(AND(HU8=1,CP8=1),MIN(KI8,KN8),0)</f>
        <v>0</v>
      </c>
      <c r="KQ8" s="20" t="n">
        <f aca="false">KI8-KP8</f>
        <v>0</v>
      </c>
      <c r="KR8" s="20" t="n">
        <f aca="false">IF(CZ8=1,IF(ABS((1+AS_Wage)/(1+Slot9_Rate)-1)&lt;0.000000000001,(Slot9_Age-D8)*(1+Slot9_Rate)^(Slot9_Age-D8),(1+Slot9_Rate)^(Slot9_Age-D8)*(1-((1+AS_Wage)/(1+Slot9_Rate))^(Slot9_Age-D8))/(1-(1+AS_Wage)/(1+Slot9_Rate))),1)</f>
        <v>1</v>
      </c>
      <c r="KS8" s="20" t="n">
        <f aca="false">IF(AND(HU8=1,IE8&gt;0,Slot9_IsWG=1,CZ8=1),MAX(0,(Slot9_Cost-DA8*(1+Slot9_Rate)^(Slot9_Age-D8))/KR8),0)</f>
        <v>0</v>
      </c>
      <c r="KT8" s="20" t="n">
        <f aca="false">IF(AND(HU8=1,IE8&gt;0,Slot9_IsWG=1,CZ8=1),MIN(IE8,KS8),0)</f>
        <v>0</v>
      </c>
      <c r="KU8" s="20" t="n">
        <f aca="false">DA8+KT8</f>
        <v>0</v>
      </c>
      <c r="KV8" s="20" t="n">
        <f aca="false">IF(CZ8=1,MAX(0,(Slot9_Cost-KU8*(1+Slot9_Rate)^(Slot9_Age-D8))/KR8),0)</f>
        <v>0</v>
      </c>
      <c r="KW8" s="20" t="n">
        <f aca="false">IF(CZ8=1,MAX(0,(Slot9_Cost-DA8*(1+Slot9_Rate)^(Slot9_Age-D8))/KR8),0)</f>
        <v>0</v>
      </c>
      <c r="KX8" s="20" t="n">
        <f aca="false">IF(AND(HU8=1,CZ8=1),MIN(KQ8,KV8),0)</f>
        <v>0</v>
      </c>
      <c r="KY8" s="20" t="n">
        <f aca="false">KQ8-KX8</f>
        <v>0</v>
      </c>
      <c r="KZ8" s="20" t="n">
        <f aca="false">IF(DJ8=1,IF(ABS((1+AS_Wage)/(1+Slot10_Rate)-1)&lt;0.000000000001,(Slot10_Age-D8)*(1+Slot10_Rate)^(Slot10_Age-D8),(1+Slot10_Rate)^(Slot10_Age-D8)*(1-((1+AS_Wage)/(1+Slot10_Rate))^(Slot10_Age-D8))/(1-(1+AS_Wage)/(1+Slot10_Rate))),1)</f>
        <v>1</v>
      </c>
      <c r="LA8" s="20" t="n">
        <f aca="false">IF(AND(HU8=1,IE8&gt;0,Slot10_IsWG=1,DJ8=1),MAX(0,(Slot10_Cost-DK8*(1+Slot10_Rate)^(Slot10_Age-D8))/KZ8),0)</f>
        <v>0</v>
      </c>
      <c r="LB8" s="20" t="n">
        <f aca="false">IF(AND(HU8=1,IE8&gt;0,Slot10_IsWG=1,DJ8=1),MIN(IE8,LA8),0)</f>
        <v>0</v>
      </c>
      <c r="LC8" s="20" t="n">
        <f aca="false">DK8+LB8</f>
        <v>0</v>
      </c>
      <c r="LD8" s="20" t="n">
        <f aca="false">IF(DJ8=1,MAX(0,(Slot10_Cost-LC8*(1+Slot10_Rate)^(Slot10_Age-D8))/KZ8),0)</f>
        <v>0</v>
      </c>
      <c r="LE8" s="20" t="n">
        <f aca="false">IF(DJ8=1,MAX(0,(Slot10_Cost-DK8*(1+Slot10_Rate)^(Slot10_Age-D8))/KZ8),0)</f>
        <v>0</v>
      </c>
      <c r="LF8" s="20" t="n">
        <f aca="false">IF(AND(HU8=1,DJ8=1),MIN(KY8,LD8),0)</f>
        <v>0</v>
      </c>
      <c r="LG8" s="20" t="n">
        <f aca="false">KY8-LF8</f>
        <v>0</v>
      </c>
      <c r="LH8" s="20" t="n">
        <f aca="false">IF(DT8=1,IF(ABS((1+AS_Wage)/(1+Slot11_Rate)-1)&lt;0.000000000001,(Slot11_Age-D8)*(1+Slot11_Rate)^(Slot11_Age-D8),(1+Slot11_Rate)^(Slot11_Age-D8)*(1-((1+AS_Wage)/(1+Slot11_Rate))^(Slot11_Age-D8))/(1-(1+AS_Wage)/(1+Slot11_Rate))),1)</f>
        <v>1</v>
      </c>
      <c r="LI8" s="20" t="n">
        <f aca="false">IF(AND(HU8=1,IE8&gt;0,Slot11_IsWG=1,DT8=1),MAX(0,(Slot11_Cost-DU8*(1+Slot11_Rate)^(Slot11_Age-D8))/LH8),0)</f>
        <v>0</v>
      </c>
      <c r="LJ8" s="20" t="n">
        <f aca="false">IF(AND(HU8=1,IE8&gt;0,Slot11_IsWG=1,DT8=1),MIN(IE8,LI8),0)</f>
        <v>0</v>
      </c>
      <c r="LK8" s="20" t="n">
        <f aca="false">DU8+LJ8</f>
        <v>0</v>
      </c>
      <c r="LL8" s="20" t="n">
        <f aca="false">IF(DT8=1,MAX(0,(Slot11_Cost-LK8*(1+Slot11_Rate)^(Slot11_Age-D8))/LH8),0)</f>
        <v>0</v>
      </c>
      <c r="LM8" s="20" t="n">
        <f aca="false">IF(DT8=1,MAX(0,(Slot11_Cost-DU8*(1+Slot11_Rate)^(Slot11_Age-D8))/LH8),0)</f>
        <v>0</v>
      </c>
      <c r="LN8" s="20" t="n">
        <f aca="false">IF(AND(HU8=1,DT8=1),MIN(LG8,LL8),0)</f>
        <v>0</v>
      </c>
      <c r="LO8" s="20" t="n">
        <f aca="false">LG8-LN8</f>
        <v>0</v>
      </c>
      <c r="LP8" s="20" t="n">
        <f aca="false">IF(ED8=1,IF(ABS((1+AS_Wage)/(1+Slot12_Rate)-1)&lt;0.000000000001,(Slot12_Age-D8)*(1+Slot12_Rate)^(Slot12_Age-D8),(1+Slot12_Rate)^(Slot12_Age-D8)*(1-((1+AS_Wage)/(1+Slot12_Rate))^(Slot12_Age-D8))/(1-(1+AS_Wage)/(1+Slot12_Rate))),1)</f>
        <v>1</v>
      </c>
      <c r="LQ8" s="20" t="n">
        <f aca="false">IF(AND(HU8=1,IE8&gt;0,Slot12_IsWG=1,ED8=1),MAX(0,(Slot12_Cost-EE8*(1+Slot12_Rate)^(Slot12_Age-D8))/LP8),0)</f>
        <v>0</v>
      </c>
      <c r="LR8" s="20" t="n">
        <f aca="false">IF(AND(HU8=1,IE8&gt;0,Slot12_IsWG=1,ED8=1),MIN(IE8,LQ8),0)</f>
        <v>0</v>
      </c>
      <c r="LS8" s="20" t="n">
        <f aca="false">EE8+LR8</f>
        <v>0</v>
      </c>
      <c r="LT8" s="20" t="n">
        <f aca="false">IF(ED8=1,MAX(0,(Slot12_Cost-LS8*(1+Slot12_Rate)^(Slot12_Age-D8))/LP8),0)</f>
        <v>0</v>
      </c>
      <c r="LU8" s="20" t="n">
        <f aca="false">IF(ED8=1,MAX(0,(Slot12_Cost-EE8*(1+Slot12_Rate)^(Slot12_Age-D8))/LP8),0)</f>
        <v>0</v>
      </c>
      <c r="LV8" s="20" t="n">
        <f aca="false">IF(AND(HU8=1,ED8=1),MIN(LO8,LT8),0)</f>
        <v>0</v>
      </c>
      <c r="LW8" s="20" t="n">
        <f aca="false">LO8-LV8</f>
        <v>0</v>
      </c>
      <c r="LX8" s="20" t="n">
        <f aca="false">IF(EN8=1,IF(ABS((1+AS_Wage)/(1+Slot13_Rate)-1)&lt;0.000000000001,(Slot13_Age-D8)*(1+Slot13_Rate)^(Slot13_Age-D8),(1+Slot13_Rate)^(Slot13_Age-D8)*(1-((1+AS_Wage)/(1+Slot13_Rate))^(Slot13_Age-D8))/(1-(1+AS_Wage)/(1+Slot13_Rate))),1)</f>
        <v>1</v>
      </c>
      <c r="LY8" s="20" t="n">
        <f aca="false">IF(AND(HU8=1,IE8&gt;0,Slot13_IsWG=1,EN8=1),MAX(0,(Slot13_Cost-EO8*(1+Slot13_Rate)^(Slot13_Age-D8))/LX8),0)</f>
        <v>0</v>
      </c>
      <c r="LZ8" s="20" t="n">
        <f aca="false">IF(AND(HU8=1,IE8&gt;0,Slot13_IsWG=1,EN8=1),MIN(IE8,LY8),0)</f>
        <v>0</v>
      </c>
      <c r="MA8" s="20" t="n">
        <f aca="false">EO8+LZ8</f>
        <v>0</v>
      </c>
      <c r="MB8" s="20" t="n">
        <f aca="false">IF(EN8=1,MAX(0,(Slot13_Cost-MA8*(1+Slot13_Rate)^(Slot13_Age-D8))/LX8),0)</f>
        <v>0</v>
      </c>
      <c r="MC8" s="20" t="n">
        <f aca="false">IF(EN8=1,MAX(0,(Slot13_Cost-EO8*(1+Slot13_Rate)^(Slot13_Age-D8))/LX8),0)</f>
        <v>0</v>
      </c>
      <c r="MD8" s="20" t="n">
        <f aca="false">IF(AND(HU8=1,EN8=1),MIN(LW8,MB8),0)</f>
        <v>0</v>
      </c>
      <c r="ME8" s="20" t="n">
        <f aca="false">LW8-MD8</f>
        <v>0</v>
      </c>
      <c r="MF8" s="20" t="n">
        <f aca="false">IF(EX8=1,IF(ABS((1+AS_Wage)/(1+Slot14_Rate)-1)&lt;0.000000000001,(Slot14_Age-D8)*(1+Slot14_Rate)^(Slot14_Age-D8),(1+Slot14_Rate)^(Slot14_Age-D8)*(1-((1+AS_Wage)/(1+Slot14_Rate))^(Slot14_Age-D8))/(1-(1+AS_Wage)/(1+Slot14_Rate))),1)</f>
        <v>1</v>
      </c>
      <c r="MG8" s="20" t="n">
        <f aca="false">IF(AND(HU8=1,IE8&gt;0,Slot14_IsWG=1,EX8=1),MAX(0,(Slot14_Cost-EY8*(1+Slot14_Rate)^(Slot14_Age-D8))/MF8),0)</f>
        <v>0</v>
      </c>
      <c r="MH8" s="20" t="n">
        <f aca="false">IF(AND(HU8=1,IE8&gt;0,Slot14_IsWG=1,EX8=1),MIN(IE8,MG8),0)</f>
        <v>0</v>
      </c>
      <c r="MI8" s="20" t="n">
        <f aca="false">EY8+MH8</f>
        <v>0</v>
      </c>
      <c r="MJ8" s="20" t="n">
        <f aca="false">IF(EX8=1,MAX(0,(Slot14_Cost-MI8*(1+Slot14_Rate)^(Slot14_Age-D8))/MF8),0)</f>
        <v>0</v>
      </c>
      <c r="MK8" s="20" t="n">
        <f aca="false">IF(EX8=1,MAX(0,(Slot14_Cost-EY8*(1+Slot14_Rate)^(Slot14_Age-D8))/MF8),0)</f>
        <v>0</v>
      </c>
      <c r="ML8" s="20" t="n">
        <f aca="false">IF(AND(HU8=1,EX8=1),MIN(ME8,MJ8),0)</f>
        <v>0</v>
      </c>
      <c r="MM8" s="20" t="n">
        <f aca="false">ME8-ML8</f>
        <v>0</v>
      </c>
      <c r="MN8" s="20" t="n">
        <f aca="false">IF(FH8=1,IF(ABS((1+AS_Wage)/(1+Slot15_Rate)-1)&lt;0.000000000001,(Slot15_Age-D8)*(1+Slot15_Rate)^(Slot15_Age-D8),(1+Slot15_Rate)^(Slot15_Age-D8)*(1-((1+AS_Wage)/(1+Slot15_Rate))^(Slot15_Age-D8))/(1-(1+AS_Wage)/(1+Slot15_Rate))),1)</f>
        <v>1</v>
      </c>
      <c r="MO8" s="20" t="n">
        <f aca="false">IF(AND(HU8=1,IE8&gt;0,Slot15_IsWG=1,FH8=1),MAX(0,(Slot15_Cost-FI8*(1+Slot15_Rate)^(Slot15_Age-D8))/MN8),0)</f>
        <v>0</v>
      </c>
      <c r="MP8" s="20" t="n">
        <f aca="false">IF(AND(HU8=1,IE8&gt;0,Slot15_IsWG=1,FH8=1),MIN(IE8,MO8),0)</f>
        <v>0</v>
      </c>
      <c r="MQ8" s="20" t="n">
        <f aca="false">FI8+MP8</f>
        <v>0</v>
      </c>
      <c r="MR8" s="20" t="n">
        <f aca="false">IF(FH8=1,MAX(0,(Slot15_Cost-MQ8*(1+Slot15_Rate)^(Slot15_Age-D8))/MN8),0)</f>
        <v>0</v>
      </c>
      <c r="MS8" s="20" t="n">
        <f aca="false">IF(FH8=1,MAX(0,(Slot15_Cost-FI8*(1+Slot15_Rate)^(Slot15_Age-D8))/MN8),0)</f>
        <v>0</v>
      </c>
      <c r="MT8" s="20" t="n">
        <f aca="false">IF(AND(HU8=1,FH8=1),MIN(MM8,MR8),0)</f>
        <v>0</v>
      </c>
      <c r="MU8" s="20" t="n">
        <f aca="false">MM8-MT8</f>
        <v>0</v>
      </c>
      <c r="MV8" s="20" t="n">
        <f aca="false">IF(FR8=1,IF(ABS((1+AS_Wage)/(1+Slot16_Rate)-1)&lt;0.000000000001,(Slot16_Age-D8)*(1+Slot16_Rate)^(Slot16_Age-D8),(1+Slot16_Rate)^(Slot16_Age-D8)*(1-((1+AS_Wage)/(1+Slot16_Rate))^(Slot16_Age-D8))/(1-(1+AS_Wage)/(1+Slot16_Rate))),1)</f>
        <v>1</v>
      </c>
      <c r="MW8" s="20" t="n">
        <f aca="false">IF(AND(HU8=1,IE8&gt;0,Slot16_IsWG=1,FR8=1),MAX(0,(Slot16_Cost-FS8*(1+Slot16_Rate)^(Slot16_Age-D8))/MV8),0)</f>
        <v>0</v>
      </c>
      <c r="MX8" s="20" t="n">
        <f aca="false">IF(AND(HU8=1,IE8&gt;0,Slot16_IsWG=1,FR8=1),MIN(IE8,MW8),0)</f>
        <v>0</v>
      </c>
      <c r="MY8" s="20" t="n">
        <f aca="false">FS8+MX8</f>
        <v>0</v>
      </c>
      <c r="MZ8" s="20" t="n">
        <f aca="false">IF(FR8=1,MAX(0,(Slot16_Cost-MY8*(1+Slot16_Rate)^(Slot16_Age-D8))/MV8),0)</f>
        <v>0</v>
      </c>
      <c r="NA8" s="20" t="n">
        <f aca="false">IF(FR8=1,MAX(0,(Slot16_Cost-FS8*(1+Slot16_Rate)^(Slot16_Age-D8))/MV8),0)</f>
        <v>0</v>
      </c>
      <c r="NB8" s="20" t="n">
        <f aca="false">IF(AND(HU8=1,FR8=1),MIN(MU8,MZ8),0)</f>
        <v>0</v>
      </c>
      <c r="NC8" s="20" t="n">
        <f aca="false">MU8-NB8</f>
        <v>0</v>
      </c>
      <c r="ND8" s="20" t="n">
        <f aca="false">IF(GB8=1,IF(ABS((1+AS_Wage)/(1+Slot17_Rate)-1)&lt;0.000000000001,(Slot17_Age-D8)*(1+Slot17_Rate)^(Slot17_Age-D8),(1+Slot17_Rate)^(Slot17_Age-D8)*(1-((1+AS_Wage)/(1+Slot17_Rate))^(Slot17_Age-D8))/(1-(1+AS_Wage)/(1+Slot17_Rate))),1)</f>
        <v>1</v>
      </c>
      <c r="NE8" s="20" t="n">
        <f aca="false">IF(AND(HU8=1,IE8&gt;0,Slot17_IsWG=1,GB8=1),MAX(0,(Slot17_Cost-GC8*(1+Slot17_Rate)^(Slot17_Age-D8))/ND8),0)</f>
        <v>0</v>
      </c>
      <c r="NF8" s="20" t="n">
        <f aca="false">IF(AND(HU8=1,IE8&gt;0,Slot17_IsWG=1,GB8=1),MIN(IE8,NE8),0)</f>
        <v>0</v>
      </c>
      <c r="NG8" s="20" t="n">
        <f aca="false">GC8+NF8</f>
        <v>0</v>
      </c>
      <c r="NH8" s="20" t="n">
        <f aca="false">IF(GB8=1,MAX(0,(Slot17_Cost-NG8*(1+Slot17_Rate)^(Slot17_Age-D8))/ND8),0)</f>
        <v>0</v>
      </c>
      <c r="NI8" s="20" t="n">
        <f aca="false">IF(GB8=1,MAX(0,(Slot17_Cost-GC8*(1+Slot17_Rate)^(Slot17_Age-D8))/ND8),0)</f>
        <v>0</v>
      </c>
      <c r="NJ8" s="20" t="n">
        <f aca="false">IF(AND(HU8=1,GB8=1),MIN(NC8,NH8),0)</f>
        <v>0</v>
      </c>
      <c r="NK8" s="20" t="n">
        <f aca="false">NC8-NJ8</f>
        <v>0</v>
      </c>
      <c r="NL8" s="20" t="n">
        <f aca="false">IF(GL8=1,IF(ABS((1+AS_Wage)/(1+Slot18_Rate)-1)&lt;0.000000000001,(Slot18_Age-D8)*(1+Slot18_Rate)^(Slot18_Age-D8),(1+Slot18_Rate)^(Slot18_Age-D8)*(1-((1+AS_Wage)/(1+Slot18_Rate))^(Slot18_Age-D8))/(1-(1+AS_Wage)/(1+Slot18_Rate))),1)</f>
        <v>1</v>
      </c>
      <c r="NM8" s="20" t="n">
        <f aca="false">IF(AND(HU8=1,IE8&gt;0,Slot18_IsWG=1,GL8=1),MAX(0,(Slot18_Cost-GM8*(1+Slot18_Rate)^(Slot18_Age-D8))/NL8),0)</f>
        <v>0</v>
      </c>
      <c r="NN8" s="20" t="n">
        <f aca="false">IF(AND(HU8=1,IE8&gt;0,Slot18_IsWG=1,GL8=1),MIN(IE8,NM8),0)</f>
        <v>0</v>
      </c>
      <c r="NO8" s="20" t="n">
        <f aca="false">GM8+NN8</f>
        <v>0</v>
      </c>
      <c r="NP8" s="20" t="n">
        <f aca="false">IF(GL8=1,MAX(0,(Slot18_Cost-NO8*(1+Slot18_Rate)^(Slot18_Age-D8))/NL8),0)</f>
        <v>0</v>
      </c>
      <c r="NQ8" s="20" t="n">
        <f aca="false">IF(GL8=1,MAX(0,(Slot18_Cost-GM8*(1+Slot18_Rate)^(Slot18_Age-D8))/NL8),0)</f>
        <v>0</v>
      </c>
      <c r="NR8" s="20" t="n">
        <f aca="false">IF(AND(HU8=1,GL8=1),MIN(NK8,NP8),0)</f>
        <v>0</v>
      </c>
      <c r="NS8" s="20" t="n">
        <f aca="false">NK8-NR8</f>
        <v>0</v>
      </c>
      <c r="NT8" s="20" t="n">
        <f aca="false">IF(GV8=1,IF(ABS((1+AS_Wage)/(1+Slot19_Rate)-1)&lt;0.000000000001,(Slot19_Age-D8)*(1+Slot19_Rate)^(Slot19_Age-D8),(1+Slot19_Rate)^(Slot19_Age-D8)*(1-((1+AS_Wage)/(1+Slot19_Rate))^(Slot19_Age-D8))/(1-(1+AS_Wage)/(1+Slot19_Rate))),1)</f>
        <v>1</v>
      </c>
      <c r="NU8" s="20" t="n">
        <f aca="false">IF(AND(HU8=1,IE8&gt;0,Slot19_IsWG=1,GV8=1),MAX(0,(Slot19_Cost-GW8*(1+Slot19_Rate)^(Slot19_Age-D8))/NT8),0)</f>
        <v>0</v>
      </c>
      <c r="NV8" s="20" t="n">
        <f aca="false">IF(AND(HU8=1,IE8&gt;0,Slot19_IsWG=1,GV8=1),MIN(IE8,NU8),0)</f>
        <v>0</v>
      </c>
      <c r="NW8" s="20" t="n">
        <f aca="false">GW8+NV8</f>
        <v>0</v>
      </c>
      <c r="NX8" s="20" t="n">
        <f aca="false">IF(GV8=1,MAX(0,(Slot19_Cost-NW8*(1+Slot19_Rate)^(Slot19_Age-D8))/NT8),0)</f>
        <v>0</v>
      </c>
      <c r="NY8" s="20" t="n">
        <f aca="false">IF(GV8=1,MAX(0,(Slot19_Cost-GW8*(1+Slot19_Rate)^(Slot19_Age-D8))/NT8),0)</f>
        <v>0</v>
      </c>
      <c r="NZ8" s="20" t="n">
        <f aca="false">IF(AND(HU8=1,GV8=1),MIN(NS8,NX8),0)</f>
        <v>0</v>
      </c>
      <c r="OA8" s="20" t="n">
        <f aca="false">NS8-NZ8</f>
        <v>0</v>
      </c>
      <c r="OB8" s="20" t="n">
        <f aca="false">IF(HF8=1,IF(ABS((1+AS_Wage)/(1+Slot20_Rate)-1)&lt;0.000000000001,(Slot20_Age-D8)*(1+Slot20_Rate)^(Slot20_Age-D8),(1+Slot20_Rate)^(Slot20_Age-D8)*(1-((1+AS_Wage)/(1+Slot20_Rate))^(Slot20_Age-D8))/(1-(1+AS_Wage)/(1+Slot20_Rate))),1)</f>
        <v>1</v>
      </c>
      <c r="OC8" s="20" t="n">
        <f aca="false">IF(AND(HU8=1,IE8&gt;0,Slot20_IsWG=1,HF8=1),MAX(0,(Slot20_Cost-HG8*(1+Slot20_Rate)^(Slot20_Age-D8))/OB8),0)</f>
        <v>0</v>
      </c>
      <c r="OD8" s="20" t="n">
        <f aca="false">IF(AND(HU8=1,IE8&gt;0,Slot20_IsWG=1,HF8=1),MIN(IE8,OC8),0)</f>
        <v>0</v>
      </c>
      <c r="OE8" s="20" t="n">
        <f aca="false">HG8+OD8</f>
        <v>0</v>
      </c>
      <c r="OF8" s="20" t="n">
        <f aca="false">IF(HF8=1,MAX(0,(Slot20_Cost-OE8*(1+Slot20_Rate)^(Slot20_Age-D8))/OB8),0)</f>
        <v>0</v>
      </c>
      <c r="OG8" s="20" t="n">
        <f aca="false">IF(HF8=1,MAX(0,(Slot20_Cost-HG8*(1+Slot20_Rate)^(Slot20_Age-D8))/OB8),0)</f>
        <v>0</v>
      </c>
      <c r="OH8" s="20" t="n">
        <f aca="false">IF(AND(HU8=1,HF8=1),MIN(OA8,OF8),0)</f>
        <v>0</v>
      </c>
      <c r="OI8" s="20" t="n">
        <f aca="false">OA8-OH8</f>
        <v>0</v>
      </c>
      <c r="OJ8" s="20" t="n">
        <f aca="false">IE8-(IH8+IP8+IX8+JF8+JN8+JV8+KD8+KL8+KT8+LB8+LJ8+LR8+LZ8+MH8+MP8+MX8+NF8+NN8+NV8+OD8)</f>
        <v>0</v>
      </c>
      <c r="OK8" s="20" t="n">
        <f aca="false">IF(HU8=1,HS8-ID8-IE8,0)</f>
        <v>747.980272224524</v>
      </c>
      <c r="OL8" s="20" t="n">
        <f aca="false">IF(HU8=0,-HS8,0)</f>
        <v>0</v>
      </c>
      <c r="OM8" s="20" t="n">
        <f aca="false">MIN(OL8,HK8)</f>
        <v>0</v>
      </c>
      <c r="ON8" s="20" t="n">
        <f aca="false">OL8-OM8</f>
        <v>0</v>
      </c>
      <c r="OO8" s="20" t="n">
        <f aca="false">MIN(ON8,HL8)</f>
        <v>0</v>
      </c>
      <c r="OP8" s="20" t="n">
        <f aca="false">ON8-OO8</f>
        <v>0</v>
      </c>
      <c r="OQ8" s="20" t="n">
        <f aca="false">IF(AND(HU8=0,HF8=1,OP8&gt;0),MIN(OP8,HG8),0)</f>
        <v>0</v>
      </c>
      <c r="OR8" s="20" t="n">
        <f aca="false">OP8-OQ8</f>
        <v>0</v>
      </c>
      <c r="OS8" s="20" t="n">
        <f aca="false">IF(AND(HU8=0,GV8=1,OR8&gt;0),MIN(OR8,GW8),0)</f>
        <v>0</v>
      </c>
      <c r="OT8" s="20" t="n">
        <f aca="false">OR8-OS8</f>
        <v>0</v>
      </c>
      <c r="OU8" s="20" t="n">
        <f aca="false">IF(AND(HU8=0,GL8=1,OT8&gt;0),MIN(OT8,GM8),0)</f>
        <v>0</v>
      </c>
      <c r="OV8" s="20" t="n">
        <f aca="false">OT8-OU8</f>
        <v>0</v>
      </c>
      <c r="OW8" s="20" t="n">
        <f aca="false">IF(AND(HU8=0,GB8=1,OV8&gt;0),MIN(OV8,GC8),0)</f>
        <v>0</v>
      </c>
      <c r="OX8" s="20" t="n">
        <f aca="false">OV8-OW8</f>
        <v>0</v>
      </c>
      <c r="OY8" s="20" t="n">
        <f aca="false">IF(AND(HU8=0,FR8=1,OX8&gt;0),MIN(OX8,FS8),0)</f>
        <v>0</v>
      </c>
      <c r="OZ8" s="20" t="n">
        <f aca="false">OX8-OY8</f>
        <v>0</v>
      </c>
      <c r="PA8" s="20" t="n">
        <f aca="false">IF(AND(HU8=0,FH8=1,OZ8&gt;0),MIN(OZ8,FI8),0)</f>
        <v>0</v>
      </c>
      <c r="PB8" s="20" t="n">
        <f aca="false">OZ8-PA8</f>
        <v>0</v>
      </c>
      <c r="PC8" s="20" t="n">
        <f aca="false">IF(AND(HU8=0,EX8=1,PB8&gt;0),MIN(PB8,EY8),0)</f>
        <v>0</v>
      </c>
      <c r="PD8" s="20" t="n">
        <f aca="false">PB8-PC8</f>
        <v>0</v>
      </c>
      <c r="PE8" s="20" t="n">
        <f aca="false">IF(AND(HU8=0,EN8=1,PD8&gt;0),MIN(PD8,EO8),0)</f>
        <v>0</v>
      </c>
      <c r="PF8" s="20" t="n">
        <f aca="false">PD8-PE8</f>
        <v>0</v>
      </c>
      <c r="PG8" s="20" t="n">
        <f aca="false">IF(AND(HU8=0,ED8=1,PF8&gt;0),MIN(PF8,EE8),0)</f>
        <v>0</v>
      </c>
      <c r="PH8" s="20" t="n">
        <f aca="false">PF8-PG8</f>
        <v>0</v>
      </c>
      <c r="PI8" s="20" t="n">
        <f aca="false">IF(AND(HU8=0,DT8=1,PH8&gt;0),MIN(PH8,DU8),0)</f>
        <v>0</v>
      </c>
      <c r="PJ8" s="20" t="n">
        <f aca="false">PH8-PI8</f>
        <v>0</v>
      </c>
      <c r="PK8" s="20" t="n">
        <f aca="false">IF(AND(HU8=0,DJ8=1,PJ8&gt;0),MIN(PJ8,DK8),0)</f>
        <v>0</v>
      </c>
      <c r="PL8" s="20" t="n">
        <f aca="false">PJ8-PK8</f>
        <v>0</v>
      </c>
      <c r="PM8" s="20" t="n">
        <f aca="false">IF(AND(HU8=0,CZ8=1,PL8&gt;0),MIN(PL8,DA8),0)</f>
        <v>0</v>
      </c>
      <c r="PN8" s="20" t="n">
        <f aca="false">PL8-PM8</f>
        <v>0</v>
      </c>
      <c r="PO8" s="20" t="n">
        <f aca="false">IF(AND(HU8=0,CP8=1,PN8&gt;0),MIN(PN8,CQ8),0)</f>
        <v>0</v>
      </c>
      <c r="PP8" s="20" t="n">
        <f aca="false">PN8-PO8</f>
        <v>0</v>
      </c>
      <c r="PQ8" s="20" t="n">
        <f aca="false">IF(AND(HU8=0,CF8=1,PP8&gt;0),MIN(PP8,CG8),0)</f>
        <v>0</v>
      </c>
      <c r="PR8" s="20" t="n">
        <f aca="false">PP8-PQ8</f>
        <v>0</v>
      </c>
      <c r="PS8" s="20" t="n">
        <f aca="false">IF(AND(HU8=0,BV8=1,PR8&gt;0),MIN(PR8,BW8),0)</f>
        <v>0</v>
      </c>
      <c r="PT8" s="20" t="n">
        <f aca="false">PR8-PS8</f>
        <v>0</v>
      </c>
      <c r="PU8" s="20" t="n">
        <f aca="false">IF(AND(HU8=0,BL8=1,PT8&gt;0),MIN(PT8,BM8),0)</f>
        <v>0</v>
      </c>
      <c r="PV8" s="20" t="n">
        <f aca="false">PT8-PU8</f>
        <v>0</v>
      </c>
      <c r="PW8" s="20" t="n">
        <f aca="false">IF(AND(HU8=0,BB8=1,PV8&gt;0),MIN(PV8,BC8),0)</f>
        <v>0</v>
      </c>
      <c r="PX8" s="20" t="n">
        <f aca="false">PV8-PW8</f>
        <v>0</v>
      </c>
      <c r="PY8" s="20" t="n">
        <f aca="false">IF(AND(HU8=0,AR8=1,PX8&gt;0),MIN(PX8,AS8),0)</f>
        <v>0</v>
      </c>
      <c r="PZ8" s="20" t="n">
        <f aca="false">PX8-PY8</f>
        <v>0</v>
      </c>
      <c r="QA8" s="20" t="n">
        <f aca="false">IF(AND(HU8=0,AH8=1,PZ8&gt;0),MIN(PZ8,AI8),0)</f>
        <v>0</v>
      </c>
      <c r="QB8" s="20" t="n">
        <f aca="false">PZ8-QA8</f>
        <v>0</v>
      </c>
      <c r="QC8" s="20" t="n">
        <f aca="false">IF(AND(HU8=0,W8=1,QB8&gt;0),MIN(QB8,X8),0)</f>
        <v>0</v>
      </c>
      <c r="QD8" s="20" t="n">
        <f aca="false">QB8-QC8</f>
        <v>0</v>
      </c>
      <c r="QE8" s="20" t="n">
        <f aca="false">IF(HU8=0,QD8,0)</f>
        <v>0</v>
      </c>
      <c r="QF8" s="20" t="n">
        <f aca="false">OM8+OO8+QC8+QA8+PY8+PW8+PU8+PS8+PQ8+PO8+PM8+PK8+PI8+PG8+PE8+PC8+PA8+OY8+OW8+OU8+OS8+OQ8</f>
        <v>0</v>
      </c>
      <c r="QG8" s="20" t="n">
        <f aca="false">IF(HU8=1,HK8+OJ8+OI8+IF(G8=1,0,OK8),HK8-OM8)</f>
        <v>0</v>
      </c>
      <c r="QH8" s="20" t="n">
        <f aca="false">HL8-OO8</f>
        <v>0</v>
      </c>
      <c r="QI8" s="20" t="n">
        <f aca="false">IF(HU8=1,IF(G8=1,ID8+IE8,HS8),0)</f>
        <v>747.980272224524</v>
      </c>
      <c r="QJ8" s="20" t="n">
        <f aca="false">IF(HU8=1,IF(G8=1,HS8-ID8-IE8,0),0)</f>
        <v>747.980272224524</v>
      </c>
      <c r="QK8" s="20" t="n">
        <f aca="false">QG8*(1+GR)</f>
        <v>0</v>
      </c>
      <c r="QL8" s="20" t="n">
        <f aca="false">QH8*(1+AS_Cash)</f>
        <v>0</v>
      </c>
      <c r="QM8" s="20" t="n">
        <f aca="false">IF(W8=1,IF(HU8=1,II8+IL8,X8-QC8)*(1+Slot1_Rate),0)</f>
        <v>15401.2549019608</v>
      </c>
      <c r="QN8" s="20" t="n">
        <f aca="false">IF(AND(HU8=1,W8=1),(IH8+IL8)/F8,0)</f>
        <v>48.7672296641426</v>
      </c>
      <c r="QO8" s="20" t="n">
        <f aca="false">IF(B8=0,IH8+IL8,0)</f>
        <v>48.7672296641426</v>
      </c>
      <c r="QP8" s="20" t="n">
        <f aca="false">IF(B8=0,IF(HU8=1,IJ8,IK8),0)</f>
        <v>48.7672296641426</v>
      </c>
      <c r="QQ8" s="20" t="n">
        <f aca="false">IF(AH8=1,IF(HU8=1,IQ8+IT8,AI8-QA8)*(1+Slot2_Rate),0)</f>
        <v>706.205172985985</v>
      </c>
      <c r="QR8" s="20" t="n">
        <f aca="false">IF(AND(HU8=1,AH8=1),(IP8+IT8)/F8,0)</f>
        <v>699.213042560381</v>
      </c>
      <c r="QS8" s="20" t="n">
        <f aca="false">IF(B8=0,IP8+IT8,0)</f>
        <v>699.213042560381</v>
      </c>
      <c r="QT8" s="20" t="n">
        <f aca="false">IF(B8=0,IF(HU8=1,IR8,IS8),0)</f>
        <v>4039.47453983537</v>
      </c>
      <c r="QU8" s="20" t="n">
        <f aca="false">IF(AR8=1,IF(HU8=1,IY8+JB8,AS8-PY8)*(1+Slot3_Rate),0)</f>
        <v>0</v>
      </c>
      <c r="QV8" s="20" t="n">
        <f aca="false">IF(AND(HU8=1,AR8=1),(IX8+JB8)/F8,0)</f>
        <v>0</v>
      </c>
      <c r="QW8" s="20" t="n">
        <f aca="false">IF(B8=0,IX8+JB8,0)</f>
        <v>0</v>
      </c>
      <c r="QX8" s="20" t="n">
        <f aca="false">IF(B8=0,IF(HU8=1,IZ8,JA8),0)</f>
        <v>4633.04590752452</v>
      </c>
      <c r="QY8" s="20" t="n">
        <f aca="false">IF(BB8=1,IF(HU8=1,JG8+JJ8,BC8-PW8)*(1+Slot4_Rate),0)</f>
        <v>0</v>
      </c>
      <c r="QZ8" s="20" t="n">
        <f aca="false">IF(AND(HU8=1,BB8=1),(JF8+JJ8)/F8,0)</f>
        <v>0</v>
      </c>
      <c r="RA8" s="20" t="n">
        <f aca="false">IF(B8=0,JF8+JJ8,0)</f>
        <v>0</v>
      </c>
      <c r="RB8" s="20" t="n">
        <f aca="false">IF(B8=0,IF(HU8=1,JH8,JI8),0)</f>
        <v>1474.7692869697</v>
      </c>
      <c r="RC8" s="20" t="n">
        <f aca="false">IF(BL8=1,IF(HU8=1,JO8+JR8,BM8-PU8)*(1+Slot5_Rate),0)</f>
        <v>0</v>
      </c>
      <c r="RD8" s="20" t="n">
        <f aca="false">IF(AND(HU8=1,BL8=1),(JN8+JR8)/F8,0)</f>
        <v>0</v>
      </c>
      <c r="RE8" s="20" t="n">
        <f aca="false">IF(B8=0,JN8+JR8,0)</f>
        <v>0</v>
      </c>
      <c r="RF8" s="20" t="n">
        <f aca="false">IF(B8=0,IF(HU8=1,JP8,JQ8),0)</f>
        <v>0</v>
      </c>
      <c r="RG8" s="20" t="n">
        <f aca="false">IF(BV8=1,IF(HU8=1,JW8+JZ8,BW8-PS8)*(1+Slot6_Rate),0)</f>
        <v>0</v>
      </c>
      <c r="RH8" s="20" t="n">
        <f aca="false">IF(AND(HU8=1,BV8=1),(JV8+JZ8)/F8,0)</f>
        <v>0</v>
      </c>
      <c r="RI8" s="20" t="n">
        <f aca="false">IF(B8=0,JV8+JZ8,0)</f>
        <v>0</v>
      </c>
      <c r="RJ8" s="20" t="n">
        <f aca="false">IF(B8=0,IF(HU8=1,JX8,JY8),0)</f>
        <v>0</v>
      </c>
      <c r="RK8" s="20" t="n">
        <f aca="false">IF(CF8=1,IF(HU8=1,KE8+KH8,CG8-PQ8)*(1+Slot7_Rate),0)</f>
        <v>0</v>
      </c>
      <c r="RL8" s="20" t="n">
        <f aca="false">IF(AND(HU8=1,CF8=1),(KD8+KH8)/F8,0)</f>
        <v>0</v>
      </c>
      <c r="RM8" s="20" t="n">
        <f aca="false">IF(B8=0,KD8+KH8,0)</f>
        <v>0</v>
      </c>
      <c r="RN8" s="20" t="n">
        <f aca="false">IF(B8=0,IF(HU8=1,KF8,KG8),0)</f>
        <v>0</v>
      </c>
      <c r="RO8" s="20" t="n">
        <f aca="false">IF(CP8=1,IF(HU8=1,KM8+KP8,CQ8-PO8)*(1+Slot8_Rate),0)</f>
        <v>0</v>
      </c>
      <c r="RP8" s="20" t="n">
        <f aca="false">IF(AND(HU8=1,CP8=1),(KL8+KP8)/F8,0)</f>
        <v>0</v>
      </c>
      <c r="RQ8" s="20" t="n">
        <f aca="false">IF(B8=0,KL8+KP8,0)</f>
        <v>0</v>
      </c>
      <c r="RR8" s="20" t="n">
        <f aca="false">IF(B8=0,IF(HU8=1,KN8,KO8),0)</f>
        <v>0</v>
      </c>
      <c r="RS8" s="20" t="n">
        <f aca="false">IF(CZ8=1,IF(HU8=1,KU8+KX8,DA8-PM8)*(1+Slot9_Rate),0)</f>
        <v>0</v>
      </c>
      <c r="RT8" s="20" t="n">
        <f aca="false">IF(AND(HU8=1,CZ8=1),(KT8+KX8)/F8,0)</f>
        <v>0</v>
      </c>
      <c r="RU8" s="20" t="n">
        <f aca="false">IF(B8=0,KT8+KX8,0)</f>
        <v>0</v>
      </c>
      <c r="RV8" s="20" t="n">
        <f aca="false">IF(B8=0,IF(HU8=1,KV8,KW8),0)</f>
        <v>0</v>
      </c>
      <c r="RW8" s="20" t="n">
        <f aca="false">IF(DJ8=1,IF(HU8=1,LC8+LF8,DK8-PK8)*(1+Slot10_Rate),0)</f>
        <v>0</v>
      </c>
      <c r="RX8" s="20" t="n">
        <f aca="false">IF(AND(HU8=1,DJ8=1),(LB8+LF8)/F8,0)</f>
        <v>0</v>
      </c>
      <c r="RY8" s="20" t="n">
        <f aca="false">IF(B8=0,LB8+LF8,0)</f>
        <v>0</v>
      </c>
      <c r="RZ8" s="20" t="n">
        <f aca="false">IF(B8=0,IF(HU8=1,LD8,LE8),0)</f>
        <v>0</v>
      </c>
      <c r="SA8" s="20" t="n">
        <f aca="false">IF(DT8=1,IF(HU8=1,LK8+LN8,DU8-PI8)*(1+Slot11_Rate),0)</f>
        <v>0</v>
      </c>
      <c r="SB8" s="20" t="n">
        <f aca="false">IF(AND(HU8=1,DT8=1),(LJ8+LN8)/F8,0)</f>
        <v>0</v>
      </c>
      <c r="SC8" s="20" t="n">
        <f aca="false">IF(B8=0,LJ8+LN8,0)</f>
        <v>0</v>
      </c>
      <c r="SD8" s="20" t="n">
        <f aca="false">IF(B8=0,IF(HU8=1,LL8,LM8),0)</f>
        <v>0</v>
      </c>
      <c r="SE8" s="20" t="n">
        <f aca="false">IF(ED8=1,IF(HU8=1,LS8+LV8,EE8-PG8)*(1+Slot12_Rate),0)</f>
        <v>0</v>
      </c>
      <c r="SF8" s="20" t="n">
        <f aca="false">IF(AND(HU8=1,ED8=1),(LR8+LV8)/F8,0)</f>
        <v>0</v>
      </c>
      <c r="SG8" s="20" t="n">
        <f aca="false">IF(B8=0,LR8+LV8,0)</f>
        <v>0</v>
      </c>
      <c r="SH8" s="20" t="n">
        <f aca="false">IF(B8=0,IF(HU8=1,LT8,LU8),0)</f>
        <v>0</v>
      </c>
      <c r="SI8" s="20" t="n">
        <f aca="false">IF(EN8=1,IF(HU8=1,MA8+MD8,EO8-PE8)*(1+Slot13_Rate),0)</f>
        <v>0</v>
      </c>
      <c r="SJ8" s="20" t="n">
        <f aca="false">IF(AND(HU8=1,EN8=1),(LZ8+MD8)/F8,0)</f>
        <v>0</v>
      </c>
      <c r="SK8" s="20" t="n">
        <f aca="false">IF(B8=0,LZ8+MD8,0)</f>
        <v>0</v>
      </c>
      <c r="SL8" s="20" t="n">
        <f aca="false">IF(B8=0,IF(HU8=1,MB8,MC8),0)</f>
        <v>0</v>
      </c>
      <c r="SM8" s="20" t="n">
        <f aca="false">IF(EX8=1,IF(HU8=1,MI8+ML8,EY8-PC8)*(1+Slot14_Rate),0)</f>
        <v>0</v>
      </c>
      <c r="SN8" s="20" t="n">
        <f aca="false">IF(AND(HU8=1,EX8=1),(MH8+ML8)/F8,0)</f>
        <v>0</v>
      </c>
      <c r="SO8" s="20" t="n">
        <f aca="false">IF(B8=0,MH8+ML8,0)</f>
        <v>0</v>
      </c>
      <c r="SP8" s="20" t="n">
        <f aca="false">IF(B8=0,IF(HU8=1,MJ8,MK8),0)</f>
        <v>0</v>
      </c>
      <c r="SQ8" s="20" t="n">
        <f aca="false">IF(FH8=1,IF(HU8=1,MQ8+MT8,FI8-PA8)*(1+Slot15_Rate),0)</f>
        <v>0</v>
      </c>
      <c r="SR8" s="20" t="n">
        <f aca="false">IF(AND(HU8=1,FH8=1),(MP8+MT8)/F8,0)</f>
        <v>0</v>
      </c>
      <c r="SS8" s="20" t="n">
        <f aca="false">IF(B8=0,MP8+MT8,0)</f>
        <v>0</v>
      </c>
      <c r="ST8" s="20" t="n">
        <f aca="false">IF(B8=0,IF(HU8=1,MR8,MS8),0)</f>
        <v>0</v>
      </c>
      <c r="SU8" s="20" t="n">
        <f aca="false">IF(FR8=1,IF(HU8=1,MY8+NB8,FS8-OY8)*(1+Slot16_Rate),0)</f>
        <v>0</v>
      </c>
      <c r="SV8" s="20" t="n">
        <f aca="false">IF(AND(HU8=1,FR8=1),(MX8+NB8)/F8,0)</f>
        <v>0</v>
      </c>
      <c r="SW8" s="20" t="n">
        <f aca="false">IF(B8=0,MX8+NB8,0)</f>
        <v>0</v>
      </c>
      <c r="SX8" s="20" t="n">
        <f aca="false">IF(B8=0,IF(HU8=1,MZ8,NA8),0)</f>
        <v>0</v>
      </c>
      <c r="SY8" s="20" t="n">
        <f aca="false">IF(GB8=1,IF(HU8=1,NG8+NJ8,GC8-OW8)*(1+Slot17_Rate),0)</f>
        <v>0</v>
      </c>
      <c r="SZ8" s="20" t="n">
        <f aca="false">IF(AND(HU8=1,GB8=1),(NF8+NJ8)/F8,0)</f>
        <v>0</v>
      </c>
      <c r="TA8" s="20" t="n">
        <f aca="false">IF(B8=0,NF8+NJ8,0)</f>
        <v>0</v>
      </c>
      <c r="TB8" s="20" t="n">
        <f aca="false">IF(B8=0,IF(HU8=1,NH8,NI8),0)</f>
        <v>0</v>
      </c>
      <c r="TC8" s="20" t="n">
        <f aca="false">IF(GL8=1,IF(HU8=1,NO8+NR8,GM8-OU8)*(1+Slot18_Rate),0)</f>
        <v>0</v>
      </c>
      <c r="TD8" s="20" t="n">
        <f aca="false">IF(AND(HU8=1,GL8=1),(NN8+NR8)/F8,0)</f>
        <v>0</v>
      </c>
      <c r="TE8" s="20" t="n">
        <f aca="false">IF(B8=0,NN8+NR8,0)</f>
        <v>0</v>
      </c>
      <c r="TF8" s="20" t="n">
        <f aca="false">IF(B8=0,IF(HU8=1,NP8,NQ8),0)</f>
        <v>0</v>
      </c>
      <c r="TG8" s="20" t="n">
        <f aca="false">IF(GV8=1,IF(HU8=1,NW8+NZ8,GW8-OS8)*(1+Slot19_Rate),0)</f>
        <v>0</v>
      </c>
      <c r="TH8" s="20" t="n">
        <f aca="false">IF(AND(HU8=1,GV8=1),(NV8+NZ8)/F8,0)</f>
        <v>0</v>
      </c>
      <c r="TI8" s="20" t="n">
        <f aca="false">IF(B8=0,NV8+NZ8,0)</f>
        <v>0</v>
      </c>
      <c r="TJ8" s="20" t="n">
        <f aca="false">IF(B8=0,IF(HU8=1,NX8,NY8),0)</f>
        <v>0</v>
      </c>
      <c r="TK8" s="20" t="n">
        <f aca="false">IF(HF8=1,IF(HU8=1,OE8+OH8,HG8-OQ8)*(1+Slot20_Rate),0)</f>
        <v>0</v>
      </c>
      <c r="TL8" s="20" t="n">
        <f aca="false">IF(AND(HU8=1,HF8=1),(OD8+OH8)/F8,0)</f>
        <v>0</v>
      </c>
      <c r="TM8" s="20" t="n">
        <f aca="false">IF(B8=0,OD8+OH8,0)</f>
        <v>0</v>
      </c>
      <c r="TN8" s="20" t="n">
        <f aca="false">IF(B8=0,IF(HU8=1,OF8,OG8),0)</f>
        <v>0</v>
      </c>
      <c r="TO8" s="20" t="n">
        <f aca="false">QK8+QL8+QM8+QQ8+QU8+QY8+RC8+RG8+RK8+RO8+RS8+RW8+SA8+SE8+SI8+SM8+SQ8+SU8+SY8+TC8+TG8+TK8</f>
        <v>16107.4600749468</v>
      </c>
      <c r="TP8" s="20" t="n">
        <f aca="false">QE8+HP8</f>
        <v>0</v>
      </c>
      <c r="TQ8" s="20" t="n">
        <f aca="false">I8+S8</f>
        <v>60797.4861222176</v>
      </c>
      <c r="TR8" s="20" t="n">
        <f aca="false">1-G8</f>
        <v>0</v>
      </c>
      <c r="TS8" s="20" t="n">
        <f aca="false">IF(AND(RG_Exists=1,G8=0,C8=1),I8,0)</f>
        <v>0</v>
      </c>
      <c r="TT8" s="20" t="n">
        <f aca="false">IF(AND(RG_Exists=1,G8=0,C8=1),I8-MIN(QE8,I8),0)</f>
        <v>0</v>
      </c>
      <c r="TU8" s="20" t="n">
        <f aca="false">'Plan pay &amp; tax'!AD234</f>
        <v>81480</v>
      </c>
      <c r="TV8" s="20" t="n">
        <f aca="false">IF(AND(C8=1,QE8&gt;MAX(PR_Short1,TQ8*PR_Short2)),1,0)</f>
        <v>0</v>
      </c>
      <c r="TW8" s="20" t="n">
        <f aca="false">MIN(H8,I8+S8)</f>
        <v>60797.4861222176</v>
      </c>
      <c r="TX8" s="20" t="n">
        <f aca="false">QF8+MAX(0,HQ8-HP8)</f>
        <v>0</v>
      </c>
      <c r="TY8" s="20" t="n">
        <f aca="false">QE8+HP8</f>
        <v>0</v>
      </c>
      <c r="TZ8" s="20" t="n">
        <f aca="false">IF(AND(C8=1,TY8&gt;PR_MinShort),1,0)</f>
        <v>0</v>
      </c>
      <c r="UA8" s="20" t="n">
        <f aca="false">IF(AND(C8=1,TZ8=0,TX8&gt;PR_MinShort),1,0)</f>
        <v>0</v>
      </c>
      <c r="UB8" s="20" t="n">
        <f aca="false">IF(AND(C8=1,QE8&gt;PR_MinShort),1,0)</f>
        <v>0</v>
      </c>
      <c r="UC8" s="20" t="n">
        <f aca="false">IF(AND(C8=1,QF8&gt;1,UJ8=0),1,0)</f>
        <v>0</v>
      </c>
      <c r="UD8" s="20" t="str">
        <f aca="false">IF(C8=0,"",IF(UJ8=1,"Gap to plan for: short "&amp;"€"&amp;TEXT(ROUND(TP8,0),"#,##0"),IF(QF8&gt;1,"Using savings","Comfortable")))</f>
        <v>Comfortable</v>
      </c>
      <c r="UE8" s="20" t="n">
        <f aca="false">IF(AND(INT(D8/10)*10=90,B8&gt;0),80,INT(D8/10)*10)</f>
        <v>30</v>
      </c>
      <c r="UF8" s="20" t="n">
        <f aca="false">IF(B8=0,1,IF(UE8&lt;&gt;UE7,UF7+1,UF7))</f>
        <v>1</v>
      </c>
      <c r="UG8" s="20" t="n">
        <f aca="false">IF(AND(C8=1,G8=1,QE8&gt;MAX(PR_Short1,TQ8*PR_Short2)),1,0)</f>
        <v>0</v>
      </c>
      <c r="UH8" s="20" t="n">
        <f aca="false">TR8*TV8</f>
        <v>0</v>
      </c>
      <c r="UI8" s="20" t="n">
        <f aca="false">IF(AND(V8=1,Slot1_PctLow=1),1,0)+IF(AND(AG8=1,Slot2_PctLow=1),1,0)+IF(AND(AQ8=1,Slot3_PctLow=1),1,0)+IF(AND(BA8=1,Slot4_PctLow=1),1,0)+IF(AND(BK8=1,Slot5_PctLow=1),1,0)+IF(AND(BU8=1,Slot6_PctLow=1),1,0)+IF(AND(CE8=1,Slot7_PctLow=1),1,0)+IF(AND(CO8=1,Slot8_PctLow=1),1,0)+IF(AND(CY8=1,Slot9_PctLow=1),1,0)+IF(AND(DI8=1,Slot10_PctLow=1),1,0)+IF(AND(DS8=1,Slot11_PctLow=1),1,0)+IF(AND(EC8=1,Slot12_PctLow=1),1,0)+IF(AND(EM8=1,Slot13_PctLow=1),1,0)+IF(AND(EW8=1,Slot14_PctLow=1),1,0)+IF(AND(FG8=1,Slot15_PctLow=1),1,0)+IF(AND(FQ8=1,Slot16_PctLow=1),1,0)+IF(AND(GA8=1,Slot17_PctLow=1),1,0)+IF(AND(GK8=1,Slot18_PctLow=1),1,0)+IF(AND(GU8=1,Slot19_PctLow=1),1,0)+IF(AND(HE8=1,Slot20_PctLow=1),1,0)</f>
        <v>0</v>
      </c>
      <c r="UJ8" s="20" t="n">
        <f aca="false">IF(C8=1,IF(OR(TV8=1,UI8&gt;0),1,0),0)</f>
        <v>0</v>
      </c>
    </row>
    <row r="9" customFormat="false" ht="15" hidden="false" customHeight="true" outlineLevel="0" collapsed="false">
      <c r="B9" s="20" t="n">
        <v>1</v>
      </c>
      <c r="C9" s="20" t="n">
        <f aca="false">IF(B9&lt;=F_N,1,0)</f>
        <v>1</v>
      </c>
      <c r="D9" s="20" t="n">
        <f aca="false">'Plan pay &amp; tax'!C235</f>
        <v>39</v>
      </c>
      <c r="E9" s="20" t="str">
        <f aca="false">IF($C9=1,"Income tax "&amp;TEXT(N('Plan pay &amp; tax'!BK235),"#,##0")&amp;"; USC "&amp;TEXT(N('Plan pay &amp; tax'!BM235)+N('Plan pay &amp; tax'!BO235),"#,##0")&amp;"; PRSI "&amp;TEXT(N('Plan pay &amp; tax'!BP235)+N('Plan pay &amp; tax'!BQ235),"#,##0")&amp;". DIRT and exit tax are inside the growth rates here.","")</f>
        <v>Income tax 9,810; USC 1,554; PRSI 3,676. DIRT and exit tax are inside the growth rates here.</v>
      </c>
      <c r="F9" s="44" t="n">
        <f aca="false">'Plan pay &amp; tax'!E235</f>
        <v>1.02</v>
      </c>
      <c r="G9" s="20" t="n">
        <f aca="false">'Plan pay &amp; tax'!G235</f>
        <v>1</v>
      </c>
      <c r="H9" s="20" t="n">
        <f aca="false">'Plan pay &amp; tax'!BT235-'Plan pay &amp; tax'!BS235-'Plan pay &amp; tax'!R235</f>
        <v>63845.5472</v>
      </c>
      <c r="I9" s="20" t="n">
        <f aca="false">IF(G9=1,F_CostsM*12,IF(RG_Exists=1,RG_Amount,F_CostsM*12*AS_RetireSpend))*F9+F_OneOffY*F9</f>
        <v>45900</v>
      </c>
      <c r="J9" s="20" t="n">
        <f aca="false">HR8</f>
        <v>197269.770715164</v>
      </c>
      <c r="K9" s="20" t="n">
        <f aca="false">IF(J9&gt;1,'Plan debt months'!AC9,0)</f>
        <v>14160</v>
      </c>
      <c r="L9" s="20" t="n">
        <f aca="false">IF(J9&gt;1,'Plan debt months'!AB9,J9)</f>
        <v>190587.562075478</v>
      </c>
      <c r="M9" s="20" t="n">
        <f aca="false">O8</f>
        <v>0</v>
      </c>
      <c r="N9" s="20" t="n">
        <f aca="false">IF(M9&gt;1,'Plan debt months'!BD9,0)</f>
        <v>0</v>
      </c>
      <c r="O9" s="20" t="n">
        <f aca="false">IF(M9&gt;1,'Plan debt months'!BC9,M9)</f>
        <v>0</v>
      </c>
      <c r="P9" s="20" t="n">
        <f aca="false">R8</f>
        <v>2536.61135194847</v>
      </c>
      <c r="Q9" s="20" t="n">
        <f aca="false">IF(P9&gt;1,'Plan debt months'!CE9,0)</f>
        <v>1200</v>
      </c>
      <c r="R9" s="20" t="n">
        <f aca="false">IF(P9&gt;1,'Plan debt months'!CD9,P9)</f>
        <v>1496.15161205283</v>
      </c>
      <c r="S9" s="20" t="n">
        <f aca="false">K9+N9+Q9</f>
        <v>15360</v>
      </c>
      <c r="T9" s="20" t="n">
        <f aca="false">QK8+'Plan pay &amp; tax'!Y235</f>
        <v>0</v>
      </c>
      <c r="U9" s="20" t="n">
        <f aca="false">QK8</f>
        <v>0</v>
      </c>
      <c r="V9" s="20" t="n">
        <f aca="false">IF(AND(Slot1_On=1,D9=Slot1_Age),1,0)</f>
        <v>0</v>
      </c>
      <c r="W9" s="20" t="n">
        <f aca="false">IF(AND(Slot1_On=1,Slot1_Age&gt;D9),1,0)</f>
        <v>1</v>
      </c>
      <c r="X9" s="20" t="n">
        <f aca="false">QM8</f>
        <v>15401.2549019608</v>
      </c>
      <c r="Y9" s="20" t="n">
        <f aca="false">V9*MIN(Slot1_Cost,X9)</f>
        <v>0</v>
      </c>
      <c r="Z9" s="20" t="n">
        <f aca="false">V9*Slot1_SpendLike*MIN(Slot1_Cost-Y9,T9)</f>
        <v>0</v>
      </c>
      <c r="AA9" s="20" t="n">
        <f aca="false">Y9+Z9</f>
        <v>0</v>
      </c>
      <c r="AB9" s="20" t="n">
        <f aca="false">T9-Z9+V9*IF(Slot1_SpendLike=1,X9-Y9,IF(Slot1_PotFree=1,X9,0))</f>
        <v>0</v>
      </c>
      <c r="AC9" s="20" t="n">
        <f aca="false">AF9+V9*Slot1_BufPot*X9</f>
        <v>0</v>
      </c>
      <c r="AD9" s="20" t="n">
        <f aca="false">IF(AND(V9=1,Slot1_IsMfree=1),IF(AA9&gt;=Slot1_Cost-1,0,MAX(0,L9-AA9)),L9)</f>
        <v>190587.562075478</v>
      </c>
      <c r="AE9" s="20" t="n">
        <f aca="false">V9*(Slot1_Cost-AA9)</f>
        <v>0</v>
      </c>
      <c r="AF9" s="20" t="n">
        <f aca="false">QL8</f>
        <v>0</v>
      </c>
      <c r="AG9" s="20" t="n">
        <f aca="false">IF(AND(Slot2_On=1,D9=Slot2_Age),1,0)</f>
        <v>0</v>
      </c>
      <c r="AH9" s="20" t="n">
        <f aca="false">IF(AND(Slot2_On=1,Slot2_Age&gt;D9),1,0)</f>
        <v>1</v>
      </c>
      <c r="AI9" s="20" t="n">
        <f aca="false">QQ8</f>
        <v>706.205172985985</v>
      </c>
      <c r="AJ9" s="20" t="n">
        <f aca="false">AG9*MIN(Slot2_Cost,AI9)</f>
        <v>0</v>
      </c>
      <c r="AK9" s="20" t="n">
        <f aca="false">AG9*Slot2_SpendLike*MIN(Slot2_Cost-AJ9,AB9)</f>
        <v>0</v>
      </c>
      <c r="AL9" s="20" t="n">
        <f aca="false">AJ9+AK9</f>
        <v>0</v>
      </c>
      <c r="AM9" s="20" t="n">
        <f aca="false">AB9-AK9+AG9*IF(Slot2_SpendLike=1,AI9-AJ9,IF(Slot2_PotFree=1,AI9,0))</f>
        <v>0</v>
      </c>
      <c r="AN9" s="20" t="n">
        <f aca="false">AC9+AG9*Slot2_BufPot*AI9</f>
        <v>0</v>
      </c>
      <c r="AO9" s="20" t="n">
        <f aca="false">IF(AND(AG9=1,Slot2_IsMfree=1),IF(AL9&gt;=Slot2_Cost-1,0,MAX(0,AD9-AL9)),AD9)</f>
        <v>190587.562075478</v>
      </c>
      <c r="AP9" s="20" t="n">
        <f aca="false">AG9*(Slot2_Cost-AL9)</f>
        <v>0</v>
      </c>
      <c r="AQ9" s="20" t="n">
        <f aca="false">IF(AND(Slot3_On=1,D9=Slot3_Age),1,0)</f>
        <v>0</v>
      </c>
      <c r="AR9" s="20" t="n">
        <f aca="false">IF(AND(Slot3_On=1,Slot3_Age&gt;D9),1,0)</f>
        <v>1</v>
      </c>
      <c r="AS9" s="20" t="n">
        <f aca="false">QU8</f>
        <v>0</v>
      </c>
      <c r="AT9" s="20" t="n">
        <f aca="false">AQ9*MIN(Slot3_Cost,AS9)</f>
        <v>0</v>
      </c>
      <c r="AU9" s="20" t="n">
        <f aca="false">AQ9*Slot3_SpendLike*MIN(Slot3_Cost-AT9,AM9)</f>
        <v>0</v>
      </c>
      <c r="AV9" s="20" t="n">
        <f aca="false">AT9+AU9</f>
        <v>0</v>
      </c>
      <c r="AW9" s="20" t="n">
        <f aca="false">AM9-AU9+AQ9*IF(Slot3_SpendLike=1,AS9-AT9,IF(Slot3_PotFree=1,AS9,0))</f>
        <v>0</v>
      </c>
      <c r="AX9" s="20" t="n">
        <f aca="false">AN9+AQ9*Slot3_BufPot*AS9</f>
        <v>0</v>
      </c>
      <c r="AY9" s="20" t="n">
        <f aca="false">IF(AND(AQ9=1,Slot3_IsMfree=1),IF(AV9&gt;=Slot3_Cost-1,0,MAX(0,AO9-AV9)),AO9)</f>
        <v>190587.562075478</v>
      </c>
      <c r="AZ9" s="20" t="n">
        <f aca="false">AQ9*(Slot3_Cost-AV9)</f>
        <v>0</v>
      </c>
      <c r="BA9" s="20" t="n">
        <f aca="false">IF(AND(Slot4_On=1,D9=Slot4_Age),1,0)</f>
        <v>0</v>
      </c>
      <c r="BB9" s="20" t="n">
        <f aca="false">IF(AND(Slot4_On=1,Slot4_Age&gt;D9),1,0)</f>
        <v>1</v>
      </c>
      <c r="BC9" s="20" t="n">
        <f aca="false">QY8</f>
        <v>0</v>
      </c>
      <c r="BD9" s="20" t="n">
        <f aca="false">BA9*MIN(Slot4_Cost,BC9)</f>
        <v>0</v>
      </c>
      <c r="BE9" s="20" t="n">
        <f aca="false">BA9*Slot4_SpendLike*MIN(Slot4_Cost-BD9,AW9)</f>
        <v>0</v>
      </c>
      <c r="BF9" s="20" t="n">
        <f aca="false">BD9+BE9</f>
        <v>0</v>
      </c>
      <c r="BG9" s="20" t="n">
        <f aca="false">AW9-BE9+BA9*IF(Slot4_SpendLike=1,BC9-BD9,IF(Slot4_PotFree=1,BC9,0))</f>
        <v>0</v>
      </c>
      <c r="BH9" s="20" t="n">
        <f aca="false">AX9+BA9*Slot4_BufPot*BC9</f>
        <v>0</v>
      </c>
      <c r="BI9" s="20" t="n">
        <f aca="false">IF(AND(BA9=1,Slot4_IsMfree=1),IF(BF9&gt;=Slot4_Cost-1,0,MAX(0,AY9-BF9)),AY9)</f>
        <v>190587.562075478</v>
      </c>
      <c r="BJ9" s="20" t="n">
        <f aca="false">BA9*(Slot4_Cost-BF9)</f>
        <v>0</v>
      </c>
      <c r="BK9" s="20" t="n">
        <f aca="false">IF(AND(Slot5_On=1,D9=Slot5_Age),1,0)</f>
        <v>0</v>
      </c>
      <c r="BL9" s="20" t="n">
        <f aca="false">IF(AND(Slot5_On=1,Slot5_Age&gt;D9),1,0)</f>
        <v>0</v>
      </c>
      <c r="BM9" s="20" t="n">
        <f aca="false">RC8</f>
        <v>0</v>
      </c>
      <c r="BN9" s="20" t="n">
        <f aca="false">BK9*MIN(Slot5_Cost,BM9)</f>
        <v>0</v>
      </c>
      <c r="BO9" s="20" t="n">
        <f aca="false">BK9*Slot5_SpendLike*MIN(Slot5_Cost-BN9,BG9)</f>
        <v>0</v>
      </c>
      <c r="BP9" s="20" t="n">
        <f aca="false">BN9+BO9</f>
        <v>0</v>
      </c>
      <c r="BQ9" s="20" t="n">
        <f aca="false">BG9-BO9+BK9*IF(Slot5_SpendLike=1,BM9-BN9,IF(Slot5_PotFree=1,BM9,0))</f>
        <v>0</v>
      </c>
      <c r="BR9" s="20" t="n">
        <f aca="false">BH9+BK9*Slot5_BufPot*BM9</f>
        <v>0</v>
      </c>
      <c r="BS9" s="20" t="n">
        <f aca="false">IF(AND(BK9=1,Slot5_IsMfree=1),IF(BP9&gt;=Slot5_Cost-1,0,MAX(0,BI9-BP9)),BI9)</f>
        <v>190587.562075478</v>
      </c>
      <c r="BT9" s="20" t="n">
        <f aca="false">BK9*(Slot5_Cost-BP9)</f>
        <v>0</v>
      </c>
      <c r="BU9" s="20" t="n">
        <f aca="false">IF(AND(Slot6_On=1,D9=Slot6_Age),1,0)</f>
        <v>0</v>
      </c>
      <c r="BV9" s="20" t="n">
        <f aca="false">IF(AND(Slot6_On=1,Slot6_Age&gt;D9),1,0)</f>
        <v>0</v>
      </c>
      <c r="BW9" s="20" t="n">
        <f aca="false">RG8</f>
        <v>0</v>
      </c>
      <c r="BX9" s="20" t="n">
        <f aca="false">BU9*MIN(Slot6_Cost,BW9)</f>
        <v>0</v>
      </c>
      <c r="BY9" s="20" t="n">
        <f aca="false">BU9*Slot6_SpendLike*MIN(Slot6_Cost-BX9,BQ9)</f>
        <v>0</v>
      </c>
      <c r="BZ9" s="20" t="n">
        <f aca="false">BX9+BY9</f>
        <v>0</v>
      </c>
      <c r="CA9" s="20" t="n">
        <f aca="false">BQ9-BY9+BU9*IF(Slot6_SpendLike=1,BW9-BX9,IF(Slot6_PotFree=1,BW9,0))</f>
        <v>0</v>
      </c>
      <c r="CB9" s="20" t="n">
        <f aca="false">BR9+BU9*Slot6_BufPot*BW9</f>
        <v>0</v>
      </c>
      <c r="CC9" s="20" t="n">
        <f aca="false">IF(AND(BU9=1,Slot6_IsMfree=1),IF(BZ9&gt;=Slot6_Cost-1,0,MAX(0,BS9-BZ9)),BS9)</f>
        <v>190587.562075478</v>
      </c>
      <c r="CD9" s="20" t="n">
        <f aca="false">BU9*(Slot6_Cost-BZ9)</f>
        <v>0</v>
      </c>
      <c r="CE9" s="20" t="n">
        <f aca="false">IF(AND(Slot7_On=1,D9=Slot7_Age),1,0)</f>
        <v>0</v>
      </c>
      <c r="CF9" s="20" t="n">
        <f aca="false">IF(AND(Slot7_On=1,Slot7_Age&gt;D9),1,0)</f>
        <v>0</v>
      </c>
      <c r="CG9" s="20" t="n">
        <f aca="false">RK8</f>
        <v>0</v>
      </c>
      <c r="CH9" s="20" t="n">
        <f aca="false">CE9*MIN(Slot7_Cost,CG9)</f>
        <v>0</v>
      </c>
      <c r="CI9" s="20" t="n">
        <f aca="false">CE9*Slot7_SpendLike*MIN(Slot7_Cost-CH9,CA9)</f>
        <v>0</v>
      </c>
      <c r="CJ9" s="20" t="n">
        <f aca="false">CH9+CI9</f>
        <v>0</v>
      </c>
      <c r="CK9" s="20" t="n">
        <f aca="false">CA9-CI9+CE9*IF(Slot7_SpendLike=1,CG9-CH9,IF(Slot7_PotFree=1,CG9,0))</f>
        <v>0</v>
      </c>
      <c r="CL9" s="20" t="n">
        <f aca="false">CB9+CE9*Slot7_BufPot*CG9</f>
        <v>0</v>
      </c>
      <c r="CM9" s="20" t="n">
        <f aca="false">IF(AND(CE9=1,Slot7_IsMfree=1),IF(CJ9&gt;=Slot7_Cost-1,0,MAX(0,CC9-CJ9)),CC9)</f>
        <v>190587.562075478</v>
      </c>
      <c r="CN9" s="20" t="n">
        <f aca="false">CE9*(Slot7_Cost-CJ9)</f>
        <v>0</v>
      </c>
      <c r="CO9" s="20" t="n">
        <f aca="false">IF(AND(Slot8_On=1,D9=Slot8_Age),1,0)</f>
        <v>0</v>
      </c>
      <c r="CP9" s="20" t="n">
        <f aca="false">IF(AND(Slot8_On=1,Slot8_Age&gt;D9),1,0)</f>
        <v>0</v>
      </c>
      <c r="CQ9" s="20" t="n">
        <f aca="false">RO8</f>
        <v>0</v>
      </c>
      <c r="CR9" s="20" t="n">
        <f aca="false">CO9*MIN(Slot8_Cost,CQ9)</f>
        <v>0</v>
      </c>
      <c r="CS9" s="20" t="n">
        <f aca="false">CO9*Slot8_SpendLike*MIN(Slot8_Cost-CR9,CK9)</f>
        <v>0</v>
      </c>
      <c r="CT9" s="20" t="n">
        <f aca="false">CR9+CS9</f>
        <v>0</v>
      </c>
      <c r="CU9" s="20" t="n">
        <f aca="false">CK9-CS9+CO9*IF(Slot8_SpendLike=1,CQ9-CR9,IF(Slot8_PotFree=1,CQ9,0))</f>
        <v>0</v>
      </c>
      <c r="CV9" s="20" t="n">
        <f aca="false">CL9+CO9*Slot8_BufPot*CQ9</f>
        <v>0</v>
      </c>
      <c r="CW9" s="20" t="n">
        <f aca="false">IF(AND(CO9=1,Slot8_IsMfree=1),IF(CT9&gt;=Slot8_Cost-1,0,MAX(0,CM9-CT9)),CM9)</f>
        <v>190587.562075478</v>
      </c>
      <c r="CX9" s="20" t="n">
        <f aca="false">CO9*(Slot8_Cost-CT9)</f>
        <v>0</v>
      </c>
      <c r="CY9" s="20" t="n">
        <f aca="false">IF(AND(Slot9_On=1,D9=Slot9_Age),1,0)</f>
        <v>0</v>
      </c>
      <c r="CZ9" s="20" t="n">
        <f aca="false">IF(AND(Slot9_On=1,Slot9_Age&gt;D9),1,0)</f>
        <v>0</v>
      </c>
      <c r="DA9" s="20" t="n">
        <f aca="false">RS8</f>
        <v>0</v>
      </c>
      <c r="DB9" s="20" t="n">
        <f aca="false">CY9*MIN(Slot9_Cost,DA9)</f>
        <v>0</v>
      </c>
      <c r="DC9" s="20" t="n">
        <f aca="false">CY9*Slot9_SpendLike*MIN(Slot9_Cost-DB9,CU9)</f>
        <v>0</v>
      </c>
      <c r="DD9" s="20" t="n">
        <f aca="false">DB9+DC9</f>
        <v>0</v>
      </c>
      <c r="DE9" s="20" t="n">
        <f aca="false">CU9-DC9+CY9*IF(Slot9_SpendLike=1,DA9-DB9,IF(Slot9_PotFree=1,DA9,0))</f>
        <v>0</v>
      </c>
      <c r="DF9" s="20" t="n">
        <f aca="false">CV9+CY9*Slot9_BufPot*DA9</f>
        <v>0</v>
      </c>
      <c r="DG9" s="20" t="n">
        <f aca="false">IF(AND(CY9=1,Slot9_IsMfree=1),IF(DD9&gt;=Slot9_Cost-1,0,MAX(0,CW9-DD9)),CW9)</f>
        <v>190587.562075478</v>
      </c>
      <c r="DH9" s="20" t="n">
        <f aca="false">CY9*(Slot9_Cost-DD9)</f>
        <v>0</v>
      </c>
      <c r="DI9" s="20" t="n">
        <f aca="false">IF(AND(Slot10_On=1,D9=Slot10_Age),1,0)</f>
        <v>0</v>
      </c>
      <c r="DJ9" s="20" t="n">
        <f aca="false">IF(AND(Slot10_On=1,Slot10_Age&gt;D9),1,0)</f>
        <v>0</v>
      </c>
      <c r="DK9" s="20" t="n">
        <f aca="false">RW8</f>
        <v>0</v>
      </c>
      <c r="DL9" s="20" t="n">
        <f aca="false">DI9*MIN(Slot10_Cost,DK9)</f>
        <v>0</v>
      </c>
      <c r="DM9" s="20" t="n">
        <f aca="false">DI9*Slot10_SpendLike*MIN(Slot10_Cost-DL9,DE9)</f>
        <v>0</v>
      </c>
      <c r="DN9" s="20" t="n">
        <f aca="false">DL9+DM9</f>
        <v>0</v>
      </c>
      <c r="DO9" s="20" t="n">
        <f aca="false">DE9-DM9+DI9*IF(Slot10_SpendLike=1,DK9-DL9,IF(Slot10_PotFree=1,DK9,0))</f>
        <v>0</v>
      </c>
      <c r="DP9" s="20" t="n">
        <f aca="false">DF9+DI9*Slot10_BufPot*DK9</f>
        <v>0</v>
      </c>
      <c r="DQ9" s="20" t="n">
        <f aca="false">IF(AND(DI9=1,Slot10_IsMfree=1),IF(DN9&gt;=Slot10_Cost-1,0,MAX(0,DG9-DN9)),DG9)</f>
        <v>190587.562075478</v>
      </c>
      <c r="DR9" s="20" t="n">
        <f aca="false">DI9*(Slot10_Cost-DN9)</f>
        <v>0</v>
      </c>
      <c r="DS9" s="20" t="n">
        <f aca="false">IF(AND(Slot11_On=1,D9=Slot11_Age),1,0)</f>
        <v>0</v>
      </c>
      <c r="DT9" s="20" t="n">
        <f aca="false">IF(AND(Slot11_On=1,Slot11_Age&gt;D9),1,0)</f>
        <v>0</v>
      </c>
      <c r="DU9" s="20" t="n">
        <f aca="false">SA8</f>
        <v>0</v>
      </c>
      <c r="DV9" s="20" t="n">
        <f aca="false">DS9*MIN(Slot11_Cost,DU9)</f>
        <v>0</v>
      </c>
      <c r="DW9" s="20" t="n">
        <f aca="false">DS9*Slot11_SpendLike*MIN(Slot11_Cost-DV9,DO9)</f>
        <v>0</v>
      </c>
      <c r="DX9" s="20" t="n">
        <f aca="false">DV9+DW9</f>
        <v>0</v>
      </c>
      <c r="DY9" s="20" t="n">
        <f aca="false">DO9-DW9+DS9*IF(Slot11_SpendLike=1,DU9-DV9,IF(Slot11_PotFree=1,DU9,0))</f>
        <v>0</v>
      </c>
      <c r="DZ9" s="20" t="n">
        <f aca="false">DP9+DS9*Slot11_BufPot*DU9</f>
        <v>0</v>
      </c>
      <c r="EA9" s="20" t="n">
        <f aca="false">IF(AND(DS9=1,Slot11_IsMfree=1),IF(DX9&gt;=Slot11_Cost-1,0,MAX(0,DQ9-DX9)),DQ9)</f>
        <v>190587.562075478</v>
      </c>
      <c r="EB9" s="20" t="n">
        <f aca="false">DS9*(Slot11_Cost-DX9)</f>
        <v>0</v>
      </c>
      <c r="EC9" s="20" t="n">
        <f aca="false">IF(AND(Slot12_On=1,D9=Slot12_Age),1,0)</f>
        <v>0</v>
      </c>
      <c r="ED9" s="20" t="n">
        <f aca="false">IF(AND(Slot12_On=1,Slot12_Age&gt;D9),1,0)</f>
        <v>0</v>
      </c>
      <c r="EE9" s="20" t="n">
        <f aca="false">SE8</f>
        <v>0</v>
      </c>
      <c r="EF9" s="20" t="n">
        <f aca="false">EC9*MIN(Slot12_Cost,EE9)</f>
        <v>0</v>
      </c>
      <c r="EG9" s="20" t="n">
        <f aca="false">EC9*Slot12_SpendLike*MIN(Slot12_Cost-EF9,DY9)</f>
        <v>0</v>
      </c>
      <c r="EH9" s="20" t="n">
        <f aca="false">EF9+EG9</f>
        <v>0</v>
      </c>
      <c r="EI9" s="20" t="n">
        <f aca="false">DY9-EG9+EC9*IF(Slot12_SpendLike=1,EE9-EF9,IF(Slot12_PotFree=1,EE9,0))</f>
        <v>0</v>
      </c>
      <c r="EJ9" s="20" t="n">
        <f aca="false">DZ9+EC9*Slot12_BufPot*EE9</f>
        <v>0</v>
      </c>
      <c r="EK9" s="20" t="n">
        <f aca="false">IF(AND(EC9=1,Slot12_IsMfree=1),IF(EH9&gt;=Slot12_Cost-1,0,MAX(0,EA9-EH9)),EA9)</f>
        <v>190587.562075478</v>
      </c>
      <c r="EL9" s="20" t="n">
        <f aca="false">EC9*(Slot12_Cost-EH9)</f>
        <v>0</v>
      </c>
      <c r="EM9" s="20" t="n">
        <f aca="false">IF(AND(Slot13_On=1,D9=Slot13_Age),1,0)</f>
        <v>0</v>
      </c>
      <c r="EN9" s="20" t="n">
        <f aca="false">IF(AND(Slot13_On=1,Slot13_Age&gt;D9),1,0)</f>
        <v>0</v>
      </c>
      <c r="EO9" s="20" t="n">
        <f aca="false">SI8</f>
        <v>0</v>
      </c>
      <c r="EP9" s="20" t="n">
        <f aca="false">EM9*MIN(Slot13_Cost,EO9)</f>
        <v>0</v>
      </c>
      <c r="EQ9" s="20" t="n">
        <f aca="false">EM9*Slot13_SpendLike*MIN(Slot13_Cost-EP9,EI9)</f>
        <v>0</v>
      </c>
      <c r="ER9" s="20" t="n">
        <f aca="false">EP9+EQ9</f>
        <v>0</v>
      </c>
      <c r="ES9" s="20" t="n">
        <f aca="false">EI9-EQ9+EM9*IF(Slot13_SpendLike=1,EO9-EP9,IF(Slot13_PotFree=1,EO9,0))</f>
        <v>0</v>
      </c>
      <c r="ET9" s="20" t="n">
        <f aca="false">EJ9+EM9*Slot13_BufPot*EO9</f>
        <v>0</v>
      </c>
      <c r="EU9" s="20" t="n">
        <f aca="false">IF(AND(EM9=1,Slot13_IsMfree=1),IF(ER9&gt;=Slot13_Cost-1,0,MAX(0,EK9-ER9)),EK9)</f>
        <v>190587.562075478</v>
      </c>
      <c r="EV9" s="20" t="n">
        <f aca="false">EM9*(Slot13_Cost-ER9)</f>
        <v>0</v>
      </c>
      <c r="EW9" s="20" t="n">
        <f aca="false">IF(AND(Slot14_On=1,D9=Slot14_Age),1,0)</f>
        <v>0</v>
      </c>
      <c r="EX9" s="20" t="n">
        <f aca="false">IF(AND(Slot14_On=1,Slot14_Age&gt;D9),1,0)</f>
        <v>0</v>
      </c>
      <c r="EY9" s="20" t="n">
        <f aca="false">SM8</f>
        <v>0</v>
      </c>
      <c r="EZ9" s="20" t="n">
        <f aca="false">EW9*MIN(Slot14_Cost,EY9)</f>
        <v>0</v>
      </c>
      <c r="FA9" s="20" t="n">
        <f aca="false">EW9*Slot14_SpendLike*MIN(Slot14_Cost-EZ9,ES9)</f>
        <v>0</v>
      </c>
      <c r="FB9" s="20" t="n">
        <f aca="false">EZ9+FA9</f>
        <v>0</v>
      </c>
      <c r="FC9" s="20" t="n">
        <f aca="false">ES9-FA9+EW9*IF(Slot14_SpendLike=1,EY9-EZ9,IF(Slot14_PotFree=1,EY9,0))</f>
        <v>0</v>
      </c>
      <c r="FD9" s="20" t="n">
        <f aca="false">ET9+EW9*Slot14_BufPot*EY9</f>
        <v>0</v>
      </c>
      <c r="FE9" s="20" t="n">
        <f aca="false">IF(AND(EW9=1,Slot14_IsMfree=1),IF(FB9&gt;=Slot14_Cost-1,0,MAX(0,EU9-FB9)),EU9)</f>
        <v>190587.562075478</v>
      </c>
      <c r="FF9" s="20" t="n">
        <f aca="false">EW9*(Slot14_Cost-FB9)</f>
        <v>0</v>
      </c>
      <c r="FG9" s="20" t="n">
        <f aca="false">IF(AND(Slot15_On=1,D9=Slot15_Age),1,0)</f>
        <v>0</v>
      </c>
      <c r="FH9" s="20" t="n">
        <f aca="false">IF(AND(Slot15_On=1,Slot15_Age&gt;D9),1,0)</f>
        <v>0</v>
      </c>
      <c r="FI9" s="20" t="n">
        <f aca="false">SQ8</f>
        <v>0</v>
      </c>
      <c r="FJ9" s="20" t="n">
        <f aca="false">FG9*MIN(Slot15_Cost,FI9)</f>
        <v>0</v>
      </c>
      <c r="FK9" s="20" t="n">
        <f aca="false">FG9*Slot15_SpendLike*MIN(Slot15_Cost-FJ9,FC9)</f>
        <v>0</v>
      </c>
      <c r="FL9" s="20" t="n">
        <f aca="false">FJ9+FK9</f>
        <v>0</v>
      </c>
      <c r="FM9" s="20" t="n">
        <f aca="false">FC9-FK9+FG9*IF(Slot15_SpendLike=1,FI9-FJ9,IF(Slot15_PotFree=1,FI9,0))</f>
        <v>0</v>
      </c>
      <c r="FN9" s="20" t="n">
        <f aca="false">FD9+FG9*Slot15_BufPot*FI9</f>
        <v>0</v>
      </c>
      <c r="FO9" s="20" t="n">
        <f aca="false">IF(AND(FG9=1,Slot15_IsMfree=1),IF(FL9&gt;=Slot15_Cost-1,0,MAX(0,FE9-FL9)),FE9)</f>
        <v>190587.562075478</v>
      </c>
      <c r="FP9" s="20" t="n">
        <f aca="false">FG9*(Slot15_Cost-FL9)</f>
        <v>0</v>
      </c>
      <c r="FQ9" s="20" t="n">
        <f aca="false">IF(AND(Slot16_On=1,D9=Slot16_Age),1,0)</f>
        <v>0</v>
      </c>
      <c r="FR9" s="20" t="n">
        <f aca="false">IF(AND(Slot16_On=1,Slot16_Age&gt;D9),1,0)</f>
        <v>0</v>
      </c>
      <c r="FS9" s="20" t="n">
        <f aca="false">SU8</f>
        <v>0</v>
      </c>
      <c r="FT9" s="20" t="n">
        <f aca="false">FQ9*MIN(Slot16_Cost,FS9)</f>
        <v>0</v>
      </c>
      <c r="FU9" s="20" t="n">
        <f aca="false">FQ9*Slot16_SpendLike*MIN(Slot16_Cost-FT9,FM9)</f>
        <v>0</v>
      </c>
      <c r="FV9" s="20" t="n">
        <f aca="false">FT9+FU9</f>
        <v>0</v>
      </c>
      <c r="FW9" s="20" t="n">
        <f aca="false">FM9-FU9+FQ9*IF(Slot16_SpendLike=1,FS9-FT9,IF(Slot16_PotFree=1,FS9,0))</f>
        <v>0</v>
      </c>
      <c r="FX9" s="20" t="n">
        <f aca="false">FN9+FQ9*Slot16_BufPot*FS9</f>
        <v>0</v>
      </c>
      <c r="FY9" s="20" t="n">
        <f aca="false">IF(AND(FQ9=1,Slot16_IsMfree=1),IF(FV9&gt;=Slot16_Cost-1,0,MAX(0,FO9-FV9)),FO9)</f>
        <v>190587.562075478</v>
      </c>
      <c r="FZ9" s="20" t="n">
        <f aca="false">FQ9*(Slot16_Cost-FV9)</f>
        <v>0</v>
      </c>
      <c r="GA9" s="20" t="n">
        <f aca="false">IF(AND(Slot17_On=1,D9=Slot17_Age),1,0)</f>
        <v>0</v>
      </c>
      <c r="GB9" s="20" t="n">
        <f aca="false">IF(AND(Slot17_On=1,Slot17_Age&gt;D9),1,0)</f>
        <v>0</v>
      </c>
      <c r="GC9" s="20" t="n">
        <f aca="false">SY8</f>
        <v>0</v>
      </c>
      <c r="GD9" s="20" t="n">
        <f aca="false">GA9*MIN(Slot17_Cost,GC9)</f>
        <v>0</v>
      </c>
      <c r="GE9" s="20" t="n">
        <f aca="false">GA9*Slot17_SpendLike*MIN(Slot17_Cost-GD9,FW9)</f>
        <v>0</v>
      </c>
      <c r="GF9" s="20" t="n">
        <f aca="false">GD9+GE9</f>
        <v>0</v>
      </c>
      <c r="GG9" s="20" t="n">
        <f aca="false">FW9-GE9+GA9*IF(Slot17_SpendLike=1,GC9-GD9,IF(Slot17_PotFree=1,GC9,0))</f>
        <v>0</v>
      </c>
      <c r="GH9" s="20" t="n">
        <f aca="false">FX9+GA9*Slot17_BufPot*GC9</f>
        <v>0</v>
      </c>
      <c r="GI9" s="20" t="n">
        <f aca="false">IF(AND(GA9=1,Slot17_IsMfree=1),IF(GF9&gt;=Slot17_Cost-1,0,MAX(0,FY9-GF9)),FY9)</f>
        <v>190587.562075478</v>
      </c>
      <c r="GJ9" s="20" t="n">
        <f aca="false">GA9*(Slot17_Cost-GF9)</f>
        <v>0</v>
      </c>
      <c r="GK9" s="20" t="n">
        <f aca="false">IF(AND(Slot18_On=1,D9=Slot18_Age),1,0)</f>
        <v>0</v>
      </c>
      <c r="GL9" s="20" t="n">
        <f aca="false">IF(AND(Slot18_On=1,Slot18_Age&gt;D9),1,0)</f>
        <v>0</v>
      </c>
      <c r="GM9" s="20" t="n">
        <f aca="false">TC8</f>
        <v>0</v>
      </c>
      <c r="GN9" s="20" t="n">
        <f aca="false">GK9*MIN(Slot18_Cost,GM9)</f>
        <v>0</v>
      </c>
      <c r="GO9" s="20" t="n">
        <f aca="false">GK9*Slot18_SpendLike*MIN(Slot18_Cost-GN9,GG9)</f>
        <v>0</v>
      </c>
      <c r="GP9" s="20" t="n">
        <f aca="false">GN9+GO9</f>
        <v>0</v>
      </c>
      <c r="GQ9" s="20" t="n">
        <f aca="false">GG9-GO9+GK9*IF(Slot18_SpendLike=1,GM9-GN9,IF(Slot18_PotFree=1,GM9,0))</f>
        <v>0</v>
      </c>
      <c r="GR9" s="20" t="n">
        <f aca="false">GH9+GK9*Slot18_BufPot*GM9</f>
        <v>0</v>
      </c>
      <c r="GS9" s="20" t="n">
        <f aca="false">IF(AND(GK9=1,Slot18_IsMfree=1),IF(GP9&gt;=Slot18_Cost-1,0,MAX(0,GI9-GP9)),GI9)</f>
        <v>190587.562075478</v>
      </c>
      <c r="GT9" s="20" t="n">
        <f aca="false">GK9*(Slot18_Cost-GP9)</f>
        <v>0</v>
      </c>
      <c r="GU9" s="20" t="n">
        <f aca="false">IF(AND(Slot19_On=1,D9=Slot19_Age),1,0)</f>
        <v>0</v>
      </c>
      <c r="GV9" s="20" t="n">
        <f aca="false">IF(AND(Slot19_On=1,Slot19_Age&gt;D9),1,0)</f>
        <v>0</v>
      </c>
      <c r="GW9" s="20" t="n">
        <f aca="false">TG8</f>
        <v>0</v>
      </c>
      <c r="GX9" s="20" t="n">
        <f aca="false">GU9*MIN(Slot19_Cost,GW9)</f>
        <v>0</v>
      </c>
      <c r="GY9" s="20" t="n">
        <f aca="false">GU9*Slot19_SpendLike*MIN(Slot19_Cost-GX9,GQ9)</f>
        <v>0</v>
      </c>
      <c r="GZ9" s="20" t="n">
        <f aca="false">GX9+GY9</f>
        <v>0</v>
      </c>
      <c r="HA9" s="20" t="n">
        <f aca="false">GQ9-GY9+GU9*IF(Slot19_SpendLike=1,GW9-GX9,IF(Slot19_PotFree=1,GW9,0))</f>
        <v>0</v>
      </c>
      <c r="HB9" s="20" t="n">
        <f aca="false">GR9+GU9*Slot19_BufPot*GW9</f>
        <v>0</v>
      </c>
      <c r="HC9" s="20" t="n">
        <f aca="false">IF(AND(GU9=1,Slot19_IsMfree=1),IF(GZ9&gt;=Slot19_Cost-1,0,MAX(0,GS9-GZ9)),GS9)</f>
        <v>190587.562075478</v>
      </c>
      <c r="HD9" s="20" t="n">
        <f aca="false">GU9*(Slot19_Cost-GZ9)</f>
        <v>0</v>
      </c>
      <c r="HE9" s="20" t="n">
        <f aca="false">IF(AND(Slot20_On=1,D9=Slot20_Age),1,0)</f>
        <v>0</v>
      </c>
      <c r="HF9" s="20" t="n">
        <f aca="false">IF(AND(Slot20_On=1,Slot20_Age&gt;D9),1,0)</f>
        <v>0</v>
      </c>
      <c r="HG9" s="20" t="n">
        <f aca="false">TK8</f>
        <v>0</v>
      </c>
      <c r="HH9" s="20" t="n">
        <f aca="false">HE9*MIN(Slot20_Cost,HG9)</f>
        <v>0</v>
      </c>
      <c r="HI9" s="20" t="n">
        <f aca="false">HE9*Slot20_SpendLike*MIN(Slot20_Cost-HH9,HA9)</f>
        <v>0</v>
      </c>
      <c r="HJ9" s="20" t="n">
        <f aca="false">HH9+HI9</f>
        <v>0</v>
      </c>
      <c r="HK9" s="20" t="n">
        <f aca="false">HA9-HI9+HE9*IF(Slot20_SpendLike=1,HG9-HH9,IF(Slot20_PotFree=1,HG9,0))</f>
        <v>0</v>
      </c>
      <c r="HL9" s="20" t="n">
        <f aca="false">HB9+HE9*Slot20_BufPot*HG9</f>
        <v>0</v>
      </c>
      <c r="HM9" s="20" t="n">
        <f aca="false">IF(AND(HE9=1,Slot20_IsMfree=1),IF(HJ9&gt;=Slot20_Cost-1,0,MAX(0,HC9-HJ9)),HC9)</f>
        <v>190587.562075478</v>
      </c>
      <c r="HN9" s="20" t="n">
        <f aca="false">HE9*(Slot20_Cost-HJ9)</f>
        <v>0</v>
      </c>
      <c r="HO9" s="20" t="n">
        <f aca="false">V9*Slot1_SpendLike*AA9+AG9*Slot2_SpendLike*AL9+AQ9*Slot3_SpendLike*AV9+BA9*Slot4_SpendLike*BF9+BK9*Slot5_SpendLike*BP9+BU9*Slot6_SpendLike*BZ9+CE9*Slot7_SpendLike*CJ9+CO9*Slot8_SpendLike*CT9+CY9*Slot9_SpendLike*DD9+DI9*Slot10_SpendLike*DN9+DS9*Slot11_SpendLike*DX9+EC9*Slot12_SpendLike*EH9+EM9*Slot13_SpendLike*ER9+EW9*Slot14_SpendLike*FB9+FG9*Slot15_SpendLike*FL9+FQ9*Slot16_SpendLike*FV9+GA9*Slot17_SpendLike*GF9+GK9*Slot18_SpendLike*GP9+GU9*Slot19_SpendLike*GZ9+HE9*Slot20_SpendLike*HJ9</f>
        <v>0</v>
      </c>
      <c r="HP9" s="20" t="n">
        <f aca="false">AE9+AP9+AZ9+BJ9+BT9+CD9+CN9+CX9+DH9+DR9+EB9+EL9+EV9+FF9+FP9+FZ9+GJ9+GT9+HD9+HN9</f>
        <v>0</v>
      </c>
      <c r="HQ9" s="20" t="n">
        <f aca="false">V9*Slot1_Cost+AG9*Slot2_Cost+AQ9*Slot3_Cost+BA9*Slot4_Cost+BK9*Slot5_Cost+BU9*Slot6_Cost+CE9*Slot7_Cost+CO9*Slot8_Cost+CY9*Slot9_Cost+DI9*Slot10_Cost+DS9*Slot11_Cost+EC9*Slot12_Cost+EM9*Slot13_Cost+EW9*Slot14_Cost+FG9*Slot15_Cost+FQ9*Slot16_Cost+GA9*Slot17_Cost+GK9*Slot18_Cost+GU9*Slot19_Cost+HE9*Slot20_Cost</f>
        <v>0</v>
      </c>
      <c r="HR9" s="20" t="n">
        <f aca="false">HM9</f>
        <v>190587.562075478</v>
      </c>
      <c r="HS9" s="20" t="n">
        <f aca="false">H9-I9-S9</f>
        <v>2585.54719999999</v>
      </c>
      <c r="HT9" s="20" t="n">
        <f aca="false">IF(B9=0,IF(AND(Has_q6=1,In_q6=4),PR_ShareVaries*(MAX(0,HS9)/12),MIN(IF(Has_q6=1,CHOOSE(In_q6+1,PR_SaveB1,PR_SaveB2,PR_SaveB3,PR_SaveB4,0),AS_NoAnswer),AS_SaveShare*(MAX(0,HS9)/12))),HT8)</f>
        <v>62.3316893520437</v>
      </c>
      <c r="HU9" s="20" t="n">
        <f aca="false">IF(HS9&gt;=0,1,0)</f>
        <v>1</v>
      </c>
      <c r="HV9" s="20" t="n">
        <f aca="false">MAX(0,HS9/12/F9)</f>
        <v>211.237516339869</v>
      </c>
      <c r="HW9" s="20" t="n">
        <f aca="false">IF(AND(Has_q6=1,In_q6=4),PR_ShareVaries*(HV9),MIN(IF(Has_q6=1,CHOOSE(In_q6+1,PR_SaveB1,PR_SaveB2,PR_SaveB3,PR_SaveB4,0),AS_NoAnswer),AS_SaveShare*(HV9)))</f>
        <v>105.618758169934</v>
      </c>
      <c r="HX9" s="20" t="n">
        <f aca="false">IF(Has_saveM=1,IF(In_saveUp="Yes",1,IF(In_saveUp="No",0,IF(In_saveM&gt;=HT9-0.5,1,0))),0)</f>
        <v>0</v>
      </c>
      <c r="HY9" s="20" t="n">
        <f aca="false">IF(Has_saveM=1,MIN(HV9,IF(HX9=1,MAX(In_saveM,HW9),MIN(In_saveM,HW9))),HW9)</f>
        <v>105.618758169934</v>
      </c>
      <c r="HZ9" s="20" t="n">
        <f aca="false">IF(G9=1,HY9*12*F9,0)</f>
        <v>1292.7736</v>
      </c>
      <c r="IA9" s="20" t="n">
        <f aca="false">MAX(0,HZ9+IF(AND(WI_Retire=0,WI_M&lt;0,G9=1),WI_M*12*F9,0))</f>
        <v>1292.7736</v>
      </c>
      <c r="IB9" s="20" t="n">
        <f aca="false">Slot1_IsWG*W9+Slot2_IsWG*AH9+Slot3_IsWG*AR9+Slot4_IsWG*BB9+Slot5_IsWG*BL9+Slot6_IsWG*BV9+Slot7_IsWG*CF9+Slot8_IsWG*CP9+Slot9_IsWG*CZ9+Slot10_IsWG*DJ9+Slot11_IsWG*DT9+Slot12_IsWG*ED9+Slot13_IsWG*EN9+Slot14_IsWG*EX9+Slot15_IsWG*FH9+Slot16_IsWG*FR9+Slot17_IsWG*GB9+Slot18_IsWG*GL9+Slot19_IsWG*GV9+Slot20_IsWG*HF9</f>
        <v>0</v>
      </c>
      <c r="IC9" s="20" t="n">
        <f aca="false">IF(AND(WI_Retire=0,WI_M&gt;0,G9=1,IB9&gt;=1),WI_M*12*F9,0)</f>
        <v>0</v>
      </c>
      <c r="ID9" s="20" t="n">
        <f aca="false">IF(HU9=1,MIN(IA9,HS9),0)</f>
        <v>1292.7736</v>
      </c>
      <c r="IE9" s="20" t="n">
        <f aca="false">IF(HU9=1,MIN(IC9,HS9-ID9),0)</f>
        <v>0</v>
      </c>
      <c r="IF9" s="20" t="n">
        <f aca="false">IF(W9=1,IF(ABS((1+AS_Wage)/(1+Slot1_Rate)-1)&lt;0.000000000001,(Slot1_Age-D9)*(1+Slot1_Rate)^(Slot1_Age-D9),(1+Slot1_Rate)^(Slot1_Age-D9)*(1-((1+AS_Wage)/(1+Slot1_Rate))^(Slot1_Age-D9))/(1-(1+AS_Wage)/(1+Slot1_Rate))),1)</f>
        <v>1.01</v>
      </c>
      <c r="IG9" s="20" t="n">
        <f aca="false">IF(AND(HU9=1,IE9&gt;0,Slot1_IsWG=1,W9=1),MAX(0,(Slot1_Cost-X9*(1+Slot1_Rate)^(Slot1_Age-D9))/IF9),0)</f>
        <v>0</v>
      </c>
      <c r="IH9" s="20" t="n">
        <f aca="false">IF(AND(HU9=1,IE9&gt;0,Slot1_IsWG=1,W9=1),MIN(IE9,IG9),0)</f>
        <v>0</v>
      </c>
      <c r="II9" s="20" t="n">
        <f aca="false">X9+IH9</f>
        <v>15401.2549019608</v>
      </c>
      <c r="IJ9" s="20" t="n">
        <f aca="false">IF(W9=1,MAX(0,(Slot1_Cost-II9*(1+Slot1_Rate)^(Slot1_Age-D9))/IF9),0)</f>
        <v>50.2302465540665</v>
      </c>
      <c r="IK9" s="20" t="n">
        <f aca="false">IF(W9=1,MAX(0,(Slot1_Cost-X9*(1+Slot1_Rate)^(Slot1_Age-D9))/IF9),0)</f>
        <v>50.2302465540665</v>
      </c>
      <c r="IL9" s="20" t="n">
        <f aca="false">IF(AND(HU9=1,W9=1),MIN(ID9,IJ9),0)</f>
        <v>50.2302465540665</v>
      </c>
      <c r="IM9" s="20" t="n">
        <f aca="false">ID9-IL9</f>
        <v>1242.54335344593</v>
      </c>
      <c r="IN9" s="20" t="n">
        <f aca="false">IF(AH9=1,IF(ABS((1+AS_Wage)/(1+Slot2_Rate)-1)&lt;0.000000000001,(Slot2_Age-D9)*(1+Slot2_Rate)^(Slot2_Age-D9),(1+Slot2_Rate)^(Slot2_Age-D9)*(1-((1+AS_Wage)/(1+Slot2_Rate))^(Slot2_Age-D9))/(1-(1+AS_Wage)/(1+Slot2_Rate))),1)</f>
        <v>2.0604</v>
      </c>
      <c r="IO9" s="20" t="n">
        <f aca="false">IF(AND(HU9=1,IE9&gt;0,Slot2_IsWG=1,AH9=1),MAX(0,(Slot2_Cost-AI9*(1+Slot2_Rate)^(Slot2_Age-D9))/IN9),0)</f>
        <v>0</v>
      </c>
      <c r="IP9" s="20" t="n">
        <f aca="false">IF(AND(HU9=1,IE9&gt;0,Slot2_IsWG=1,AH9=1),MIN(IE9,IO9),0)</f>
        <v>0</v>
      </c>
      <c r="IQ9" s="20" t="n">
        <f aca="false">AI9+IP9</f>
        <v>706.205172985985</v>
      </c>
      <c r="IR9" s="20" t="n">
        <f aca="false">IF(AH9=1,MAX(0,(Slot2_Cost-IQ9*(1+Slot2_Rate)^(Slot2_Age-D9))/IN9),0)</f>
        <v>5830.9532629766</v>
      </c>
      <c r="IS9" s="20" t="n">
        <f aca="false">IF(AH9=1,MAX(0,(Slot2_Cost-AI9*(1+Slot2_Rate)^(Slot2_Age-D9))/IN9),0)</f>
        <v>5830.9532629766</v>
      </c>
      <c r="IT9" s="20" t="n">
        <f aca="false">IF(AND(HU9=1,AH9=1),MIN(IM9,IR9),0)</f>
        <v>1242.54335344593</v>
      </c>
      <c r="IU9" s="20" t="n">
        <f aca="false">IM9-IT9</f>
        <v>0</v>
      </c>
      <c r="IV9" s="20" t="n">
        <f aca="false">IF(AR9=1,IF(ABS((1+AS_Wage)/(1+Slot3_Rate)-1)&lt;0.000000000001,(Slot3_Age-D9)*(1+Slot3_Rate)^(Slot3_Age-D9),(1+Slot3_Rate)^(Slot3_Age-D9)*(1-((1+AS_Wage)/(1+Slot3_Rate))^(Slot3_Age-D9))/(1-(1+AS_Wage)/(1+Slot3_Rate))),1)</f>
        <v>11.5172854241178</v>
      </c>
      <c r="IW9" s="20" t="n">
        <f aca="false">IF(AND(HU9=1,IE9&gt;0,Slot3_IsWG=1,AR9=1),MAX(0,(Slot3_Cost-AS9*(1+Slot3_Rate)^(Slot3_Age-D9))/IV9),0)</f>
        <v>0</v>
      </c>
      <c r="IX9" s="20" t="n">
        <f aca="false">IF(AND(HU9=1,IE9&gt;0,Slot3_IsWG=1,AR9=1),MIN(IE9,IW9),0)</f>
        <v>0</v>
      </c>
      <c r="IY9" s="20" t="n">
        <f aca="false">AS9+IX9</f>
        <v>0</v>
      </c>
      <c r="IZ9" s="20" t="n">
        <f aca="false">IF(AR9=1,MAX(0,(Slot3_Cost-IY9*(1+Slot3_Rate)^(Slot3_Age-D9))/IV9),0)</f>
        <v>5292.02140567829</v>
      </c>
      <c r="JA9" s="20" t="n">
        <f aca="false">IF(AR9=1,MAX(0,(Slot3_Cost-AS9*(1+Slot3_Rate)^(Slot3_Age-D9))/IV9),0)</f>
        <v>5292.02140567829</v>
      </c>
      <c r="JB9" s="20" t="n">
        <f aca="false">IF(AND(HU9=1,AR9=1),MIN(IU9,IZ9),0)</f>
        <v>0</v>
      </c>
      <c r="JC9" s="20" t="n">
        <f aca="false">IU9-JB9</f>
        <v>0</v>
      </c>
      <c r="JD9" s="20" t="n">
        <f aca="false">IF(BB9=1,IF(ABS((1+AS_Wage)/(1+Slot4_Rate)-1)&lt;0.000000000001,(Slot4_Age-D9)*(1+Slot4_Rate)^(Slot4_Age-D9),(1+Slot4_Rate)^(Slot4_Age-D9)*(1-((1+AS_Wage)/(1+Slot4_Rate))^(Slot4_Age-D9))/(1-(1+AS_Wage)/(1+Slot4_Rate))),1)</f>
        <v>24.8440042812529</v>
      </c>
      <c r="JE9" s="20" t="n">
        <f aca="false">IF(AND(HU9=1,IE9&gt;0,Slot4_IsWG=1,BB9=1),MAX(0,(Slot4_Cost-BC9*(1+Slot4_Rate)^(Slot4_Age-D9))/JD9),0)</f>
        <v>0</v>
      </c>
      <c r="JF9" s="20" t="n">
        <f aca="false">IF(AND(HU9=1,IE9&gt;0,Slot4_IsWG=1,BB9=1),MIN(IE9,JE9),0)</f>
        <v>0</v>
      </c>
      <c r="JG9" s="20" t="n">
        <f aca="false">BC9+JF9</f>
        <v>0</v>
      </c>
      <c r="JH9" s="20" t="n">
        <f aca="false">IF(BB9=1,MAX(0,(Slot4_Cost-JG9*(1+Slot4_Rate)^(Slot4_Age-D9))/JD9),0)</f>
        <v>1610.84723701436</v>
      </c>
      <c r="JI9" s="20" t="n">
        <f aca="false">IF(BB9=1,MAX(0,(Slot4_Cost-BC9*(1+Slot4_Rate)^(Slot4_Age-D9))/JD9),0)</f>
        <v>1610.84723701436</v>
      </c>
      <c r="JJ9" s="20" t="n">
        <f aca="false">IF(AND(HU9=1,BB9=1),MIN(JC9,JH9),0)</f>
        <v>0</v>
      </c>
      <c r="JK9" s="20" t="n">
        <f aca="false">JC9-JJ9</f>
        <v>0</v>
      </c>
      <c r="JL9" s="20" t="n">
        <f aca="false">IF(BL9=1,IF(ABS((1+AS_Wage)/(1+Slot5_Rate)-1)&lt;0.000000000001,(Slot5_Age-D9)*(1+Slot5_Rate)^(Slot5_Age-D9),(1+Slot5_Rate)^(Slot5_Age-D9)*(1-((1+AS_Wage)/(1+Slot5_Rate))^(Slot5_Age-D9))/(1-(1+AS_Wage)/(1+Slot5_Rate))),1)</f>
        <v>1</v>
      </c>
      <c r="JM9" s="20" t="n">
        <f aca="false">IF(AND(HU9=1,IE9&gt;0,Slot5_IsWG=1,BL9=1),MAX(0,(Slot5_Cost-BM9*(1+Slot5_Rate)^(Slot5_Age-D9))/JL9),0)</f>
        <v>0</v>
      </c>
      <c r="JN9" s="20" t="n">
        <f aca="false">IF(AND(HU9=1,IE9&gt;0,Slot5_IsWG=1,BL9=1),MIN(IE9,JM9),0)</f>
        <v>0</v>
      </c>
      <c r="JO9" s="20" t="n">
        <f aca="false">BM9+JN9</f>
        <v>0</v>
      </c>
      <c r="JP9" s="20" t="n">
        <f aca="false">IF(BL9=1,MAX(0,(Slot5_Cost-JO9*(1+Slot5_Rate)^(Slot5_Age-D9))/JL9),0)</f>
        <v>0</v>
      </c>
      <c r="JQ9" s="20" t="n">
        <f aca="false">IF(BL9=1,MAX(0,(Slot5_Cost-BM9*(1+Slot5_Rate)^(Slot5_Age-D9))/JL9),0)</f>
        <v>0</v>
      </c>
      <c r="JR9" s="20" t="n">
        <f aca="false">IF(AND(HU9=1,BL9=1),MIN(JK9,JP9),0)</f>
        <v>0</v>
      </c>
      <c r="JS9" s="20" t="n">
        <f aca="false">JK9-JR9</f>
        <v>0</v>
      </c>
      <c r="JT9" s="20" t="n">
        <f aca="false">IF(BV9=1,IF(ABS((1+AS_Wage)/(1+Slot6_Rate)-1)&lt;0.000000000001,(Slot6_Age-D9)*(1+Slot6_Rate)^(Slot6_Age-D9),(1+Slot6_Rate)^(Slot6_Age-D9)*(1-((1+AS_Wage)/(1+Slot6_Rate))^(Slot6_Age-D9))/(1-(1+AS_Wage)/(1+Slot6_Rate))),1)</f>
        <v>1</v>
      </c>
      <c r="JU9" s="20" t="n">
        <f aca="false">IF(AND(HU9=1,IE9&gt;0,Slot6_IsWG=1,BV9=1),MAX(0,(Slot6_Cost-BW9*(1+Slot6_Rate)^(Slot6_Age-D9))/JT9),0)</f>
        <v>0</v>
      </c>
      <c r="JV9" s="20" t="n">
        <f aca="false">IF(AND(HU9=1,IE9&gt;0,Slot6_IsWG=1,BV9=1),MIN(IE9,JU9),0)</f>
        <v>0</v>
      </c>
      <c r="JW9" s="20" t="n">
        <f aca="false">BW9+JV9</f>
        <v>0</v>
      </c>
      <c r="JX9" s="20" t="n">
        <f aca="false">IF(BV9=1,MAX(0,(Slot6_Cost-JW9*(1+Slot6_Rate)^(Slot6_Age-D9))/JT9),0)</f>
        <v>0</v>
      </c>
      <c r="JY9" s="20" t="n">
        <f aca="false">IF(BV9=1,MAX(0,(Slot6_Cost-BW9*(1+Slot6_Rate)^(Slot6_Age-D9))/JT9),0)</f>
        <v>0</v>
      </c>
      <c r="JZ9" s="20" t="n">
        <f aca="false">IF(AND(HU9=1,BV9=1),MIN(JS9,JX9),0)</f>
        <v>0</v>
      </c>
      <c r="KA9" s="20" t="n">
        <f aca="false">JS9-JZ9</f>
        <v>0</v>
      </c>
      <c r="KB9" s="20" t="n">
        <f aca="false">IF(CF9=1,IF(ABS((1+AS_Wage)/(1+Slot7_Rate)-1)&lt;0.000000000001,(Slot7_Age-D9)*(1+Slot7_Rate)^(Slot7_Age-D9),(1+Slot7_Rate)^(Slot7_Age-D9)*(1-((1+AS_Wage)/(1+Slot7_Rate))^(Slot7_Age-D9))/(1-(1+AS_Wage)/(1+Slot7_Rate))),1)</f>
        <v>1</v>
      </c>
      <c r="KC9" s="20" t="n">
        <f aca="false">IF(AND(HU9=1,IE9&gt;0,Slot7_IsWG=1,CF9=1),MAX(0,(Slot7_Cost-CG9*(1+Slot7_Rate)^(Slot7_Age-D9))/KB9),0)</f>
        <v>0</v>
      </c>
      <c r="KD9" s="20" t="n">
        <f aca="false">IF(AND(HU9=1,IE9&gt;0,Slot7_IsWG=1,CF9=1),MIN(IE9,KC9),0)</f>
        <v>0</v>
      </c>
      <c r="KE9" s="20" t="n">
        <f aca="false">CG9+KD9</f>
        <v>0</v>
      </c>
      <c r="KF9" s="20" t="n">
        <f aca="false">IF(CF9=1,MAX(0,(Slot7_Cost-KE9*(1+Slot7_Rate)^(Slot7_Age-D9))/KB9),0)</f>
        <v>0</v>
      </c>
      <c r="KG9" s="20" t="n">
        <f aca="false">IF(CF9=1,MAX(0,(Slot7_Cost-CG9*(1+Slot7_Rate)^(Slot7_Age-D9))/KB9),0)</f>
        <v>0</v>
      </c>
      <c r="KH9" s="20" t="n">
        <f aca="false">IF(AND(HU9=1,CF9=1),MIN(KA9,KF9),0)</f>
        <v>0</v>
      </c>
      <c r="KI9" s="20" t="n">
        <f aca="false">KA9-KH9</f>
        <v>0</v>
      </c>
      <c r="KJ9" s="20" t="n">
        <f aca="false">IF(CP9=1,IF(ABS((1+AS_Wage)/(1+Slot8_Rate)-1)&lt;0.000000000001,(Slot8_Age-D9)*(1+Slot8_Rate)^(Slot8_Age-D9),(1+Slot8_Rate)^(Slot8_Age-D9)*(1-((1+AS_Wage)/(1+Slot8_Rate))^(Slot8_Age-D9))/(1-(1+AS_Wage)/(1+Slot8_Rate))),1)</f>
        <v>1</v>
      </c>
      <c r="KK9" s="20" t="n">
        <f aca="false">IF(AND(HU9=1,IE9&gt;0,Slot8_IsWG=1,CP9=1),MAX(0,(Slot8_Cost-CQ9*(1+Slot8_Rate)^(Slot8_Age-D9))/KJ9),0)</f>
        <v>0</v>
      </c>
      <c r="KL9" s="20" t="n">
        <f aca="false">IF(AND(HU9=1,IE9&gt;0,Slot8_IsWG=1,CP9=1),MIN(IE9,KK9),0)</f>
        <v>0</v>
      </c>
      <c r="KM9" s="20" t="n">
        <f aca="false">CQ9+KL9</f>
        <v>0</v>
      </c>
      <c r="KN9" s="20" t="n">
        <f aca="false">IF(CP9=1,MAX(0,(Slot8_Cost-KM9*(1+Slot8_Rate)^(Slot8_Age-D9))/KJ9),0)</f>
        <v>0</v>
      </c>
      <c r="KO9" s="20" t="n">
        <f aca="false">IF(CP9=1,MAX(0,(Slot8_Cost-CQ9*(1+Slot8_Rate)^(Slot8_Age-D9))/KJ9),0)</f>
        <v>0</v>
      </c>
      <c r="KP9" s="20" t="n">
        <f aca="false">IF(AND(HU9=1,CP9=1),MIN(KI9,KN9),0)</f>
        <v>0</v>
      </c>
      <c r="KQ9" s="20" t="n">
        <f aca="false">KI9-KP9</f>
        <v>0</v>
      </c>
      <c r="KR9" s="20" t="n">
        <f aca="false">IF(CZ9=1,IF(ABS((1+AS_Wage)/(1+Slot9_Rate)-1)&lt;0.000000000001,(Slot9_Age-D9)*(1+Slot9_Rate)^(Slot9_Age-D9),(1+Slot9_Rate)^(Slot9_Age-D9)*(1-((1+AS_Wage)/(1+Slot9_Rate))^(Slot9_Age-D9))/(1-(1+AS_Wage)/(1+Slot9_Rate))),1)</f>
        <v>1</v>
      </c>
      <c r="KS9" s="20" t="n">
        <f aca="false">IF(AND(HU9=1,IE9&gt;0,Slot9_IsWG=1,CZ9=1),MAX(0,(Slot9_Cost-DA9*(1+Slot9_Rate)^(Slot9_Age-D9))/KR9),0)</f>
        <v>0</v>
      </c>
      <c r="KT9" s="20" t="n">
        <f aca="false">IF(AND(HU9=1,IE9&gt;0,Slot9_IsWG=1,CZ9=1),MIN(IE9,KS9),0)</f>
        <v>0</v>
      </c>
      <c r="KU9" s="20" t="n">
        <f aca="false">DA9+KT9</f>
        <v>0</v>
      </c>
      <c r="KV9" s="20" t="n">
        <f aca="false">IF(CZ9=1,MAX(0,(Slot9_Cost-KU9*(1+Slot9_Rate)^(Slot9_Age-D9))/KR9),0)</f>
        <v>0</v>
      </c>
      <c r="KW9" s="20" t="n">
        <f aca="false">IF(CZ9=1,MAX(0,(Slot9_Cost-DA9*(1+Slot9_Rate)^(Slot9_Age-D9))/KR9),0)</f>
        <v>0</v>
      </c>
      <c r="KX9" s="20" t="n">
        <f aca="false">IF(AND(HU9=1,CZ9=1),MIN(KQ9,KV9),0)</f>
        <v>0</v>
      </c>
      <c r="KY9" s="20" t="n">
        <f aca="false">KQ9-KX9</f>
        <v>0</v>
      </c>
      <c r="KZ9" s="20" t="n">
        <f aca="false">IF(DJ9=1,IF(ABS((1+AS_Wage)/(1+Slot10_Rate)-1)&lt;0.000000000001,(Slot10_Age-D9)*(1+Slot10_Rate)^(Slot10_Age-D9),(1+Slot10_Rate)^(Slot10_Age-D9)*(1-((1+AS_Wage)/(1+Slot10_Rate))^(Slot10_Age-D9))/(1-(1+AS_Wage)/(1+Slot10_Rate))),1)</f>
        <v>1</v>
      </c>
      <c r="LA9" s="20" t="n">
        <f aca="false">IF(AND(HU9=1,IE9&gt;0,Slot10_IsWG=1,DJ9=1),MAX(0,(Slot10_Cost-DK9*(1+Slot10_Rate)^(Slot10_Age-D9))/KZ9),0)</f>
        <v>0</v>
      </c>
      <c r="LB9" s="20" t="n">
        <f aca="false">IF(AND(HU9=1,IE9&gt;0,Slot10_IsWG=1,DJ9=1),MIN(IE9,LA9),0)</f>
        <v>0</v>
      </c>
      <c r="LC9" s="20" t="n">
        <f aca="false">DK9+LB9</f>
        <v>0</v>
      </c>
      <c r="LD9" s="20" t="n">
        <f aca="false">IF(DJ9=1,MAX(0,(Slot10_Cost-LC9*(1+Slot10_Rate)^(Slot10_Age-D9))/KZ9),0)</f>
        <v>0</v>
      </c>
      <c r="LE9" s="20" t="n">
        <f aca="false">IF(DJ9=1,MAX(0,(Slot10_Cost-DK9*(1+Slot10_Rate)^(Slot10_Age-D9))/KZ9),0)</f>
        <v>0</v>
      </c>
      <c r="LF9" s="20" t="n">
        <f aca="false">IF(AND(HU9=1,DJ9=1),MIN(KY9,LD9),0)</f>
        <v>0</v>
      </c>
      <c r="LG9" s="20" t="n">
        <f aca="false">KY9-LF9</f>
        <v>0</v>
      </c>
      <c r="LH9" s="20" t="n">
        <f aca="false">IF(DT9=1,IF(ABS((1+AS_Wage)/(1+Slot11_Rate)-1)&lt;0.000000000001,(Slot11_Age-D9)*(1+Slot11_Rate)^(Slot11_Age-D9),(1+Slot11_Rate)^(Slot11_Age-D9)*(1-((1+AS_Wage)/(1+Slot11_Rate))^(Slot11_Age-D9))/(1-(1+AS_Wage)/(1+Slot11_Rate))),1)</f>
        <v>1</v>
      </c>
      <c r="LI9" s="20" t="n">
        <f aca="false">IF(AND(HU9=1,IE9&gt;0,Slot11_IsWG=1,DT9=1),MAX(0,(Slot11_Cost-DU9*(1+Slot11_Rate)^(Slot11_Age-D9))/LH9),0)</f>
        <v>0</v>
      </c>
      <c r="LJ9" s="20" t="n">
        <f aca="false">IF(AND(HU9=1,IE9&gt;0,Slot11_IsWG=1,DT9=1),MIN(IE9,LI9),0)</f>
        <v>0</v>
      </c>
      <c r="LK9" s="20" t="n">
        <f aca="false">DU9+LJ9</f>
        <v>0</v>
      </c>
      <c r="LL9" s="20" t="n">
        <f aca="false">IF(DT9=1,MAX(0,(Slot11_Cost-LK9*(1+Slot11_Rate)^(Slot11_Age-D9))/LH9),0)</f>
        <v>0</v>
      </c>
      <c r="LM9" s="20" t="n">
        <f aca="false">IF(DT9=1,MAX(0,(Slot11_Cost-DU9*(1+Slot11_Rate)^(Slot11_Age-D9))/LH9),0)</f>
        <v>0</v>
      </c>
      <c r="LN9" s="20" t="n">
        <f aca="false">IF(AND(HU9=1,DT9=1),MIN(LG9,LL9),0)</f>
        <v>0</v>
      </c>
      <c r="LO9" s="20" t="n">
        <f aca="false">LG9-LN9</f>
        <v>0</v>
      </c>
      <c r="LP9" s="20" t="n">
        <f aca="false">IF(ED9=1,IF(ABS((1+AS_Wage)/(1+Slot12_Rate)-1)&lt;0.000000000001,(Slot12_Age-D9)*(1+Slot12_Rate)^(Slot12_Age-D9),(1+Slot12_Rate)^(Slot12_Age-D9)*(1-((1+AS_Wage)/(1+Slot12_Rate))^(Slot12_Age-D9))/(1-(1+AS_Wage)/(1+Slot12_Rate))),1)</f>
        <v>1</v>
      </c>
      <c r="LQ9" s="20" t="n">
        <f aca="false">IF(AND(HU9=1,IE9&gt;0,Slot12_IsWG=1,ED9=1),MAX(0,(Slot12_Cost-EE9*(1+Slot12_Rate)^(Slot12_Age-D9))/LP9),0)</f>
        <v>0</v>
      </c>
      <c r="LR9" s="20" t="n">
        <f aca="false">IF(AND(HU9=1,IE9&gt;0,Slot12_IsWG=1,ED9=1),MIN(IE9,LQ9),0)</f>
        <v>0</v>
      </c>
      <c r="LS9" s="20" t="n">
        <f aca="false">EE9+LR9</f>
        <v>0</v>
      </c>
      <c r="LT9" s="20" t="n">
        <f aca="false">IF(ED9=1,MAX(0,(Slot12_Cost-LS9*(1+Slot12_Rate)^(Slot12_Age-D9))/LP9),0)</f>
        <v>0</v>
      </c>
      <c r="LU9" s="20" t="n">
        <f aca="false">IF(ED9=1,MAX(0,(Slot12_Cost-EE9*(1+Slot12_Rate)^(Slot12_Age-D9))/LP9),0)</f>
        <v>0</v>
      </c>
      <c r="LV9" s="20" t="n">
        <f aca="false">IF(AND(HU9=1,ED9=1),MIN(LO9,LT9),0)</f>
        <v>0</v>
      </c>
      <c r="LW9" s="20" t="n">
        <f aca="false">LO9-LV9</f>
        <v>0</v>
      </c>
      <c r="LX9" s="20" t="n">
        <f aca="false">IF(EN9=1,IF(ABS((1+AS_Wage)/(1+Slot13_Rate)-1)&lt;0.000000000001,(Slot13_Age-D9)*(1+Slot13_Rate)^(Slot13_Age-D9),(1+Slot13_Rate)^(Slot13_Age-D9)*(1-((1+AS_Wage)/(1+Slot13_Rate))^(Slot13_Age-D9))/(1-(1+AS_Wage)/(1+Slot13_Rate))),1)</f>
        <v>1</v>
      </c>
      <c r="LY9" s="20" t="n">
        <f aca="false">IF(AND(HU9=1,IE9&gt;0,Slot13_IsWG=1,EN9=1),MAX(0,(Slot13_Cost-EO9*(1+Slot13_Rate)^(Slot13_Age-D9))/LX9),0)</f>
        <v>0</v>
      </c>
      <c r="LZ9" s="20" t="n">
        <f aca="false">IF(AND(HU9=1,IE9&gt;0,Slot13_IsWG=1,EN9=1),MIN(IE9,LY9),0)</f>
        <v>0</v>
      </c>
      <c r="MA9" s="20" t="n">
        <f aca="false">EO9+LZ9</f>
        <v>0</v>
      </c>
      <c r="MB9" s="20" t="n">
        <f aca="false">IF(EN9=1,MAX(0,(Slot13_Cost-MA9*(1+Slot13_Rate)^(Slot13_Age-D9))/LX9),0)</f>
        <v>0</v>
      </c>
      <c r="MC9" s="20" t="n">
        <f aca="false">IF(EN9=1,MAX(0,(Slot13_Cost-EO9*(1+Slot13_Rate)^(Slot13_Age-D9))/LX9),0)</f>
        <v>0</v>
      </c>
      <c r="MD9" s="20" t="n">
        <f aca="false">IF(AND(HU9=1,EN9=1),MIN(LW9,MB9),0)</f>
        <v>0</v>
      </c>
      <c r="ME9" s="20" t="n">
        <f aca="false">LW9-MD9</f>
        <v>0</v>
      </c>
      <c r="MF9" s="20" t="n">
        <f aca="false">IF(EX9=1,IF(ABS((1+AS_Wage)/(1+Slot14_Rate)-1)&lt;0.000000000001,(Slot14_Age-D9)*(1+Slot14_Rate)^(Slot14_Age-D9),(1+Slot14_Rate)^(Slot14_Age-D9)*(1-((1+AS_Wage)/(1+Slot14_Rate))^(Slot14_Age-D9))/(1-(1+AS_Wage)/(1+Slot14_Rate))),1)</f>
        <v>1</v>
      </c>
      <c r="MG9" s="20" t="n">
        <f aca="false">IF(AND(HU9=1,IE9&gt;0,Slot14_IsWG=1,EX9=1),MAX(0,(Slot14_Cost-EY9*(1+Slot14_Rate)^(Slot14_Age-D9))/MF9),0)</f>
        <v>0</v>
      </c>
      <c r="MH9" s="20" t="n">
        <f aca="false">IF(AND(HU9=1,IE9&gt;0,Slot14_IsWG=1,EX9=1),MIN(IE9,MG9),0)</f>
        <v>0</v>
      </c>
      <c r="MI9" s="20" t="n">
        <f aca="false">EY9+MH9</f>
        <v>0</v>
      </c>
      <c r="MJ9" s="20" t="n">
        <f aca="false">IF(EX9=1,MAX(0,(Slot14_Cost-MI9*(1+Slot14_Rate)^(Slot14_Age-D9))/MF9),0)</f>
        <v>0</v>
      </c>
      <c r="MK9" s="20" t="n">
        <f aca="false">IF(EX9=1,MAX(0,(Slot14_Cost-EY9*(1+Slot14_Rate)^(Slot14_Age-D9))/MF9),0)</f>
        <v>0</v>
      </c>
      <c r="ML9" s="20" t="n">
        <f aca="false">IF(AND(HU9=1,EX9=1),MIN(ME9,MJ9),0)</f>
        <v>0</v>
      </c>
      <c r="MM9" s="20" t="n">
        <f aca="false">ME9-ML9</f>
        <v>0</v>
      </c>
      <c r="MN9" s="20" t="n">
        <f aca="false">IF(FH9=1,IF(ABS((1+AS_Wage)/(1+Slot15_Rate)-1)&lt;0.000000000001,(Slot15_Age-D9)*(1+Slot15_Rate)^(Slot15_Age-D9),(1+Slot15_Rate)^(Slot15_Age-D9)*(1-((1+AS_Wage)/(1+Slot15_Rate))^(Slot15_Age-D9))/(1-(1+AS_Wage)/(1+Slot15_Rate))),1)</f>
        <v>1</v>
      </c>
      <c r="MO9" s="20" t="n">
        <f aca="false">IF(AND(HU9=1,IE9&gt;0,Slot15_IsWG=1,FH9=1),MAX(0,(Slot15_Cost-FI9*(1+Slot15_Rate)^(Slot15_Age-D9))/MN9),0)</f>
        <v>0</v>
      </c>
      <c r="MP9" s="20" t="n">
        <f aca="false">IF(AND(HU9=1,IE9&gt;0,Slot15_IsWG=1,FH9=1),MIN(IE9,MO9),0)</f>
        <v>0</v>
      </c>
      <c r="MQ9" s="20" t="n">
        <f aca="false">FI9+MP9</f>
        <v>0</v>
      </c>
      <c r="MR9" s="20" t="n">
        <f aca="false">IF(FH9=1,MAX(0,(Slot15_Cost-MQ9*(1+Slot15_Rate)^(Slot15_Age-D9))/MN9),0)</f>
        <v>0</v>
      </c>
      <c r="MS9" s="20" t="n">
        <f aca="false">IF(FH9=1,MAX(0,(Slot15_Cost-FI9*(1+Slot15_Rate)^(Slot15_Age-D9))/MN9),0)</f>
        <v>0</v>
      </c>
      <c r="MT9" s="20" t="n">
        <f aca="false">IF(AND(HU9=1,FH9=1),MIN(MM9,MR9),0)</f>
        <v>0</v>
      </c>
      <c r="MU9" s="20" t="n">
        <f aca="false">MM9-MT9</f>
        <v>0</v>
      </c>
      <c r="MV9" s="20" t="n">
        <f aca="false">IF(FR9=1,IF(ABS((1+AS_Wage)/(1+Slot16_Rate)-1)&lt;0.000000000001,(Slot16_Age-D9)*(1+Slot16_Rate)^(Slot16_Age-D9),(1+Slot16_Rate)^(Slot16_Age-D9)*(1-((1+AS_Wage)/(1+Slot16_Rate))^(Slot16_Age-D9))/(1-(1+AS_Wage)/(1+Slot16_Rate))),1)</f>
        <v>1</v>
      </c>
      <c r="MW9" s="20" t="n">
        <f aca="false">IF(AND(HU9=1,IE9&gt;0,Slot16_IsWG=1,FR9=1),MAX(0,(Slot16_Cost-FS9*(1+Slot16_Rate)^(Slot16_Age-D9))/MV9),0)</f>
        <v>0</v>
      </c>
      <c r="MX9" s="20" t="n">
        <f aca="false">IF(AND(HU9=1,IE9&gt;0,Slot16_IsWG=1,FR9=1),MIN(IE9,MW9),0)</f>
        <v>0</v>
      </c>
      <c r="MY9" s="20" t="n">
        <f aca="false">FS9+MX9</f>
        <v>0</v>
      </c>
      <c r="MZ9" s="20" t="n">
        <f aca="false">IF(FR9=1,MAX(0,(Slot16_Cost-MY9*(1+Slot16_Rate)^(Slot16_Age-D9))/MV9),0)</f>
        <v>0</v>
      </c>
      <c r="NA9" s="20" t="n">
        <f aca="false">IF(FR9=1,MAX(0,(Slot16_Cost-FS9*(1+Slot16_Rate)^(Slot16_Age-D9))/MV9),0)</f>
        <v>0</v>
      </c>
      <c r="NB9" s="20" t="n">
        <f aca="false">IF(AND(HU9=1,FR9=1),MIN(MU9,MZ9),0)</f>
        <v>0</v>
      </c>
      <c r="NC9" s="20" t="n">
        <f aca="false">MU9-NB9</f>
        <v>0</v>
      </c>
      <c r="ND9" s="20" t="n">
        <f aca="false">IF(GB9=1,IF(ABS((1+AS_Wage)/(1+Slot17_Rate)-1)&lt;0.000000000001,(Slot17_Age-D9)*(1+Slot17_Rate)^(Slot17_Age-D9),(1+Slot17_Rate)^(Slot17_Age-D9)*(1-((1+AS_Wage)/(1+Slot17_Rate))^(Slot17_Age-D9))/(1-(1+AS_Wage)/(1+Slot17_Rate))),1)</f>
        <v>1</v>
      </c>
      <c r="NE9" s="20" t="n">
        <f aca="false">IF(AND(HU9=1,IE9&gt;0,Slot17_IsWG=1,GB9=1),MAX(0,(Slot17_Cost-GC9*(1+Slot17_Rate)^(Slot17_Age-D9))/ND9),0)</f>
        <v>0</v>
      </c>
      <c r="NF9" s="20" t="n">
        <f aca="false">IF(AND(HU9=1,IE9&gt;0,Slot17_IsWG=1,GB9=1),MIN(IE9,NE9),0)</f>
        <v>0</v>
      </c>
      <c r="NG9" s="20" t="n">
        <f aca="false">GC9+NF9</f>
        <v>0</v>
      </c>
      <c r="NH9" s="20" t="n">
        <f aca="false">IF(GB9=1,MAX(0,(Slot17_Cost-NG9*(1+Slot17_Rate)^(Slot17_Age-D9))/ND9),0)</f>
        <v>0</v>
      </c>
      <c r="NI9" s="20" t="n">
        <f aca="false">IF(GB9=1,MAX(0,(Slot17_Cost-GC9*(1+Slot17_Rate)^(Slot17_Age-D9))/ND9),0)</f>
        <v>0</v>
      </c>
      <c r="NJ9" s="20" t="n">
        <f aca="false">IF(AND(HU9=1,GB9=1),MIN(NC9,NH9),0)</f>
        <v>0</v>
      </c>
      <c r="NK9" s="20" t="n">
        <f aca="false">NC9-NJ9</f>
        <v>0</v>
      </c>
      <c r="NL9" s="20" t="n">
        <f aca="false">IF(GL9=1,IF(ABS((1+AS_Wage)/(1+Slot18_Rate)-1)&lt;0.000000000001,(Slot18_Age-D9)*(1+Slot18_Rate)^(Slot18_Age-D9),(1+Slot18_Rate)^(Slot18_Age-D9)*(1-((1+AS_Wage)/(1+Slot18_Rate))^(Slot18_Age-D9))/(1-(1+AS_Wage)/(1+Slot18_Rate))),1)</f>
        <v>1</v>
      </c>
      <c r="NM9" s="20" t="n">
        <f aca="false">IF(AND(HU9=1,IE9&gt;0,Slot18_IsWG=1,GL9=1),MAX(0,(Slot18_Cost-GM9*(1+Slot18_Rate)^(Slot18_Age-D9))/NL9),0)</f>
        <v>0</v>
      </c>
      <c r="NN9" s="20" t="n">
        <f aca="false">IF(AND(HU9=1,IE9&gt;0,Slot18_IsWG=1,GL9=1),MIN(IE9,NM9),0)</f>
        <v>0</v>
      </c>
      <c r="NO9" s="20" t="n">
        <f aca="false">GM9+NN9</f>
        <v>0</v>
      </c>
      <c r="NP9" s="20" t="n">
        <f aca="false">IF(GL9=1,MAX(0,(Slot18_Cost-NO9*(1+Slot18_Rate)^(Slot18_Age-D9))/NL9),0)</f>
        <v>0</v>
      </c>
      <c r="NQ9" s="20" t="n">
        <f aca="false">IF(GL9=1,MAX(0,(Slot18_Cost-GM9*(1+Slot18_Rate)^(Slot18_Age-D9))/NL9),0)</f>
        <v>0</v>
      </c>
      <c r="NR9" s="20" t="n">
        <f aca="false">IF(AND(HU9=1,GL9=1),MIN(NK9,NP9),0)</f>
        <v>0</v>
      </c>
      <c r="NS9" s="20" t="n">
        <f aca="false">NK9-NR9</f>
        <v>0</v>
      </c>
      <c r="NT9" s="20" t="n">
        <f aca="false">IF(GV9=1,IF(ABS((1+AS_Wage)/(1+Slot19_Rate)-1)&lt;0.000000000001,(Slot19_Age-D9)*(1+Slot19_Rate)^(Slot19_Age-D9),(1+Slot19_Rate)^(Slot19_Age-D9)*(1-((1+AS_Wage)/(1+Slot19_Rate))^(Slot19_Age-D9))/(1-(1+AS_Wage)/(1+Slot19_Rate))),1)</f>
        <v>1</v>
      </c>
      <c r="NU9" s="20" t="n">
        <f aca="false">IF(AND(HU9=1,IE9&gt;0,Slot19_IsWG=1,GV9=1),MAX(0,(Slot19_Cost-GW9*(1+Slot19_Rate)^(Slot19_Age-D9))/NT9),0)</f>
        <v>0</v>
      </c>
      <c r="NV9" s="20" t="n">
        <f aca="false">IF(AND(HU9=1,IE9&gt;0,Slot19_IsWG=1,GV9=1),MIN(IE9,NU9),0)</f>
        <v>0</v>
      </c>
      <c r="NW9" s="20" t="n">
        <f aca="false">GW9+NV9</f>
        <v>0</v>
      </c>
      <c r="NX9" s="20" t="n">
        <f aca="false">IF(GV9=1,MAX(0,(Slot19_Cost-NW9*(1+Slot19_Rate)^(Slot19_Age-D9))/NT9),0)</f>
        <v>0</v>
      </c>
      <c r="NY9" s="20" t="n">
        <f aca="false">IF(GV9=1,MAX(0,(Slot19_Cost-GW9*(1+Slot19_Rate)^(Slot19_Age-D9))/NT9),0)</f>
        <v>0</v>
      </c>
      <c r="NZ9" s="20" t="n">
        <f aca="false">IF(AND(HU9=1,GV9=1),MIN(NS9,NX9),0)</f>
        <v>0</v>
      </c>
      <c r="OA9" s="20" t="n">
        <f aca="false">NS9-NZ9</f>
        <v>0</v>
      </c>
      <c r="OB9" s="20" t="n">
        <f aca="false">IF(HF9=1,IF(ABS((1+AS_Wage)/(1+Slot20_Rate)-1)&lt;0.000000000001,(Slot20_Age-D9)*(1+Slot20_Rate)^(Slot20_Age-D9),(1+Slot20_Rate)^(Slot20_Age-D9)*(1-((1+AS_Wage)/(1+Slot20_Rate))^(Slot20_Age-D9))/(1-(1+AS_Wage)/(1+Slot20_Rate))),1)</f>
        <v>1</v>
      </c>
      <c r="OC9" s="20" t="n">
        <f aca="false">IF(AND(HU9=1,IE9&gt;0,Slot20_IsWG=1,HF9=1),MAX(0,(Slot20_Cost-HG9*(1+Slot20_Rate)^(Slot20_Age-D9))/OB9),0)</f>
        <v>0</v>
      </c>
      <c r="OD9" s="20" t="n">
        <f aca="false">IF(AND(HU9=1,IE9&gt;0,Slot20_IsWG=1,HF9=1),MIN(IE9,OC9),0)</f>
        <v>0</v>
      </c>
      <c r="OE9" s="20" t="n">
        <f aca="false">HG9+OD9</f>
        <v>0</v>
      </c>
      <c r="OF9" s="20" t="n">
        <f aca="false">IF(HF9=1,MAX(0,(Slot20_Cost-OE9*(1+Slot20_Rate)^(Slot20_Age-D9))/OB9),0)</f>
        <v>0</v>
      </c>
      <c r="OG9" s="20" t="n">
        <f aca="false">IF(HF9=1,MAX(0,(Slot20_Cost-HG9*(1+Slot20_Rate)^(Slot20_Age-D9))/OB9),0)</f>
        <v>0</v>
      </c>
      <c r="OH9" s="20" t="n">
        <f aca="false">IF(AND(HU9=1,HF9=1),MIN(OA9,OF9),0)</f>
        <v>0</v>
      </c>
      <c r="OI9" s="20" t="n">
        <f aca="false">OA9-OH9</f>
        <v>0</v>
      </c>
      <c r="OJ9" s="20" t="n">
        <f aca="false">IE9-(IH9+IP9+IX9+JF9+JN9+JV9+KD9+KL9+KT9+LB9+LJ9+LR9+LZ9+MH9+MP9+MX9+NF9+NN9+NV9+OD9)</f>
        <v>0</v>
      </c>
      <c r="OK9" s="20" t="n">
        <f aca="false">IF(HU9=1,HS9-ID9-IE9,0)</f>
        <v>1292.7736</v>
      </c>
      <c r="OL9" s="20" t="n">
        <f aca="false">IF(HU9=0,-HS9,0)</f>
        <v>0</v>
      </c>
      <c r="OM9" s="20" t="n">
        <f aca="false">MIN(OL9,HK9)</f>
        <v>0</v>
      </c>
      <c r="ON9" s="20" t="n">
        <f aca="false">OL9-OM9</f>
        <v>0</v>
      </c>
      <c r="OO9" s="20" t="n">
        <f aca="false">MIN(ON9,HL9)</f>
        <v>0</v>
      </c>
      <c r="OP9" s="20" t="n">
        <f aca="false">ON9-OO9</f>
        <v>0</v>
      </c>
      <c r="OQ9" s="20" t="n">
        <f aca="false">IF(AND(HU9=0,HF9=1,OP9&gt;0),MIN(OP9,HG9),0)</f>
        <v>0</v>
      </c>
      <c r="OR9" s="20" t="n">
        <f aca="false">OP9-OQ9</f>
        <v>0</v>
      </c>
      <c r="OS9" s="20" t="n">
        <f aca="false">IF(AND(HU9=0,GV9=1,OR9&gt;0),MIN(OR9,GW9),0)</f>
        <v>0</v>
      </c>
      <c r="OT9" s="20" t="n">
        <f aca="false">OR9-OS9</f>
        <v>0</v>
      </c>
      <c r="OU9" s="20" t="n">
        <f aca="false">IF(AND(HU9=0,GL9=1,OT9&gt;0),MIN(OT9,GM9),0)</f>
        <v>0</v>
      </c>
      <c r="OV9" s="20" t="n">
        <f aca="false">OT9-OU9</f>
        <v>0</v>
      </c>
      <c r="OW9" s="20" t="n">
        <f aca="false">IF(AND(HU9=0,GB9=1,OV9&gt;0),MIN(OV9,GC9),0)</f>
        <v>0</v>
      </c>
      <c r="OX9" s="20" t="n">
        <f aca="false">OV9-OW9</f>
        <v>0</v>
      </c>
      <c r="OY9" s="20" t="n">
        <f aca="false">IF(AND(HU9=0,FR9=1,OX9&gt;0),MIN(OX9,FS9),0)</f>
        <v>0</v>
      </c>
      <c r="OZ9" s="20" t="n">
        <f aca="false">OX9-OY9</f>
        <v>0</v>
      </c>
      <c r="PA9" s="20" t="n">
        <f aca="false">IF(AND(HU9=0,FH9=1,OZ9&gt;0),MIN(OZ9,FI9),0)</f>
        <v>0</v>
      </c>
      <c r="PB9" s="20" t="n">
        <f aca="false">OZ9-PA9</f>
        <v>0</v>
      </c>
      <c r="PC9" s="20" t="n">
        <f aca="false">IF(AND(HU9=0,EX9=1,PB9&gt;0),MIN(PB9,EY9),0)</f>
        <v>0</v>
      </c>
      <c r="PD9" s="20" t="n">
        <f aca="false">PB9-PC9</f>
        <v>0</v>
      </c>
      <c r="PE9" s="20" t="n">
        <f aca="false">IF(AND(HU9=0,EN9=1,PD9&gt;0),MIN(PD9,EO9),0)</f>
        <v>0</v>
      </c>
      <c r="PF9" s="20" t="n">
        <f aca="false">PD9-PE9</f>
        <v>0</v>
      </c>
      <c r="PG9" s="20" t="n">
        <f aca="false">IF(AND(HU9=0,ED9=1,PF9&gt;0),MIN(PF9,EE9),0)</f>
        <v>0</v>
      </c>
      <c r="PH9" s="20" t="n">
        <f aca="false">PF9-PG9</f>
        <v>0</v>
      </c>
      <c r="PI9" s="20" t="n">
        <f aca="false">IF(AND(HU9=0,DT9=1,PH9&gt;0),MIN(PH9,DU9),0)</f>
        <v>0</v>
      </c>
      <c r="PJ9" s="20" t="n">
        <f aca="false">PH9-PI9</f>
        <v>0</v>
      </c>
      <c r="PK9" s="20" t="n">
        <f aca="false">IF(AND(HU9=0,DJ9=1,PJ9&gt;0),MIN(PJ9,DK9),0)</f>
        <v>0</v>
      </c>
      <c r="PL9" s="20" t="n">
        <f aca="false">PJ9-PK9</f>
        <v>0</v>
      </c>
      <c r="PM9" s="20" t="n">
        <f aca="false">IF(AND(HU9=0,CZ9=1,PL9&gt;0),MIN(PL9,DA9),0)</f>
        <v>0</v>
      </c>
      <c r="PN9" s="20" t="n">
        <f aca="false">PL9-PM9</f>
        <v>0</v>
      </c>
      <c r="PO9" s="20" t="n">
        <f aca="false">IF(AND(HU9=0,CP9=1,PN9&gt;0),MIN(PN9,CQ9),0)</f>
        <v>0</v>
      </c>
      <c r="PP9" s="20" t="n">
        <f aca="false">PN9-PO9</f>
        <v>0</v>
      </c>
      <c r="PQ9" s="20" t="n">
        <f aca="false">IF(AND(HU9=0,CF9=1,PP9&gt;0),MIN(PP9,CG9),0)</f>
        <v>0</v>
      </c>
      <c r="PR9" s="20" t="n">
        <f aca="false">PP9-PQ9</f>
        <v>0</v>
      </c>
      <c r="PS9" s="20" t="n">
        <f aca="false">IF(AND(HU9=0,BV9=1,PR9&gt;0),MIN(PR9,BW9),0)</f>
        <v>0</v>
      </c>
      <c r="PT9" s="20" t="n">
        <f aca="false">PR9-PS9</f>
        <v>0</v>
      </c>
      <c r="PU9" s="20" t="n">
        <f aca="false">IF(AND(HU9=0,BL9=1,PT9&gt;0),MIN(PT9,BM9),0)</f>
        <v>0</v>
      </c>
      <c r="PV9" s="20" t="n">
        <f aca="false">PT9-PU9</f>
        <v>0</v>
      </c>
      <c r="PW9" s="20" t="n">
        <f aca="false">IF(AND(HU9=0,BB9=1,PV9&gt;0),MIN(PV9,BC9),0)</f>
        <v>0</v>
      </c>
      <c r="PX9" s="20" t="n">
        <f aca="false">PV9-PW9</f>
        <v>0</v>
      </c>
      <c r="PY9" s="20" t="n">
        <f aca="false">IF(AND(HU9=0,AR9=1,PX9&gt;0),MIN(PX9,AS9),0)</f>
        <v>0</v>
      </c>
      <c r="PZ9" s="20" t="n">
        <f aca="false">PX9-PY9</f>
        <v>0</v>
      </c>
      <c r="QA9" s="20" t="n">
        <f aca="false">IF(AND(HU9=0,AH9=1,PZ9&gt;0),MIN(PZ9,AI9),0)</f>
        <v>0</v>
      </c>
      <c r="QB9" s="20" t="n">
        <f aca="false">PZ9-QA9</f>
        <v>0</v>
      </c>
      <c r="QC9" s="20" t="n">
        <f aca="false">IF(AND(HU9=0,W9=1,QB9&gt;0),MIN(QB9,X9),0)</f>
        <v>0</v>
      </c>
      <c r="QD9" s="20" t="n">
        <f aca="false">QB9-QC9</f>
        <v>0</v>
      </c>
      <c r="QE9" s="20" t="n">
        <f aca="false">IF(HU9=0,QD9,0)</f>
        <v>0</v>
      </c>
      <c r="QF9" s="20" t="n">
        <f aca="false">OM9+OO9+QC9+QA9+PY9+PW9+PU9+PS9+PQ9+PO9+PM9+PK9+PI9+PG9+PE9+PC9+PA9+OY9+OW9+OU9+OS9+OQ9</f>
        <v>0</v>
      </c>
      <c r="QG9" s="20" t="n">
        <f aca="false">IF(HU9=1,HK9+OJ9+OI9+IF(G9=1,0,OK9),HK9-OM9)</f>
        <v>0</v>
      </c>
      <c r="QH9" s="20" t="n">
        <f aca="false">HL9-OO9</f>
        <v>0</v>
      </c>
      <c r="QI9" s="20" t="n">
        <f aca="false">IF(HU9=1,IF(G9=1,ID9+IE9,HS9),0)</f>
        <v>1292.7736</v>
      </c>
      <c r="QJ9" s="20" t="n">
        <f aca="false">IF(HU9=1,IF(G9=1,HS9-ID9-IE9,0),0)</f>
        <v>1292.7736</v>
      </c>
      <c r="QK9" s="20" t="n">
        <f aca="false">QG9*(1+GR)</f>
        <v>0</v>
      </c>
      <c r="QL9" s="20" t="n">
        <f aca="false">QH9*(1+AS_Cash)</f>
        <v>0</v>
      </c>
      <c r="QM9" s="20" t="n">
        <f aca="false">IF(W9=1,IF(HU9=1,II9+IL9,X9-QC9)*(1+Slot1_Rate),0)</f>
        <v>15606</v>
      </c>
      <c r="QN9" s="20" t="n">
        <f aca="false">IF(AND(HU9=1,W9=1),(IH9+IL9)/F9,0)</f>
        <v>49.2453397588887</v>
      </c>
      <c r="QO9" s="20" t="n">
        <f aca="false">IF(B9=0,IH9+IL9,0)</f>
        <v>0</v>
      </c>
      <c r="QP9" s="20" t="n">
        <f aca="false">IF(B9=0,IF(HU9=1,IJ9,IK9),0)</f>
        <v>0</v>
      </c>
      <c r="QQ9" s="20" t="n">
        <f aca="false">IF(AH9=1,IF(HU9=1,IQ9+IT9,AI9-QA9)*(1+Slot2_Rate),0)</f>
        <v>1968.23601169623</v>
      </c>
      <c r="QR9" s="20" t="n">
        <f aca="false">IF(AND(HU9=1,AH9=1),(IP9+IT9)/F9,0)</f>
        <v>1218.17975828032</v>
      </c>
      <c r="QS9" s="20" t="n">
        <f aca="false">IF(B9=0,IP9+IT9,0)</f>
        <v>0</v>
      </c>
      <c r="QT9" s="20" t="n">
        <f aca="false">IF(B9=0,IF(HU9=1,IR9,IS9),0)</f>
        <v>0</v>
      </c>
      <c r="QU9" s="20" t="n">
        <f aca="false">IF(AR9=1,IF(HU9=1,IY9+JB9,AS9-PY9)*(1+Slot3_Rate),0)</f>
        <v>0</v>
      </c>
      <c r="QV9" s="20" t="n">
        <f aca="false">IF(AND(HU9=1,AR9=1),(IX9+JB9)/F9,0)</f>
        <v>0</v>
      </c>
      <c r="QW9" s="20" t="n">
        <f aca="false">IF(B9=0,IX9+JB9,0)</f>
        <v>0</v>
      </c>
      <c r="QX9" s="20" t="n">
        <f aca="false">IF(B9=0,IF(HU9=1,IZ9,JA9),0)</f>
        <v>0</v>
      </c>
      <c r="QY9" s="20" t="n">
        <f aca="false">IF(BB9=1,IF(HU9=1,JG9+JJ9,BC9-PW9)*(1+Slot4_Rate),0)</f>
        <v>0</v>
      </c>
      <c r="QZ9" s="20" t="n">
        <f aca="false">IF(AND(HU9=1,BB9=1),(JF9+JJ9)/F9,0)</f>
        <v>0</v>
      </c>
      <c r="RA9" s="20" t="n">
        <f aca="false">IF(B9=0,JF9+JJ9,0)</f>
        <v>0</v>
      </c>
      <c r="RB9" s="20" t="n">
        <f aca="false">IF(B9=0,IF(HU9=1,JH9,JI9),0)</f>
        <v>0</v>
      </c>
      <c r="RC9" s="20" t="n">
        <f aca="false">IF(BL9=1,IF(HU9=1,JO9+JR9,BM9-PU9)*(1+Slot5_Rate),0)</f>
        <v>0</v>
      </c>
      <c r="RD9" s="20" t="n">
        <f aca="false">IF(AND(HU9=1,BL9=1),(JN9+JR9)/F9,0)</f>
        <v>0</v>
      </c>
      <c r="RE9" s="20" t="n">
        <f aca="false">IF(B9=0,JN9+JR9,0)</f>
        <v>0</v>
      </c>
      <c r="RF9" s="20" t="n">
        <f aca="false">IF(B9=0,IF(HU9=1,JP9,JQ9),0)</f>
        <v>0</v>
      </c>
      <c r="RG9" s="20" t="n">
        <f aca="false">IF(BV9=1,IF(HU9=1,JW9+JZ9,BW9-PS9)*(1+Slot6_Rate),0)</f>
        <v>0</v>
      </c>
      <c r="RH9" s="20" t="n">
        <f aca="false">IF(AND(HU9=1,BV9=1),(JV9+JZ9)/F9,0)</f>
        <v>0</v>
      </c>
      <c r="RI9" s="20" t="n">
        <f aca="false">IF(B9=0,JV9+JZ9,0)</f>
        <v>0</v>
      </c>
      <c r="RJ9" s="20" t="n">
        <f aca="false">IF(B9=0,IF(HU9=1,JX9,JY9),0)</f>
        <v>0</v>
      </c>
      <c r="RK9" s="20" t="n">
        <f aca="false">IF(CF9=1,IF(HU9=1,KE9+KH9,CG9-PQ9)*(1+Slot7_Rate),0)</f>
        <v>0</v>
      </c>
      <c r="RL9" s="20" t="n">
        <f aca="false">IF(AND(HU9=1,CF9=1),(KD9+KH9)/F9,0)</f>
        <v>0</v>
      </c>
      <c r="RM9" s="20" t="n">
        <f aca="false">IF(B9=0,KD9+KH9,0)</f>
        <v>0</v>
      </c>
      <c r="RN9" s="20" t="n">
        <f aca="false">IF(B9=0,IF(HU9=1,KF9,KG9),0)</f>
        <v>0</v>
      </c>
      <c r="RO9" s="20" t="n">
        <f aca="false">IF(CP9=1,IF(HU9=1,KM9+KP9,CQ9-PO9)*(1+Slot8_Rate),0)</f>
        <v>0</v>
      </c>
      <c r="RP9" s="20" t="n">
        <f aca="false">IF(AND(HU9=1,CP9=1),(KL9+KP9)/F9,0)</f>
        <v>0</v>
      </c>
      <c r="RQ9" s="20" t="n">
        <f aca="false">IF(B9=0,KL9+KP9,0)</f>
        <v>0</v>
      </c>
      <c r="RR9" s="20" t="n">
        <f aca="false">IF(B9=0,IF(HU9=1,KN9,KO9),0)</f>
        <v>0</v>
      </c>
      <c r="RS9" s="20" t="n">
        <f aca="false">IF(CZ9=1,IF(HU9=1,KU9+KX9,DA9-PM9)*(1+Slot9_Rate),0)</f>
        <v>0</v>
      </c>
      <c r="RT9" s="20" t="n">
        <f aca="false">IF(AND(HU9=1,CZ9=1),(KT9+KX9)/F9,0)</f>
        <v>0</v>
      </c>
      <c r="RU9" s="20" t="n">
        <f aca="false">IF(B9=0,KT9+KX9,0)</f>
        <v>0</v>
      </c>
      <c r="RV9" s="20" t="n">
        <f aca="false">IF(B9=0,IF(HU9=1,KV9,KW9),0)</f>
        <v>0</v>
      </c>
      <c r="RW9" s="20" t="n">
        <f aca="false">IF(DJ9=1,IF(HU9=1,LC9+LF9,DK9-PK9)*(1+Slot10_Rate),0)</f>
        <v>0</v>
      </c>
      <c r="RX9" s="20" t="n">
        <f aca="false">IF(AND(HU9=1,DJ9=1),(LB9+LF9)/F9,0)</f>
        <v>0</v>
      </c>
      <c r="RY9" s="20" t="n">
        <f aca="false">IF(B9=0,LB9+LF9,0)</f>
        <v>0</v>
      </c>
      <c r="RZ9" s="20" t="n">
        <f aca="false">IF(B9=0,IF(HU9=1,LD9,LE9),0)</f>
        <v>0</v>
      </c>
      <c r="SA9" s="20" t="n">
        <f aca="false">IF(DT9=1,IF(HU9=1,LK9+LN9,DU9-PI9)*(1+Slot11_Rate),0)</f>
        <v>0</v>
      </c>
      <c r="SB9" s="20" t="n">
        <f aca="false">IF(AND(HU9=1,DT9=1),(LJ9+LN9)/F9,0)</f>
        <v>0</v>
      </c>
      <c r="SC9" s="20" t="n">
        <f aca="false">IF(B9=0,LJ9+LN9,0)</f>
        <v>0</v>
      </c>
      <c r="SD9" s="20" t="n">
        <f aca="false">IF(B9=0,IF(HU9=1,LL9,LM9),0)</f>
        <v>0</v>
      </c>
      <c r="SE9" s="20" t="n">
        <f aca="false">IF(ED9=1,IF(HU9=1,LS9+LV9,EE9-PG9)*(1+Slot12_Rate),0)</f>
        <v>0</v>
      </c>
      <c r="SF9" s="20" t="n">
        <f aca="false">IF(AND(HU9=1,ED9=1),(LR9+LV9)/F9,0)</f>
        <v>0</v>
      </c>
      <c r="SG9" s="20" t="n">
        <f aca="false">IF(B9=0,LR9+LV9,0)</f>
        <v>0</v>
      </c>
      <c r="SH9" s="20" t="n">
        <f aca="false">IF(B9=0,IF(HU9=1,LT9,LU9),0)</f>
        <v>0</v>
      </c>
      <c r="SI9" s="20" t="n">
        <f aca="false">IF(EN9=1,IF(HU9=1,MA9+MD9,EO9-PE9)*(1+Slot13_Rate),0)</f>
        <v>0</v>
      </c>
      <c r="SJ9" s="20" t="n">
        <f aca="false">IF(AND(HU9=1,EN9=1),(LZ9+MD9)/F9,0)</f>
        <v>0</v>
      </c>
      <c r="SK9" s="20" t="n">
        <f aca="false">IF(B9=0,LZ9+MD9,0)</f>
        <v>0</v>
      </c>
      <c r="SL9" s="20" t="n">
        <f aca="false">IF(B9=0,IF(HU9=1,MB9,MC9),0)</f>
        <v>0</v>
      </c>
      <c r="SM9" s="20" t="n">
        <f aca="false">IF(EX9=1,IF(HU9=1,MI9+ML9,EY9-PC9)*(1+Slot14_Rate),0)</f>
        <v>0</v>
      </c>
      <c r="SN9" s="20" t="n">
        <f aca="false">IF(AND(HU9=1,EX9=1),(MH9+ML9)/F9,0)</f>
        <v>0</v>
      </c>
      <c r="SO9" s="20" t="n">
        <f aca="false">IF(B9=0,MH9+ML9,0)</f>
        <v>0</v>
      </c>
      <c r="SP9" s="20" t="n">
        <f aca="false">IF(B9=0,IF(HU9=1,MJ9,MK9),0)</f>
        <v>0</v>
      </c>
      <c r="SQ9" s="20" t="n">
        <f aca="false">IF(FH9=1,IF(HU9=1,MQ9+MT9,FI9-PA9)*(1+Slot15_Rate),0)</f>
        <v>0</v>
      </c>
      <c r="SR9" s="20" t="n">
        <f aca="false">IF(AND(HU9=1,FH9=1),(MP9+MT9)/F9,0)</f>
        <v>0</v>
      </c>
      <c r="SS9" s="20" t="n">
        <f aca="false">IF(B9=0,MP9+MT9,0)</f>
        <v>0</v>
      </c>
      <c r="ST9" s="20" t="n">
        <f aca="false">IF(B9=0,IF(HU9=1,MR9,MS9),0)</f>
        <v>0</v>
      </c>
      <c r="SU9" s="20" t="n">
        <f aca="false">IF(FR9=1,IF(HU9=1,MY9+NB9,FS9-OY9)*(1+Slot16_Rate),0)</f>
        <v>0</v>
      </c>
      <c r="SV9" s="20" t="n">
        <f aca="false">IF(AND(HU9=1,FR9=1),(MX9+NB9)/F9,0)</f>
        <v>0</v>
      </c>
      <c r="SW9" s="20" t="n">
        <f aca="false">IF(B9=0,MX9+NB9,0)</f>
        <v>0</v>
      </c>
      <c r="SX9" s="20" t="n">
        <f aca="false">IF(B9=0,IF(HU9=1,MZ9,NA9),0)</f>
        <v>0</v>
      </c>
      <c r="SY9" s="20" t="n">
        <f aca="false">IF(GB9=1,IF(HU9=1,NG9+NJ9,GC9-OW9)*(1+Slot17_Rate),0)</f>
        <v>0</v>
      </c>
      <c r="SZ9" s="20" t="n">
        <f aca="false">IF(AND(HU9=1,GB9=1),(NF9+NJ9)/F9,0)</f>
        <v>0</v>
      </c>
      <c r="TA9" s="20" t="n">
        <f aca="false">IF(B9=0,NF9+NJ9,0)</f>
        <v>0</v>
      </c>
      <c r="TB9" s="20" t="n">
        <f aca="false">IF(B9=0,IF(HU9=1,NH9,NI9),0)</f>
        <v>0</v>
      </c>
      <c r="TC9" s="20" t="n">
        <f aca="false">IF(GL9=1,IF(HU9=1,NO9+NR9,GM9-OU9)*(1+Slot18_Rate),0)</f>
        <v>0</v>
      </c>
      <c r="TD9" s="20" t="n">
        <f aca="false">IF(AND(HU9=1,GL9=1),(NN9+NR9)/F9,0)</f>
        <v>0</v>
      </c>
      <c r="TE9" s="20" t="n">
        <f aca="false">IF(B9=0,NN9+NR9,0)</f>
        <v>0</v>
      </c>
      <c r="TF9" s="20" t="n">
        <f aca="false">IF(B9=0,IF(HU9=1,NP9,NQ9),0)</f>
        <v>0</v>
      </c>
      <c r="TG9" s="20" t="n">
        <f aca="false">IF(GV9=1,IF(HU9=1,NW9+NZ9,GW9-OS9)*(1+Slot19_Rate),0)</f>
        <v>0</v>
      </c>
      <c r="TH9" s="20" t="n">
        <f aca="false">IF(AND(HU9=1,GV9=1),(NV9+NZ9)/F9,0)</f>
        <v>0</v>
      </c>
      <c r="TI9" s="20" t="n">
        <f aca="false">IF(B9=0,NV9+NZ9,0)</f>
        <v>0</v>
      </c>
      <c r="TJ9" s="20" t="n">
        <f aca="false">IF(B9=0,IF(HU9=1,NX9,NY9),0)</f>
        <v>0</v>
      </c>
      <c r="TK9" s="20" t="n">
        <f aca="false">IF(HF9=1,IF(HU9=1,OE9+OH9,HG9-OQ9)*(1+Slot20_Rate),0)</f>
        <v>0</v>
      </c>
      <c r="TL9" s="20" t="n">
        <f aca="false">IF(AND(HU9=1,HF9=1),(OD9+OH9)/F9,0)</f>
        <v>0</v>
      </c>
      <c r="TM9" s="20" t="n">
        <f aca="false">IF(B9=0,OD9+OH9,0)</f>
        <v>0</v>
      </c>
      <c r="TN9" s="20" t="n">
        <f aca="false">IF(B9=0,IF(HU9=1,OF9,OG9),0)</f>
        <v>0</v>
      </c>
      <c r="TO9" s="20" t="n">
        <f aca="false">QK9+QL9+QM9+QQ9+QU9+QY9+RC9+RG9+RK9+RO9+RS9+RW9+SA9+SE9+SI9+SM9+SQ9+SU9+SY9+TC9+TG9+TK9</f>
        <v>17574.2360116962</v>
      </c>
      <c r="TP9" s="20" t="n">
        <f aca="false">QE9+HP9</f>
        <v>0</v>
      </c>
      <c r="TQ9" s="20" t="n">
        <f aca="false">I9+S9</f>
        <v>61260</v>
      </c>
      <c r="TR9" s="20" t="n">
        <f aca="false">1-G9</f>
        <v>0</v>
      </c>
      <c r="TS9" s="20" t="n">
        <f aca="false">IF(AND(RG_Exists=1,G9=0,C9=1),I9,0)</f>
        <v>0</v>
      </c>
      <c r="TT9" s="20" t="n">
        <f aca="false">IF(AND(RG_Exists=1,G9=0,C9=1),I9-MIN(QE9,I9),0)</f>
        <v>0</v>
      </c>
      <c r="TU9" s="20" t="n">
        <f aca="false">'Plan pay &amp; tax'!AD235</f>
        <v>91573.8</v>
      </c>
      <c r="TV9" s="20" t="n">
        <f aca="false">IF(AND(C9=1,QE9&gt;MAX(PR_Short1,TQ9*PR_Short2)),1,0)</f>
        <v>0</v>
      </c>
      <c r="TW9" s="20" t="n">
        <f aca="false">MIN(H9,I9+S9)</f>
        <v>61260</v>
      </c>
      <c r="TX9" s="20" t="n">
        <f aca="false">QF9+MAX(0,HQ9-HP9)</f>
        <v>0</v>
      </c>
      <c r="TY9" s="20" t="n">
        <f aca="false">QE9+HP9</f>
        <v>0</v>
      </c>
      <c r="TZ9" s="20" t="n">
        <f aca="false">IF(AND(C9=1,TY9&gt;PR_MinShort),1,0)</f>
        <v>0</v>
      </c>
      <c r="UA9" s="20" t="n">
        <f aca="false">IF(AND(C9=1,TZ9=0,TX9&gt;PR_MinShort),1,0)</f>
        <v>0</v>
      </c>
      <c r="UB9" s="20" t="n">
        <f aca="false">IF(AND(C9=1,QE9&gt;PR_MinShort),1,0)</f>
        <v>0</v>
      </c>
      <c r="UC9" s="20" t="n">
        <f aca="false">IF(AND(C9=1,QF9&gt;1,UJ9=0),1,0)</f>
        <v>0</v>
      </c>
      <c r="UD9" s="20" t="str">
        <f aca="false">IF(C9=0,"",IF(UJ9=1,"Gap to plan for: short "&amp;"€"&amp;TEXT(ROUND(TP9,0),"#,##0"),IF(QF9&gt;1,"Using savings","Comfortable")))</f>
        <v>Comfortable</v>
      </c>
      <c r="UE9" s="20" t="n">
        <f aca="false">IF(AND(INT(D9/10)*10=90,B9&gt;0),80,INT(D9/10)*10)</f>
        <v>30</v>
      </c>
      <c r="UF9" s="20" t="n">
        <f aca="false">IF(B9=0,1,IF(UE9&lt;&gt;UE8,UF8+1,UF8))</f>
        <v>1</v>
      </c>
      <c r="UG9" s="20" t="n">
        <f aca="false">IF(AND(C9=1,G9=1,QE9&gt;MAX(PR_Short1,TQ9*PR_Short2)),1,0)</f>
        <v>0</v>
      </c>
      <c r="UH9" s="20" t="n">
        <f aca="false">TR9*TV9</f>
        <v>0</v>
      </c>
      <c r="UI9" s="20" t="n">
        <f aca="false">IF(AND(V9=1,Slot1_PctLow=1),1,0)+IF(AND(AG9=1,Slot2_PctLow=1),1,0)+IF(AND(AQ9=1,Slot3_PctLow=1),1,0)+IF(AND(BA9=1,Slot4_PctLow=1),1,0)+IF(AND(BK9=1,Slot5_PctLow=1),1,0)+IF(AND(BU9=1,Slot6_PctLow=1),1,0)+IF(AND(CE9=1,Slot7_PctLow=1),1,0)+IF(AND(CO9=1,Slot8_PctLow=1),1,0)+IF(AND(CY9=1,Slot9_PctLow=1),1,0)+IF(AND(DI9=1,Slot10_PctLow=1),1,0)+IF(AND(DS9=1,Slot11_PctLow=1),1,0)+IF(AND(EC9=1,Slot12_PctLow=1),1,0)+IF(AND(EM9=1,Slot13_PctLow=1),1,0)+IF(AND(EW9=1,Slot14_PctLow=1),1,0)+IF(AND(FG9=1,Slot15_PctLow=1),1,0)+IF(AND(FQ9=1,Slot16_PctLow=1),1,0)+IF(AND(GA9=1,Slot17_PctLow=1),1,0)+IF(AND(GK9=1,Slot18_PctLow=1),1,0)+IF(AND(GU9=1,Slot19_PctLow=1),1,0)+IF(AND(HE9=1,Slot20_PctLow=1),1,0)</f>
        <v>0</v>
      </c>
      <c r="UJ9" s="20" t="n">
        <f aca="false">IF(C9=1,IF(OR(TV9=1,UI9&gt;0),1,0),0)</f>
        <v>0</v>
      </c>
    </row>
    <row r="10" customFormat="false" ht="15" hidden="false" customHeight="true" outlineLevel="0" collapsed="false">
      <c r="B10" s="20" t="n">
        <v>2</v>
      </c>
      <c r="C10" s="20" t="n">
        <f aca="false">IF(B10&lt;=F_N,1,0)</f>
        <v>1</v>
      </c>
      <c r="D10" s="20" t="n">
        <f aca="false">'Plan pay &amp; tax'!C236</f>
        <v>40</v>
      </c>
      <c r="E10" s="20" t="str">
        <f aca="false">IF($C10=1,"Income tax "&amp;TEXT(N('Plan pay &amp; tax'!BK236),"#,##0")&amp;"; USC "&amp;TEXT(N('Plan pay &amp; tax'!BM236)+N('Plan pay &amp; tax'!BO236),"#,##0")&amp;"; PRSI "&amp;TEXT(N('Plan pay &amp; tax'!BP236)+N('Plan pay &amp; tax'!BQ236),"#,##0")&amp;". DIRT and exit tax are inside the growth rates here.","")</f>
        <v>Income tax 10,071; USC 1,576; PRSI 3,834. DIRT and exit tax are inside the growth rates here.</v>
      </c>
      <c r="F10" s="44" t="n">
        <f aca="false">'Plan pay &amp; tax'!E236</f>
        <v>1.0404</v>
      </c>
      <c r="G10" s="20" t="n">
        <f aca="false">'Plan pay &amp; tax'!G236</f>
        <v>1</v>
      </c>
      <c r="H10" s="20" t="n">
        <f aca="false">'Plan pay &amp; tax'!BT236-'Plan pay &amp; tax'!BS236-'Plan pay &amp; tax'!R236</f>
        <v>65455.642544</v>
      </c>
      <c r="I10" s="20" t="n">
        <f aca="false">IF(G10=1,F_CostsM*12,IF(RG_Exists=1,RG_Amount,F_CostsM*12*AS_RetireSpend))*F10+F_OneOffY*F10</f>
        <v>46818</v>
      </c>
      <c r="J10" s="20" t="n">
        <f aca="false">HR9</f>
        <v>190587.562075478</v>
      </c>
      <c r="K10" s="20" t="n">
        <f aca="false">IF(J10&gt;1,'Plan debt months'!AC10,0)</f>
        <v>14160</v>
      </c>
      <c r="L10" s="20" t="n">
        <f aca="false">IF(J10&gt;1,'Plan debt months'!AB10,J10)</f>
        <v>183643.499845908</v>
      </c>
      <c r="M10" s="20" t="n">
        <f aca="false">O9</f>
        <v>0</v>
      </c>
      <c r="N10" s="20" t="n">
        <f aca="false">IF(M10&gt;1,'Plan debt months'!BD10,0)</f>
        <v>0</v>
      </c>
      <c r="O10" s="20" t="n">
        <f aca="false">IF(M10&gt;1,'Plan debt months'!BC10,M10)</f>
        <v>0</v>
      </c>
      <c r="P10" s="20" t="n">
        <f aca="false">R9</f>
        <v>1496.15161205283</v>
      </c>
      <c r="Q10" s="20" t="n">
        <f aca="false">IF(P10&gt;1,'Plan debt months'!CE10,0)</f>
        <v>1200</v>
      </c>
      <c r="R10" s="20" t="n">
        <f aca="false">IF(P10&gt;1,'Plan debt months'!CD10,P10)</f>
        <v>372.455092965528</v>
      </c>
      <c r="S10" s="20" t="n">
        <f aca="false">K10+N10+Q10</f>
        <v>15360</v>
      </c>
      <c r="T10" s="20" t="n">
        <f aca="false">QK9+'Plan pay &amp; tax'!Y236</f>
        <v>0</v>
      </c>
      <c r="U10" s="20" t="n">
        <f aca="false">QK9</f>
        <v>0</v>
      </c>
      <c r="V10" s="20" t="n">
        <f aca="false">IF(AND(Slot1_On=1,D10=Slot1_Age),1,0)</f>
        <v>1</v>
      </c>
      <c r="W10" s="20" t="n">
        <f aca="false">IF(AND(Slot1_On=1,Slot1_Age&gt;D10),1,0)</f>
        <v>0</v>
      </c>
      <c r="X10" s="20" t="n">
        <f aca="false">QM9</f>
        <v>15606</v>
      </c>
      <c r="Y10" s="20" t="n">
        <f aca="false">V10*MIN(Slot1_Cost,X10)</f>
        <v>15606</v>
      </c>
      <c r="Z10" s="20" t="n">
        <f aca="false">V10*Slot1_SpendLike*MIN(Slot1_Cost-Y10,T10)</f>
        <v>0</v>
      </c>
      <c r="AA10" s="20" t="n">
        <f aca="false">Y10+Z10</f>
        <v>15606</v>
      </c>
      <c r="AB10" s="20" t="n">
        <f aca="false">T10-Z10+V10*IF(Slot1_SpendLike=1,X10-Y10,IF(Slot1_PotFree=1,X10,0))</f>
        <v>0</v>
      </c>
      <c r="AC10" s="20" t="n">
        <f aca="false">AF10+V10*Slot1_BufPot*X10</f>
        <v>15606</v>
      </c>
      <c r="AD10" s="20" t="n">
        <f aca="false">IF(AND(V10=1,Slot1_IsMfree=1),IF(AA10&gt;=Slot1_Cost-1,0,MAX(0,L10-AA10)),L10)</f>
        <v>183643.499845908</v>
      </c>
      <c r="AE10" s="20" t="n">
        <f aca="false">V10*(Slot1_Cost-AA10)</f>
        <v>0</v>
      </c>
      <c r="AF10" s="20" t="n">
        <f aca="false">QL9</f>
        <v>0</v>
      </c>
      <c r="AG10" s="20" t="n">
        <f aca="false">IF(AND(Slot2_On=1,D10=Slot2_Age),1,0)</f>
        <v>0</v>
      </c>
      <c r="AH10" s="20" t="n">
        <f aca="false">IF(AND(Slot2_On=1,Slot2_Age&gt;D10),1,0)</f>
        <v>1</v>
      </c>
      <c r="AI10" s="20" t="n">
        <f aca="false">QQ9</f>
        <v>1968.23601169623</v>
      </c>
      <c r="AJ10" s="20" t="n">
        <f aca="false">AG10*MIN(Slot2_Cost,AI10)</f>
        <v>0</v>
      </c>
      <c r="AK10" s="20" t="n">
        <f aca="false">AG10*Slot2_SpendLike*MIN(Slot2_Cost-AJ10,AB10)</f>
        <v>0</v>
      </c>
      <c r="AL10" s="20" t="n">
        <f aca="false">AJ10+AK10</f>
        <v>0</v>
      </c>
      <c r="AM10" s="20" t="n">
        <f aca="false">AB10-AK10+AG10*IF(Slot2_SpendLike=1,AI10-AJ10,IF(Slot2_PotFree=1,AI10,0))</f>
        <v>0</v>
      </c>
      <c r="AN10" s="20" t="n">
        <f aca="false">AC10+AG10*Slot2_BufPot*AI10</f>
        <v>15606</v>
      </c>
      <c r="AO10" s="20" t="n">
        <f aca="false">IF(AND(AG10=1,Slot2_IsMfree=1),IF(AL10&gt;=Slot2_Cost-1,0,MAX(0,AD10-AL10)),AD10)</f>
        <v>183643.499845908</v>
      </c>
      <c r="AP10" s="20" t="n">
        <f aca="false">AG10*(Slot2_Cost-AL10)</f>
        <v>0</v>
      </c>
      <c r="AQ10" s="20" t="n">
        <f aca="false">IF(AND(Slot3_On=1,D10=Slot3_Age),1,0)</f>
        <v>0</v>
      </c>
      <c r="AR10" s="20" t="n">
        <f aca="false">IF(AND(Slot3_On=1,Slot3_Age&gt;D10),1,0)</f>
        <v>1</v>
      </c>
      <c r="AS10" s="20" t="n">
        <f aca="false">QU9</f>
        <v>0</v>
      </c>
      <c r="AT10" s="20" t="n">
        <f aca="false">AQ10*MIN(Slot3_Cost,AS10)</f>
        <v>0</v>
      </c>
      <c r="AU10" s="20" t="n">
        <f aca="false">AQ10*Slot3_SpendLike*MIN(Slot3_Cost-AT10,AM10)</f>
        <v>0</v>
      </c>
      <c r="AV10" s="20" t="n">
        <f aca="false">AT10+AU10</f>
        <v>0</v>
      </c>
      <c r="AW10" s="20" t="n">
        <f aca="false">AM10-AU10+AQ10*IF(Slot3_SpendLike=1,AS10-AT10,IF(Slot3_PotFree=1,AS10,0))</f>
        <v>0</v>
      </c>
      <c r="AX10" s="20" t="n">
        <f aca="false">AN10+AQ10*Slot3_BufPot*AS10</f>
        <v>15606</v>
      </c>
      <c r="AY10" s="20" t="n">
        <f aca="false">IF(AND(AQ10=1,Slot3_IsMfree=1),IF(AV10&gt;=Slot3_Cost-1,0,MAX(0,AO10-AV10)),AO10)</f>
        <v>183643.499845908</v>
      </c>
      <c r="AZ10" s="20" t="n">
        <f aca="false">AQ10*(Slot3_Cost-AV10)</f>
        <v>0</v>
      </c>
      <c r="BA10" s="20" t="n">
        <f aca="false">IF(AND(Slot4_On=1,D10=Slot4_Age),1,0)</f>
        <v>0</v>
      </c>
      <c r="BB10" s="20" t="n">
        <f aca="false">IF(AND(Slot4_On=1,Slot4_Age&gt;D10),1,0)</f>
        <v>1</v>
      </c>
      <c r="BC10" s="20" t="n">
        <f aca="false">QY9</f>
        <v>0</v>
      </c>
      <c r="BD10" s="20" t="n">
        <f aca="false">BA10*MIN(Slot4_Cost,BC10)</f>
        <v>0</v>
      </c>
      <c r="BE10" s="20" t="n">
        <f aca="false">BA10*Slot4_SpendLike*MIN(Slot4_Cost-BD10,AW10)</f>
        <v>0</v>
      </c>
      <c r="BF10" s="20" t="n">
        <f aca="false">BD10+BE10</f>
        <v>0</v>
      </c>
      <c r="BG10" s="20" t="n">
        <f aca="false">AW10-BE10+BA10*IF(Slot4_SpendLike=1,BC10-BD10,IF(Slot4_PotFree=1,BC10,0))</f>
        <v>0</v>
      </c>
      <c r="BH10" s="20" t="n">
        <f aca="false">AX10+BA10*Slot4_BufPot*BC10</f>
        <v>15606</v>
      </c>
      <c r="BI10" s="20" t="n">
        <f aca="false">IF(AND(BA10=1,Slot4_IsMfree=1),IF(BF10&gt;=Slot4_Cost-1,0,MAX(0,AY10-BF10)),AY10)</f>
        <v>183643.499845908</v>
      </c>
      <c r="BJ10" s="20" t="n">
        <f aca="false">BA10*(Slot4_Cost-BF10)</f>
        <v>0</v>
      </c>
      <c r="BK10" s="20" t="n">
        <f aca="false">IF(AND(Slot5_On=1,D10=Slot5_Age),1,0)</f>
        <v>0</v>
      </c>
      <c r="BL10" s="20" t="n">
        <f aca="false">IF(AND(Slot5_On=1,Slot5_Age&gt;D10),1,0)</f>
        <v>0</v>
      </c>
      <c r="BM10" s="20" t="n">
        <f aca="false">RC9</f>
        <v>0</v>
      </c>
      <c r="BN10" s="20" t="n">
        <f aca="false">BK10*MIN(Slot5_Cost,BM10)</f>
        <v>0</v>
      </c>
      <c r="BO10" s="20" t="n">
        <f aca="false">BK10*Slot5_SpendLike*MIN(Slot5_Cost-BN10,BG10)</f>
        <v>0</v>
      </c>
      <c r="BP10" s="20" t="n">
        <f aca="false">BN10+BO10</f>
        <v>0</v>
      </c>
      <c r="BQ10" s="20" t="n">
        <f aca="false">BG10-BO10+BK10*IF(Slot5_SpendLike=1,BM10-BN10,IF(Slot5_PotFree=1,BM10,0))</f>
        <v>0</v>
      </c>
      <c r="BR10" s="20" t="n">
        <f aca="false">BH10+BK10*Slot5_BufPot*BM10</f>
        <v>15606</v>
      </c>
      <c r="BS10" s="20" t="n">
        <f aca="false">IF(AND(BK10=1,Slot5_IsMfree=1),IF(BP10&gt;=Slot5_Cost-1,0,MAX(0,BI10-BP10)),BI10)</f>
        <v>183643.499845908</v>
      </c>
      <c r="BT10" s="20" t="n">
        <f aca="false">BK10*(Slot5_Cost-BP10)</f>
        <v>0</v>
      </c>
      <c r="BU10" s="20" t="n">
        <f aca="false">IF(AND(Slot6_On=1,D10=Slot6_Age),1,0)</f>
        <v>0</v>
      </c>
      <c r="BV10" s="20" t="n">
        <f aca="false">IF(AND(Slot6_On=1,Slot6_Age&gt;D10),1,0)</f>
        <v>0</v>
      </c>
      <c r="BW10" s="20" t="n">
        <f aca="false">RG9</f>
        <v>0</v>
      </c>
      <c r="BX10" s="20" t="n">
        <f aca="false">BU10*MIN(Slot6_Cost,BW10)</f>
        <v>0</v>
      </c>
      <c r="BY10" s="20" t="n">
        <f aca="false">BU10*Slot6_SpendLike*MIN(Slot6_Cost-BX10,BQ10)</f>
        <v>0</v>
      </c>
      <c r="BZ10" s="20" t="n">
        <f aca="false">BX10+BY10</f>
        <v>0</v>
      </c>
      <c r="CA10" s="20" t="n">
        <f aca="false">BQ10-BY10+BU10*IF(Slot6_SpendLike=1,BW10-BX10,IF(Slot6_PotFree=1,BW10,0))</f>
        <v>0</v>
      </c>
      <c r="CB10" s="20" t="n">
        <f aca="false">BR10+BU10*Slot6_BufPot*BW10</f>
        <v>15606</v>
      </c>
      <c r="CC10" s="20" t="n">
        <f aca="false">IF(AND(BU10=1,Slot6_IsMfree=1),IF(BZ10&gt;=Slot6_Cost-1,0,MAX(0,BS10-BZ10)),BS10)</f>
        <v>183643.499845908</v>
      </c>
      <c r="CD10" s="20" t="n">
        <f aca="false">BU10*(Slot6_Cost-BZ10)</f>
        <v>0</v>
      </c>
      <c r="CE10" s="20" t="n">
        <f aca="false">IF(AND(Slot7_On=1,D10=Slot7_Age),1,0)</f>
        <v>0</v>
      </c>
      <c r="CF10" s="20" t="n">
        <f aca="false">IF(AND(Slot7_On=1,Slot7_Age&gt;D10),1,0)</f>
        <v>0</v>
      </c>
      <c r="CG10" s="20" t="n">
        <f aca="false">RK9</f>
        <v>0</v>
      </c>
      <c r="CH10" s="20" t="n">
        <f aca="false">CE10*MIN(Slot7_Cost,CG10)</f>
        <v>0</v>
      </c>
      <c r="CI10" s="20" t="n">
        <f aca="false">CE10*Slot7_SpendLike*MIN(Slot7_Cost-CH10,CA10)</f>
        <v>0</v>
      </c>
      <c r="CJ10" s="20" t="n">
        <f aca="false">CH10+CI10</f>
        <v>0</v>
      </c>
      <c r="CK10" s="20" t="n">
        <f aca="false">CA10-CI10+CE10*IF(Slot7_SpendLike=1,CG10-CH10,IF(Slot7_PotFree=1,CG10,0))</f>
        <v>0</v>
      </c>
      <c r="CL10" s="20" t="n">
        <f aca="false">CB10+CE10*Slot7_BufPot*CG10</f>
        <v>15606</v>
      </c>
      <c r="CM10" s="20" t="n">
        <f aca="false">IF(AND(CE10=1,Slot7_IsMfree=1),IF(CJ10&gt;=Slot7_Cost-1,0,MAX(0,CC10-CJ10)),CC10)</f>
        <v>183643.499845908</v>
      </c>
      <c r="CN10" s="20" t="n">
        <f aca="false">CE10*(Slot7_Cost-CJ10)</f>
        <v>0</v>
      </c>
      <c r="CO10" s="20" t="n">
        <f aca="false">IF(AND(Slot8_On=1,D10=Slot8_Age),1,0)</f>
        <v>0</v>
      </c>
      <c r="CP10" s="20" t="n">
        <f aca="false">IF(AND(Slot8_On=1,Slot8_Age&gt;D10),1,0)</f>
        <v>0</v>
      </c>
      <c r="CQ10" s="20" t="n">
        <f aca="false">RO9</f>
        <v>0</v>
      </c>
      <c r="CR10" s="20" t="n">
        <f aca="false">CO10*MIN(Slot8_Cost,CQ10)</f>
        <v>0</v>
      </c>
      <c r="CS10" s="20" t="n">
        <f aca="false">CO10*Slot8_SpendLike*MIN(Slot8_Cost-CR10,CK10)</f>
        <v>0</v>
      </c>
      <c r="CT10" s="20" t="n">
        <f aca="false">CR10+CS10</f>
        <v>0</v>
      </c>
      <c r="CU10" s="20" t="n">
        <f aca="false">CK10-CS10+CO10*IF(Slot8_SpendLike=1,CQ10-CR10,IF(Slot8_PotFree=1,CQ10,0))</f>
        <v>0</v>
      </c>
      <c r="CV10" s="20" t="n">
        <f aca="false">CL10+CO10*Slot8_BufPot*CQ10</f>
        <v>15606</v>
      </c>
      <c r="CW10" s="20" t="n">
        <f aca="false">IF(AND(CO10=1,Slot8_IsMfree=1),IF(CT10&gt;=Slot8_Cost-1,0,MAX(0,CM10-CT10)),CM10)</f>
        <v>183643.499845908</v>
      </c>
      <c r="CX10" s="20" t="n">
        <f aca="false">CO10*(Slot8_Cost-CT10)</f>
        <v>0</v>
      </c>
      <c r="CY10" s="20" t="n">
        <f aca="false">IF(AND(Slot9_On=1,D10=Slot9_Age),1,0)</f>
        <v>0</v>
      </c>
      <c r="CZ10" s="20" t="n">
        <f aca="false">IF(AND(Slot9_On=1,Slot9_Age&gt;D10),1,0)</f>
        <v>0</v>
      </c>
      <c r="DA10" s="20" t="n">
        <f aca="false">RS9</f>
        <v>0</v>
      </c>
      <c r="DB10" s="20" t="n">
        <f aca="false">CY10*MIN(Slot9_Cost,DA10)</f>
        <v>0</v>
      </c>
      <c r="DC10" s="20" t="n">
        <f aca="false">CY10*Slot9_SpendLike*MIN(Slot9_Cost-DB10,CU10)</f>
        <v>0</v>
      </c>
      <c r="DD10" s="20" t="n">
        <f aca="false">DB10+DC10</f>
        <v>0</v>
      </c>
      <c r="DE10" s="20" t="n">
        <f aca="false">CU10-DC10+CY10*IF(Slot9_SpendLike=1,DA10-DB10,IF(Slot9_PotFree=1,DA10,0))</f>
        <v>0</v>
      </c>
      <c r="DF10" s="20" t="n">
        <f aca="false">CV10+CY10*Slot9_BufPot*DA10</f>
        <v>15606</v>
      </c>
      <c r="DG10" s="20" t="n">
        <f aca="false">IF(AND(CY10=1,Slot9_IsMfree=1),IF(DD10&gt;=Slot9_Cost-1,0,MAX(0,CW10-DD10)),CW10)</f>
        <v>183643.499845908</v>
      </c>
      <c r="DH10" s="20" t="n">
        <f aca="false">CY10*(Slot9_Cost-DD10)</f>
        <v>0</v>
      </c>
      <c r="DI10" s="20" t="n">
        <f aca="false">IF(AND(Slot10_On=1,D10=Slot10_Age),1,0)</f>
        <v>0</v>
      </c>
      <c r="DJ10" s="20" t="n">
        <f aca="false">IF(AND(Slot10_On=1,Slot10_Age&gt;D10),1,0)</f>
        <v>0</v>
      </c>
      <c r="DK10" s="20" t="n">
        <f aca="false">RW9</f>
        <v>0</v>
      </c>
      <c r="DL10" s="20" t="n">
        <f aca="false">DI10*MIN(Slot10_Cost,DK10)</f>
        <v>0</v>
      </c>
      <c r="DM10" s="20" t="n">
        <f aca="false">DI10*Slot10_SpendLike*MIN(Slot10_Cost-DL10,DE10)</f>
        <v>0</v>
      </c>
      <c r="DN10" s="20" t="n">
        <f aca="false">DL10+DM10</f>
        <v>0</v>
      </c>
      <c r="DO10" s="20" t="n">
        <f aca="false">DE10-DM10+DI10*IF(Slot10_SpendLike=1,DK10-DL10,IF(Slot10_PotFree=1,DK10,0))</f>
        <v>0</v>
      </c>
      <c r="DP10" s="20" t="n">
        <f aca="false">DF10+DI10*Slot10_BufPot*DK10</f>
        <v>15606</v>
      </c>
      <c r="DQ10" s="20" t="n">
        <f aca="false">IF(AND(DI10=1,Slot10_IsMfree=1),IF(DN10&gt;=Slot10_Cost-1,0,MAX(0,DG10-DN10)),DG10)</f>
        <v>183643.499845908</v>
      </c>
      <c r="DR10" s="20" t="n">
        <f aca="false">DI10*(Slot10_Cost-DN10)</f>
        <v>0</v>
      </c>
      <c r="DS10" s="20" t="n">
        <f aca="false">IF(AND(Slot11_On=1,D10=Slot11_Age),1,0)</f>
        <v>0</v>
      </c>
      <c r="DT10" s="20" t="n">
        <f aca="false">IF(AND(Slot11_On=1,Slot11_Age&gt;D10),1,0)</f>
        <v>0</v>
      </c>
      <c r="DU10" s="20" t="n">
        <f aca="false">SA9</f>
        <v>0</v>
      </c>
      <c r="DV10" s="20" t="n">
        <f aca="false">DS10*MIN(Slot11_Cost,DU10)</f>
        <v>0</v>
      </c>
      <c r="DW10" s="20" t="n">
        <f aca="false">DS10*Slot11_SpendLike*MIN(Slot11_Cost-DV10,DO10)</f>
        <v>0</v>
      </c>
      <c r="DX10" s="20" t="n">
        <f aca="false">DV10+DW10</f>
        <v>0</v>
      </c>
      <c r="DY10" s="20" t="n">
        <f aca="false">DO10-DW10+DS10*IF(Slot11_SpendLike=1,DU10-DV10,IF(Slot11_PotFree=1,DU10,0))</f>
        <v>0</v>
      </c>
      <c r="DZ10" s="20" t="n">
        <f aca="false">DP10+DS10*Slot11_BufPot*DU10</f>
        <v>15606</v>
      </c>
      <c r="EA10" s="20" t="n">
        <f aca="false">IF(AND(DS10=1,Slot11_IsMfree=1),IF(DX10&gt;=Slot11_Cost-1,0,MAX(0,DQ10-DX10)),DQ10)</f>
        <v>183643.499845908</v>
      </c>
      <c r="EB10" s="20" t="n">
        <f aca="false">DS10*(Slot11_Cost-DX10)</f>
        <v>0</v>
      </c>
      <c r="EC10" s="20" t="n">
        <f aca="false">IF(AND(Slot12_On=1,D10=Slot12_Age),1,0)</f>
        <v>0</v>
      </c>
      <c r="ED10" s="20" t="n">
        <f aca="false">IF(AND(Slot12_On=1,Slot12_Age&gt;D10),1,0)</f>
        <v>0</v>
      </c>
      <c r="EE10" s="20" t="n">
        <f aca="false">SE9</f>
        <v>0</v>
      </c>
      <c r="EF10" s="20" t="n">
        <f aca="false">EC10*MIN(Slot12_Cost,EE10)</f>
        <v>0</v>
      </c>
      <c r="EG10" s="20" t="n">
        <f aca="false">EC10*Slot12_SpendLike*MIN(Slot12_Cost-EF10,DY10)</f>
        <v>0</v>
      </c>
      <c r="EH10" s="20" t="n">
        <f aca="false">EF10+EG10</f>
        <v>0</v>
      </c>
      <c r="EI10" s="20" t="n">
        <f aca="false">DY10-EG10+EC10*IF(Slot12_SpendLike=1,EE10-EF10,IF(Slot12_PotFree=1,EE10,0))</f>
        <v>0</v>
      </c>
      <c r="EJ10" s="20" t="n">
        <f aca="false">DZ10+EC10*Slot12_BufPot*EE10</f>
        <v>15606</v>
      </c>
      <c r="EK10" s="20" t="n">
        <f aca="false">IF(AND(EC10=1,Slot12_IsMfree=1),IF(EH10&gt;=Slot12_Cost-1,0,MAX(0,EA10-EH10)),EA10)</f>
        <v>183643.499845908</v>
      </c>
      <c r="EL10" s="20" t="n">
        <f aca="false">EC10*(Slot12_Cost-EH10)</f>
        <v>0</v>
      </c>
      <c r="EM10" s="20" t="n">
        <f aca="false">IF(AND(Slot13_On=1,D10=Slot13_Age),1,0)</f>
        <v>0</v>
      </c>
      <c r="EN10" s="20" t="n">
        <f aca="false">IF(AND(Slot13_On=1,Slot13_Age&gt;D10),1,0)</f>
        <v>0</v>
      </c>
      <c r="EO10" s="20" t="n">
        <f aca="false">SI9</f>
        <v>0</v>
      </c>
      <c r="EP10" s="20" t="n">
        <f aca="false">EM10*MIN(Slot13_Cost,EO10)</f>
        <v>0</v>
      </c>
      <c r="EQ10" s="20" t="n">
        <f aca="false">EM10*Slot13_SpendLike*MIN(Slot13_Cost-EP10,EI10)</f>
        <v>0</v>
      </c>
      <c r="ER10" s="20" t="n">
        <f aca="false">EP10+EQ10</f>
        <v>0</v>
      </c>
      <c r="ES10" s="20" t="n">
        <f aca="false">EI10-EQ10+EM10*IF(Slot13_SpendLike=1,EO10-EP10,IF(Slot13_PotFree=1,EO10,0))</f>
        <v>0</v>
      </c>
      <c r="ET10" s="20" t="n">
        <f aca="false">EJ10+EM10*Slot13_BufPot*EO10</f>
        <v>15606</v>
      </c>
      <c r="EU10" s="20" t="n">
        <f aca="false">IF(AND(EM10=1,Slot13_IsMfree=1),IF(ER10&gt;=Slot13_Cost-1,0,MAX(0,EK10-ER10)),EK10)</f>
        <v>183643.499845908</v>
      </c>
      <c r="EV10" s="20" t="n">
        <f aca="false">EM10*(Slot13_Cost-ER10)</f>
        <v>0</v>
      </c>
      <c r="EW10" s="20" t="n">
        <f aca="false">IF(AND(Slot14_On=1,D10=Slot14_Age),1,0)</f>
        <v>0</v>
      </c>
      <c r="EX10" s="20" t="n">
        <f aca="false">IF(AND(Slot14_On=1,Slot14_Age&gt;D10),1,0)</f>
        <v>0</v>
      </c>
      <c r="EY10" s="20" t="n">
        <f aca="false">SM9</f>
        <v>0</v>
      </c>
      <c r="EZ10" s="20" t="n">
        <f aca="false">EW10*MIN(Slot14_Cost,EY10)</f>
        <v>0</v>
      </c>
      <c r="FA10" s="20" t="n">
        <f aca="false">EW10*Slot14_SpendLike*MIN(Slot14_Cost-EZ10,ES10)</f>
        <v>0</v>
      </c>
      <c r="FB10" s="20" t="n">
        <f aca="false">EZ10+FA10</f>
        <v>0</v>
      </c>
      <c r="FC10" s="20" t="n">
        <f aca="false">ES10-FA10+EW10*IF(Slot14_SpendLike=1,EY10-EZ10,IF(Slot14_PotFree=1,EY10,0))</f>
        <v>0</v>
      </c>
      <c r="FD10" s="20" t="n">
        <f aca="false">ET10+EW10*Slot14_BufPot*EY10</f>
        <v>15606</v>
      </c>
      <c r="FE10" s="20" t="n">
        <f aca="false">IF(AND(EW10=1,Slot14_IsMfree=1),IF(FB10&gt;=Slot14_Cost-1,0,MAX(0,EU10-FB10)),EU10)</f>
        <v>183643.499845908</v>
      </c>
      <c r="FF10" s="20" t="n">
        <f aca="false">EW10*(Slot14_Cost-FB10)</f>
        <v>0</v>
      </c>
      <c r="FG10" s="20" t="n">
        <f aca="false">IF(AND(Slot15_On=1,D10=Slot15_Age),1,0)</f>
        <v>0</v>
      </c>
      <c r="FH10" s="20" t="n">
        <f aca="false">IF(AND(Slot15_On=1,Slot15_Age&gt;D10),1,0)</f>
        <v>0</v>
      </c>
      <c r="FI10" s="20" t="n">
        <f aca="false">SQ9</f>
        <v>0</v>
      </c>
      <c r="FJ10" s="20" t="n">
        <f aca="false">FG10*MIN(Slot15_Cost,FI10)</f>
        <v>0</v>
      </c>
      <c r="FK10" s="20" t="n">
        <f aca="false">FG10*Slot15_SpendLike*MIN(Slot15_Cost-FJ10,FC10)</f>
        <v>0</v>
      </c>
      <c r="FL10" s="20" t="n">
        <f aca="false">FJ10+FK10</f>
        <v>0</v>
      </c>
      <c r="FM10" s="20" t="n">
        <f aca="false">FC10-FK10+FG10*IF(Slot15_SpendLike=1,FI10-FJ10,IF(Slot15_PotFree=1,FI10,0))</f>
        <v>0</v>
      </c>
      <c r="FN10" s="20" t="n">
        <f aca="false">FD10+FG10*Slot15_BufPot*FI10</f>
        <v>15606</v>
      </c>
      <c r="FO10" s="20" t="n">
        <f aca="false">IF(AND(FG10=1,Slot15_IsMfree=1),IF(FL10&gt;=Slot15_Cost-1,0,MAX(0,FE10-FL10)),FE10)</f>
        <v>183643.499845908</v>
      </c>
      <c r="FP10" s="20" t="n">
        <f aca="false">FG10*(Slot15_Cost-FL10)</f>
        <v>0</v>
      </c>
      <c r="FQ10" s="20" t="n">
        <f aca="false">IF(AND(Slot16_On=1,D10=Slot16_Age),1,0)</f>
        <v>0</v>
      </c>
      <c r="FR10" s="20" t="n">
        <f aca="false">IF(AND(Slot16_On=1,Slot16_Age&gt;D10),1,0)</f>
        <v>0</v>
      </c>
      <c r="FS10" s="20" t="n">
        <f aca="false">SU9</f>
        <v>0</v>
      </c>
      <c r="FT10" s="20" t="n">
        <f aca="false">FQ10*MIN(Slot16_Cost,FS10)</f>
        <v>0</v>
      </c>
      <c r="FU10" s="20" t="n">
        <f aca="false">FQ10*Slot16_SpendLike*MIN(Slot16_Cost-FT10,FM10)</f>
        <v>0</v>
      </c>
      <c r="FV10" s="20" t="n">
        <f aca="false">FT10+FU10</f>
        <v>0</v>
      </c>
      <c r="FW10" s="20" t="n">
        <f aca="false">FM10-FU10+FQ10*IF(Slot16_SpendLike=1,FS10-FT10,IF(Slot16_PotFree=1,FS10,0))</f>
        <v>0</v>
      </c>
      <c r="FX10" s="20" t="n">
        <f aca="false">FN10+FQ10*Slot16_BufPot*FS10</f>
        <v>15606</v>
      </c>
      <c r="FY10" s="20" t="n">
        <f aca="false">IF(AND(FQ10=1,Slot16_IsMfree=1),IF(FV10&gt;=Slot16_Cost-1,0,MAX(0,FO10-FV10)),FO10)</f>
        <v>183643.499845908</v>
      </c>
      <c r="FZ10" s="20" t="n">
        <f aca="false">FQ10*(Slot16_Cost-FV10)</f>
        <v>0</v>
      </c>
      <c r="GA10" s="20" t="n">
        <f aca="false">IF(AND(Slot17_On=1,D10=Slot17_Age),1,0)</f>
        <v>0</v>
      </c>
      <c r="GB10" s="20" t="n">
        <f aca="false">IF(AND(Slot17_On=1,Slot17_Age&gt;D10),1,0)</f>
        <v>0</v>
      </c>
      <c r="GC10" s="20" t="n">
        <f aca="false">SY9</f>
        <v>0</v>
      </c>
      <c r="GD10" s="20" t="n">
        <f aca="false">GA10*MIN(Slot17_Cost,GC10)</f>
        <v>0</v>
      </c>
      <c r="GE10" s="20" t="n">
        <f aca="false">GA10*Slot17_SpendLike*MIN(Slot17_Cost-GD10,FW10)</f>
        <v>0</v>
      </c>
      <c r="GF10" s="20" t="n">
        <f aca="false">GD10+GE10</f>
        <v>0</v>
      </c>
      <c r="GG10" s="20" t="n">
        <f aca="false">FW10-GE10+GA10*IF(Slot17_SpendLike=1,GC10-GD10,IF(Slot17_PotFree=1,GC10,0))</f>
        <v>0</v>
      </c>
      <c r="GH10" s="20" t="n">
        <f aca="false">FX10+GA10*Slot17_BufPot*GC10</f>
        <v>15606</v>
      </c>
      <c r="GI10" s="20" t="n">
        <f aca="false">IF(AND(GA10=1,Slot17_IsMfree=1),IF(GF10&gt;=Slot17_Cost-1,0,MAX(0,FY10-GF10)),FY10)</f>
        <v>183643.499845908</v>
      </c>
      <c r="GJ10" s="20" t="n">
        <f aca="false">GA10*(Slot17_Cost-GF10)</f>
        <v>0</v>
      </c>
      <c r="GK10" s="20" t="n">
        <f aca="false">IF(AND(Slot18_On=1,D10=Slot18_Age),1,0)</f>
        <v>0</v>
      </c>
      <c r="GL10" s="20" t="n">
        <f aca="false">IF(AND(Slot18_On=1,Slot18_Age&gt;D10),1,0)</f>
        <v>0</v>
      </c>
      <c r="GM10" s="20" t="n">
        <f aca="false">TC9</f>
        <v>0</v>
      </c>
      <c r="GN10" s="20" t="n">
        <f aca="false">GK10*MIN(Slot18_Cost,GM10)</f>
        <v>0</v>
      </c>
      <c r="GO10" s="20" t="n">
        <f aca="false">GK10*Slot18_SpendLike*MIN(Slot18_Cost-GN10,GG10)</f>
        <v>0</v>
      </c>
      <c r="GP10" s="20" t="n">
        <f aca="false">GN10+GO10</f>
        <v>0</v>
      </c>
      <c r="GQ10" s="20" t="n">
        <f aca="false">GG10-GO10+GK10*IF(Slot18_SpendLike=1,GM10-GN10,IF(Slot18_PotFree=1,GM10,0))</f>
        <v>0</v>
      </c>
      <c r="GR10" s="20" t="n">
        <f aca="false">GH10+GK10*Slot18_BufPot*GM10</f>
        <v>15606</v>
      </c>
      <c r="GS10" s="20" t="n">
        <f aca="false">IF(AND(GK10=1,Slot18_IsMfree=1),IF(GP10&gt;=Slot18_Cost-1,0,MAX(0,GI10-GP10)),GI10)</f>
        <v>183643.499845908</v>
      </c>
      <c r="GT10" s="20" t="n">
        <f aca="false">GK10*(Slot18_Cost-GP10)</f>
        <v>0</v>
      </c>
      <c r="GU10" s="20" t="n">
        <f aca="false">IF(AND(Slot19_On=1,D10=Slot19_Age),1,0)</f>
        <v>0</v>
      </c>
      <c r="GV10" s="20" t="n">
        <f aca="false">IF(AND(Slot19_On=1,Slot19_Age&gt;D10),1,0)</f>
        <v>0</v>
      </c>
      <c r="GW10" s="20" t="n">
        <f aca="false">TG9</f>
        <v>0</v>
      </c>
      <c r="GX10" s="20" t="n">
        <f aca="false">GU10*MIN(Slot19_Cost,GW10)</f>
        <v>0</v>
      </c>
      <c r="GY10" s="20" t="n">
        <f aca="false">GU10*Slot19_SpendLike*MIN(Slot19_Cost-GX10,GQ10)</f>
        <v>0</v>
      </c>
      <c r="GZ10" s="20" t="n">
        <f aca="false">GX10+GY10</f>
        <v>0</v>
      </c>
      <c r="HA10" s="20" t="n">
        <f aca="false">GQ10-GY10+GU10*IF(Slot19_SpendLike=1,GW10-GX10,IF(Slot19_PotFree=1,GW10,0))</f>
        <v>0</v>
      </c>
      <c r="HB10" s="20" t="n">
        <f aca="false">GR10+GU10*Slot19_BufPot*GW10</f>
        <v>15606</v>
      </c>
      <c r="HC10" s="20" t="n">
        <f aca="false">IF(AND(GU10=1,Slot19_IsMfree=1),IF(GZ10&gt;=Slot19_Cost-1,0,MAX(0,GS10-GZ10)),GS10)</f>
        <v>183643.499845908</v>
      </c>
      <c r="HD10" s="20" t="n">
        <f aca="false">GU10*(Slot19_Cost-GZ10)</f>
        <v>0</v>
      </c>
      <c r="HE10" s="20" t="n">
        <f aca="false">IF(AND(Slot20_On=1,D10=Slot20_Age),1,0)</f>
        <v>0</v>
      </c>
      <c r="HF10" s="20" t="n">
        <f aca="false">IF(AND(Slot20_On=1,Slot20_Age&gt;D10),1,0)</f>
        <v>0</v>
      </c>
      <c r="HG10" s="20" t="n">
        <f aca="false">TK9</f>
        <v>0</v>
      </c>
      <c r="HH10" s="20" t="n">
        <f aca="false">HE10*MIN(Slot20_Cost,HG10)</f>
        <v>0</v>
      </c>
      <c r="HI10" s="20" t="n">
        <f aca="false">HE10*Slot20_SpendLike*MIN(Slot20_Cost-HH10,HA10)</f>
        <v>0</v>
      </c>
      <c r="HJ10" s="20" t="n">
        <f aca="false">HH10+HI10</f>
        <v>0</v>
      </c>
      <c r="HK10" s="20" t="n">
        <f aca="false">HA10-HI10+HE10*IF(Slot20_SpendLike=1,HG10-HH10,IF(Slot20_PotFree=1,HG10,0))</f>
        <v>0</v>
      </c>
      <c r="HL10" s="20" t="n">
        <f aca="false">HB10+HE10*Slot20_BufPot*HG10</f>
        <v>15606</v>
      </c>
      <c r="HM10" s="20" t="n">
        <f aca="false">IF(AND(HE10=1,Slot20_IsMfree=1),IF(HJ10&gt;=Slot20_Cost-1,0,MAX(0,HC10-HJ10)),HC10)</f>
        <v>183643.499845908</v>
      </c>
      <c r="HN10" s="20" t="n">
        <f aca="false">HE10*(Slot20_Cost-HJ10)</f>
        <v>0</v>
      </c>
      <c r="HO10" s="20" t="n">
        <f aca="false">V10*Slot1_SpendLike*AA10+AG10*Slot2_SpendLike*AL10+AQ10*Slot3_SpendLike*AV10+BA10*Slot4_SpendLike*BF10+BK10*Slot5_SpendLike*BP10+BU10*Slot6_SpendLike*BZ10+CE10*Slot7_SpendLike*CJ10+CO10*Slot8_SpendLike*CT10+CY10*Slot9_SpendLike*DD10+DI10*Slot10_SpendLike*DN10+DS10*Slot11_SpendLike*DX10+EC10*Slot12_SpendLike*EH10+EM10*Slot13_SpendLike*ER10+EW10*Slot14_SpendLike*FB10+FG10*Slot15_SpendLike*FL10+FQ10*Slot16_SpendLike*FV10+GA10*Slot17_SpendLike*GF10+GK10*Slot18_SpendLike*GP10+GU10*Slot19_SpendLike*GZ10+HE10*Slot20_SpendLike*HJ10</f>
        <v>0</v>
      </c>
      <c r="HP10" s="20" t="n">
        <f aca="false">AE10+AP10+AZ10+BJ10+BT10+CD10+CN10+CX10+DH10+DR10+EB10+EL10+EV10+FF10+FP10+FZ10+GJ10+GT10+HD10+HN10</f>
        <v>0</v>
      </c>
      <c r="HQ10" s="20" t="n">
        <f aca="false">V10*Slot1_Cost+AG10*Slot2_Cost+AQ10*Slot3_Cost+BA10*Slot4_Cost+BK10*Slot5_Cost+BU10*Slot6_Cost+CE10*Slot7_Cost+CO10*Slot8_Cost+CY10*Slot9_Cost+DI10*Slot10_Cost+DS10*Slot11_Cost+EC10*Slot12_Cost+EM10*Slot13_Cost+EW10*Slot14_Cost+FG10*Slot15_Cost+FQ10*Slot16_Cost+GA10*Slot17_Cost+GK10*Slot18_Cost+GU10*Slot19_Cost+HE10*Slot20_Cost</f>
        <v>15606</v>
      </c>
      <c r="HR10" s="20" t="n">
        <f aca="false">HM10</f>
        <v>183643.499845908</v>
      </c>
      <c r="HS10" s="20" t="n">
        <f aca="false">H10-I10-S10</f>
        <v>3277.642544</v>
      </c>
      <c r="HT10" s="20" t="n">
        <f aca="false">IF(B10=0,IF(AND(Has_q6=1,In_q6=4),PR_ShareVaries*(MAX(0,HS10)/12),MIN(IF(Has_q6=1,CHOOSE(In_q6+1,PR_SaveB1,PR_SaveB2,PR_SaveB3,PR_SaveB4,0),AS_NoAnswer),AS_SaveShare*(MAX(0,HS10)/12))),HT9)</f>
        <v>62.3316893520437</v>
      </c>
      <c r="HU10" s="20" t="n">
        <f aca="false">IF(HS10&gt;=0,1,0)</f>
        <v>1</v>
      </c>
      <c r="HV10" s="20" t="n">
        <f aca="false">MAX(0,HS10/12/F10)</f>
        <v>262.530640779188</v>
      </c>
      <c r="HW10" s="20" t="n">
        <f aca="false">IF(AND(Has_q6=1,In_q6=4),PR_ShareVaries*(HV10),MIN(IF(Has_q6=1,CHOOSE(In_q6+1,PR_SaveB1,PR_SaveB2,PR_SaveB3,PR_SaveB4,0),AS_NoAnswer),AS_SaveShare*(HV10)))</f>
        <v>131.265320389594</v>
      </c>
      <c r="HX10" s="20" t="n">
        <f aca="false">IF(Has_saveM=1,IF(In_saveUp="Yes",1,IF(In_saveUp="No",0,IF(In_saveM&gt;=HT10-0.5,1,0))),0)</f>
        <v>0</v>
      </c>
      <c r="HY10" s="20" t="n">
        <f aca="false">IF(Has_saveM=1,MIN(HV10,IF(HX10=1,MAX(In_saveM,HW10),MIN(In_saveM,HW10))),HW10)</f>
        <v>131.265320389594</v>
      </c>
      <c r="HZ10" s="20" t="n">
        <f aca="false">IF(G10=1,HY10*12*F10,0)</f>
        <v>1638.821272</v>
      </c>
      <c r="IA10" s="20" t="n">
        <f aca="false">MAX(0,HZ10+IF(AND(WI_Retire=0,WI_M&lt;0,G10=1),WI_M*12*F10,0))</f>
        <v>1638.821272</v>
      </c>
      <c r="IB10" s="20" t="n">
        <f aca="false">Slot1_IsWG*W10+Slot2_IsWG*AH10+Slot3_IsWG*AR10+Slot4_IsWG*BB10+Slot5_IsWG*BL10+Slot6_IsWG*BV10+Slot7_IsWG*CF10+Slot8_IsWG*CP10+Slot9_IsWG*CZ10+Slot10_IsWG*DJ10+Slot11_IsWG*DT10+Slot12_IsWG*ED10+Slot13_IsWG*EN10+Slot14_IsWG*EX10+Slot15_IsWG*FH10+Slot16_IsWG*FR10+Slot17_IsWG*GB10+Slot18_IsWG*GL10+Slot19_IsWG*GV10+Slot20_IsWG*HF10</f>
        <v>0</v>
      </c>
      <c r="IC10" s="20" t="n">
        <f aca="false">IF(AND(WI_Retire=0,WI_M&gt;0,G10=1,IB10&gt;=1),WI_M*12*F10,0)</f>
        <v>0</v>
      </c>
      <c r="ID10" s="20" t="n">
        <f aca="false">IF(HU10=1,MIN(IA10,HS10),0)</f>
        <v>1638.821272</v>
      </c>
      <c r="IE10" s="20" t="n">
        <f aca="false">IF(HU10=1,MIN(IC10,HS10-ID10),0)</f>
        <v>0</v>
      </c>
      <c r="IF10" s="20" t="n">
        <f aca="false">IF(W10=1,IF(ABS((1+AS_Wage)/(1+Slot1_Rate)-1)&lt;0.000000000001,(Slot1_Age-D10)*(1+Slot1_Rate)^(Slot1_Age-D10),(1+Slot1_Rate)^(Slot1_Age-D10)*(1-((1+AS_Wage)/(1+Slot1_Rate))^(Slot1_Age-D10))/(1-(1+AS_Wage)/(1+Slot1_Rate))),1)</f>
        <v>1</v>
      </c>
      <c r="IG10" s="20" t="n">
        <f aca="false">IF(AND(HU10=1,IE10&gt;0,Slot1_IsWG=1,W10=1),MAX(0,(Slot1_Cost-X10*(1+Slot1_Rate)^(Slot1_Age-D10))/IF10),0)</f>
        <v>0</v>
      </c>
      <c r="IH10" s="20" t="n">
        <f aca="false">IF(AND(HU10=1,IE10&gt;0,Slot1_IsWG=1,W10=1),MIN(IE10,IG10),0)</f>
        <v>0</v>
      </c>
      <c r="II10" s="20" t="n">
        <f aca="false">X10+IH10</f>
        <v>15606</v>
      </c>
      <c r="IJ10" s="20" t="n">
        <f aca="false">IF(W10=1,MAX(0,(Slot1_Cost-II10*(1+Slot1_Rate)^(Slot1_Age-D10))/IF10),0)</f>
        <v>0</v>
      </c>
      <c r="IK10" s="20" t="n">
        <f aca="false">IF(W10=1,MAX(0,(Slot1_Cost-X10*(1+Slot1_Rate)^(Slot1_Age-D10))/IF10),0)</f>
        <v>0</v>
      </c>
      <c r="IL10" s="20" t="n">
        <f aca="false">IF(AND(HU10=1,W10=1),MIN(ID10,IJ10),0)</f>
        <v>0</v>
      </c>
      <c r="IM10" s="20" t="n">
        <f aca="false">ID10-IL10</f>
        <v>1638.821272</v>
      </c>
      <c r="IN10" s="20" t="n">
        <f aca="false">IF(AH10=1,IF(ABS((1+AS_Wage)/(1+Slot2_Rate)-1)&lt;0.000000000001,(Slot2_Age-D10)*(1+Slot2_Rate)^(Slot2_Age-D10),(1+Slot2_Rate)^(Slot2_Age-D10)*(1-((1+AS_Wage)/(1+Slot2_Rate))^(Slot2_Age-D10))/(1-(1+AS_Wage)/(1+Slot2_Rate))),1)</f>
        <v>1.01</v>
      </c>
      <c r="IO10" s="20" t="n">
        <f aca="false">IF(AND(HU10=1,IE10&gt;0,Slot2_IsWG=1,AH10=1),MAX(0,(Slot2_Cost-AI10*(1+Slot2_Rate)^(Slot2_Age-D10))/IN10),0)</f>
        <v>0</v>
      </c>
      <c r="IP10" s="20" t="n">
        <f aca="false">IF(AND(HU10=1,IE10&gt;0,Slot2_IsWG=1,AH10=1),MIN(IE10,IO10),0)</f>
        <v>0</v>
      </c>
      <c r="IQ10" s="20" t="n">
        <f aca="false">AI10+IP10</f>
        <v>1968.23601169623</v>
      </c>
      <c r="IR10" s="20" t="n">
        <f aca="false">IF(AH10=1,MAX(0,(Slot2_Cost-IQ10*(1+Slot2_Rate)^(Slot2_Age-D10))/IN10),0)</f>
        <v>10640.1758694919</v>
      </c>
      <c r="IS10" s="20" t="n">
        <f aca="false">IF(AH10=1,MAX(0,(Slot2_Cost-AI10*(1+Slot2_Rate)^(Slot2_Age-D10))/IN10),0)</f>
        <v>10640.1758694919</v>
      </c>
      <c r="IT10" s="20" t="n">
        <f aca="false">IF(AND(HU10=1,AH10=1),MIN(IM10,IR10),0)</f>
        <v>1638.821272</v>
      </c>
      <c r="IU10" s="20" t="n">
        <f aca="false">IM10-IT10</f>
        <v>0</v>
      </c>
      <c r="IV10" s="20" t="n">
        <f aca="false">IF(AR10=1,IF(ABS((1+AS_Wage)/(1+Slot3_Rate)-1)&lt;0.000000000001,(Slot3_Age-D10)*(1+Slot3_Rate)^(Slot3_Age-D10),(1+Slot3_Rate)^(Slot3_Age-D10)*(1-((1+AS_Wage)/(1+Slot3_Rate))^(Slot3_Age-D10))/(1-(1+AS_Wage)/(1+Slot3_Rate))),1)</f>
        <v>9.9586543085907</v>
      </c>
      <c r="IW10" s="20" t="n">
        <f aca="false">IF(AND(HU10=1,IE10&gt;0,Slot3_IsWG=1,AR10=1),MAX(0,(Slot3_Cost-AS10*(1+Slot3_Rate)^(Slot3_Age-D10))/IV10),0)</f>
        <v>0</v>
      </c>
      <c r="IX10" s="20" t="n">
        <f aca="false">IF(AND(HU10=1,IE10&gt;0,Slot3_IsWG=1,AR10=1),MIN(IE10,IW10),0)</f>
        <v>0</v>
      </c>
      <c r="IY10" s="20" t="n">
        <f aca="false">AS10+IX10</f>
        <v>0</v>
      </c>
      <c r="IZ10" s="20" t="n">
        <f aca="false">IF(AR10=1,MAX(0,(Slot3_Cost-IY10*(1+Slot3_Rate)^(Slot3_Age-D10))/IV10),0)</f>
        <v>6120.27680759643</v>
      </c>
      <c r="JA10" s="20" t="n">
        <f aca="false">IF(AR10=1,MAX(0,(Slot3_Cost-AS10*(1+Slot3_Rate)^(Slot3_Age-D10))/IV10),0)</f>
        <v>6120.27680759643</v>
      </c>
      <c r="JB10" s="20" t="n">
        <f aca="false">IF(AND(HU10=1,AR10=1),MIN(IU10,IZ10),0)</f>
        <v>0</v>
      </c>
      <c r="JC10" s="20" t="n">
        <f aca="false">IU10-JB10</f>
        <v>0</v>
      </c>
      <c r="JD10" s="20" t="n">
        <f aca="false">IF(BB10=1,IF(ABS((1+AS_Wage)/(1+Slot4_Rate)-1)&lt;0.000000000001,(Slot4_Age-D10)*(1+Slot4_Rate)^(Slot4_Age-D10),(1+Slot4_Rate)^(Slot4_Age-D10)*(1-((1+AS_Wage)/(1+Slot4_Rate))^(Slot4_Age-D10))/(1-(1+AS_Wage)/(1+Slot4_Rate))),1)</f>
        <v>22.6564617074274</v>
      </c>
      <c r="JE10" s="20" t="n">
        <f aca="false">IF(AND(HU10=1,IE10&gt;0,Slot4_IsWG=1,BB10=1),MAX(0,(Slot4_Cost-BC10*(1+Slot4_Rate)^(Slot4_Age-D10))/JD10),0)</f>
        <v>0</v>
      </c>
      <c r="JF10" s="20" t="n">
        <f aca="false">IF(AND(HU10=1,IE10&gt;0,Slot4_IsWG=1,BB10=1),MIN(IE10,JE10),0)</f>
        <v>0</v>
      </c>
      <c r="JG10" s="20" t="n">
        <f aca="false">BC10+JF10</f>
        <v>0</v>
      </c>
      <c r="JH10" s="20" t="n">
        <f aca="false">IF(BB10=1,MAX(0,(Slot4_Cost-JG10*(1+Slot4_Rate)^(Slot4_Age-D10))/JD10),0)</f>
        <v>1766.37888870836</v>
      </c>
      <c r="JI10" s="20" t="n">
        <f aca="false">IF(BB10=1,MAX(0,(Slot4_Cost-BC10*(1+Slot4_Rate)^(Slot4_Age-D10))/JD10),0)</f>
        <v>1766.37888870836</v>
      </c>
      <c r="JJ10" s="20" t="n">
        <f aca="false">IF(AND(HU10=1,BB10=1),MIN(JC10,JH10),0)</f>
        <v>0</v>
      </c>
      <c r="JK10" s="20" t="n">
        <f aca="false">JC10-JJ10</f>
        <v>0</v>
      </c>
      <c r="JL10" s="20" t="n">
        <f aca="false">IF(BL10=1,IF(ABS((1+AS_Wage)/(1+Slot5_Rate)-1)&lt;0.000000000001,(Slot5_Age-D10)*(1+Slot5_Rate)^(Slot5_Age-D10),(1+Slot5_Rate)^(Slot5_Age-D10)*(1-((1+AS_Wage)/(1+Slot5_Rate))^(Slot5_Age-D10))/(1-(1+AS_Wage)/(1+Slot5_Rate))),1)</f>
        <v>1</v>
      </c>
      <c r="JM10" s="20" t="n">
        <f aca="false">IF(AND(HU10=1,IE10&gt;0,Slot5_IsWG=1,BL10=1),MAX(0,(Slot5_Cost-BM10*(1+Slot5_Rate)^(Slot5_Age-D10))/JL10),0)</f>
        <v>0</v>
      </c>
      <c r="JN10" s="20" t="n">
        <f aca="false">IF(AND(HU10=1,IE10&gt;0,Slot5_IsWG=1,BL10=1),MIN(IE10,JM10),0)</f>
        <v>0</v>
      </c>
      <c r="JO10" s="20" t="n">
        <f aca="false">BM10+JN10</f>
        <v>0</v>
      </c>
      <c r="JP10" s="20" t="n">
        <f aca="false">IF(BL10=1,MAX(0,(Slot5_Cost-JO10*(1+Slot5_Rate)^(Slot5_Age-D10))/JL10),0)</f>
        <v>0</v>
      </c>
      <c r="JQ10" s="20" t="n">
        <f aca="false">IF(BL10=1,MAX(0,(Slot5_Cost-BM10*(1+Slot5_Rate)^(Slot5_Age-D10))/JL10),0)</f>
        <v>0</v>
      </c>
      <c r="JR10" s="20" t="n">
        <f aca="false">IF(AND(HU10=1,BL10=1),MIN(JK10,JP10),0)</f>
        <v>0</v>
      </c>
      <c r="JS10" s="20" t="n">
        <f aca="false">JK10-JR10</f>
        <v>0</v>
      </c>
      <c r="JT10" s="20" t="n">
        <f aca="false">IF(BV10=1,IF(ABS((1+AS_Wage)/(1+Slot6_Rate)-1)&lt;0.000000000001,(Slot6_Age-D10)*(1+Slot6_Rate)^(Slot6_Age-D10),(1+Slot6_Rate)^(Slot6_Age-D10)*(1-((1+AS_Wage)/(1+Slot6_Rate))^(Slot6_Age-D10))/(1-(1+AS_Wage)/(1+Slot6_Rate))),1)</f>
        <v>1</v>
      </c>
      <c r="JU10" s="20" t="n">
        <f aca="false">IF(AND(HU10=1,IE10&gt;0,Slot6_IsWG=1,BV10=1),MAX(0,(Slot6_Cost-BW10*(1+Slot6_Rate)^(Slot6_Age-D10))/JT10),0)</f>
        <v>0</v>
      </c>
      <c r="JV10" s="20" t="n">
        <f aca="false">IF(AND(HU10=1,IE10&gt;0,Slot6_IsWG=1,BV10=1),MIN(IE10,JU10),0)</f>
        <v>0</v>
      </c>
      <c r="JW10" s="20" t="n">
        <f aca="false">BW10+JV10</f>
        <v>0</v>
      </c>
      <c r="JX10" s="20" t="n">
        <f aca="false">IF(BV10=1,MAX(0,(Slot6_Cost-JW10*(1+Slot6_Rate)^(Slot6_Age-D10))/JT10),0)</f>
        <v>0</v>
      </c>
      <c r="JY10" s="20" t="n">
        <f aca="false">IF(BV10=1,MAX(0,(Slot6_Cost-BW10*(1+Slot6_Rate)^(Slot6_Age-D10))/JT10),0)</f>
        <v>0</v>
      </c>
      <c r="JZ10" s="20" t="n">
        <f aca="false">IF(AND(HU10=1,BV10=1),MIN(JS10,JX10),0)</f>
        <v>0</v>
      </c>
      <c r="KA10" s="20" t="n">
        <f aca="false">JS10-JZ10</f>
        <v>0</v>
      </c>
      <c r="KB10" s="20" t="n">
        <f aca="false">IF(CF10=1,IF(ABS((1+AS_Wage)/(1+Slot7_Rate)-1)&lt;0.000000000001,(Slot7_Age-D10)*(1+Slot7_Rate)^(Slot7_Age-D10),(1+Slot7_Rate)^(Slot7_Age-D10)*(1-((1+AS_Wage)/(1+Slot7_Rate))^(Slot7_Age-D10))/(1-(1+AS_Wage)/(1+Slot7_Rate))),1)</f>
        <v>1</v>
      </c>
      <c r="KC10" s="20" t="n">
        <f aca="false">IF(AND(HU10=1,IE10&gt;0,Slot7_IsWG=1,CF10=1),MAX(0,(Slot7_Cost-CG10*(1+Slot7_Rate)^(Slot7_Age-D10))/KB10),0)</f>
        <v>0</v>
      </c>
      <c r="KD10" s="20" t="n">
        <f aca="false">IF(AND(HU10=1,IE10&gt;0,Slot7_IsWG=1,CF10=1),MIN(IE10,KC10),0)</f>
        <v>0</v>
      </c>
      <c r="KE10" s="20" t="n">
        <f aca="false">CG10+KD10</f>
        <v>0</v>
      </c>
      <c r="KF10" s="20" t="n">
        <f aca="false">IF(CF10=1,MAX(0,(Slot7_Cost-KE10*(1+Slot7_Rate)^(Slot7_Age-D10))/KB10),0)</f>
        <v>0</v>
      </c>
      <c r="KG10" s="20" t="n">
        <f aca="false">IF(CF10=1,MAX(0,(Slot7_Cost-CG10*(1+Slot7_Rate)^(Slot7_Age-D10))/KB10),0)</f>
        <v>0</v>
      </c>
      <c r="KH10" s="20" t="n">
        <f aca="false">IF(AND(HU10=1,CF10=1),MIN(KA10,KF10),0)</f>
        <v>0</v>
      </c>
      <c r="KI10" s="20" t="n">
        <f aca="false">KA10-KH10</f>
        <v>0</v>
      </c>
      <c r="KJ10" s="20" t="n">
        <f aca="false">IF(CP10=1,IF(ABS((1+AS_Wage)/(1+Slot8_Rate)-1)&lt;0.000000000001,(Slot8_Age-D10)*(1+Slot8_Rate)^(Slot8_Age-D10),(1+Slot8_Rate)^(Slot8_Age-D10)*(1-((1+AS_Wage)/(1+Slot8_Rate))^(Slot8_Age-D10))/(1-(1+AS_Wage)/(1+Slot8_Rate))),1)</f>
        <v>1</v>
      </c>
      <c r="KK10" s="20" t="n">
        <f aca="false">IF(AND(HU10=1,IE10&gt;0,Slot8_IsWG=1,CP10=1),MAX(0,(Slot8_Cost-CQ10*(1+Slot8_Rate)^(Slot8_Age-D10))/KJ10),0)</f>
        <v>0</v>
      </c>
      <c r="KL10" s="20" t="n">
        <f aca="false">IF(AND(HU10=1,IE10&gt;0,Slot8_IsWG=1,CP10=1),MIN(IE10,KK10),0)</f>
        <v>0</v>
      </c>
      <c r="KM10" s="20" t="n">
        <f aca="false">CQ10+KL10</f>
        <v>0</v>
      </c>
      <c r="KN10" s="20" t="n">
        <f aca="false">IF(CP10=1,MAX(0,(Slot8_Cost-KM10*(1+Slot8_Rate)^(Slot8_Age-D10))/KJ10),0)</f>
        <v>0</v>
      </c>
      <c r="KO10" s="20" t="n">
        <f aca="false">IF(CP10=1,MAX(0,(Slot8_Cost-CQ10*(1+Slot8_Rate)^(Slot8_Age-D10))/KJ10),0)</f>
        <v>0</v>
      </c>
      <c r="KP10" s="20" t="n">
        <f aca="false">IF(AND(HU10=1,CP10=1),MIN(KI10,KN10),0)</f>
        <v>0</v>
      </c>
      <c r="KQ10" s="20" t="n">
        <f aca="false">KI10-KP10</f>
        <v>0</v>
      </c>
      <c r="KR10" s="20" t="n">
        <f aca="false">IF(CZ10=1,IF(ABS((1+AS_Wage)/(1+Slot9_Rate)-1)&lt;0.000000000001,(Slot9_Age-D10)*(1+Slot9_Rate)^(Slot9_Age-D10),(1+Slot9_Rate)^(Slot9_Age-D10)*(1-((1+AS_Wage)/(1+Slot9_Rate))^(Slot9_Age-D10))/(1-(1+AS_Wage)/(1+Slot9_Rate))),1)</f>
        <v>1</v>
      </c>
      <c r="KS10" s="20" t="n">
        <f aca="false">IF(AND(HU10=1,IE10&gt;0,Slot9_IsWG=1,CZ10=1),MAX(0,(Slot9_Cost-DA10*(1+Slot9_Rate)^(Slot9_Age-D10))/KR10),0)</f>
        <v>0</v>
      </c>
      <c r="KT10" s="20" t="n">
        <f aca="false">IF(AND(HU10=1,IE10&gt;0,Slot9_IsWG=1,CZ10=1),MIN(IE10,KS10),0)</f>
        <v>0</v>
      </c>
      <c r="KU10" s="20" t="n">
        <f aca="false">DA10+KT10</f>
        <v>0</v>
      </c>
      <c r="KV10" s="20" t="n">
        <f aca="false">IF(CZ10=1,MAX(0,(Slot9_Cost-KU10*(1+Slot9_Rate)^(Slot9_Age-D10))/KR10),0)</f>
        <v>0</v>
      </c>
      <c r="KW10" s="20" t="n">
        <f aca="false">IF(CZ10=1,MAX(0,(Slot9_Cost-DA10*(1+Slot9_Rate)^(Slot9_Age-D10))/KR10),0)</f>
        <v>0</v>
      </c>
      <c r="KX10" s="20" t="n">
        <f aca="false">IF(AND(HU10=1,CZ10=1),MIN(KQ10,KV10),0)</f>
        <v>0</v>
      </c>
      <c r="KY10" s="20" t="n">
        <f aca="false">KQ10-KX10</f>
        <v>0</v>
      </c>
      <c r="KZ10" s="20" t="n">
        <f aca="false">IF(DJ10=1,IF(ABS((1+AS_Wage)/(1+Slot10_Rate)-1)&lt;0.000000000001,(Slot10_Age-D10)*(1+Slot10_Rate)^(Slot10_Age-D10),(1+Slot10_Rate)^(Slot10_Age-D10)*(1-((1+AS_Wage)/(1+Slot10_Rate))^(Slot10_Age-D10))/(1-(1+AS_Wage)/(1+Slot10_Rate))),1)</f>
        <v>1</v>
      </c>
      <c r="LA10" s="20" t="n">
        <f aca="false">IF(AND(HU10=1,IE10&gt;0,Slot10_IsWG=1,DJ10=1),MAX(0,(Slot10_Cost-DK10*(1+Slot10_Rate)^(Slot10_Age-D10))/KZ10),0)</f>
        <v>0</v>
      </c>
      <c r="LB10" s="20" t="n">
        <f aca="false">IF(AND(HU10=1,IE10&gt;0,Slot10_IsWG=1,DJ10=1),MIN(IE10,LA10),0)</f>
        <v>0</v>
      </c>
      <c r="LC10" s="20" t="n">
        <f aca="false">DK10+LB10</f>
        <v>0</v>
      </c>
      <c r="LD10" s="20" t="n">
        <f aca="false">IF(DJ10=1,MAX(0,(Slot10_Cost-LC10*(1+Slot10_Rate)^(Slot10_Age-D10))/KZ10),0)</f>
        <v>0</v>
      </c>
      <c r="LE10" s="20" t="n">
        <f aca="false">IF(DJ10=1,MAX(0,(Slot10_Cost-DK10*(1+Slot10_Rate)^(Slot10_Age-D10))/KZ10),0)</f>
        <v>0</v>
      </c>
      <c r="LF10" s="20" t="n">
        <f aca="false">IF(AND(HU10=1,DJ10=1),MIN(KY10,LD10),0)</f>
        <v>0</v>
      </c>
      <c r="LG10" s="20" t="n">
        <f aca="false">KY10-LF10</f>
        <v>0</v>
      </c>
      <c r="LH10" s="20" t="n">
        <f aca="false">IF(DT10=1,IF(ABS((1+AS_Wage)/(1+Slot11_Rate)-1)&lt;0.000000000001,(Slot11_Age-D10)*(1+Slot11_Rate)^(Slot11_Age-D10),(1+Slot11_Rate)^(Slot11_Age-D10)*(1-((1+AS_Wage)/(1+Slot11_Rate))^(Slot11_Age-D10))/(1-(1+AS_Wage)/(1+Slot11_Rate))),1)</f>
        <v>1</v>
      </c>
      <c r="LI10" s="20" t="n">
        <f aca="false">IF(AND(HU10=1,IE10&gt;0,Slot11_IsWG=1,DT10=1),MAX(0,(Slot11_Cost-DU10*(1+Slot11_Rate)^(Slot11_Age-D10))/LH10),0)</f>
        <v>0</v>
      </c>
      <c r="LJ10" s="20" t="n">
        <f aca="false">IF(AND(HU10=1,IE10&gt;0,Slot11_IsWG=1,DT10=1),MIN(IE10,LI10),0)</f>
        <v>0</v>
      </c>
      <c r="LK10" s="20" t="n">
        <f aca="false">DU10+LJ10</f>
        <v>0</v>
      </c>
      <c r="LL10" s="20" t="n">
        <f aca="false">IF(DT10=1,MAX(0,(Slot11_Cost-LK10*(1+Slot11_Rate)^(Slot11_Age-D10))/LH10),0)</f>
        <v>0</v>
      </c>
      <c r="LM10" s="20" t="n">
        <f aca="false">IF(DT10=1,MAX(0,(Slot11_Cost-DU10*(1+Slot11_Rate)^(Slot11_Age-D10))/LH10),0)</f>
        <v>0</v>
      </c>
      <c r="LN10" s="20" t="n">
        <f aca="false">IF(AND(HU10=1,DT10=1),MIN(LG10,LL10),0)</f>
        <v>0</v>
      </c>
      <c r="LO10" s="20" t="n">
        <f aca="false">LG10-LN10</f>
        <v>0</v>
      </c>
      <c r="LP10" s="20" t="n">
        <f aca="false">IF(ED10=1,IF(ABS((1+AS_Wage)/(1+Slot12_Rate)-1)&lt;0.000000000001,(Slot12_Age-D10)*(1+Slot12_Rate)^(Slot12_Age-D10),(1+Slot12_Rate)^(Slot12_Age-D10)*(1-((1+AS_Wage)/(1+Slot12_Rate))^(Slot12_Age-D10))/(1-(1+AS_Wage)/(1+Slot12_Rate))),1)</f>
        <v>1</v>
      </c>
      <c r="LQ10" s="20" t="n">
        <f aca="false">IF(AND(HU10=1,IE10&gt;0,Slot12_IsWG=1,ED10=1),MAX(0,(Slot12_Cost-EE10*(1+Slot12_Rate)^(Slot12_Age-D10))/LP10),0)</f>
        <v>0</v>
      </c>
      <c r="LR10" s="20" t="n">
        <f aca="false">IF(AND(HU10=1,IE10&gt;0,Slot12_IsWG=1,ED10=1),MIN(IE10,LQ10),0)</f>
        <v>0</v>
      </c>
      <c r="LS10" s="20" t="n">
        <f aca="false">EE10+LR10</f>
        <v>0</v>
      </c>
      <c r="LT10" s="20" t="n">
        <f aca="false">IF(ED10=1,MAX(0,(Slot12_Cost-LS10*(1+Slot12_Rate)^(Slot12_Age-D10))/LP10),0)</f>
        <v>0</v>
      </c>
      <c r="LU10" s="20" t="n">
        <f aca="false">IF(ED10=1,MAX(0,(Slot12_Cost-EE10*(1+Slot12_Rate)^(Slot12_Age-D10))/LP10),0)</f>
        <v>0</v>
      </c>
      <c r="LV10" s="20" t="n">
        <f aca="false">IF(AND(HU10=1,ED10=1),MIN(LO10,LT10),0)</f>
        <v>0</v>
      </c>
      <c r="LW10" s="20" t="n">
        <f aca="false">LO10-LV10</f>
        <v>0</v>
      </c>
      <c r="LX10" s="20" t="n">
        <f aca="false">IF(EN10=1,IF(ABS((1+AS_Wage)/(1+Slot13_Rate)-1)&lt;0.000000000001,(Slot13_Age-D10)*(1+Slot13_Rate)^(Slot13_Age-D10),(1+Slot13_Rate)^(Slot13_Age-D10)*(1-((1+AS_Wage)/(1+Slot13_Rate))^(Slot13_Age-D10))/(1-(1+AS_Wage)/(1+Slot13_Rate))),1)</f>
        <v>1</v>
      </c>
      <c r="LY10" s="20" t="n">
        <f aca="false">IF(AND(HU10=1,IE10&gt;0,Slot13_IsWG=1,EN10=1),MAX(0,(Slot13_Cost-EO10*(1+Slot13_Rate)^(Slot13_Age-D10))/LX10),0)</f>
        <v>0</v>
      </c>
      <c r="LZ10" s="20" t="n">
        <f aca="false">IF(AND(HU10=1,IE10&gt;0,Slot13_IsWG=1,EN10=1),MIN(IE10,LY10),0)</f>
        <v>0</v>
      </c>
      <c r="MA10" s="20" t="n">
        <f aca="false">EO10+LZ10</f>
        <v>0</v>
      </c>
      <c r="MB10" s="20" t="n">
        <f aca="false">IF(EN10=1,MAX(0,(Slot13_Cost-MA10*(1+Slot13_Rate)^(Slot13_Age-D10))/LX10),0)</f>
        <v>0</v>
      </c>
      <c r="MC10" s="20" t="n">
        <f aca="false">IF(EN10=1,MAX(0,(Slot13_Cost-EO10*(1+Slot13_Rate)^(Slot13_Age-D10))/LX10),0)</f>
        <v>0</v>
      </c>
      <c r="MD10" s="20" t="n">
        <f aca="false">IF(AND(HU10=1,EN10=1),MIN(LW10,MB10),0)</f>
        <v>0</v>
      </c>
      <c r="ME10" s="20" t="n">
        <f aca="false">LW10-MD10</f>
        <v>0</v>
      </c>
      <c r="MF10" s="20" t="n">
        <f aca="false">IF(EX10=1,IF(ABS((1+AS_Wage)/(1+Slot14_Rate)-1)&lt;0.000000000001,(Slot14_Age-D10)*(1+Slot14_Rate)^(Slot14_Age-D10),(1+Slot14_Rate)^(Slot14_Age-D10)*(1-((1+AS_Wage)/(1+Slot14_Rate))^(Slot14_Age-D10))/(1-(1+AS_Wage)/(1+Slot14_Rate))),1)</f>
        <v>1</v>
      </c>
      <c r="MG10" s="20" t="n">
        <f aca="false">IF(AND(HU10=1,IE10&gt;0,Slot14_IsWG=1,EX10=1),MAX(0,(Slot14_Cost-EY10*(1+Slot14_Rate)^(Slot14_Age-D10))/MF10),0)</f>
        <v>0</v>
      </c>
      <c r="MH10" s="20" t="n">
        <f aca="false">IF(AND(HU10=1,IE10&gt;0,Slot14_IsWG=1,EX10=1),MIN(IE10,MG10),0)</f>
        <v>0</v>
      </c>
      <c r="MI10" s="20" t="n">
        <f aca="false">EY10+MH10</f>
        <v>0</v>
      </c>
      <c r="MJ10" s="20" t="n">
        <f aca="false">IF(EX10=1,MAX(0,(Slot14_Cost-MI10*(1+Slot14_Rate)^(Slot14_Age-D10))/MF10),0)</f>
        <v>0</v>
      </c>
      <c r="MK10" s="20" t="n">
        <f aca="false">IF(EX10=1,MAX(0,(Slot14_Cost-EY10*(1+Slot14_Rate)^(Slot14_Age-D10))/MF10),0)</f>
        <v>0</v>
      </c>
      <c r="ML10" s="20" t="n">
        <f aca="false">IF(AND(HU10=1,EX10=1),MIN(ME10,MJ10),0)</f>
        <v>0</v>
      </c>
      <c r="MM10" s="20" t="n">
        <f aca="false">ME10-ML10</f>
        <v>0</v>
      </c>
      <c r="MN10" s="20" t="n">
        <f aca="false">IF(FH10=1,IF(ABS((1+AS_Wage)/(1+Slot15_Rate)-1)&lt;0.000000000001,(Slot15_Age-D10)*(1+Slot15_Rate)^(Slot15_Age-D10),(1+Slot15_Rate)^(Slot15_Age-D10)*(1-((1+AS_Wage)/(1+Slot15_Rate))^(Slot15_Age-D10))/(1-(1+AS_Wage)/(1+Slot15_Rate))),1)</f>
        <v>1</v>
      </c>
      <c r="MO10" s="20" t="n">
        <f aca="false">IF(AND(HU10=1,IE10&gt;0,Slot15_IsWG=1,FH10=1),MAX(0,(Slot15_Cost-FI10*(1+Slot15_Rate)^(Slot15_Age-D10))/MN10),0)</f>
        <v>0</v>
      </c>
      <c r="MP10" s="20" t="n">
        <f aca="false">IF(AND(HU10=1,IE10&gt;0,Slot15_IsWG=1,FH10=1),MIN(IE10,MO10),0)</f>
        <v>0</v>
      </c>
      <c r="MQ10" s="20" t="n">
        <f aca="false">FI10+MP10</f>
        <v>0</v>
      </c>
      <c r="MR10" s="20" t="n">
        <f aca="false">IF(FH10=1,MAX(0,(Slot15_Cost-MQ10*(1+Slot15_Rate)^(Slot15_Age-D10))/MN10),0)</f>
        <v>0</v>
      </c>
      <c r="MS10" s="20" t="n">
        <f aca="false">IF(FH10=1,MAX(0,(Slot15_Cost-FI10*(1+Slot15_Rate)^(Slot15_Age-D10))/MN10),0)</f>
        <v>0</v>
      </c>
      <c r="MT10" s="20" t="n">
        <f aca="false">IF(AND(HU10=1,FH10=1),MIN(MM10,MR10),0)</f>
        <v>0</v>
      </c>
      <c r="MU10" s="20" t="n">
        <f aca="false">MM10-MT10</f>
        <v>0</v>
      </c>
      <c r="MV10" s="20" t="n">
        <f aca="false">IF(FR10=1,IF(ABS((1+AS_Wage)/(1+Slot16_Rate)-1)&lt;0.000000000001,(Slot16_Age-D10)*(1+Slot16_Rate)^(Slot16_Age-D10),(1+Slot16_Rate)^(Slot16_Age-D10)*(1-((1+AS_Wage)/(1+Slot16_Rate))^(Slot16_Age-D10))/(1-(1+AS_Wage)/(1+Slot16_Rate))),1)</f>
        <v>1</v>
      </c>
      <c r="MW10" s="20" t="n">
        <f aca="false">IF(AND(HU10=1,IE10&gt;0,Slot16_IsWG=1,FR10=1),MAX(0,(Slot16_Cost-FS10*(1+Slot16_Rate)^(Slot16_Age-D10))/MV10),0)</f>
        <v>0</v>
      </c>
      <c r="MX10" s="20" t="n">
        <f aca="false">IF(AND(HU10=1,IE10&gt;0,Slot16_IsWG=1,FR10=1),MIN(IE10,MW10),0)</f>
        <v>0</v>
      </c>
      <c r="MY10" s="20" t="n">
        <f aca="false">FS10+MX10</f>
        <v>0</v>
      </c>
      <c r="MZ10" s="20" t="n">
        <f aca="false">IF(FR10=1,MAX(0,(Slot16_Cost-MY10*(1+Slot16_Rate)^(Slot16_Age-D10))/MV10),0)</f>
        <v>0</v>
      </c>
      <c r="NA10" s="20" t="n">
        <f aca="false">IF(FR10=1,MAX(0,(Slot16_Cost-FS10*(1+Slot16_Rate)^(Slot16_Age-D10))/MV10),0)</f>
        <v>0</v>
      </c>
      <c r="NB10" s="20" t="n">
        <f aca="false">IF(AND(HU10=1,FR10=1),MIN(MU10,MZ10),0)</f>
        <v>0</v>
      </c>
      <c r="NC10" s="20" t="n">
        <f aca="false">MU10-NB10</f>
        <v>0</v>
      </c>
      <c r="ND10" s="20" t="n">
        <f aca="false">IF(GB10=1,IF(ABS((1+AS_Wage)/(1+Slot17_Rate)-1)&lt;0.000000000001,(Slot17_Age-D10)*(1+Slot17_Rate)^(Slot17_Age-D10),(1+Slot17_Rate)^(Slot17_Age-D10)*(1-((1+AS_Wage)/(1+Slot17_Rate))^(Slot17_Age-D10))/(1-(1+AS_Wage)/(1+Slot17_Rate))),1)</f>
        <v>1</v>
      </c>
      <c r="NE10" s="20" t="n">
        <f aca="false">IF(AND(HU10=1,IE10&gt;0,Slot17_IsWG=1,GB10=1),MAX(0,(Slot17_Cost-GC10*(1+Slot17_Rate)^(Slot17_Age-D10))/ND10),0)</f>
        <v>0</v>
      </c>
      <c r="NF10" s="20" t="n">
        <f aca="false">IF(AND(HU10=1,IE10&gt;0,Slot17_IsWG=1,GB10=1),MIN(IE10,NE10),0)</f>
        <v>0</v>
      </c>
      <c r="NG10" s="20" t="n">
        <f aca="false">GC10+NF10</f>
        <v>0</v>
      </c>
      <c r="NH10" s="20" t="n">
        <f aca="false">IF(GB10=1,MAX(0,(Slot17_Cost-NG10*(1+Slot17_Rate)^(Slot17_Age-D10))/ND10),0)</f>
        <v>0</v>
      </c>
      <c r="NI10" s="20" t="n">
        <f aca="false">IF(GB10=1,MAX(0,(Slot17_Cost-GC10*(1+Slot17_Rate)^(Slot17_Age-D10))/ND10),0)</f>
        <v>0</v>
      </c>
      <c r="NJ10" s="20" t="n">
        <f aca="false">IF(AND(HU10=1,GB10=1),MIN(NC10,NH10),0)</f>
        <v>0</v>
      </c>
      <c r="NK10" s="20" t="n">
        <f aca="false">NC10-NJ10</f>
        <v>0</v>
      </c>
      <c r="NL10" s="20" t="n">
        <f aca="false">IF(GL10=1,IF(ABS((1+AS_Wage)/(1+Slot18_Rate)-1)&lt;0.000000000001,(Slot18_Age-D10)*(1+Slot18_Rate)^(Slot18_Age-D10),(1+Slot18_Rate)^(Slot18_Age-D10)*(1-((1+AS_Wage)/(1+Slot18_Rate))^(Slot18_Age-D10))/(1-(1+AS_Wage)/(1+Slot18_Rate))),1)</f>
        <v>1</v>
      </c>
      <c r="NM10" s="20" t="n">
        <f aca="false">IF(AND(HU10=1,IE10&gt;0,Slot18_IsWG=1,GL10=1),MAX(0,(Slot18_Cost-GM10*(1+Slot18_Rate)^(Slot18_Age-D10))/NL10),0)</f>
        <v>0</v>
      </c>
      <c r="NN10" s="20" t="n">
        <f aca="false">IF(AND(HU10=1,IE10&gt;0,Slot18_IsWG=1,GL10=1),MIN(IE10,NM10),0)</f>
        <v>0</v>
      </c>
      <c r="NO10" s="20" t="n">
        <f aca="false">GM10+NN10</f>
        <v>0</v>
      </c>
      <c r="NP10" s="20" t="n">
        <f aca="false">IF(GL10=1,MAX(0,(Slot18_Cost-NO10*(1+Slot18_Rate)^(Slot18_Age-D10))/NL10),0)</f>
        <v>0</v>
      </c>
      <c r="NQ10" s="20" t="n">
        <f aca="false">IF(GL10=1,MAX(0,(Slot18_Cost-GM10*(1+Slot18_Rate)^(Slot18_Age-D10))/NL10),0)</f>
        <v>0</v>
      </c>
      <c r="NR10" s="20" t="n">
        <f aca="false">IF(AND(HU10=1,GL10=1),MIN(NK10,NP10),0)</f>
        <v>0</v>
      </c>
      <c r="NS10" s="20" t="n">
        <f aca="false">NK10-NR10</f>
        <v>0</v>
      </c>
      <c r="NT10" s="20" t="n">
        <f aca="false">IF(GV10=1,IF(ABS((1+AS_Wage)/(1+Slot19_Rate)-1)&lt;0.000000000001,(Slot19_Age-D10)*(1+Slot19_Rate)^(Slot19_Age-D10),(1+Slot19_Rate)^(Slot19_Age-D10)*(1-((1+AS_Wage)/(1+Slot19_Rate))^(Slot19_Age-D10))/(1-(1+AS_Wage)/(1+Slot19_Rate))),1)</f>
        <v>1</v>
      </c>
      <c r="NU10" s="20" t="n">
        <f aca="false">IF(AND(HU10=1,IE10&gt;0,Slot19_IsWG=1,GV10=1),MAX(0,(Slot19_Cost-GW10*(1+Slot19_Rate)^(Slot19_Age-D10))/NT10),0)</f>
        <v>0</v>
      </c>
      <c r="NV10" s="20" t="n">
        <f aca="false">IF(AND(HU10=1,IE10&gt;0,Slot19_IsWG=1,GV10=1),MIN(IE10,NU10),0)</f>
        <v>0</v>
      </c>
      <c r="NW10" s="20" t="n">
        <f aca="false">GW10+NV10</f>
        <v>0</v>
      </c>
      <c r="NX10" s="20" t="n">
        <f aca="false">IF(GV10=1,MAX(0,(Slot19_Cost-NW10*(1+Slot19_Rate)^(Slot19_Age-D10))/NT10),0)</f>
        <v>0</v>
      </c>
      <c r="NY10" s="20" t="n">
        <f aca="false">IF(GV10=1,MAX(0,(Slot19_Cost-GW10*(1+Slot19_Rate)^(Slot19_Age-D10))/NT10),0)</f>
        <v>0</v>
      </c>
      <c r="NZ10" s="20" t="n">
        <f aca="false">IF(AND(HU10=1,GV10=1),MIN(NS10,NX10),0)</f>
        <v>0</v>
      </c>
      <c r="OA10" s="20" t="n">
        <f aca="false">NS10-NZ10</f>
        <v>0</v>
      </c>
      <c r="OB10" s="20" t="n">
        <f aca="false">IF(HF10=1,IF(ABS((1+AS_Wage)/(1+Slot20_Rate)-1)&lt;0.000000000001,(Slot20_Age-D10)*(1+Slot20_Rate)^(Slot20_Age-D10),(1+Slot20_Rate)^(Slot20_Age-D10)*(1-((1+AS_Wage)/(1+Slot20_Rate))^(Slot20_Age-D10))/(1-(1+AS_Wage)/(1+Slot20_Rate))),1)</f>
        <v>1</v>
      </c>
      <c r="OC10" s="20" t="n">
        <f aca="false">IF(AND(HU10=1,IE10&gt;0,Slot20_IsWG=1,HF10=1),MAX(0,(Slot20_Cost-HG10*(1+Slot20_Rate)^(Slot20_Age-D10))/OB10),0)</f>
        <v>0</v>
      </c>
      <c r="OD10" s="20" t="n">
        <f aca="false">IF(AND(HU10=1,IE10&gt;0,Slot20_IsWG=1,HF10=1),MIN(IE10,OC10),0)</f>
        <v>0</v>
      </c>
      <c r="OE10" s="20" t="n">
        <f aca="false">HG10+OD10</f>
        <v>0</v>
      </c>
      <c r="OF10" s="20" t="n">
        <f aca="false">IF(HF10=1,MAX(0,(Slot20_Cost-OE10*(1+Slot20_Rate)^(Slot20_Age-D10))/OB10),0)</f>
        <v>0</v>
      </c>
      <c r="OG10" s="20" t="n">
        <f aca="false">IF(HF10=1,MAX(0,(Slot20_Cost-HG10*(1+Slot20_Rate)^(Slot20_Age-D10))/OB10),0)</f>
        <v>0</v>
      </c>
      <c r="OH10" s="20" t="n">
        <f aca="false">IF(AND(HU10=1,HF10=1),MIN(OA10,OF10),0)</f>
        <v>0</v>
      </c>
      <c r="OI10" s="20" t="n">
        <f aca="false">OA10-OH10</f>
        <v>0</v>
      </c>
      <c r="OJ10" s="20" t="n">
        <f aca="false">IE10-(IH10+IP10+IX10+JF10+JN10+JV10+KD10+KL10+KT10+LB10+LJ10+LR10+LZ10+MH10+MP10+MX10+NF10+NN10+NV10+OD10)</f>
        <v>0</v>
      </c>
      <c r="OK10" s="20" t="n">
        <f aca="false">IF(HU10=1,HS10-ID10-IE10,0)</f>
        <v>1638.821272</v>
      </c>
      <c r="OL10" s="20" t="n">
        <f aca="false">IF(HU10=0,-HS10,0)</f>
        <v>0</v>
      </c>
      <c r="OM10" s="20" t="n">
        <f aca="false">MIN(OL10,HK10)</f>
        <v>0</v>
      </c>
      <c r="ON10" s="20" t="n">
        <f aca="false">OL10-OM10</f>
        <v>0</v>
      </c>
      <c r="OO10" s="20" t="n">
        <f aca="false">MIN(ON10,HL10)</f>
        <v>0</v>
      </c>
      <c r="OP10" s="20" t="n">
        <f aca="false">ON10-OO10</f>
        <v>0</v>
      </c>
      <c r="OQ10" s="20" t="n">
        <f aca="false">IF(AND(HU10=0,HF10=1,OP10&gt;0),MIN(OP10,HG10),0)</f>
        <v>0</v>
      </c>
      <c r="OR10" s="20" t="n">
        <f aca="false">OP10-OQ10</f>
        <v>0</v>
      </c>
      <c r="OS10" s="20" t="n">
        <f aca="false">IF(AND(HU10=0,GV10=1,OR10&gt;0),MIN(OR10,GW10),0)</f>
        <v>0</v>
      </c>
      <c r="OT10" s="20" t="n">
        <f aca="false">OR10-OS10</f>
        <v>0</v>
      </c>
      <c r="OU10" s="20" t="n">
        <f aca="false">IF(AND(HU10=0,GL10=1,OT10&gt;0),MIN(OT10,GM10),0)</f>
        <v>0</v>
      </c>
      <c r="OV10" s="20" t="n">
        <f aca="false">OT10-OU10</f>
        <v>0</v>
      </c>
      <c r="OW10" s="20" t="n">
        <f aca="false">IF(AND(HU10=0,GB10=1,OV10&gt;0),MIN(OV10,GC10),0)</f>
        <v>0</v>
      </c>
      <c r="OX10" s="20" t="n">
        <f aca="false">OV10-OW10</f>
        <v>0</v>
      </c>
      <c r="OY10" s="20" t="n">
        <f aca="false">IF(AND(HU10=0,FR10=1,OX10&gt;0),MIN(OX10,FS10),0)</f>
        <v>0</v>
      </c>
      <c r="OZ10" s="20" t="n">
        <f aca="false">OX10-OY10</f>
        <v>0</v>
      </c>
      <c r="PA10" s="20" t="n">
        <f aca="false">IF(AND(HU10=0,FH10=1,OZ10&gt;0),MIN(OZ10,FI10),0)</f>
        <v>0</v>
      </c>
      <c r="PB10" s="20" t="n">
        <f aca="false">OZ10-PA10</f>
        <v>0</v>
      </c>
      <c r="PC10" s="20" t="n">
        <f aca="false">IF(AND(HU10=0,EX10=1,PB10&gt;0),MIN(PB10,EY10),0)</f>
        <v>0</v>
      </c>
      <c r="PD10" s="20" t="n">
        <f aca="false">PB10-PC10</f>
        <v>0</v>
      </c>
      <c r="PE10" s="20" t="n">
        <f aca="false">IF(AND(HU10=0,EN10=1,PD10&gt;0),MIN(PD10,EO10),0)</f>
        <v>0</v>
      </c>
      <c r="PF10" s="20" t="n">
        <f aca="false">PD10-PE10</f>
        <v>0</v>
      </c>
      <c r="PG10" s="20" t="n">
        <f aca="false">IF(AND(HU10=0,ED10=1,PF10&gt;0),MIN(PF10,EE10),0)</f>
        <v>0</v>
      </c>
      <c r="PH10" s="20" t="n">
        <f aca="false">PF10-PG10</f>
        <v>0</v>
      </c>
      <c r="PI10" s="20" t="n">
        <f aca="false">IF(AND(HU10=0,DT10=1,PH10&gt;0),MIN(PH10,DU10),0)</f>
        <v>0</v>
      </c>
      <c r="PJ10" s="20" t="n">
        <f aca="false">PH10-PI10</f>
        <v>0</v>
      </c>
      <c r="PK10" s="20" t="n">
        <f aca="false">IF(AND(HU10=0,DJ10=1,PJ10&gt;0),MIN(PJ10,DK10),0)</f>
        <v>0</v>
      </c>
      <c r="PL10" s="20" t="n">
        <f aca="false">PJ10-PK10</f>
        <v>0</v>
      </c>
      <c r="PM10" s="20" t="n">
        <f aca="false">IF(AND(HU10=0,CZ10=1,PL10&gt;0),MIN(PL10,DA10),0)</f>
        <v>0</v>
      </c>
      <c r="PN10" s="20" t="n">
        <f aca="false">PL10-PM10</f>
        <v>0</v>
      </c>
      <c r="PO10" s="20" t="n">
        <f aca="false">IF(AND(HU10=0,CP10=1,PN10&gt;0),MIN(PN10,CQ10),0)</f>
        <v>0</v>
      </c>
      <c r="PP10" s="20" t="n">
        <f aca="false">PN10-PO10</f>
        <v>0</v>
      </c>
      <c r="PQ10" s="20" t="n">
        <f aca="false">IF(AND(HU10=0,CF10=1,PP10&gt;0),MIN(PP10,CG10),0)</f>
        <v>0</v>
      </c>
      <c r="PR10" s="20" t="n">
        <f aca="false">PP10-PQ10</f>
        <v>0</v>
      </c>
      <c r="PS10" s="20" t="n">
        <f aca="false">IF(AND(HU10=0,BV10=1,PR10&gt;0),MIN(PR10,BW10),0)</f>
        <v>0</v>
      </c>
      <c r="PT10" s="20" t="n">
        <f aca="false">PR10-PS10</f>
        <v>0</v>
      </c>
      <c r="PU10" s="20" t="n">
        <f aca="false">IF(AND(HU10=0,BL10=1,PT10&gt;0),MIN(PT10,BM10),0)</f>
        <v>0</v>
      </c>
      <c r="PV10" s="20" t="n">
        <f aca="false">PT10-PU10</f>
        <v>0</v>
      </c>
      <c r="PW10" s="20" t="n">
        <f aca="false">IF(AND(HU10=0,BB10=1,PV10&gt;0),MIN(PV10,BC10),0)</f>
        <v>0</v>
      </c>
      <c r="PX10" s="20" t="n">
        <f aca="false">PV10-PW10</f>
        <v>0</v>
      </c>
      <c r="PY10" s="20" t="n">
        <f aca="false">IF(AND(HU10=0,AR10=1,PX10&gt;0),MIN(PX10,AS10),0)</f>
        <v>0</v>
      </c>
      <c r="PZ10" s="20" t="n">
        <f aca="false">PX10-PY10</f>
        <v>0</v>
      </c>
      <c r="QA10" s="20" t="n">
        <f aca="false">IF(AND(HU10=0,AH10=1,PZ10&gt;0),MIN(PZ10,AI10),0)</f>
        <v>0</v>
      </c>
      <c r="QB10" s="20" t="n">
        <f aca="false">PZ10-QA10</f>
        <v>0</v>
      </c>
      <c r="QC10" s="20" t="n">
        <f aca="false">IF(AND(HU10=0,W10=1,QB10&gt;0),MIN(QB10,X10),0)</f>
        <v>0</v>
      </c>
      <c r="QD10" s="20" t="n">
        <f aca="false">QB10-QC10</f>
        <v>0</v>
      </c>
      <c r="QE10" s="20" t="n">
        <f aca="false">IF(HU10=0,QD10,0)</f>
        <v>0</v>
      </c>
      <c r="QF10" s="20" t="n">
        <f aca="false">OM10+OO10+QC10+QA10+PY10+PW10+PU10+PS10+PQ10+PO10+PM10+PK10+PI10+PG10+PE10+PC10+PA10+OY10+OW10+OU10+OS10+OQ10</f>
        <v>0</v>
      </c>
      <c r="QG10" s="20" t="n">
        <f aca="false">IF(HU10=1,HK10+OJ10+OI10+IF(G10=1,0,OK10),HK10-OM10)</f>
        <v>0</v>
      </c>
      <c r="QH10" s="20" t="n">
        <f aca="false">HL10-OO10</f>
        <v>15606</v>
      </c>
      <c r="QI10" s="20" t="n">
        <f aca="false">IF(HU10=1,IF(G10=1,ID10+IE10,HS10),0)</f>
        <v>1638.821272</v>
      </c>
      <c r="QJ10" s="20" t="n">
        <f aca="false">IF(HU10=1,IF(G10=1,HS10-ID10-IE10,0),0)</f>
        <v>1638.821272</v>
      </c>
      <c r="QK10" s="20" t="n">
        <f aca="false">QG10*(1+GR)</f>
        <v>0</v>
      </c>
      <c r="QL10" s="20" t="n">
        <f aca="false">QH10*(1+AS_Cash)</f>
        <v>15762.06</v>
      </c>
      <c r="QM10" s="20" t="n">
        <f aca="false">IF(W10=1,IF(HU10=1,II10+IL10,X10-QC10)*(1+Slot1_Rate),0)</f>
        <v>0</v>
      </c>
      <c r="QN10" s="20" t="n">
        <f aca="false">IF(AND(HU10=1,W10=1),(IH10+IL10)/F10,0)</f>
        <v>0</v>
      </c>
      <c r="QO10" s="20" t="n">
        <f aca="false">IF(B10=0,IH10+IL10,0)</f>
        <v>0</v>
      </c>
      <c r="QP10" s="20" t="n">
        <f aca="false">IF(B10=0,IF(HU10=1,IJ10,IK10),0)</f>
        <v>0</v>
      </c>
      <c r="QQ10" s="20" t="n">
        <f aca="false">IF(AH10=1,IF(HU10=1,IQ10+IT10,AI10-QA10)*(1+Slot2_Rate),0)</f>
        <v>3643.1278565332</v>
      </c>
      <c r="QR10" s="20" t="n">
        <f aca="false">IF(AND(HU10=1,AH10=1),(IP10+IT10)/F10,0)</f>
        <v>1575.18384467513</v>
      </c>
      <c r="QS10" s="20" t="n">
        <f aca="false">IF(B10=0,IP10+IT10,0)</f>
        <v>0</v>
      </c>
      <c r="QT10" s="20" t="n">
        <f aca="false">IF(B10=0,IF(HU10=1,IR10,IS10),0)</f>
        <v>0</v>
      </c>
      <c r="QU10" s="20" t="n">
        <f aca="false">IF(AR10=1,IF(HU10=1,IY10+JB10,AS10-PY10)*(1+Slot3_Rate),0)</f>
        <v>0</v>
      </c>
      <c r="QV10" s="20" t="n">
        <f aca="false">IF(AND(HU10=1,AR10=1),(IX10+JB10)/F10,0)</f>
        <v>0</v>
      </c>
      <c r="QW10" s="20" t="n">
        <f aca="false">IF(B10=0,IX10+JB10,0)</f>
        <v>0</v>
      </c>
      <c r="QX10" s="20" t="n">
        <f aca="false">IF(B10=0,IF(HU10=1,IZ10,JA10),0)</f>
        <v>0</v>
      </c>
      <c r="QY10" s="20" t="n">
        <f aca="false">IF(BB10=1,IF(HU10=1,JG10+JJ10,BC10-PW10)*(1+Slot4_Rate),0)</f>
        <v>0</v>
      </c>
      <c r="QZ10" s="20" t="n">
        <f aca="false">IF(AND(HU10=1,BB10=1),(JF10+JJ10)/F10,0)</f>
        <v>0</v>
      </c>
      <c r="RA10" s="20" t="n">
        <f aca="false">IF(B10=0,JF10+JJ10,0)</f>
        <v>0</v>
      </c>
      <c r="RB10" s="20" t="n">
        <f aca="false">IF(B10=0,IF(HU10=1,JH10,JI10),0)</f>
        <v>0</v>
      </c>
      <c r="RC10" s="20" t="n">
        <f aca="false">IF(BL10=1,IF(HU10=1,JO10+JR10,BM10-PU10)*(1+Slot5_Rate),0)</f>
        <v>0</v>
      </c>
      <c r="RD10" s="20" t="n">
        <f aca="false">IF(AND(HU10=1,BL10=1),(JN10+JR10)/F10,0)</f>
        <v>0</v>
      </c>
      <c r="RE10" s="20" t="n">
        <f aca="false">IF(B10=0,JN10+JR10,0)</f>
        <v>0</v>
      </c>
      <c r="RF10" s="20" t="n">
        <f aca="false">IF(B10=0,IF(HU10=1,JP10,JQ10),0)</f>
        <v>0</v>
      </c>
      <c r="RG10" s="20" t="n">
        <f aca="false">IF(BV10=1,IF(HU10=1,JW10+JZ10,BW10-PS10)*(1+Slot6_Rate),0)</f>
        <v>0</v>
      </c>
      <c r="RH10" s="20" t="n">
        <f aca="false">IF(AND(HU10=1,BV10=1),(JV10+JZ10)/F10,0)</f>
        <v>0</v>
      </c>
      <c r="RI10" s="20" t="n">
        <f aca="false">IF(B10=0,JV10+JZ10,0)</f>
        <v>0</v>
      </c>
      <c r="RJ10" s="20" t="n">
        <f aca="false">IF(B10=0,IF(HU10=1,JX10,JY10),0)</f>
        <v>0</v>
      </c>
      <c r="RK10" s="20" t="n">
        <f aca="false">IF(CF10=1,IF(HU10=1,KE10+KH10,CG10-PQ10)*(1+Slot7_Rate),0)</f>
        <v>0</v>
      </c>
      <c r="RL10" s="20" t="n">
        <f aca="false">IF(AND(HU10=1,CF10=1),(KD10+KH10)/F10,0)</f>
        <v>0</v>
      </c>
      <c r="RM10" s="20" t="n">
        <f aca="false">IF(B10=0,KD10+KH10,0)</f>
        <v>0</v>
      </c>
      <c r="RN10" s="20" t="n">
        <f aca="false">IF(B10=0,IF(HU10=1,KF10,KG10),0)</f>
        <v>0</v>
      </c>
      <c r="RO10" s="20" t="n">
        <f aca="false">IF(CP10=1,IF(HU10=1,KM10+KP10,CQ10-PO10)*(1+Slot8_Rate),0)</f>
        <v>0</v>
      </c>
      <c r="RP10" s="20" t="n">
        <f aca="false">IF(AND(HU10=1,CP10=1),(KL10+KP10)/F10,0)</f>
        <v>0</v>
      </c>
      <c r="RQ10" s="20" t="n">
        <f aca="false">IF(B10=0,KL10+KP10,0)</f>
        <v>0</v>
      </c>
      <c r="RR10" s="20" t="n">
        <f aca="false">IF(B10=0,IF(HU10=1,KN10,KO10),0)</f>
        <v>0</v>
      </c>
      <c r="RS10" s="20" t="n">
        <f aca="false">IF(CZ10=1,IF(HU10=1,KU10+KX10,DA10-PM10)*(1+Slot9_Rate),0)</f>
        <v>0</v>
      </c>
      <c r="RT10" s="20" t="n">
        <f aca="false">IF(AND(HU10=1,CZ10=1),(KT10+KX10)/F10,0)</f>
        <v>0</v>
      </c>
      <c r="RU10" s="20" t="n">
        <f aca="false">IF(B10=0,KT10+KX10,0)</f>
        <v>0</v>
      </c>
      <c r="RV10" s="20" t="n">
        <f aca="false">IF(B10=0,IF(HU10=1,KV10,KW10),0)</f>
        <v>0</v>
      </c>
      <c r="RW10" s="20" t="n">
        <f aca="false">IF(DJ10=1,IF(HU10=1,LC10+LF10,DK10-PK10)*(1+Slot10_Rate),0)</f>
        <v>0</v>
      </c>
      <c r="RX10" s="20" t="n">
        <f aca="false">IF(AND(HU10=1,DJ10=1),(LB10+LF10)/F10,0)</f>
        <v>0</v>
      </c>
      <c r="RY10" s="20" t="n">
        <f aca="false">IF(B10=0,LB10+LF10,0)</f>
        <v>0</v>
      </c>
      <c r="RZ10" s="20" t="n">
        <f aca="false">IF(B10=0,IF(HU10=1,LD10,LE10),0)</f>
        <v>0</v>
      </c>
      <c r="SA10" s="20" t="n">
        <f aca="false">IF(DT10=1,IF(HU10=1,LK10+LN10,DU10-PI10)*(1+Slot11_Rate),0)</f>
        <v>0</v>
      </c>
      <c r="SB10" s="20" t="n">
        <f aca="false">IF(AND(HU10=1,DT10=1),(LJ10+LN10)/F10,0)</f>
        <v>0</v>
      </c>
      <c r="SC10" s="20" t="n">
        <f aca="false">IF(B10=0,LJ10+LN10,0)</f>
        <v>0</v>
      </c>
      <c r="SD10" s="20" t="n">
        <f aca="false">IF(B10=0,IF(HU10=1,LL10,LM10),0)</f>
        <v>0</v>
      </c>
      <c r="SE10" s="20" t="n">
        <f aca="false">IF(ED10=1,IF(HU10=1,LS10+LV10,EE10-PG10)*(1+Slot12_Rate),0)</f>
        <v>0</v>
      </c>
      <c r="SF10" s="20" t="n">
        <f aca="false">IF(AND(HU10=1,ED10=1),(LR10+LV10)/F10,0)</f>
        <v>0</v>
      </c>
      <c r="SG10" s="20" t="n">
        <f aca="false">IF(B10=0,LR10+LV10,0)</f>
        <v>0</v>
      </c>
      <c r="SH10" s="20" t="n">
        <f aca="false">IF(B10=0,IF(HU10=1,LT10,LU10),0)</f>
        <v>0</v>
      </c>
      <c r="SI10" s="20" t="n">
        <f aca="false">IF(EN10=1,IF(HU10=1,MA10+MD10,EO10-PE10)*(1+Slot13_Rate),0)</f>
        <v>0</v>
      </c>
      <c r="SJ10" s="20" t="n">
        <f aca="false">IF(AND(HU10=1,EN10=1),(LZ10+MD10)/F10,0)</f>
        <v>0</v>
      </c>
      <c r="SK10" s="20" t="n">
        <f aca="false">IF(B10=0,LZ10+MD10,0)</f>
        <v>0</v>
      </c>
      <c r="SL10" s="20" t="n">
        <f aca="false">IF(B10=0,IF(HU10=1,MB10,MC10),0)</f>
        <v>0</v>
      </c>
      <c r="SM10" s="20" t="n">
        <f aca="false">IF(EX10=1,IF(HU10=1,MI10+ML10,EY10-PC10)*(1+Slot14_Rate),0)</f>
        <v>0</v>
      </c>
      <c r="SN10" s="20" t="n">
        <f aca="false">IF(AND(HU10=1,EX10=1),(MH10+ML10)/F10,0)</f>
        <v>0</v>
      </c>
      <c r="SO10" s="20" t="n">
        <f aca="false">IF(B10=0,MH10+ML10,0)</f>
        <v>0</v>
      </c>
      <c r="SP10" s="20" t="n">
        <f aca="false">IF(B10=0,IF(HU10=1,MJ10,MK10),0)</f>
        <v>0</v>
      </c>
      <c r="SQ10" s="20" t="n">
        <f aca="false">IF(FH10=1,IF(HU10=1,MQ10+MT10,FI10-PA10)*(1+Slot15_Rate),0)</f>
        <v>0</v>
      </c>
      <c r="SR10" s="20" t="n">
        <f aca="false">IF(AND(HU10=1,FH10=1),(MP10+MT10)/F10,0)</f>
        <v>0</v>
      </c>
      <c r="SS10" s="20" t="n">
        <f aca="false">IF(B10=0,MP10+MT10,0)</f>
        <v>0</v>
      </c>
      <c r="ST10" s="20" t="n">
        <f aca="false">IF(B10=0,IF(HU10=1,MR10,MS10),0)</f>
        <v>0</v>
      </c>
      <c r="SU10" s="20" t="n">
        <f aca="false">IF(FR10=1,IF(HU10=1,MY10+NB10,FS10-OY10)*(1+Slot16_Rate),0)</f>
        <v>0</v>
      </c>
      <c r="SV10" s="20" t="n">
        <f aca="false">IF(AND(HU10=1,FR10=1),(MX10+NB10)/F10,0)</f>
        <v>0</v>
      </c>
      <c r="SW10" s="20" t="n">
        <f aca="false">IF(B10=0,MX10+NB10,0)</f>
        <v>0</v>
      </c>
      <c r="SX10" s="20" t="n">
        <f aca="false">IF(B10=0,IF(HU10=1,MZ10,NA10),0)</f>
        <v>0</v>
      </c>
      <c r="SY10" s="20" t="n">
        <f aca="false">IF(GB10=1,IF(HU10=1,NG10+NJ10,GC10-OW10)*(1+Slot17_Rate),0)</f>
        <v>0</v>
      </c>
      <c r="SZ10" s="20" t="n">
        <f aca="false">IF(AND(HU10=1,GB10=1),(NF10+NJ10)/F10,0)</f>
        <v>0</v>
      </c>
      <c r="TA10" s="20" t="n">
        <f aca="false">IF(B10=0,NF10+NJ10,0)</f>
        <v>0</v>
      </c>
      <c r="TB10" s="20" t="n">
        <f aca="false">IF(B10=0,IF(HU10=1,NH10,NI10),0)</f>
        <v>0</v>
      </c>
      <c r="TC10" s="20" t="n">
        <f aca="false">IF(GL10=1,IF(HU10=1,NO10+NR10,GM10-OU10)*(1+Slot18_Rate),0)</f>
        <v>0</v>
      </c>
      <c r="TD10" s="20" t="n">
        <f aca="false">IF(AND(HU10=1,GL10=1),(NN10+NR10)/F10,0)</f>
        <v>0</v>
      </c>
      <c r="TE10" s="20" t="n">
        <f aca="false">IF(B10=0,NN10+NR10,0)</f>
        <v>0</v>
      </c>
      <c r="TF10" s="20" t="n">
        <f aca="false">IF(B10=0,IF(HU10=1,NP10,NQ10),0)</f>
        <v>0</v>
      </c>
      <c r="TG10" s="20" t="n">
        <f aca="false">IF(GV10=1,IF(HU10=1,NW10+NZ10,GW10-OS10)*(1+Slot19_Rate),0)</f>
        <v>0</v>
      </c>
      <c r="TH10" s="20" t="n">
        <f aca="false">IF(AND(HU10=1,GV10=1),(NV10+NZ10)/F10,0)</f>
        <v>0</v>
      </c>
      <c r="TI10" s="20" t="n">
        <f aca="false">IF(B10=0,NV10+NZ10,0)</f>
        <v>0</v>
      </c>
      <c r="TJ10" s="20" t="n">
        <f aca="false">IF(B10=0,IF(HU10=1,NX10,NY10),0)</f>
        <v>0</v>
      </c>
      <c r="TK10" s="20" t="n">
        <f aca="false">IF(HF10=1,IF(HU10=1,OE10+OH10,HG10-OQ10)*(1+Slot20_Rate),0)</f>
        <v>0</v>
      </c>
      <c r="TL10" s="20" t="n">
        <f aca="false">IF(AND(HU10=1,HF10=1),(OD10+OH10)/F10,0)</f>
        <v>0</v>
      </c>
      <c r="TM10" s="20" t="n">
        <f aca="false">IF(B10=0,OD10+OH10,0)</f>
        <v>0</v>
      </c>
      <c r="TN10" s="20" t="n">
        <f aca="false">IF(B10=0,IF(HU10=1,OF10,OG10),0)</f>
        <v>0</v>
      </c>
      <c r="TO10" s="20" t="n">
        <f aca="false">QK10+QL10+QM10+QQ10+QU10+QY10+RC10+RG10+RK10+RO10+RS10+RW10+SA10+SE10+SI10+SM10+SQ10+SU10+SY10+TC10+TG10+TK10</f>
        <v>19405.1878565332</v>
      </c>
      <c r="TP10" s="20" t="n">
        <f aca="false">QE10+HP10</f>
        <v>0</v>
      </c>
      <c r="TQ10" s="20" t="n">
        <f aca="false">I10+S10</f>
        <v>62178</v>
      </c>
      <c r="TR10" s="20" t="n">
        <f aca="false">1-G10</f>
        <v>0</v>
      </c>
      <c r="TS10" s="20" t="n">
        <f aca="false">IF(AND(RG_Exists=1,G10=0,C10=1),I10,0)</f>
        <v>0</v>
      </c>
      <c r="TT10" s="20" t="n">
        <f aca="false">IF(AND(RG_Exists=1,G10=0,C10=1),I10-MIN(QE10,I10),0)</f>
        <v>0</v>
      </c>
      <c r="TU10" s="20" t="n">
        <f aca="false">'Plan pay &amp; tax'!AD236</f>
        <v>102314.637</v>
      </c>
      <c r="TV10" s="20" t="n">
        <f aca="false">IF(AND(C10=1,QE10&gt;MAX(PR_Short1,TQ10*PR_Short2)),1,0)</f>
        <v>0</v>
      </c>
      <c r="TW10" s="20" t="n">
        <f aca="false">MIN(H10,I10+S10)</f>
        <v>62178</v>
      </c>
      <c r="TX10" s="20" t="n">
        <f aca="false">QF10+MAX(0,HQ10-HP10)</f>
        <v>15606</v>
      </c>
      <c r="TY10" s="20" t="n">
        <f aca="false">QE10+HP10</f>
        <v>0</v>
      </c>
      <c r="TZ10" s="20" t="n">
        <f aca="false">IF(AND(C10=1,TY10&gt;PR_MinShort),1,0)</f>
        <v>0</v>
      </c>
      <c r="UA10" s="20" t="n">
        <f aca="false">IF(AND(C10=1,TZ10=0,TX10&gt;PR_MinShort),1,0)</f>
        <v>1</v>
      </c>
      <c r="UB10" s="20" t="n">
        <f aca="false">IF(AND(C10=1,QE10&gt;PR_MinShort),1,0)</f>
        <v>0</v>
      </c>
      <c r="UC10" s="20" t="n">
        <f aca="false">IF(AND(C10=1,QF10&gt;1,UJ10=0),1,0)</f>
        <v>0</v>
      </c>
      <c r="UD10" s="20" t="str">
        <f aca="false">IF(C10=0,"",IF(UJ10=1,"Gap to plan for: short "&amp;"€"&amp;TEXT(ROUND(TP10,0),"#,##0"),IF(QF10&gt;1,"Using savings","Comfortable")))</f>
        <v>Comfortable</v>
      </c>
      <c r="UE10" s="20" t="n">
        <f aca="false">IF(AND(INT(D10/10)*10=90,B10&gt;0),80,INT(D10/10)*10)</f>
        <v>40</v>
      </c>
      <c r="UF10" s="20" t="n">
        <f aca="false">IF(B10=0,1,IF(UE10&lt;&gt;UE9,UF9+1,UF9))</f>
        <v>2</v>
      </c>
      <c r="UG10" s="20" t="n">
        <f aca="false">IF(AND(C10=1,G10=1,QE10&gt;MAX(PR_Short1,TQ10*PR_Short2)),1,0)</f>
        <v>0</v>
      </c>
      <c r="UH10" s="20" t="n">
        <f aca="false">TR10*TV10</f>
        <v>0</v>
      </c>
      <c r="UI10" s="20" t="n">
        <f aca="false">IF(AND(V10=1,Slot1_PctLow=1),1,0)+IF(AND(AG10=1,Slot2_PctLow=1),1,0)+IF(AND(AQ10=1,Slot3_PctLow=1),1,0)+IF(AND(BA10=1,Slot4_PctLow=1),1,0)+IF(AND(BK10=1,Slot5_PctLow=1),1,0)+IF(AND(BU10=1,Slot6_PctLow=1),1,0)+IF(AND(CE10=1,Slot7_PctLow=1),1,0)+IF(AND(CO10=1,Slot8_PctLow=1),1,0)+IF(AND(CY10=1,Slot9_PctLow=1),1,0)+IF(AND(DI10=1,Slot10_PctLow=1),1,0)+IF(AND(DS10=1,Slot11_PctLow=1),1,0)+IF(AND(EC10=1,Slot12_PctLow=1),1,0)+IF(AND(EM10=1,Slot13_PctLow=1),1,0)+IF(AND(EW10=1,Slot14_PctLow=1),1,0)+IF(AND(FG10=1,Slot15_PctLow=1),1,0)+IF(AND(FQ10=1,Slot16_PctLow=1),1,0)+IF(AND(GA10=1,Slot17_PctLow=1),1,0)+IF(AND(GK10=1,Slot18_PctLow=1),1,0)+IF(AND(GU10=1,Slot19_PctLow=1),1,0)+IF(AND(HE10=1,Slot20_PctLow=1),1,0)</f>
        <v>0</v>
      </c>
      <c r="UJ10" s="20" t="n">
        <f aca="false">IF(C10=1,IF(OR(TV10=1,UI10&gt;0),1,0),0)</f>
        <v>0</v>
      </c>
    </row>
    <row r="11" customFormat="false" ht="15" hidden="false" customHeight="true" outlineLevel="0" collapsed="false">
      <c r="B11" s="20" t="n">
        <v>3</v>
      </c>
      <c r="C11" s="20" t="n">
        <f aca="false">IF(B11&lt;=F_N,1,0)</f>
        <v>1</v>
      </c>
      <c r="D11" s="20" t="n">
        <f aca="false">'Plan pay &amp; tax'!C237</f>
        <v>41</v>
      </c>
      <c r="E11" s="20" t="str">
        <f aca="false">IF($C11=1,"Income tax "&amp;TEXT(N('Plan pay &amp; tax'!BK237),"#,##0")&amp;"; USC "&amp;TEXT(N('Plan pay &amp; tax'!BM237)+N('Plan pay &amp; tax'!BO237),"#,##0")&amp;"; PRSI "&amp;TEXT(N('Plan pay &amp; tax'!BP237)+N('Plan pay &amp; tax'!BQ237),"#,##0")&amp;". DIRT and exit tax are inside the growth rates here.","")</f>
        <v>Income tax 10,335; USC 1,597; PRSI 3,872. DIRT and exit tax are inside the growth rates here.</v>
      </c>
      <c r="F11" s="44" t="n">
        <f aca="false">'Plan pay &amp; tax'!E237</f>
        <v>1.061208</v>
      </c>
      <c r="G11" s="20" t="n">
        <f aca="false">'Plan pay &amp; tax'!G237</f>
        <v>1</v>
      </c>
      <c r="H11" s="20" t="n">
        <f aca="false">'Plan pay &amp; tax'!BT237-'Plan pay &amp; tax'!BS237-'Plan pay &amp; tax'!R237</f>
        <v>67237.78948688</v>
      </c>
      <c r="I11" s="20" t="n">
        <f aca="false">IF(G11=1,F_CostsM*12,IF(RG_Exists=1,RG_Amount,F_CostsM*12*AS_RetireSpend))*F11+F_OneOffY*F11</f>
        <v>47754.36</v>
      </c>
      <c r="J11" s="20" t="n">
        <f aca="false">HR10</f>
        <v>183643.499845908</v>
      </c>
      <c r="K11" s="20" t="n">
        <f aca="false">IF(J11&gt;1,'Plan debt months'!AC11,0)</f>
        <v>14160</v>
      </c>
      <c r="L11" s="20" t="n">
        <f aca="false">IF(J11&gt;1,'Plan debt months'!AB11,J11)</f>
        <v>176427.322852906</v>
      </c>
      <c r="M11" s="20" t="n">
        <f aca="false">O10</f>
        <v>0</v>
      </c>
      <c r="N11" s="20" t="n">
        <f aca="false">IF(M11&gt;1,'Plan debt months'!BD11,0)</f>
        <v>0</v>
      </c>
      <c r="O11" s="20" t="n">
        <f aca="false">IF(M11&gt;1,'Plan debt months'!BC11,M11)</f>
        <v>0</v>
      </c>
      <c r="P11" s="20" t="n">
        <f aca="false">R10</f>
        <v>372.455092965528</v>
      </c>
      <c r="Q11" s="20" t="n">
        <f aca="false">IF(P11&gt;1,'Plan debt months'!CE11,0)</f>
        <v>378.256546714797</v>
      </c>
      <c r="R11" s="20" t="n">
        <f aca="false">IF(P11&gt;1,'Plan debt months'!CD11,P11)</f>
        <v>0</v>
      </c>
      <c r="S11" s="20" t="n">
        <f aca="false">K11+N11+Q11</f>
        <v>14538.2565467148</v>
      </c>
      <c r="T11" s="20" t="n">
        <f aca="false">QK10+'Plan pay &amp; tax'!Y237</f>
        <v>0</v>
      </c>
      <c r="U11" s="20" t="n">
        <f aca="false">QK10</f>
        <v>0</v>
      </c>
      <c r="V11" s="20" t="n">
        <f aca="false">IF(AND(Slot1_On=1,D11=Slot1_Age),1,0)</f>
        <v>0</v>
      </c>
      <c r="W11" s="20" t="n">
        <f aca="false">IF(AND(Slot1_On=1,Slot1_Age&gt;D11),1,0)</f>
        <v>0</v>
      </c>
      <c r="X11" s="20" t="n">
        <f aca="false">QM10</f>
        <v>0</v>
      </c>
      <c r="Y11" s="20" t="n">
        <f aca="false">V11*MIN(Slot1_Cost,X11)</f>
        <v>0</v>
      </c>
      <c r="Z11" s="20" t="n">
        <f aca="false">V11*Slot1_SpendLike*MIN(Slot1_Cost-Y11,T11)</f>
        <v>0</v>
      </c>
      <c r="AA11" s="20" t="n">
        <f aca="false">Y11+Z11</f>
        <v>0</v>
      </c>
      <c r="AB11" s="20" t="n">
        <f aca="false">T11-Z11+V11*IF(Slot1_SpendLike=1,X11-Y11,IF(Slot1_PotFree=1,X11,0))</f>
        <v>0</v>
      </c>
      <c r="AC11" s="20" t="n">
        <f aca="false">AF11+V11*Slot1_BufPot*X11</f>
        <v>15762.06</v>
      </c>
      <c r="AD11" s="20" t="n">
        <f aca="false">IF(AND(V11=1,Slot1_IsMfree=1),IF(AA11&gt;=Slot1_Cost-1,0,MAX(0,L11-AA11)),L11)</f>
        <v>176427.322852906</v>
      </c>
      <c r="AE11" s="20" t="n">
        <f aca="false">V11*(Slot1_Cost-AA11)</f>
        <v>0</v>
      </c>
      <c r="AF11" s="20" t="n">
        <f aca="false">QL10</f>
        <v>15762.06</v>
      </c>
      <c r="AG11" s="20" t="n">
        <f aca="false">IF(AND(Slot2_On=1,D11=Slot2_Age),1,0)</f>
        <v>1</v>
      </c>
      <c r="AH11" s="20" t="n">
        <f aca="false">IF(AND(Slot2_On=1,Slot2_Age&gt;D11),1,0)</f>
        <v>0</v>
      </c>
      <c r="AI11" s="20" t="n">
        <f aca="false">QQ10</f>
        <v>3643.1278565332</v>
      </c>
      <c r="AJ11" s="20" t="n">
        <f aca="false">AG11*MIN(Slot2_Cost,AI11)</f>
        <v>3643.1278565332</v>
      </c>
      <c r="AK11" s="20" t="n">
        <f aca="false">AG11*Slot2_SpendLike*MIN(Slot2_Cost-AJ11,AB11)</f>
        <v>0</v>
      </c>
      <c r="AL11" s="20" t="n">
        <f aca="false">AJ11+AK11</f>
        <v>3643.1278565332</v>
      </c>
      <c r="AM11" s="20" t="n">
        <f aca="false">AB11-AK11+AG11*IF(Slot2_SpendLike=1,AI11-AJ11,IF(Slot2_PotFree=1,AI11,0))</f>
        <v>0</v>
      </c>
      <c r="AN11" s="20" t="n">
        <f aca="false">AC11+AG11*Slot2_BufPot*AI11</f>
        <v>15762.06</v>
      </c>
      <c r="AO11" s="20" t="n">
        <f aca="false">IF(AND(AG11=1,Slot2_IsMfree=1),IF(AL11&gt;=Slot2_Cost-1,0,MAX(0,AD11-AL11)),AD11)</f>
        <v>176427.322852906</v>
      </c>
      <c r="AP11" s="20" t="n">
        <f aca="false">AG11*(Slot2_Cost-AL11)</f>
        <v>9091.3681434668</v>
      </c>
      <c r="AQ11" s="20" t="n">
        <f aca="false">IF(AND(Slot3_On=1,D11=Slot3_Age),1,0)</f>
        <v>0</v>
      </c>
      <c r="AR11" s="20" t="n">
        <f aca="false">IF(AND(Slot3_On=1,Slot3_Age&gt;D11),1,0)</f>
        <v>1</v>
      </c>
      <c r="AS11" s="20" t="n">
        <f aca="false">QU10</f>
        <v>0</v>
      </c>
      <c r="AT11" s="20" t="n">
        <f aca="false">AQ11*MIN(Slot3_Cost,AS11)</f>
        <v>0</v>
      </c>
      <c r="AU11" s="20" t="n">
        <f aca="false">AQ11*Slot3_SpendLike*MIN(Slot3_Cost-AT11,AM11)</f>
        <v>0</v>
      </c>
      <c r="AV11" s="20" t="n">
        <f aca="false">AT11+AU11</f>
        <v>0</v>
      </c>
      <c r="AW11" s="20" t="n">
        <f aca="false">AM11-AU11+AQ11*IF(Slot3_SpendLike=1,AS11-AT11,IF(Slot3_PotFree=1,AS11,0))</f>
        <v>0</v>
      </c>
      <c r="AX11" s="20" t="n">
        <f aca="false">AN11+AQ11*Slot3_BufPot*AS11</f>
        <v>15762.06</v>
      </c>
      <c r="AY11" s="20" t="n">
        <f aca="false">IF(AND(AQ11=1,Slot3_IsMfree=1),IF(AV11&gt;=Slot3_Cost-1,0,MAX(0,AO11-AV11)),AO11)</f>
        <v>176427.322852906</v>
      </c>
      <c r="AZ11" s="20" t="n">
        <f aca="false">AQ11*(Slot3_Cost-AV11)</f>
        <v>0</v>
      </c>
      <c r="BA11" s="20" t="n">
        <f aca="false">IF(AND(Slot4_On=1,D11=Slot4_Age),1,0)</f>
        <v>0</v>
      </c>
      <c r="BB11" s="20" t="n">
        <f aca="false">IF(AND(Slot4_On=1,Slot4_Age&gt;D11),1,0)</f>
        <v>1</v>
      </c>
      <c r="BC11" s="20" t="n">
        <f aca="false">QY10</f>
        <v>0</v>
      </c>
      <c r="BD11" s="20" t="n">
        <f aca="false">BA11*MIN(Slot4_Cost,BC11)</f>
        <v>0</v>
      </c>
      <c r="BE11" s="20" t="n">
        <f aca="false">BA11*Slot4_SpendLike*MIN(Slot4_Cost-BD11,AW11)</f>
        <v>0</v>
      </c>
      <c r="BF11" s="20" t="n">
        <f aca="false">BD11+BE11</f>
        <v>0</v>
      </c>
      <c r="BG11" s="20" t="n">
        <f aca="false">AW11-BE11+BA11*IF(Slot4_SpendLike=1,BC11-BD11,IF(Slot4_PotFree=1,BC11,0))</f>
        <v>0</v>
      </c>
      <c r="BH11" s="20" t="n">
        <f aca="false">AX11+BA11*Slot4_BufPot*BC11</f>
        <v>15762.06</v>
      </c>
      <c r="BI11" s="20" t="n">
        <f aca="false">IF(AND(BA11=1,Slot4_IsMfree=1),IF(BF11&gt;=Slot4_Cost-1,0,MAX(0,AY11-BF11)),AY11)</f>
        <v>176427.322852906</v>
      </c>
      <c r="BJ11" s="20" t="n">
        <f aca="false">BA11*(Slot4_Cost-BF11)</f>
        <v>0</v>
      </c>
      <c r="BK11" s="20" t="n">
        <f aca="false">IF(AND(Slot5_On=1,D11=Slot5_Age),1,0)</f>
        <v>0</v>
      </c>
      <c r="BL11" s="20" t="n">
        <f aca="false">IF(AND(Slot5_On=1,Slot5_Age&gt;D11),1,0)</f>
        <v>0</v>
      </c>
      <c r="BM11" s="20" t="n">
        <f aca="false">RC10</f>
        <v>0</v>
      </c>
      <c r="BN11" s="20" t="n">
        <f aca="false">BK11*MIN(Slot5_Cost,BM11)</f>
        <v>0</v>
      </c>
      <c r="BO11" s="20" t="n">
        <f aca="false">BK11*Slot5_SpendLike*MIN(Slot5_Cost-BN11,BG11)</f>
        <v>0</v>
      </c>
      <c r="BP11" s="20" t="n">
        <f aca="false">BN11+BO11</f>
        <v>0</v>
      </c>
      <c r="BQ11" s="20" t="n">
        <f aca="false">BG11-BO11+BK11*IF(Slot5_SpendLike=1,BM11-BN11,IF(Slot5_PotFree=1,BM11,0))</f>
        <v>0</v>
      </c>
      <c r="BR11" s="20" t="n">
        <f aca="false">BH11+BK11*Slot5_BufPot*BM11</f>
        <v>15762.06</v>
      </c>
      <c r="BS11" s="20" t="n">
        <f aca="false">IF(AND(BK11=1,Slot5_IsMfree=1),IF(BP11&gt;=Slot5_Cost-1,0,MAX(0,BI11-BP11)),BI11)</f>
        <v>176427.322852906</v>
      </c>
      <c r="BT11" s="20" t="n">
        <f aca="false">BK11*(Slot5_Cost-BP11)</f>
        <v>0</v>
      </c>
      <c r="BU11" s="20" t="n">
        <f aca="false">IF(AND(Slot6_On=1,D11=Slot6_Age),1,0)</f>
        <v>0</v>
      </c>
      <c r="BV11" s="20" t="n">
        <f aca="false">IF(AND(Slot6_On=1,Slot6_Age&gt;D11),1,0)</f>
        <v>0</v>
      </c>
      <c r="BW11" s="20" t="n">
        <f aca="false">RG10</f>
        <v>0</v>
      </c>
      <c r="BX11" s="20" t="n">
        <f aca="false">BU11*MIN(Slot6_Cost,BW11)</f>
        <v>0</v>
      </c>
      <c r="BY11" s="20" t="n">
        <f aca="false">BU11*Slot6_SpendLike*MIN(Slot6_Cost-BX11,BQ11)</f>
        <v>0</v>
      </c>
      <c r="BZ11" s="20" t="n">
        <f aca="false">BX11+BY11</f>
        <v>0</v>
      </c>
      <c r="CA11" s="20" t="n">
        <f aca="false">BQ11-BY11+BU11*IF(Slot6_SpendLike=1,BW11-BX11,IF(Slot6_PotFree=1,BW11,0))</f>
        <v>0</v>
      </c>
      <c r="CB11" s="20" t="n">
        <f aca="false">BR11+BU11*Slot6_BufPot*BW11</f>
        <v>15762.06</v>
      </c>
      <c r="CC11" s="20" t="n">
        <f aca="false">IF(AND(BU11=1,Slot6_IsMfree=1),IF(BZ11&gt;=Slot6_Cost-1,0,MAX(0,BS11-BZ11)),BS11)</f>
        <v>176427.322852906</v>
      </c>
      <c r="CD11" s="20" t="n">
        <f aca="false">BU11*(Slot6_Cost-BZ11)</f>
        <v>0</v>
      </c>
      <c r="CE11" s="20" t="n">
        <f aca="false">IF(AND(Slot7_On=1,D11=Slot7_Age),1,0)</f>
        <v>0</v>
      </c>
      <c r="CF11" s="20" t="n">
        <f aca="false">IF(AND(Slot7_On=1,Slot7_Age&gt;D11),1,0)</f>
        <v>0</v>
      </c>
      <c r="CG11" s="20" t="n">
        <f aca="false">RK10</f>
        <v>0</v>
      </c>
      <c r="CH11" s="20" t="n">
        <f aca="false">CE11*MIN(Slot7_Cost,CG11)</f>
        <v>0</v>
      </c>
      <c r="CI11" s="20" t="n">
        <f aca="false">CE11*Slot7_SpendLike*MIN(Slot7_Cost-CH11,CA11)</f>
        <v>0</v>
      </c>
      <c r="CJ11" s="20" t="n">
        <f aca="false">CH11+CI11</f>
        <v>0</v>
      </c>
      <c r="CK11" s="20" t="n">
        <f aca="false">CA11-CI11+CE11*IF(Slot7_SpendLike=1,CG11-CH11,IF(Slot7_PotFree=1,CG11,0))</f>
        <v>0</v>
      </c>
      <c r="CL11" s="20" t="n">
        <f aca="false">CB11+CE11*Slot7_BufPot*CG11</f>
        <v>15762.06</v>
      </c>
      <c r="CM11" s="20" t="n">
        <f aca="false">IF(AND(CE11=1,Slot7_IsMfree=1),IF(CJ11&gt;=Slot7_Cost-1,0,MAX(0,CC11-CJ11)),CC11)</f>
        <v>176427.322852906</v>
      </c>
      <c r="CN11" s="20" t="n">
        <f aca="false">CE11*(Slot7_Cost-CJ11)</f>
        <v>0</v>
      </c>
      <c r="CO11" s="20" t="n">
        <f aca="false">IF(AND(Slot8_On=1,D11=Slot8_Age),1,0)</f>
        <v>0</v>
      </c>
      <c r="CP11" s="20" t="n">
        <f aca="false">IF(AND(Slot8_On=1,Slot8_Age&gt;D11),1,0)</f>
        <v>0</v>
      </c>
      <c r="CQ11" s="20" t="n">
        <f aca="false">RO10</f>
        <v>0</v>
      </c>
      <c r="CR11" s="20" t="n">
        <f aca="false">CO11*MIN(Slot8_Cost,CQ11)</f>
        <v>0</v>
      </c>
      <c r="CS11" s="20" t="n">
        <f aca="false">CO11*Slot8_SpendLike*MIN(Slot8_Cost-CR11,CK11)</f>
        <v>0</v>
      </c>
      <c r="CT11" s="20" t="n">
        <f aca="false">CR11+CS11</f>
        <v>0</v>
      </c>
      <c r="CU11" s="20" t="n">
        <f aca="false">CK11-CS11+CO11*IF(Slot8_SpendLike=1,CQ11-CR11,IF(Slot8_PotFree=1,CQ11,0))</f>
        <v>0</v>
      </c>
      <c r="CV11" s="20" t="n">
        <f aca="false">CL11+CO11*Slot8_BufPot*CQ11</f>
        <v>15762.06</v>
      </c>
      <c r="CW11" s="20" t="n">
        <f aca="false">IF(AND(CO11=1,Slot8_IsMfree=1),IF(CT11&gt;=Slot8_Cost-1,0,MAX(0,CM11-CT11)),CM11)</f>
        <v>176427.322852906</v>
      </c>
      <c r="CX11" s="20" t="n">
        <f aca="false">CO11*(Slot8_Cost-CT11)</f>
        <v>0</v>
      </c>
      <c r="CY11" s="20" t="n">
        <f aca="false">IF(AND(Slot9_On=1,D11=Slot9_Age),1,0)</f>
        <v>0</v>
      </c>
      <c r="CZ11" s="20" t="n">
        <f aca="false">IF(AND(Slot9_On=1,Slot9_Age&gt;D11),1,0)</f>
        <v>0</v>
      </c>
      <c r="DA11" s="20" t="n">
        <f aca="false">RS10</f>
        <v>0</v>
      </c>
      <c r="DB11" s="20" t="n">
        <f aca="false">CY11*MIN(Slot9_Cost,DA11)</f>
        <v>0</v>
      </c>
      <c r="DC11" s="20" t="n">
        <f aca="false">CY11*Slot9_SpendLike*MIN(Slot9_Cost-DB11,CU11)</f>
        <v>0</v>
      </c>
      <c r="DD11" s="20" t="n">
        <f aca="false">DB11+DC11</f>
        <v>0</v>
      </c>
      <c r="DE11" s="20" t="n">
        <f aca="false">CU11-DC11+CY11*IF(Slot9_SpendLike=1,DA11-DB11,IF(Slot9_PotFree=1,DA11,0))</f>
        <v>0</v>
      </c>
      <c r="DF11" s="20" t="n">
        <f aca="false">CV11+CY11*Slot9_BufPot*DA11</f>
        <v>15762.06</v>
      </c>
      <c r="DG11" s="20" t="n">
        <f aca="false">IF(AND(CY11=1,Slot9_IsMfree=1),IF(DD11&gt;=Slot9_Cost-1,0,MAX(0,CW11-DD11)),CW11)</f>
        <v>176427.322852906</v>
      </c>
      <c r="DH11" s="20" t="n">
        <f aca="false">CY11*(Slot9_Cost-DD11)</f>
        <v>0</v>
      </c>
      <c r="DI11" s="20" t="n">
        <f aca="false">IF(AND(Slot10_On=1,D11=Slot10_Age),1,0)</f>
        <v>0</v>
      </c>
      <c r="DJ11" s="20" t="n">
        <f aca="false">IF(AND(Slot10_On=1,Slot10_Age&gt;D11),1,0)</f>
        <v>0</v>
      </c>
      <c r="DK11" s="20" t="n">
        <f aca="false">RW10</f>
        <v>0</v>
      </c>
      <c r="DL11" s="20" t="n">
        <f aca="false">DI11*MIN(Slot10_Cost,DK11)</f>
        <v>0</v>
      </c>
      <c r="DM11" s="20" t="n">
        <f aca="false">DI11*Slot10_SpendLike*MIN(Slot10_Cost-DL11,DE11)</f>
        <v>0</v>
      </c>
      <c r="DN11" s="20" t="n">
        <f aca="false">DL11+DM11</f>
        <v>0</v>
      </c>
      <c r="DO11" s="20" t="n">
        <f aca="false">DE11-DM11+DI11*IF(Slot10_SpendLike=1,DK11-DL11,IF(Slot10_PotFree=1,DK11,0))</f>
        <v>0</v>
      </c>
      <c r="DP11" s="20" t="n">
        <f aca="false">DF11+DI11*Slot10_BufPot*DK11</f>
        <v>15762.06</v>
      </c>
      <c r="DQ11" s="20" t="n">
        <f aca="false">IF(AND(DI11=1,Slot10_IsMfree=1),IF(DN11&gt;=Slot10_Cost-1,0,MAX(0,DG11-DN11)),DG11)</f>
        <v>176427.322852906</v>
      </c>
      <c r="DR11" s="20" t="n">
        <f aca="false">DI11*(Slot10_Cost-DN11)</f>
        <v>0</v>
      </c>
      <c r="DS11" s="20" t="n">
        <f aca="false">IF(AND(Slot11_On=1,D11=Slot11_Age),1,0)</f>
        <v>0</v>
      </c>
      <c r="DT11" s="20" t="n">
        <f aca="false">IF(AND(Slot11_On=1,Slot11_Age&gt;D11),1,0)</f>
        <v>0</v>
      </c>
      <c r="DU11" s="20" t="n">
        <f aca="false">SA10</f>
        <v>0</v>
      </c>
      <c r="DV11" s="20" t="n">
        <f aca="false">DS11*MIN(Slot11_Cost,DU11)</f>
        <v>0</v>
      </c>
      <c r="DW11" s="20" t="n">
        <f aca="false">DS11*Slot11_SpendLike*MIN(Slot11_Cost-DV11,DO11)</f>
        <v>0</v>
      </c>
      <c r="DX11" s="20" t="n">
        <f aca="false">DV11+DW11</f>
        <v>0</v>
      </c>
      <c r="DY11" s="20" t="n">
        <f aca="false">DO11-DW11+DS11*IF(Slot11_SpendLike=1,DU11-DV11,IF(Slot11_PotFree=1,DU11,0))</f>
        <v>0</v>
      </c>
      <c r="DZ11" s="20" t="n">
        <f aca="false">DP11+DS11*Slot11_BufPot*DU11</f>
        <v>15762.06</v>
      </c>
      <c r="EA11" s="20" t="n">
        <f aca="false">IF(AND(DS11=1,Slot11_IsMfree=1),IF(DX11&gt;=Slot11_Cost-1,0,MAX(0,DQ11-DX11)),DQ11)</f>
        <v>176427.322852906</v>
      </c>
      <c r="EB11" s="20" t="n">
        <f aca="false">DS11*(Slot11_Cost-DX11)</f>
        <v>0</v>
      </c>
      <c r="EC11" s="20" t="n">
        <f aca="false">IF(AND(Slot12_On=1,D11=Slot12_Age),1,0)</f>
        <v>0</v>
      </c>
      <c r="ED11" s="20" t="n">
        <f aca="false">IF(AND(Slot12_On=1,Slot12_Age&gt;D11),1,0)</f>
        <v>0</v>
      </c>
      <c r="EE11" s="20" t="n">
        <f aca="false">SE10</f>
        <v>0</v>
      </c>
      <c r="EF11" s="20" t="n">
        <f aca="false">EC11*MIN(Slot12_Cost,EE11)</f>
        <v>0</v>
      </c>
      <c r="EG11" s="20" t="n">
        <f aca="false">EC11*Slot12_SpendLike*MIN(Slot12_Cost-EF11,DY11)</f>
        <v>0</v>
      </c>
      <c r="EH11" s="20" t="n">
        <f aca="false">EF11+EG11</f>
        <v>0</v>
      </c>
      <c r="EI11" s="20" t="n">
        <f aca="false">DY11-EG11+EC11*IF(Slot12_SpendLike=1,EE11-EF11,IF(Slot12_PotFree=1,EE11,0))</f>
        <v>0</v>
      </c>
      <c r="EJ11" s="20" t="n">
        <f aca="false">DZ11+EC11*Slot12_BufPot*EE11</f>
        <v>15762.06</v>
      </c>
      <c r="EK11" s="20" t="n">
        <f aca="false">IF(AND(EC11=1,Slot12_IsMfree=1),IF(EH11&gt;=Slot12_Cost-1,0,MAX(0,EA11-EH11)),EA11)</f>
        <v>176427.322852906</v>
      </c>
      <c r="EL11" s="20" t="n">
        <f aca="false">EC11*(Slot12_Cost-EH11)</f>
        <v>0</v>
      </c>
      <c r="EM11" s="20" t="n">
        <f aca="false">IF(AND(Slot13_On=1,D11=Slot13_Age),1,0)</f>
        <v>0</v>
      </c>
      <c r="EN11" s="20" t="n">
        <f aca="false">IF(AND(Slot13_On=1,Slot13_Age&gt;D11),1,0)</f>
        <v>0</v>
      </c>
      <c r="EO11" s="20" t="n">
        <f aca="false">SI10</f>
        <v>0</v>
      </c>
      <c r="EP11" s="20" t="n">
        <f aca="false">EM11*MIN(Slot13_Cost,EO11)</f>
        <v>0</v>
      </c>
      <c r="EQ11" s="20" t="n">
        <f aca="false">EM11*Slot13_SpendLike*MIN(Slot13_Cost-EP11,EI11)</f>
        <v>0</v>
      </c>
      <c r="ER11" s="20" t="n">
        <f aca="false">EP11+EQ11</f>
        <v>0</v>
      </c>
      <c r="ES11" s="20" t="n">
        <f aca="false">EI11-EQ11+EM11*IF(Slot13_SpendLike=1,EO11-EP11,IF(Slot13_PotFree=1,EO11,0))</f>
        <v>0</v>
      </c>
      <c r="ET11" s="20" t="n">
        <f aca="false">EJ11+EM11*Slot13_BufPot*EO11</f>
        <v>15762.06</v>
      </c>
      <c r="EU11" s="20" t="n">
        <f aca="false">IF(AND(EM11=1,Slot13_IsMfree=1),IF(ER11&gt;=Slot13_Cost-1,0,MAX(0,EK11-ER11)),EK11)</f>
        <v>176427.322852906</v>
      </c>
      <c r="EV11" s="20" t="n">
        <f aca="false">EM11*(Slot13_Cost-ER11)</f>
        <v>0</v>
      </c>
      <c r="EW11" s="20" t="n">
        <f aca="false">IF(AND(Slot14_On=1,D11=Slot14_Age),1,0)</f>
        <v>0</v>
      </c>
      <c r="EX11" s="20" t="n">
        <f aca="false">IF(AND(Slot14_On=1,Slot14_Age&gt;D11),1,0)</f>
        <v>0</v>
      </c>
      <c r="EY11" s="20" t="n">
        <f aca="false">SM10</f>
        <v>0</v>
      </c>
      <c r="EZ11" s="20" t="n">
        <f aca="false">EW11*MIN(Slot14_Cost,EY11)</f>
        <v>0</v>
      </c>
      <c r="FA11" s="20" t="n">
        <f aca="false">EW11*Slot14_SpendLike*MIN(Slot14_Cost-EZ11,ES11)</f>
        <v>0</v>
      </c>
      <c r="FB11" s="20" t="n">
        <f aca="false">EZ11+FA11</f>
        <v>0</v>
      </c>
      <c r="FC11" s="20" t="n">
        <f aca="false">ES11-FA11+EW11*IF(Slot14_SpendLike=1,EY11-EZ11,IF(Slot14_PotFree=1,EY11,0))</f>
        <v>0</v>
      </c>
      <c r="FD11" s="20" t="n">
        <f aca="false">ET11+EW11*Slot14_BufPot*EY11</f>
        <v>15762.06</v>
      </c>
      <c r="FE11" s="20" t="n">
        <f aca="false">IF(AND(EW11=1,Slot14_IsMfree=1),IF(FB11&gt;=Slot14_Cost-1,0,MAX(0,EU11-FB11)),EU11)</f>
        <v>176427.322852906</v>
      </c>
      <c r="FF11" s="20" t="n">
        <f aca="false">EW11*(Slot14_Cost-FB11)</f>
        <v>0</v>
      </c>
      <c r="FG11" s="20" t="n">
        <f aca="false">IF(AND(Slot15_On=1,D11=Slot15_Age),1,0)</f>
        <v>0</v>
      </c>
      <c r="FH11" s="20" t="n">
        <f aca="false">IF(AND(Slot15_On=1,Slot15_Age&gt;D11),1,0)</f>
        <v>0</v>
      </c>
      <c r="FI11" s="20" t="n">
        <f aca="false">SQ10</f>
        <v>0</v>
      </c>
      <c r="FJ11" s="20" t="n">
        <f aca="false">FG11*MIN(Slot15_Cost,FI11)</f>
        <v>0</v>
      </c>
      <c r="FK11" s="20" t="n">
        <f aca="false">FG11*Slot15_SpendLike*MIN(Slot15_Cost-FJ11,FC11)</f>
        <v>0</v>
      </c>
      <c r="FL11" s="20" t="n">
        <f aca="false">FJ11+FK11</f>
        <v>0</v>
      </c>
      <c r="FM11" s="20" t="n">
        <f aca="false">FC11-FK11+FG11*IF(Slot15_SpendLike=1,FI11-FJ11,IF(Slot15_PotFree=1,FI11,0))</f>
        <v>0</v>
      </c>
      <c r="FN11" s="20" t="n">
        <f aca="false">FD11+FG11*Slot15_BufPot*FI11</f>
        <v>15762.06</v>
      </c>
      <c r="FO11" s="20" t="n">
        <f aca="false">IF(AND(FG11=1,Slot15_IsMfree=1),IF(FL11&gt;=Slot15_Cost-1,0,MAX(0,FE11-FL11)),FE11)</f>
        <v>176427.322852906</v>
      </c>
      <c r="FP11" s="20" t="n">
        <f aca="false">FG11*(Slot15_Cost-FL11)</f>
        <v>0</v>
      </c>
      <c r="FQ11" s="20" t="n">
        <f aca="false">IF(AND(Slot16_On=1,D11=Slot16_Age),1,0)</f>
        <v>0</v>
      </c>
      <c r="FR11" s="20" t="n">
        <f aca="false">IF(AND(Slot16_On=1,Slot16_Age&gt;D11),1,0)</f>
        <v>0</v>
      </c>
      <c r="FS11" s="20" t="n">
        <f aca="false">SU10</f>
        <v>0</v>
      </c>
      <c r="FT11" s="20" t="n">
        <f aca="false">FQ11*MIN(Slot16_Cost,FS11)</f>
        <v>0</v>
      </c>
      <c r="FU11" s="20" t="n">
        <f aca="false">FQ11*Slot16_SpendLike*MIN(Slot16_Cost-FT11,FM11)</f>
        <v>0</v>
      </c>
      <c r="FV11" s="20" t="n">
        <f aca="false">FT11+FU11</f>
        <v>0</v>
      </c>
      <c r="FW11" s="20" t="n">
        <f aca="false">FM11-FU11+FQ11*IF(Slot16_SpendLike=1,FS11-FT11,IF(Slot16_PotFree=1,FS11,0))</f>
        <v>0</v>
      </c>
      <c r="FX11" s="20" t="n">
        <f aca="false">FN11+FQ11*Slot16_BufPot*FS11</f>
        <v>15762.06</v>
      </c>
      <c r="FY11" s="20" t="n">
        <f aca="false">IF(AND(FQ11=1,Slot16_IsMfree=1),IF(FV11&gt;=Slot16_Cost-1,0,MAX(0,FO11-FV11)),FO11)</f>
        <v>176427.322852906</v>
      </c>
      <c r="FZ11" s="20" t="n">
        <f aca="false">FQ11*(Slot16_Cost-FV11)</f>
        <v>0</v>
      </c>
      <c r="GA11" s="20" t="n">
        <f aca="false">IF(AND(Slot17_On=1,D11=Slot17_Age),1,0)</f>
        <v>0</v>
      </c>
      <c r="GB11" s="20" t="n">
        <f aca="false">IF(AND(Slot17_On=1,Slot17_Age&gt;D11),1,0)</f>
        <v>0</v>
      </c>
      <c r="GC11" s="20" t="n">
        <f aca="false">SY10</f>
        <v>0</v>
      </c>
      <c r="GD11" s="20" t="n">
        <f aca="false">GA11*MIN(Slot17_Cost,GC11)</f>
        <v>0</v>
      </c>
      <c r="GE11" s="20" t="n">
        <f aca="false">GA11*Slot17_SpendLike*MIN(Slot17_Cost-GD11,FW11)</f>
        <v>0</v>
      </c>
      <c r="GF11" s="20" t="n">
        <f aca="false">GD11+GE11</f>
        <v>0</v>
      </c>
      <c r="GG11" s="20" t="n">
        <f aca="false">FW11-GE11+GA11*IF(Slot17_SpendLike=1,GC11-GD11,IF(Slot17_PotFree=1,GC11,0))</f>
        <v>0</v>
      </c>
      <c r="GH11" s="20" t="n">
        <f aca="false">FX11+GA11*Slot17_BufPot*GC11</f>
        <v>15762.06</v>
      </c>
      <c r="GI11" s="20" t="n">
        <f aca="false">IF(AND(GA11=1,Slot17_IsMfree=1),IF(GF11&gt;=Slot17_Cost-1,0,MAX(0,FY11-GF11)),FY11)</f>
        <v>176427.322852906</v>
      </c>
      <c r="GJ11" s="20" t="n">
        <f aca="false">GA11*(Slot17_Cost-GF11)</f>
        <v>0</v>
      </c>
      <c r="GK11" s="20" t="n">
        <f aca="false">IF(AND(Slot18_On=1,D11=Slot18_Age),1,0)</f>
        <v>0</v>
      </c>
      <c r="GL11" s="20" t="n">
        <f aca="false">IF(AND(Slot18_On=1,Slot18_Age&gt;D11),1,0)</f>
        <v>0</v>
      </c>
      <c r="GM11" s="20" t="n">
        <f aca="false">TC10</f>
        <v>0</v>
      </c>
      <c r="GN11" s="20" t="n">
        <f aca="false">GK11*MIN(Slot18_Cost,GM11)</f>
        <v>0</v>
      </c>
      <c r="GO11" s="20" t="n">
        <f aca="false">GK11*Slot18_SpendLike*MIN(Slot18_Cost-GN11,GG11)</f>
        <v>0</v>
      </c>
      <c r="GP11" s="20" t="n">
        <f aca="false">GN11+GO11</f>
        <v>0</v>
      </c>
      <c r="GQ11" s="20" t="n">
        <f aca="false">GG11-GO11+GK11*IF(Slot18_SpendLike=1,GM11-GN11,IF(Slot18_PotFree=1,GM11,0))</f>
        <v>0</v>
      </c>
      <c r="GR11" s="20" t="n">
        <f aca="false">GH11+GK11*Slot18_BufPot*GM11</f>
        <v>15762.06</v>
      </c>
      <c r="GS11" s="20" t="n">
        <f aca="false">IF(AND(GK11=1,Slot18_IsMfree=1),IF(GP11&gt;=Slot18_Cost-1,0,MAX(0,GI11-GP11)),GI11)</f>
        <v>176427.322852906</v>
      </c>
      <c r="GT11" s="20" t="n">
        <f aca="false">GK11*(Slot18_Cost-GP11)</f>
        <v>0</v>
      </c>
      <c r="GU11" s="20" t="n">
        <f aca="false">IF(AND(Slot19_On=1,D11=Slot19_Age),1,0)</f>
        <v>0</v>
      </c>
      <c r="GV11" s="20" t="n">
        <f aca="false">IF(AND(Slot19_On=1,Slot19_Age&gt;D11),1,0)</f>
        <v>0</v>
      </c>
      <c r="GW11" s="20" t="n">
        <f aca="false">TG10</f>
        <v>0</v>
      </c>
      <c r="GX11" s="20" t="n">
        <f aca="false">GU11*MIN(Slot19_Cost,GW11)</f>
        <v>0</v>
      </c>
      <c r="GY11" s="20" t="n">
        <f aca="false">GU11*Slot19_SpendLike*MIN(Slot19_Cost-GX11,GQ11)</f>
        <v>0</v>
      </c>
      <c r="GZ11" s="20" t="n">
        <f aca="false">GX11+GY11</f>
        <v>0</v>
      </c>
      <c r="HA11" s="20" t="n">
        <f aca="false">GQ11-GY11+GU11*IF(Slot19_SpendLike=1,GW11-GX11,IF(Slot19_PotFree=1,GW11,0))</f>
        <v>0</v>
      </c>
      <c r="HB11" s="20" t="n">
        <f aca="false">GR11+GU11*Slot19_BufPot*GW11</f>
        <v>15762.06</v>
      </c>
      <c r="HC11" s="20" t="n">
        <f aca="false">IF(AND(GU11=1,Slot19_IsMfree=1),IF(GZ11&gt;=Slot19_Cost-1,0,MAX(0,GS11-GZ11)),GS11)</f>
        <v>176427.322852906</v>
      </c>
      <c r="HD11" s="20" t="n">
        <f aca="false">GU11*(Slot19_Cost-GZ11)</f>
        <v>0</v>
      </c>
      <c r="HE11" s="20" t="n">
        <f aca="false">IF(AND(Slot20_On=1,D11=Slot20_Age),1,0)</f>
        <v>0</v>
      </c>
      <c r="HF11" s="20" t="n">
        <f aca="false">IF(AND(Slot20_On=1,Slot20_Age&gt;D11),1,0)</f>
        <v>0</v>
      </c>
      <c r="HG11" s="20" t="n">
        <f aca="false">TK10</f>
        <v>0</v>
      </c>
      <c r="HH11" s="20" t="n">
        <f aca="false">HE11*MIN(Slot20_Cost,HG11)</f>
        <v>0</v>
      </c>
      <c r="HI11" s="20" t="n">
        <f aca="false">HE11*Slot20_SpendLike*MIN(Slot20_Cost-HH11,HA11)</f>
        <v>0</v>
      </c>
      <c r="HJ11" s="20" t="n">
        <f aca="false">HH11+HI11</f>
        <v>0</v>
      </c>
      <c r="HK11" s="20" t="n">
        <f aca="false">HA11-HI11+HE11*IF(Slot20_SpendLike=1,HG11-HH11,IF(Slot20_PotFree=1,HG11,0))</f>
        <v>0</v>
      </c>
      <c r="HL11" s="20" t="n">
        <f aca="false">HB11+HE11*Slot20_BufPot*HG11</f>
        <v>15762.06</v>
      </c>
      <c r="HM11" s="20" t="n">
        <f aca="false">IF(AND(HE11=1,Slot20_IsMfree=1),IF(HJ11&gt;=Slot20_Cost-1,0,MAX(0,HC11-HJ11)),HC11)</f>
        <v>176427.322852906</v>
      </c>
      <c r="HN11" s="20" t="n">
        <f aca="false">HE11*(Slot20_Cost-HJ11)</f>
        <v>0</v>
      </c>
      <c r="HO11" s="20" t="n">
        <f aca="false">V11*Slot1_SpendLike*AA11+AG11*Slot2_SpendLike*AL11+AQ11*Slot3_SpendLike*AV11+BA11*Slot4_SpendLike*BF11+BK11*Slot5_SpendLike*BP11+BU11*Slot6_SpendLike*BZ11+CE11*Slot7_SpendLike*CJ11+CO11*Slot8_SpendLike*CT11+CY11*Slot9_SpendLike*DD11+DI11*Slot10_SpendLike*DN11+DS11*Slot11_SpendLike*DX11+EC11*Slot12_SpendLike*EH11+EM11*Slot13_SpendLike*ER11+EW11*Slot14_SpendLike*FB11+FG11*Slot15_SpendLike*FL11+FQ11*Slot16_SpendLike*FV11+GA11*Slot17_SpendLike*GF11+GK11*Slot18_SpendLike*GP11+GU11*Slot19_SpendLike*GZ11+HE11*Slot20_SpendLike*HJ11</f>
        <v>3643.1278565332</v>
      </c>
      <c r="HP11" s="20" t="n">
        <f aca="false">AE11+AP11+AZ11+BJ11+BT11+CD11+CN11+CX11+DH11+DR11+EB11+EL11+EV11+FF11+FP11+FZ11+GJ11+GT11+HD11+HN11</f>
        <v>9091.3681434668</v>
      </c>
      <c r="HQ11" s="20" t="n">
        <f aca="false">V11*Slot1_Cost+AG11*Slot2_Cost+AQ11*Slot3_Cost+BA11*Slot4_Cost+BK11*Slot5_Cost+BU11*Slot6_Cost+CE11*Slot7_Cost+CO11*Slot8_Cost+CY11*Slot9_Cost+DI11*Slot10_Cost+DS11*Slot11_Cost+EC11*Slot12_Cost+EM11*Slot13_Cost+EW11*Slot14_Cost+FG11*Slot15_Cost+FQ11*Slot16_Cost+GA11*Slot17_Cost+GK11*Slot18_Cost+GU11*Slot19_Cost+HE11*Slot20_Cost</f>
        <v>12734.496</v>
      </c>
      <c r="HR11" s="20" t="n">
        <f aca="false">HM11</f>
        <v>176427.322852906</v>
      </c>
      <c r="HS11" s="20" t="n">
        <f aca="false">H11-I11-S11</f>
        <v>4945.1729401652</v>
      </c>
      <c r="HT11" s="20" t="n">
        <f aca="false">IF(B11=0,IF(AND(Has_q6=1,In_q6=4),PR_ShareVaries*(MAX(0,HS11)/12),MIN(IF(Has_q6=1,CHOOSE(In_q6+1,PR_SaveB1,PR_SaveB2,PR_SaveB3,PR_SaveB4,0),AS_NoAnswer),AS_SaveShare*(MAX(0,HS11)/12))),HT10)</f>
        <v>62.3316893520437</v>
      </c>
      <c r="HU11" s="20" t="n">
        <f aca="false">IF(HS11&gt;=0,1,0)</f>
        <v>1</v>
      </c>
      <c r="HV11" s="20" t="n">
        <f aca="false">MAX(0,HS11/12/F11)</f>
        <v>388.328909142945</v>
      </c>
      <c r="HW11" s="20" t="n">
        <f aca="false">IF(AND(Has_q6=1,In_q6=4),PR_ShareVaries*(HV11),MIN(IF(Has_q6=1,CHOOSE(In_q6+1,PR_SaveB1,PR_SaveB2,PR_SaveB3,PR_SaveB4,0),AS_NoAnswer),AS_SaveShare*(HV11)))</f>
        <v>194.164454571473</v>
      </c>
      <c r="HX11" s="20" t="n">
        <f aca="false">IF(Has_saveM=1,IF(In_saveUp="Yes",1,IF(In_saveUp="No",0,IF(In_saveM&gt;=HT11-0.5,1,0))),0)</f>
        <v>0</v>
      </c>
      <c r="HY11" s="20" t="n">
        <f aca="false">IF(Has_saveM=1,MIN(HV11,IF(HX11=1,MAX(In_saveM,HW11),MIN(In_saveM,HW11))),HW11)</f>
        <v>194.164454571473</v>
      </c>
      <c r="HZ11" s="20" t="n">
        <f aca="false">IF(G11=1,HY11*12*F11,0)</f>
        <v>2472.5864700826</v>
      </c>
      <c r="IA11" s="20" t="n">
        <f aca="false">MAX(0,HZ11+IF(AND(WI_Retire=0,WI_M&lt;0,G11=1),WI_M*12*F11,0))</f>
        <v>2472.5864700826</v>
      </c>
      <c r="IB11" s="20" t="n">
        <f aca="false">Slot1_IsWG*W11+Slot2_IsWG*AH11+Slot3_IsWG*AR11+Slot4_IsWG*BB11+Slot5_IsWG*BL11+Slot6_IsWG*BV11+Slot7_IsWG*CF11+Slot8_IsWG*CP11+Slot9_IsWG*CZ11+Slot10_IsWG*DJ11+Slot11_IsWG*DT11+Slot12_IsWG*ED11+Slot13_IsWG*EN11+Slot14_IsWG*EX11+Slot15_IsWG*FH11+Slot16_IsWG*FR11+Slot17_IsWG*GB11+Slot18_IsWG*GL11+Slot19_IsWG*GV11+Slot20_IsWG*HF11</f>
        <v>0</v>
      </c>
      <c r="IC11" s="20" t="n">
        <f aca="false">IF(AND(WI_Retire=0,WI_M&gt;0,G11=1,IB11&gt;=1),WI_M*12*F11,0)</f>
        <v>0</v>
      </c>
      <c r="ID11" s="20" t="n">
        <f aca="false">IF(HU11=1,MIN(IA11,HS11),0)</f>
        <v>2472.5864700826</v>
      </c>
      <c r="IE11" s="20" t="n">
        <f aca="false">IF(HU11=1,MIN(IC11,HS11-ID11),0)</f>
        <v>0</v>
      </c>
      <c r="IF11" s="20" t="n">
        <f aca="false">IF(W11=1,IF(ABS((1+AS_Wage)/(1+Slot1_Rate)-1)&lt;0.000000000001,(Slot1_Age-D11)*(1+Slot1_Rate)^(Slot1_Age-D11),(1+Slot1_Rate)^(Slot1_Age-D11)*(1-((1+AS_Wage)/(1+Slot1_Rate))^(Slot1_Age-D11))/(1-(1+AS_Wage)/(1+Slot1_Rate))),1)</f>
        <v>1</v>
      </c>
      <c r="IG11" s="20" t="n">
        <f aca="false">IF(AND(HU11=1,IE11&gt;0,Slot1_IsWG=1,W11=1),MAX(0,(Slot1_Cost-X11*(1+Slot1_Rate)^(Slot1_Age-D11))/IF11),0)</f>
        <v>0</v>
      </c>
      <c r="IH11" s="20" t="n">
        <f aca="false">IF(AND(HU11=1,IE11&gt;0,Slot1_IsWG=1,W11=1),MIN(IE11,IG11),0)</f>
        <v>0</v>
      </c>
      <c r="II11" s="20" t="n">
        <f aca="false">X11+IH11</f>
        <v>0</v>
      </c>
      <c r="IJ11" s="20" t="n">
        <f aca="false">IF(W11=1,MAX(0,(Slot1_Cost-II11*(1+Slot1_Rate)^(Slot1_Age-D11))/IF11),0)</f>
        <v>0</v>
      </c>
      <c r="IK11" s="20" t="n">
        <f aca="false">IF(W11=1,MAX(0,(Slot1_Cost-X11*(1+Slot1_Rate)^(Slot1_Age-D11))/IF11),0)</f>
        <v>0</v>
      </c>
      <c r="IL11" s="20" t="n">
        <f aca="false">IF(AND(HU11=1,W11=1),MIN(ID11,IJ11),0)</f>
        <v>0</v>
      </c>
      <c r="IM11" s="20" t="n">
        <f aca="false">ID11-IL11</f>
        <v>2472.5864700826</v>
      </c>
      <c r="IN11" s="20" t="n">
        <f aca="false">IF(AH11=1,IF(ABS((1+AS_Wage)/(1+Slot2_Rate)-1)&lt;0.000000000001,(Slot2_Age-D11)*(1+Slot2_Rate)^(Slot2_Age-D11),(1+Slot2_Rate)^(Slot2_Age-D11)*(1-((1+AS_Wage)/(1+Slot2_Rate))^(Slot2_Age-D11))/(1-(1+AS_Wage)/(1+Slot2_Rate))),1)</f>
        <v>1</v>
      </c>
      <c r="IO11" s="20" t="n">
        <f aca="false">IF(AND(HU11=1,IE11&gt;0,Slot2_IsWG=1,AH11=1),MAX(0,(Slot2_Cost-AI11*(1+Slot2_Rate)^(Slot2_Age-D11))/IN11),0)</f>
        <v>0</v>
      </c>
      <c r="IP11" s="20" t="n">
        <f aca="false">IF(AND(HU11=1,IE11&gt;0,Slot2_IsWG=1,AH11=1),MIN(IE11,IO11),0)</f>
        <v>0</v>
      </c>
      <c r="IQ11" s="20" t="n">
        <f aca="false">AI11+IP11</f>
        <v>3643.1278565332</v>
      </c>
      <c r="IR11" s="20" t="n">
        <f aca="false">IF(AH11=1,MAX(0,(Slot2_Cost-IQ11*(1+Slot2_Rate)^(Slot2_Age-D11))/IN11),0)</f>
        <v>0</v>
      </c>
      <c r="IS11" s="20" t="n">
        <f aca="false">IF(AH11=1,MAX(0,(Slot2_Cost-AI11*(1+Slot2_Rate)^(Slot2_Age-D11))/IN11),0)</f>
        <v>0</v>
      </c>
      <c r="IT11" s="20" t="n">
        <f aca="false">IF(AND(HU11=1,AH11=1),MIN(IM11,IR11),0)</f>
        <v>0</v>
      </c>
      <c r="IU11" s="20" t="n">
        <f aca="false">IM11-IT11</f>
        <v>2472.5864700826</v>
      </c>
      <c r="IV11" s="20" t="n">
        <f aca="false">IF(AR11=1,IF(ABS((1+AS_Wage)/(1+Slot3_Rate)-1)&lt;0.000000000001,(Slot3_Age-D11)*(1+Slot3_Rate)^(Slot3_Age-D11),(1+Slot3_Rate)^(Slot3_Age-D11)*(1-((1+AS_Wage)/(1+Slot3_Rate))^(Slot3_Age-D11))/(1-(1+AS_Wage)/(1+Slot3_Rate))),1)</f>
        <v>8.4764168836889</v>
      </c>
      <c r="IW11" s="20" t="n">
        <f aca="false">IF(AND(HU11=1,IE11&gt;0,Slot3_IsWG=1,AR11=1),MAX(0,(Slot3_Cost-AS11*(1+Slot3_Rate)^(Slot3_Age-D11))/IV11),0)</f>
        <v>0</v>
      </c>
      <c r="IX11" s="20" t="n">
        <f aca="false">IF(AND(HU11=1,IE11&gt;0,Slot3_IsWG=1,AR11=1),MIN(IE11,IW11),0)</f>
        <v>0</v>
      </c>
      <c r="IY11" s="20" t="n">
        <f aca="false">AS11+IX11</f>
        <v>0</v>
      </c>
      <c r="IZ11" s="20" t="n">
        <f aca="false">IF(AR11=1,MAX(0,(Slot3_Cost-IY11*(1+Slot3_Rate)^(Slot3_Age-D11))/IV11),0)</f>
        <v>7190.50535575037</v>
      </c>
      <c r="JA11" s="20" t="n">
        <f aca="false">IF(AR11=1,MAX(0,(Slot3_Cost-AS11*(1+Slot3_Rate)^(Slot3_Age-D11))/IV11),0)</f>
        <v>7190.50535575037</v>
      </c>
      <c r="JB11" s="20" t="n">
        <f aca="false">IF(AND(HU11=1,AR11=1),MIN(IU11,IZ11),0)</f>
        <v>2472.5864700826</v>
      </c>
      <c r="JC11" s="20" t="n">
        <f aca="false">IU11-JB11</f>
        <v>0</v>
      </c>
      <c r="JD11" s="20" t="n">
        <f aca="false">IF(BB11=1,IF(ABS((1+AS_Wage)/(1+Slot4_Rate)-1)&lt;0.000000000001,(Slot4_Age-D11)*(1+Slot4_Rate)^(Slot4_Age-D11),(1+Slot4_Rate)^(Slot4_Age-D11)*(1-((1+AS_Wage)/(1+Slot4_Rate))^(Slot4_Age-D11))/(1-(1+AS_Wage)/(1+Slot4_Rate))),1)</f>
        <v>20.5697316274133</v>
      </c>
      <c r="JE11" s="20" t="n">
        <f aca="false">IF(AND(HU11=1,IE11&gt;0,Slot4_IsWG=1,BB11=1),MAX(0,(Slot4_Cost-BC11*(1+Slot4_Rate)^(Slot4_Age-D11))/JD11),0)</f>
        <v>0</v>
      </c>
      <c r="JF11" s="20" t="n">
        <f aca="false">IF(AND(HU11=1,IE11&gt;0,Slot4_IsWG=1,BB11=1),MIN(IE11,JE11),0)</f>
        <v>0</v>
      </c>
      <c r="JG11" s="20" t="n">
        <f aca="false">BC11+JF11</f>
        <v>0</v>
      </c>
      <c r="JH11" s="20" t="n">
        <f aca="false">IF(BB11=1,MAX(0,(Slot4_Cost-JG11*(1+Slot4_Rate)^(Slot4_Age-D11))/JD11),0)</f>
        <v>1945.57208512602</v>
      </c>
      <c r="JI11" s="20" t="n">
        <f aca="false">IF(BB11=1,MAX(0,(Slot4_Cost-BC11*(1+Slot4_Rate)^(Slot4_Age-D11))/JD11),0)</f>
        <v>1945.57208512602</v>
      </c>
      <c r="JJ11" s="20" t="n">
        <f aca="false">IF(AND(HU11=1,BB11=1),MIN(JC11,JH11),0)</f>
        <v>0</v>
      </c>
      <c r="JK11" s="20" t="n">
        <f aca="false">JC11-JJ11</f>
        <v>0</v>
      </c>
      <c r="JL11" s="20" t="n">
        <f aca="false">IF(BL11=1,IF(ABS((1+AS_Wage)/(1+Slot5_Rate)-1)&lt;0.000000000001,(Slot5_Age-D11)*(1+Slot5_Rate)^(Slot5_Age-D11),(1+Slot5_Rate)^(Slot5_Age-D11)*(1-((1+AS_Wage)/(1+Slot5_Rate))^(Slot5_Age-D11))/(1-(1+AS_Wage)/(1+Slot5_Rate))),1)</f>
        <v>1</v>
      </c>
      <c r="JM11" s="20" t="n">
        <f aca="false">IF(AND(HU11=1,IE11&gt;0,Slot5_IsWG=1,BL11=1),MAX(0,(Slot5_Cost-BM11*(1+Slot5_Rate)^(Slot5_Age-D11))/JL11),0)</f>
        <v>0</v>
      </c>
      <c r="JN11" s="20" t="n">
        <f aca="false">IF(AND(HU11=1,IE11&gt;0,Slot5_IsWG=1,BL11=1),MIN(IE11,JM11),0)</f>
        <v>0</v>
      </c>
      <c r="JO11" s="20" t="n">
        <f aca="false">BM11+JN11</f>
        <v>0</v>
      </c>
      <c r="JP11" s="20" t="n">
        <f aca="false">IF(BL11=1,MAX(0,(Slot5_Cost-JO11*(1+Slot5_Rate)^(Slot5_Age-D11))/JL11),0)</f>
        <v>0</v>
      </c>
      <c r="JQ11" s="20" t="n">
        <f aca="false">IF(BL11=1,MAX(0,(Slot5_Cost-BM11*(1+Slot5_Rate)^(Slot5_Age-D11))/JL11),0)</f>
        <v>0</v>
      </c>
      <c r="JR11" s="20" t="n">
        <f aca="false">IF(AND(HU11=1,BL11=1),MIN(JK11,JP11),0)</f>
        <v>0</v>
      </c>
      <c r="JS11" s="20" t="n">
        <f aca="false">JK11-JR11</f>
        <v>0</v>
      </c>
      <c r="JT11" s="20" t="n">
        <f aca="false">IF(BV11=1,IF(ABS((1+AS_Wage)/(1+Slot6_Rate)-1)&lt;0.000000000001,(Slot6_Age-D11)*(1+Slot6_Rate)^(Slot6_Age-D11),(1+Slot6_Rate)^(Slot6_Age-D11)*(1-((1+AS_Wage)/(1+Slot6_Rate))^(Slot6_Age-D11))/(1-(1+AS_Wage)/(1+Slot6_Rate))),1)</f>
        <v>1</v>
      </c>
      <c r="JU11" s="20" t="n">
        <f aca="false">IF(AND(HU11=1,IE11&gt;0,Slot6_IsWG=1,BV11=1),MAX(0,(Slot6_Cost-BW11*(1+Slot6_Rate)^(Slot6_Age-D11))/JT11),0)</f>
        <v>0</v>
      </c>
      <c r="JV11" s="20" t="n">
        <f aca="false">IF(AND(HU11=1,IE11&gt;0,Slot6_IsWG=1,BV11=1),MIN(IE11,JU11),0)</f>
        <v>0</v>
      </c>
      <c r="JW11" s="20" t="n">
        <f aca="false">BW11+JV11</f>
        <v>0</v>
      </c>
      <c r="JX11" s="20" t="n">
        <f aca="false">IF(BV11=1,MAX(0,(Slot6_Cost-JW11*(1+Slot6_Rate)^(Slot6_Age-D11))/JT11),0)</f>
        <v>0</v>
      </c>
      <c r="JY11" s="20" t="n">
        <f aca="false">IF(BV11=1,MAX(0,(Slot6_Cost-BW11*(1+Slot6_Rate)^(Slot6_Age-D11))/JT11),0)</f>
        <v>0</v>
      </c>
      <c r="JZ11" s="20" t="n">
        <f aca="false">IF(AND(HU11=1,BV11=1),MIN(JS11,JX11),0)</f>
        <v>0</v>
      </c>
      <c r="KA11" s="20" t="n">
        <f aca="false">JS11-JZ11</f>
        <v>0</v>
      </c>
      <c r="KB11" s="20" t="n">
        <f aca="false">IF(CF11=1,IF(ABS((1+AS_Wage)/(1+Slot7_Rate)-1)&lt;0.000000000001,(Slot7_Age-D11)*(1+Slot7_Rate)^(Slot7_Age-D11),(1+Slot7_Rate)^(Slot7_Age-D11)*(1-((1+AS_Wage)/(1+Slot7_Rate))^(Slot7_Age-D11))/(1-(1+AS_Wage)/(1+Slot7_Rate))),1)</f>
        <v>1</v>
      </c>
      <c r="KC11" s="20" t="n">
        <f aca="false">IF(AND(HU11=1,IE11&gt;0,Slot7_IsWG=1,CF11=1),MAX(0,(Slot7_Cost-CG11*(1+Slot7_Rate)^(Slot7_Age-D11))/KB11),0)</f>
        <v>0</v>
      </c>
      <c r="KD11" s="20" t="n">
        <f aca="false">IF(AND(HU11=1,IE11&gt;0,Slot7_IsWG=1,CF11=1),MIN(IE11,KC11),0)</f>
        <v>0</v>
      </c>
      <c r="KE11" s="20" t="n">
        <f aca="false">CG11+KD11</f>
        <v>0</v>
      </c>
      <c r="KF11" s="20" t="n">
        <f aca="false">IF(CF11=1,MAX(0,(Slot7_Cost-KE11*(1+Slot7_Rate)^(Slot7_Age-D11))/KB11),0)</f>
        <v>0</v>
      </c>
      <c r="KG11" s="20" t="n">
        <f aca="false">IF(CF11=1,MAX(0,(Slot7_Cost-CG11*(1+Slot7_Rate)^(Slot7_Age-D11))/KB11),0)</f>
        <v>0</v>
      </c>
      <c r="KH11" s="20" t="n">
        <f aca="false">IF(AND(HU11=1,CF11=1),MIN(KA11,KF11),0)</f>
        <v>0</v>
      </c>
      <c r="KI11" s="20" t="n">
        <f aca="false">KA11-KH11</f>
        <v>0</v>
      </c>
      <c r="KJ11" s="20" t="n">
        <f aca="false">IF(CP11=1,IF(ABS((1+AS_Wage)/(1+Slot8_Rate)-1)&lt;0.000000000001,(Slot8_Age-D11)*(1+Slot8_Rate)^(Slot8_Age-D11),(1+Slot8_Rate)^(Slot8_Age-D11)*(1-((1+AS_Wage)/(1+Slot8_Rate))^(Slot8_Age-D11))/(1-(1+AS_Wage)/(1+Slot8_Rate))),1)</f>
        <v>1</v>
      </c>
      <c r="KK11" s="20" t="n">
        <f aca="false">IF(AND(HU11=1,IE11&gt;0,Slot8_IsWG=1,CP11=1),MAX(0,(Slot8_Cost-CQ11*(1+Slot8_Rate)^(Slot8_Age-D11))/KJ11),0)</f>
        <v>0</v>
      </c>
      <c r="KL11" s="20" t="n">
        <f aca="false">IF(AND(HU11=1,IE11&gt;0,Slot8_IsWG=1,CP11=1),MIN(IE11,KK11),0)</f>
        <v>0</v>
      </c>
      <c r="KM11" s="20" t="n">
        <f aca="false">CQ11+KL11</f>
        <v>0</v>
      </c>
      <c r="KN11" s="20" t="n">
        <f aca="false">IF(CP11=1,MAX(0,(Slot8_Cost-KM11*(1+Slot8_Rate)^(Slot8_Age-D11))/KJ11),0)</f>
        <v>0</v>
      </c>
      <c r="KO11" s="20" t="n">
        <f aca="false">IF(CP11=1,MAX(0,(Slot8_Cost-CQ11*(1+Slot8_Rate)^(Slot8_Age-D11))/KJ11),0)</f>
        <v>0</v>
      </c>
      <c r="KP11" s="20" t="n">
        <f aca="false">IF(AND(HU11=1,CP11=1),MIN(KI11,KN11),0)</f>
        <v>0</v>
      </c>
      <c r="KQ11" s="20" t="n">
        <f aca="false">KI11-KP11</f>
        <v>0</v>
      </c>
      <c r="KR11" s="20" t="n">
        <f aca="false">IF(CZ11=1,IF(ABS((1+AS_Wage)/(1+Slot9_Rate)-1)&lt;0.000000000001,(Slot9_Age-D11)*(1+Slot9_Rate)^(Slot9_Age-D11),(1+Slot9_Rate)^(Slot9_Age-D11)*(1-((1+AS_Wage)/(1+Slot9_Rate))^(Slot9_Age-D11))/(1-(1+AS_Wage)/(1+Slot9_Rate))),1)</f>
        <v>1</v>
      </c>
      <c r="KS11" s="20" t="n">
        <f aca="false">IF(AND(HU11=1,IE11&gt;0,Slot9_IsWG=1,CZ11=1),MAX(0,(Slot9_Cost-DA11*(1+Slot9_Rate)^(Slot9_Age-D11))/KR11),0)</f>
        <v>0</v>
      </c>
      <c r="KT11" s="20" t="n">
        <f aca="false">IF(AND(HU11=1,IE11&gt;0,Slot9_IsWG=1,CZ11=1),MIN(IE11,KS11),0)</f>
        <v>0</v>
      </c>
      <c r="KU11" s="20" t="n">
        <f aca="false">DA11+KT11</f>
        <v>0</v>
      </c>
      <c r="KV11" s="20" t="n">
        <f aca="false">IF(CZ11=1,MAX(0,(Slot9_Cost-KU11*(1+Slot9_Rate)^(Slot9_Age-D11))/KR11),0)</f>
        <v>0</v>
      </c>
      <c r="KW11" s="20" t="n">
        <f aca="false">IF(CZ11=1,MAX(0,(Slot9_Cost-DA11*(1+Slot9_Rate)^(Slot9_Age-D11))/KR11),0)</f>
        <v>0</v>
      </c>
      <c r="KX11" s="20" t="n">
        <f aca="false">IF(AND(HU11=1,CZ11=1),MIN(KQ11,KV11),0)</f>
        <v>0</v>
      </c>
      <c r="KY11" s="20" t="n">
        <f aca="false">KQ11-KX11</f>
        <v>0</v>
      </c>
      <c r="KZ11" s="20" t="n">
        <f aca="false">IF(DJ11=1,IF(ABS((1+AS_Wage)/(1+Slot10_Rate)-1)&lt;0.000000000001,(Slot10_Age-D11)*(1+Slot10_Rate)^(Slot10_Age-D11),(1+Slot10_Rate)^(Slot10_Age-D11)*(1-((1+AS_Wage)/(1+Slot10_Rate))^(Slot10_Age-D11))/(1-(1+AS_Wage)/(1+Slot10_Rate))),1)</f>
        <v>1</v>
      </c>
      <c r="LA11" s="20" t="n">
        <f aca="false">IF(AND(HU11=1,IE11&gt;0,Slot10_IsWG=1,DJ11=1),MAX(0,(Slot10_Cost-DK11*(1+Slot10_Rate)^(Slot10_Age-D11))/KZ11),0)</f>
        <v>0</v>
      </c>
      <c r="LB11" s="20" t="n">
        <f aca="false">IF(AND(HU11=1,IE11&gt;0,Slot10_IsWG=1,DJ11=1),MIN(IE11,LA11),0)</f>
        <v>0</v>
      </c>
      <c r="LC11" s="20" t="n">
        <f aca="false">DK11+LB11</f>
        <v>0</v>
      </c>
      <c r="LD11" s="20" t="n">
        <f aca="false">IF(DJ11=1,MAX(0,(Slot10_Cost-LC11*(1+Slot10_Rate)^(Slot10_Age-D11))/KZ11),0)</f>
        <v>0</v>
      </c>
      <c r="LE11" s="20" t="n">
        <f aca="false">IF(DJ11=1,MAX(0,(Slot10_Cost-DK11*(1+Slot10_Rate)^(Slot10_Age-D11))/KZ11),0)</f>
        <v>0</v>
      </c>
      <c r="LF11" s="20" t="n">
        <f aca="false">IF(AND(HU11=1,DJ11=1),MIN(KY11,LD11),0)</f>
        <v>0</v>
      </c>
      <c r="LG11" s="20" t="n">
        <f aca="false">KY11-LF11</f>
        <v>0</v>
      </c>
      <c r="LH11" s="20" t="n">
        <f aca="false">IF(DT11=1,IF(ABS((1+AS_Wage)/(1+Slot11_Rate)-1)&lt;0.000000000001,(Slot11_Age-D11)*(1+Slot11_Rate)^(Slot11_Age-D11),(1+Slot11_Rate)^(Slot11_Age-D11)*(1-((1+AS_Wage)/(1+Slot11_Rate))^(Slot11_Age-D11))/(1-(1+AS_Wage)/(1+Slot11_Rate))),1)</f>
        <v>1</v>
      </c>
      <c r="LI11" s="20" t="n">
        <f aca="false">IF(AND(HU11=1,IE11&gt;0,Slot11_IsWG=1,DT11=1),MAX(0,(Slot11_Cost-DU11*(1+Slot11_Rate)^(Slot11_Age-D11))/LH11),0)</f>
        <v>0</v>
      </c>
      <c r="LJ11" s="20" t="n">
        <f aca="false">IF(AND(HU11=1,IE11&gt;0,Slot11_IsWG=1,DT11=1),MIN(IE11,LI11),0)</f>
        <v>0</v>
      </c>
      <c r="LK11" s="20" t="n">
        <f aca="false">DU11+LJ11</f>
        <v>0</v>
      </c>
      <c r="LL11" s="20" t="n">
        <f aca="false">IF(DT11=1,MAX(0,(Slot11_Cost-LK11*(1+Slot11_Rate)^(Slot11_Age-D11))/LH11),0)</f>
        <v>0</v>
      </c>
      <c r="LM11" s="20" t="n">
        <f aca="false">IF(DT11=1,MAX(0,(Slot11_Cost-DU11*(1+Slot11_Rate)^(Slot11_Age-D11))/LH11),0)</f>
        <v>0</v>
      </c>
      <c r="LN11" s="20" t="n">
        <f aca="false">IF(AND(HU11=1,DT11=1),MIN(LG11,LL11),0)</f>
        <v>0</v>
      </c>
      <c r="LO11" s="20" t="n">
        <f aca="false">LG11-LN11</f>
        <v>0</v>
      </c>
      <c r="LP11" s="20" t="n">
        <f aca="false">IF(ED11=1,IF(ABS((1+AS_Wage)/(1+Slot12_Rate)-1)&lt;0.000000000001,(Slot12_Age-D11)*(1+Slot12_Rate)^(Slot12_Age-D11),(1+Slot12_Rate)^(Slot12_Age-D11)*(1-((1+AS_Wage)/(1+Slot12_Rate))^(Slot12_Age-D11))/(1-(1+AS_Wage)/(1+Slot12_Rate))),1)</f>
        <v>1</v>
      </c>
      <c r="LQ11" s="20" t="n">
        <f aca="false">IF(AND(HU11=1,IE11&gt;0,Slot12_IsWG=1,ED11=1),MAX(0,(Slot12_Cost-EE11*(1+Slot12_Rate)^(Slot12_Age-D11))/LP11),0)</f>
        <v>0</v>
      </c>
      <c r="LR11" s="20" t="n">
        <f aca="false">IF(AND(HU11=1,IE11&gt;0,Slot12_IsWG=1,ED11=1),MIN(IE11,LQ11),0)</f>
        <v>0</v>
      </c>
      <c r="LS11" s="20" t="n">
        <f aca="false">EE11+LR11</f>
        <v>0</v>
      </c>
      <c r="LT11" s="20" t="n">
        <f aca="false">IF(ED11=1,MAX(0,(Slot12_Cost-LS11*(1+Slot12_Rate)^(Slot12_Age-D11))/LP11),0)</f>
        <v>0</v>
      </c>
      <c r="LU11" s="20" t="n">
        <f aca="false">IF(ED11=1,MAX(0,(Slot12_Cost-EE11*(1+Slot12_Rate)^(Slot12_Age-D11))/LP11),0)</f>
        <v>0</v>
      </c>
      <c r="LV11" s="20" t="n">
        <f aca="false">IF(AND(HU11=1,ED11=1),MIN(LO11,LT11),0)</f>
        <v>0</v>
      </c>
      <c r="LW11" s="20" t="n">
        <f aca="false">LO11-LV11</f>
        <v>0</v>
      </c>
      <c r="LX11" s="20" t="n">
        <f aca="false">IF(EN11=1,IF(ABS((1+AS_Wage)/(1+Slot13_Rate)-1)&lt;0.000000000001,(Slot13_Age-D11)*(1+Slot13_Rate)^(Slot13_Age-D11),(1+Slot13_Rate)^(Slot13_Age-D11)*(1-((1+AS_Wage)/(1+Slot13_Rate))^(Slot13_Age-D11))/(1-(1+AS_Wage)/(1+Slot13_Rate))),1)</f>
        <v>1</v>
      </c>
      <c r="LY11" s="20" t="n">
        <f aca="false">IF(AND(HU11=1,IE11&gt;0,Slot13_IsWG=1,EN11=1),MAX(0,(Slot13_Cost-EO11*(1+Slot13_Rate)^(Slot13_Age-D11))/LX11),0)</f>
        <v>0</v>
      </c>
      <c r="LZ11" s="20" t="n">
        <f aca="false">IF(AND(HU11=1,IE11&gt;0,Slot13_IsWG=1,EN11=1),MIN(IE11,LY11),0)</f>
        <v>0</v>
      </c>
      <c r="MA11" s="20" t="n">
        <f aca="false">EO11+LZ11</f>
        <v>0</v>
      </c>
      <c r="MB11" s="20" t="n">
        <f aca="false">IF(EN11=1,MAX(0,(Slot13_Cost-MA11*(1+Slot13_Rate)^(Slot13_Age-D11))/LX11),0)</f>
        <v>0</v>
      </c>
      <c r="MC11" s="20" t="n">
        <f aca="false">IF(EN11=1,MAX(0,(Slot13_Cost-EO11*(1+Slot13_Rate)^(Slot13_Age-D11))/LX11),0)</f>
        <v>0</v>
      </c>
      <c r="MD11" s="20" t="n">
        <f aca="false">IF(AND(HU11=1,EN11=1),MIN(LW11,MB11),0)</f>
        <v>0</v>
      </c>
      <c r="ME11" s="20" t="n">
        <f aca="false">LW11-MD11</f>
        <v>0</v>
      </c>
      <c r="MF11" s="20" t="n">
        <f aca="false">IF(EX11=1,IF(ABS((1+AS_Wage)/(1+Slot14_Rate)-1)&lt;0.000000000001,(Slot14_Age-D11)*(1+Slot14_Rate)^(Slot14_Age-D11),(1+Slot14_Rate)^(Slot14_Age-D11)*(1-((1+AS_Wage)/(1+Slot14_Rate))^(Slot14_Age-D11))/(1-(1+AS_Wage)/(1+Slot14_Rate))),1)</f>
        <v>1</v>
      </c>
      <c r="MG11" s="20" t="n">
        <f aca="false">IF(AND(HU11=1,IE11&gt;0,Slot14_IsWG=1,EX11=1),MAX(0,(Slot14_Cost-EY11*(1+Slot14_Rate)^(Slot14_Age-D11))/MF11),0)</f>
        <v>0</v>
      </c>
      <c r="MH11" s="20" t="n">
        <f aca="false">IF(AND(HU11=1,IE11&gt;0,Slot14_IsWG=1,EX11=1),MIN(IE11,MG11),0)</f>
        <v>0</v>
      </c>
      <c r="MI11" s="20" t="n">
        <f aca="false">EY11+MH11</f>
        <v>0</v>
      </c>
      <c r="MJ11" s="20" t="n">
        <f aca="false">IF(EX11=1,MAX(0,(Slot14_Cost-MI11*(1+Slot14_Rate)^(Slot14_Age-D11))/MF11),0)</f>
        <v>0</v>
      </c>
      <c r="MK11" s="20" t="n">
        <f aca="false">IF(EX11=1,MAX(0,(Slot14_Cost-EY11*(1+Slot14_Rate)^(Slot14_Age-D11))/MF11),0)</f>
        <v>0</v>
      </c>
      <c r="ML11" s="20" t="n">
        <f aca="false">IF(AND(HU11=1,EX11=1),MIN(ME11,MJ11),0)</f>
        <v>0</v>
      </c>
      <c r="MM11" s="20" t="n">
        <f aca="false">ME11-ML11</f>
        <v>0</v>
      </c>
      <c r="MN11" s="20" t="n">
        <f aca="false">IF(FH11=1,IF(ABS((1+AS_Wage)/(1+Slot15_Rate)-1)&lt;0.000000000001,(Slot15_Age-D11)*(1+Slot15_Rate)^(Slot15_Age-D11),(1+Slot15_Rate)^(Slot15_Age-D11)*(1-((1+AS_Wage)/(1+Slot15_Rate))^(Slot15_Age-D11))/(1-(1+AS_Wage)/(1+Slot15_Rate))),1)</f>
        <v>1</v>
      </c>
      <c r="MO11" s="20" t="n">
        <f aca="false">IF(AND(HU11=1,IE11&gt;0,Slot15_IsWG=1,FH11=1),MAX(0,(Slot15_Cost-FI11*(1+Slot15_Rate)^(Slot15_Age-D11))/MN11),0)</f>
        <v>0</v>
      </c>
      <c r="MP11" s="20" t="n">
        <f aca="false">IF(AND(HU11=1,IE11&gt;0,Slot15_IsWG=1,FH11=1),MIN(IE11,MO11),0)</f>
        <v>0</v>
      </c>
      <c r="MQ11" s="20" t="n">
        <f aca="false">FI11+MP11</f>
        <v>0</v>
      </c>
      <c r="MR11" s="20" t="n">
        <f aca="false">IF(FH11=1,MAX(0,(Slot15_Cost-MQ11*(1+Slot15_Rate)^(Slot15_Age-D11))/MN11),0)</f>
        <v>0</v>
      </c>
      <c r="MS11" s="20" t="n">
        <f aca="false">IF(FH11=1,MAX(0,(Slot15_Cost-FI11*(1+Slot15_Rate)^(Slot15_Age-D11))/MN11),0)</f>
        <v>0</v>
      </c>
      <c r="MT11" s="20" t="n">
        <f aca="false">IF(AND(HU11=1,FH11=1),MIN(MM11,MR11),0)</f>
        <v>0</v>
      </c>
      <c r="MU11" s="20" t="n">
        <f aca="false">MM11-MT11</f>
        <v>0</v>
      </c>
      <c r="MV11" s="20" t="n">
        <f aca="false">IF(FR11=1,IF(ABS((1+AS_Wage)/(1+Slot16_Rate)-1)&lt;0.000000000001,(Slot16_Age-D11)*(1+Slot16_Rate)^(Slot16_Age-D11),(1+Slot16_Rate)^(Slot16_Age-D11)*(1-((1+AS_Wage)/(1+Slot16_Rate))^(Slot16_Age-D11))/(1-(1+AS_Wage)/(1+Slot16_Rate))),1)</f>
        <v>1</v>
      </c>
      <c r="MW11" s="20" t="n">
        <f aca="false">IF(AND(HU11=1,IE11&gt;0,Slot16_IsWG=1,FR11=1),MAX(0,(Slot16_Cost-FS11*(1+Slot16_Rate)^(Slot16_Age-D11))/MV11),0)</f>
        <v>0</v>
      </c>
      <c r="MX11" s="20" t="n">
        <f aca="false">IF(AND(HU11=1,IE11&gt;0,Slot16_IsWG=1,FR11=1),MIN(IE11,MW11),0)</f>
        <v>0</v>
      </c>
      <c r="MY11" s="20" t="n">
        <f aca="false">FS11+MX11</f>
        <v>0</v>
      </c>
      <c r="MZ11" s="20" t="n">
        <f aca="false">IF(FR11=1,MAX(0,(Slot16_Cost-MY11*(1+Slot16_Rate)^(Slot16_Age-D11))/MV11),0)</f>
        <v>0</v>
      </c>
      <c r="NA11" s="20" t="n">
        <f aca="false">IF(FR11=1,MAX(0,(Slot16_Cost-FS11*(1+Slot16_Rate)^(Slot16_Age-D11))/MV11),0)</f>
        <v>0</v>
      </c>
      <c r="NB11" s="20" t="n">
        <f aca="false">IF(AND(HU11=1,FR11=1),MIN(MU11,MZ11),0)</f>
        <v>0</v>
      </c>
      <c r="NC11" s="20" t="n">
        <f aca="false">MU11-NB11</f>
        <v>0</v>
      </c>
      <c r="ND11" s="20" t="n">
        <f aca="false">IF(GB11=1,IF(ABS((1+AS_Wage)/(1+Slot17_Rate)-1)&lt;0.000000000001,(Slot17_Age-D11)*(1+Slot17_Rate)^(Slot17_Age-D11),(1+Slot17_Rate)^(Slot17_Age-D11)*(1-((1+AS_Wage)/(1+Slot17_Rate))^(Slot17_Age-D11))/(1-(1+AS_Wage)/(1+Slot17_Rate))),1)</f>
        <v>1</v>
      </c>
      <c r="NE11" s="20" t="n">
        <f aca="false">IF(AND(HU11=1,IE11&gt;0,Slot17_IsWG=1,GB11=1),MAX(0,(Slot17_Cost-GC11*(1+Slot17_Rate)^(Slot17_Age-D11))/ND11),0)</f>
        <v>0</v>
      </c>
      <c r="NF11" s="20" t="n">
        <f aca="false">IF(AND(HU11=1,IE11&gt;0,Slot17_IsWG=1,GB11=1),MIN(IE11,NE11),0)</f>
        <v>0</v>
      </c>
      <c r="NG11" s="20" t="n">
        <f aca="false">GC11+NF11</f>
        <v>0</v>
      </c>
      <c r="NH11" s="20" t="n">
        <f aca="false">IF(GB11=1,MAX(0,(Slot17_Cost-NG11*(1+Slot17_Rate)^(Slot17_Age-D11))/ND11),0)</f>
        <v>0</v>
      </c>
      <c r="NI11" s="20" t="n">
        <f aca="false">IF(GB11=1,MAX(0,(Slot17_Cost-GC11*(1+Slot17_Rate)^(Slot17_Age-D11))/ND11),0)</f>
        <v>0</v>
      </c>
      <c r="NJ11" s="20" t="n">
        <f aca="false">IF(AND(HU11=1,GB11=1),MIN(NC11,NH11),0)</f>
        <v>0</v>
      </c>
      <c r="NK11" s="20" t="n">
        <f aca="false">NC11-NJ11</f>
        <v>0</v>
      </c>
      <c r="NL11" s="20" t="n">
        <f aca="false">IF(GL11=1,IF(ABS((1+AS_Wage)/(1+Slot18_Rate)-1)&lt;0.000000000001,(Slot18_Age-D11)*(1+Slot18_Rate)^(Slot18_Age-D11),(1+Slot18_Rate)^(Slot18_Age-D11)*(1-((1+AS_Wage)/(1+Slot18_Rate))^(Slot18_Age-D11))/(1-(1+AS_Wage)/(1+Slot18_Rate))),1)</f>
        <v>1</v>
      </c>
      <c r="NM11" s="20" t="n">
        <f aca="false">IF(AND(HU11=1,IE11&gt;0,Slot18_IsWG=1,GL11=1),MAX(0,(Slot18_Cost-GM11*(1+Slot18_Rate)^(Slot18_Age-D11))/NL11),0)</f>
        <v>0</v>
      </c>
      <c r="NN11" s="20" t="n">
        <f aca="false">IF(AND(HU11=1,IE11&gt;0,Slot18_IsWG=1,GL11=1),MIN(IE11,NM11),0)</f>
        <v>0</v>
      </c>
      <c r="NO11" s="20" t="n">
        <f aca="false">GM11+NN11</f>
        <v>0</v>
      </c>
      <c r="NP11" s="20" t="n">
        <f aca="false">IF(GL11=1,MAX(0,(Slot18_Cost-NO11*(1+Slot18_Rate)^(Slot18_Age-D11))/NL11),0)</f>
        <v>0</v>
      </c>
      <c r="NQ11" s="20" t="n">
        <f aca="false">IF(GL11=1,MAX(0,(Slot18_Cost-GM11*(1+Slot18_Rate)^(Slot18_Age-D11))/NL11),0)</f>
        <v>0</v>
      </c>
      <c r="NR11" s="20" t="n">
        <f aca="false">IF(AND(HU11=1,GL11=1),MIN(NK11,NP11),0)</f>
        <v>0</v>
      </c>
      <c r="NS11" s="20" t="n">
        <f aca="false">NK11-NR11</f>
        <v>0</v>
      </c>
      <c r="NT11" s="20" t="n">
        <f aca="false">IF(GV11=1,IF(ABS((1+AS_Wage)/(1+Slot19_Rate)-1)&lt;0.000000000001,(Slot19_Age-D11)*(1+Slot19_Rate)^(Slot19_Age-D11),(1+Slot19_Rate)^(Slot19_Age-D11)*(1-((1+AS_Wage)/(1+Slot19_Rate))^(Slot19_Age-D11))/(1-(1+AS_Wage)/(1+Slot19_Rate))),1)</f>
        <v>1</v>
      </c>
      <c r="NU11" s="20" t="n">
        <f aca="false">IF(AND(HU11=1,IE11&gt;0,Slot19_IsWG=1,GV11=1),MAX(0,(Slot19_Cost-GW11*(1+Slot19_Rate)^(Slot19_Age-D11))/NT11),0)</f>
        <v>0</v>
      </c>
      <c r="NV11" s="20" t="n">
        <f aca="false">IF(AND(HU11=1,IE11&gt;0,Slot19_IsWG=1,GV11=1),MIN(IE11,NU11),0)</f>
        <v>0</v>
      </c>
      <c r="NW11" s="20" t="n">
        <f aca="false">GW11+NV11</f>
        <v>0</v>
      </c>
      <c r="NX11" s="20" t="n">
        <f aca="false">IF(GV11=1,MAX(0,(Slot19_Cost-NW11*(1+Slot19_Rate)^(Slot19_Age-D11))/NT11),0)</f>
        <v>0</v>
      </c>
      <c r="NY11" s="20" t="n">
        <f aca="false">IF(GV11=1,MAX(0,(Slot19_Cost-GW11*(1+Slot19_Rate)^(Slot19_Age-D11))/NT11),0)</f>
        <v>0</v>
      </c>
      <c r="NZ11" s="20" t="n">
        <f aca="false">IF(AND(HU11=1,GV11=1),MIN(NS11,NX11),0)</f>
        <v>0</v>
      </c>
      <c r="OA11" s="20" t="n">
        <f aca="false">NS11-NZ11</f>
        <v>0</v>
      </c>
      <c r="OB11" s="20" t="n">
        <f aca="false">IF(HF11=1,IF(ABS((1+AS_Wage)/(1+Slot20_Rate)-1)&lt;0.000000000001,(Slot20_Age-D11)*(1+Slot20_Rate)^(Slot20_Age-D11),(1+Slot20_Rate)^(Slot20_Age-D11)*(1-((1+AS_Wage)/(1+Slot20_Rate))^(Slot20_Age-D11))/(1-(1+AS_Wage)/(1+Slot20_Rate))),1)</f>
        <v>1</v>
      </c>
      <c r="OC11" s="20" t="n">
        <f aca="false">IF(AND(HU11=1,IE11&gt;0,Slot20_IsWG=1,HF11=1),MAX(0,(Slot20_Cost-HG11*(1+Slot20_Rate)^(Slot20_Age-D11))/OB11),0)</f>
        <v>0</v>
      </c>
      <c r="OD11" s="20" t="n">
        <f aca="false">IF(AND(HU11=1,IE11&gt;0,Slot20_IsWG=1,HF11=1),MIN(IE11,OC11),0)</f>
        <v>0</v>
      </c>
      <c r="OE11" s="20" t="n">
        <f aca="false">HG11+OD11</f>
        <v>0</v>
      </c>
      <c r="OF11" s="20" t="n">
        <f aca="false">IF(HF11=1,MAX(0,(Slot20_Cost-OE11*(1+Slot20_Rate)^(Slot20_Age-D11))/OB11),0)</f>
        <v>0</v>
      </c>
      <c r="OG11" s="20" t="n">
        <f aca="false">IF(HF11=1,MAX(0,(Slot20_Cost-HG11*(1+Slot20_Rate)^(Slot20_Age-D11))/OB11),0)</f>
        <v>0</v>
      </c>
      <c r="OH11" s="20" t="n">
        <f aca="false">IF(AND(HU11=1,HF11=1),MIN(OA11,OF11),0)</f>
        <v>0</v>
      </c>
      <c r="OI11" s="20" t="n">
        <f aca="false">OA11-OH11</f>
        <v>0</v>
      </c>
      <c r="OJ11" s="20" t="n">
        <f aca="false">IE11-(IH11+IP11+IX11+JF11+JN11+JV11+KD11+KL11+KT11+LB11+LJ11+LR11+LZ11+MH11+MP11+MX11+NF11+NN11+NV11+OD11)</f>
        <v>0</v>
      </c>
      <c r="OK11" s="20" t="n">
        <f aca="false">IF(HU11=1,HS11-ID11-IE11,0)</f>
        <v>2472.5864700826</v>
      </c>
      <c r="OL11" s="20" t="n">
        <f aca="false">IF(HU11=0,-HS11,0)</f>
        <v>0</v>
      </c>
      <c r="OM11" s="20" t="n">
        <f aca="false">MIN(OL11,HK11)</f>
        <v>0</v>
      </c>
      <c r="ON11" s="20" t="n">
        <f aca="false">OL11-OM11</f>
        <v>0</v>
      </c>
      <c r="OO11" s="20" t="n">
        <f aca="false">MIN(ON11,HL11)</f>
        <v>0</v>
      </c>
      <c r="OP11" s="20" t="n">
        <f aca="false">ON11-OO11</f>
        <v>0</v>
      </c>
      <c r="OQ11" s="20" t="n">
        <f aca="false">IF(AND(HU11=0,HF11=1,OP11&gt;0),MIN(OP11,HG11),0)</f>
        <v>0</v>
      </c>
      <c r="OR11" s="20" t="n">
        <f aca="false">OP11-OQ11</f>
        <v>0</v>
      </c>
      <c r="OS11" s="20" t="n">
        <f aca="false">IF(AND(HU11=0,GV11=1,OR11&gt;0),MIN(OR11,GW11),0)</f>
        <v>0</v>
      </c>
      <c r="OT11" s="20" t="n">
        <f aca="false">OR11-OS11</f>
        <v>0</v>
      </c>
      <c r="OU11" s="20" t="n">
        <f aca="false">IF(AND(HU11=0,GL11=1,OT11&gt;0),MIN(OT11,GM11),0)</f>
        <v>0</v>
      </c>
      <c r="OV11" s="20" t="n">
        <f aca="false">OT11-OU11</f>
        <v>0</v>
      </c>
      <c r="OW11" s="20" t="n">
        <f aca="false">IF(AND(HU11=0,GB11=1,OV11&gt;0),MIN(OV11,GC11),0)</f>
        <v>0</v>
      </c>
      <c r="OX11" s="20" t="n">
        <f aca="false">OV11-OW11</f>
        <v>0</v>
      </c>
      <c r="OY11" s="20" t="n">
        <f aca="false">IF(AND(HU11=0,FR11=1,OX11&gt;0),MIN(OX11,FS11),0)</f>
        <v>0</v>
      </c>
      <c r="OZ11" s="20" t="n">
        <f aca="false">OX11-OY11</f>
        <v>0</v>
      </c>
      <c r="PA11" s="20" t="n">
        <f aca="false">IF(AND(HU11=0,FH11=1,OZ11&gt;0),MIN(OZ11,FI11),0)</f>
        <v>0</v>
      </c>
      <c r="PB11" s="20" t="n">
        <f aca="false">OZ11-PA11</f>
        <v>0</v>
      </c>
      <c r="PC11" s="20" t="n">
        <f aca="false">IF(AND(HU11=0,EX11=1,PB11&gt;0),MIN(PB11,EY11),0)</f>
        <v>0</v>
      </c>
      <c r="PD11" s="20" t="n">
        <f aca="false">PB11-PC11</f>
        <v>0</v>
      </c>
      <c r="PE11" s="20" t="n">
        <f aca="false">IF(AND(HU11=0,EN11=1,PD11&gt;0),MIN(PD11,EO11),0)</f>
        <v>0</v>
      </c>
      <c r="PF11" s="20" t="n">
        <f aca="false">PD11-PE11</f>
        <v>0</v>
      </c>
      <c r="PG11" s="20" t="n">
        <f aca="false">IF(AND(HU11=0,ED11=1,PF11&gt;0),MIN(PF11,EE11),0)</f>
        <v>0</v>
      </c>
      <c r="PH11" s="20" t="n">
        <f aca="false">PF11-PG11</f>
        <v>0</v>
      </c>
      <c r="PI11" s="20" t="n">
        <f aca="false">IF(AND(HU11=0,DT11=1,PH11&gt;0),MIN(PH11,DU11),0)</f>
        <v>0</v>
      </c>
      <c r="PJ11" s="20" t="n">
        <f aca="false">PH11-PI11</f>
        <v>0</v>
      </c>
      <c r="PK11" s="20" t="n">
        <f aca="false">IF(AND(HU11=0,DJ11=1,PJ11&gt;0),MIN(PJ11,DK11),0)</f>
        <v>0</v>
      </c>
      <c r="PL11" s="20" t="n">
        <f aca="false">PJ11-PK11</f>
        <v>0</v>
      </c>
      <c r="PM11" s="20" t="n">
        <f aca="false">IF(AND(HU11=0,CZ11=1,PL11&gt;0),MIN(PL11,DA11),0)</f>
        <v>0</v>
      </c>
      <c r="PN11" s="20" t="n">
        <f aca="false">PL11-PM11</f>
        <v>0</v>
      </c>
      <c r="PO11" s="20" t="n">
        <f aca="false">IF(AND(HU11=0,CP11=1,PN11&gt;0),MIN(PN11,CQ11),0)</f>
        <v>0</v>
      </c>
      <c r="PP11" s="20" t="n">
        <f aca="false">PN11-PO11</f>
        <v>0</v>
      </c>
      <c r="PQ11" s="20" t="n">
        <f aca="false">IF(AND(HU11=0,CF11=1,PP11&gt;0),MIN(PP11,CG11),0)</f>
        <v>0</v>
      </c>
      <c r="PR11" s="20" t="n">
        <f aca="false">PP11-PQ11</f>
        <v>0</v>
      </c>
      <c r="PS11" s="20" t="n">
        <f aca="false">IF(AND(HU11=0,BV11=1,PR11&gt;0),MIN(PR11,BW11),0)</f>
        <v>0</v>
      </c>
      <c r="PT11" s="20" t="n">
        <f aca="false">PR11-PS11</f>
        <v>0</v>
      </c>
      <c r="PU11" s="20" t="n">
        <f aca="false">IF(AND(HU11=0,BL11=1,PT11&gt;0),MIN(PT11,BM11),0)</f>
        <v>0</v>
      </c>
      <c r="PV11" s="20" t="n">
        <f aca="false">PT11-PU11</f>
        <v>0</v>
      </c>
      <c r="PW11" s="20" t="n">
        <f aca="false">IF(AND(HU11=0,BB11=1,PV11&gt;0),MIN(PV11,BC11),0)</f>
        <v>0</v>
      </c>
      <c r="PX11" s="20" t="n">
        <f aca="false">PV11-PW11</f>
        <v>0</v>
      </c>
      <c r="PY11" s="20" t="n">
        <f aca="false">IF(AND(HU11=0,AR11=1,PX11&gt;0),MIN(PX11,AS11),0)</f>
        <v>0</v>
      </c>
      <c r="PZ11" s="20" t="n">
        <f aca="false">PX11-PY11</f>
        <v>0</v>
      </c>
      <c r="QA11" s="20" t="n">
        <f aca="false">IF(AND(HU11=0,AH11=1,PZ11&gt;0),MIN(PZ11,AI11),0)</f>
        <v>0</v>
      </c>
      <c r="QB11" s="20" t="n">
        <f aca="false">PZ11-QA11</f>
        <v>0</v>
      </c>
      <c r="QC11" s="20" t="n">
        <f aca="false">IF(AND(HU11=0,W11=1,QB11&gt;0),MIN(QB11,X11),0)</f>
        <v>0</v>
      </c>
      <c r="QD11" s="20" t="n">
        <f aca="false">QB11-QC11</f>
        <v>0</v>
      </c>
      <c r="QE11" s="20" t="n">
        <f aca="false">IF(HU11=0,QD11,0)</f>
        <v>0</v>
      </c>
      <c r="QF11" s="20" t="n">
        <f aca="false">OM11+OO11+QC11+QA11+PY11+PW11+PU11+PS11+PQ11+PO11+PM11+PK11+PI11+PG11+PE11+PC11+PA11+OY11+OW11+OU11+OS11+OQ11</f>
        <v>0</v>
      </c>
      <c r="QG11" s="20" t="n">
        <f aca="false">IF(HU11=1,HK11+OJ11+OI11+IF(G11=1,0,OK11),HK11-OM11)</f>
        <v>0</v>
      </c>
      <c r="QH11" s="20" t="n">
        <f aca="false">HL11-OO11</f>
        <v>15762.06</v>
      </c>
      <c r="QI11" s="20" t="n">
        <f aca="false">IF(HU11=1,IF(G11=1,ID11+IE11,HS11),0)</f>
        <v>2472.5864700826</v>
      </c>
      <c r="QJ11" s="20" t="n">
        <f aca="false">IF(HU11=1,IF(G11=1,HS11-ID11-IE11,0),0)</f>
        <v>2472.5864700826</v>
      </c>
      <c r="QK11" s="20" t="n">
        <f aca="false">QG11*(1+GR)</f>
        <v>0</v>
      </c>
      <c r="QL11" s="20" t="n">
        <f aca="false">QH11*(1+AS_Cash)</f>
        <v>15919.6806</v>
      </c>
      <c r="QM11" s="20" t="n">
        <f aca="false">IF(W11=1,IF(HU11=1,II11+IL11,X11-QC11)*(1+Slot1_Rate),0)</f>
        <v>0</v>
      </c>
      <c r="QN11" s="20" t="n">
        <f aca="false">IF(AND(HU11=1,W11=1),(IH11+IL11)/F11,0)</f>
        <v>0</v>
      </c>
      <c r="QO11" s="20" t="n">
        <f aca="false">IF(B11=0,IH11+IL11,0)</f>
        <v>0</v>
      </c>
      <c r="QP11" s="20" t="n">
        <f aca="false">IF(B11=0,IF(HU11=1,IJ11,IK11),0)</f>
        <v>0</v>
      </c>
      <c r="QQ11" s="20" t="n">
        <f aca="false">IF(AH11=1,IF(HU11=1,IQ11+IT11,AI11-QA11)*(1+Slot2_Rate),0)</f>
        <v>0</v>
      </c>
      <c r="QR11" s="20" t="n">
        <f aca="false">IF(AND(HU11=1,AH11=1),(IP11+IT11)/F11,0)</f>
        <v>0</v>
      </c>
      <c r="QS11" s="20" t="n">
        <f aca="false">IF(B11=0,IP11+IT11,0)</f>
        <v>0</v>
      </c>
      <c r="QT11" s="20" t="n">
        <f aca="false">IF(B11=0,IF(HU11=1,IR11,IS11),0)</f>
        <v>0</v>
      </c>
      <c r="QU11" s="20" t="n">
        <f aca="false">IF(AR11=1,IF(HU11=1,IY11+JB11,AS11-PY11)*(1+Slot3_Rate),0)</f>
        <v>2536.87371830475</v>
      </c>
      <c r="QV11" s="20" t="n">
        <f aca="false">IF(AND(HU11=1,AR11=1),(IX11+JB11)/F11,0)</f>
        <v>2329.97345485767</v>
      </c>
      <c r="QW11" s="20" t="n">
        <f aca="false">IF(B11=0,IX11+JB11,0)</f>
        <v>0</v>
      </c>
      <c r="QX11" s="20" t="n">
        <f aca="false">IF(B11=0,IF(HU11=1,IZ11,JA11),0)</f>
        <v>0</v>
      </c>
      <c r="QY11" s="20" t="n">
        <f aca="false">IF(BB11=1,IF(HU11=1,JG11+JJ11,BC11-PW11)*(1+Slot4_Rate),0)</f>
        <v>0</v>
      </c>
      <c r="QZ11" s="20" t="n">
        <f aca="false">IF(AND(HU11=1,BB11=1),(JF11+JJ11)/F11,0)</f>
        <v>0</v>
      </c>
      <c r="RA11" s="20" t="n">
        <f aca="false">IF(B11=0,JF11+JJ11,0)</f>
        <v>0</v>
      </c>
      <c r="RB11" s="20" t="n">
        <f aca="false">IF(B11=0,IF(HU11=1,JH11,JI11),0)</f>
        <v>0</v>
      </c>
      <c r="RC11" s="20" t="n">
        <f aca="false">IF(BL11=1,IF(HU11=1,JO11+JR11,BM11-PU11)*(1+Slot5_Rate),0)</f>
        <v>0</v>
      </c>
      <c r="RD11" s="20" t="n">
        <f aca="false">IF(AND(HU11=1,BL11=1),(JN11+JR11)/F11,0)</f>
        <v>0</v>
      </c>
      <c r="RE11" s="20" t="n">
        <f aca="false">IF(B11=0,JN11+JR11,0)</f>
        <v>0</v>
      </c>
      <c r="RF11" s="20" t="n">
        <f aca="false">IF(B11=0,IF(HU11=1,JP11,JQ11),0)</f>
        <v>0</v>
      </c>
      <c r="RG11" s="20" t="n">
        <f aca="false">IF(BV11=1,IF(HU11=1,JW11+JZ11,BW11-PS11)*(1+Slot6_Rate),0)</f>
        <v>0</v>
      </c>
      <c r="RH11" s="20" t="n">
        <f aca="false">IF(AND(HU11=1,BV11=1),(JV11+JZ11)/F11,0)</f>
        <v>0</v>
      </c>
      <c r="RI11" s="20" t="n">
        <f aca="false">IF(B11=0,JV11+JZ11,0)</f>
        <v>0</v>
      </c>
      <c r="RJ11" s="20" t="n">
        <f aca="false">IF(B11=0,IF(HU11=1,JX11,JY11),0)</f>
        <v>0</v>
      </c>
      <c r="RK11" s="20" t="n">
        <f aca="false">IF(CF11=1,IF(HU11=1,KE11+KH11,CG11-PQ11)*(1+Slot7_Rate),0)</f>
        <v>0</v>
      </c>
      <c r="RL11" s="20" t="n">
        <f aca="false">IF(AND(HU11=1,CF11=1),(KD11+KH11)/F11,0)</f>
        <v>0</v>
      </c>
      <c r="RM11" s="20" t="n">
        <f aca="false">IF(B11=0,KD11+KH11,0)</f>
        <v>0</v>
      </c>
      <c r="RN11" s="20" t="n">
        <f aca="false">IF(B11=0,IF(HU11=1,KF11,KG11),0)</f>
        <v>0</v>
      </c>
      <c r="RO11" s="20" t="n">
        <f aca="false">IF(CP11=1,IF(HU11=1,KM11+KP11,CQ11-PO11)*(1+Slot8_Rate),0)</f>
        <v>0</v>
      </c>
      <c r="RP11" s="20" t="n">
        <f aca="false">IF(AND(HU11=1,CP11=1),(KL11+KP11)/F11,0)</f>
        <v>0</v>
      </c>
      <c r="RQ11" s="20" t="n">
        <f aca="false">IF(B11=0,KL11+KP11,0)</f>
        <v>0</v>
      </c>
      <c r="RR11" s="20" t="n">
        <f aca="false">IF(B11=0,IF(HU11=1,KN11,KO11),0)</f>
        <v>0</v>
      </c>
      <c r="RS11" s="20" t="n">
        <f aca="false">IF(CZ11=1,IF(HU11=1,KU11+KX11,DA11-PM11)*(1+Slot9_Rate),0)</f>
        <v>0</v>
      </c>
      <c r="RT11" s="20" t="n">
        <f aca="false">IF(AND(HU11=1,CZ11=1),(KT11+KX11)/F11,0)</f>
        <v>0</v>
      </c>
      <c r="RU11" s="20" t="n">
        <f aca="false">IF(B11=0,KT11+KX11,0)</f>
        <v>0</v>
      </c>
      <c r="RV11" s="20" t="n">
        <f aca="false">IF(B11=0,IF(HU11=1,KV11,KW11),0)</f>
        <v>0</v>
      </c>
      <c r="RW11" s="20" t="n">
        <f aca="false">IF(DJ11=1,IF(HU11=1,LC11+LF11,DK11-PK11)*(1+Slot10_Rate),0)</f>
        <v>0</v>
      </c>
      <c r="RX11" s="20" t="n">
        <f aca="false">IF(AND(HU11=1,DJ11=1),(LB11+LF11)/F11,0)</f>
        <v>0</v>
      </c>
      <c r="RY11" s="20" t="n">
        <f aca="false">IF(B11=0,LB11+LF11,0)</f>
        <v>0</v>
      </c>
      <c r="RZ11" s="20" t="n">
        <f aca="false">IF(B11=0,IF(HU11=1,LD11,LE11),0)</f>
        <v>0</v>
      </c>
      <c r="SA11" s="20" t="n">
        <f aca="false">IF(DT11=1,IF(HU11=1,LK11+LN11,DU11-PI11)*(1+Slot11_Rate),0)</f>
        <v>0</v>
      </c>
      <c r="SB11" s="20" t="n">
        <f aca="false">IF(AND(HU11=1,DT11=1),(LJ11+LN11)/F11,0)</f>
        <v>0</v>
      </c>
      <c r="SC11" s="20" t="n">
        <f aca="false">IF(B11=0,LJ11+LN11,0)</f>
        <v>0</v>
      </c>
      <c r="SD11" s="20" t="n">
        <f aca="false">IF(B11=0,IF(HU11=1,LL11,LM11),0)</f>
        <v>0</v>
      </c>
      <c r="SE11" s="20" t="n">
        <f aca="false">IF(ED11=1,IF(HU11=1,LS11+LV11,EE11-PG11)*(1+Slot12_Rate),0)</f>
        <v>0</v>
      </c>
      <c r="SF11" s="20" t="n">
        <f aca="false">IF(AND(HU11=1,ED11=1),(LR11+LV11)/F11,0)</f>
        <v>0</v>
      </c>
      <c r="SG11" s="20" t="n">
        <f aca="false">IF(B11=0,LR11+LV11,0)</f>
        <v>0</v>
      </c>
      <c r="SH11" s="20" t="n">
        <f aca="false">IF(B11=0,IF(HU11=1,LT11,LU11),0)</f>
        <v>0</v>
      </c>
      <c r="SI11" s="20" t="n">
        <f aca="false">IF(EN11=1,IF(HU11=1,MA11+MD11,EO11-PE11)*(1+Slot13_Rate),0)</f>
        <v>0</v>
      </c>
      <c r="SJ11" s="20" t="n">
        <f aca="false">IF(AND(HU11=1,EN11=1),(LZ11+MD11)/F11,0)</f>
        <v>0</v>
      </c>
      <c r="SK11" s="20" t="n">
        <f aca="false">IF(B11=0,LZ11+MD11,0)</f>
        <v>0</v>
      </c>
      <c r="SL11" s="20" t="n">
        <f aca="false">IF(B11=0,IF(HU11=1,MB11,MC11),0)</f>
        <v>0</v>
      </c>
      <c r="SM11" s="20" t="n">
        <f aca="false">IF(EX11=1,IF(HU11=1,MI11+ML11,EY11-PC11)*(1+Slot14_Rate),0)</f>
        <v>0</v>
      </c>
      <c r="SN11" s="20" t="n">
        <f aca="false">IF(AND(HU11=1,EX11=1),(MH11+ML11)/F11,0)</f>
        <v>0</v>
      </c>
      <c r="SO11" s="20" t="n">
        <f aca="false">IF(B11=0,MH11+ML11,0)</f>
        <v>0</v>
      </c>
      <c r="SP11" s="20" t="n">
        <f aca="false">IF(B11=0,IF(HU11=1,MJ11,MK11),0)</f>
        <v>0</v>
      </c>
      <c r="SQ11" s="20" t="n">
        <f aca="false">IF(FH11=1,IF(HU11=1,MQ11+MT11,FI11-PA11)*(1+Slot15_Rate),0)</f>
        <v>0</v>
      </c>
      <c r="SR11" s="20" t="n">
        <f aca="false">IF(AND(HU11=1,FH11=1),(MP11+MT11)/F11,0)</f>
        <v>0</v>
      </c>
      <c r="SS11" s="20" t="n">
        <f aca="false">IF(B11=0,MP11+MT11,0)</f>
        <v>0</v>
      </c>
      <c r="ST11" s="20" t="n">
        <f aca="false">IF(B11=0,IF(HU11=1,MR11,MS11),0)</f>
        <v>0</v>
      </c>
      <c r="SU11" s="20" t="n">
        <f aca="false">IF(FR11=1,IF(HU11=1,MY11+NB11,FS11-OY11)*(1+Slot16_Rate),0)</f>
        <v>0</v>
      </c>
      <c r="SV11" s="20" t="n">
        <f aca="false">IF(AND(HU11=1,FR11=1),(MX11+NB11)/F11,0)</f>
        <v>0</v>
      </c>
      <c r="SW11" s="20" t="n">
        <f aca="false">IF(B11=0,MX11+NB11,0)</f>
        <v>0</v>
      </c>
      <c r="SX11" s="20" t="n">
        <f aca="false">IF(B11=0,IF(HU11=1,MZ11,NA11),0)</f>
        <v>0</v>
      </c>
      <c r="SY11" s="20" t="n">
        <f aca="false">IF(GB11=1,IF(HU11=1,NG11+NJ11,GC11-OW11)*(1+Slot17_Rate),0)</f>
        <v>0</v>
      </c>
      <c r="SZ11" s="20" t="n">
        <f aca="false">IF(AND(HU11=1,GB11=1),(NF11+NJ11)/F11,0)</f>
        <v>0</v>
      </c>
      <c r="TA11" s="20" t="n">
        <f aca="false">IF(B11=0,NF11+NJ11,0)</f>
        <v>0</v>
      </c>
      <c r="TB11" s="20" t="n">
        <f aca="false">IF(B11=0,IF(HU11=1,NH11,NI11),0)</f>
        <v>0</v>
      </c>
      <c r="TC11" s="20" t="n">
        <f aca="false">IF(GL11=1,IF(HU11=1,NO11+NR11,GM11-OU11)*(1+Slot18_Rate),0)</f>
        <v>0</v>
      </c>
      <c r="TD11" s="20" t="n">
        <f aca="false">IF(AND(HU11=1,GL11=1),(NN11+NR11)/F11,0)</f>
        <v>0</v>
      </c>
      <c r="TE11" s="20" t="n">
        <f aca="false">IF(B11=0,NN11+NR11,0)</f>
        <v>0</v>
      </c>
      <c r="TF11" s="20" t="n">
        <f aca="false">IF(B11=0,IF(HU11=1,NP11,NQ11),0)</f>
        <v>0</v>
      </c>
      <c r="TG11" s="20" t="n">
        <f aca="false">IF(GV11=1,IF(HU11=1,NW11+NZ11,GW11-OS11)*(1+Slot19_Rate),0)</f>
        <v>0</v>
      </c>
      <c r="TH11" s="20" t="n">
        <f aca="false">IF(AND(HU11=1,GV11=1),(NV11+NZ11)/F11,0)</f>
        <v>0</v>
      </c>
      <c r="TI11" s="20" t="n">
        <f aca="false">IF(B11=0,NV11+NZ11,0)</f>
        <v>0</v>
      </c>
      <c r="TJ11" s="20" t="n">
        <f aca="false">IF(B11=0,IF(HU11=1,NX11,NY11),0)</f>
        <v>0</v>
      </c>
      <c r="TK11" s="20" t="n">
        <f aca="false">IF(HF11=1,IF(HU11=1,OE11+OH11,HG11-OQ11)*(1+Slot20_Rate),0)</f>
        <v>0</v>
      </c>
      <c r="TL11" s="20" t="n">
        <f aca="false">IF(AND(HU11=1,HF11=1),(OD11+OH11)/F11,0)</f>
        <v>0</v>
      </c>
      <c r="TM11" s="20" t="n">
        <f aca="false">IF(B11=0,OD11+OH11,0)</f>
        <v>0</v>
      </c>
      <c r="TN11" s="20" t="n">
        <f aca="false">IF(B11=0,IF(HU11=1,OF11,OG11),0)</f>
        <v>0</v>
      </c>
      <c r="TO11" s="20" t="n">
        <f aca="false">QK11+QL11+QM11+QQ11+QU11+QY11+RC11+RG11+RK11+RO11+RS11+RW11+SA11+SE11+SI11+SM11+SQ11+SU11+SY11+TC11+TG11+TK11</f>
        <v>18456.5543183048</v>
      </c>
      <c r="TP11" s="20" t="n">
        <f aca="false">QE11+HP11</f>
        <v>9091.3681434668</v>
      </c>
      <c r="TQ11" s="20" t="n">
        <f aca="false">I11+S11</f>
        <v>62292.6165467148</v>
      </c>
      <c r="TR11" s="20" t="n">
        <f aca="false">1-G11</f>
        <v>0</v>
      </c>
      <c r="TS11" s="20" t="n">
        <f aca="false">IF(AND(RG_Exists=1,G11=0,C11=1),I11,0)</f>
        <v>0</v>
      </c>
      <c r="TT11" s="20" t="n">
        <f aca="false">IF(AND(RG_Exists=1,G11=0,C11=1),I11-MIN(QE11,I11),0)</f>
        <v>0</v>
      </c>
      <c r="TU11" s="20" t="n">
        <f aca="false">'Plan pay &amp; tax'!AD237</f>
        <v>113737.412145</v>
      </c>
      <c r="TV11" s="20" t="n">
        <f aca="false">IF(AND(C11=1,QE11&gt;MAX(PR_Short1,TQ11*PR_Short2)),1,0)</f>
        <v>0</v>
      </c>
      <c r="TW11" s="20" t="n">
        <f aca="false">MIN(H11,I11+S11)</f>
        <v>62292.6165467148</v>
      </c>
      <c r="TX11" s="20" t="n">
        <f aca="false">QF11+MAX(0,HQ11-HP11)</f>
        <v>3643.1278565332</v>
      </c>
      <c r="TY11" s="20" t="n">
        <f aca="false">QE11+HP11</f>
        <v>9091.3681434668</v>
      </c>
      <c r="TZ11" s="20" t="n">
        <f aca="false">IF(AND(C11=1,TY11&gt;PR_MinShort),1,0)</f>
        <v>1</v>
      </c>
      <c r="UA11" s="20" t="n">
        <f aca="false">IF(AND(C11=1,TZ11=0,TX11&gt;PR_MinShort),1,0)</f>
        <v>0</v>
      </c>
      <c r="UB11" s="20" t="n">
        <f aca="false">IF(AND(C11=1,QE11&gt;PR_MinShort),1,0)</f>
        <v>0</v>
      </c>
      <c r="UC11" s="20" t="n">
        <f aca="false">IF(AND(C11=1,QF11&gt;1,UJ11=0),1,0)</f>
        <v>0</v>
      </c>
      <c r="UD11" s="20" t="str">
        <f aca="false">IF(C11=0,"",IF(UJ11=1,"Gap to plan for: short "&amp;"€"&amp;TEXT(ROUND(TP11,0),"#,##0"),IF(QF11&gt;1,"Using savings","Comfortable")))</f>
        <v>Gap to plan for: short €9,091</v>
      </c>
      <c r="UE11" s="20" t="n">
        <f aca="false">IF(AND(INT(D11/10)*10=90,B11&gt;0),80,INT(D11/10)*10)</f>
        <v>40</v>
      </c>
      <c r="UF11" s="20" t="n">
        <f aca="false">IF(B11=0,1,IF(UE11&lt;&gt;UE10,UF10+1,UF10))</f>
        <v>2</v>
      </c>
      <c r="UG11" s="20" t="n">
        <f aca="false">IF(AND(C11=1,G11=1,QE11&gt;MAX(PR_Short1,TQ11*PR_Short2)),1,0)</f>
        <v>0</v>
      </c>
      <c r="UH11" s="20" t="n">
        <f aca="false">TR11*TV11</f>
        <v>0</v>
      </c>
      <c r="UI11" s="20" t="n">
        <f aca="false">IF(AND(V11=1,Slot1_PctLow=1),1,0)+IF(AND(AG11=1,Slot2_PctLow=1),1,0)+IF(AND(AQ11=1,Slot3_PctLow=1),1,0)+IF(AND(BA11=1,Slot4_PctLow=1),1,0)+IF(AND(BK11=1,Slot5_PctLow=1),1,0)+IF(AND(BU11=1,Slot6_PctLow=1),1,0)+IF(AND(CE11=1,Slot7_PctLow=1),1,0)+IF(AND(CO11=1,Slot8_PctLow=1),1,0)+IF(AND(CY11=1,Slot9_PctLow=1),1,0)+IF(AND(DI11=1,Slot10_PctLow=1),1,0)+IF(AND(DS11=1,Slot11_PctLow=1),1,0)+IF(AND(EC11=1,Slot12_PctLow=1),1,0)+IF(AND(EM11=1,Slot13_PctLow=1),1,0)+IF(AND(EW11=1,Slot14_PctLow=1),1,0)+IF(AND(FG11=1,Slot15_PctLow=1),1,0)+IF(AND(FQ11=1,Slot16_PctLow=1),1,0)+IF(AND(GA11=1,Slot17_PctLow=1),1,0)+IF(AND(GK11=1,Slot18_PctLow=1),1,0)+IF(AND(GU11=1,Slot19_PctLow=1),1,0)+IF(AND(HE11=1,Slot20_PctLow=1),1,0)</f>
        <v>1</v>
      </c>
      <c r="UJ11" s="20" t="n">
        <f aca="false">IF(C11=1,IF(OR(TV11=1,UI11&gt;0),1,0),0)</f>
        <v>1</v>
      </c>
    </row>
    <row r="12" customFormat="false" ht="15" hidden="false" customHeight="true" outlineLevel="0" collapsed="false">
      <c r="B12" s="20" t="n">
        <v>4</v>
      </c>
      <c r="C12" s="20" t="n">
        <f aca="false">IF(B12&lt;=F_N,1,0)</f>
        <v>1</v>
      </c>
      <c r="D12" s="20" t="n">
        <f aca="false">'Plan pay &amp; tax'!C238</f>
        <v>42</v>
      </c>
      <c r="E12" s="20" t="str">
        <f aca="false">IF($C12=1,"Income tax "&amp;TEXT(N('Plan pay &amp; tax'!BK238),"#,##0")&amp;"; USC "&amp;TEXT(N('Plan pay &amp; tax'!BM238)+N('Plan pay &amp; tax'!BO238),"#,##0")&amp;"; PRSI "&amp;TEXT(N('Plan pay &amp; tax'!BP238)+N('Plan pay &amp; tax'!BQ238),"#,##0")&amp;". DIRT and exit tax are inside the growth rates here.","")</f>
        <v>Income tax 10,601; USC 1,619; PRSI 3,910. DIRT and exit tax are inside the growth rates here.</v>
      </c>
      <c r="F12" s="44" t="n">
        <f aca="false">'Plan pay &amp; tax'!E238</f>
        <v>1.08243216</v>
      </c>
      <c r="G12" s="20" t="n">
        <f aca="false">'Plan pay &amp; tax'!G238</f>
        <v>1</v>
      </c>
      <c r="H12" s="20" t="n">
        <f aca="false">'Plan pay &amp; tax'!BT238-'Plan pay &amp; tax'!BS238-'Plan pay &amp; tax'!R238</f>
        <v>69069.7703913776</v>
      </c>
      <c r="I12" s="20" t="n">
        <f aca="false">IF(G12=1,F_CostsM*12,IF(RG_Exists=1,RG_Amount,F_CostsM*12*AS_RetireSpend))*F12+F_OneOffY*F12</f>
        <v>48709.4472</v>
      </c>
      <c r="J12" s="20" t="n">
        <f aca="false">HR11</f>
        <v>176427.322852906</v>
      </c>
      <c r="K12" s="20" t="n">
        <f aca="false">IF(J12&gt;1,'Plan debt months'!AC12,0)</f>
        <v>14160</v>
      </c>
      <c r="L12" s="20" t="n">
        <f aca="false">IF(J12&gt;1,'Plan debt months'!AB12,J12)</f>
        <v>168928.367821573</v>
      </c>
      <c r="M12" s="20" t="n">
        <f aca="false">O11</f>
        <v>0</v>
      </c>
      <c r="N12" s="20" t="n">
        <f aca="false">IF(M12&gt;1,'Plan debt months'!BD12,0)</f>
        <v>0</v>
      </c>
      <c r="O12" s="20" t="n">
        <f aca="false">IF(M12&gt;1,'Plan debt months'!BC12,M12)</f>
        <v>0</v>
      </c>
      <c r="P12" s="20" t="n">
        <f aca="false">R11</f>
        <v>0</v>
      </c>
      <c r="Q12" s="20" t="n">
        <f aca="false">IF(P12&gt;1,'Plan debt months'!CE12,0)</f>
        <v>0</v>
      </c>
      <c r="R12" s="20" t="n">
        <f aca="false">IF(P12&gt;1,'Plan debt months'!CD12,P12)</f>
        <v>0</v>
      </c>
      <c r="S12" s="20" t="n">
        <f aca="false">K12+N12+Q12</f>
        <v>14160</v>
      </c>
      <c r="T12" s="20" t="n">
        <f aca="false">QK11+'Plan pay &amp; tax'!Y238</f>
        <v>0</v>
      </c>
      <c r="U12" s="20" t="n">
        <f aca="false">QK11</f>
        <v>0</v>
      </c>
      <c r="V12" s="20" t="n">
        <f aca="false">IF(AND(Slot1_On=1,D12=Slot1_Age),1,0)</f>
        <v>0</v>
      </c>
      <c r="W12" s="20" t="n">
        <f aca="false">IF(AND(Slot1_On=1,Slot1_Age&gt;D12),1,0)</f>
        <v>0</v>
      </c>
      <c r="X12" s="20" t="n">
        <f aca="false">QM11</f>
        <v>0</v>
      </c>
      <c r="Y12" s="20" t="n">
        <f aca="false">V12*MIN(Slot1_Cost,X12)</f>
        <v>0</v>
      </c>
      <c r="Z12" s="20" t="n">
        <f aca="false">V12*Slot1_SpendLike*MIN(Slot1_Cost-Y12,T12)</f>
        <v>0</v>
      </c>
      <c r="AA12" s="20" t="n">
        <f aca="false">Y12+Z12</f>
        <v>0</v>
      </c>
      <c r="AB12" s="20" t="n">
        <f aca="false">T12-Z12+V12*IF(Slot1_SpendLike=1,X12-Y12,IF(Slot1_PotFree=1,X12,0))</f>
        <v>0</v>
      </c>
      <c r="AC12" s="20" t="n">
        <f aca="false">AF12+V12*Slot1_BufPot*X12</f>
        <v>15919.6806</v>
      </c>
      <c r="AD12" s="20" t="n">
        <f aca="false">IF(AND(V12=1,Slot1_IsMfree=1),IF(AA12&gt;=Slot1_Cost-1,0,MAX(0,L12-AA12)),L12)</f>
        <v>168928.367821573</v>
      </c>
      <c r="AE12" s="20" t="n">
        <f aca="false">V12*(Slot1_Cost-AA12)</f>
        <v>0</v>
      </c>
      <c r="AF12" s="20" t="n">
        <f aca="false">QL11</f>
        <v>15919.6806</v>
      </c>
      <c r="AG12" s="20" t="n">
        <f aca="false">IF(AND(Slot2_On=1,D12=Slot2_Age),1,0)</f>
        <v>0</v>
      </c>
      <c r="AH12" s="20" t="n">
        <f aca="false">IF(AND(Slot2_On=1,Slot2_Age&gt;D12),1,0)</f>
        <v>0</v>
      </c>
      <c r="AI12" s="20" t="n">
        <f aca="false">QQ11</f>
        <v>0</v>
      </c>
      <c r="AJ12" s="20" t="n">
        <f aca="false">AG12*MIN(Slot2_Cost,AI12)</f>
        <v>0</v>
      </c>
      <c r="AK12" s="20" t="n">
        <f aca="false">AG12*Slot2_SpendLike*MIN(Slot2_Cost-AJ12,AB12)</f>
        <v>0</v>
      </c>
      <c r="AL12" s="20" t="n">
        <f aca="false">AJ12+AK12</f>
        <v>0</v>
      </c>
      <c r="AM12" s="20" t="n">
        <f aca="false">AB12-AK12+AG12*IF(Slot2_SpendLike=1,AI12-AJ12,IF(Slot2_PotFree=1,AI12,0))</f>
        <v>0</v>
      </c>
      <c r="AN12" s="20" t="n">
        <f aca="false">AC12+AG12*Slot2_BufPot*AI12</f>
        <v>15919.6806</v>
      </c>
      <c r="AO12" s="20" t="n">
        <f aca="false">IF(AND(AG12=1,Slot2_IsMfree=1),IF(AL12&gt;=Slot2_Cost-1,0,MAX(0,AD12-AL12)),AD12)</f>
        <v>168928.367821573</v>
      </c>
      <c r="AP12" s="20" t="n">
        <f aca="false">AG12*(Slot2_Cost-AL12)</f>
        <v>0</v>
      </c>
      <c r="AQ12" s="20" t="n">
        <f aca="false">IF(AND(Slot3_On=1,D12=Slot3_Age),1,0)</f>
        <v>0</v>
      </c>
      <c r="AR12" s="20" t="n">
        <f aca="false">IF(AND(Slot3_On=1,Slot3_Age&gt;D12),1,0)</f>
        <v>1</v>
      </c>
      <c r="AS12" s="20" t="n">
        <f aca="false">QU11</f>
        <v>2536.87371830475</v>
      </c>
      <c r="AT12" s="20" t="n">
        <f aca="false">AQ12*MIN(Slot3_Cost,AS12)</f>
        <v>0</v>
      </c>
      <c r="AU12" s="20" t="n">
        <f aca="false">AQ12*Slot3_SpendLike*MIN(Slot3_Cost-AT12,AM12)</f>
        <v>0</v>
      </c>
      <c r="AV12" s="20" t="n">
        <f aca="false">AT12+AU12</f>
        <v>0</v>
      </c>
      <c r="AW12" s="20" t="n">
        <f aca="false">AM12-AU12+AQ12*IF(Slot3_SpendLike=1,AS12-AT12,IF(Slot3_PotFree=1,AS12,0))</f>
        <v>0</v>
      </c>
      <c r="AX12" s="20" t="n">
        <f aca="false">AN12+AQ12*Slot3_BufPot*AS12</f>
        <v>15919.6806</v>
      </c>
      <c r="AY12" s="20" t="n">
        <f aca="false">IF(AND(AQ12=1,Slot3_IsMfree=1),IF(AV12&gt;=Slot3_Cost-1,0,MAX(0,AO12-AV12)),AO12)</f>
        <v>168928.367821573</v>
      </c>
      <c r="AZ12" s="20" t="n">
        <f aca="false">AQ12*(Slot3_Cost-AV12)</f>
        <v>0</v>
      </c>
      <c r="BA12" s="20" t="n">
        <f aca="false">IF(AND(Slot4_On=1,D12=Slot4_Age),1,0)</f>
        <v>0</v>
      </c>
      <c r="BB12" s="20" t="n">
        <f aca="false">IF(AND(Slot4_On=1,Slot4_Age&gt;D12),1,0)</f>
        <v>1</v>
      </c>
      <c r="BC12" s="20" t="n">
        <f aca="false">QY11</f>
        <v>0</v>
      </c>
      <c r="BD12" s="20" t="n">
        <f aca="false">BA12*MIN(Slot4_Cost,BC12)</f>
        <v>0</v>
      </c>
      <c r="BE12" s="20" t="n">
        <f aca="false">BA12*Slot4_SpendLike*MIN(Slot4_Cost-BD12,AW12)</f>
        <v>0</v>
      </c>
      <c r="BF12" s="20" t="n">
        <f aca="false">BD12+BE12</f>
        <v>0</v>
      </c>
      <c r="BG12" s="20" t="n">
        <f aca="false">AW12-BE12+BA12*IF(Slot4_SpendLike=1,BC12-BD12,IF(Slot4_PotFree=1,BC12,0))</f>
        <v>0</v>
      </c>
      <c r="BH12" s="20" t="n">
        <f aca="false">AX12+BA12*Slot4_BufPot*BC12</f>
        <v>15919.6806</v>
      </c>
      <c r="BI12" s="20" t="n">
        <f aca="false">IF(AND(BA12=1,Slot4_IsMfree=1),IF(BF12&gt;=Slot4_Cost-1,0,MAX(0,AY12-BF12)),AY12)</f>
        <v>168928.367821573</v>
      </c>
      <c r="BJ12" s="20" t="n">
        <f aca="false">BA12*(Slot4_Cost-BF12)</f>
        <v>0</v>
      </c>
      <c r="BK12" s="20" t="n">
        <f aca="false">IF(AND(Slot5_On=1,D12=Slot5_Age),1,0)</f>
        <v>0</v>
      </c>
      <c r="BL12" s="20" t="n">
        <f aca="false">IF(AND(Slot5_On=1,Slot5_Age&gt;D12),1,0)</f>
        <v>0</v>
      </c>
      <c r="BM12" s="20" t="n">
        <f aca="false">RC11</f>
        <v>0</v>
      </c>
      <c r="BN12" s="20" t="n">
        <f aca="false">BK12*MIN(Slot5_Cost,BM12)</f>
        <v>0</v>
      </c>
      <c r="BO12" s="20" t="n">
        <f aca="false">BK12*Slot5_SpendLike*MIN(Slot5_Cost-BN12,BG12)</f>
        <v>0</v>
      </c>
      <c r="BP12" s="20" t="n">
        <f aca="false">BN12+BO12</f>
        <v>0</v>
      </c>
      <c r="BQ12" s="20" t="n">
        <f aca="false">BG12-BO12+BK12*IF(Slot5_SpendLike=1,BM12-BN12,IF(Slot5_PotFree=1,BM12,0))</f>
        <v>0</v>
      </c>
      <c r="BR12" s="20" t="n">
        <f aca="false">BH12+BK12*Slot5_BufPot*BM12</f>
        <v>15919.6806</v>
      </c>
      <c r="BS12" s="20" t="n">
        <f aca="false">IF(AND(BK12=1,Slot5_IsMfree=1),IF(BP12&gt;=Slot5_Cost-1,0,MAX(0,BI12-BP12)),BI12)</f>
        <v>168928.367821573</v>
      </c>
      <c r="BT12" s="20" t="n">
        <f aca="false">BK12*(Slot5_Cost-BP12)</f>
        <v>0</v>
      </c>
      <c r="BU12" s="20" t="n">
        <f aca="false">IF(AND(Slot6_On=1,D12=Slot6_Age),1,0)</f>
        <v>0</v>
      </c>
      <c r="BV12" s="20" t="n">
        <f aca="false">IF(AND(Slot6_On=1,Slot6_Age&gt;D12),1,0)</f>
        <v>0</v>
      </c>
      <c r="BW12" s="20" t="n">
        <f aca="false">RG11</f>
        <v>0</v>
      </c>
      <c r="BX12" s="20" t="n">
        <f aca="false">BU12*MIN(Slot6_Cost,BW12)</f>
        <v>0</v>
      </c>
      <c r="BY12" s="20" t="n">
        <f aca="false">BU12*Slot6_SpendLike*MIN(Slot6_Cost-BX12,BQ12)</f>
        <v>0</v>
      </c>
      <c r="BZ12" s="20" t="n">
        <f aca="false">BX12+BY12</f>
        <v>0</v>
      </c>
      <c r="CA12" s="20" t="n">
        <f aca="false">BQ12-BY12+BU12*IF(Slot6_SpendLike=1,BW12-BX12,IF(Slot6_PotFree=1,BW12,0))</f>
        <v>0</v>
      </c>
      <c r="CB12" s="20" t="n">
        <f aca="false">BR12+BU12*Slot6_BufPot*BW12</f>
        <v>15919.6806</v>
      </c>
      <c r="CC12" s="20" t="n">
        <f aca="false">IF(AND(BU12=1,Slot6_IsMfree=1),IF(BZ12&gt;=Slot6_Cost-1,0,MAX(0,BS12-BZ12)),BS12)</f>
        <v>168928.367821573</v>
      </c>
      <c r="CD12" s="20" t="n">
        <f aca="false">BU12*(Slot6_Cost-BZ12)</f>
        <v>0</v>
      </c>
      <c r="CE12" s="20" t="n">
        <f aca="false">IF(AND(Slot7_On=1,D12=Slot7_Age),1,0)</f>
        <v>0</v>
      </c>
      <c r="CF12" s="20" t="n">
        <f aca="false">IF(AND(Slot7_On=1,Slot7_Age&gt;D12),1,0)</f>
        <v>0</v>
      </c>
      <c r="CG12" s="20" t="n">
        <f aca="false">RK11</f>
        <v>0</v>
      </c>
      <c r="CH12" s="20" t="n">
        <f aca="false">CE12*MIN(Slot7_Cost,CG12)</f>
        <v>0</v>
      </c>
      <c r="CI12" s="20" t="n">
        <f aca="false">CE12*Slot7_SpendLike*MIN(Slot7_Cost-CH12,CA12)</f>
        <v>0</v>
      </c>
      <c r="CJ12" s="20" t="n">
        <f aca="false">CH12+CI12</f>
        <v>0</v>
      </c>
      <c r="CK12" s="20" t="n">
        <f aca="false">CA12-CI12+CE12*IF(Slot7_SpendLike=1,CG12-CH12,IF(Slot7_PotFree=1,CG12,0))</f>
        <v>0</v>
      </c>
      <c r="CL12" s="20" t="n">
        <f aca="false">CB12+CE12*Slot7_BufPot*CG12</f>
        <v>15919.6806</v>
      </c>
      <c r="CM12" s="20" t="n">
        <f aca="false">IF(AND(CE12=1,Slot7_IsMfree=1),IF(CJ12&gt;=Slot7_Cost-1,0,MAX(0,CC12-CJ12)),CC12)</f>
        <v>168928.367821573</v>
      </c>
      <c r="CN12" s="20" t="n">
        <f aca="false">CE12*(Slot7_Cost-CJ12)</f>
        <v>0</v>
      </c>
      <c r="CO12" s="20" t="n">
        <f aca="false">IF(AND(Slot8_On=1,D12=Slot8_Age),1,0)</f>
        <v>0</v>
      </c>
      <c r="CP12" s="20" t="n">
        <f aca="false">IF(AND(Slot8_On=1,Slot8_Age&gt;D12),1,0)</f>
        <v>0</v>
      </c>
      <c r="CQ12" s="20" t="n">
        <f aca="false">RO11</f>
        <v>0</v>
      </c>
      <c r="CR12" s="20" t="n">
        <f aca="false">CO12*MIN(Slot8_Cost,CQ12)</f>
        <v>0</v>
      </c>
      <c r="CS12" s="20" t="n">
        <f aca="false">CO12*Slot8_SpendLike*MIN(Slot8_Cost-CR12,CK12)</f>
        <v>0</v>
      </c>
      <c r="CT12" s="20" t="n">
        <f aca="false">CR12+CS12</f>
        <v>0</v>
      </c>
      <c r="CU12" s="20" t="n">
        <f aca="false">CK12-CS12+CO12*IF(Slot8_SpendLike=1,CQ12-CR12,IF(Slot8_PotFree=1,CQ12,0))</f>
        <v>0</v>
      </c>
      <c r="CV12" s="20" t="n">
        <f aca="false">CL12+CO12*Slot8_BufPot*CQ12</f>
        <v>15919.6806</v>
      </c>
      <c r="CW12" s="20" t="n">
        <f aca="false">IF(AND(CO12=1,Slot8_IsMfree=1),IF(CT12&gt;=Slot8_Cost-1,0,MAX(0,CM12-CT12)),CM12)</f>
        <v>168928.367821573</v>
      </c>
      <c r="CX12" s="20" t="n">
        <f aca="false">CO12*(Slot8_Cost-CT12)</f>
        <v>0</v>
      </c>
      <c r="CY12" s="20" t="n">
        <f aca="false">IF(AND(Slot9_On=1,D12=Slot9_Age),1,0)</f>
        <v>0</v>
      </c>
      <c r="CZ12" s="20" t="n">
        <f aca="false">IF(AND(Slot9_On=1,Slot9_Age&gt;D12),1,0)</f>
        <v>0</v>
      </c>
      <c r="DA12" s="20" t="n">
        <f aca="false">RS11</f>
        <v>0</v>
      </c>
      <c r="DB12" s="20" t="n">
        <f aca="false">CY12*MIN(Slot9_Cost,DA12)</f>
        <v>0</v>
      </c>
      <c r="DC12" s="20" t="n">
        <f aca="false">CY12*Slot9_SpendLike*MIN(Slot9_Cost-DB12,CU12)</f>
        <v>0</v>
      </c>
      <c r="DD12" s="20" t="n">
        <f aca="false">DB12+DC12</f>
        <v>0</v>
      </c>
      <c r="DE12" s="20" t="n">
        <f aca="false">CU12-DC12+CY12*IF(Slot9_SpendLike=1,DA12-DB12,IF(Slot9_PotFree=1,DA12,0))</f>
        <v>0</v>
      </c>
      <c r="DF12" s="20" t="n">
        <f aca="false">CV12+CY12*Slot9_BufPot*DA12</f>
        <v>15919.6806</v>
      </c>
      <c r="DG12" s="20" t="n">
        <f aca="false">IF(AND(CY12=1,Slot9_IsMfree=1),IF(DD12&gt;=Slot9_Cost-1,0,MAX(0,CW12-DD12)),CW12)</f>
        <v>168928.367821573</v>
      </c>
      <c r="DH12" s="20" t="n">
        <f aca="false">CY12*(Slot9_Cost-DD12)</f>
        <v>0</v>
      </c>
      <c r="DI12" s="20" t="n">
        <f aca="false">IF(AND(Slot10_On=1,D12=Slot10_Age),1,0)</f>
        <v>0</v>
      </c>
      <c r="DJ12" s="20" t="n">
        <f aca="false">IF(AND(Slot10_On=1,Slot10_Age&gt;D12),1,0)</f>
        <v>0</v>
      </c>
      <c r="DK12" s="20" t="n">
        <f aca="false">RW11</f>
        <v>0</v>
      </c>
      <c r="DL12" s="20" t="n">
        <f aca="false">DI12*MIN(Slot10_Cost,DK12)</f>
        <v>0</v>
      </c>
      <c r="DM12" s="20" t="n">
        <f aca="false">DI12*Slot10_SpendLike*MIN(Slot10_Cost-DL12,DE12)</f>
        <v>0</v>
      </c>
      <c r="DN12" s="20" t="n">
        <f aca="false">DL12+DM12</f>
        <v>0</v>
      </c>
      <c r="DO12" s="20" t="n">
        <f aca="false">DE12-DM12+DI12*IF(Slot10_SpendLike=1,DK12-DL12,IF(Slot10_PotFree=1,DK12,0))</f>
        <v>0</v>
      </c>
      <c r="DP12" s="20" t="n">
        <f aca="false">DF12+DI12*Slot10_BufPot*DK12</f>
        <v>15919.6806</v>
      </c>
      <c r="DQ12" s="20" t="n">
        <f aca="false">IF(AND(DI12=1,Slot10_IsMfree=1),IF(DN12&gt;=Slot10_Cost-1,0,MAX(0,DG12-DN12)),DG12)</f>
        <v>168928.367821573</v>
      </c>
      <c r="DR12" s="20" t="n">
        <f aca="false">DI12*(Slot10_Cost-DN12)</f>
        <v>0</v>
      </c>
      <c r="DS12" s="20" t="n">
        <f aca="false">IF(AND(Slot11_On=1,D12=Slot11_Age),1,0)</f>
        <v>0</v>
      </c>
      <c r="DT12" s="20" t="n">
        <f aca="false">IF(AND(Slot11_On=1,Slot11_Age&gt;D12),1,0)</f>
        <v>0</v>
      </c>
      <c r="DU12" s="20" t="n">
        <f aca="false">SA11</f>
        <v>0</v>
      </c>
      <c r="DV12" s="20" t="n">
        <f aca="false">DS12*MIN(Slot11_Cost,DU12)</f>
        <v>0</v>
      </c>
      <c r="DW12" s="20" t="n">
        <f aca="false">DS12*Slot11_SpendLike*MIN(Slot11_Cost-DV12,DO12)</f>
        <v>0</v>
      </c>
      <c r="DX12" s="20" t="n">
        <f aca="false">DV12+DW12</f>
        <v>0</v>
      </c>
      <c r="DY12" s="20" t="n">
        <f aca="false">DO12-DW12+DS12*IF(Slot11_SpendLike=1,DU12-DV12,IF(Slot11_PotFree=1,DU12,0))</f>
        <v>0</v>
      </c>
      <c r="DZ12" s="20" t="n">
        <f aca="false">DP12+DS12*Slot11_BufPot*DU12</f>
        <v>15919.6806</v>
      </c>
      <c r="EA12" s="20" t="n">
        <f aca="false">IF(AND(DS12=1,Slot11_IsMfree=1),IF(DX12&gt;=Slot11_Cost-1,0,MAX(0,DQ12-DX12)),DQ12)</f>
        <v>168928.367821573</v>
      </c>
      <c r="EB12" s="20" t="n">
        <f aca="false">DS12*(Slot11_Cost-DX12)</f>
        <v>0</v>
      </c>
      <c r="EC12" s="20" t="n">
        <f aca="false">IF(AND(Slot12_On=1,D12=Slot12_Age),1,0)</f>
        <v>0</v>
      </c>
      <c r="ED12" s="20" t="n">
        <f aca="false">IF(AND(Slot12_On=1,Slot12_Age&gt;D12),1,0)</f>
        <v>0</v>
      </c>
      <c r="EE12" s="20" t="n">
        <f aca="false">SE11</f>
        <v>0</v>
      </c>
      <c r="EF12" s="20" t="n">
        <f aca="false">EC12*MIN(Slot12_Cost,EE12)</f>
        <v>0</v>
      </c>
      <c r="EG12" s="20" t="n">
        <f aca="false">EC12*Slot12_SpendLike*MIN(Slot12_Cost-EF12,DY12)</f>
        <v>0</v>
      </c>
      <c r="EH12" s="20" t="n">
        <f aca="false">EF12+EG12</f>
        <v>0</v>
      </c>
      <c r="EI12" s="20" t="n">
        <f aca="false">DY12-EG12+EC12*IF(Slot12_SpendLike=1,EE12-EF12,IF(Slot12_PotFree=1,EE12,0))</f>
        <v>0</v>
      </c>
      <c r="EJ12" s="20" t="n">
        <f aca="false">DZ12+EC12*Slot12_BufPot*EE12</f>
        <v>15919.6806</v>
      </c>
      <c r="EK12" s="20" t="n">
        <f aca="false">IF(AND(EC12=1,Slot12_IsMfree=1),IF(EH12&gt;=Slot12_Cost-1,0,MAX(0,EA12-EH12)),EA12)</f>
        <v>168928.367821573</v>
      </c>
      <c r="EL12" s="20" t="n">
        <f aca="false">EC12*(Slot12_Cost-EH12)</f>
        <v>0</v>
      </c>
      <c r="EM12" s="20" t="n">
        <f aca="false">IF(AND(Slot13_On=1,D12=Slot13_Age),1,0)</f>
        <v>0</v>
      </c>
      <c r="EN12" s="20" t="n">
        <f aca="false">IF(AND(Slot13_On=1,Slot13_Age&gt;D12),1,0)</f>
        <v>0</v>
      </c>
      <c r="EO12" s="20" t="n">
        <f aca="false">SI11</f>
        <v>0</v>
      </c>
      <c r="EP12" s="20" t="n">
        <f aca="false">EM12*MIN(Slot13_Cost,EO12)</f>
        <v>0</v>
      </c>
      <c r="EQ12" s="20" t="n">
        <f aca="false">EM12*Slot13_SpendLike*MIN(Slot13_Cost-EP12,EI12)</f>
        <v>0</v>
      </c>
      <c r="ER12" s="20" t="n">
        <f aca="false">EP12+EQ12</f>
        <v>0</v>
      </c>
      <c r="ES12" s="20" t="n">
        <f aca="false">EI12-EQ12+EM12*IF(Slot13_SpendLike=1,EO12-EP12,IF(Slot13_PotFree=1,EO12,0))</f>
        <v>0</v>
      </c>
      <c r="ET12" s="20" t="n">
        <f aca="false">EJ12+EM12*Slot13_BufPot*EO12</f>
        <v>15919.6806</v>
      </c>
      <c r="EU12" s="20" t="n">
        <f aca="false">IF(AND(EM12=1,Slot13_IsMfree=1),IF(ER12&gt;=Slot13_Cost-1,0,MAX(0,EK12-ER12)),EK12)</f>
        <v>168928.367821573</v>
      </c>
      <c r="EV12" s="20" t="n">
        <f aca="false">EM12*(Slot13_Cost-ER12)</f>
        <v>0</v>
      </c>
      <c r="EW12" s="20" t="n">
        <f aca="false">IF(AND(Slot14_On=1,D12=Slot14_Age),1,0)</f>
        <v>0</v>
      </c>
      <c r="EX12" s="20" t="n">
        <f aca="false">IF(AND(Slot14_On=1,Slot14_Age&gt;D12),1,0)</f>
        <v>0</v>
      </c>
      <c r="EY12" s="20" t="n">
        <f aca="false">SM11</f>
        <v>0</v>
      </c>
      <c r="EZ12" s="20" t="n">
        <f aca="false">EW12*MIN(Slot14_Cost,EY12)</f>
        <v>0</v>
      </c>
      <c r="FA12" s="20" t="n">
        <f aca="false">EW12*Slot14_SpendLike*MIN(Slot14_Cost-EZ12,ES12)</f>
        <v>0</v>
      </c>
      <c r="FB12" s="20" t="n">
        <f aca="false">EZ12+FA12</f>
        <v>0</v>
      </c>
      <c r="FC12" s="20" t="n">
        <f aca="false">ES12-FA12+EW12*IF(Slot14_SpendLike=1,EY12-EZ12,IF(Slot14_PotFree=1,EY12,0))</f>
        <v>0</v>
      </c>
      <c r="FD12" s="20" t="n">
        <f aca="false">ET12+EW12*Slot14_BufPot*EY12</f>
        <v>15919.6806</v>
      </c>
      <c r="FE12" s="20" t="n">
        <f aca="false">IF(AND(EW12=1,Slot14_IsMfree=1),IF(FB12&gt;=Slot14_Cost-1,0,MAX(0,EU12-FB12)),EU12)</f>
        <v>168928.367821573</v>
      </c>
      <c r="FF12" s="20" t="n">
        <f aca="false">EW12*(Slot14_Cost-FB12)</f>
        <v>0</v>
      </c>
      <c r="FG12" s="20" t="n">
        <f aca="false">IF(AND(Slot15_On=1,D12=Slot15_Age),1,0)</f>
        <v>0</v>
      </c>
      <c r="FH12" s="20" t="n">
        <f aca="false">IF(AND(Slot15_On=1,Slot15_Age&gt;D12),1,0)</f>
        <v>0</v>
      </c>
      <c r="FI12" s="20" t="n">
        <f aca="false">SQ11</f>
        <v>0</v>
      </c>
      <c r="FJ12" s="20" t="n">
        <f aca="false">FG12*MIN(Slot15_Cost,FI12)</f>
        <v>0</v>
      </c>
      <c r="FK12" s="20" t="n">
        <f aca="false">FG12*Slot15_SpendLike*MIN(Slot15_Cost-FJ12,FC12)</f>
        <v>0</v>
      </c>
      <c r="FL12" s="20" t="n">
        <f aca="false">FJ12+FK12</f>
        <v>0</v>
      </c>
      <c r="FM12" s="20" t="n">
        <f aca="false">FC12-FK12+FG12*IF(Slot15_SpendLike=1,FI12-FJ12,IF(Slot15_PotFree=1,FI12,0))</f>
        <v>0</v>
      </c>
      <c r="FN12" s="20" t="n">
        <f aca="false">FD12+FG12*Slot15_BufPot*FI12</f>
        <v>15919.6806</v>
      </c>
      <c r="FO12" s="20" t="n">
        <f aca="false">IF(AND(FG12=1,Slot15_IsMfree=1),IF(FL12&gt;=Slot15_Cost-1,0,MAX(0,FE12-FL12)),FE12)</f>
        <v>168928.367821573</v>
      </c>
      <c r="FP12" s="20" t="n">
        <f aca="false">FG12*(Slot15_Cost-FL12)</f>
        <v>0</v>
      </c>
      <c r="FQ12" s="20" t="n">
        <f aca="false">IF(AND(Slot16_On=1,D12=Slot16_Age),1,0)</f>
        <v>0</v>
      </c>
      <c r="FR12" s="20" t="n">
        <f aca="false">IF(AND(Slot16_On=1,Slot16_Age&gt;D12),1,0)</f>
        <v>0</v>
      </c>
      <c r="FS12" s="20" t="n">
        <f aca="false">SU11</f>
        <v>0</v>
      </c>
      <c r="FT12" s="20" t="n">
        <f aca="false">FQ12*MIN(Slot16_Cost,FS12)</f>
        <v>0</v>
      </c>
      <c r="FU12" s="20" t="n">
        <f aca="false">FQ12*Slot16_SpendLike*MIN(Slot16_Cost-FT12,FM12)</f>
        <v>0</v>
      </c>
      <c r="FV12" s="20" t="n">
        <f aca="false">FT12+FU12</f>
        <v>0</v>
      </c>
      <c r="FW12" s="20" t="n">
        <f aca="false">FM12-FU12+FQ12*IF(Slot16_SpendLike=1,FS12-FT12,IF(Slot16_PotFree=1,FS12,0))</f>
        <v>0</v>
      </c>
      <c r="FX12" s="20" t="n">
        <f aca="false">FN12+FQ12*Slot16_BufPot*FS12</f>
        <v>15919.6806</v>
      </c>
      <c r="FY12" s="20" t="n">
        <f aca="false">IF(AND(FQ12=1,Slot16_IsMfree=1),IF(FV12&gt;=Slot16_Cost-1,0,MAX(0,FO12-FV12)),FO12)</f>
        <v>168928.367821573</v>
      </c>
      <c r="FZ12" s="20" t="n">
        <f aca="false">FQ12*(Slot16_Cost-FV12)</f>
        <v>0</v>
      </c>
      <c r="GA12" s="20" t="n">
        <f aca="false">IF(AND(Slot17_On=1,D12=Slot17_Age),1,0)</f>
        <v>0</v>
      </c>
      <c r="GB12" s="20" t="n">
        <f aca="false">IF(AND(Slot17_On=1,Slot17_Age&gt;D12),1,0)</f>
        <v>0</v>
      </c>
      <c r="GC12" s="20" t="n">
        <f aca="false">SY11</f>
        <v>0</v>
      </c>
      <c r="GD12" s="20" t="n">
        <f aca="false">GA12*MIN(Slot17_Cost,GC12)</f>
        <v>0</v>
      </c>
      <c r="GE12" s="20" t="n">
        <f aca="false">GA12*Slot17_SpendLike*MIN(Slot17_Cost-GD12,FW12)</f>
        <v>0</v>
      </c>
      <c r="GF12" s="20" t="n">
        <f aca="false">GD12+GE12</f>
        <v>0</v>
      </c>
      <c r="GG12" s="20" t="n">
        <f aca="false">FW12-GE12+GA12*IF(Slot17_SpendLike=1,GC12-GD12,IF(Slot17_PotFree=1,GC12,0))</f>
        <v>0</v>
      </c>
      <c r="GH12" s="20" t="n">
        <f aca="false">FX12+GA12*Slot17_BufPot*GC12</f>
        <v>15919.6806</v>
      </c>
      <c r="GI12" s="20" t="n">
        <f aca="false">IF(AND(GA12=1,Slot17_IsMfree=1),IF(GF12&gt;=Slot17_Cost-1,0,MAX(0,FY12-GF12)),FY12)</f>
        <v>168928.367821573</v>
      </c>
      <c r="GJ12" s="20" t="n">
        <f aca="false">GA12*(Slot17_Cost-GF12)</f>
        <v>0</v>
      </c>
      <c r="GK12" s="20" t="n">
        <f aca="false">IF(AND(Slot18_On=1,D12=Slot18_Age),1,0)</f>
        <v>0</v>
      </c>
      <c r="GL12" s="20" t="n">
        <f aca="false">IF(AND(Slot18_On=1,Slot18_Age&gt;D12),1,0)</f>
        <v>0</v>
      </c>
      <c r="GM12" s="20" t="n">
        <f aca="false">TC11</f>
        <v>0</v>
      </c>
      <c r="GN12" s="20" t="n">
        <f aca="false">GK12*MIN(Slot18_Cost,GM12)</f>
        <v>0</v>
      </c>
      <c r="GO12" s="20" t="n">
        <f aca="false">GK12*Slot18_SpendLike*MIN(Slot18_Cost-GN12,GG12)</f>
        <v>0</v>
      </c>
      <c r="GP12" s="20" t="n">
        <f aca="false">GN12+GO12</f>
        <v>0</v>
      </c>
      <c r="GQ12" s="20" t="n">
        <f aca="false">GG12-GO12+GK12*IF(Slot18_SpendLike=1,GM12-GN12,IF(Slot18_PotFree=1,GM12,0))</f>
        <v>0</v>
      </c>
      <c r="GR12" s="20" t="n">
        <f aca="false">GH12+GK12*Slot18_BufPot*GM12</f>
        <v>15919.6806</v>
      </c>
      <c r="GS12" s="20" t="n">
        <f aca="false">IF(AND(GK12=1,Slot18_IsMfree=1),IF(GP12&gt;=Slot18_Cost-1,0,MAX(0,GI12-GP12)),GI12)</f>
        <v>168928.367821573</v>
      </c>
      <c r="GT12" s="20" t="n">
        <f aca="false">GK12*(Slot18_Cost-GP12)</f>
        <v>0</v>
      </c>
      <c r="GU12" s="20" t="n">
        <f aca="false">IF(AND(Slot19_On=1,D12=Slot19_Age),1,0)</f>
        <v>0</v>
      </c>
      <c r="GV12" s="20" t="n">
        <f aca="false">IF(AND(Slot19_On=1,Slot19_Age&gt;D12),1,0)</f>
        <v>0</v>
      </c>
      <c r="GW12" s="20" t="n">
        <f aca="false">TG11</f>
        <v>0</v>
      </c>
      <c r="GX12" s="20" t="n">
        <f aca="false">GU12*MIN(Slot19_Cost,GW12)</f>
        <v>0</v>
      </c>
      <c r="GY12" s="20" t="n">
        <f aca="false">GU12*Slot19_SpendLike*MIN(Slot19_Cost-GX12,GQ12)</f>
        <v>0</v>
      </c>
      <c r="GZ12" s="20" t="n">
        <f aca="false">GX12+GY12</f>
        <v>0</v>
      </c>
      <c r="HA12" s="20" t="n">
        <f aca="false">GQ12-GY12+GU12*IF(Slot19_SpendLike=1,GW12-GX12,IF(Slot19_PotFree=1,GW12,0))</f>
        <v>0</v>
      </c>
      <c r="HB12" s="20" t="n">
        <f aca="false">GR12+GU12*Slot19_BufPot*GW12</f>
        <v>15919.6806</v>
      </c>
      <c r="HC12" s="20" t="n">
        <f aca="false">IF(AND(GU12=1,Slot19_IsMfree=1),IF(GZ12&gt;=Slot19_Cost-1,0,MAX(0,GS12-GZ12)),GS12)</f>
        <v>168928.367821573</v>
      </c>
      <c r="HD12" s="20" t="n">
        <f aca="false">GU12*(Slot19_Cost-GZ12)</f>
        <v>0</v>
      </c>
      <c r="HE12" s="20" t="n">
        <f aca="false">IF(AND(Slot20_On=1,D12=Slot20_Age),1,0)</f>
        <v>0</v>
      </c>
      <c r="HF12" s="20" t="n">
        <f aca="false">IF(AND(Slot20_On=1,Slot20_Age&gt;D12),1,0)</f>
        <v>0</v>
      </c>
      <c r="HG12" s="20" t="n">
        <f aca="false">TK11</f>
        <v>0</v>
      </c>
      <c r="HH12" s="20" t="n">
        <f aca="false">HE12*MIN(Slot20_Cost,HG12)</f>
        <v>0</v>
      </c>
      <c r="HI12" s="20" t="n">
        <f aca="false">HE12*Slot20_SpendLike*MIN(Slot20_Cost-HH12,HA12)</f>
        <v>0</v>
      </c>
      <c r="HJ12" s="20" t="n">
        <f aca="false">HH12+HI12</f>
        <v>0</v>
      </c>
      <c r="HK12" s="20" t="n">
        <f aca="false">HA12-HI12+HE12*IF(Slot20_SpendLike=1,HG12-HH12,IF(Slot20_PotFree=1,HG12,0))</f>
        <v>0</v>
      </c>
      <c r="HL12" s="20" t="n">
        <f aca="false">HB12+HE12*Slot20_BufPot*HG12</f>
        <v>15919.6806</v>
      </c>
      <c r="HM12" s="20" t="n">
        <f aca="false">IF(AND(HE12=1,Slot20_IsMfree=1),IF(HJ12&gt;=Slot20_Cost-1,0,MAX(0,HC12-HJ12)),HC12)</f>
        <v>168928.367821573</v>
      </c>
      <c r="HN12" s="20" t="n">
        <f aca="false">HE12*(Slot20_Cost-HJ12)</f>
        <v>0</v>
      </c>
      <c r="HO12" s="20" t="n">
        <f aca="false">V12*Slot1_SpendLike*AA12+AG12*Slot2_SpendLike*AL12+AQ12*Slot3_SpendLike*AV12+BA12*Slot4_SpendLike*BF12+BK12*Slot5_SpendLike*BP12+BU12*Slot6_SpendLike*BZ12+CE12*Slot7_SpendLike*CJ12+CO12*Slot8_SpendLike*CT12+CY12*Slot9_SpendLike*DD12+DI12*Slot10_SpendLike*DN12+DS12*Slot11_SpendLike*DX12+EC12*Slot12_SpendLike*EH12+EM12*Slot13_SpendLike*ER12+EW12*Slot14_SpendLike*FB12+FG12*Slot15_SpendLike*FL12+FQ12*Slot16_SpendLike*FV12+GA12*Slot17_SpendLike*GF12+GK12*Slot18_SpendLike*GP12+GU12*Slot19_SpendLike*GZ12+HE12*Slot20_SpendLike*HJ12</f>
        <v>0</v>
      </c>
      <c r="HP12" s="20" t="n">
        <f aca="false">AE12+AP12+AZ12+BJ12+BT12+CD12+CN12+CX12+DH12+DR12+EB12+EL12+EV12+FF12+FP12+FZ12+GJ12+GT12+HD12+HN12</f>
        <v>0</v>
      </c>
      <c r="HQ12" s="20" t="n">
        <f aca="false">V12*Slot1_Cost+AG12*Slot2_Cost+AQ12*Slot3_Cost+BA12*Slot4_Cost+BK12*Slot5_Cost+BU12*Slot6_Cost+CE12*Slot7_Cost+CO12*Slot8_Cost+CY12*Slot9_Cost+DI12*Slot10_Cost+DS12*Slot11_Cost+EC12*Slot12_Cost+EM12*Slot13_Cost+EW12*Slot14_Cost+FG12*Slot15_Cost+FQ12*Slot16_Cost+GA12*Slot17_Cost+GK12*Slot18_Cost+GU12*Slot19_Cost+HE12*Slot20_Cost</f>
        <v>0</v>
      </c>
      <c r="HR12" s="20" t="n">
        <f aca="false">HM12</f>
        <v>168928.367821573</v>
      </c>
      <c r="HS12" s="20" t="n">
        <f aca="false">H12-I12-S12</f>
        <v>6200.3231913776</v>
      </c>
      <c r="HT12" s="20" t="n">
        <f aca="false">IF(B12=0,IF(AND(Has_q6=1,In_q6=4),PR_ShareVaries*(MAX(0,HS12)/12),MIN(IF(Has_q6=1,CHOOSE(In_q6+1,PR_SaveB1,PR_SaveB2,PR_SaveB3,PR_SaveB4,0),AS_NoAnswer),AS_SaveShare*(MAX(0,HS12)/12))),HT11)</f>
        <v>62.3316893520437</v>
      </c>
      <c r="HU12" s="20" t="n">
        <f aca="false">IF(HS12&gt;=0,1,0)</f>
        <v>1</v>
      </c>
      <c r="HV12" s="20" t="n">
        <f aca="false">MAX(0,HS12/12/F12)</f>
        <v>477.34501835336</v>
      </c>
      <c r="HW12" s="20" t="n">
        <f aca="false">IF(AND(Has_q6=1,In_q6=4),PR_ShareVaries*(HV12),MIN(IF(Has_q6=1,CHOOSE(In_q6+1,PR_SaveB1,PR_SaveB2,PR_SaveB3,PR_SaveB4,0),AS_NoAnswer),AS_SaveShare*(HV12)))</f>
        <v>238.67250917668</v>
      </c>
      <c r="HX12" s="20" t="n">
        <f aca="false">IF(Has_saveM=1,IF(In_saveUp="Yes",1,IF(In_saveUp="No",0,IF(In_saveM&gt;=HT12-0.5,1,0))),0)</f>
        <v>0</v>
      </c>
      <c r="HY12" s="20" t="n">
        <f aca="false">IF(Has_saveM=1,MIN(HV12,IF(HX12=1,MAX(In_saveM,HW12),MIN(In_saveM,HW12))),HW12)</f>
        <v>238.67250917668</v>
      </c>
      <c r="HZ12" s="20" t="n">
        <f aca="false">IF(G12=1,HY12*12*F12,0)</f>
        <v>3100.1615956888</v>
      </c>
      <c r="IA12" s="20" t="n">
        <f aca="false">MAX(0,HZ12+IF(AND(WI_Retire=0,WI_M&lt;0,G12=1),WI_M*12*F12,0))</f>
        <v>3100.1615956888</v>
      </c>
      <c r="IB12" s="20" t="n">
        <f aca="false">Slot1_IsWG*W12+Slot2_IsWG*AH12+Slot3_IsWG*AR12+Slot4_IsWG*BB12+Slot5_IsWG*BL12+Slot6_IsWG*BV12+Slot7_IsWG*CF12+Slot8_IsWG*CP12+Slot9_IsWG*CZ12+Slot10_IsWG*DJ12+Slot11_IsWG*DT12+Slot12_IsWG*ED12+Slot13_IsWG*EN12+Slot14_IsWG*EX12+Slot15_IsWG*FH12+Slot16_IsWG*FR12+Slot17_IsWG*GB12+Slot18_IsWG*GL12+Slot19_IsWG*GV12+Slot20_IsWG*HF12</f>
        <v>0</v>
      </c>
      <c r="IC12" s="20" t="n">
        <f aca="false">IF(AND(WI_Retire=0,WI_M&gt;0,G12=1,IB12&gt;=1),WI_M*12*F12,0)</f>
        <v>0</v>
      </c>
      <c r="ID12" s="20" t="n">
        <f aca="false">IF(HU12=1,MIN(IA12,HS12),0)</f>
        <v>3100.1615956888</v>
      </c>
      <c r="IE12" s="20" t="n">
        <f aca="false">IF(HU12=1,MIN(IC12,HS12-ID12),0)</f>
        <v>0</v>
      </c>
      <c r="IF12" s="20" t="n">
        <f aca="false">IF(W12=1,IF(ABS((1+AS_Wage)/(1+Slot1_Rate)-1)&lt;0.000000000001,(Slot1_Age-D12)*(1+Slot1_Rate)^(Slot1_Age-D12),(1+Slot1_Rate)^(Slot1_Age-D12)*(1-((1+AS_Wage)/(1+Slot1_Rate))^(Slot1_Age-D12))/(1-(1+AS_Wage)/(1+Slot1_Rate))),1)</f>
        <v>1</v>
      </c>
      <c r="IG12" s="20" t="n">
        <f aca="false">IF(AND(HU12=1,IE12&gt;0,Slot1_IsWG=1,W12=1),MAX(0,(Slot1_Cost-X12*(1+Slot1_Rate)^(Slot1_Age-D12))/IF12),0)</f>
        <v>0</v>
      </c>
      <c r="IH12" s="20" t="n">
        <f aca="false">IF(AND(HU12=1,IE12&gt;0,Slot1_IsWG=1,W12=1),MIN(IE12,IG12),0)</f>
        <v>0</v>
      </c>
      <c r="II12" s="20" t="n">
        <f aca="false">X12+IH12</f>
        <v>0</v>
      </c>
      <c r="IJ12" s="20" t="n">
        <f aca="false">IF(W12=1,MAX(0,(Slot1_Cost-II12*(1+Slot1_Rate)^(Slot1_Age-D12))/IF12),0)</f>
        <v>0</v>
      </c>
      <c r="IK12" s="20" t="n">
        <f aca="false">IF(W12=1,MAX(0,(Slot1_Cost-X12*(1+Slot1_Rate)^(Slot1_Age-D12))/IF12),0)</f>
        <v>0</v>
      </c>
      <c r="IL12" s="20" t="n">
        <f aca="false">IF(AND(HU12=1,W12=1),MIN(ID12,IJ12),0)</f>
        <v>0</v>
      </c>
      <c r="IM12" s="20" t="n">
        <f aca="false">ID12-IL12</f>
        <v>3100.1615956888</v>
      </c>
      <c r="IN12" s="20" t="n">
        <f aca="false">IF(AH12=1,IF(ABS((1+AS_Wage)/(1+Slot2_Rate)-1)&lt;0.000000000001,(Slot2_Age-D12)*(1+Slot2_Rate)^(Slot2_Age-D12),(1+Slot2_Rate)^(Slot2_Age-D12)*(1-((1+AS_Wage)/(1+Slot2_Rate))^(Slot2_Age-D12))/(1-(1+AS_Wage)/(1+Slot2_Rate))),1)</f>
        <v>1</v>
      </c>
      <c r="IO12" s="20" t="n">
        <f aca="false">IF(AND(HU12=1,IE12&gt;0,Slot2_IsWG=1,AH12=1),MAX(0,(Slot2_Cost-AI12*(1+Slot2_Rate)^(Slot2_Age-D12))/IN12),0)</f>
        <v>0</v>
      </c>
      <c r="IP12" s="20" t="n">
        <f aca="false">IF(AND(HU12=1,IE12&gt;0,Slot2_IsWG=1,AH12=1),MIN(IE12,IO12),0)</f>
        <v>0</v>
      </c>
      <c r="IQ12" s="20" t="n">
        <f aca="false">AI12+IP12</f>
        <v>0</v>
      </c>
      <c r="IR12" s="20" t="n">
        <f aca="false">IF(AH12=1,MAX(0,(Slot2_Cost-IQ12*(1+Slot2_Rate)^(Slot2_Age-D12))/IN12),0)</f>
        <v>0</v>
      </c>
      <c r="IS12" s="20" t="n">
        <f aca="false">IF(AH12=1,MAX(0,(Slot2_Cost-AI12*(1+Slot2_Rate)^(Slot2_Age-D12))/IN12),0)</f>
        <v>0</v>
      </c>
      <c r="IT12" s="20" t="n">
        <f aca="false">IF(AND(HU12=1,AH12=1),MIN(IM12,IR12),0)</f>
        <v>0</v>
      </c>
      <c r="IU12" s="20" t="n">
        <f aca="false">IM12-IT12</f>
        <v>3100.1615956888</v>
      </c>
      <c r="IV12" s="20" t="n">
        <f aca="false">IF(AR12=1,IF(ABS((1+AS_Wage)/(1+Slot3_Rate)-1)&lt;0.000000000001,(Slot3_Age-D12)*(1+Slot3_Rate)^(Slot3_Age-D12),(1+Slot3_Rate)^(Slot3_Age-D12)*(1-((1+AS_Wage)/(1+Slot3_Rate))^(Slot3_Age-D12))/(1-(1+AS_Wage)/(1+Slot3_Rate))),1)</f>
        <v>7.06756259985395</v>
      </c>
      <c r="IW12" s="20" t="n">
        <f aca="false">IF(AND(HU12=1,IE12&gt;0,Slot3_IsWG=1,AR12=1),MAX(0,(Slot3_Cost-AS12*(1+Slot3_Rate)^(Slot3_Age-D12))/IV12),0)</f>
        <v>0</v>
      </c>
      <c r="IX12" s="20" t="n">
        <f aca="false">IF(AND(HU12=1,IE12&gt;0,Slot3_IsWG=1,AR12=1),MIN(IE12,IW12),0)</f>
        <v>0</v>
      </c>
      <c r="IY12" s="20" t="n">
        <f aca="false">AS12+IX12</f>
        <v>2536.87371830475</v>
      </c>
      <c r="IZ12" s="20" t="n">
        <f aca="false">IF(AR12=1,MAX(0,(Slot3_Cost-IY12*(1+Slot3_Rate)^(Slot3_Age-D12))/IV12),0)</f>
        <v>8205.15714289306</v>
      </c>
      <c r="JA12" s="20" t="n">
        <f aca="false">IF(AR12=1,MAX(0,(Slot3_Cost-AS12*(1+Slot3_Rate)^(Slot3_Age-D12))/IV12),0)</f>
        <v>8205.15714289306</v>
      </c>
      <c r="JB12" s="20" t="n">
        <f aca="false">IF(AND(HU12=1,AR12=1),MIN(IU12,IZ12),0)</f>
        <v>3100.1615956888</v>
      </c>
      <c r="JC12" s="20" t="n">
        <f aca="false">IU12-JB12</f>
        <v>0</v>
      </c>
      <c r="JD12" s="20" t="n">
        <f aca="false">IF(BB12=1,IF(ABS((1+AS_Wage)/(1+Slot4_Rate)-1)&lt;0.000000000001,(Slot4_Age-D12)*(1+Slot4_Rate)^(Slot4_Age-D12),(1+Slot4_Rate)^(Slot4_Age-D12)*(1-((1+AS_Wage)/(1+Slot4_Rate))^(Slot4_Age-D12))/(1-(1+AS_Wage)/(1+Slot4_Rate))),1)</f>
        <v>18.5799376582963</v>
      </c>
      <c r="JE12" s="20" t="n">
        <f aca="false">IF(AND(HU12=1,IE12&gt;0,Slot4_IsWG=1,BB12=1),MAX(0,(Slot4_Cost-BC12*(1+Slot4_Rate)^(Slot4_Age-D12))/JD12),0)</f>
        <v>0</v>
      </c>
      <c r="JF12" s="20" t="n">
        <f aca="false">IF(AND(HU12=1,IE12&gt;0,Slot4_IsWG=1,BB12=1),MIN(IE12,JE12),0)</f>
        <v>0</v>
      </c>
      <c r="JG12" s="20" t="n">
        <f aca="false">BC12+JF12</f>
        <v>0</v>
      </c>
      <c r="JH12" s="20" t="n">
        <f aca="false">IF(BB12=1,MAX(0,(Slot4_Cost-JG12*(1+Slot4_Rate)^(Slot4_Age-D12))/JD12),0)</f>
        <v>2153.93056687462</v>
      </c>
      <c r="JI12" s="20" t="n">
        <f aca="false">IF(BB12=1,MAX(0,(Slot4_Cost-BC12*(1+Slot4_Rate)^(Slot4_Age-D12))/JD12),0)</f>
        <v>2153.93056687462</v>
      </c>
      <c r="JJ12" s="20" t="n">
        <f aca="false">IF(AND(HU12=1,BB12=1),MIN(JC12,JH12),0)</f>
        <v>0</v>
      </c>
      <c r="JK12" s="20" t="n">
        <f aca="false">JC12-JJ12</f>
        <v>0</v>
      </c>
      <c r="JL12" s="20" t="n">
        <f aca="false">IF(BL12=1,IF(ABS((1+AS_Wage)/(1+Slot5_Rate)-1)&lt;0.000000000001,(Slot5_Age-D12)*(1+Slot5_Rate)^(Slot5_Age-D12),(1+Slot5_Rate)^(Slot5_Age-D12)*(1-((1+AS_Wage)/(1+Slot5_Rate))^(Slot5_Age-D12))/(1-(1+AS_Wage)/(1+Slot5_Rate))),1)</f>
        <v>1</v>
      </c>
      <c r="JM12" s="20" t="n">
        <f aca="false">IF(AND(HU12=1,IE12&gt;0,Slot5_IsWG=1,BL12=1),MAX(0,(Slot5_Cost-BM12*(1+Slot5_Rate)^(Slot5_Age-D12))/JL12),0)</f>
        <v>0</v>
      </c>
      <c r="JN12" s="20" t="n">
        <f aca="false">IF(AND(HU12=1,IE12&gt;0,Slot5_IsWG=1,BL12=1),MIN(IE12,JM12),0)</f>
        <v>0</v>
      </c>
      <c r="JO12" s="20" t="n">
        <f aca="false">BM12+JN12</f>
        <v>0</v>
      </c>
      <c r="JP12" s="20" t="n">
        <f aca="false">IF(BL12=1,MAX(0,(Slot5_Cost-JO12*(1+Slot5_Rate)^(Slot5_Age-D12))/JL12),0)</f>
        <v>0</v>
      </c>
      <c r="JQ12" s="20" t="n">
        <f aca="false">IF(BL12=1,MAX(0,(Slot5_Cost-BM12*(1+Slot5_Rate)^(Slot5_Age-D12))/JL12),0)</f>
        <v>0</v>
      </c>
      <c r="JR12" s="20" t="n">
        <f aca="false">IF(AND(HU12=1,BL12=1),MIN(JK12,JP12),0)</f>
        <v>0</v>
      </c>
      <c r="JS12" s="20" t="n">
        <f aca="false">JK12-JR12</f>
        <v>0</v>
      </c>
      <c r="JT12" s="20" t="n">
        <f aca="false">IF(BV12=1,IF(ABS((1+AS_Wage)/(1+Slot6_Rate)-1)&lt;0.000000000001,(Slot6_Age-D12)*(1+Slot6_Rate)^(Slot6_Age-D12),(1+Slot6_Rate)^(Slot6_Age-D12)*(1-((1+AS_Wage)/(1+Slot6_Rate))^(Slot6_Age-D12))/(1-(1+AS_Wage)/(1+Slot6_Rate))),1)</f>
        <v>1</v>
      </c>
      <c r="JU12" s="20" t="n">
        <f aca="false">IF(AND(HU12=1,IE12&gt;0,Slot6_IsWG=1,BV12=1),MAX(0,(Slot6_Cost-BW12*(1+Slot6_Rate)^(Slot6_Age-D12))/JT12),0)</f>
        <v>0</v>
      </c>
      <c r="JV12" s="20" t="n">
        <f aca="false">IF(AND(HU12=1,IE12&gt;0,Slot6_IsWG=1,BV12=1),MIN(IE12,JU12),0)</f>
        <v>0</v>
      </c>
      <c r="JW12" s="20" t="n">
        <f aca="false">BW12+JV12</f>
        <v>0</v>
      </c>
      <c r="JX12" s="20" t="n">
        <f aca="false">IF(BV12=1,MAX(0,(Slot6_Cost-JW12*(1+Slot6_Rate)^(Slot6_Age-D12))/JT12),0)</f>
        <v>0</v>
      </c>
      <c r="JY12" s="20" t="n">
        <f aca="false">IF(BV12=1,MAX(0,(Slot6_Cost-BW12*(1+Slot6_Rate)^(Slot6_Age-D12))/JT12),0)</f>
        <v>0</v>
      </c>
      <c r="JZ12" s="20" t="n">
        <f aca="false">IF(AND(HU12=1,BV12=1),MIN(JS12,JX12),0)</f>
        <v>0</v>
      </c>
      <c r="KA12" s="20" t="n">
        <f aca="false">JS12-JZ12</f>
        <v>0</v>
      </c>
      <c r="KB12" s="20" t="n">
        <f aca="false">IF(CF12=1,IF(ABS((1+AS_Wage)/(1+Slot7_Rate)-1)&lt;0.000000000001,(Slot7_Age-D12)*(1+Slot7_Rate)^(Slot7_Age-D12),(1+Slot7_Rate)^(Slot7_Age-D12)*(1-((1+AS_Wage)/(1+Slot7_Rate))^(Slot7_Age-D12))/(1-(1+AS_Wage)/(1+Slot7_Rate))),1)</f>
        <v>1</v>
      </c>
      <c r="KC12" s="20" t="n">
        <f aca="false">IF(AND(HU12=1,IE12&gt;0,Slot7_IsWG=1,CF12=1),MAX(0,(Slot7_Cost-CG12*(1+Slot7_Rate)^(Slot7_Age-D12))/KB12),0)</f>
        <v>0</v>
      </c>
      <c r="KD12" s="20" t="n">
        <f aca="false">IF(AND(HU12=1,IE12&gt;0,Slot7_IsWG=1,CF12=1),MIN(IE12,KC12),0)</f>
        <v>0</v>
      </c>
      <c r="KE12" s="20" t="n">
        <f aca="false">CG12+KD12</f>
        <v>0</v>
      </c>
      <c r="KF12" s="20" t="n">
        <f aca="false">IF(CF12=1,MAX(0,(Slot7_Cost-KE12*(1+Slot7_Rate)^(Slot7_Age-D12))/KB12),0)</f>
        <v>0</v>
      </c>
      <c r="KG12" s="20" t="n">
        <f aca="false">IF(CF12=1,MAX(0,(Slot7_Cost-CG12*(1+Slot7_Rate)^(Slot7_Age-D12))/KB12),0)</f>
        <v>0</v>
      </c>
      <c r="KH12" s="20" t="n">
        <f aca="false">IF(AND(HU12=1,CF12=1),MIN(KA12,KF12),0)</f>
        <v>0</v>
      </c>
      <c r="KI12" s="20" t="n">
        <f aca="false">KA12-KH12</f>
        <v>0</v>
      </c>
      <c r="KJ12" s="20" t="n">
        <f aca="false">IF(CP12=1,IF(ABS((1+AS_Wage)/(1+Slot8_Rate)-1)&lt;0.000000000001,(Slot8_Age-D12)*(1+Slot8_Rate)^(Slot8_Age-D12),(1+Slot8_Rate)^(Slot8_Age-D12)*(1-((1+AS_Wage)/(1+Slot8_Rate))^(Slot8_Age-D12))/(1-(1+AS_Wage)/(1+Slot8_Rate))),1)</f>
        <v>1</v>
      </c>
      <c r="KK12" s="20" t="n">
        <f aca="false">IF(AND(HU12=1,IE12&gt;0,Slot8_IsWG=1,CP12=1),MAX(0,(Slot8_Cost-CQ12*(1+Slot8_Rate)^(Slot8_Age-D12))/KJ12),0)</f>
        <v>0</v>
      </c>
      <c r="KL12" s="20" t="n">
        <f aca="false">IF(AND(HU12=1,IE12&gt;0,Slot8_IsWG=1,CP12=1),MIN(IE12,KK12),0)</f>
        <v>0</v>
      </c>
      <c r="KM12" s="20" t="n">
        <f aca="false">CQ12+KL12</f>
        <v>0</v>
      </c>
      <c r="KN12" s="20" t="n">
        <f aca="false">IF(CP12=1,MAX(0,(Slot8_Cost-KM12*(1+Slot8_Rate)^(Slot8_Age-D12))/KJ12),0)</f>
        <v>0</v>
      </c>
      <c r="KO12" s="20" t="n">
        <f aca="false">IF(CP12=1,MAX(0,(Slot8_Cost-CQ12*(1+Slot8_Rate)^(Slot8_Age-D12))/KJ12),0)</f>
        <v>0</v>
      </c>
      <c r="KP12" s="20" t="n">
        <f aca="false">IF(AND(HU12=1,CP12=1),MIN(KI12,KN12),0)</f>
        <v>0</v>
      </c>
      <c r="KQ12" s="20" t="n">
        <f aca="false">KI12-KP12</f>
        <v>0</v>
      </c>
      <c r="KR12" s="20" t="n">
        <f aca="false">IF(CZ12=1,IF(ABS((1+AS_Wage)/(1+Slot9_Rate)-1)&lt;0.000000000001,(Slot9_Age-D12)*(1+Slot9_Rate)^(Slot9_Age-D12),(1+Slot9_Rate)^(Slot9_Age-D12)*(1-((1+AS_Wage)/(1+Slot9_Rate))^(Slot9_Age-D12))/(1-(1+AS_Wage)/(1+Slot9_Rate))),1)</f>
        <v>1</v>
      </c>
      <c r="KS12" s="20" t="n">
        <f aca="false">IF(AND(HU12=1,IE12&gt;0,Slot9_IsWG=1,CZ12=1),MAX(0,(Slot9_Cost-DA12*(1+Slot9_Rate)^(Slot9_Age-D12))/KR12),0)</f>
        <v>0</v>
      </c>
      <c r="KT12" s="20" t="n">
        <f aca="false">IF(AND(HU12=1,IE12&gt;0,Slot9_IsWG=1,CZ12=1),MIN(IE12,KS12),0)</f>
        <v>0</v>
      </c>
      <c r="KU12" s="20" t="n">
        <f aca="false">DA12+KT12</f>
        <v>0</v>
      </c>
      <c r="KV12" s="20" t="n">
        <f aca="false">IF(CZ12=1,MAX(0,(Slot9_Cost-KU12*(1+Slot9_Rate)^(Slot9_Age-D12))/KR12),0)</f>
        <v>0</v>
      </c>
      <c r="KW12" s="20" t="n">
        <f aca="false">IF(CZ12=1,MAX(0,(Slot9_Cost-DA12*(1+Slot9_Rate)^(Slot9_Age-D12))/KR12),0)</f>
        <v>0</v>
      </c>
      <c r="KX12" s="20" t="n">
        <f aca="false">IF(AND(HU12=1,CZ12=1),MIN(KQ12,KV12),0)</f>
        <v>0</v>
      </c>
      <c r="KY12" s="20" t="n">
        <f aca="false">KQ12-KX12</f>
        <v>0</v>
      </c>
      <c r="KZ12" s="20" t="n">
        <f aca="false">IF(DJ12=1,IF(ABS((1+AS_Wage)/(1+Slot10_Rate)-1)&lt;0.000000000001,(Slot10_Age-D12)*(1+Slot10_Rate)^(Slot10_Age-D12),(1+Slot10_Rate)^(Slot10_Age-D12)*(1-((1+AS_Wage)/(1+Slot10_Rate))^(Slot10_Age-D12))/(1-(1+AS_Wage)/(1+Slot10_Rate))),1)</f>
        <v>1</v>
      </c>
      <c r="LA12" s="20" t="n">
        <f aca="false">IF(AND(HU12=1,IE12&gt;0,Slot10_IsWG=1,DJ12=1),MAX(0,(Slot10_Cost-DK12*(1+Slot10_Rate)^(Slot10_Age-D12))/KZ12),0)</f>
        <v>0</v>
      </c>
      <c r="LB12" s="20" t="n">
        <f aca="false">IF(AND(HU12=1,IE12&gt;0,Slot10_IsWG=1,DJ12=1),MIN(IE12,LA12),0)</f>
        <v>0</v>
      </c>
      <c r="LC12" s="20" t="n">
        <f aca="false">DK12+LB12</f>
        <v>0</v>
      </c>
      <c r="LD12" s="20" t="n">
        <f aca="false">IF(DJ12=1,MAX(0,(Slot10_Cost-LC12*(1+Slot10_Rate)^(Slot10_Age-D12))/KZ12),0)</f>
        <v>0</v>
      </c>
      <c r="LE12" s="20" t="n">
        <f aca="false">IF(DJ12=1,MAX(0,(Slot10_Cost-DK12*(1+Slot10_Rate)^(Slot10_Age-D12))/KZ12),0)</f>
        <v>0</v>
      </c>
      <c r="LF12" s="20" t="n">
        <f aca="false">IF(AND(HU12=1,DJ12=1),MIN(KY12,LD12),0)</f>
        <v>0</v>
      </c>
      <c r="LG12" s="20" t="n">
        <f aca="false">KY12-LF12</f>
        <v>0</v>
      </c>
      <c r="LH12" s="20" t="n">
        <f aca="false">IF(DT12=1,IF(ABS((1+AS_Wage)/(1+Slot11_Rate)-1)&lt;0.000000000001,(Slot11_Age-D12)*(1+Slot11_Rate)^(Slot11_Age-D12),(1+Slot11_Rate)^(Slot11_Age-D12)*(1-((1+AS_Wage)/(1+Slot11_Rate))^(Slot11_Age-D12))/(1-(1+AS_Wage)/(1+Slot11_Rate))),1)</f>
        <v>1</v>
      </c>
      <c r="LI12" s="20" t="n">
        <f aca="false">IF(AND(HU12=1,IE12&gt;0,Slot11_IsWG=1,DT12=1),MAX(0,(Slot11_Cost-DU12*(1+Slot11_Rate)^(Slot11_Age-D12))/LH12),0)</f>
        <v>0</v>
      </c>
      <c r="LJ12" s="20" t="n">
        <f aca="false">IF(AND(HU12=1,IE12&gt;0,Slot11_IsWG=1,DT12=1),MIN(IE12,LI12),0)</f>
        <v>0</v>
      </c>
      <c r="LK12" s="20" t="n">
        <f aca="false">DU12+LJ12</f>
        <v>0</v>
      </c>
      <c r="LL12" s="20" t="n">
        <f aca="false">IF(DT12=1,MAX(0,(Slot11_Cost-LK12*(1+Slot11_Rate)^(Slot11_Age-D12))/LH12),0)</f>
        <v>0</v>
      </c>
      <c r="LM12" s="20" t="n">
        <f aca="false">IF(DT12=1,MAX(0,(Slot11_Cost-DU12*(1+Slot11_Rate)^(Slot11_Age-D12))/LH12),0)</f>
        <v>0</v>
      </c>
      <c r="LN12" s="20" t="n">
        <f aca="false">IF(AND(HU12=1,DT12=1),MIN(LG12,LL12),0)</f>
        <v>0</v>
      </c>
      <c r="LO12" s="20" t="n">
        <f aca="false">LG12-LN12</f>
        <v>0</v>
      </c>
      <c r="LP12" s="20" t="n">
        <f aca="false">IF(ED12=1,IF(ABS((1+AS_Wage)/(1+Slot12_Rate)-1)&lt;0.000000000001,(Slot12_Age-D12)*(1+Slot12_Rate)^(Slot12_Age-D12),(1+Slot12_Rate)^(Slot12_Age-D12)*(1-((1+AS_Wage)/(1+Slot12_Rate))^(Slot12_Age-D12))/(1-(1+AS_Wage)/(1+Slot12_Rate))),1)</f>
        <v>1</v>
      </c>
      <c r="LQ12" s="20" t="n">
        <f aca="false">IF(AND(HU12=1,IE12&gt;0,Slot12_IsWG=1,ED12=1),MAX(0,(Slot12_Cost-EE12*(1+Slot12_Rate)^(Slot12_Age-D12))/LP12),0)</f>
        <v>0</v>
      </c>
      <c r="LR12" s="20" t="n">
        <f aca="false">IF(AND(HU12=1,IE12&gt;0,Slot12_IsWG=1,ED12=1),MIN(IE12,LQ12),0)</f>
        <v>0</v>
      </c>
      <c r="LS12" s="20" t="n">
        <f aca="false">EE12+LR12</f>
        <v>0</v>
      </c>
      <c r="LT12" s="20" t="n">
        <f aca="false">IF(ED12=1,MAX(0,(Slot12_Cost-LS12*(1+Slot12_Rate)^(Slot12_Age-D12))/LP12),0)</f>
        <v>0</v>
      </c>
      <c r="LU12" s="20" t="n">
        <f aca="false">IF(ED12=1,MAX(0,(Slot12_Cost-EE12*(1+Slot12_Rate)^(Slot12_Age-D12))/LP12),0)</f>
        <v>0</v>
      </c>
      <c r="LV12" s="20" t="n">
        <f aca="false">IF(AND(HU12=1,ED12=1),MIN(LO12,LT12),0)</f>
        <v>0</v>
      </c>
      <c r="LW12" s="20" t="n">
        <f aca="false">LO12-LV12</f>
        <v>0</v>
      </c>
      <c r="LX12" s="20" t="n">
        <f aca="false">IF(EN12=1,IF(ABS((1+AS_Wage)/(1+Slot13_Rate)-1)&lt;0.000000000001,(Slot13_Age-D12)*(1+Slot13_Rate)^(Slot13_Age-D12),(1+Slot13_Rate)^(Slot13_Age-D12)*(1-((1+AS_Wage)/(1+Slot13_Rate))^(Slot13_Age-D12))/(1-(1+AS_Wage)/(1+Slot13_Rate))),1)</f>
        <v>1</v>
      </c>
      <c r="LY12" s="20" t="n">
        <f aca="false">IF(AND(HU12=1,IE12&gt;0,Slot13_IsWG=1,EN12=1),MAX(0,(Slot13_Cost-EO12*(1+Slot13_Rate)^(Slot13_Age-D12))/LX12),0)</f>
        <v>0</v>
      </c>
      <c r="LZ12" s="20" t="n">
        <f aca="false">IF(AND(HU12=1,IE12&gt;0,Slot13_IsWG=1,EN12=1),MIN(IE12,LY12),0)</f>
        <v>0</v>
      </c>
      <c r="MA12" s="20" t="n">
        <f aca="false">EO12+LZ12</f>
        <v>0</v>
      </c>
      <c r="MB12" s="20" t="n">
        <f aca="false">IF(EN12=1,MAX(0,(Slot13_Cost-MA12*(1+Slot13_Rate)^(Slot13_Age-D12))/LX12),0)</f>
        <v>0</v>
      </c>
      <c r="MC12" s="20" t="n">
        <f aca="false">IF(EN12=1,MAX(0,(Slot13_Cost-EO12*(1+Slot13_Rate)^(Slot13_Age-D12))/LX12),0)</f>
        <v>0</v>
      </c>
      <c r="MD12" s="20" t="n">
        <f aca="false">IF(AND(HU12=1,EN12=1),MIN(LW12,MB12),0)</f>
        <v>0</v>
      </c>
      <c r="ME12" s="20" t="n">
        <f aca="false">LW12-MD12</f>
        <v>0</v>
      </c>
      <c r="MF12" s="20" t="n">
        <f aca="false">IF(EX12=1,IF(ABS((1+AS_Wage)/(1+Slot14_Rate)-1)&lt;0.000000000001,(Slot14_Age-D12)*(1+Slot14_Rate)^(Slot14_Age-D12),(1+Slot14_Rate)^(Slot14_Age-D12)*(1-((1+AS_Wage)/(1+Slot14_Rate))^(Slot14_Age-D12))/(1-(1+AS_Wage)/(1+Slot14_Rate))),1)</f>
        <v>1</v>
      </c>
      <c r="MG12" s="20" t="n">
        <f aca="false">IF(AND(HU12=1,IE12&gt;0,Slot14_IsWG=1,EX12=1),MAX(0,(Slot14_Cost-EY12*(1+Slot14_Rate)^(Slot14_Age-D12))/MF12),0)</f>
        <v>0</v>
      </c>
      <c r="MH12" s="20" t="n">
        <f aca="false">IF(AND(HU12=1,IE12&gt;0,Slot14_IsWG=1,EX12=1),MIN(IE12,MG12),0)</f>
        <v>0</v>
      </c>
      <c r="MI12" s="20" t="n">
        <f aca="false">EY12+MH12</f>
        <v>0</v>
      </c>
      <c r="MJ12" s="20" t="n">
        <f aca="false">IF(EX12=1,MAX(0,(Slot14_Cost-MI12*(1+Slot14_Rate)^(Slot14_Age-D12))/MF12),0)</f>
        <v>0</v>
      </c>
      <c r="MK12" s="20" t="n">
        <f aca="false">IF(EX12=1,MAX(0,(Slot14_Cost-EY12*(1+Slot14_Rate)^(Slot14_Age-D12))/MF12),0)</f>
        <v>0</v>
      </c>
      <c r="ML12" s="20" t="n">
        <f aca="false">IF(AND(HU12=1,EX12=1),MIN(ME12,MJ12),0)</f>
        <v>0</v>
      </c>
      <c r="MM12" s="20" t="n">
        <f aca="false">ME12-ML12</f>
        <v>0</v>
      </c>
      <c r="MN12" s="20" t="n">
        <f aca="false">IF(FH12=1,IF(ABS((1+AS_Wage)/(1+Slot15_Rate)-1)&lt;0.000000000001,(Slot15_Age-D12)*(1+Slot15_Rate)^(Slot15_Age-D12),(1+Slot15_Rate)^(Slot15_Age-D12)*(1-((1+AS_Wage)/(1+Slot15_Rate))^(Slot15_Age-D12))/(1-(1+AS_Wage)/(1+Slot15_Rate))),1)</f>
        <v>1</v>
      </c>
      <c r="MO12" s="20" t="n">
        <f aca="false">IF(AND(HU12=1,IE12&gt;0,Slot15_IsWG=1,FH12=1),MAX(0,(Slot15_Cost-FI12*(1+Slot15_Rate)^(Slot15_Age-D12))/MN12),0)</f>
        <v>0</v>
      </c>
      <c r="MP12" s="20" t="n">
        <f aca="false">IF(AND(HU12=1,IE12&gt;0,Slot15_IsWG=1,FH12=1),MIN(IE12,MO12),0)</f>
        <v>0</v>
      </c>
      <c r="MQ12" s="20" t="n">
        <f aca="false">FI12+MP12</f>
        <v>0</v>
      </c>
      <c r="MR12" s="20" t="n">
        <f aca="false">IF(FH12=1,MAX(0,(Slot15_Cost-MQ12*(1+Slot15_Rate)^(Slot15_Age-D12))/MN12),0)</f>
        <v>0</v>
      </c>
      <c r="MS12" s="20" t="n">
        <f aca="false">IF(FH12=1,MAX(0,(Slot15_Cost-FI12*(1+Slot15_Rate)^(Slot15_Age-D12))/MN12),0)</f>
        <v>0</v>
      </c>
      <c r="MT12" s="20" t="n">
        <f aca="false">IF(AND(HU12=1,FH12=1),MIN(MM12,MR12),0)</f>
        <v>0</v>
      </c>
      <c r="MU12" s="20" t="n">
        <f aca="false">MM12-MT12</f>
        <v>0</v>
      </c>
      <c r="MV12" s="20" t="n">
        <f aca="false">IF(FR12=1,IF(ABS((1+AS_Wage)/(1+Slot16_Rate)-1)&lt;0.000000000001,(Slot16_Age-D12)*(1+Slot16_Rate)^(Slot16_Age-D12),(1+Slot16_Rate)^(Slot16_Age-D12)*(1-((1+AS_Wage)/(1+Slot16_Rate))^(Slot16_Age-D12))/(1-(1+AS_Wage)/(1+Slot16_Rate))),1)</f>
        <v>1</v>
      </c>
      <c r="MW12" s="20" t="n">
        <f aca="false">IF(AND(HU12=1,IE12&gt;0,Slot16_IsWG=1,FR12=1),MAX(0,(Slot16_Cost-FS12*(1+Slot16_Rate)^(Slot16_Age-D12))/MV12),0)</f>
        <v>0</v>
      </c>
      <c r="MX12" s="20" t="n">
        <f aca="false">IF(AND(HU12=1,IE12&gt;0,Slot16_IsWG=1,FR12=1),MIN(IE12,MW12),0)</f>
        <v>0</v>
      </c>
      <c r="MY12" s="20" t="n">
        <f aca="false">FS12+MX12</f>
        <v>0</v>
      </c>
      <c r="MZ12" s="20" t="n">
        <f aca="false">IF(FR12=1,MAX(0,(Slot16_Cost-MY12*(1+Slot16_Rate)^(Slot16_Age-D12))/MV12),0)</f>
        <v>0</v>
      </c>
      <c r="NA12" s="20" t="n">
        <f aca="false">IF(FR12=1,MAX(0,(Slot16_Cost-FS12*(1+Slot16_Rate)^(Slot16_Age-D12))/MV12),0)</f>
        <v>0</v>
      </c>
      <c r="NB12" s="20" t="n">
        <f aca="false">IF(AND(HU12=1,FR12=1),MIN(MU12,MZ12),0)</f>
        <v>0</v>
      </c>
      <c r="NC12" s="20" t="n">
        <f aca="false">MU12-NB12</f>
        <v>0</v>
      </c>
      <c r="ND12" s="20" t="n">
        <f aca="false">IF(GB12=1,IF(ABS((1+AS_Wage)/(1+Slot17_Rate)-1)&lt;0.000000000001,(Slot17_Age-D12)*(1+Slot17_Rate)^(Slot17_Age-D12),(1+Slot17_Rate)^(Slot17_Age-D12)*(1-((1+AS_Wage)/(1+Slot17_Rate))^(Slot17_Age-D12))/(1-(1+AS_Wage)/(1+Slot17_Rate))),1)</f>
        <v>1</v>
      </c>
      <c r="NE12" s="20" t="n">
        <f aca="false">IF(AND(HU12=1,IE12&gt;0,Slot17_IsWG=1,GB12=1),MAX(0,(Slot17_Cost-GC12*(1+Slot17_Rate)^(Slot17_Age-D12))/ND12),0)</f>
        <v>0</v>
      </c>
      <c r="NF12" s="20" t="n">
        <f aca="false">IF(AND(HU12=1,IE12&gt;0,Slot17_IsWG=1,GB12=1),MIN(IE12,NE12),0)</f>
        <v>0</v>
      </c>
      <c r="NG12" s="20" t="n">
        <f aca="false">GC12+NF12</f>
        <v>0</v>
      </c>
      <c r="NH12" s="20" t="n">
        <f aca="false">IF(GB12=1,MAX(0,(Slot17_Cost-NG12*(1+Slot17_Rate)^(Slot17_Age-D12))/ND12),0)</f>
        <v>0</v>
      </c>
      <c r="NI12" s="20" t="n">
        <f aca="false">IF(GB12=1,MAX(0,(Slot17_Cost-GC12*(1+Slot17_Rate)^(Slot17_Age-D12))/ND12),0)</f>
        <v>0</v>
      </c>
      <c r="NJ12" s="20" t="n">
        <f aca="false">IF(AND(HU12=1,GB12=1),MIN(NC12,NH12),0)</f>
        <v>0</v>
      </c>
      <c r="NK12" s="20" t="n">
        <f aca="false">NC12-NJ12</f>
        <v>0</v>
      </c>
      <c r="NL12" s="20" t="n">
        <f aca="false">IF(GL12=1,IF(ABS((1+AS_Wage)/(1+Slot18_Rate)-1)&lt;0.000000000001,(Slot18_Age-D12)*(1+Slot18_Rate)^(Slot18_Age-D12),(1+Slot18_Rate)^(Slot18_Age-D12)*(1-((1+AS_Wage)/(1+Slot18_Rate))^(Slot18_Age-D12))/(1-(1+AS_Wage)/(1+Slot18_Rate))),1)</f>
        <v>1</v>
      </c>
      <c r="NM12" s="20" t="n">
        <f aca="false">IF(AND(HU12=1,IE12&gt;0,Slot18_IsWG=1,GL12=1),MAX(0,(Slot18_Cost-GM12*(1+Slot18_Rate)^(Slot18_Age-D12))/NL12),0)</f>
        <v>0</v>
      </c>
      <c r="NN12" s="20" t="n">
        <f aca="false">IF(AND(HU12=1,IE12&gt;0,Slot18_IsWG=1,GL12=1),MIN(IE12,NM12),0)</f>
        <v>0</v>
      </c>
      <c r="NO12" s="20" t="n">
        <f aca="false">GM12+NN12</f>
        <v>0</v>
      </c>
      <c r="NP12" s="20" t="n">
        <f aca="false">IF(GL12=1,MAX(0,(Slot18_Cost-NO12*(1+Slot18_Rate)^(Slot18_Age-D12))/NL12),0)</f>
        <v>0</v>
      </c>
      <c r="NQ12" s="20" t="n">
        <f aca="false">IF(GL12=1,MAX(0,(Slot18_Cost-GM12*(1+Slot18_Rate)^(Slot18_Age-D12))/NL12),0)</f>
        <v>0</v>
      </c>
      <c r="NR12" s="20" t="n">
        <f aca="false">IF(AND(HU12=1,GL12=1),MIN(NK12,NP12),0)</f>
        <v>0</v>
      </c>
      <c r="NS12" s="20" t="n">
        <f aca="false">NK12-NR12</f>
        <v>0</v>
      </c>
      <c r="NT12" s="20" t="n">
        <f aca="false">IF(GV12=1,IF(ABS((1+AS_Wage)/(1+Slot19_Rate)-1)&lt;0.000000000001,(Slot19_Age-D12)*(1+Slot19_Rate)^(Slot19_Age-D12),(1+Slot19_Rate)^(Slot19_Age-D12)*(1-((1+AS_Wage)/(1+Slot19_Rate))^(Slot19_Age-D12))/(1-(1+AS_Wage)/(1+Slot19_Rate))),1)</f>
        <v>1</v>
      </c>
      <c r="NU12" s="20" t="n">
        <f aca="false">IF(AND(HU12=1,IE12&gt;0,Slot19_IsWG=1,GV12=1),MAX(0,(Slot19_Cost-GW12*(1+Slot19_Rate)^(Slot19_Age-D12))/NT12),0)</f>
        <v>0</v>
      </c>
      <c r="NV12" s="20" t="n">
        <f aca="false">IF(AND(HU12=1,IE12&gt;0,Slot19_IsWG=1,GV12=1),MIN(IE12,NU12),0)</f>
        <v>0</v>
      </c>
      <c r="NW12" s="20" t="n">
        <f aca="false">GW12+NV12</f>
        <v>0</v>
      </c>
      <c r="NX12" s="20" t="n">
        <f aca="false">IF(GV12=1,MAX(0,(Slot19_Cost-NW12*(1+Slot19_Rate)^(Slot19_Age-D12))/NT12),0)</f>
        <v>0</v>
      </c>
      <c r="NY12" s="20" t="n">
        <f aca="false">IF(GV12=1,MAX(0,(Slot19_Cost-GW12*(1+Slot19_Rate)^(Slot19_Age-D12))/NT12),0)</f>
        <v>0</v>
      </c>
      <c r="NZ12" s="20" t="n">
        <f aca="false">IF(AND(HU12=1,GV12=1),MIN(NS12,NX12),0)</f>
        <v>0</v>
      </c>
      <c r="OA12" s="20" t="n">
        <f aca="false">NS12-NZ12</f>
        <v>0</v>
      </c>
      <c r="OB12" s="20" t="n">
        <f aca="false">IF(HF12=1,IF(ABS((1+AS_Wage)/(1+Slot20_Rate)-1)&lt;0.000000000001,(Slot20_Age-D12)*(1+Slot20_Rate)^(Slot20_Age-D12),(1+Slot20_Rate)^(Slot20_Age-D12)*(1-((1+AS_Wage)/(1+Slot20_Rate))^(Slot20_Age-D12))/(1-(1+AS_Wage)/(1+Slot20_Rate))),1)</f>
        <v>1</v>
      </c>
      <c r="OC12" s="20" t="n">
        <f aca="false">IF(AND(HU12=1,IE12&gt;0,Slot20_IsWG=1,HF12=1),MAX(0,(Slot20_Cost-HG12*(1+Slot20_Rate)^(Slot20_Age-D12))/OB12),0)</f>
        <v>0</v>
      </c>
      <c r="OD12" s="20" t="n">
        <f aca="false">IF(AND(HU12=1,IE12&gt;0,Slot20_IsWG=1,HF12=1),MIN(IE12,OC12),0)</f>
        <v>0</v>
      </c>
      <c r="OE12" s="20" t="n">
        <f aca="false">HG12+OD12</f>
        <v>0</v>
      </c>
      <c r="OF12" s="20" t="n">
        <f aca="false">IF(HF12=1,MAX(0,(Slot20_Cost-OE12*(1+Slot20_Rate)^(Slot20_Age-D12))/OB12),0)</f>
        <v>0</v>
      </c>
      <c r="OG12" s="20" t="n">
        <f aca="false">IF(HF12=1,MAX(0,(Slot20_Cost-HG12*(1+Slot20_Rate)^(Slot20_Age-D12))/OB12),0)</f>
        <v>0</v>
      </c>
      <c r="OH12" s="20" t="n">
        <f aca="false">IF(AND(HU12=1,HF12=1),MIN(OA12,OF12),0)</f>
        <v>0</v>
      </c>
      <c r="OI12" s="20" t="n">
        <f aca="false">OA12-OH12</f>
        <v>0</v>
      </c>
      <c r="OJ12" s="20" t="n">
        <f aca="false">IE12-(IH12+IP12+IX12+JF12+JN12+JV12+KD12+KL12+KT12+LB12+LJ12+LR12+LZ12+MH12+MP12+MX12+NF12+NN12+NV12+OD12)</f>
        <v>0</v>
      </c>
      <c r="OK12" s="20" t="n">
        <f aca="false">IF(HU12=1,HS12-ID12-IE12,0)</f>
        <v>3100.1615956888</v>
      </c>
      <c r="OL12" s="20" t="n">
        <f aca="false">IF(HU12=0,-HS12,0)</f>
        <v>0</v>
      </c>
      <c r="OM12" s="20" t="n">
        <f aca="false">MIN(OL12,HK12)</f>
        <v>0</v>
      </c>
      <c r="ON12" s="20" t="n">
        <f aca="false">OL12-OM12</f>
        <v>0</v>
      </c>
      <c r="OO12" s="20" t="n">
        <f aca="false">MIN(ON12,HL12)</f>
        <v>0</v>
      </c>
      <c r="OP12" s="20" t="n">
        <f aca="false">ON12-OO12</f>
        <v>0</v>
      </c>
      <c r="OQ12" s="20" t="n">
        <f aca="false">IF(AND(HU12=0,HF12=1,OP12&gt;0),MIN(OP12,HG12),0)</f>
        <v>0</v>
      </c>
      <c r="OR12" s="20" t="n">
        <f aca="false">OP12-OQ12</f>
        <v>0</v>
      </c>
      <c r="OS12" s="20" t="n">
        <f aca="false">IF(AND(HU12=0,GV12=1,OR12&gt;0),MIN(OR12,GW12),0)</f>
        <v>0</v>
      </c>
      <c r="OT12" s="20" t="n">
        <f aca="false">OR12-OS12</f>
        <v>0</v>
      </c>
      <c r="OU12" s="20" t="n">
        <f aca="false">IF(AND(HU12=0,GL12=1,OT12&gt;0),MIN(OT12,GM12),0)</f>
        <v>0</v>
      </c>
      <c r="OV12" s="20" t="n">
        <f aca="false">OT12-OU12</f>
        <v>0</v>
      </c>
      <c r="OW12" s="20" t="n">
        <f aca="false">IF(AND(HU12=0,GB12=1,OV12&gt;0),MIN(OV12,GC12),0)</f>
        <v>0</v>
      </c>
      <c r="OX12" s="20" t="n">
        <f aca="false">OV12-OW12</f>
        <v>0</v>
      </c>
      <c r="OY12" s="20" t="n">
        <f aca="false">IF(AND(HU12=0,FR12=1,OX12&gt;0),MIN(OX12,FS12),0)</f>
        <v>0</v>
      </c>
      <c r="OZ12" s="20" t="n">
        <f aca="false">OX12-OY12</f>
        <v>0</v>
      </c>
      <c r="PA12" s="20" t="n">
        <f aca="false">IF(AND(HU12=0,FH12=1,OZ12&gt;0),MIN(OZ12,FI12),0)</f>
        <v>0</v>
      </c>
      <c r="PB12" s="20" t="n">
        <f aca="false">OZ12-PA12</f>
        <v>0</v>
      </c>
      <c r="PC12" s="20" t="n">
        <f aca="false">IF(AND(HU12=0,EX12=1,PB12&gt;0),MIN(PB12,EY12),0)</f>
        <v>0</v>
      </c>
      <c r="PD12" s="20" t="n">
        <f aca="false">PB12-PC12</f>
        <v>0</v>
      </c>
      <c r="PE12" s="20" t="n">
        <f aca="false">IF(AND(HU12=0,EN12=1,PD12&gt;0),MIN(PD12,EO12),0)</f>
        <v>0</v>
      </c>
      <c r="PF12" s="20" t="n">
        <f aca="false">PD12-PE12</f>
        <v>0</v>
      </c>
      <c r="PG12" s="20" t="n">
        <f aca="false">IF(AND(HU12=0,ED12=1,PF12&gt;0),MIN(PF12,EE12),0)</f>
        <v>0</v>
      </c>
      <c r="PH12" s="20" t="n">
        <f aca="false">PF12-PG12</f>
        <v>0</v>
      </c>
      <c r="PI12" s="20" t="n">
        <f aca="false">IF(AND(HU12=0,DT12=1,PH12&gt;0),MIN(PH12,DU12),0)</f>
        <v>0</v>
      </c>
      <c r="PJ12" s="20" t="n">
        <f aca="false">PH12-PI12</f>
        <v>0</v>
      </c>
      <c r="PK12" s="20" t="n">
        <f aca="false">IF(AND(HU12=0,DJ12=1,PJ12&gt;0),MIN(PJ12,DK12),0)</f>
        <v>0</v>
      </c>
      <c r="PL12" s="20" t="n">
        <f aca="false">PJ12-PK12</f>
        <v>0</v>
      </c>
      <c r="PM12" s="20" t="n">
        <f aca="false">IF(AND(HU12=0,CZ12=1,PL12&gt;0),MIN(PL12,DA12),0)</f>
        <v>0</v>
      </c>
      <c r="PN12" s="20" t="n">
        <f aca="false">PL12-PM12</f>
        <v>0</v>
      </c>
      <c r="PO12" s="20" t="n">
        <f aca="false">IF(AND(HU12=0,CP12=1,PN12&gt;0),MIN(PN12,CQ12),0)</f>
        <v>0</v>
      </c>
      <c r="PP12" s="20" t="n">
        <f aca="false">PN12-PO12</f>
        <v>0</v>
      </c>
      <c r="PQ12" s="20" t="n">
        <f aca="false">IF(AND(HU12=0,CF12=1,PP12&gt;0),MIN(PP12,CG12),0)</f>
        <v>0</v>
      </c>
      <c r="PR12" s="20" t="n">
        <f aca="false">PP12-PQ12</f>
        <v>0</v>
      </c>
      <c r="PS12" s="20" t="n">
        <f aca="false">IF(AND(HU12=0,BV12=1,PR12&gt;0),MIN(PR12,BW12),0)</f>
        <v>0</v>
      </c>
      <c r="PT12" s="20" t="n">
        <f aca="false">PR12-PS12</f>
        <v>0</v>
      </c>
      <c r="PU12" s="20" t="n">
        <f aca="false">IF(AND(HU12=0,BL12=1,PT12&gt;0),MIN(PT12,BM12),0)</f>
        <v>0</v>
      </c>
      <c r="PV12" s="20" t="n">
        <f aca="false">PT12-PU12</f>
        <v>0</v>
      </c>
      <c r="PW12" s="20" t="n">
        <f aca="false">IF(AND(HU12=0,BB12=1,PV12&gt;0),MIN(PV12,BC12),0)</f>
        <v>0</v>
      </c>
      <c r="PX12" s="20" t="n">
        <f aca="false">PV12-PW12</f>
        <v>0</v>
      </c>
      <c r="PY12" s="20" t="n">
        <f aca="false">IF(AND(HU12=0,AR12=1,PX12&gt;0),MIN(PX12,AS12),0)</f>
        <v>0</v>
      </c>
      <c r="PZ12" s="20" t="n">
        <f aca="false">PX12-PY12</f>
        <v>0</v>
      </c>
      <c r="QA12" s="20" t="n">
        <f aca="false">IF(AND(HU12=0,AH12=1,PZ12&gt;0),MIN(PZ12,AI12),0)</f>
        <v>0</v>
      </c>
      <c r="QB12" s="20" t="n">
        <f aca="false">PZ12-QA12</f>
        <v>0</v>
      </c>
      <c r="QC12" s="20" t="n">
        <f aca="false">IF(AND(HU12=0,W12=1,QB12&gt;0),MIN(QB12,X12),0)</f>
        <v>0</v>
      </c>
      <c r="QD12" s="20" t="n">
        <f aca="false">QB12-QC12</f>
        <v>0</v>
      </c>
      <c r="QE12" s="20" t="n">
        <f aca="false">IF(HU12=0,QD12,0)</f>
        <v>0</v>
      </c>
      <c r="QF12" s="20" t="n">
        <f aca="false">OM12+OO12+QC12+QA12+PY12+PW12+PU12+PS12+PQ12+PO12+PM12+PK12+PI12+PG12+PE12+PC12+PA12+OY12+OW12+OU12+OS12+OQ12</f>
        <v>0</v>
      </c>
      <c r="QG12" s="20" t="n">
        <f aca="false">IF(HU12=1,HK12+OJ12+OI12+IF(G12=1,0,OK12),HK12-OM12)</f>
        <v>0</v>
      </c>
      <c r="QH12" s="20" t="n">
        <f aca="false">HL12-OO12</f>
        <v>15919.6806</v>
      </c>
      <c r="QI12" s="20" t="n">
        <f aca="false">IF(HU12=1,IF(G12=1,ID12+IE12,HS12),0)</f>
        <v>3100.1615956888</v>
      </c>
      <c r="QJ12" s="20" t="n">
        <f aca="false">IF(HU12=1,IF(G12=1,HS12-ID12-IE12,0),0)</f>
        <v>3100.1615956888</v>
      </c>
      <c r="QK12" s="20" t="n">
        <f aca="false">QG12*(1+GR)</f>
        <v>0</v>
      </c>
      <c r="QL12" s="20" t="n">
        <f aca="false">QH12*(1+AS_Cash)</f>
        <v>16078.877406</v>
      </c>
      <c r="QM12" s="20" t="n">
        <f aca="false">IF(W12=1,IF(HU12=1,II12+IL12,X12-QC12)*(1+Slot1_Rate),0)</f>
        <v>0</v>
      </c>
      <c r="QN12" s="20" t="n">
        <f aca="false">IF(AND(HU12=1,W12=1),(IH12+IL12)/F12,0)</f>
        <v>0</v>
      </c>
      <c r="QO12" s="20" t="n">
        <f aca="false">IF(B12=0,IH12+IL12,0)</f>
        <v>0</v>
      </c>
      <c r="QP12" s="20" t="n">
        <f aca="false">IF(B12=0,IF(HU12=1,IJ12,IK12),0)</f>
        <v>0</v>
      </c>
      <c r="QQ12" s="20" t="n">
        <f aca="false">IF(AH12=1,IF(HU12=1,IQ12+IT12,AI12-QA12)*(1+Slot2_Rate),0)</f>
        <v>0</v>
      </c>
      <c r="QR12" s="20" t="n">
        <f aca="false">IF(AND(HU12=1,AH12=1),(IP12+IT12)/F12,0)</f>
        <v>0</v>
      </c>
      <c r="QS12" s="20" t="n">
        <f aca="false">IF(B12=0,IP12+IT12,0)</f>
        <v>0</v>
      </c>
      <c r="QT12" s="20" t="n">
        <f aca="false">IF(B12=0,IF(HU12=1,IR12,IS12),0)</f>
        <v>0</v>
      </c>
      <c r="QU12" s="20" t="n">
        <f aca="false">IF(AR12=1,IF(HU12=1,IY12+JB12,AS12-PY12)*(1+Slot3_Rate),0)</f>
        <v>5783.59823215738</v>
      </c>
      <c r="QV12" s="20" t="n">
        <f aca="false">IF(AND(HU12=1,AR12=1),(IX12+JB12)/F12,0)</f>
        <v>2864.07011012016</v>
      </c>
      <c r="QW12" s="20" t="n">
        <f aca="false">IF(B12=0,IX12+JB12,0)</f>
        <v>0</v>
      </c>
      <c r="QX12" s="20" t="n">
        <f aca="false">IF(B12=0,IF(HU12=1,IZ12,JA12),0)</f>
        <v>0</v>
      </c>
      <c r="QY12" s="20" t="n">
        <f aca="false">IF(BB12=1,IF(HU12=1,JG12+JJ12,BC12-PW12)*(1+Slot4_Rate),0)</f>
        <v>0</v>
      </c>
      <c r="QZ12" s="20" t="n">
        <f aca="false">IF(AND(HU12=1,BB12=1),(JF12+JJ12)/F12,0)</f>
        <v>0</v>
      </c>
      <c r="RA12" s="20" t="n">
        <f aca="false">IF(B12=0,JF12+JJ12,0)</f>
        <v>0</v>
      </c>
      <c r="RB12" s="20" t="n">
        <f aca="false">IF(B12=0,IF(HU12=1,JH12,JI12),0)</f>
        <v>0</v>
      </c>
      <c r="RC12" s="20" t="n">
        <f aca="false">IF(BL12=1,IF(HU12=1,JO12+JR12,BM12-PU12)*(1+Slot5_Rate),0)</f>
        <v>0</v>
      </c>
      <c r="RD12" s="20" t="n">
        <f aca="false">IF(AND(HU12=1,BL12=1),(JN12+JR12)/F12,0)</f>
        <v>0</v>
      </c>
      <c r="RE12" s="20" t="n">
        <f aca="false">IF(B12=0,JN12+JR12,0)</f>
        <v>0</v>
      </c>
      <c r="RF12" s="20" t="n">
        <f aca="false">IF(B12=0,IF(HU12=1,JP12,JQ12),0)</f>
        <v>0</v>
      </c>
      <c r="RG12" s="20" t="n">
        <f aca="false">IF(BV12=1,IF(HU12=1,JW12+JZ12,BW12-PS12)*(1+Slot6_Rate),0)</f>
        <v>0</v>
      </c>
      <c r="RH12" s="20" t="n">
        <f aca="false">IF(AND(HU12=1,BV12=1),(JV12+JZ12)/F12,0)</f>
        <v>0</v>
      </c>
      <c r="RI12" s="20" t="n">
        <f aca="false">IF(B12=0,JV12+JZ12,0)</f>
        <v>0</v>
      </c>
      <c r="RJ12" s="20" t="n">
        <f aca="false">IF(B12=0,IF(HU12=1,JX12,JY12),0)</f>
        <v>0</v>
      </c>
      <c r="RK12" s="20" t="n">
        <f aca="false">IF(CF12=1,IF(HU12=1,KE12+KH12,CG12-PQ12)*(1+Slot7_Rate),0)</f>
        <v>0</v>
      </c>
      <c r="RL12" s="20" t="n">
        <f aca="false">IF(AND(HU12=1,CF12=1),(KD12+KH12)/F12,0)</f>
        <v>0</v>
      </c>
      <c r="RM12" s="20" t="n">
        <f aca="false">IF(B12=0,KD12+KH12,0)</f>
        <v>0</v>
      </c>
      <c r="RN12" s="20" t="n">
        <f aca="false">IF(B12=0,IF(HU12=1,KF12,KG12),0)</f>
        <v>0</v>
      </c>
      <c r="RO12" s="20" t="n">
        <f aca="false">IF(CP12=1,IF(HU12=1,KM12+KP12,CQ12-PO12)*(1+Slot8_Rate),0)</f>
        <v>0</v>
      </c>
      <c r="RP12" s="20" t="n">
        <f aca="false">IF(AND(HU12=1,CP12=1),(KL12+KP12)/F12,0)</f>
        <v>0</v>
      </c>
      <c r="RQ12" s="20" t="n">
        <f aca="false">IF(B12=0,KL12+KP12,0)</f>
        <v>0</v>
      </c>
      <c r="RR12" s="20" t="n">
        <f aca="false">IF(B12=0,IF(HU12=1,KN12,KO12),0)</f>
        <v>0</v>
      </c>
      <c r="RS12" s="20" t="n">
        <f aca="false">IF(CZ12=1,IF(HU12=1,KU12+KX12,DA12-PM12)*(1+Slot9_Rate),0)</f>
        <v>0</v>
      </c>
      <c r="RT12" s="20" t="n">
        <f aca="false">IF(AND(HU12=1,CZ12=1),(KT12+KX12)/F12,0)</f>
        <v>0</v>
      </c>
      <c r="RU12" s="20" t="n">
        <f aca="false">IF(B12=0,KT12+KX12,0)</f>
        <v>0</v>
      </c>
      <c r="RV12" s="20" t="n">
        <f aca="false">IF(B12=0,IF(HU12=1,KV12,KW12),0)</f>
        <v>0</v>
      </c>
      <c r="RW12" s="20" t="n">
        <f aca="false">IF(DJ12=1,IF(HU12=1,LC12+LF12,DK12-PK12)*(1+Slot10_Rate),0)</f>
        <v>0</v>
      </c>
      <c r="RX12" s="20" t="n">
        <f aca="false">IF(AND(HU12=1,DJ12=1),(LB12+LF12)/F12,0)</f>
        <v>0</v>
      </c>
      <c r="RY12" s="20" t="n">
        <f aca="false">IF(B12=0,LB12+LF12,0)</f>
        <v>0</v>
      </c>
      <c r="RZ12" s="20" t="n">
        <f aca="false">IF(B12=0,IF(HU12=1,LD12,LE12),0)</f>
        <v>0</v>
      </c>
      <c r="SA12" s="20" t="n">
        <f aca="false">IF(DT12=1,IF(HU12=1,LK12+LN12,DU12-PI12)*(1+Slot11_Rate),0)</f>
        <v>0</v>
      </c>
      <c r="SB12" s="20" t="n">
        <f aca="false">IF(AND(HU12=1,DT12=1),(LJ12+LN12)/F12,0)</f>
        <v>0</v>
      </c>
      <c r="SC12" s="20" t="n">
        <f aca="false">IF(B12=0,LJ12+LN12,0)</f>
        <v>0</v>
      </c>
      <c r="SD12" s="20" t="n">
        <f aca="false">IF(B12=0,IF(HU12=1,LL12,LM12),0)</f>
        <v>0</v>
      </c>
      <c r="SE12" s="20" t="n">
        <f aca="false">IF(ED12=1,IF(HU12=1,LS12+LV12,EE12-PG12)*(1+Slot12_Rate),0)</f>
        <v>0</v>
      </c>
      <c r="SF12" s="20" t="n">
        <f aca="false">IF(AND(HU12=1,ED12=1),(LR12+LV12)/F12,0)</f>
        <v>0</v>
      </c>
      <c r="SG12" s="20" t="n">
        <f aca="false">IF(B12=0,LR12+LV12,0)</f>
        <v>0</v>
      </c>
      <c r="SH12" s="20" t="n">
        <f aca="false">IF(B12=0,IF(HU12=1,LT12,LU12),0)</f>
        <v>0</v>
      </c>
      <c r="SI12" s="20" t="n">
        <f aca="false">IF(EN12=1,IF(HU12=1,MA12+MD12,EO12-PE12)*(1+Slot13_Rate),0)</f>
        <v>0</v>
      </c>
      <c r="SJ12" s="20" t="n">
        <f aca="false">IF(AND(HU12=1,EN12=1),(LZ12+MD12)/F12,0)</f>
        <v>0</v>
      </c>
      <c r="SK12" s="20" t="n">
        <f aca="false">IF(B12=0,LZ12+MD12,0)</f>
        <v>0</v>
      </c>
      <c r="SL12" s="20" t="n">
        <f aca="false">IF(B12=0,IF(HU12=1,MB12,MC12),0)</f>
        <v>0</v>
      </c>
      <c r="SM12" s="20" t="n">
        <f aca="false">IF(EX12=1,IF(HU12=1,MI12+ML12,EY12-PC12)*(1+Slot14_Rate),0)</f>
        <v>0</v>
      </c>
      <c r="SN12" s="20" t="n">
        <f aca="false">IF(AND(HU12=1,EX12=1),(MH12+ML12)/F12,0)</f>
        <v>0</v>
      </c>
      <c r="SO12" s="20" t="n">
        <f aca="false">IF(B12=0,MH12+ML12,0)</f>
        <v>0</v>
      </c>
      <c r="SP12" s="20" t="n">
        <f aca="false">IF(B12=0,IF(HU12=1,MJ12,MK12),0)</f>
        <v>0</v>
      </c>
      <c r="SQ12" s="20" t="n">
        <f aca="false">IF(FH12=1,IF(HU12=1,MQ12+MT12,FI12-PA12)*(1+Slot15_Rate),0)</f>
        <v>0</v>
      </c>
      <c r="SR12" s="20" t="n">
        <f aca="false">IF(AND(HU12=1,FH12=1),(MP12+MT12)/F12,0)</f>
        <v>0</v>
      </c>
      <c r="SS12" s="20" t="n">
        <f aca="false">IF(B12=0,MP12+MT12,0)</f>
        <v>0</v>
      </c>
      <c r="ST12" s="20" t="n">
        <f aca="false">IF(B12=0,IF(HU12=1,MR12,MS12),0)</f>
        <v>0</v>
      </c>
      <c r="SU12" s="20" t="n">
        <f aca="false">IF(FR12=1,IF(HU12=1,MY12+NB12,FS12-OY12)*(1+Slot16_Rate),0)</f>
        <v>0</v>
      </c>
      <c r="SV12" s="20" t="n">
        <f aca="false">IF(AND(HU12=1,FR12=1),(MX12+NB12)/F12,0)</f>
        <v>0</v>
      </c>
      <c r="SW12" s="20" t="n">
        <f aca="false">IF(B12=0,MX12+NB12,0)</f>
        <v>0</v>
      </c>
      <c r="SX12" s="20" t="n">
        <f aca="false">IF(B12=0,IF(HU12=1,MZ12,NA12),0)</f>
        <v>0</v>
      </c>
      <c r="SY12" s="20" t="n">
        <f aca="false">IF(GB12=1,IF(HU12=1,NG12+NJ12,GC12-OW12)*(1+Slot17_Rate),0)</f>
        <v>0</v>
      </c>
      <c r="SZ12" s="20" t="n">
        <f aca="false">IF(AND(HU12=1,GB12=1),(NF12+NJ12)/F12,0)</f>
        <v>0</v>
      </c>
      <c r="TA12" s="20" t="n">
        <f aca="false">IF(B12=0,NF12+NJ12,0)</f>
        <v>0</v>
      </c>
      <c r="TB12" s="20" t="n">
        <f aca="false">IF(B12=0,IF(HU12=1,NH12,NI12),0)</f>
        <v>0</v>
      </c>
      <c r="TC12" s="20" t="n">
        <f aca="false">IF(GL12=1,IF(HU12=1,NO12+NR12,GM12-OU12)*(1+Slot18_Rate),0)</f>
        <v>0</v>
      </c>
      <c r="TD12" s="20" t="n">
        <f aca="false">IF(AND(HU12=1,GL12=1),(NN12+NR12)/F12,0)</f>
        <v>0</v>
      </c>
      <c r="TE12" s="20" t="n">
        <f aca="false">IF(B12=0,NN12+NR12,0)</f>
        <v>0</v>
      </c>
      <c r="TF12" s="20" t="n">
        <f aca="false">IF(B12=0,IF(HU12=1,NP12,NQ12),0)</f>
        <v>0</v>
      </c>
      <c r="TG12" s="20" t="n">
        <f aca="false">IF(GV12=1,IF(HU12=1,NW12+NZ12,GW12-OS12)*(1+Slot19_Rate),0)</f>
        <v>0</v>
      </c>
      <c r="TH12" s="20" t="n">
        <f aca="false">IF(AND(HU12=1,GV12=1),(NV12+NZ12)/F12,0)</f>
        <v>0</v>
      </c>
      <c r="TI12" s="20" t="n">
        <f aca="false">IF(B12=0,NV12+NZ12,0)</f>
        <v>0</v>
      </c>
      <c r="TJ12" s="20" t="n">
        <f aca="false">IF(B12=0,IF(HU12=1,NX12,NY12),0)</f>
        <v>0</v>
      </c>
      <c r="TK12" s="20" t="n">
        <f aca="false">IF(HF12=1,IF(HU12=1,OE12+OH12,HG12-OQ12)*(1+Slot20_Rate),0)</f>
        <v>0</v>
      </c>
      <c r="TL12" s="20" t="n">
        <f aca="false">IF(AND(HU12=1,HF12=1),(OD12+OH12)/F12,0)</f>
        <v>0</v>
      </c>
      <c r="TM12" s="20" t="n">
        <f aca="false">IF(B12=0,OD12+OH12,0)</f>
        <v>0</v>
      </c>
      <c r="TN12" s="20" t="n">
        <f aca="false">IF(B12=0,IF(HU12=1,OF12,OG12),0)</f>
        <v>0</v>
      </c>
      <c r="TO12" s="20" t="n">
        <f aca="false">QK12+QL12+QM12+QQ12+QU12+QY12+RC12+RG12+RK12+RO12+RS12+RW12+SA12+SE12+SI12+SM12+SQ12+SU12+SY12+TC12+TG12+TK12</f>
        <v>21862.4756381574</v>
      </c>
      <c r="TP12" s="20" t="n">
        <f aca="false">QE12+HP12</f>
        <v>0</v>
      </c>
      <c r="TQ12" s="20" t="n">
        <f aca="false">I12+S12</f>
        <v>62869.4472</v>
      </c>
      <c r="TR12" s="20" t="n">
        <f aca="false">1-G12</f>
        <v>0</v>
      </c>
      <c r="TS12" s="20" t="n">
        <f aca="false">IF(AND(RG_Exists=1,G12=0,C12=1),I12,0)</f>
        <v>0</v>
      </c>
      <c r="TT12" s="20" t="n">
        <f aca="false">IF(AND(RG_Exists=1,G12=0,C12=1),I12-MIN(QE12,I12),0)</f>
        <v>0</v>
      </c>
      <c r="TU12" s="20" t="n">
        <f aca="false">'Plan pay &amp; tax'!AD238</f>
        <v>125878.770665925</v>
      </c>
      <c r="TV12" s="20" t="n">
        <f aca="false">IF(AND(C12=1,QE12&gt;MAX(PR_Short1,TQ12*PR_Short2)),1,0)</f>
        <v>0</v>
      </c>
      <c r="TW12" s="20" t="n">
        <f aca="false">MIN(H12,I12+S12)</f>
        <v>62869.4472</v>
      </c>
      <c r="TX12" s="20" t="n">
        <f aca="false">QF12+MAX(0,HQ12-HP12)</f>
        <v>0</v>
      </c>
      <c r="TY12" s="20" t="n">
        <f aca="false">QE12+HP12</f>
        <v>0</v>
      </c>
      <c r="TZ12" s="20" t="n">
        <f aca="false">IF(AND(C12=1,TY12&gt;PR_MinShort),1,0)</f>
        <v>0</v>
      </c>
      <c r="UA12" s="20" t="n">
        <f aca="false">IF(AND(C12=1,TZ12=0,TX12&gt;PR_MinShort),1,0)</f>
        <v>0</v>
      </c>
      <c r="UB12" s="20" t="n">
        <f aca="false">IF(AND(C12=1,QE12&gt;PR_MinShort),1,0)</f>
        <v>0</v>
      </c>
      <c r="UC12" s="20" t="n">
        <f aca="false">IF(AND(C12=1,QF12&gt;1,UJ12=0),1,0)</f>
        <v>0</v>
      </c>
      <c r="UD12" s="20" t="str">
        <f aca="false">IF(C12=0,"",IF(UJ12=1,"Gap to plan for: short "&amp;"€"&amp;TEXT(ROUND(TP12,0),"#,##0"),IF(QF12&gt;1,"Using savings","Comfortable")))</f>
        <v>Comfortable</v>
      </c>
      <c r="UE12" s="20" t="n">
        <f aca="false">IF(AND(INT(D12/10)*10=90,B12&gt;0),80,INT(D12/10)*10)</f>
        <v>40</v>
      </c>
      <c r="UF12" s="20" t="n">
        <f aca="false">IF(B12=0,1,IF(UE12&lt;&gt;UE11,UF11+1,UF11))</f>
        <v>2</v>
      </c>
      <c r="UG12" s="20" t="n">
        <f aca="false">IF(AND(C12=1,G12=1,QE12&gt;MAX(PR_Short1,TQ12*PR_Short2)),1,0)</f>
        <v>0</v>
      </c>
      <c r="UH12" s="20" t="n">
        <f aca="false">TR12*TV12</f>
        <v>0</v>
      </c>
      <c r="UI12" s="20" t="n">
        <f aca="false">IF(AND(V12=1,Slot1_PctLow=1),1,0)+IF(AND(AG12=1,Slot2_PctLow=1),1,0)+IF(AND(AQ12=1,Slot3_PctLow=1),1,0)+IF(AND(BA12=1,Slot4_PctLow=1),1,0)+IF(AND(BK12=1,Slot5_PctLow=1),1,0)+IF(AND(BU12=1,Slot6_PctLow=1),1,0)+IF(AND(CE12=1,Slot7_PctLow=1),1,0)+IF(AND(CO12=1,Slot8_PctLow=1),1,0)+IF(AND(CY12=1,Slot9_PctLow=1),1,0)+IF(AND(DI12=1,Slot10_PctLow=1),1,0)+IF(AND(DS12=1,Slot11_PctLow=1),1,0)+IF(AND(EC12=1,Slot12_PctLow=1),1,0)+IF(AND(EM12=1,Slot13_PctLow=1),1,0)+IF(AND(EW12=1,Slot14_PctLow=1),1,0)+IF(AND(FG12=1,Slot15_PctLow=1),1,0)+IF(AND(FQ12=1,Slot16_PctLow=1),1,0)+IF(AND(GA12=1,Slot17_PctLow=1),1,0)+IF(AND(GK12=1,Slot18_PctLow=1),1,0)+IF(AND(GU12=1,Slot19_PctLow=1),1,0)+IF(AND(HE12=1,Slot20_PctLow=1),1,0)</f>
        <v>0</v>
      </c>
      <c r="UJ12" s="20" t="n">
        <f aca="false">IF(C12=1,IF(OR(TV12=1,UI12&gt;0),1,0),0)</f>
        <v>0</v>
      </c>
    </row>
    <row r="13" customFormat="false" ht="15" hidden="false" customHeight="true" outlineLevel="0" collapsed="false">
      <c r="B13" s="20" t="n">
        <v>5</v>
      </c>
      <c r="C13" s="20" t="n">
        <f aca="false">IF(B13&lt;=F_N,1,0)</f>
        <v>1</v>
      </c>
      <c r="D13" s="20" t="n">
        <f aca="false">'Plan pay &amp; tax'!C239</f>
        <v>43</v>
      </c>
      <c r="E13" s="20" t="str">
        <f aca="false">IF($C13=1,"Income tax "&amp;TEXT(N('Plan pay &amp; tax'!BK239),"#,##0")&amp;"; USC "&amp;TEXT(N('Plan pay &amp; tax'!BM239)+N('Plan pay &amp; tax'!BO239),"#,##0")&amp;"; PRSI "&amp;TEXT(N('Plan pay &amp; tax'!BP239)+N('Plan pay &amp; tax'!BQ239),"#,##0")&amp;". DIRT and exit tax are inside the growth rates here.","")</f>
        <v>Income tax 10,869; USC 1,642; PRSI 3,948. DIRT and exit tax are inside the growth rates here.</v>
      </c>
      <c r="F13" s="44" t="n">
        <f aca="false">'Plan pay &amp; tax'!E239</f>
        <v>1.1040808032</v>
      </c>
      <c r="G13" s="20" t="n">
        <f aca="false">'Plan pay &amp; tax'!G239</f>
        <v>1</v>
      </c>
      <c r="H13" s="20" t="n">
        <f aca="false">'Plan pay &amp; tax'!BT239-'Plan pay &amp; tax'!BS239-'Plan pay &amp; tax'!R239</f>
        <v>70953.007667408</v>
      </c>
      <c r="I13" s="20" t="n">
        <f aca="false">IF(G13=1,F_CostsM*12,IF(RG_Exists=1,RG_Amount,F_CostsM*12*AS_RetireSpend))*F13+F_OneOffY*F13</f>
        <v>49683.636144</v>
      </c>
      <c r="J13" s="20" t="n">
        <f aca="false">HR12</f>
        <v>168928.367821573</v>
      </c>
      <c r="K13" s="20" t="n">
        <f aca="false">IF(J13&gt;1,'Plan debt months'!AC13,0)</f>
        <v>14160</v>
      </c>
      <c r="L13" s="20" t="n">
        <f aca="false">IF(J13&gt;1,'Plan debt months'!AB13,J13)</f>
        <v>161135.553618638</v>
      </c>
      <c r="M13" s="20" t="n">
        <f aca="false">O12</f>
        <v>0</v>
      </c>
      <c r="N13" s="20" t="n">
        <f aca="false">IF(M13&gt;1,'Plan debt months'!BD13,0)</f>
        <v>0</v>
      </c>
      <c r="O13" s="20" t="n">
        <f aca="false">IF(M13&gt;1,'Plan debt months'!BC13,M13)</f>
        <v>0</v>
      </c>
      <c r="P13" s="20" t="n">
        <f aca="false">R12</f>
        <v>0</v>
      </c>
      <c r="Q13" s="20" t="n">
        <f aca="false">IF(P13&gt;1,'Plan debt months'!CE13,0)</f>
        <v>0</v>
      </c>
      <c r="R13" s="20" t="n">
        <f aca="false">IF(P13&gt;1,'Plan debt months'!CD13,P13)</f>
        <v>0</v>
      </c>
      <c r="S13" s="20" t="n">
        <f aca="false">K13+N13+Q13</f>
        <v>14160</v>
      </c>
      <c r="T13" s="20" t="n">
        <f aca="false">QK12+'Plan pay &amp; tax'!Y239</f>
        <v>0</v>
      </c>
      <c r="U13" s="20" t="n">
        <f aca="false">QK12</f>
        <v>0</v>
      </c>
      <c r="V13" s="20" t="n">
        <f aca="false">IF(AND(Slot1_On=1,D13=Slot1_Age),1,0)</f>
        <v>0</v>
      </c>
      <c r="W13" s="20" t="n">
        <f aca="false">IF(AND(Slot1_On=1,Slot1_Age&gt;D13),1,0)</f>
        <v>0</v>
      </c>
      <c r="X13" s="20" t="n">
        <f aca="false">QM12</f>
        <v>0</v>
      </c>
      <c r="Y13" s="20" t="n">
        <f aca="false">V13*MIN(Slot1_Cost,X13)</f>
        <v>0</v>
      </c>
      <c r="Z13" s="20" t="n">
        <f aca="false">V13*Slot1_SpendLike*MIN(Slot1_Cost-Y13,T13)</f>
        <v>0</v>
      </c>
      <c r="AA13" s="20" t="n">
        <f aca="false">Y13+Z13</f>
        <v>0</v>
      </c>
      <c r="AB13" s="20" t="n">
        <f aca="false">T13-Z13+V13*IF(Slot1_SpendLike=1,X13-Y13,IF(Slot1_PotFree=1,X13,0))</f>
        <v>0</v>
      </c>
      <c r="AC13" s="20" t="n">
        <f aca="false">AF13+V13*Slot1_BufPot*X13</f>
        <v>16078.877406</v>
      </c>
      <c r="AD13" s="20" t="n">
        <f aca="false">IF(AND(V13=1,Slot1_IsMfree=1),IF(AA13&gt;=Slot1_Cost-1,0,MAX(0,L13-AA13)),L13)</f>
        <v>161135.553618638</v>
      </c>
      <c r="AE13" s="20" t="n">
        <f aca="false">V13*(Slot1_Cost-AA13)</f>
        <v>0</v>
      </c>
      <c r="AF13" s="20" t="n">
        <f aca="false">QL12</f>
        <v>16078.877406</v>
      </c>
      <c r="AG13" s="20" t="n">
        <f aca="false">IF(AND(Slot2_On=1,D13=Slot2_Age),1,0)</f>
        <v>0</v>
      </c>
      <c r="AH13" s="20" t="n">
        <f aca="false">IF(AND(Slot2_On=1,Slot2_Age&gt;D13),1,0)</f>
        <v>0</v>
      </c>
      <c r="AI13" s="20" t="n">
        <f aca="false">QQ12</f>
        <v>0</v>
      </c>
      <c r="AJ13" s="20" t="n">
        <f aca="false">AG13*MIN(Slot2_Cost,AI13)</f>
        <v>0</v>
      </c>
      <c r="AK13" s="20" t="n">
        <f aca="false">AG13*Slot2_SpendLike*MIN(Slot2_Cost-AJ13,AB13)</f>
        <v>0</v>
      </c>
      <c r="AL13" s="20" t="n">
        <f aca="false">AJ13+AK13</f>
        <v>0</v>
      </c>
      <c r="AM13" s="20" t="n">
        <f aca="false">AB13-AK13+AG13*IF(Slot2_SpendLike=1,AI13-AJ13,IF(Slot2_PotFree=1,AI13,0))</f>
        <v>0</v>
      </c>
      <c r="AN13" s="20" t="n">
        <f aca="false">AC13+AG13*Slot2_BufPot*AI13</f>
        <v>16078.877406</v>
      </c>
      <c r="AO13" s="20" t="n">
        <f aca="false">IF(AND(AG13=1,Slot2_IsMfree=1),IF(AL13&gt;=Slot2_Cost-1,0,MAX(0,AD13-AL13)),AD13)</f>
        <v>161135.553618638</v>
      </c>
      <c r="AP13" s="20" t="n">
        <f aca="false">AG13*(Slot2_Cost-AL13)</f>
        <v>0</v>
      </c>
      <c r="AQ13" s="20" t="n">
        <f aca="false">IF(AND(Slot3_On=1,D13=Slot3_Age),1,0)</f>
        <v>0</v>
      </c>
      <c r="AR13" s="20" t="n">
        <f aca="false">IF(AND(Slot3_On=1,Slot3_Age&gt;D13),1,0)</f>
        <v>1</v>
      </c>
      <c r="AS13" s="20" t="n">
        <f aca="false">QU12</f>
        <v>5783.59823215738</v>
      </c>
      <c r="AT13" s="20" t="n">
        <f aca="false">AQ13*MIN(Slot3_Cost,AS13)</f>
        <v>0</v>
      </c>
      <c r="AU13" s="20" t="n">
        <f aca="false">AQ13*Slot3_SpendLike*MIN(Slot3_Cost-AT13,AM13)</f>
        <v>0</v>
      </c>
      <c r="AV13" s="20" t="n">
        <f aca="false">AT13+AU13</f>
        <v>0</v>
      </c>
      <c r="AW13" s="20" t="n">
        <f aca="false">AM13-AU13+AQ13*IF(Slot3_SpendLike=1,AS13-AT13,IF(Slot3_PotFree=1,AS13,0))</f>
        <v>0</v>
      </c>
      <c r="AX13" s="20" t="n">
        <f aca="false">AN13+AQ13*Slot3_BufPot*AS13</f>
        <v>16078.877406</v>
      </c>
      <c r="AY13" s="20" t="n">
        <f aca="false">IF(AND(AQ13=1,Slot3_IsMfree=1),IF(AV13&gt;=Slot3_Cost-1,0,MAX(0,AO13-AV13)),AO13)</f>
        <v>161135.553618638</v>
      </c>
      <c r="AZ13" s="20" t="n">
        <f aca="false">AQ13*(Slot3_Cost-AV13)</f>
        <v>0</v>
      </c>
      <c r="BA13" s="20" t="n">
        <f aca="false">IF(AND(Slot4_On=1,D13=Slot4_Age),1,0)</f>
        <v>0</v>
      </c>
      <c r="BB13" s="20" t="n">
        <f aca="false">IF(AND(Slot4_On=1,Slot4_Age&gt;D13),1,0)</f>
        <v>1</v>
      </c>
      <c r="BC13" s="20" t="n">
        <f aca="false">QY12</f>
        <v>0</v>
      </c>
      <c r="BD13" s="20" t="n">
        <f aca="false">BA13*MIN(Slot4_Cost,BC13)</f>
        <v>0</v>
      </c>
      <c r="BE13" s="20" t="n">
        <f aca="false">BA13*Slot4_SpendLike*MIN(Slot4_Cost-BD13,AW13)</f>
        <v>0</v>
      </c>
      <c r="BF13" s="20" t="n">
        <f aca="false">BD13+BE13</f>
        <v>0</v>
      </c>
      <c r="BG13" s="20" t="n">
        <f aca="false">AW13-BE13+BA13*IF(Slot4_SpendLike=1,BC13-BD13,IF(Slot4_PotFree=1,BC13,0))</f>
        <v>0</v>
      </c>
      <c r="BH13" s="20" t="n">
        <f aca="false">AX13+BA13*Slot4_BufPot*BC13</f>
        <v>16078.877406</v>
      </c>
      <c r="BI13" s="20" t="n">
        <f aca="false">IF(AND(BA13=1,Slot4_IsMfree=1),IF(BF13&gt;=Slot4_Cost-1,0,MAX(0,AY13-BF13)),AY13)</f>
        <v>161135.553618638</v>
      </c>
      <c r="BJ13" s="20" t="n">
        <f aca="false">BA13*(Slot4_Cost-BF13)</f>
        <v>0</v>
      </c>
      <c r="BK13" s="20" t="n">
        <f aca="false">IF(AND(Slot5_On=1,D13=Slot5_Age),1,0)</f>
        <v>0</v>
      </c>
      <c r="BL13" s="20" t="n">
        <f aca="false">IF(AND(Slot5_On=1,Slot5_Age&gt;D13),1,0)</f>
        <v>0</v>
      </c>
      <c r="BM13" s="20" t="n">
        <f aca="false">RC12</f>
        <v>0</v>
      </c>
      <c r="BN13" s="20" t="n">
        <f aca="false">BK13*MIN(Slot5_Cost,BM13)</f>
        <v>0</v>
      </c>
      <c r="BO13" s="20" t="n">
        <f aca="false">BK13*Slot5_SpendLike*MIN(Slot5_Cost-BN13,BG13)</f>
        <v>0</v>
      </c>
      <c r="BP13" s="20" t="n">
        <f aca="false">BN13+BO13</f>
        <v>0</v>
      </c>
      <c r="BQ13" s="20" t="n">
        <f aca="false">BG13-BO13+BK13*IF(Slot5_SpendLike=1,BM13-BN13,IF(Slot5_PotFree=1,BM13,0))</f>
        <v>0</v>
      </c>
      <c r="BR13" s="20" t="n">
        <f aca="false">BH13+BK13*Slot5_BufPot*BM13</f>
        <v>16078.877406</v>
      </c>
      <c r="BS13" s="20" t="n">
        <f aca="false">IF(AND(BK13=1,Slot5_IsMfree=1),IF(BP13&gt;=Slot5_Cost-1,0,MAX(0,BI13-BP13)),BI13)</f>
        <v>161135.553618638</v>
      </c>
      <c r="BT13" s="20" t="n">
        <f aca="false">BK13*(Slot5_Cost-BP13)</f>
        <v>0</v>
      </c>
      <c r="BU13" s="20" t="n">
        <f aca="false">IF(AND(Slot6_On=1,D13=Slot6_Age),1,0)</f>
        <v>0</v>
      </c>
      <c r="BV13" s="20" t="n">
        <f aca="false">IF(AND(Slot6_On=1,Slot6_Age&gt;D13),1,0)</f>
        <v>0</v>
      </c>
      <c r="BW13" s="20" t="n">
        <f aca="false">RG12</f>
        <v>0</v>
      </c>
      <c r="BX13" s="20" t="n">
        <f aca="false">BU13*MIN(Slot6_Cost,BW13)</f>
        <v>0</v>
      </c>
      <c r="BY13" s="20" t="n">
        <f aca="false">BU13*Slot6_SpendLike*MIN(Slot6_Cost-BX13,BQ13)</f>
        <v>0</v>
      </c>
      <c r="BZ13" s="20" t="n">
        <f aca="false">BX13+BY13</f>
        <v>0</v>
      </c>
      <c r="CA13" s="20" t="n">
        <f aca="false">BQ13-BY13+BU13*IF(Slot6_SpendLike=1,BW13-BX13,IF(Slot6_PotFree=1,BW13,0))</f>
        <v>0</v>
      </c>
      <c r="CB13" s="20" t="n">
        <f aca="false">BR13+BU13*Slot6_BufPot*BW13</f>
        <v>16078.877406</v>
      </c>
      <c r="CC13" s="20" t="n">
        <f aca="false">IF(AND(BU13=1,Slot6_IsMfree=1),IF(BZ13&gt;=Slot6_Cost-1,0,MAX(0,BS13-BZ13)),BS13)</f>
        <v>161135.553618638</v>
      </c>
      <c r="CD13" s="20" t="n">
        <f aca="false">BU13*(Slot6_Cost-BZ13)</f>
        <v>0</v>
      </c>
      <c r="CE13" s="20" t="n">
        <f aca="false">IF(AND(Slot7_On=1,D13=Slot7_Age),1,0)</f>
        <v>0</v>
      </c>
      <c r="CF13" s="20" t="n">
        <f aca="false">IF(AND(Slot7_On=1,Slot7_Age&gt;D13),1,0)</f>
        <v>0</v>
      </c>
      <c r="CG13" s="20" t="n">
        <f aca="false">RK12</f>
        <v>0</v>
      </c>
      <c r="CH13" s="20" t="n">
        <f aca="false">CE13*MIN(Slot7_Cost,CG13)</f>
        <v>0</v>
      </c>
      <c r="CI13" s="20" t="n">
        <f aca="false">CE13*Slot7_SpendLike*MIN(Slot7_Cost-CH13,CA13)</f>
        <v>0</v>
      </c>
      <c r="CJ13" s="20" t="n">
        <f aca="false">CH13+CI13</f>
        <v>0</v>
      </c>
      <c r="CK13" s="20" t="n">
        <f aca="false">CA13-CI13+CE13*IF(Slot7_SpendLike=1,CG13-CH13,IF(Slot7_PotFree=1,CG13,0))</f>
        <v>0</v>
      </c>
      <c r="CL13" s="20" t="n">
        <f aca="false">CB13+CE13*Slot7_BufPot*CG13</f>
        <v>16078.877406</v>
      </c>
      <c r="CM13" s="20" t="n">
        <f aca="false">IF(AND(CE13=1,Slot7_IsMfree=1),IF(CJ13&gt;=Slot7_Cost-1,0,MAX(0,CC13-CJ13)),CC13)</f>
        <v>161135.553618638</v>
      </c>
      <c r="CN13" s="20" t="n">
        <f aca="false">CE13*(Slot7_Cost-CJ13)</f>
        <v>0</v>
      </c>
      <c r="CO13" s="20" t="n">
        <f aca="false">IF(AND(Slot8_On=1,D13=Slot8_Age),1,0)</f>
        <v>0</v>
      </c>
      <c r="CP13" s="20" t="n">
        <f aca="false">IF(AND(Slot8_On=1,Slot8_Age&gt;D13),1,0)</f>
        <v>0</v>
      </c>
      <c r="CQ13" s="20" t="n">
        <f aca="false">RO12</f>
        <v>0</v>
      </c>
      <c r="CR13" s="20" t="n">
        <f aca="false">CO13*MIN(Slot8_Cost,CQ13)</f>
        <v>0</v>
      </c>
      <c r="CS13" s="20" t="n">
        <f aca="false">CO13*Slot8_SpendLike*MIN(Slot8_Cost-CR13,CK13)</f>
        <v>0</v>
      </c>
      <c r="CT13" s="20" t="n">
        <f aca="false">CR13+CS13</f>
        <v>0</v>
      </c>
      <c r="CU13" s="20" t="n">
        <f aca="false">CK13-CS13+CO13*IF(Slot8_SpendLike=1,CQ13-CR13,IF(Slot8_PotFree=1,CQ13,0))</f>
        <v>0</v>
      </c>
      <c r="CV13" s="20" t="n">
        <f aca="false">CL13+CO13*Slot8_BufPot*CQ13</f>
        <v>16078.877406</v>
      </c>
      <c r="CW13" s="20" t="n">
        <f aca="false">IF(AND(CO13=1,Slot8_IsMfree=1),IF(CT13&gt;=Slot8_Cost-1,0,MAX(0,CM13-CT13)),CM13)</f>
        <v>161135.553618638</v>
      </c>
      <c r="CX13" s="20" t="n">
        <f aca="false">CO13*(Slot8_Cost-CT13)</f>
        <v>0</v>
      </c>
      <c r="CY13" s="20" t="n">
        <f aca="false">IF(AND(Slot9_On=1,D13=Slot9_Age),1,0)</f>
        <v>0</v>
      </c>
      <c r="CZ13" s="20" t="n">
        <f aca="false">IF(AND(Slot9_On=1,Slot9_Age&gt;D13),1,0)</f>
        <v>0</v>
      </c>
      <c r="DA13" s="20" t="n">
        <f aca="false">RS12</f>
        <v>0</v>
      </c>
      <c r="DB13" s="20" t="n">
        <f aca="false">CY13*MIN(Slot9_Cost,DA13)</f>
        <v>0</v>
      </c>
      <c r="DC13" s="20" t="n">
        <f aca="false">CY13*Slot9_SpendLike*MIN(Slot9_Cost-DB13,CU13)</f>
        <v>0</v>
      </c>
      <c r="DD13" s="20" t="n">
        <f aca="false">DB13+DC13</f>
        <v>0</v>
      </c>
      <c r="DE13" s="20" t="n">
        <f aca="false">CU13-DC13+CY13*IF(Slot9_SpendLike=1,DA13-DB13,IF(Slot9_PotFree=1,DA13,0))</f>
        <v>0</v>
      </c>
      <c r="DF13" s="20" t="n">
        <f aca="false">CV13+CY13*Slot9_BufPot*DA13</f>
        <v>16078.877406</v>
      </c>
      <c r="DG13" s="20" t="n">
        <f aca="false">IF(AND(CY13=1,Slot9_IsMfree=1),IF(DD13&gt;=Slot9_Cost-1,0,MAX(0,CW13-DD13)),CW13)</f>
        <v>161135.553618638</v>
      </c>
      <c r="DH13" s="20" t="n">
        <f aca="false">CY13*(Slot9_Cost-DD13)</f>
        <v>0</v>
      </c>
      <c r="DI13" s="20" t="n">
        <f aca="false">IF(AND(Slot10_On=1,D13=Slot10_Age),1,0)</f>
        <v>0</v>
      </c>
      <c r="DJ13" s="20" t="n">
        <f aca="false">IF(AND(Slot10_On=1,Slot10_Age&gt;D13),1,0)</f>
        <v>0</v>
      </c>
      <c r="DK13" s="20" t="n">
        <f aca="false">RW12</f>
        <v>0</v>
      </c>
      <c r="DL13" s="20" t="n">
        <f aca="false">DI13*MIN(Slot10_Cost,DK13)</f>
        <v>0</v>
      </c>
      <c r="DM13" s="20" t="n">
        <f aca="false">DI13*Slot10_SpendLike*MIN(Slot10_Cost-DL13,DE13)</f>
        <v>0</v>
      </c>
      <c r="DN13" s="20" t="n">
        <f aca="false">DL13+DM13</f>
        <v>0</v>
      </c>
      <c r="DO13" s="20" t="n">
        <f aca="false">DE13-DM13+DI13*IF(Slot10_SpendLike=1,DK13-DL13,IF(Slot10_PotFree=1,DK13,0))</f>
        <v>0</v>
      </c>
      <c r="DP13" s="20" t="n">
        <f aca="false">DF13+DI13*Slot10_BufPot*DK13</f>
        <v>16078.877406</v>
      </c>
      <c r="DQ13" s="20" t="n">
        <f aca="false">IF(AND(DI13=1,Slot10_IsMfree=1),IF(DN13&gt;=Slot10_Cost-1,0,MAX(0,DG13-DN13)),DG13)</f>
        <v>161135.553618638</v>
      </c>
      <c r="DR13" s="20" t="n">
        <f aca="false">DI13*(Slot10_Cost-DN13)</f>
        <v>0</v>
      </c>
      <c r="DS13" s="20" t="n">
        <f aca="false">IF(AND(Slot11_On=1,D13=Slot11_Age),1,0)</f>
        <v>0</v>
      </c>
      <c r="DT13" s="20" t="n">
        <f aca="false">IF(AND(Slot11_On=1,Slot11_Age&gt;D13),1,0)</f>
        <v>0</v>
      </c>
      <c r="DU13" s="20" t="n">
        <f aca="false">SA12</f>
        <v>0</v>
      </c>
      <c r="DV13" s="20" t="n">
        <f aca="false">DS13*MIN(Slot11_Cost,DU13)</f>
        <v>0</v>
      </c>
      <c r="DW13" s="20" t="n">
        <f aca="false">DS13*Slot11_SpendLike*MIN(Slot11_Cost-DV13,DO13)</f>
        <v>0</v>
      </c>
      <c r="DX13" s="20" t="n">
        <f aca="false">DV13+DW13</f>
        <v>0</v>
      </c>
      <c r="DY13" s="20" t="n">
        <f aca="false">DO13-DW13+DS13*IF(Slot11_SpendLike=1,DU13-DV13,IF(Slot11_PotFree=1,DU13,0))</f>
        <v>0</v>
      </c>
      <c r="DZ13" s="20" t="n">
        <f aca="false">DP13+DS13*Slot11_BufPot*DU13</f>
        <v>16078.877406</v>
      </c>
      <c r="EA13" s="20" t="n">
        <f aca="false">IF(AND(DS13=1,Slot11_IsMfree=1),IF(DX13&gt;=Slot11_Cost-1,0,MAX(0,DQ13-DX13)),DQ13)</f>
        <v>161135.553618638</v>
      </c>
      <c r="EB13" s="20" t="n">
        <f aca="false">DS13*(Slot11_Cost-DX13)</f>
        <v>0</v>
      </c>
      <c r="EC13" s="20" t="n">
        <f aca="false">IF(AND(Slot12_On=1,D13=Slot12_Age),1,0)</f>
        <v>0</v>
      </c>
      <c r="ED13" s="20" t="n">
        <f aca="false">IF(AND(Slot12_On=1,Slot12_Age&gt;D13),1,0)</f>
        <v>0</v>
      </c>
      <c r="EE13" s="20" t="n">
        <f aca="false">SE12</f>
        <v>0</v>
      </c>
      <c r="EF13" s="20" t="n">
        <f aca="false">EC13*MIN(Slot12_Cost,EE13)</f>
        <v>0</v>
      </c>
      <c r="EG13" s="20" t="n">
        <f aca="false">EC13*Slot12_SpendLike*MIN(Slot12_Cost-EF13,DY13)</f>
        <v>0</v>
      </c>
      <c r="EH13" s="20" t="n">
        <f aca="false">EF13+EG13</f>
        <v>0</v>
      </c>
      <c r="EI13" s="20" t="n">
        <f aca="false">DY13-EG13+EC13*IF(Slot12_SpendLike=1,EE13-EF13,IF(Slot12_PotFree=1,EE13,0))</f>
        <v>0</v>
      </c>
      <c r="EJ13" s="20" t="n">
        <f aca="false">DZ13+EC13*Slot12_BufPot*EE13</f>
        <v>16078.877406</v>
      </c>
      <c r="EK13" s="20" t="n">
        <f aca="false">IF(AND(EC13=1,Slot12_IsMfree=1),IF(EH13&gt;=Slot12_Cost-1,0,MAX(0,EA13-EH13)),EA13)</f>
        <v>161135.553618638</v>
      </c>
      <c r="EL13" s="20" t="n">
        <f aca="false">EC13*(Slot12_Cost-EH13)</f>
        <v>0</v>
      </c>
      <c r="EM13" s="20" t="n">
        <f aca="false">IF(AND(Slot13_On=1,D13=Slot13_Age),1,0)</f>
        <v>0</v>
      </c>
      <c r="EN13" s="20" t="n">
        <f aca="false">IF(AND(Slot13_On=1,Slot13_Age&gt;D13),1,0)</f>
        <v>0</v>
      </c>
      <c r="EO13" s="20" t="n">
        <f aca="false">SI12</f>
        <v>0</v>
      </c>
      <c r="EP13" s="20" t="n">
        <f aca="false">EM13*MIN(Slot13_Cost,EO13)</f>
        <v>0</v>
      </c>
      <c r="EQ13" s="20" t="n">
        <f aca="false">EM13*Slot13_SpendLike*MIN(Slot13_Cost-EP13,EI13)</f>
        <v>0</v>
      </c>
      <c r="ER13" s="20" t="n">
        <f aca="false">EP13+EQ13</f>
        <v>0</v>
      </c>
      <c r="ES13" s="20" t="n">
        <f aca="false">EI13-EQ13+EM13*IF(Slot13_SpendLike=1,EO13-EP13,IF(Slot13_PotFree=1,EO13,0))</f>
        <v>0</v>
      </c>
      <c r="ET13" s="20" t="n">
        <f aca="false">EJ13+EM13*Slot13_BufPot*EO13</f>
        <v>16078.877406</v>
      </c>
      <c r="EU13" s="20" t="n">
        <f aca="false">IF(AND(EM13=1,Slot13_IsMfree=1),IF(ER13&gt;=Slot13_Cost-1,0,MAX(0,EK13-ER13)),EK13)</f>
        <v>161135.553618638</v>
      </c>
      <c r="EV13" s="20" t="n">
        <f aca="false">EM13*(Slot13_Cost-ER13)</f>
        <v>0</v>
      </c>
      <c r="EW13" s="20" t="n">
        <f aca="false">IF(AND(Slot14_On=1,D13=Slot14_Age),1,0)</f>
        <v>0</v>
      </c>
      <c r="EX13" s="20" t="n">
        <f aca="false">IF(AND(Slot14_On=1,Slot14_Age&gt;D13),1,0)</f>
        <v>0</v>
      </c>
      <c r="EY13" s="20" t="n">
        <f aca="false">SM12</f>
        <v>0</v>
      </c>
      <c r="EZ13" s="20" t="n">
        <f aca="false">EW13*MIN(Slot14_Cost,EY13)</f>
        <v>0</v>
      </c>
      <c r="FA13" s="20" t="n">
        <f aca="false">EW13*Slot14_SpendLike*MIN(Slot14_Cost-EZ13,ES13)</f>
        <v>0</v>
      </c>
      <c r="FB13" s="20" t="n">
        <f aca="false">EZ13+FA13</f>
        <v>0</v>
      </c>
      <c r="FC13" s="20" t="n">
        <f aca="false">ES13-FA13+EW13*IF(Slot14_SpendLike=1,EY13-EZ13,IF(Slot14_PotFree=1,EY13,0))</f>
        <v>0</v>
      </c>
      <c r="FD13" s="20" t="n">
        <f aca="false">ET13+EW13*Slot14_BufPot*EY13</f>
        <v>16078.877406</v>
      </c>
      <c r="FE13" s="20" t="n">
        <f aca="false">IF(AND(EW13=1,Slot14_IsMfree=1),IF(FB13&gt;=Slot14_Cost-1,0,MAX(0,EU13-FB13)),EU13)</f>
        <v>161135.553618638</v>
      </c>
      <c r="FF13" s="20" t="n">
        <f aca="false">EW13*(Slot14_Cost-FB13)</f>
        <v>0</v>
      </c>
      <c r="FG13" s="20" t="n">
        <f aca="false">IF(AND(Slot15_On=1,D13=Slot15_Age),1,0)</f>
        <v>0</v>
      </c>
      <c r="FH13" s="20" t="n">
        <f aca="false">IF(AND(Slot15_On=1,Slot15_Age&gt;D13),1,0)</f>
        <v>0</v>
      </c>
      <c r="FI13" s="20" t="n">
        <f aca="false">SQ12</f>
        <v>0</v>
      </c>
      <c r="FJ13" s="20" t="n">
        <f aca="false">FG13*MIN(Slot15_Cost,FI13)</f>
        <v>0</v>
      </c>
      <c r="FK13" s="20" t="n">
        <f aca="false">FG13*Slot15_SpendLike*MIN(Slot15_Cost-FJ13,FC13)</f>
        <v>0</v>
      </c>
      <c r="FL13" s="20" t="n">
        <f aca="false">FJ13+FK13</f>
        <v>0</v>
      </c>
      <c r="FM13" s="20" t="n">
        <f aca="false">FC13-FK13+FG13*IF(Slot15_SpendLike=1,FI13-FJ13,IF(Slot15_PotFree=1,FI13,0))</f>
        <v>0</v>
      </c>
      <c r="FN13" s="20" t="n">
        <f aca="false">FD13+FG13*Slot15_BufPot*FI13</f>
        <v>16078.877406</v>
      </c>
      <c r="FO13" s="20" t="n">
        <f aca="false">IF(AND(FG13=1,Slot15_IsMfree=1),IF(FL13&gt;=Slot15_Cost-1,0,MAX(0,FE13-FL13)),FE13)</f>
        <v>161135.553618638</v>
      </c>
      <c r="FP13" s="20" t="n">
        <f aca="false">FG13*(Slot15_Cost-FL13)</f>
        <v>0</v>
      </c>
      <c r="FQ13" s="20" t="n">
        <f aca="false">IF(AND(Slot16_On=1,D13=Slot16_Age),1,0)</f>
        <v>0</v>
      </c>
      <c r="FR13" s="20" t="n">
        <f aca="false">IF(AND(Slot16_On=1,Slot16_Age&gt;D13),1,0)</f>
        <v>0</v>
      </c>
      <c r="FS13" s="20" t="n">
        <f aca="false">SU12</f>
        <v>0</v>
      </c>
      <c r="FT13" s="20" t="n">
        <f aca="false">FQ13*MIN(Slot16_Cost,FS13)</f>
        <v>0</v>
      </c>
      <c r="FU13" s="20" t="n">
        <f aca="false">FQ13*Slot16_SpendLike*MIN(Slot16_Cost-FT13,FM13)</f>
        <v>0</v>
      </c>
      <c r="FV13" s="20" t="n">
        <f aca="false">FT13+FU13</f>
        <v>0</v>
      </c>
      <c r="FW13" s="20" t="n">
        <f aca="false">FM13-FU13+FQ13*IF(Slot16_SpendLike=1,FS13-FT13,IF(Slot16_PotFree=1,FS13,0))</f>
        <v>0</v>
      </c>
      <c r="FX13" s="20" t="n">
        <f aca="false">FN13+FQ13*Slot16_BufPot*FS13</f>
        <v>16078.877406</v>
      </c>
      <c r="FY13" s="20" t="n">
        <f aca="false">IF(AND(FQ13=1,Slot16_IsMfree=1),IF(FV13&gt;=Slot16_Cost-1,0,MAX(0,FO13-FV13)),FO13)</f>
        <v>161135.553618638</v>
      </c>
      <c r="FZ13" s="20" t="n">
        <f aca="false">FQ13*(Slot16_Cost-FV13)</f>
        <v>0</v>
      </c>
      <c r="GA13" s="20" t="n">
        <f aca="false">IF(AND(Slot17_On=1,D13=Slot17_Age),1,0)</f>
        <v>0</v>
      </c>
      <c r="GB13" s="20" t="n">
        <f aca="false">IF(AND(Slot17_On=1,Slot17_Age&gt;D13),1,0)</f>
        <v>0</v>
      </c>
      <c r="GC13" s="20" t="n">
        <f aca="false">SY12</f>
        <v>0</v>
      </c>
      <c r="GD13" s="20" t="n">
        <f aca="false">GA13*MIN(Slot17_Cost,GC13)</f>
        <v>0</v>
      </c>
      <c r="GE13" s="20" t="n">
        <f aca="false">GA13*Slot17_SpendLike*MIN(Slot17_Cost-GD13,FW13)</f>
        <v>0</v>
      </c>
      <c r="GF13" s="20" t="n">
        <f aca="false">GD13+GE13</f>
        <v>0</v>
      </c>
      <c r="GG13" s="20" t="n">
        <f aca="false">FW13-GE13+GA13*IF(Slot17_SpendLike=1,GC13-GD13,IF(Slot17_PotFree=1,GC13,0))</f>
        <v>0</v>
      </c>
      <c r="GH13" s="20" t="n">
        <f aca="false">FX13+GA13*Slot17_BufPot*GC13</f>
        <v>16078.877406</v>
      </c>
      <c r="GI13" s="20" t="n">
        <f aca="false">IF(AND(GA13=1,Slot17_IsMfree=1),IF(GF13&gt;=Slot17_Cost-1,0,MAX(0,FY13-GF13)),FY13)</f>
        <v>161135.553618638</v>
      </c>
      <c r="GJ13" s="20" t="n">
        <f aca="false">GA13*(Slot17_Cost-GF13)</f>
        <v>0</v>
      </c>
      <c r="GK13" s="20" t="n">
        <f aca="false">IF(AND(Slot18_On=1,D13=Slot18_Age),1,0)</f>
        <v>0</v>
      </c>
      <c r="GL13" s="20" t="n">
        <f aca="false">IF(AND(Slot18_On=1,Slot18_Age&gt;D13),1,0)</f>
        <v>0</v>
      </c>
      <c r="GM13" s="20" t="n">
        <f aca="false">TC12</f>
        <v>0</v>
      </c>
      <c r="GN13" s="20" t="n">
        <f aca="false">GK13*MIN(Slot18_Cost,GM13)</f>
        <v>0</v>
      </c>
      <c r="GO13" s="20" t="n">
        <f aca="false">GK13*Slot18_SpendLike*MIN(Slot18_Cost-GN13,GG13)</f>
        <v>0</v>
      </c>
      <c r="GP13" s="20" t="n">
        <f aca="false">GN13+GO13</f>
        <v>0</v>
      </c>
      <c r="GQ13" s="20" t="n">
        <f aca="false">GG13-GO13+GK13*IF(Slot18_SpendLike=1,GM13-GN13,IF(Slot18_PotFree=1,GM13,0))</f>
        <v>0</v>
      </c>
      <c r="GR13" s="20" t="n">
        <f aca="false">GH13+GK13*Slot18_BufPot*GM13</f>
        <v>16078.877406</v>
      </c>
      <c r="GS13" s="20" t="n">
        <f aca="false">IF(AND(GK13=1,Slot18_IsMfree=1),IF(GP13&gt;=Slot18_Cost-1,0,MAX(0,GI13-GP13)),GI13)</f>
        <v>161135.553618638</v>
      </c>
      <c r="GT13" s="20" t="n">
        <f aca="false">GK13*(Slot18_Cost-GP13)</f>
        <v>0</v>
      </c>
      <c r="GU13" s="20" t="n">
        <f aca="false">IF(AND(Slot19_On=1,D13=Slot19_Age),1,0)</f>
        <v>0</v>
      </c>
      <c r="GV13" s="20" t="n">
        <f aca="false">IF(AND(Slot19_On=1,Slot19_Age&gt;D13),1,0)</f>
        <v>0</v>
      </c>
      <c r="GW13" s="20" t="n">
        <f aca="false">TG12</f>
        <v>0</v>
      </c>
      <c r="GX13" s="20" t="n">
        <f aca="false">GU13*MIN(Slot19_Cost,GW13)</f>
        <v>0</v>
      </c>
      <c r="GY13" s="20" t="n">
        <f aca="false">GU13*Slot19_SpendLike*MIN(Slot19_Cost-GX13,GQ13)</f>
        <v>0</v>
      </c>
      <c r="GZ13" s="20" t="n">
        <f aca="false">GX13+GY13</f>
        <v>0</v>
      </c>
      <c r="HA13" s="20" t="n">
        <f aca="false">GQ13-GY13+GU13*IF(Slot19_SpendLike=1,GW13-GX13,IF(Slot19_PotFree=1,GW13,0))</f>
        <v>0</v>
      </c>
      <c r="HB13" s="20" t="n">
        <f aca="false">GR13+GU13*Slot19_BufPot*GW13</f>
        <v>16078.877406</v>
      </c>
      <c r="HC13" s="20" t="n">
        <f aca="false">IF(AND(GU13=1,Slot19_IsMfree=1),IF(GZ13&gt;=Slot19_Cost-1,0,MAX(0,GS13-GZ13)),GS13)</f>
        <v>161135.553618638</v>
      </c>
      <c r="HD13" s="20" t="n">
        <f aca="false">GU13*(Slot19_Cost-GZ13)</f>
        <v>0</v>
      </c>
      <c r="HE13" s="20" t="n">
        <f aca="false">IF(AND(Slot20_On=1,D13=Slot20_Age),1,0)</f>
        <v>0</v>
      </c>
      <c r="HF13" s="20" t="n">
        <f aca="false">IF(AND(Slot20_On=1,Slot20_Age&gt;D13),1,0)</f>
        <v>0</v>
      </c>
      <c r="HG13" s="20" t="n">
        <f aca="false">TK12</f>
        <v>0</v>
      </c>
      <c r="HH13" s="20" t="n">
        <f aca="false">HE13*MIN(Slot20_Cost,HG13)</f>
        <v>0</v>
      </c>
      <c r="HI13" s="20" t="n">
        <f aca="false">HE13*Slot20_SpendLike*MIN(Slot20_Cost-HH13,HA13)</f>
        <v>0</v>
      </c>
      <c r="HJ13" s="20" t="n">
        <f aca="false">HH13+HI13</f>
        <v>0</v>
      </c>
      <c r="HK13" s="20" t="n">
        <f aca="false">HA13-HI13+HE13*IF(Slot20_SpendLike=1,HG13-HH13,IF(Slot20_PotFree=1,HG13,0))</f>
        <v>0</v>
      </c>
      <c r="HL13" s="20" t="n">
        <f aca="false">HB13+HE13*Slot20_BufPot*HG13</f>
        <v>16078.877406</v>
      </c>
      <c r="HM13" s="20" t="n">
        <f aca="false">IF(AND(HE13=1,Slot20_IsMfree=1),IF(HJ13&gt;=Slot20_Cost-1,0,MAX(0,HC13-HJ13)),HC13)</f>
        <v>161135.553618638</v>
      </c>
      <c r="HN13" s="20" t="n">
        <f aca="false">HE13*(Slot20_Cost-HJ13)</f>
        <v>0</v>
      </c>
      <c r="HO13" s="20" t="n">
        <f aca="false">V13*Slot1_SpendLike*AA13+AG13*Slot2_SpendLike*AL13+AQ13*Slot3_SpendLike*AV13+BA13*Slot4_SpendLike*BF13+BK13*Slot5_SpendLike*BP13+BU13*Slot6_SpendLike*BZ13+CE13*Slot7_SpendLike*CJ13+CO13*Slot8_SpendLike*CT13+CY13*Slot9_SpendLike*DD13+DI13*Slot10_SpendLike*DN13+DS13*Slot11_SpendLike*DX13+EC13*Slot12_SpendLike*EH13+EM13*Slot13_SpendLike*ER13+EW13*Slot14_SpendLike*FB13+FG13*Slot15_SpendLike*FL13+FQ13*Slot16_SpendLike*FV13+GA13*Slot17_SpendLike*GF13+GK13*Slot18_SpendLike*GP13+GU13*Slot19_SpendLike*GZ13+HE13*Slot20_SpendLike*HJ13</f>
        <v>0</v>
      </c>
      <c r="HP13" s="20" t="n">
        <f aca="false">AE13+AP13+AZ13+BJ13+BT13+CD13+CN13+CX13+DH13+DR13+EB13+EL13+EV13+FF13+FP13+FZ13+GJ13+GT13+HD13+HN13</f>
        <v>0</v>
      </c>
      <c r="HQ13" s="20" t="n">
        <f aca="false">V13*Slot1_Cost+AG13*Slot2_Cost+AQ13*Slot3_Cost+BA13*Slot4_Cost+BK13*Slot5_Cost+BU13*Slot6_Cost+CE13*Slot7_Cost+CO13*Slot8_Cost+CY13*Slot9_Cost+DI13*Slot10_Cost+DS13*Slot11_Cost+EC13*Slot12_Cost+EM13*Slot13_Cost+EW13*Slot14_Cost+FG13*Slot15_Cost+FQ13*Slot16_Cost+GA13*Slot17_Cost+GK13*Slot18_Cost+GU13*Slot19_Cost+HE13*Slot20_Cost</f>
        <v>0</v>
      </c>
      <c r="HR13" s="20" t="n">
        <f aca="false">HM13</f>
        <v>161135.553618638</v>
      </c>
      <c r="HS13" s="20" t="n">
        <f aca="false">H13-I13-S13</f>
        <v>7109.37152340796</v>
      </c>
      <c r="HT13" s="20" t="n">
        <f aca="false">IF(B13=0,IF(AND(Has_q6=1,In_q6=4),PR_ShareVaries*(MAX(0,HS13)/12),MIN(IF(Has_q6=1,CHOOSE(In_q6+1,PR_SaveB1,PR_SaveB2,PR_SaveB3,PR_SaveB4,0),AS_NoAnswer),AS_SaveShare*(MAX(0,HS13)/12))),HT12)</f>
        <v>62.3316893520437</v>
      </c>
      <c r="HU13" s="20" t="n">
        <f aca="false">IF(HS13&gt;=0,1,0)</f>
        <v>1</v>
      </c>
      <c r="HV13" s="20" t="n">
        <f aca="false">MAX(0,HS13/12/F13)</f>
        <v>536.598068939836</v>
      </c>
      <c r="HW13" s="20" t="n">
        <f aca="false">IF(AND(Has_q6=1,In_q6=4),PR_ShareVaries*(HV13),MIN(IF(Has_q6=1,CHOOSE(In_q6+1,PR_SaveB1,PR_SaveB2,PR_SaveB3,PR_SaveB4,0),AS_NoAnswer),AS_SaveShare*(HV13)))</f>
        <v>268.299034469918</v>
      </c>
      <c r="HX13" s="20" t="n">
        <f aca="false">IF(Has_saveM=1,IF(In_saveUp="Yes",1,IF(In_saveUp="No",0,IF(In_saveM&gt;=HT13-0.5,1,0))),0)</f>
        <v>0</v>
      </c>
      <c r="HY13" s="20" t="n">
        <f aca="false">IF(Has_saveM=1,MIN(HV13,IF(HX13=1,MAX(In_saveM,HW13),MIN(In_saveM,HW13))),HW13)</f>
        <v>268.299034469918</v>
      </c>
      <c r="HZ13" s="20" t="n">
        <f aca="false">IF(G13=1,HY13*12*F13,0)</f>
        <v>3554.68576170398</v>
      </c>
      <c r="IA13" s="20" t="n">
        <f aca="false">MAX(0,HZ13+IF(AND(WI_Retire=0,WI_M&lt;0,G13=1),WI_M*12*F13,0))</f>
        <v>3554.68576170398</v>
      </c>
      <c r="IB13" s="20" t="n">
        <f aca="false">Slot1_IsWG*W13+Slot2_IsWG*AH13+Slot3_IsWG*AR13+Slot4_IsWG*BB13+Slot5_IsWG*BL13+Slot6_IsWG*BV13+Slot7_IsWG*CF13+Slot8_IsWG*CP13+Slot9_IsWG*CZ13+Slot10_IsWG*DJ13+Slot11_IsWG*DT13+Slot12_IsWG*ED13+Slot13_IsWG*EN13+Slot14_IsWG*EX13+Slot15_IsWG*FH13+Slot16_IsWG*FR13+Slot17_IsWG*GB13+Slot18_IsWG*GL13+Slot19_IsWG*GV13+Slot20_IsWG*HF13</f>
        <v>0</v>
      </c>
      <c r="IC13" s="20" t="n">
        <f aca="false">IF(AND(WI_Retire=0,WI_M&gt;0,G13=1,IB13&gt;=1),WI_M*12*F13,0)</f>
        <v>0</v>
      </c>
      <c r="ID13" s="20" t="n">
        <f aca="false">IF(HU13=1,MIN(IA13,HS13),0)</f>
        <v>3554.68576170398</v>
      </c>
      <c r="IE13" s="20" t="n">
        <f aca="false">IF(HU13=1,MIN(IC13,HS13-ID13),0)</f>
        <v>0</v>
      </c>
      <c r="IF13" s="20" t="n">
        <f aca="false">IF(W13=1,IF(ABS((1+AS_Wage)/(1+Slot1_Rate)-1)&lt;0.000000000001,(Slot1_Age-D13)*(1+Slot1_Rate)^(Slot1_Age-D13),(1+Slot1_Rate)^(Slot1_Age-D13)*(1-((1+AS_Wage)/(1+Slot1_Rate))^(Slot1_Age-D13))/(1-(1+AS_Wage)/(1+Slot1_Rate))),1)</f>
        <v>1</v>
      </c>
      <c r="IG13" s="20" t="n">
        <f aca="false">IF(AND(HU13=1,IE13&gt;0,Slot1_IsWG=1,W13=1),MAX(0,(Slot1_Cost-X13*(1+Slot1_Rate)^(Slot1_Age-D13))/IF13),0)</f>
        <v>0</v>
      </c>
      <c r="IH13" s="20" t="n">
        <f aca="false">IF(AND(HU13=1,IE13&gt;0,Slot1_IsWG=1,W13=1),MIN(IE13,IG13),0)</f>
        <v>0</v>
      </c>
      <c r="II13" s="20" t="n">
        <f aca="false">X13+IH13</f>
        <v>0</v>
      </c>
      <c r="IJ13" s="20" t="n">
        <f aca="false">IF(W13=1,MAX(0,(Slot1_Cost-II13*(1+Slot1_Rate)^(Slot1_Age-D13))/IF13),0)</f>
        <v>0</v>
      </c>
      <c r="IK13" s="20" t="n">
        <f aca="false">IF(W13=1,MAX(0,(Slot1_Cost-X13*(1+Slot1_Rate)^(Slot1_Age-D13))/IF13),0)</f>
        <v>0</v>
      </c>
      <c r="IL13" s="20" t="n">
        <f aca="false">IF(AND(HU13=1,W13=1),MIN(ID13,IJ13),0)</f>
        <v>0</v>
      </c>
      <c r="IM13" s="20" t="n">
        <f aca="false">ID13-IL13</f>
        <v>3554.68576170398</v>
      </c>
      <c r="IN13" s="20" t="n">
        <f aca="false">IF(AH13=1,IF(ABS((1+AS_Wage)/(1+Slot2_Rate)-1)&lt;0.000000000001,(Slot2_Age-D13)*(1+Slot2_Rate)^(Slot2_Age-D13),(1+Slot2_Rate)^(Slot2_Age-D13)*(1-((1+AS_Wage)/(1+Slot2_Rate))^(Slot2_Age-D13))/(1-(1+AS_Wage)/(1+Slot2_Rate))),1)</f>
        <v>1</v>
      </c>
      <c r="IO13" s="20" t="n">
        <f aca="false">IF(AND(HU13=1,IE13&gt;0,Slot2_IsWG=1,AH13=1),MAX(0,(Slot2_Cost-AI13*(1+Slot2_Rate)^(Slot2_Age-D13))/IN13),0)</f>
        <v>0</v>
      </c>
      <c r="IP13" s="20" t="n">
        <f aca="false">IF(AND(HU13=1,IE13&gt;0,Slot2_IsWG=1,AH13=1),MIN(IE13,IO13),0)</f>
        <v>0</v>
      </c>
      <c r="IQ13" s="20" t="n">
        <f aca="false">AI13+IP13</f>
        <v>0</v>
      </c>
      <c r="IR13" s="20" t="n">
        <f aca="false">IF(AH13=1,MAX(0,(Slot2_Cost-IQ13*(1+Slot2_Rate)^(Slot2_Age-D13))/IN13),0)</f>
        <v>0</v>
      </c>
      <c r="IS13" s="20" t="n">
        <f aca="false">IF(AH13=1,MAX(0,(Slot2_Cost-AI13*(1+Slot2_Rate)^(Slot2_Age-D13))/IN13),0)</f>
        <v>0</v>
      </c>
      <c r="IT13" s="20" t="n">
        <f aca="false">IF(AND(HU13=1,AH13=1),MIN(IM13,IR13),0)</f>
        <v>0</v>
      </c>
      <c r="IU13" s="20" t="n">
        <f aca="false">IM13-IT13</f>
        <v>3554.68576170398</v>
      </c>
      <c r="IV13" s="20" t="n">
        <f aca="false">IF(AR13=1,IF(ABS((1+AS_Wage)/(1+Slot3_Rate)-1)&lt;0.000000000001,(Slot3_Age-D13)*(1+Slot3_Rate)^(Slot3_Age-D13),(1+Slot3_Rate)^(Slot3_Age-D13)*(1-((1+AS_Wage)/(1+Slot3_Rate))^(Slot3_Age-D13))/(1-(1+AS_Wage)/(1+Slot3_Rate))),1)</f>
        <v>5.72918849865706</v>
      </c>
      <c r="IW13" s="20" t="n">
        <f aca="false">IF(AND(HU13=1,IE13&gt;0,Slot3_IsWG=1,AR13=1),MAX(0,(Slot3_Cost-AS13*(1+Slot3_Rate)^(Slot3_Age-D13))/IV13),0)</f>
        <v>0</v>
      </c>
      <c r="IX13" s="20" t="n">
        <f aca="false">IF(AND(HU13=1,IE13&gt;0,Slot3_IsWG=1,AR13=1),MIN(IE13,IW13),0)</f>
        <v>0</v>
      </c>
      <c r="IY13" s="20" t="n">
        <f aca="false">AS13+IX13</f>
        <v>5783.59823215738</v>
      </c>
      <c r="IZ13" s="20" t="n">
        <f aca="false">IF(AR13=1,MAX(0,(Slot3_Cost-IY13*(1+Slot3_Rate)^(Slot3_Age-D13))/IV13),0)</f>
        <v>9490.72073249567</v>
      </c>
      <c r="JA13" s="20" t="n">
        <f aca="false">IF(AR13=1,MAX(0,(Slot3_Cost-AS13*(1+Slot3_Rate)^(Slot3_Age-D13))/IV13),0)</f>
        <v>9490.72073249567</v>
      </c>
      <c r="JB13" s="20" t="n">
        <f aca="false">IF(AND(HU13=1,AR13=1),MIN(IU13,IZ13),0)</f>
        <v>3554.68576170398</v>
      </c>
      <c r="JC13" s="20" t="n">
        <f aca="false">IU13-JB13</f>
        <v>0</v>
      </c>
      <c r="JD13" s="20" t="n">
        <f aca="false">IF(BB13=1,IF(ABS((1+AS_Wage)/(1+Slot4_Rate)-1)&lt;0.000000000001,(Slot4_Age-D13)*(1+Slot4_Rate)^(Slot4_Age-D13),(1+Slot4_Rate)^(Slot4_Age-D13)*(1-((1+AS_Wage)/(1+Slot4_Rate))^(Slot4_Age-D13))/(1-(1+AS_Wage)/(1+Slot4_Rate))),1)</f>
        <v>16.6833401446317</v>
      </c>
      <c r="JE13" s="20" t="n">
        <f aca="false">IF(AND(HU13=1,IE13&gt;0,Slot4_IsWG=1,BB13=1),MAX(0,(Slot4_Cost-BC13*(1+Slot4_Rate)^(Slot4_Age-D13))/JD13),0)</f>
        <v>0</v>
      </c>
      <c r="JF13" s="20" t="n">
        <f aca="false">IF(AND(HU13=1,IE13&gt;0,Slot4_IsWG=1,BB13=1),MIN(IE13,JE13),0)</f>
        <v>0</v>
      </c>
      <c r="JG13" s="20" t="n">
        <f aca="false">BC13+JF13</f>
        <v>0</v>
      </c>
      <c r="JH13" s="20" t="n">
        <f aca="false">IF(BB13=1,MAX(0,(Slot4_Cost-JG13*(1+Slot4_Rate)^(Slot4_Age-D13))/JD13),0)</f>
        <v>2398.7939648708</v>
      </c>
      <c r="JI13" s="20" t="n">
        <f aca="false">IF(BB13=1,MAX(0,(Slot4_Cost-BC13*(1+Slot4_Rate)^(Slot4_Age-D13))/JD13),0)</f>
        <v>2398.7939648708</v>
      </c>
      <c r="JJ13" s="20" t="n">
        <f aca="false">IF(AND(HU13=1,BB13=1),MIN(JC13,JH13),0)</f>
        <v>0</v>
      </c>
      <c r="JK13" s="20" t="n">
        <f aca="false">JC13-JJ13</f>
        <v>0</v>
      </c>
      <c r="JL13" s="20" t="n">
        <f aca="false">IF(BL13=1,IF(ABS((1+AS_Wage)/(1+Slot5_Rate)-1)&lt;0.000000000001,(Slot5_Age-D13)*(1+Slot5_Rate)^(Slot5_Age-D13),(1+Slot5_Rate)^(Slot5_Age-D13)*(1-((1+AS_Wage)/(1+Slot5_Rate))^(Slot5_Age-D13))/(1-(1+AS_Wage)/(1+Slot5_Rate))),1)</f>
        <v>1</v>
      </c>
      <c r="JM13" s="20" t="n">
        <f aca="false">IF(AND(HU13=1,IE13&gt;0,Slot5_IsWG=1,BL13=1),MAX(0,(Slot5_Cost-BM13*(1+Slot5_Rate)^(Slot5_Age-D13))/JL13),0)</f>
        <v>0</v>
      </c>
      <c r="JN13" s="20" t="n">
        <f aca="false">IF(AND(HU13=1,IE13&gt;0,Slot5_IsWG=1,BL13=1),MIN(IE13,JM13),0)</f>
        <v>0</v>
      </c>
      <c r="JO13" s="20" t="n">
        <f aca="false">BM13+JN13</f>
        <v>0</v>
      </c>
      <c r="JP13" s="20" t="n">
        <f aca="false">IF(BL13=1,MAX(0,(Slot5_Cost-JO13*(1+Slot5_Rate)^(Slot5_Age-D13))/JL13),0)</f>
        <v>0</v>
      </c>
      <c r="JQ13" s="20" t="n">
        <f aca="false">IF(BL13=1,MAX(0,(Slot5_Cost-BM13*(1+Slot5_Rate)^(Slot5_Age-D13))/JL13),0)</f>
        <v>0</v>
      </c>
      <c r="JR13" s="20" t="n">
        <f aca="false">IF(AND(HU13=1,BL13=1),MIN(JK13,JP13),0)</f>
        <v>0</v>
      </c>
      <c r="JS13" s="20" t="n">
        <f aca="false">JK13-JR13</f>
        <v>0</v>
      </c>
      <c r="JT13" s="20" t="n">
        <f aca="false">IF(BV13=1,IF(ABS((1+AS_Wage)/(1+Slot6_Rate)-1)&lt;0.000000000001,(Slot6_Age-D13)*(1+Slot6_Rate)^(Slot6_Age-D13),(1+Slot6_Rate)^(Slot6_Age-D13)*(1-((1+AS_Wage)/(1+Slot6_Rate))^(Slot6_Age-D13))/(1-(1+AS_Wage)/(1+Slot6_Rate))),1)</f>
        <v>1</v>
      </c>
      <c r="JU13" s="20" t="n">
        <f aca="false">IF(AND(HU13=1,IE13&gt;0,Slot6_IsWG=1,BV13=1),MAX(0,(Slot6_Cost-BW13*(1+Slot6_Rate)^(Slot6_Age-D13))/JT13),0)</f>
        <v>0</v>
      </c>
      <c r="JV13" s="20" t="n">
        <f aca="false">IF(AND(HU13=1,IE13&gt;0,Slot6_IsWG=1,BV13=1),MIN(IE13,JU13),0)</f>
        <v>0</v>
      </c>
      <c r="JW13" s="20" t="n">
        <f aca="false">BW13+JV13</f>
        <v>0</v>
      </c>
      <c r="JX13" s="20" t="n">
        <f aca="false">IF(BV13=1,MAX(0,(Slot6_Cost-JW13*(1+Slot6_Rate)^(Slot6_Age-D13))/JT13),0)</f>
        <v>0</v>
      </c>
      <c r="JY13" s="20" t="n">
        <f aca="false">IF(BV13=1,MAX(0,(Slot6_Cost-BW13*(1+Slot6_Rate)^(Slot6_Age-D13))/JT13),0)</f>
        <v>0</v>
      </c>
      <c r="JZ13" s="20" t="n">
        <f aca="false">IF(AND(HU13=1,BV13=1),MIN(JS13,JX13),0)</f>
        <v>0</v>
      </c>
      <c r="KA13" s="20" t="n">
        <f aca="false">JS13-JZ13</f>
        <v>0</v>
      </c>
      <c r="KB13" s="20" t="n">
        <f aca="false">IF(CF13=1,IF(ABS((1+AS_Wage)/(1+Slot7_Rate)-1)&lt;0.000000000001,(Slot7_Age-D13)*(1+Slot7_Rate)^(Slot7_Age-D13),(1+Slot7_Rate)^(Slot7_Age-D13)*(1-((1+AS_Wage)/(1+Slot7_Rate))^(Slot7_Age-D13))/(1-(1+AS_Wage)/(1+Slot7_Rate))),1)</f>
        <v>1</v>
      </c>
      <c r="KC13" s="20" t="n">
        <f aca="false">IF(AND(HU13=1,IE13&gt;0,Slot7_IsWG=1,CF13=1),MAX(0,(Slot7_Cost-CG13*(1+Slot7_Rate)^(Slot7_Age-D13))/KB13),0)</f>
        <v>0</v>
      </c>
      <c r="KD13" s="20" t="n">
        <f aca="false">IF(AND(HU13=1,IE13&gt;0,Slot7_IsWG=1,CF13=1),MIN(IE13,KC13),0)</f>
        <v>0</v>
      </c>
      <c r="KE13" s="20" t="n">
        <f aca="false">CG13+KD13</f>
        <v>0</v>
      </c>
      <c r="KF13" s="20" t="n">
        <f aca="false">IF(CF13=1,MAX(0,(Slot7_Cost-KE13*(1+Slot7_Rate)^(Slot7_Age-D13))/KB13),0)</f>
        <v>0</v>
      </c>
      <c r="KG13" s="20" t="n">
        <f aca="false">IF(CF13=1,MAX(0,(Slot7_Cost-CG13*(1+Slot7_Rate)^(Slot7_Age-D13))/KB13),0)</f>
        <v>0</v>
      </c>
      <c r="KH13" s="20" t="n">
        <f aca="false">IF(AND(HU13=1,CF13=1),MIN(KA13,KF13),0)</f>
        <v>0</v>
      </c>
      <c r="KI13" s="20" t="n">
        <f aca="false">KA13-KH13</f>
        <v>0</v>
      </c>
      <c r="KJ13" s="20" t="n">
        <f aca="false">IF(CP13=1,IF(ABS((1+AS_Wage)/(1+Slot8_Rate)-1)&lt;0.000000000001,(Slot8_Age-D13)*(1+Slot8_Rate)^(Slot8_Age-D13),(1+Slot8_Rate)^(Slot8_Age-D13)*(1-((1+AS_Wage)/(1+Slot8_Rate))^(Slot8_Age-D13))/(1-(1+AS_Wage)/(1+Slot8_Rate))),1)</f>
        <v>1</v>
      </c>
      <c r="KK13" s="20" t="n">
        <f aca="false">IF(AND(HU13=1,IE13&gt;0,Slot8_IsWG=1,CP13=1),MAX(0,(Slot8_Cost-CQ13*(1+Slot8_Rate)^(Slot8_Age-D13))/KJ13),0)</f>
        <v>0</v>
      </c>
      <c r="KL13" s="20" t="n">
        <f aca="false">IF(AND(HU13=1,IE13&gt;0,Slot8_IsWG=1,CP13=1),MIN(IE13,KK13),0)</f>
        <v>0</v>
      </c>
      <c r="KM13" s="20" t="n">
        <f aca="false">CQ13+KL13</f>
        <v>0</v>
      </c>
      <c r="KN13" s="20" t="n">
        <f aca="false">IF(CP13=1,MAX(0,(Slot8_Cost-KM13*(1+Slot8_Rate)^(Slot8_Age-D13))/KJ13),0)</f>
        <v>0</v>
      </c>
      <c r="KO13" s="20" t="n">
        <f aca="false">IF(CP13=1,MAX(0,(Slot8_Cost-CQ13*(1+Slot8_Rate)^(Slot8_Age-D13))/KJ13),0)</f>
        <v>0</v>
      </c>
      <c r="KP13" s="20" t="n">
        <f aca="false">IF(AND(HU13=1,CP13=1),MIN(KI13,KN13),0)</f>
        <v>0</v>
      </c>
      <c r="KQ13" s="20" t="n">
        <f aca="false">KI13-KP13</f>
        <v>0</v>
      </c>
      <c r="KR13" s="20" t="n">
        <f aca="false">IF(CZ13=1,IF(ABS((1+AS_Wage)/(1+Slot9_Rate)-1)&lt;0.000000000001,(Slot9_Age-D13)*(1+Slot9_Rate)^(Slot9_Age-D13),(1+Slot9_Rate)^(Slot9_Age-D13)*(1-((1+AS_Wage)/(1+Slot9_Rate))^(Slot9_Age-D13))/(1-(1+AS_Wage)/(1+Slot9_Rate))),1)</f>
        <v>1</v>
      </c>
      <c r="KS13" s="20" t="n">
        <f aca="false">IF(AND(HU13=1,IE13&gt;0,Slot9_IsWG=1,CZ13=1),MAX(0,(Slot9_Cost-DA13*(1+Slot9_Rate)^(Slot9_Age-D13))/KR13),0)</f>
        <v>0</v>
      </c>
      <c r="KT13" s="20" t="n">
        <f aca="false">IF(AND(HU13=1,IE13&gt;0,Slot9_IsWG=1,CZ13=1),MIN(IE13,KS13),0)</f>
        <v>0</v>
      </c>
      <c r="KU13" s="20" t="n">
        <f aca="false">DA13+KT13</f>
        <v>0</v>
      </c>
      <c r="KV13" s="20" t="n">
        <f aca="false">IF(CZ13=1,MAX(0,(Slot9_Cost-KU13*(1+Slot9_Rate)^(Slot9_Age-D13))/KR13),0)</f>
        <v>0</v>
      </c>
      <c r="KW13" s="20" t="n">
        <f aca="false">IF(CZ13=1,MAX(0,(Slot9_Cost-DA13*(1+Slot9_Rate)^(Slot9_Age-D13))/KR13),0)</f>
        <v>0</v>
      </c>
      <c r="KX13" s="20" t="n">
        <f aca="false">IF(AND(HU13=1,CZ13=1),MIN(KQ13,KV13),0)</f>
        <v>0</v>
      </c>
      <c r="KY13" s="20" t="n">
        <f aca="false">KQ13-KX13</f>
        <v>0</v>
      </c>
      <c r="KZ13" s="20" t="n">
        <f aca="false">IF(DJ13=1,IF(ABS((1+AS_Wage)/(1+Slot10_Rate)-1)&lt;0.000000000001,(Slot10_Age-D13)*(1+Slot10_Rate)^(Slot10_Age-D13),(1+Slot10_Rate)^(Slot10_Age-D13)*(1-((1+AS_Wage)/(1+Slot10_Rate))^(Slot10_Age-D13))/(1-(1+AS_Wage)/(1+Slot10_Rate))),1)</f>
        <v>1</v>
      </c>
      <c r="LA13" s="20" t="n">
        <f aca="false">IF(AND(HU13=1,IE13&gt;0,Slot10_IsWG=1,DJ13=1),MAX(0,(Slot10_Cost-DK13*(1+Slot10_Rate)^(Slot10_Age-D13))/KZ13),0)</f>
        <v>0</v>
      </c>
      <c r="LB13" s="20" t="n">
        <f aca="false">IF(AND(HU13=1,IE13&gt;0,Slot10_IsWG=1,DJ13=1),MIN(IE13,LA13),0)</f>
        <v>0</v>
      </c>
      <c r="LC13" s="20" t="n">
        <f aca="false">DK13+LB13</f>
        <v>0</v>
      </c>
      <c r="LD13" s="20" t="n">
        <f aca="false">IF(DJ13=1,MAX(0,(Slot10_Cost-LC13*(1+Slot10_Rate)^(Slot10_Age-D13))/KZ13),0)</f>
        <v>0</v>
      </c>
      <c r="LE13" s="20" t="n">
        <f aca="false">IF(DJ13=1,MAX(0,(Slot10_Cost-DK13*(1+Slot10_Rate)^(Slot10_Age-D13))/KZ13),0)</f>
        <v>0</v>
      </c>
      <c r="LF13" s="20" t="n">
        <f aca="false">IF(AND(HU13=1,DJ13=1),MIN(KY13,LD13),0)</f>
        <v>0</v>
      </c>
      <c r="LG13" s="20" t="n">
        <f aca="false">KY13-LF13</f>
        <v>0</v>
      </c>
      <c r="LH13" s="20" t="n">
        <f aca="false">IF(DT13=1,IF(ABS((1+AS_Wage)/(1+Slot11_Rate)-1)&lt;0.000000000001,(Slot11_Age-D13)*(1+Slot11_Rate)^(Slot11_Age-D13),(1+Slot11_Rate)^(Slot11_Age-D13)*(1-((1+AS_Wage)/(1+Slot11_Rate))^(Slot11_Age-D13))/(1-(1+AS_Wage)/(1+Slot11_Rate))),1)</f>
        <v>1</v>
      </c>
      <c r="LI13" s="20" t="n">
        <f aca="false">IF(AND(HU13=1,IE13&gt;0,Slot11_IsWG=1,DT13=1),MAX(0,(Slot11_Cost-DU13*(1+Slot11_Rate)^(Slot11_Age-D13))/LH13),0)</f>
        <v>0</v>
      </c>
      <c r="LJ13" s="20" t="n">
        <f aca="false">IF(AND(HU13=1,IE13&gt;0,Slot11_IsWG=1,DT13=1),MIN(IE13,LI13),0)</f>
        <v>0</v>
      </c>
      <c r="LK13" s="20" t="n">
        <f aca="false">DU13+LJ13</f>
        <v>0</v>
      </c>
      <c r="LL13" s="20" t="n">
        <f aca="false">IF(DT13=1,MAX(0,(Slot11_Cost-LK13*(1+Slot11_Rate)^(Slot11_Age-D13))/LH13),0)</f>
        <v>0</v>
      </c>
      <c r="LM13" s="20" t="n">
        <f aca="false">IF(DT13=1,MAX(0,(Slot11_Cost-DU13*(1+Slot11_Rate)^(Slot11_Age-D13))/LH13),0)</f>
        <v>0</v>
      </c>
      <c r="LN13" s="20" t="n">
        <f aca="false">IF(AND(HU13=1,DT13=1),MIN(LG13,LL13),0)</f>
        <v>0</v>
      </c>
      <c r="LO13" s="20" t="n">
        <f aca="false">LG13-LN13</f>
        <v>0</v>
      </c>
      <c r="LP13" s="20" t="n">
        <f aca="false">IF(ED13=1,IF(ABS((1+AS_Wage)/(1+Slot12_Rate)-1)&lt;0.000000000001,(Slot12_Age-D13)*(1+Slot12_Rate)^(Slot12_Age-D13),(1+Slot12_Rate)^(Slot12_Age-D13)*(1-((1+AS_Wage)/(1+Slot12_Rate))^(Slot12_Age-D13))/(1-(1+AS_Wage)/(1+Slot12_Rate))),1)</f>
        <v>1</v>
      </c>
      <c r="LQ13" s="20" t="n">
        <f aca="false">IF(AND(HU13=1,IE13&gt;0,Slot12_IsWG=1,ED13=1),MAX(0,(Slot12_Cost-EE13*(1+Slot12_Rate)^(Slot12_Age-D13))/LP13),0)</f>
        <v>0</v>
      </c>
      <c r="LR13" s="20" t="n">
        <f aca="false">IF(AND(HU13=1,IE13&gt;0,Slot12_IsWG=1,ED13=1),MIN(IE13,LQ13),0)</f>
        <v>0</v>
      </c>
      <c r="LS13" s="20" t="n">
        <f aca="false">EE13+LR13</f>
        <v>0</v>
      </c>
      <c r="LT13" s="20" t="n">
        <f aca="false">IF(ED13=1,MAX(0,(Slot12_Cost-LS13*(1+Slot12_Rate)^(Slot12_Age-D13))/LP13),0)</f>
        <v>0</v>
      </c>
      <c r="LU13" s="20" t="n">
        <f aca="false">IF(ED13=1,MAX(0,(Slot12_Cost-EE13*(1+Slot12_Rate)^(Slot12_Age-D13))/LP13),0)</f>
        <v>0</v>
      </c>
      <c r="LV13" s="20" t="n">
        <f aca="false">IF(AND(HU13=1,ED13=1),MIN(LO13,LT13),0)</f>
        <v>0</v>
      </c>
      <c r="LW13" s="20" t="n">
        <f aca="false">LO13-LV13</f>
        <v>0</v>
      </c>
      <c r="LX13" s="20" t="n">
        <f aca="false">IF(EN13=1,IF(ABS((1+AS_Wage)/(1+Slot13_Rate)-1)&lt;0.000000000001,(Slot13_Age-D13)*(1+Slot13_Rate)^(Slot13_Age-D13),(1+Slot13_Rate)^(Slot13_Age-D13)*(1-((1+AS_Wage)/(1+Slot13_Rate))^(Slot13_Age-D13))/(1-(1+AS_Wage)/(1+Slot13_Rate))),1)</f>
        <v>1</v>
      </c>
      <c r="LY13" s="20" t="n">
        <f aca="false">IF(AND(HU13=1,IE13&gt;0,Slot13_IsWG=1,EN13=1),MAX(0,(Slot13_Cost-EO13*(1+Slot13_Rate)^(Slot13_Age-D13))/LX13),0)</f>
        <v>0</v>
      </c>
      <c r="LZ13" s="20" t="n">
        <f aca="false">IF(AND(HU13=1,IE13&gt;0,Slot13_IsWG=1,EN13=1),MIN(IE13,LY13),0)</f>
        <v>0</v>
      </c>
      <c r="MA13" s="20" t="n">
        <f aca="false">EO13+LZ13</f>
        <v>0</v>
      </c>
      <c r="MB13" s="20" t="n">
        <f aca="false">IF(EN13=1,MAX(0,(Slot13_Cost-MA13*(1+Slot13_Rate)^(Slot13_Age-D13))/LX13),0)</f>
        <v>0</v>
      </c>
      <c r="MC13" s="20" t="n">
        <f aca="false">IF(EN13=1,MAX(0,(Slot13_Cost-EO13*(1+Slot13_Rate)^(Slot13_Age-D13))/LX13),0)</f>
        <v>0</v>
      </c>
      <c r="MD13" s="20" t="n">
        <f aca="false">IF(AND(HU13=1,EN13=1),MIN(LW13,MB13),0)</f>
        <v>0</v>
      </c>
      <c r="ME13" s="20" t="n">
        <f aca="false">LW13-MD13</f>
        <v>0</v>
      </c>
      <c r="MF13" s="20" t="n">
        <f aca="false">IF(EX13=1,IF(ABS((1+AS_Wage)/(1+Slot14_Rate)-1)&lt;0.000000000001,(Slot14_Age-D13)*(1+Slot14_Rate)^(Slot14_Age-D13),(1+Slot14_Rate)^(Slot14_Age-D13)*(1-((1+AS_Wage)/(1+Slot14_Rate))^(Slot14_Age-D13))/(1-(1+AS_Wage)/(1+Slot14_Rate))),1)</f>
        <v>1</v>
      </c>
      <c r="MG13" s="20" t="n">
        <f aca="false">IF(AND(HU13=1,IE13&gt;0,Slot14_IsWG=1,EX13=1),MAX(0,(Slot14_Cost-EY13*(1+Slot14_Rate)^(Slot14_Age-D13))/MF13),0)</f>
        <v>0</v>
      </c>
      <c r="MH13" s="20" t="n">
        <f aca="false">IF(AND(HU13=1,IE13&gt;0,Slot14_IsWG=1,EX13=1),MIN(IE13,MG13),0)</f>
        <v>0</v>
      </c>
      <c r="MI13" s="20" t="n">
        <f aca="false">EY13+MH13</f>
        <v>0</v>
      </c>
      <c r="MJ13" s="20" t="n">
        <f aca="false">IF(EX13=1,MAX(0,(Slot14_Cost-MI13*(1+Slot14_Rate)^(Slot14_Age-D13))/MF13),0)</f>
        <v>0</v>
      </c>
      <c r="MK13" s="20" t="n">
        <f aca="false">IF(EX13=1,MAX(0,(Slot14_Cost-EY13*(1+Slot14_Rate)^(Slot14_Age-D13))/MF13),0)</f>
        <v>0</v>
      </c>
      <c r="ML13" s="20" t="n">
        <f aca="false">IF(AND(HU13=1,EX13=1),MIN(ME13,MJ13),0)</f>
        <v>0</v>
      </c>
      <c r="MM13" s="20" t="n">
        <f aca="false">ME13-ML13</f>
        <v>0</v>
      </c>
      <c r="MN13" s="20" t="n">
        <f aca="false">IF(FH13=1,IF(ABS((1+AS_Wage)/(1+Slot15_Rate)-1)&lt;0.000000000001,(Slot15_Age-D13)*(1+Slot15_Rate)^(Slot15_Age-D13),(1+Slot15_Rate)^(Slot15_Age-D13)*(1-((1+AS_Wage)/(1+Slot15_Rate))^(Slot15_Age-D13))/(1-(1+AS_Wage)/(1+Slot15_Rate))),1)</f>
        <v>1</v>
      </c>
      <c r="MO13" s="20" t="n">
        <f aca="false">IF(AND(HU13=1,IE13&gt;0,Slot15_IsWG=1,FH13=1),MAX(0,(Slot15_Cost-FI13*(1+Slot15_Rate)^(Slot15_Age-D13))/MN13),0)</f>
        <v>0</v>
      </c>
      <c r="MP13" s="20" t="n">
        <f aca="false">IF(AND(HU13=1,IE13&gt;0,Slot15_IsWG=1,FH13=1),MIN(IE13,MO13),0)</f>
        <v>0</v>
      </c>
      <c r="MQ13" s="20" t="n">
        <f aca="false">FI13+MP13</f>
        <v>0</v>
      </c>
      <c r="MR13" s="20" t="n">
        <f aca="false">IF(FH13=1,MAX(0,(Slot15_Cost-MQ13*(1+Slot15_Rate)^(Slot15_Age-D13))/MN13),0)</f>
        <v>0</v>
      </c>
      <c r="MS13" s="20" t="n">
        <f aca="false">IF(FH13=1,MAX(0,(Slot15_Cost-FI13*(1+Slot15_Rate)^(Slot15_Age-D13))/MN13),0)</f>
        <v>0</v>
      </c>
      <c r="MT13" s="20" t="n">
        <f aca="false">IF(AND(HU13=1,FH13=1),MIN(MM13,MR13),0)</f>
        <v>0</v>
      </c>
      <c r="MU13" s="20" t="n">
        <f aca="false">MM13-MT13</f>
        <v>0</v>
      </c>
      <c r="MV13" s="20" t="n">
        <f aca="false">IF(FR13=1,IF(ABS((1+AS_Wage)/(1+Slot16_Rate)-1)&lt;0.000000000001,(Slot16_Age-D13)*(1+Slot16_Rate)^(Slot16_Age-D13),(1+Slot16_Rate)^(Slot16_Age-D13)*(1-((1+AS_Wage)/(1+Slot16_Rate))^(Slot16_Age-D13))/(1-(1+AS_Wage)/(1+Slot16_Rate))),1)</f>
        <v>1</v>
      </c>
      <c r="MW13" s="20" t="n">
        <f aca="false">IF(AND(HU13=1,IE13&gt;0,Slot16_IsWG=1,FR13=1),MAX(0,(Slot16_Cost-FS13*(1+Slot16_Rate)^(Slot16_Age-D13))/MV13),0)</f>
        <v>0</v>
      </c>
      <c r="MX13" s="20" t="n">
        <f aca="false">IF(AND(HU13=1,IE13&gt;0,Slot16_IsWG=1,FR13=1),MIN(IE13,MW13),0)</f>
        <v>0</v>
      </c>
      <c r="MY13" s="20" t="n">
        <f aca="false">FS13+MX13</f>
        <v>0</v>
      </c>
      <c r="MZ13" s="20" t="n">
        <f aca="false">IF(FR13=1,MAX(0,(Slot16_Cost-MY13*(1+Slot16_Rate)^(Slot16_Age-D13))/MV13),0)</f>
        <v>0</v>
      </c>
      <c r="NA13" s="20" t="n">
        <f aca="false">IF(FR13=1,MAX(0,(Slot16_Cost-FS13*(1+Slot16_Rate)^(Slot16_Age-D13))/MV13),0)</f>
        <v>0</v>
      </c>
      <c r="NB13" s="20" t="n">
        <f aca="false">IF(AND(HU13=1,FR13=1),MIN(MU13,MZ13),0)</f>
        <v>0</v>
      </c>
      <c r="NC13" s="20" t="n">
        <f aca="false">MU13-NB13</f>
        <v>0</v>
      </c>
      <c r="ND13" s="20" t="n">
        <f aca="false">IF(GB13=1,IF(ABS((1+AS_Wage)/(1+Slot17_Rate)-1)&lt;0.000000000001,(Slot17_Age-D13)*(1+Slot17_Rate)^(Slot17_Age-D13),(1+Slot17_Rate)^(Slot17_Age-D13)*(1-((1+AS_Wage)/(1+Slot17_Rate))^(Slot17_Age-D13))/(1-(1+AS_Wage)/(1+Slot17_Rate))),1)</f>
        <v>1</v>
      </c>
      <c r="NE13" s="20" t="n">
        <f aca="false">IF(AND(HU13=1,IE13&gt;0,Slot17_IsWG=1,GB13=1),MAX(0,(Slot17_Cost-GC13*(1+Slot17_Rate)^(Slot17_Age-D13))/ND13),0)</f>
        <v>0</v>
      </c>
      <c r="NF13" s="20" t="n">
        <f aca="false">IF(AND(HU13=1,IE13&gt;0,Slot17_IsWG=1,GB13=1),MIN(IE13,NE13),0)</f>
        <v>0</v>
      </c>
      <c r="NG13" s="20" t="n">
        <f aca="false">GC13+NF13</f>
        <v>0</v>
      </c>
      <c r="NH13" s="20" t="n">
        <f aca="false">IF(GB13=1,MAX(0,(Slot17_Cost-NG13*(1+Slot17_Rate)^(Slot17_Age-D13))/ND13),0)</f>
        <v>0</v>
      </c>
      <c r="NI13" s="20" t="n">
        <f aca="false">IF(GB13=1,MAX(0,(Slot17_Cost-GC13*(1+Slot17_Rate)^(Slot17_Age-D13))/ND13),0)</f>
        <v>0</v>
      </c>
      <c r="NJ13" s="20" t="n">
        <f aca="false">IF(AND(HU13=1,GB13=1),MIN(NC13,NH13),0)</f>
        <v>0</v>
      </c>
      <c r="NK13" s="20" t="n">
        <f aca="false">NC13-NJ13</f>
        <v>0</v>
      </c>
      <c r="NL13" s="20" t="n">
        <f aca="false">IF(GL13=1,IF(ABS((1+AS_Wage)/(1+Slot18_Rate)-1)&lt;0.000000000001,(Slot18_Age-D13)*(1+Slot18_Rate)^(Slot18_Age-D13),(1+Slot18_Rate)^(Slot18_Age-D13)*(1-((1+AS_Wage)/(1+Slot18_Rate))^(Slot18_Age-D13))/(1-(1+AS_Wage)/(1+Slot18_Rate))),1)</f>
        <v>1</v>
      </c>
      <c r="NM13" s="20" t="n">
        <f aca="false">IF(AND(HU13=1,IE13&gt;0,Slot18_IsWG=1,GL13=1),MAX(0,(Slot18_Cost-GM13*(1+Slot18_Rate)^(Slot18_Age-D13))/NL13),0)</f>
        <v>0</v>
      </c>
      <c r="NN13" s="20" t="n">
        <f aca="false">IF(AND(HU13=1,IE13&gt;0,Slot18_IsWG=1,GL13=1),MIN(IE13,NM13),0)</f>
        <v>0</v>
      </c>
      <c r="NO13" s="20" t="n">
        <f aca="false">GM13+NN13</f>
        <v>0</v>
      </c>
      <c r="NP13" s="20" t="n">
        <f aca="false">IF(GL13=1,MAX(0,(Slot18_Cost-NO13*(1+Slot18_Rate)^(Slot18_Age-D13))/NL13),0)</f>
        <v>0</v>
      </c>
      <c r="NQ13" s="20" t="n">
        <f aca="false">IF(GL13=1,MAX(0,(Slot18_Cost-GM13*(1+Slot18_Rate)^(Slot18_Age-D13))/NL13),0)</f>
        <v>0</v>
      </c>
      <c r="NR13" s="20" t="n">
        <f aca="false">IF(AND(HU13=1,GL13=1),MIN(NK13,NP13),0)</f>
        <v>0</v>
      </c>
      <c r="NS13" s="20" t="n">
        <f aca="false">NK13-NR13</f>
        <v>0</v>
      </c>
      <c r="NT13" s="20" t="n">
        <f aca="false">IF(GV13=1,IF(ABS((1+AS_Wage)/(1+Slot19_Rate)-1)&lt;0.000000000001,(Slot19_Age-D13)*(1+Slot19_Rate)^(Slot19_Age-D13),(1+Slot19_Rate)^(Slot19_Age-D13)*(1-((1+AS_Wage)/(1+Slot19_Rate))^(Slot19_Age-D13))/(1-(1+AS_Wage)/(1+Slot19_Rate))),1)</f>
        <v>1</v>
      </c>
      <c r="NU13" s="20" t="n">
        <f aca="false">IF(AND(HU13=1,IE13&gt;0,Slot19_IsWG=1,GV13=1),MAX(0,(Slot19_Cost-GW13*(1+Slot19_Rate)^(Slot19_Age-D13))/NT13),0)</f>
        <v>0</v>
      </c>
      <c r="NV13" s="20" t="n">
        <f aca="false">IF(AND(HU13=1,IE13&gt;0,Slot19_IsWG=1,GV13=1),MIN(IE13,NU13),0)</f>
        <v>0</v>
      </c>
      <c r="NW13" s="20" t="n">
        <f aca="false">GW13+NV13</f>
        <v>0</v>
      </c>
      <c r="NX13" s="20" t="n">
        <f aca="false">IF(GV13=1,MAX(0,(Slot19_Cost-NW13*(1+Slot19_Rate)^(Slot19_Age-D13))/NT13),0)</f>
        <v>0</v>
      </c>
      <c r="NY13" s="20" t="n">
        <f aca="false">IF(GV13=1,MAX(0,(Slot19_Cost-GW13*(1+Slot19_Rate)^(Slot19_Age-D13))/NT13),0)</f>
        <v>0</v>
      </c>
      <c r="NZ13" s="20" t="n">
        <f aca="false">IF(AND(HU13=1,GV13=1),MIN(NS13,NX13),0)</f>
        <v>0</v>
      </c>
      <c r="OA13" s="20" t="n">
        <f aca="false">NS13-NZ13</f>
        <v>0</v>
      </c>
      <c r="OB13" s="20" t="n">
        <f aca="false">IF(HF13=1,IF(ABS((1+AS_Wage)/(1+Slot20_Rate)-1)&lt;0.000000000001,(Slot20_Age-D13)*(1+Slot20_Rate)^(Slot20_Age-D13),(1+Slot20_Rate)^(Slot20_Age-D13)*(1-((1+AS_Wage)/(1+Slot20_Rate))^(Slot20_Age-D13))/(1-(1+AS_Wage)/(1+Slot20_Rate))),1)</f>
        <v>1</v>
      </c>
      <c r="OC13" s="20" t="n">
        <f aca="false">IF(AND(HU13=1,IE13&gt;0,Slot20_IsWG=1,HF13=1),MAX(0,(Slot20_Cost-HG13*(1+Slot20_Rate)^(Slot20_Age-D13))/OB13),0)</f>
        <v>0</v>
      </c>
      <c r="OD13" s="20" t="n">
        <f aca="false">IF(AND(HU13=1,IE13&gt;0,Slot20_IsWG=1,HF13=1),MIN(IE13,OC13),0)</f>
        <v>0</v>
      </c>
      <c r="OE13" s="20" t="n">
        <f aca="false">HG13+OD13</f>
        <v>0</v>
      </c>
      <c r="OF13" s="20" t="n">
        <f aca="false">IF(HF13=1,MAX(0,(Slot20_Cost-OE13*(1+Slot20_Rate)^(Slot20_Age-D13))/OB13),0)</f>
        <v>0</v>
      </c>
      <c r="OG13" s="20" t="n">
        <f aca="false">IF(HF13=1,MAX(0,(Slot20_Cost-HG13*(1+Slot20_Rate)^(Slot20_Age-D13))/OB13),0)</f>
        <v>0</v>
      </c>
      <c r="OH13" s="20" t="n">
        <f aca="false">IF(AND(HU13=1,HF13=1),MIN(OA13,OF13),0)</f>
        <v>0</v>
      </c>
      <c r="OI13" s="20" t="n">
        <f aca="false">OA13-OH13</f>
        <v>0</v>
      </c>
      <c r="OJ13" s="20" t="n">
        <f aca="false">IE13-(IH13+IP13+IX13+JF13+JN13+JV13+KD13+KL13+KT13+LB13+LJ13+LR13+LZ13+MH13+MP13+MX13+NF13+NN13+NV13+OD13)</f>
        <v>0</v>
      </c>
      <c r="OK13" s="20" t="n">
        <f aca="false">IF(HU13=1,HS13-ID13-IE13,0)</f>
        <v>3554.68576170398</v>
      </c>
      <c r="OL13" s="20" t="n">
        <f aca="false">IF(HU13=0,-HS13,0)</f>
        <v>0</v>
      </c>
      <c r="OM13" s="20" t="n">
        <f aca="false">MIN(OL13,HK13)</f>
        <v>0</v>
      </c>
      <c r="ON13" s="20" t="n">
        <f aca="false">OL13-OM13</f>
        <v>0</v>
      </c>
      <c r="OO13" s="20" t="n">
        <f aca="false">MIN(ON13,HL13)</f>
        <v>0</v>
      </c>
      <c r="OP13" s="20" t="n">
        <f aca="false">ON13-OO13</f>
        <v>0</v>
      </c>
      <c r="OQ13" s="20" t="n">
        <f aca="false">IF(AND(HU13=0,HF13=1,OP13&gt;0),MIN(OP13,HG13),0)</f>
        <v>0</v>
      </c>
      <c r="OR13" s="20" t="n">
        <f aca="false">OP13-OQ13</f>
        <v>0</v>
      </c>
      <c r="OS13" s="20" t="n">
        <f aca="false">IF(AND(HU13=0,GV13=1,OR13&gt;0),MIN(OR13,GW13),0)</f>
        <v>0</v>
      </c>
      <c r="OT13" s="20" t="n">
        <f aca="false">OR13-OS13</f>
        <v>0</v>
      </c>
      <c r="OU13" s="20" t="n">
        <f aca="false">IF(AND(HU13=0,GL13=1,OT13&gt;0),MIN(OT13,GM13),0)</f>
        <v>0</v>
      </c>
      <c r="OV13" s="20" t="n">
        <f aca="false">OT13-OU13</f>
        <v>0</v>
      </c>
      <c r="OW13" s="20" t="n">
        <f aca="false">IF(AND(HU13=0,GB13=1,OV13&gt;0),MIN(OV13,GC13),0)</f>
        <v>0</v>
      </c>
      <c r="OX13" s="20" t="n">
        <f aca="false">OV13-OW13</f>
        <v>0</v>
      </c>
      <c r="OY13" s="20" t="n">
        <f aca="false">IF(AND(HU13=0,FR13=1,OX13&gt;0),MIN(OX13,FS13),0)</f>
        <v>0</v>
      </c>
      <c r="OZ13" s="20" t="n">
        <f aca="false">OX13-OY13</f>
        <v>0</v>
      </c>
      <c r="PA13" s="20" t="n">
        <f aca="false">IF(AND(HU13=0,FH13=1,OZ13&gt;0),MIN(OZ13,FI13),0)</f>
        <v>0</v>
      </c>
      <c r="PB13" s="20" t="n">
        <f aca="false">OZ13-PA13</f>
        <v>0</v>
      </c>
      <c r="PC13" s="20" t="n">
        <f aca="false">IF(AND(HU13=0,EX13=1,PB13&gt;0),MIN(PB13,EY13),0)</f>
        <v>0</v>
      </c>
      <c r="PD13" s="20" t="n">
        <f aca="false">PB13-PC13</f>
        <v>0</v>
      </c>
      <c r="PE13" s="20" t="n">
        <f aca="false">IF(AND(HU13=0,EN13=1,PD13&gt;0),MIN(PD13,EO13),0)</f>
        <v>0</v>
      </c>
      <c r="PF13" s="20" t="n">
        <f aca="false">PD13-PE13</f>
        <v>0</v>
      </c>
      <c r="PG13" s="20" t="n">
        <f aca="false">IF(AND(HU13=0,ED13=1,PF13&gt;0),MIN(PF13,EE13),0)</f>
        <v>0</v>
      </c>
      <c r="PH13" s="20" t="n">
        <f aca="false">PF13-PG13</f>
        <v>0</v>
      </c>
      <c r="PI13" s="20" t="n">
        <f aca="false">IF(AND(HU13=0,DT13=1,PH13&gt;0),MIN(PH13,DU13),0)</f>
        <v>0</v>
      </c>
      <c r="PJ13" s="20" t="n">
        <f aca="false">PH13-PI13</f>
        <v>0</v>
      </c>
      <c r="PK13" s="20" t="n">
        <f aca="false">IF(AND(HU13=0,DJ13=1,PJ13&gt;0),MIN(PJ13,DK13),0)</f>
        <v>0</v>
      </c>
      <c r="PL13" s="20" t="n">
        <f aca="false">PJ13-PK13</f>
        <v>0</v>
      </c>
      <c r="PM13" s="20" t="n">
        <f aca="false">IF(AND(HU13=0,CZ13=1,PL13&gt;0),MIN(PL13,DA13),0)</f>
        <v>0</v>
      </c>
      <c r="PN13" s="20" t="n">
        <f aca="false">PL13-PM13</f>
        <v>0</v>
      </c>
      <c r="PO13" s="20" t="n">
        <f aca="false">IF(AND(HU13=0,CP13=1,PN13&gt;0),MIN(PN13,CQ13),0)</f>
        <v>0</v>
      </c>
      <c r="PP13" s="20" t="n">
        <f aca="false">PN13-PO13</f>
        <v>0</v>
      </c>
      <c r="PQ13" s="20" t="n">
        <f aca="false">IF(AND(HU13=0,CF13=1,PP13&gt;0),MIN(PP13,CG13),0)</f>
        <v>0</v>
      </c>
      <c r="PR13" s="20" t="n">
        <f aca="false">PP13-PQ13</f>
        <v>0</v>
      </c>
      <c r="PS13" s="20" t="n">
        <f aca="false">IF(AND(HU13=0,BV13=1,PR13&gt;0),MIN(PR13,BW13),0)</f>
        <v>0</v>
      </c>
      <c r="PT13" s="20" t="n">
        <f aca="false">PR13-PS13</f>
        <v>0</v>
      </c>
      <c r="PU13" s="20" t="n">
        <f aca="false">IF(AND(HU13=0,BL13=1,PT13&gt;0),MIN(PT13,BM13),0)</f>
        <v>0</v>
      </c>
      <c r="PV13" s="20" t="n">
        <f aca="false">PT13-PU13</f>
        <v>0</v>
      </c>
      <c r="PW13" s="20" t="n">
        <f aca="false">IF(AND(HU13=0,BB13=1,PV13&gt;0),MIN(PV13,BC13),0)</f>
        <v>0</v>
      </c>
      <c r="PX13" s="20" t="n">
        <f aca="false">PV13-PW13</f>
        <v>0</v>
      </c>
      <c r="PY13" s="20" t="n">
        <f aca="false">IF(AND(HU13=0,AR13=1,PX13&gt;0),MIN(PX13,AS13),0)</f>
        <v>0</v>
      </c>
      <c r="PZ13" s="20" t="n">
        <f aca="false">PX13-PY13</f>
        <v>0</v>
      </c>
      <c r="QA13" s="20" t="n">
        <f aca="false">IF(AND(HU13=0,AH13=1,PZ13&gt;0),MIN(PZ13,AI13),0)</f>
        <v>0</v>
      </c>
      <c r="QB13" s="20" t="n">
        <f aca="false">PZ13-QA13</f>
        <v>0</v>
      </c>
      <c r="QC13" s="20" t="n">
        <f aca="false">IF(AND(HU13=0,W13=1,QB13&gt;0),MIN(QB13,X13),0)</f>
        <v>0</v>
      </c>
      <c r="QD13" s="20" t="n">
        <f aca="false">QB13-QC13</f>
        <v>0</v>
      </c>
      <c r="QE13" s="20" t="n">
        <f aca="false">IF(HU13=0,QD13,0)</f>
        <v>0</v>
      </c>
      <c r="QF13" s="20" t="n">
        <f aca="false">OM13+OO13+QC13+QA13+PY13+PW13+PU13+PS13+PQ13+PO13+PM13+PK13+PI13+PG13+PE13+PC13+PA13+OY13+OW13+OU13+OS13+OQ13</f>
        <v>0</v>
      </c>
      <c r="QG13" s="20" t="n">
        <f aca="false">IF(HU13=1,HK13+OJ13+OI13+IF(G13=1,0,OK13),HK13-OM13)</f>
        <v>0</v>
      </c>
      <c r="QH13" s="20" t="n">
        <f aca="false">HL13-OO13</f>
        <v>16078.877406</v>
      </c>
      <c r="QI13" s="20" t="n">
        <f aca="false">IF(HU13=1,IF(G13=1,ID13+IE13,HS13),0)</f>
        <v>3554.68576170398</v>
      </c>
      <c r="QJ13" s="20" t="n">
        <f aca="false">IF(HU13=1,IF(G13=1,HS13-ID13-IE13,0),0)</f>
        <v>3554.68576170398</v>
      </c>
      <c r="QK13" s="20" t="n">
        <f aca="false">QG13*(1+GR)</f>
        <v>0</v>
      </c>
      <c r="QL13" s="20" t="n">
        <f aca="false">QH13*(1+AS_Cash)</f>
        <v>16239.66618006</v>
      </c>
      <c r="QM13" s="20" t="n">
        <f aca="false">IF(W13=1,IF(HU13=1,II13+IL13,X13-QC13)*(1+Slot1_Rate),0)</f>
        <v>0</v>
      </c>
      <c r="QN13" s="20" t="n">
        <f aca="false">IF(AND(HU13=1,W13=1),(IH13+IL13)/F13,0)</f>
        <v>0</v>
      </c>
      <c r="QO13" s="20" t="n">
        <f aca="false">IF(B13=0,IH13+IL13,0)</f>
        <v>0</v>
      </c>
      <c r="QP13" s="20" t="n">
        <f aca="false">IF(B13=0,IF(HU13=1,IJ13,IK13),0)</f>
        <v>0</v>
      </c>
      <c r="QQ13" s="20" t="n">
        <f aca="false">IF(AH13=1,IF(HU13=1,IQ13+IT13,AI13-QA13)*(1+Slot2_Rate),0)</f>
        <v>0</v>
      </c>
      <c r="QR13" s="20" t="n">
        <f aca="false">IF(AND(HU13=1,AH13=1),(IP13+IT13)/F13,0)</f>
        <v>0</v>
      </c>
      <c r="QS13" s="20" t="n">
        <f aca="false">IF(B13=0,IP13+IT13,0)</f>
        <v>0</v>
      </c>
      <c r="QT13" s="20" t="n">
        <f aca="false">IF(B13=0,IF(HU13=1,IR13,IS13),0)</f>
        <v>0</v>
      </c>
      <c r="QU13" s="20" t="n">
        <f aca="false">IF(AR13=1,IF(HU13=1,IY13+JB13,AS13-PY13)*(1+Slot3_Rate),0)</f>
        <v>9581.07937770176</v>
      </c>
      <c r="QV13" s="20" t="n">
        <f aca="false">IF(AND(HU13=1,AR13=1),(IX13+JB13)/F13,0)</f>
        <v>3219.58841363902</v>
      </c>
      <c r="QW13" s="20" t="n">
        <f aca="false">IF(B13=0,IX13+JB13,0)</f>
        <v>0</v>
      </c>
      <c r="QX13" s="20" t="n">
        <f aca="false">IF(B13=0,IF(HU13=1,IZ13,JA13),0)</f>
        <v>0</v>
      </c>
      <c r="QY13" s="20" t="n">
        <f aca="false">IF(BB13=1,IF(HU13=1,JG13+JJ13,BC13-PW13)*(1+Slot4_Rate),0)</f>
        <v>0</v>
      </c>
      <c r="QZ13" s="20" t="n">
        <f aca="false">IF(AND(HU13=1,BB13=1),(JF13+JJ13)/F13,0)</f>
        <v>0</v>
      </c>
      <c r="RA13" s="20" t="n">
        <f aca="false">IF(B13=0,JF13+JJ13,0)</f>
        <v>0</v>
      </c>
      <c r="RB13" s="20" t="n">
        <f aca="false">IF(B13=0,IF(HU13=1,JH13,JI13),0)</f>
        <v>0</v>
      </c>
      <c r="RC13" s="20" t="n">
        <f aca="false">IF(BL13=1,IF(HU13=1,JO13+JR13,BM13-PU13)*(1+Slot5_Rate),0)</f>
        <v>0</v>
      </c>
      <c r="RD13" s="20" t="n">
        <f aca="false">IF(AND(HU13=1,BL13=1),(JN13+JR13)/F13,0)</f>
        <v>0</v>
      </c>
      <c r="RE13" s="20" t="n">
        <f aca="false">IF(B13=0,JN13+JR13,0)</f>
        <v>0</v>
      </c>
      <c r="RF13" s="20" t="n">
        <f aca="false">IF(B13=0,IF(HU13=1,JP13,JQ13),0)</f>
        <v>0</v>
      </c>
      <c r="RG13" s="20" t="n">
        <f aca="false">IF(BV13=1,IF(HU13=1,JW13+JZ13,BW13-PS13)*(1+Slot6_Rate),0)</f>
        <v>0</v>
      </c>
      <c r="RH13" s="20" t="n">
        <f aca="false">IF(AND(HU13=1,BV13=1),(JV13+JZ13)/F13,0)</f>
        <v>0</v>
      </c>
      <c r="RI13" s="20" t="n">
        <f aca="false">IF(B13=0,JV13+JZ13,0)</f>
        <v>0</v>
      </c>
      <c r="RJ13" s="20" t="n">
        <f aca="false">IF(B13=0,IF(HU13=1,JX13,JY13),0)</f>
        <v>0</v>
      </c>
      <c r="RK13" s="20" t="n">
        <f aca="false">IF(CF13=1,IF(HU13=1,KE13+KH13,CG13-PQ13)*(1+Slot7_Rate),0)</f>
        <v>0</v>
      </c>
      <c r="RL13" s="20" t="n">
        <f aca="false">IF(AND(HU13=1,CF13=1),(KD13+KH13)/F13,0)</f>
        <v>0</v>
      </c>
      <c r="RM13" s="20" t="n">
        <f aca="false">IF(B13=0,KD13+KH13,0)</f>
        <v>0</v>
      </c>
      <c r="RN13" s="20" t="n">
        <f aca="false">IF(B13=0,IF(HU13=1,KF13,KG13),0)</f>
        <v>0</v>
      </c>
      <c r="RO13" s="20" t="n">
        <f aca="false">IF(CP13=1,IF(HU13=1,KM13+KP13,CQ13-PO13)*(1+Slot8_Rate),0)</f>
        <v>0</v>
      </c>
      <c r="RP13" s="20" t="n">
        <f aca="false">IF(AND(HU13=1,CP13=1),(KL13+KP13)/F13,0)</f>
        <v>0</v>
      </c>
      <c r="RQ13" s="20" t="n">
        <f aca="false">IF(B13=0,KL13+KP13,0)</f>
        <v>0</v>
      </c>
      <c r="RR13" s="20" t="n">
        <f aca="false">IF(B13=0,IF(HU13=1,KN13,KO13),0)</f>
        <v>0</v>
      </c>
      <c r="RS13" s="20" t="n">
        <f aca="false">IF(CZ13=1,IF(HU13=1,KU13+KX13,DA13-PM13)*(1+Slot9_Rate),0)</f>
        <v>0</v>
      </c>
      <c r="RT13" s="20" t="n">
        <f aca="false">IF(AND(HU13=1,CZ13=1),(KT13+KX13)/F13,0)</f>
        <v>0</v>
      </c>
      <c r="RU13" s="20" t="n">
        <f aca="false">IF(B13=0,KT13+KX13,0)</f>
        <v>0</v>
      </c>
      <c r="RV13" s="20" t="n">
        <f aca="false">IF(B13=0,IF(HU13=1,KV13,KW13),0)</f>
        <v>0</v>
      </c>
      <c r="RW13" s="20" t="n">
        <f aca="false">IF(DJ13=1,IF(HU13=1,LC13+LF13,DK13-PK13)*(1+Slot10_Rate),0)</f>
        <v>0</v>
      </c>
      <c r="RX13" s="20" t="n">
        <f aca="false">IF(AND(HU13=1,DJ13=1),(LB13+LF13)/F13,0)</f>
        <v>0</v>
      </c>
      <c r="RY13" s="20" t="n">
        <f aca="false">IF(B13=0,LB13+LF13,0)</f>
        <v>0</v>
      </c>
      <c r="RZ13" s="20" t="n">
        <f aca="false">IF(B13=0,IF(HU13=1,LD13,LE13),0)</f>
        <v>0</v>
      </c>
      <c r="SA13" s="20" t="n">
        <f aca="false">IF(DT13=1,IF(HU13=1,LK13+LN13,DU13-PI13)*(1+Slot11_Rate),0)</f>
        <v>0</v>
      </c>
      <c r="SB13" s="20" t="n">
        <f aca="false">IF(AND(HU13=1,DT13=1),(LJ13+LN13)/F13,0)</f>
        <v>0</v>
      </c>
      <c r="SC13" s="20" t="n">
        <f aca="false">IF(B13=0,LJ13+LN13,0)</f>
        <v>0</v>
      </c>
      <c r="SD13" s="20" t="n">
        <f aca="false">IF(B13=0,IF(HU13=1,LL13,LM13),0)</f>
        <v>0</v>
      </c>
      <c r="SE13" s="20" t="n">
        <f aca="false">IF(ED13=1,IF(HU13=1,LS13+LV13,EE13-PG13)*(1+Slot12_Rate),0)</f>
        <v>0</v>
      </c>
      <c r="SF13" s="20" t="n">
        <f aca="false">IF(AND(HU13=1,ED13=1),(LR13+LV13)/F13,0)</f>
        <v>0</v>
      </c>
      <c r="SG13" s="20" t="n">
        <f aca="false">IF(B13=0,LR13+LV13,0)</f>
        <v>0</v>
      </c>
      <c r="SH13" s="20" t="n">
        <f aca="false">IF(B13=0,IF(HU13=1,LT13,LU13),0)</f>
        <v>0</v>
      </c>
      <c r="SI13" s="20" t="n">
        <f aca="false">IF(EN13=1,IF(HU13=1,MA13+MD13,EO13-PE13)*(1+Slot13_Rate),0)</f>
        <v>0</v>
      </c>
      <c r="SJ13" s="20" t="n">
        <f aca="false">IF(AND(HU13=1,EN13=1),(LZ13+MD13)/F13,0)</f>
        <v>0</v>
      </c>
      <c r="SK13" s="20" t="n">
        <f aca="false">IF(B13=0,LZ13+MD13,0)</f>
        <v>0</v>
      </c>
      <c r="SL13" s="20" t="n">
        <f aca="false">IF(B13=0,IF(HU13=1,MB13,MC13),0)</f>
        <v>0</v>
      </c>
      <c r="SM13" s="20" t="n">
        <f aca="false">IF(EX13=1,IF(HU13=1,MI13+ML13,EY13-PC13)*(1+Slot14_Rate),0)</f>
        <v>0</v>
      </c>
      <c r="SN13" s="20" t="n">
        <f aca="false">IF(AND(HU13=1,EX13=1),(MH13+ML13)/F13,0)</f>
        <v>0</v>
      </c>
      <c r="SO13" s="20" t="n">
        <f aca="false">IF(B13=0,MH13+ML13,0)</f>
        <v>0</v>
      </c>
      <c r="SP13" s="20" t="n">
        <f aca="false">IF(B13=0,IF(HU13=1,MJ13,MK13),0)</f>
        <v>0</v>
      </c>
      <c r="SQ13" s="20" t="n">
        <f aca="false">IF(FH13=1,IF(HU13=1,MQ13+MT13,FI13-PA13)*(1+Slot15_Rate),0)</f>
        <v>0</v>
      </c>
      <c r="SR13" s="20" t="n">
        <f aca="false">IF(AND(HU13=1,FH13=1),(MP13+MT13)/F13,0)</f>
        <v>0</v>
      </c>
      <c r="SS13" s="20" t="n">
        <f aca="false">IF(B13=0,MP13+MT13,0)</f>
        <v>0</v>
      </c>
      <c r="ST13" s="20" t="n">
        <f aca="false">IF(B13=0,IF(HU13=1,MR13,MS13),0)</f>
        <v>0</v>
      </c>
      <c r="SU13" s="20" t="n">
        <f aca="false">IF(FR13=1,IF(HU13=1,MY13+NB13,FS13-OY13)*(1+Slot16_Rate),0)</f>
        <v>0</v>
      </c>
      <c r="SV13" s="20" t="n">
        <f aca="false">IF(AND(HU13=1,FR13=1),(MX13+NB13)/F13,0)</f>
        <v>0</v>
      </c>
      <c r="SW13" s="20" t="n">
        <f aca="false">IF(B13=0,MX13+NB13,0)</f>
        <v>0</v>
      </c>
      <c r="SX13" s="20" t="n">
        <f aca="false">IF(B13=0,IF(HU13=1,MZ13,NA13),0)</f>
        <v>0</v>
      </c>
      <c r="SY13" s="20" t="n">
        <f aca="false">IF(GB13=1,IF(HU13=1,NG13+NJ13,GC13-OW13)*(1+Slot17_Rate),0)</f>
        <v>0</v>
      </c>
      <c r="SZ13" s="20" t="n">
        <f aca="false">IF(AND(HU13=1,GB13=1),(NF13+NJ13)/F13,0)</f>
        <v>0</v>
      </c>
      <c r="TA13" s="20" t="n">
        <f aca="false">IF(B13=0,NF13+NJ13,0)</f>
        <v>0</v>
      </c>
      <c r="TB13" s="20" t="n">
        <f aca="false">IF(B13=0,IF(HU13=1,NH13,NI13),0)</f>
        <v>0</v>
      </c>
      <c r="TC13" s="20" t="n">
        <f aca="false">IF(GL13=1,IF(HU13=1,NO13+NR13,GM13-OU13)*(1+Slot18_Rate),0)</f>
        <v>0</v>
      </c>
      <c r="TD13" s="20" t="n">
        <f aca="false">IF(AND(HU13=1,GL13=1),(NN13+NR13)/F13,0)</f>
        <v>0</v>
      </c>
      <c r="TE13" s="20" t="n">
        <f aca="false">IF(B13=0,NN13+NR13,0)</f>
        <v>0</v>
      </c>
      <c r="TF13" s="20" t="n">
        <f aca="false">IF(B13=0,IF(HU13=1,NP13,NQ13),0)</f>
        <v>0</v>
      </c>
      <c r="TG13" s="20" t="n">
        <f aca="false">IF(GV13=1,IF(HU13=1,NW13+NZ13,GW13-OS13)*(1+Slot19_Rate),0)</f>
        <v>0</v>
      </c>
      <c r="TH13" s="20" t="n">
        <f aca="false">IF(AND(HU13=1,GV13=1),(NV13+NZ13)/F13,0)</f>
        <v>0</v>
      </c>
      <c r="TI13" s="20" t="n">
        <f aca="false">IF(B13=0,NV13+NZ13,0)</f>
        <v>0</v>
      </c>
      <c r="TJ13" s="20" t="n">
        <f aca="false">IF(B13=0,IF(HU13=1,NX13,NY13),0)</f>
        <v>0</v>
      </c>
      <c r="TK13" s="20" t="n">
        <f aca="false">IF(HF13=1,IF(HU13=1,OE13+OH13,HG13-OQ13)*(1+Slot20_Rate),0)</f>
        <v>0</v>
      </c>
      <c r="TL13" s="20" t="n">
        <f aca="false">IF(AND(HU13=1,HF13=1),(OD13+OH13)/F13,0)</f>
        <v>0</v>
      </c>
      <c r="TM13" s="20" t="n">
        <f aca="false">IF(B13=0,OD13+OH13,0)</f>
        <v>0</v>
      </c>
      <c r="TN13" s="20" t="n">
        <f aca="false">IF(B13=0,IF(HU13=1,OF13,OG13),0)</f>
        <v>0</v>
      </c>
      <c r="TO13" s="20" t="n">
        <f aca="false">QK13+QL13+QM13+QQ13+QU13+QY13+RC13+RG13+RK13+RO13+RS13+RW13+SA13+SE13+SI13+SM13+SQ13+SU13+SY13+TC13+TG13+TK13</f>
        <v>25820.7455577618</v>
      </c>
      <c r="TP13" s="20" t="n">
        <f aca="false">QE13+HP13</f>
        <v>0</v>
      </c>
      <c r="TQ13" s="20" t="n">
        <f aca="false">I13+S13</f>
        <v>63843.636144</v>
      </c>
      <c r="TR13" s="20" t="n">
        <f aca="false">1-G13</f>
        <v>0</v>
      </c>
      <c r="TS13" s="20" t="n">
        <f aca="false">IF(AND(RG_Exists=1,G13=0,C13=1),I13,0)</f>
        <v>0</v>
      </c>
      <c r="TT13" s="20" t="n">
        <f aca="false">IF(AND(RG_Exists=1,G13=0,C13=1),I13-MIN(QE13,I13),0)</f>
        <v>0</v>
      </c>
      <c r="TU13" s="20" t="n">
        <f aca="false">'Plan pay &amp; tax'!AD239</f>
        <v>138777.185569524</v>
      </c>
      <c r="TV13" s="20" t="n">
        <f aca="false">IF(AND(C13=1,QE13&gt;MAX(PR_Short1,TQ13*PR_Short2)),1,0)</f>
        <v>0</v>
      </c>
      <c r="TW13" s="20" t="n">
        <f aca="false">MIN(H13,I13+S13)</f>
        <v>63843.636144</v>
      </c>
      <c r="TX13" s="20" t="n">
        <f aca="false">QF13+MAX(0,HQ13-HP13)</f>
        <v>0</v>
      </c>
      <c r="TY13" s="20" t="n">
        <f aca="false">QE13+HP13</f>
        <v>0</v>
      </c>
      <c r="TZ13" s="20" t="n">
        <f aca="false">IF(AND(C13=1,TY13&gt;PR_MinShort),1,0)</f>
        <v>0</v>
      </c>
      <c r="UA13" s="20" t="n">
        <f aca="false">IF(AND(C13=1,TZ13=0,TX13&gt;PR_MinShort),1,0)</f>
        <v>0</v>
      </c>
      <c r="UB13" s="20" t="n">
        <f aca="false">IF(AND(C13=1,QE13&gt;PR_MinShort),1,0)</f>
        <v>0</v>
      </c>
      <c r="UC13" s="20" t="n">
        <f aca="false">IF(AND(C13=1,QF13&gt;1,UJ13=0),1,0)</f>
        <v>0</v>
      </c>
      <c r="UD13" s="20" t="str">
        <f aca="false">IF(C13=0,"",IF(UJ13=1,"Gap to plan for: short "&amp;"€"&amp;TEXT(ROUND(TP13,0),"#,##0"),IF(QF13&gt;1,"Using savings","Comfortable")))</f>
        <v>Comfortable</v>
      </c>
      <c r="UE13" s="20" t="n">
        <f aca="false">IF(AND(INT(D13/10)*10=90,B13&gt;0),80,INT(D13/10)*10)</f>
        <v>40</v>
      </c>
      <c r="UF13" s="20" t="n">
        <f aca="false">IF(B13=0,1,IF(UE13&lt;&gt;UE12,UF12+1,UF12))</f>
        <v>2</v>
      </c>
      <c r="UG13" s="20" t="n">
        <f aca="false">IF(AND(C13=1,G13=1,QE13&gt;MAX(PR_Short1,TQ13*PR_Short2)),1,0)</f>
        <v>0</v>
      </c>
      <c r="UH13" s="20" t="n">
        <f aca="false">TR13*TV13</f>
        <v>0</v>
      </c>
      <c r="UI13" s="20" t="n">
        <f aca="false">IF(AND(V13=1,Slot1_PctLow=1),1,0)+IF(AND(AG13=1,Slot2_PctLow=1),1,0)+IF(AND(AQ13=1,Slot3_PctLow=1),1,0)+IF(AND(BA13=1,Slot4_PctLow=1),1,0)+IF(AND(BK13=1,Slot5_PctLow=1),1,0)+IF(AND(BU13=1,Slot6_PctLow=1),1,0)+IF(AND(CE13=1,Slot7_PctLow=1),1,0)+IF(AND(CO13=1,Slot8_PctLow=1),1,0)+IF(AND(CY13=1,Slot9_PctLow=1),1,0)+IF(AND(DI13=1,Slot10_PctLow=1),1,0)+IF(AND(DS13=1,Slot11_PctLow=1),1,0)+IF(AND(EC13=1,Slot12_PctLow=1),1,0)+IF(AND(EM13=1,Slot13_PctLow=1),1,0)+IF(AND(EW13=1,Slot14_PctLow=1),1,0)+IF(AND(FG13=1,Slot15_PctLow=1),1,0)+IF(AND(FQ13=1,Slot16_PctLow=1),1,0)+IF(AND(GA13=1,Slot17_PctLow=1),1,0)+IF(AND(GK13=1,Slot18_PctLow=1),1,0)+IF(AND(GU13=1,Slot19_PctLow=1),1,0)+IF(AND(HE13=1,Slot20_PctLow=1),1,0)</f>
        <v>0</v>
      </c>
      <c r="UJ13" s="20" t="n">
        <f aca="false">IF(C13=1,IF(OR(TV13=1,UI13&gt;0),1,0),0)</f>
        <v>0</v>
      </c>
    </row>
    <row r="14" customFormat="false" ht="15" hidden="false" customHeight="true" outlineLevel="0" collapsed="false">
      <c r="B14" s="20" t="n">
        <v>6</v>
      </c>
      <c r="C14" s="20" t="n">
        <f aca="false">IF(B14&lt;=F_N,1,0)</f>
        <v>1</v>
      </c>
      <c r="D14" s="20" t="n">
        <f aca="false">'Plan pay &amp; tax'!C240</f>
        <v>44</v>
      </c>
      <c r="E14" s="20" t="str">
        <f aca="false">IF($C14=1,"Income tax "&amp;TEXT(N('Plan pay &amp; tax'!BK240),"#,##0")&amp;"; USC "&amp;TEXT(N('Plan pay &amp; tax'!BM240)+N('Plan pay &amp; tax'!BO240),"#,##0")&amp;"; PRSI "&amp;TEXT(N('Plan pay &amp; tax'!BP240)+N('Plan pay &amp; tax'!BQ240),"#,##0")&amp;". DIRT and exit tax are inside the growth rates here.","")</f>
        <v>Income tax 11,141; USC 1,664; PRSI 3,987. DIRT and exit tax are inside the growth rates here.</v>
      </c>
      <c r="F14" s="44" t="n">
        <f aca="false">'Plan pay &amp; tax'!E240</f>
        <v>1.126162419264</v>
      </c>
      <c r="G14" s="20" t="n">
        <f aca="false">'Plan pay &amp; tax'!G240</f>
        <v>1</v>
      </c>
      <c r="H14" s="20" t="n">
        <f aca="false">'Plan pay &amp; tax'!BT240-'Plan pay &amp; tax'!BS240-'Plan pay &amp; tax'!R240</f>
        <v>72888.964945005</v>
      </c>
      <c r="I14" s="20" t="n">
        <f aca="false">IF(G14=1,F_CostsM*12,IF(RG_Exists=1,RG_Amount,F_CostsM*12*AS_RetireSpend))*F14+F_OneOffY*F14</f>
        <v>50677.30886688</v>
      </c>
      <c r="J14" s="20" t="n">
        <f aca="false">HR13</f>
        <v>161135.553618638</v>
      </c>
      <c r="K14" s="20" t="n">
        <f aca="false">IF(J14&gt;1,'Plan debt months'!AC14,0)</f>
        <v>14160</v>
      </c>
      <c r="L14" s="20" t="n">
        <f aca="false">IF(J14&gt;1,'Plan debt months'!AB14,J14)</f>
        <v>153037.364877978</v>
      </c>
      <c r="M14" s="20" t="n">
        <f aca="false">O13</f>
        <v>0</v>
      </c>
      <c r="N14" s="20" t="n">
        <f aca="false">IF(M14&gt;1,'Plan debt months'!BD14,0)</f>
        <v>0</v>
      </c>
      <c r="O14" s="20" t="n">
        <f aca="false">IF(M14&gt;1,'Plan debt months'!BC14,M14)</f>
        <v>0</v>
      </c>
      <c r="P14" s="20" t="n">
        <f aca="false">R13</f>
        <v>0</v>
      </c>
      <c r="Q14" s="20" t="n">
        <f aca="false">IF(P14&gt;1,'Plan debt months'!CE14,0)</f>
        <v>0</v>
      </c>
      <c r="R14" s="20" t="n">
        <f aca="false">IF(P14&gt;1,'Plan debt months'!CD14,P14)</f>
        <v>0</v>
      </c>
      <c r="S14" s="20" t="n">
        <f aca="false">K14+N14+Q14</f>
        <v>14160</v>
      </c>
      <c r="T14" s="20" t="n">
        <f aca="false">QK13+'Plan pay &amp; tax'!Y240</f>
        <v>0</v>
      </c>
      <c r="U14" s="20" t="n">
        <f aca="false">QK13</f>
        <v>0</v>
      </c>
      <c r="V14" s="20" t="n">
        <f aca="false">IF(AND(Slot1_On=1,D14=Slot1_Age),1,0)</f>
        <v>0</v>
      </c>
      <c r="W14" s="20" t="n">
        <f aca="false">IF(AND(Slot1_On=1,Slot1_Age&gt;D14),1,0)</f>
        <v>0</v>
      </c>
      <c r="X14" s="20" t="n">
        <f aca="false">QM13</f>
        <v>0</v>
      </c>
      <c r="Y14" s="20" t="n">
        <f aca="false">V14*MIN(Slot1_Cost,X14)</f>
        <v>0</v>
      </c>
      <c r="Z14" s="20" t="n">
        <f aca="false">V14*Slot1_SpendLike*MIN(Slot1_Cost-Y14,T14)</f>
        <v>0</v>
      </c>
      <c r="AA14" s="20" t="n">
        <f aca="false">Y14+Z14</f>
        <v>0</v>
      </c>
      <c r="AB14" s="20" t="n">
        <f aca="false">T14-Z14+V14*IF(Slot1_SpendLike=1,X14-Y14,IF(Slot1_PotFree=1,X14,0))</f>
        <v>0</v>
      </c>
      <c r="AC14" s="20" t="n">
        <f aca="false">AF14+V14*Slot1_BufPot*X14</f>
        <v>16239.66618006</v>
      </c>
      <c r="AD14" s="20" t="n">
        <f aca="false">IF(AND(V14=1,Slot1_IsMfree=1),IF(AA14&gt;=Slot1_Cost-1,0,MAX(0,L14-AA14)),L14)</f>
        <v>153037.364877978</v>
      </c>
      <c r="AE14" s="20" t="n">
        <f aca="false">V14*(Slot1_Cost-AA14)</f>
        <v>0</v>
      </c>
      <c r="AF14" s="20" t="n">
        <f aca="false">QL13</f>
        <v>16239.66618006</v>
      </c>
      <c r="AG14" s="20" t="n">
        <f aca="false">IF(AND(Slot2_On=1,D14=Slot2_Age),1,0)</f>
        <v>0</v>
      </c>
      <c r="AH14" s="20" t="n">
        <f aca="false">IF(AND(Slot2_On=1,Slot2_Age&gt;D14),1,0)</f>
        <v>0</v>
      </c>
      <c r="AI14" s="20" t="n">
        <f aca="false">QQ13</f>
        <v>0</v>
      </c>
      <c r="AJ14" s="20" t="n">
        <f aca="false">AG14*MIN(Slot2_Cost,AI14)</f>
        <v>0</v>
      </c>
      <c r="AK14" s="20" t="n">
        <f aca="false">AG14*Slot2_SpendLike*MIN(Slot2_Cost-AJ14,AB14)</f>
        <v>0</v>
      </c>
      <c r="AL14" s="20" t="n">
        <f aca="false">AJ14+AK14</f>
        <v>0</v>
      </c>
      <c r="AM14" s="20" t="n">
        <f aca="false">AB14-AK14+AG14*IF(Slot2_SpendLike=1,AI14-AJ14,IF(Slot2_PotFree=1,AI14,0))</f>
        <v>0</v>
      </c>
      <c r="AN14" s="20" t="n">
        <f aca="false">AC14+AG14*Slot2_BufPot*AI14</f>
        <v>16239.66618006</v>
      </c>
      <c r="AO14" s="20" t="n">
        <f aca="false">IF(AND(AG14=1,Slot2_IsMfree=1),IF(AL14&gt;=Slot2_Cost-1,0,MAX(0,AD14-AL14)),AD14)</f>
        <v>153037.364877978</v>
      </c>
      <c r="AP14" s="20" t="n">
        <f aca="false">AG14*(Slot2_Cost-AL14)</f>
        <v>0</v>
      </c>
      <c r="AQ14" s="20" t="n">
        <f aca="false">IF(AND(Slot3_On=1,D14=Slot3_Age),1,0)</f>
        <v>0</v>
      </c>
      <c r="AR14" s="20" t="n">
        <f aca="false">IF(AND(Slot3_On=1,Slot3_Age&gt;D14),1,0)</f>
        <v>1</v>
      </c>
      <c r="AS14" s="20" t="n">
        <f aca="false">QU13</f>
        <v>9581.07937770176</v>
      </c>
      <c r="AT14" s="20" t="n">
        <f aca="false">AQ14*MIN(Slot3_Cost,AS14)</f>
        <v>0</v>
      </c>
      <c r="AU14" s="20" t="n">
        <f aca="false">AQ14*Slot3_SpendLike*MIN(Slot3_Cost-AT14,AM14)</f>
        <v>0</v>
      </c>
      <c r="AV14" s="20" t="n">
        <f aca="false">AT14+AU14</f>
        <v>0</v>
      </c>
      <c r="AW14" s="20" t="n">
        <f aca="false">AM14-AU14+AQ14*IF(Slot3_SpendLike=1,AS14-AT14,IF(Slot3_PotFree=1,AS14,0))</f>
        <v>0</v>
      </c>
      <c r="AX14" s="20" t="n">
        <f aca="false">AN14+AQ14*Slot3_BufPot*AS14</f>
        <v>16239.66618006</v>
      </c>
      <c r="AY14" s="20" t="n">
        <f aca="false">IF(AND(AQ14=1,Slot3_IsMfree=1),IF(AV14&gt;=Slot3_Cost-1,0,MAX(0,AO14-AV14)),AO14)</f>
        <v>153037.364877978</v>
      </c>
      <c r="AZ14" s="20" t="n">
        <f aca="false">AQ14*(Slot3_Cost-AV14)</f>
        <v>0</v>
      </c>
      <c r="BA14" s="20" t="n">
        <f aca="false">IF(AND(Slot4_On=1,D14=Slot4_Age),1,0)</f>
        <v>0</v>
      </c>
      <c r="BB14" s="20" t="n">
        <f aca="false">IF(AND(Slot4_On=1,Slot4_Age&gt;D14),1,0)</f>
        <v>1</v>
      </c>
      <c r="BC14" s="20" t="n">
        <f aca="false">QY13</f>
        <v>0</v>
      </c>
      <c r="BD14" s="20" t="n">
        <f aca="false">BA14*MIN(Slot4_Cost,BC14)</f>
        <v>0</v>
      </c>
      <c r="BE14" s="20" t="n">
        <f aca="false">BA14*Slot4_SpendLike*MIN(Slot4_Cost-BD14,AW14)</f>
        <v>0</v>
      </c>
      <c r="BF14" s="20" t="n">
        <f aca="false">BD14+BE14</f>
        <v>0</v>
      </c>
      <c r="BG14" s="20" t="n">
        <f aca="false">AW14-BE14+BA14*IF(Slot4_SpendLike=1,BC14-BD14,IF(Slot4_PotFree=1,BC14,0))</f>
        <v>0</v>
      </c>
      <c r="BH14" s="20" t="n">
        <f aca="false">AX14+BA14*Slot4_BufPot*BC14</f>
        <v>16239.66618006</v>
      </c>
      <c r="BI14" s="20" t="n">
        <f aca="false">IF(AND(BA14=1,Slot4_IsMfree=1),IF(BF14&gt;=Slot4_Cost-1,0,MAX(0,AY14-BF14)),AY14)</f>
        <v>153037.364877978</v>
      </c>
      <c r="BJ14" s="20" t="n">
        <f aca="false">BA14*(Slot4_Cost-BF14)</f>
        <v>0</v>
      </c>
      <c r="BK14" s="20" t="n">
        <f aca="false">IF(AND(Slot5_On=1,D14=Slot5_Age),1,0)</f>
        <v>0</v>
      </c>
      <c r="BL14" s="20" t="n">
        <f aca="false">IF(AND(Slot5_On=1,Slot5_Age&gt;D14),1,0)</f>
        <v>0</v>
      </c>
      <c r="BM14" s="20" t="n">
        <f aca="false">RC13</f>
        <v>0</v>
      </c>
      <c r="BN14" s="20" t="n">
        <f aca="false">BK14*MIN(Slot5_Cost,BM14)</f>
        <v>0</v>
      </c>
      <c r="BO14" s="20" t="n">
        <f aca="false">BK14*Slot5_SpendLike*MIN(Slot5_Cost-BN14,BG14)</f>
        <v>0</v>
      </c>
      <c r="BP14" s="20" t="n">
        <f aca="false">BN14+BO14</f>
        <v>0</v>
      </c>
      <c r="BQ14" s="20" t="n">
        <f aca="false">BG14-BO14+BK14*IF(Slot5_SpendLike=1,BM14-BN14,IF(Slot5_PotFree=1,BM14,0))</f>
        <v>0</v>
      </c>
      <c r="BR14" s="20" t="n">
        <f aca="false">BH14+BK14*Slot5_BufPot*BM14</f>
        <v>16239.66618006</v>
      </c>
      <c r="BS14" s="20" t="n">
        <f aca="false">IF(AND(BK14=1,Slot5_IsMfree=1),IF(BP14&gt;=Slot5_Cost-1,0,MAX(0,BI14-BP14)),BI14)</f>
        <v>153037.364877978</v>
      </c>
      <c r="BT14" s="20" t="n">
        <f aca="false">BK14*(Slot5_Cost-BP14)</f>
        <v>0</v>
      </c>
      <c r="BU14" s="20" t="n">
        <f aca="false">IF(AND(Slot6_On=1,D14=Slot6_Age),1,0)</f>
        <v>0</v>
      </c>
      <c r="BV14" s="20" t="n">
        <f aca="false">IF(AND(Slot6_On=1,Slot6_Age&gt;D14),1,0)</f>
        <v>0</v>
      </c>
      <c r="BW14" s="20" t="n">
        <f aca="false">RG13</f>
        <v>0</v>
      </c>
      <c r="BX14" s="20" t="n">
        <f aca="false">BU14*MIN(Slot6_Cost,BW14)</f>
        <v>0</v>
      </c>
      <c r="BY14" s="20" t="n">
        <f aca="false">BU14*Slot6_SpendLike*MIN(Slot6_Cost-BX14,BQ14)</f>
        <v>0</v>
      </c>
      <c r="BZ14" s="20" t="n">
        <f aca="false">BX14+BY14</f>
        <v>0</v>
      </c>
      <c r="CA14" s="20" t="n">
        <f aca="false">BQ14-BY14+BU14*IF(Slot6_SpendLike=1,BW14-BX14,IF(Slot6_PotFree=1,BW14,0))</f>
        <v>0</v>
      </c>
      <c r="CB14" s="20" t="n">
        <f aca="false">BR14+BU14*Slot6_BufPot*BW14</f>
        <v>16239.66618006</v>
      </c>
      <c r="CC14" s="20" t="n">
        <f aca="false">IF(AND(BU14=1,Slot6_IsMfree=1),IF(BZ14&gt;=Slot6_Cost-1,0,MAX(0,BS14-BZ14)),BS14)</f>
        <v>153037.364877978</v>
      </c>
      <c r="CD14" s="20" t="n">
        <f aca="false">BU14*(Slot6_Cost-BZ14)</f>
        <v>0</v>
      </c>
      <c r="CE14" s="20" t="n">
        <f aca="false">IF(AND(Slot7_On=1,D14=Slot7_Age),1,0)</f>
        <v>0</v>
      </c>
      <c r="CF14" s="20" t="n">
        <f aca="false">IF(AND(Slot7_On=1,Slot7_Age&gt;D14),1,0)</f>
        <v>0</v>
      </c>
      <c r="CG14" s="20" t="n">
        <f aca="false">RK13</f>
        <v>0</v>
      </c>
      <c r="CH14" s="20" t="n">
        <f aca="false">CE14*MIN(Slot7_Cost,CG14)</f>
        <v>0</v>
      </c>
      <c r="CI14" s="20" t="n">
        <f aca="false">CE14*Slot7_SpendLike*MIN(Slot7_Cost-CH14,CA14)</f>
        <v>0</v>
      </c>
      <c r="CJ14" s="20" t="n">
        <f aca="false">CH14+CI14</f>
        <v>0</v>
      </c>
      <c r="CK14" s="20" t="n">
        <f aca="false">CA14-CI14+CE14*IF(Slot7_SpendLike=1,CG14-CH14,IF(Slot7_PotFree=1,CG14,0))</f>
        <v>0</v>
      </c>
      <c r="CL14" s="20" t="n">
        <f aca="false">CB14+CE14*Slot7_BufPot*CG14</f>
        <v>16239.66618006</v>
      </c>
      <c r="CM14" s="20" t="n">
        <f aca="false">IF(AND(CE14=1,Slot7_IsMfree=1),IF(CJ14&gt;=Slot7_Cost-1,0,MAX(0,CC14-CJ14)),CC14)</f>
        <v>153037.364877978</v>
      </c>
      <c r="CN14" s="20" t="n">
        <f aca="false">CE14*(Slot7_Cost-CJ14)</f>
        <v>0</v>
      </c>
      <c r="CO14" s="20" t="n">
        <f aca="false">IF(AND(Slot8_On=1,D14=Slot8_Age),1,0)</f>
        <v>0</v>
      </c>
      <c r="CP14" s="20" t="n">
        <f aca="false">IF(AND(Slot8_On=1,Slot8_Age&gt;D14),1,0)</f>
        <v>0</v>
      </c>
      <c r="CQ14" s="20" t="n">
        <f aca="false">RO13</f>
        <v>0</v>
      </c>
      <c r="CR14" s="20" t="n">
        <f aca="false">CO14*MIN(Slot8_Cost,CQ14)</f>
        <v>0</v>
      </c>
      <c r="CS14" s="20" t="n">
        <f aca="false">CO14*Slot8_SpendLike*MIN(Slot8_Cost-CR14,CK14)</f>
        <v>0</v>
      </c>
      <c r="CT14" s="20" t="n">
        <f aca="false">CR14+CS14</f>
        <v>0</v>
      </c>
      <c r="CU14" s="20" t="n">
        <f aca="false">CK14-CS14+CO14*IF(Slot8_SpendLike=1,CQ14-CR14,IF(Slot8_PotFree=1,CQ14,0))</f>
        <v>0</v>
      </c>
      <c r="CV14" s="20" t="n">
        <f aca="false">CL14+CO14*Slot8_BufPot*CQ14</f>
        <v>16239.66618006</v>
      </c>
      <c r="CW14" s="20" t="n">
        <f aca="false">IF(AND(CO14=1,Slot8_IsMfree=1),IF(CT14&gt;=Slot8_Cost-1,0,MAX(0,CM14-CT14)),CM14)</f>
        <v>153037.364877978</v>
      </c>
      <c r="CX14" s="20" t="n">
        <f aca="false">CO14*(Slot8_Cost-CT14)</f>
        <v>0</v>
      </c>
      <c r="CY14" s="20" t="n">
        <f aca="false">IF(AND(Slot9_On=1,D14=Slot9_Age),1,0)</f>
        <v>0</v>
      </c>
      <c r="CZ14" s="20" t="n">
        <f aca="false">IF(AND(Slot9_On=1,Slot9_Age&gt;D14),1,0)</f>
        <v>0</v>
      </c>
      <c r="DA14" s="20" t="n">
        <f aca="false">RS13</f>
        <v>0</v>
      </c>
      <c r="DB14" s="20" t="n">
        <f aca="false">CY14*MIN(Slot9_Cost,DA14)</f>
        <v>0</v>
      </c>
      <c r="DC14" s="20" t="n">
        <f aca="false">CY14*Slot9_SpendLike*MIN(Slot9_Cost-DB14,CU14)</f>
        <v>0</v>
      </c>
      <c r="DD14" s="20" t="n">
        <f aca="false">DB14+DC14</f>
        <v>0</v>
      </c>
      <c r="DE14" s="20" t="n">
        <f aca="false">CU14-DC14+CY14*IF(Slot9_SpendLike=1,DA14-DB14,IF(Slot9_PotFree=1,DA14,0))</f>
        <v>0</v>
      </c>
      <c r="DF14" s="20" t="n">
        <f aca="false">CV14+CY14*Slot9_BufPot*DA14</f>
        <v>16239.66618006</v>
      </c>
      <c r="DG14" s="20" t="n">
        <f aca="false">IF(AND(CY14=1,Slot9_IsMfree=1),IF(DD14&gt;=Slot9_Cost-1,0,MAX(0,CW14-DD14)),CW14)</f>
        <v>153037.364877978</v>
      </c>
      <c r="DH14" s="20" t="n">
        <f aca="false">CY14*(Slot9_Cost-DD14)</f>
        <v>0</v>
      </c>
      <c r="DI14" s="20" t="n">
        <f aca="false">IF(AND(Slot10_On=1,D14=Slot10_Age),1,0)</f>
        <v>0</v>
      </c>
      <c r="DJ14" s="20" t="n">
        <f aca="false">IF(AND(Slot10_On=1,Slot10_Age&gt;D14),1,0)</f>
        <v>0</v>
      </c>
      <c r="DK14" s="20" t="n">
        <f aca="false">RW13</f>
        <v>0</v>
      </c>
      <c r="DL14" s="20" t="n">
        <f aca="false">DI14*MIN(Slot10_Cost,DK14)</f>
        <v>0</v>
      </c>
      <c r="DM14" s="20" t="n">
        <f aca="false">DI14*Slot10_SpendLike*MIN(Slot10_Cost-DL14,DE14)</f>
        <v>0</v>
      </c>
      <c r="DN14" s="20" t="n">
        <f aca="false">DL14+DM14</f>
        <v>0</v>
      </c>
      <c r="DO14" s="20" t="n">
        <f aca="false">DE14-DM14+DI14*IF(Slot10_SpendLike=1,DK14-DL14,IF(Slot10_PotFree=1,DK14,0))</f>
        <v>0</v>
      </c>
      <c r="DP14" s="20" t="n">
        <f aca="false">DF14+DI14*Slot10_BufPot*DK14</f>
        <v>16239.66618006</v>
      </c>
      <c r="DQ14" s="20" t="n">
        <f aca="false">IF(AND(DI14=1,Slot10_IsMfree=1),IF(DN14&gt;=Slot10_Cost-1,0,MAX(0,DG14-DN14)),DG14)</f>
        <v>153037.364877978</v>
      </c>
      <c r="DR14" s="20" t="n">
        <f aca="false">DI14*(Slot10_Cost-DN14)</f>
        <v>0</v>
      </c>
      <c r="DS14" s="20" t="n">
        <f aca="false">IF(AND(Slot11_On=1,D14=Slot11_Age),1,0)</f>
        <v>0</v>
      </c>
      <c r="DT14" s="20" t="n">
        <f aca="false">IF(AND(Slot11_On=1,Slot11_Age&gt;D14),1,0)</f>
        <v>0</v>
      </c>
      <c r="DU14" s="20" t="n">
        <f aca="false">SA13</f>
        <v>0</v>
      </c>
      <c r="DV14" s="20" t="n">
        <f aca="false">DS14*MIN(Slot11_Cost,DU14)</f>
        <v>0</v>
      </c>
      <c r="DW14" s="20" t="n">
        <f aca="false">DS14*Slot11_SpendLike*MIN(Slot11_Cost-DV14,DO14)</f>
        <v>0</v>
      </c>
      <c r="DX14" s="20" t="n">
        <f aca="false">DV14+DW14</f>
        <v>0</v>
      </c>
      <c r="DY14" s="20" t="n">
        <f aca="false">DO14-DW14+DS14*IF(Slot11_SpendLike=1,DU14-DV14,IF(Slot11_PotFree=1,DU14,0))</f>
        <v>0</v>
      </c>
      <c r="DZ14" s="20" t="n">
        <f aca="false">DP14+DS14*Slot11_BufPot*DU14</f>
        <v>16239.66618006</v>
      </c>
      <c r="EA14" s="20" t="n">
        <f aca="false">IF(AND(DS14=1,Slot11_IsMfree=1),IF(DX14&gt;=Slot11_Cost-1,0,MAX(0,DQ14-DX14)),DQ14)</f>
        <v>153037.364877978</v>
      </c>
      <c r="EB14" s="20" t="n">
        <f aca="false">DS14*(Slot11_Cost-DX14)</f>
        <v>0</v>
      </c>
      <c r="EC14" s="20" t="n">
        <f aca="false">IF(AND(Slot12_On=1,D14=Slot12_Age),1,0)</f>
        <v>0</v>
      </c>
      <c r="ED14" s="20" t="n">
        <f aca="false">IF(AND(Slot12_On=1,Slot12_Age&gt;D14),1,0)</f>
        <v>0</v>
      </c>
      <c r="EE14" s="20" t="n">
        <f aca="false">SE13</f>
        <v>0</v>
      </c>
      <c r="EF14" s="20" t="n">
        <f aca="false">EC14*MIN(Slot12_Cost,EE14)</f>
        <v>0</v>
      </c>
      <c r="EG14" s="20" t="n">
        <f aca="false">EC14*Slot12_SpendLike*MIN(Slot12_Cost-EF14,DY14)</f>
        <v>0</v>
      </c>
      <c r="EH14" s="20" t="n">
        <f aca="false">EF14+EG14</f>
        <v>0</v>
      </c>
      <c r="EI14" s="20" t="n">
        <f aca="false">DY14-EG14+EC14*IF(Slot12_SpendLike=1,EE14-EF14,IF(Slot12_PotFree=1,EE14,0))</f>
        <v>0</v>
      </c>
      <c r="EJ14" s="20" t="n">
        <f aca="false">DZ14+EC14*Slot12_BufPot*EE14</f>
        <v>16239.66618006</v>
      </c>
      <c r="EK14" s="20" t="n">
        <f aca="false">IF(AND(EC14=1,Slot12_IsMfree=1),IF(EH14&gt;=Slot12_Cost-1,0,MAX(0,EA14-EH14)),EA14)</f>
        <v>153037.364877978</v>
      </c>
      <c r="EL14" s="20" t="n">
        <f aca="false">EC14*(Slot12_Cost-EH14)</f>
        <v>0</v>
      </c>
      <c r="EM14" s="20" t="n">
        <f aca="false">IF(AND(Slot13_On=1,D14=Slot13_Age),1,0)</f>
        <v>0</v>
      </c>
      <c r="EN14" s="20" t="n">
        <f aca="false">IF(AND(Slot13_On=1,Slot13_Age&gt;D14),1,0)</f>
        <v>0</v>
      </c>
      <c r="EO14" s="20" t="n">
        <f aca="false">SI13</f>
        <v>0</v>
      </c>
      <c r="EP14" s="20" t="n">
        <f aca="false">EM14*MIN(Slot13_Cost,EO14)</f>
        <v>0</v>
      </c>
      <c r="EQ14" s="20" t="n">
        <f aca="false">EM14*Slot13_SpendLike*MIN(Slot13_Cost-EP14,EI14)</f>
        <v>0</v>
      </c>
      <c r="ER14" s="20" t="n">
        <f aca="false">EP14+EQ14</f>
        <v>0</v>
      </c>
      <c r="ES14" s="20" t="n">
        <f aca="false">EI14-EQ14+EM14*IF(Slot13_SpendLike=1,EO14-EP14,IF(Slot13_PotFree=1,EO14,0))</f>
        <v>0</v>
      </c>
      <c r="ET14" s="20" t="n">
        <f aca="false">EJ14+EM14*Slot13_BufPot*EO14</f>
        <v>16239.66618006</v>
      </c>
      <c r="EU14" s="20" t="n">
        <f aca="false">IF(AND(EM14=1,Slot13_IsMfree=1),IF(ER14&gt;=Slot13_Cost-1,0,MAX(0,EK14-ER14)),EK14)</f>
        <v>153037.364877978</v>
      </c>
      <c r="EV14" s="20" t="n">
        <f aca="false">EM14*(Slot13_Cost-ER14)</f>
        <v>0</v>
      </c>
      <c r="EW14" s="20" t="n">
        <f aca="false">IF(AND(Slot14_On=1,D14=Slot14_Age),1,0)</f>
        <v>0</v>
      </c>
      <c r="EX14" s="20" t="n">
        <f aca="false">IF(AND(Slot14_On=1,Slot14_Age&gt;D14),1,0)</f>
        <v>0</v>
      </c>
      <c r="EY14" s="20" t="n">
        <f aca="false">SM13</f>
        <v>0</v>
      </c>
      <c r="EZ14" s="20" t="n">
        <f aca="false">EW14*MIN(Slot14_Cost,EY14)</f>
        <v>0</v>
      </c>
      <c r="FA14" s="20" t="n">
        <f aca="false">EW14*Slot14_SpendLike*MIN(Slot14_Cost-EZ14,ES14)</f>
        <v>0</v>
      </c>
      <c r="FB14" s="20" t="n">
        <f aca="false">EZ14+FA14</f>
        <v>0</v>
      </c>
      <c r="FC14" s="20" t="n">
        <f aca="false">ES14-FA14+EW14*IF(Slot14_SpendLike=1,EY14-EZ14,IF(Slot14_PotFree=1,EY14,0))</f>
        <v>0</v>
      </c>
      <c r="FD14" s="20" t="n">
        <f aca="false">ET14+EW14*Slot14_BufPot*EY14</f>
        <v>16239.66618006</v>
      </c>
      <c r="FE14" s="20" t="n">
        <f aca="false">IF(AND(EW14=1,Slot14_IsMfree=1),IF(FB14&gt;=Slot14_Cost-1,0,MAX(0,EU14-FB14)),EU14)</f>
        <v>153037.364877978</v>
      </c>
      <c r="FF14" s="20" t="n">
        <f aca="false">EW14*(Slot14_Cost-FB14)</f>
        <v>0</v>
      </c>
      <c r="FG14" s="20" t="n">
        <f aca="false">IF(AND(Slot15_On=1,D14=Slot15_Age),1,0)</f>
        <v>0</v>
      </c>
      <c r="FH14" s="20" t="n">
        <f aca="false">IF(AND(Slot15_On=1,Slot15_Age&gt;D14),1,0)</f>
        <v>0</v>
      </c>
      <c r="FI14" s="20" t="n">
        <f aca="false">SQ13</f>
        <v>0</v>
      </c>
      <c r="FJ14" s="20" t="n">
        <f aca="false">FG14*MIN(Slot15_Cost,FI14)</f>
        <v>0</v>
      </c>
      <c r="FK14" s="20" t="n">
        <f aca="false">FG14*Slot15_SpendLike*MIN(Slot15_Cost-FJ14,FC14)</f>
        <v>0</v>
      </c>
      <c r="FL14" s="20" t="n">
        <f aca="false">FJ14+FK14</f>
        <v>0</v>
      </c>
      <c r="FM14" s="20" t="n">
        <f aca="false">FC14-FK14+FG14*IF(Slot15_SpendLike=1,FI14-FJ14,IF(Slot15_PotFree=1,FI14,0))</f>
        <v>0</v>
      </c>
      <c r="FN14" s="20" t="n">
        <f aca="false">FD14+FG14*Slot15_BufPot*FI14</f>
        <v>16239.66618006</v>
      </c>
      <c r="FO14" s="20" t="n">
        <f aca="false">IF(AND(FG14=1,Slot15_IsMfree=1),IF(FL14&gt;=Slot15_Cost-1,0,MAX(0,FE14-FL14)),FE14)</f>
        <v>153037.364877978</v>
      </c>
      <c r="FP14" s="20" t="n">
        <f aca="false">FG14*(Slot15_Cost-FL14)</f>
        <v>0</v>
      </c>
      <c r="FQ14" s="20" t="n">
        <f aca="false">IF(AND(Slot16_On=1,D14=Slot16_Age),1,0)</f>
        <v>0</v>
      </c>
      <c r="FR14" s="20" t="n">
        <f aca="false">IF(AND(Slot16_On=1,Slot16_Age&gt;D14),1,0)</f>
        <v>0</v>
      </c>
      <c r="FS14" s="20" t="n">
        <f aca="false">SU13</f>
        <v>0</v>
      </c>
      <c r="FT14" s="20" t="n">
        <f aca="false">FQ14*MIN(Slot16_Cost,FS14)</f>
        <v>0</v>
      </c>
      <c r="FU14" s="20" t="n">
        <f aca="false">FQ14*Slot16_SpendLike*MIN(Slot16_Cost-FT14,FM14)</f>
        <v>0</v>
      </c>
      <c r="FV14" s="20" t="n">
        <f aca="false">FT14+FU14</f>
        <v>0</v>
      </c>
      <c r="FW14" s="20" t="n">
        <f aca="false">FM14-FU14+FQ14*IF(Slot16_SpendLike=1,FS14-FT14,IF(Slot16_PotFree=1,FS14,0))</f>
        <v>0</v>
      </c>
      <c r="FX14" s="20" t="n">
        <f aca="false">FN14+FQ14*Slot16_BufPot*FS14</f>
        <v>16239.66618006</v>
      </c>
      <c r="FY14" s="20" t="n">
        <f aca="false">IF(AND(FQ14=1,Slot16_IsMfree=1),IF(FV14&gt;=Slot16_Cost-1,0,MAX(0,FO14-FV14)),FO14)</f>
        <v>153037.364877978</v>
      </c>
      <c r="FZ14" s="20" t="n">
        <f aca="false">FQ14*(Slot16_Cost-FV14)</f>
        <v>0</v>
      </c>
      <c r="GA14" s="20" t="n">
        <f aca="false">IF(AND(Slot17_On=1,D14=Slot17_Age),1,0)</f>
        <v>0</v>
      </c>
      <c r="GB14" s="20" t="n">
        <f aca="false">IF(AND(Slot17_On=1,Slot17_Age&gt;D14),1,0)</f>
        <v>0</v>
      </c>
      <c r="GC14" s="20" t="n">
        <f aca="false">SY13</f>
        <v>0</v>
      </c>
      <c r="GD14" s="20" t="n">
        <f aca="false">GA14*MIN(Slot17_Cost,GC14)</f>
        <v>0</v>
      </c>
      <c r="GE14" s="20" t="n">
        <f aca="false">GA14*Slot17_SpendLike*MIN(Slot17_Cost-GD14,FW14)</f>
        <v>0</v>
      </c>
      <c r="GF14" s="20" t="n">
        <f aca="false">GD14+GE14</f>
        <v>0</v>
      </c>
      <c r="GG14" s="20" t="n">
        <f aca="false">FW14-GE14+GA14*IF(Slot17_SpendLike=1,GC14-GD14,IF(Slot17_PotFree=1,GC14,0))</f>
        <v>0</v>
      </c>
      <c r="GH14" s="20" t="n">
        <f aca="false">FX14+GA14*Slot17_BufPot*GC14</f>
        <v>16239.66618006</v>
      </c>
      <c r="GI14" s="20" t="n">
        <f aca="false">IF(AND(GA14=1,Slot17_IsMfree=1),IF(GF14&gt;=Slot17_Cost-1,0,MAX(0,FY14-GF14)),FY14)</f>
        <v>153037.364877978</v>
      </c>
      <c r="GJ14" s="20" t="n">
        <f aca="false">GA14*(Slot17_Cost-GF14)</f>
        <v>0</v>
      </c>
      <c r="GK14" s="20" t="n">
        <f aca="false">IF(AND(Slot18_On=1,D14=Slot18_Age),1,0)</f>
        <v>0</v>
      </c>
      <c r="GL14" s="20" t="n">
        <f aca="false">IF(AND(Slot18_On=1,Slot18_Age&gt;D14),1,0)</f>
        <v>0</v>
      </c>
      <c r="GM14" s="20" t="n">
        <f aca="false">TC13</f>
        <v>0</v>
      </c>
      <c r="GN14" s="20" t="n">
        <f aca="false">GK14*MIN(Slot18_Cost,GM14)</f>
        <v>0</v>
      </c>
      <c r="GO14" s="20" t="n">
        <f aca="false">GK14*Slot18_SpendLike*MIN(Slot18_Cost-GN14,GG14)</f>
        <v>0</v>
      </c>
      <c r="GP14" s="20" t="n">
        <f aca="false">GN14+GO14</f>
        <v>0</v>
      </c>
      <c r="GQ14" s="20" t="n">
        <f aca="false">GG14-GO14+GK14*IF(Slot18_SpendLike=1,GM14-GN14,IF(Slot18_PotFree=1,GM14,0))</f>
        <v>0</v>
      </c>
      <c r="GR14" s="20" t="n">
        <f aca="false">GH14+GK14*Slot18_BufPot*GM14</f>
        <v>16239.66618006</v>
      </c>
      <c r="GS14" s="20" t="n">
        <f aca="false">IF(AND(GK14=1,Slot18_IsMfree=1),IF(GP14&gt;=Slot18_Cost-1,0,MAX(0,GI14-GP14)),GI14)</f>
        <v>153037.364877978</v>
      </c>
      <c r="GT14" s="20" t="n">
        <f aca="false">GK14*(Slot18_Cost-GP14)</f>
        <v>0</v>
      </c>
      <c r="GU14" s="20" t="n">
        <f aca="false">IF(AND(Slot19_On=1,D14=Slot19_Age),1,0)</f>
        <v>0</v>
      </c>
      <c r="GV14" s="20" t="n">
        <f aca="false">IF(AND(Slot19_On=1,Slot19_Age&gt;D14),1,0)</f>
        <v>0</v>
      </c>
      <c r="GW14" s="20" t="n">
        <f aca="false">TG13</f>
        <v>0</v>
      </c>
      <c r="GX14" s="20" t="n">
        <f aca="false">GU14*MIN(Slot19_Cost,GW14)</f>
        <v>0</v>
      </c>
      <c r="GY14" s="20" t="n">
        <f aca="false">GU14*Slot19_SpendLike*MIN(Slot19_Cost-GX14,GQ14)</f>
        <v>0</v>
      </c>
      <c r="GZ14" s="20" t="n">
        <f aca="false">GX14+GY14</f>
        <v>0</v>
      </c>
      <c r="HA14" s="20" t="n">
        <f aca="false">GQ14-GY14+GU14*IF(Slot19_SpendLike=1,GW14-GX14,IF(Slot19_PotFree=1,GW14,0))</f>
        <v>0</v>
      </c>
      <c r="HB14" s="20" t="n">
        <f aca="false">GR14+GU14*Slot19_BufPot*GW14</f>
        <v>16239.66618006</v>
      </c>
      <c r="HC14" s="20" t="n">
        <f aca="false">IF(AND(GU14=1,Slot19_IsMfree=1),IF(GZ14&gt;=Slot19_Cost-1,0,MAX(0,GS14-GZ14)),GS14)</f>
        <v>153037.364877978</v>
      </c>
      <c r="HD14" s="20" t="n">
        <f aca="false">GU14*(Slot19_Cost-GZ14)</f>
        <v>0</v>
      </c>
      <c r="HE14" s="20" t="n">
        <f aca="false">IF(AND(Slot20_On=1,D14=Slot20_Age),1,0)</f>
        <v>0</v>
      </c>
      <c r="HF14" s="20" t="n">
        <f aca="false">IF(AND(Slot20_On=1,Slot20_Age&gt;D14),1,0)</f>
        <v>0</v>
      </c>
      <c r="HG14" s="20" t="n">
        <f aca="false">TK13</f>
        <v>0</v>
      </c>
      <c r="HH14" s="20" t="n">
        <f aca="false">HE14*MIN(Slot20_Cost,HG14)</f>
        <v>0</v>
      </c>
      <c r="HI14" s="20" t="n">
        <f aca="false">HE14*Slot20_SpendLike*MIN(Slot20_Cost-HH14,HA14)</f>
        <v>0</v>
      </c>
      <c r="HJ14" s="20" t="n">
        <f aca="false">HH14+HI14</f>
        <v>0</v>
      </c>
      <c r="HK14" s="20" t="n">
        <f aca="false">HA14-HI14+HE14*IF(Slot20_SpendLike=1,HG14-HH14,IF(Slot20_PotFree=1,HG14,0))</f>
        <v>0</v>
      </c>
      <c r="HL14" s="20" t="n">
        <f aca="false">HB14+HE14*Slot20_BufPot*HG14</f>
        <v>16239.66618006</v>
      </c>
      <c r="HM14" s="20" t="n">
        <f aca="false">IF(AND(HE14=1,Slot20_IsMfree=1),IF(HJ14&gt;=Slot20_Cost-1,0,MAX(0,HC14-HJ14)),HC14)</f>
        <v>153037.364877978</v>
      </c>
      <c r="HN14" s="20" t="n">
        <f aca="false">HE14*(Slot20_Cost-HJ14)</f>
        <v>0</v>
      </c>
      <c r="HO14" s="20" t="n">
        <f aca="false">V14*Slot1_SpendLike*AA14+AG14*Slot2_SpendLike*AL14+AQ14*Slot3_SpendLike*AV14+BA14*Slot4_SpendLike*BF14+BK14*Slot5_SpendLike*BP14+BU14*Slot6_SpendLike*BZ14+CE14*Slot7_SpendLike*CJ14+CO14*Slot8_SpendLike*CT14+CY14*Slot9_SpendLike*DD14+DI14*Slot10_SpendLike*DN14+DS14*Slot11_SpendLike*DX14+EC14*Slot12_SpendLike*EH14+EM14*Slot13_SpendLike*ER14+EW14*Slot14_SpendLike*FB14+FG14*Slot15_SpendLike*FL14+FQ14*Slot16_SpendLike*FV14+GA14*Slot17_SpendLike*GF14+GK14*Slot18_SpendLike*GP14+GU14*Slot19_SpendLike*GZ14+HE14*Slot20_SpendLike*HJ14</f>
        <v>0</v>
      </c>
      <c r="HP14" s="20" t="n">
        <f aca="false">AE14+AP14+AZ14+BJ14+BT14+CD14+CN14+CX14+DH14+DR14+EB14+EL14+EV14+FF14+FP14+FZ14+GJ14+GT14+HD14+HN14</f>
        <v>0</v>
      </c>
      <c r="HQ14" s="20" t="n">
        <f aca="false">V14*Slot1_Cost+AG14*Slot2_Cost+AQ14*Slot3_Cost+BA14*Slot4_Cost+BK14*Slot5_Cost+BU14*Slot6_Cost+CE14*Slot7_Cost+CO14*Slot8_Cost+CY14*Slot9_Cost+DI14*Slot10_Cost+DS14*Slot11_Cost+EC14*Slot12_Cost+EM14*Slot13_Cost+EW14*Slot14_Cost+FG14*Slot15_Cost+FQ14*Slot16_Cost+GA14*Slot17_Cost+GK14*Slot18_Cost+GU14*Slot19_Cost+HE14*Slot20_Cost</f>
        <v>0</v>
      </c>
      <c r="HR14" s="20" t="n">
        <f aca="false">HM14</f>
        <v>153037.364877978</v>
      </c>
      <c r="HS14" s="20" t="n">
        <f aca="false">H14-I14-S14</f>
        <v>8051.656078125</v>
      </c>
      <c r="HT14" s="20" t="n">
        <f aca="false">IF(B14=0,IF(AND(Has_q6=1,In_q6=4),PR_ShareVaries*(MAX(0,HS14)/12),MIN(IF(Has_q6=1,CHOOSE(In_q6+1,PR_SaveB1,PR_SaveB2,PR_SaveB3,PR_SaveB4,0),AS_NoAnswer),AS_SaveShare*(MAX(0,HS14)/12))),HT13)</f>
        <v>62.3316893520437</v>
      </c>
      <c r="HU14" s="20" t="n">
        <f aca="false">IF(HS14&gt;=0,1,0)</f>
        <v>1</v>
      </c>
      <c r="HV14" s="20" t="n">
        <f aca="false">MAX(0,HS14/12/F14)</f>
        <v>595.803348048376</v>
      </c>
      <c r="HW14" s="20" t="n">
        <f aca="false">IF(AND(Has_q6=1,In_q6=4),PR_ShareVaries*(HV14),MIN(IF(Has_q6=1,CHOOSE(In_q6+1,PR_SaveB1,PR_SaveB2,PR_SaveB3,PR_SaveB4,0),AS_NoAnswer),AS_SaveShare*(HV14)))</f>
        <v>297.901674024188</v>
      </c>
      <c r="HX14" s="20" t="n">
        <f aca="false">IF(Has_saveM=1,IF(In_saveUp="Yes",1,IF(In_saveUp="No",0,IF(In_saveM&gt;=HT14-0.5,1,0))),0)</f>
        <v>0</v>
      </c>
      <c r="HY14" s="20" t="n">
        <f aca="false">IF(Has_saveM=1,MIN(HV14,IF(HX14=1,MAX(In_saveM,HW14),MIN(In_saveM,HW14))),HW14)</f>
        <v>297.901674024188</v>
      </c>
      <c r="HZ14" s="20" t="n">
        <f aca="false">IF(G14=1,HY14*12*F14,0)</f>
        <v>4025.8280390625</v>
      </c>
      <c r="IA14" s="20" t="n">
        <f aca="false">MAX(0,HZ14+IF(AND(WI_Retire=0,WI_M&lt;0,G14=1),WI_M*12*F14,0))</f>
        <v>4025.8280390625</v>
      </c>
      <c r="IB14" s="20" t="n">
        <f aca="false">Slot1_IsWG*W14+Slot2_IsWG*AH14+Slot3_IsWG*AR14+Slot4_IsWG*BB14+Slot5_IsWG*BL14+Slot6_IsWG*BV14+Slot7_IsWG*CF14+Slot8_IsWG*CP14+Slot9_IsWG*CZ14+Slot10_IsWG*DJ14+Slot11_IsWG*DT14+Slot12_IsWG*ED14+Slot13_IsWG*EN14+Slot14_IsWG*EX14+Slot15_IsWG*FH14+Slot16_IsWG*FR14+Slot17_IsWG*GB14+Slot18_IsWG*GL14+Slot19_IsWG*GV14+Slot20_IsWG*HF14</f>
        <v>0</v>
      </c>
      <c r="IC14" s="20" t="n">
        <f aca="false">IF(AND(WI_Retire=0,WI_M&gt;0,G14=1,IB14&gt;=1),WI_M*12*F14,0)</f>
        <v>0</v>
      </c>
      <c r="ID14" s="20" t="n">
        <f aca="false">IF(HU14=1,MIN(IA14,HS14),0)</f>
        <v>4025.8280390625</v>
      </c>
      <c r="IE14" s="20" t="n">
        <f aca="false">IF(HU14=1,MIN(IC14,HS14-ID14),0)</f>
        <v>0</v>
      </c>
      <c r="IF14" s="20" t="n">
        <f aca="false">IF(W14=1,IF(ABS((1+AS_Wage)/(1+Slot1_Rate)-1)&lt;0.000000000001,(Slot1_Age-D14)*(1+Slot1_Rate)^(Slot1_Age-D14),(1+Slot1_Rate)^(Slot1_Age-D14)*(1-((1+AS_Wage)/(1+Slot1_Rate))^(Slot1_Age-D14))/(1-(1+AS_Wage)/(1+Slot1_Rate))),1)</f>
        <v>1</v>
      </c>
      <c r="IG14" s="20" t="n">
        <f aca="false">IF(AND(HU14=1,IE14&gt;0,Slot1_IsWG=1,W14=1),MAX(0,(Slot1_Cost-X14*(1+Slot1_Rate)^(Slot1_Age-D14))/IF14),0)</f>
        <v>0</v>
      </c>
      <c r="IH14" s="20" t="n">
        <f aca="false">IF(AND(HU14=1,IE14&gt;0,Slot1_IsWG=1,W14=1),MIN(IE14,IG14),0)</f>
        <v>0</v>
      </c>
      <c r="II14" s="20" t="n">
        <f aca="false">X14+IH14</f>
        <v>0</v>
      </c>
      <c r="IJ14" s="20" t="n">
        <f aca="false">IF(W14=1,MAX(0,(Slot1_Cost-II14*(1+Slot1_Rate)^(Slot1_Age-D14))/IF14),0)</f>
        <v>0</v>
      </c>
      <c r="IK14" s="20" t="n">
        <f aca="false">IF(W14=1,MAX(0,(Slot1_Cost-X14*(1+Slot1_Rate)^(Slot1_Age-D14))/IF14),0)</f>
        <v>0</v>
      </c>
      <c r="IL14" s="20" t="n">
        <f aca="false">IF(AND(HU14=1,W14=1),MIN(ID14,IJ14),0)</f>
        <v>0</v>
      </c>
      <c r="IM14" s="20" t="n">
        <f aca="false">ID14-IL14</f>
        <v>4025.8280390625</v>
      </c>
      <c r="IN14" s="20" t="n">
        <f aca="false">IF(AH14=1,IF(ABS((1+AS_Wage)/(1+Slot2_Rate)-1)&lt;0.000000000001,(Slot2_Age-D14)*(1+Slot2_Rate)^(Slot2_Age-D14),(1+Slot2_Rate)^(Slot2_Age-D14)*(1-((1+AS_Wage)/(1+Slot2_Rate))^(Slot2_Age-D14))/(1-(1+AS_Wage)/(1+Slot2_Rate))),1)</f>
        <v>1</v>
      </c>
      <c r="IO14" s="20" t="n">
        <f aca="false">IF(AND(HU14=1,IE14&gt;0,Slot2_IsWG=1,AH14=1),MAX(0,(Slot2_Cost-AI14*(1+Slot2_Rate)^(Slot2_Age-D14))/IN14),0)</f>
        <v>0</v>
      </c>
      <c r="IP14" s="20" t="n">
        <f aca="false">IF(AND(HU14=1,IE14&gt;0,Slot2_IsWG=1,AH14=1),MIN(IE14,IO14),0)</f>
        <v>0</v>
      </c>
      <c r="IQ14" s="20" t="n">
        <f aca="false">AI14+IP14</f>
        <v>0</v>
      </c>
      <c r="IR14" s="20" t="n">
        <f aca="false">IF(AH14=1,MAX(0,(Slot2_Cost-IQ14*(1+Slot2_Rate)^(Slot2_Age-D14))/IN14),0)</f>
        <v>0</v>
      </c>
      <c r="IS14" s="20" t="n">
        <f aca="false">IF(AH14=1,MAX(0,(Slot2_Cost-AI14*(1+Slot2_Rate)^(Slot2_Age-D14))/IN14),0)</f>
        <v>0</v>
      </c>
      <c r="IT14" s="20" t="n">
        <f aca="false">IF(AND(HU14=1,AH14=1),MIN(IM14,IR14),0)</f>
        <v>0</v>
      </c>
      <c r="IU14" s="20" t="n">
        <f aca="false">IM14-IT14</f>
        <v>4025.8280390625</v>
      </c>
      <c r="IV14" s="20" t="n">
        <f aca="false">IF(AR14=1,IF(ABS((1+AS_Wage)/(1+Slot3_Rate)-1)&lt;0.000000000001,(Slot3_Age-D14)*(1+Slot3_Rate)^(Slot3_Age-D14),(1+Slot3_Rate)^(Slot3_Age-D14)*(1-((1+AS_Wage)/(1+Slot3_Rate))^(Slot3_Age-D14))/(1-(1+AS_Wage)/(1+Slot3_Rate))),1)</f>
        <v>4.458495574656</v>
      </c>
      <c r="IW14" s="20" t="n">
        <f aca="false">IF(AND(HU14=1,IE14&gt;0,Slot3_IsWG=1,AR14=1),MAX(0,(Slot3_Cost-AS14*(1+Slot3_Rate)^(Slot3_Age-D14))/IV14),0)</f>
        <v>0</v>
      </c>
      <c r="IX14" s="20" t="n">
        <f aca="false">IF(AND(HU14=1,IE14&gt;0,Slot3_IsWG=1,AR14=1),MIN(IE14,IW14),0)</f>
        <v>0</v>
      </c>
      <c r="IY14" s="20" t="n">
        <f aca="false">AS14+IX14</f>
        <v>9581.07937770176</v>
      </c>
      <c r="IZ14" s="20" t="n">
        <f aca="false">IF(AR14=1,MAX(0,(Slot3_Cost-IY14*(1+Slot3_Rate)^(Slot3_Age-D14))/IV14),0)</f>
        <v>11289.1601437004</v>
      </c>
      <c r="JA14" s="20" t="n">
        <f aca="false">IF(AR14=1,MAX(0,(Slot3_Cost-AS14*(1+Slot3_Rate)^(Slot3_Age-D14))/IV14),0)</f>
        <v>11289.1601437004</v>
      </c>
      <c r="JB14" s="20" t="n">
        <f aca="false">IF(AND(HU14=1,AR14=1),MIN(IU14,IZ14),0)</f>
        <v>4025.8280390625</v>
      </c>
      <c r="JC14" s="20" t="n">
        <f aca="false">IU14-JB14</f>
        <v>0</v>
      </c>
      <c r="JD14" s="20" t="n">
        <f aca="false">IF(BB14=1,IF(ABS((1+AS_Wage)/(1+Slot4_Rate)-1)&lt;0.000000000001,(Slot4_Age-D14)*(1+Slot4_Rate)^(Slot4_Age-D14),(1+Slot4_Rate)^(Slot4_Age-D14)*(1-((1+AS_Wage)/(1+Slot4_Rate))^(Slot4_Age-D14))/(1-(1+AS_Wage)/(1+Slot4_Rate))),1)</f>
        <v>14.8763315723863</v>
      </c>
      <c r="JE14" s="20" t="n">
        <f aca="false">IF(AND(HU14=1,IE14&gt;0,Slot4_IsWG=1,BB14=1),MAX(0,(Slot4_Cost-BC14*(1+Slot4_Rate)^(Slot4_Age-D14))/JD14),0)</f>
        <v>0</v>
      </c>
      <c r="JF14" s="20" t="n">
        <f aca="false">IF(AND(HU14=1,IE14&gt;0,Slot4_IsWG=1,BB14=1),MIN(IE14,JE14),0)</f>
        <v>0</v>
      </c>
      <c r="JG14" s="20" t="n">
        <f aca="false">BC14+JF14</f>
        <v>0</v>
      </c>
      <c r="JH14" s="20" t="n">
        <f aca="false">IF(BB14=1,MAX(0,(Slot4_Cost-JG14*(1+Slot4_Rate)^(Slot4_Age-D14))/JD14),0)</f>
        <v>2690.17233570638</v>
      </c>
      <c r="JI14" s="20" t="n">
        <f aca="false">IF(BB14=1,MAX(0,(Slot4_Cost-BC14*(1+Slot4_Rate)^(Slot4_Age-D14))/JD14),0)</f>
        <v>2690.17233570638</v>
      </c>
      <c r="JJ14" s="20" t="n">
        <f aca="false">IF(AND(HU14=1,BB14=1),MIN(JC14,JH14),0)</f>
        <v>0</v>
      </c>
      <c r="JK14" s="20" t="n">
        <f aca="false">JC14-JJ14</f>
        <v>0</v>
      </c>
      <c r="JL14" s="20" t="n">
        <f aca="false">IF(BL14=1,IF(ABS((1+AS_Wage)/(1+Slot5_Rate)-1)&lt;0.000000000001,(Slot5_Age-D14)*(1+Slot5_Rate)^(Slot5_Age-D14),(1+Slot5_Rate)^(Slot5_Age-D14)*(1-((1+AS_Wage)/(1+Slot5_Rate))^(Slot5_Age-D14))/(1-(1+AS_Wage)/(1+Slot5_Rate))),1)</f>
        <v>1</v>
      </c>
      <c r="JM14" s="20" t="n">
        <f aca="false">IF(AND(HU14=1,IE14&gt;0,Slot5_IsWG=1,BL14=1),MAX(0,(Slot5_Cost-BM14*(1+Slot5_Rate)^(Slot5_Age-D14))/JL14),0)</f>
        <v>0</v>
      </c>
      <c r="JN14" s="20" t="n">
        <f aca="false">IF(AND(HU14=1,IE14&gt;0,Slot5_IsWG=1,BL14=1),MIN(IE14,JM14),0)</f>
        <v>0</v>
      </c>
      <c r="JO14" s="20" t="n">
        <f aca="false">BM14+JN14</f>
        <v>0</v>
      </c>
      <c r="JP14" s="20" t="n">
        <f aca="false">IF(BL14=1,MAX(0,(Slot5_Cost-JO14*(1+Slot5_Rate)^(Slot5_Age-D14))/JL14),0)</f>
        <v>0</v>
      </c>
      <c r="JQ14" s="20" t="n">
        <f aca="false">IF(BL14=1,MAX(0,(Slot5_Cost-BM14*(1+Slot5_Rate)^(Slot5_Age-D14))/JL14),0)</f>
        <v>0</v>
      </c>
      <c r="JR14" s="20" t="n">
        <f aca="false">IF(AND(HU14=1,BL14=1),MIN(JK14,JP14),0)</f>
        <v>0</v>
      </c>
      <c r="JS14" s="20" t="n">
        <f aca="false">JK14-JR14</f>
        <v>0</v>
      </c>
      <c r="JT14" s="20" t="n">
        <f aca="false">IF(BV14=1,IF(ABS((1+AS_Wage)/(1+Slot6_Rate)-1)&lt;0.000000000001,(Slot6_Age-D14)*(1+Slot6_Rate)^(Slot6_Age-D14),(1+Slot6_Rate)^(Slot6_Age-D14)*(1-((1+AS_Wage)/(1+Slot6_Rate))^(Slot6_Age-D14))/(1-(1+AS_Wage)/(1+Slot6_Rate))),1)</f>
        <v>1</v>
      </c>
      <c r="JU14" s="20" t="n">
        <f aca="false">IF(AND(HU14=1,IE14&gt;0,Slot6_IsWG=1,BV14=1),MAX(0,(Slot6_Cost-BW14*(1+Slot6_Rate)^(Slot6_Age-D14))/JT14),0)</f>
        <v>0</v>
      </c>
      <c r="JV14" s="20" t="n">
        <f aca="false">IF(AND(HU14=1,IE14&gt;0,Slot6_IsWG=1,BV14=1),MIN(IE14,JU14),0)</f>
        <v>0</v>
      </c>
      <c r="JW14" s="20" t="n">
        <f aca="false">BW14+JV14</f>
        <v>0</v>
      </c>
      <c r="JX14" s="20" t="n">
        <f aca="false">IF(BV14=1,MAX(0,(Slot6_Cost-JW14*(1+Slot6_Rate)^(Slot6_Age-D14))/JT14),0)</f>
        <v>0</v>
      </c>
      <c r="JY14" s="20" t="n">
        <f aca="false">IF(BV14=1,MAX(0,(Slot6_Cost-BW14*(1+Slot6_Rate)^(Slot6_Age-D14))/JT14),0)</f>
        <v>0</v>
      </c>
      <c r="JZ14" s="20" t="n">
        <f aca="false">IF(AND(HU14=1,BV14=1),MIN(JS14,JX14),0)</f>
        <v>0</v>
      </c>
      <c r="KA14" s="20" t="n">
        <f aca="false">JS14-JZ14</f>
        <v>0</v>
      </c>
      <c r="KB14" s="20" t="n">
        <f aca="false">IF(CF14=1,IF(ABS((1+AS_Wage)/(1+Slot7_Rate)-1)&lt;0.000000000001,(Slot7_Age-D14)*(1+Slot7_Rate)^(Slot7_Age-D14),(1+Slot7_Rate)^(Slot7_Age-D14)*(1-((1+AS_Wage)/(1+Slot7_Rate))^(Slot7_Age-D14))/(1-(1+AS_Wage)/(1+Slot7_Rate))),1)</f>
        <v>1</v>
      </c>
      <c r="KC14" s="20" t="n">
        <f aca="false">IF(AND(HU14=1,IE14&gt;0,Slot7_IsWG=1,CF14=1),MAX(0,(Slot7_Cost-CG14*(1+Slot7_Rate)^(Slot7_Age-D14))/KB14),0)</f>
        <v>0</v>
      </c>
      <c r="KD14" s="20" t="n">
        <f aca="false">IF(AND(HU14=1,IE14&gt;0,Slot7_IsWG=1,CF14=1),MIN(IE14,KC14),0)</f>
        <v>0</v>
      </c>
      <c r="KE14" s="20" t="n">
        <f aca="false">CG14+KD14</f>
        <v>0</v>
      </c>
      <c r="KF14" s="20" t="n">
        <f aca="false">IF(CF14=1,MAX(0,(Slot7_Cost-KE14*(1+Slot7_Rate)^(Slot7_Age-D14))/KB14),0)</f>
        <v>0</v>
      </c>
      <c r="KG14" s="20" t="n">
        <f aca="false">IF(CF14=1,MAX(0,(Slot7_Cost-CG14*(1+Slot7_Rate)^(Slot7_Age-D14))/KB14),0)</f>
        <v>0</v>
      </c>
      <c r="KH14" s="20" t="n">
        <f aca="false">IF(AND(HU14=1,CF14=1),MIN(KA14,KF14),0)</f>
        <v>0</v>
      </c>
      <c r="KI14" s="20" t="n">
        <f aca="false">KA14-KH14</f>
        <v>0</v>
      </c>
      <c r="KJ14" s="20" t="n">
        <f aca="false">IF(CP14=1,IF(ABS((1+AS_Wage)/(1+Slot8_Rate)-1)&lt;0.000000000001,(Slot8_Age-D14)*(1+Slot8_Rate)^(Slot8_Age-D14),(1+Slot8_Rate)^(Slot8_Age-D14)*(1-((1+AS_Wage)/(1+Slot8_Rate))^(Slot8_Age-D14))/(1-(1+AS_Wage)/(1+Slot8_Rate))),1)</f>
        <v>1</v>
      </c>
      <c r="KK14" s="20" t="n">
        <f aca="false">IF(AND(HU14=1,IE14&gt;0,Slot8_IsWG=1,CP14=1),MAX(0,(Slot8_Cost-CQ14*(1+Slot8_Rate)^(Slot8_Age-D14))/KJ14),0)</f>
        <v>0</v>
      </c>
      <c r="KL14" s="20" t="n">
        <f aca="false">IF(AND(HU14=1,IE14&gt;0,Slot8_IsWG=1,CP14=1),MIN(IE14,KK14),0)</f>
        <v>0</v>
      </c>
      <c r="KM14" s="20" t="n">
        <f aca="false">CQ14+KL14</f>
        <v>0</v>
      </c>
      <c r="KN14" s="20" t="n">
        <f aca="false">IF(CP14=1,MAX(0,(Slot8_Cost-KM14*(1+Slot8_Rate)^(Slot8_Age-D14))/KJ14),0)</f>
        <v>0</v>
      </c>
      <c r="KO14" s="20" t="n">
        <f aca="false">IF(CP14=1,MAX(0,(Slot8_Cost-CQ14*(1+Slot8_Rate)^(Slot8_Age-D14))/KJ14),0)</f>
        <v>0</v>
      </c>
      <c r="KP14" s="20" t="n">
        <f aca="false">IF(AND(HU14=1,CP14=1),MIN(KI14,KN14),0)</f>
        <v>0</v>
      </c>
      <c r="KQ14" s="20" t="n">
        <f aca="false">KI14-KP14</f>
        <v>0</v>
      </c>
      <c r="KR14" s="20" t="n">
        <f aca="false">IF(CZ14=1,IF(ABS((1+AS_Wage)/(1+Slot9_Rate)-1)&lt;0.000000000001,(Slot9_Age-D14)*(1+Slot9_Rate)^(Slot9_Age-D14),(1+Slot9_Rate)^(Slot9_Age-D14)*(1-((1+AS_Wage)/(1+Slot9_Rate))^(Slot9_Age-D14))/(1-(1+AS_Wage)/(1+Slot9_Rate))),1)</f>
        <v>1</v>
      </c>
      <c r="KS14" s="20" t="n">
        <f aca="false">IF(AND(HU14=1,IE14&gt;0,Slot9_IsWG=1,CZ14=1),MAX(0,(Slot9_Cost-DA14*(1+Slot9_Rate)^(Slot9_Age-D14))/KR14),0)</f>
        <v>0</v>
      </c>
      <c r="KT14" s="20" t="n">
        <f aca="false">IF(AND(HU14=1,IE14&gt;0,Slot9_IsWG=1,CZ14=1),MIN(IE14,KS14),0)</f>
        <v>0</v>
      </c>
      <c r="KU14" s="20" t="n">
        <f aca="false">DA14+KT14</f>
        <v>0</v>
      </c>
      <c r="KV14" s="20" t="n">
        <f aca="false">IF(CZ14=1,MAX(0,(Slot9_Cost-KU14*(1+Slot9_Rate)^(Slot9_Age-D14))/KR14),0)</f>
        <v>0</v>
      </c>
      <c r="KW14" s="20" t="n">
        <f aca="false">IF(CZ14=1,MAX(0,(Slot9_Cost-DA14*(1+Slot9_Rate)^(Slot9_Age-D14))/KR14),0)</f>
        <v>0</v>
      </c>
      <c r="KX14" s="20" t="n">
        <f aca="false">IF(AND(HU14=1,CZ14=1),MIN(KQ14,KV14),0)</f>
        <v>0</v>
      </c>
      <c r="KY14" s="20" t="n">
        <f aca="false">KQ14-KX14</f>
        <v>0</v>
      </c>
      <c r="KZ14" s="20" t="n">
        <f aca="false">IF(DJ14=1,IF(ABS((1+AS_Wage)/(1+Slot10_Rate)-1)&lt;0.000000000001,(Slot10_Age-D14)*(1+Slot10_Rate)^(Slot10_Age-D14),(1+Slot10_Rate)^(Slot10_Age-D14)*(1-((1+AS_Wage)/(1+Slot10_Rate))^(Slot10_Age-D14))/(1-(1+AS_Wage)/(1+Slot10_Rate))),1)</f>
        <v>1</v>
      </c>
      <c r="LA14" s="20" t="n">
        <f aca="false">IF(AND(HU14=1,IE14&gt;0,Slot10_IsWG=1,DJ14=1),MAX(0,(Slot10_Cost-DK14*(1+Slot10_Rate)^(Slot10_Age-D14))/KZ14),0)</f>
        <v>0</v>
      </c>
      <c r="LB14" s="20" t="n">
        <f aca="false">IF(AND(HU14=1,IE14&gt;0,Slot10_IsWG=1,DJ14=1),MIN(IE14,LA14),0)</f>
        <v>0</v>
      </c>
      <c r="LC14" s="20" t="n">
        <f aca="false">DK14+LB14</f>
        <v>0</v>
      </c>
      <c r="LD14" s="20" t="n">
        <f aca="false">IF(DJ14=1,MAX(0,(Slot10_Cost-LC14*(1+Slot10_Rate)^(Slot10_Age-D14))/KZ14),0)</f>
        <v>0</v>
      </c>
      <c r="LE14" s="20" t="n">
        <f aca="false">IF(DJ14=1,MAX(0,(Slot10_Cost-DK14*(1+Slot10_Rate)^(Slot10_Age-D14))/KZ14),0)</f>
        <v>0</v>
      </c>
      <c r="LF14" s="20" t="n">
        <f aca="false">IF(AND(HU14=1,DJ14=1),MIN(KY14,LD14),0)</f>
        <v>0</v>
      </c>
      <c r="LG14" s="20" t="n">
        <f aca="false">KY14-LF14</f>
        <v>0</v>
      </c>
      <c r="LH14" s="20" t="n">
        <f aca="false">IF(DT14=1,IF(ABS((1+AS_Wage)/(1+Slot11_Rate)-1)&lt;0.000000000001,(Slot11_Age-D14)*(1+Slot11_Rate)^(Slot11_Age-D14),(1+Slot11_Rate)^(Slot11_Age-D14)*(1-((1+AS_Wage)/(1+Slot11_Rate))^(Slot11_Age-D14))/(1-(1+AS_Wage)/(1+Slot11_Rate))),1)</f>
        <v>1</v>
      </c>
      <c r="LI14" s="20" t="n">
        <f aca="false">IF(AND(HU14=1,IE14&gt;0,Slot11_IsWG=1,DT14=1),MAX(0,(Slot11_Cost-DU14*(1+Slot11_Rate)^(Slot11_Age-D14))/LH14),0)</f>
        <v>0</v>
      </c>
      <c r="LJ14" s="20" t="n">
        <f aca="false">IF(AND(HU14=1,IE14&gt;0,Slot11_IsWG=1,DT14=1),MIN(IE14,LI14),0)</f>
        <v>0</v>
      </c>
      <c r="LK14" s="20" t="n">
        <f aca="false">DU14+LJ14</f>
        <v>0</v>
      </c>
      <c r="LL14" s="20" t="n">
        <f aca="false">IF(DT14=1,MAX(0,(Slot11_Cost-LK14*(1+Slot11_Rate)^(Slot11_Age-D14))/LH14),0)</f>
        <v>0</v>
      </c>
      <c r="LM14" s="20" t="n">
        <f aca="false">IF(DT14=1,MAX(0,(Slot11_Cost-DU14*(1+Slot11_Rate)^(Slot11_Age-D14))/LH14),0)</f>
        <v>0</v>
      </c>
      <c r="LN14" s="20" t="n">
        <f aca="false">IF(AND(HU14=1,DT14=1),MIN(LG14,LL14),0)</f>
        <v>0</v>
      </c>
      <c r="LO14" s="20" t="n">
        <f aca="false">LG14-LN14</f>
        <v>0</v>
      </c>
      <c r="LP14" s="20" t="n">
        <f aca="false">IF(ED14=1,IF(ABS((1+AS_Wage)/(1+Slot12_Rate)-1)&lt;0.000000000001,(Slot12_Age-D14)*(1+Slot12_Rate)^(Slot12_Age-D14),(1+Slot12_Rate)^(Slot12_Age-D14)*(1-((1+AS_Wage)/(1+Slot12_Rate))^(Slot12_Age-D14))/(1-(1+AS_Wage)/(1+Slot12_Rate))),1)</f>
        <v>1</v>
      </c>
      <c r="LQ14" s="20" t="n">
        <f aca="false">IF(AND(HU14=1,IE14&gt;0,Slot12_IsWG=1,ED14=1),MAX(0,(Slot12_Cost-EE14*(1+Slot12_Rate)^(Slot12_Age-D14))/LP14),0)</f>
        <v>0</v>
      </c>
      <c r="LR14" s="20" t="n">
        <f aca="false">IF(AND(HU14=1,IE14&gt;0,Slot12_IsWG=1,ED14=1),MIN(IE14,LQ14),0)</f>
        <v>0</v>
      </c>
      <c r="LS14" s="20" t="n">
        <f aca="false">EE14+LR14</f>
        <v>0</v>
      </c>
      <c r="LT14" s="20" t="n">
        <f aca="false">IF(ED14=1,MAX(0,(Slot12_Cost-LS14*(1+Slot12_Rate)^(Slot12_Age-D14))/LP14),0)</f>
        <v>0</v>
      </c>
      <c r="LU14" s="20" t="n">
        <f aca="false">IF(ED14=1,MAX(0,(Slot12_Cost-EE14*(1+Slot12_Rate)^(Slot12_Age-D14))/LP14),0)</f>
        <v>0</v>
      </c>
      <c r="LV14" s="20" t="n">
        <f aca="false">IF(AND(HU14=1,ED14=1),MIN(LO14,LT14),0)</f>
        <v>0</v>
      </c>
      <c r="LW14" s="20" t="n">
        <f aca="false">LO14-LV14</f>
        <v>0</v>
      </c>
      <c r="LX14" s="20" t="n">
        <f aca="false">IF(EN14=1,IF(ABS((1+AS_Wage)/(1+Slot13_Rate)-1)&lt;0.000000000001,(Slot13_Age-D14)*(1+Slot13_Rate)^(Slot13_Age-D14),(1+Slot13_Rate)^(Slot13_Age-D14)*(1-((1+AS_Wage)/(1+Slot13_Rate))^(Slot13_Age-D14))/(1-(1+AS_Wage)/(1+Slot13_Rate))),1)</f>
        <v>1</v>
      </c>
      <c r="LY14" s="20" t="n">
        <f aca="false">IF(AND(HU14=1,IE14&gt;0,Slot13_IsWG=1,EN14=1),MAX(0,(Slot13_Cost-EO14*(1+Slot13_Rate)^(Slot13_Age-D14))/LX14),0)</f>
        <v>0</v>
      </c>
      <c r="LZ14" s="20" t="n">
        <f aca="false">IF(AND(HU14=1,IE14&gt;0,Slot13_IsWG=1,EN14=1),MIN(IE14,LY14),0)</f>
        <v>0</v>
      </c>
      <c r="MA14" s="20" t="n">
        <f aca="false">EO14+LZ14</f>
        <v>0</v>
      </c>
      <c r="MB14" s="20" t="n">
        <f aca="false">IF(EN14=1,MAX(0,(Slot13_Cost-MA14*(1+Slot13_Rate)^(Slot13_Age-D14))/LX14),0)</f>
        <v>0</v>
      </c>
      <c r="MC14" s="20" t="n">
        <f aca="false">IF(EN14=1,MAX(0,(Slot13_Cost-EO14*(1+Slot13_Rate)^(Slot13_Age-D14))/LX14),0)</f>
        <v>0</v>
      </c>
      <c r="MD14" s="20" t="n">
        <f aca="false">IF(AND(HU14=1,EN14=1),MIN(LW14,MB14),0)</f>
        <v>0</v>
      </c>
      <c r="ME14" s="20" t="n">
        <f aca="false">LW14-MD14</f>
        <v>0</v>
      </c>
      <c r="MF14" s="20" t="n">
        <f aca="false">IF(EX14=1,IF(ABS((1+AS_Wage)/(1+Slot14_Rate)-1)&lt;0.000000000001,(Slot14_Age-D14)*(1+Slot14_Rate)^(Slot14_Age-D14),(1+Slot14_Rate)^(Slot14_Age-D14)*(1-((1+AS_Wage)/(1+Slot14_Rate))^(Slot14_Age-D14))/(1-(1+AS_Wage)/(1+Slot14_Rate))),1)</f>
        <v>1</v>
      </c>
      <c r="MG14" s="20" t="n">
        <f aca="false">IF(AND(HU14=1,IE14&gt;0,Slot14_IsWG=1,EX14=1),MAX(0,(Slot14_Cost-EY14*(1+Slot14_Rate)^(Slot14_Age-D14))/MF14),0)</f>
        <v>0</v>
      </c>
      <c r="MH14" s="20" t="n">
        <f aca="false">IF(AND(HU14=1,IE14&gt;0,Slot14_IsWG=1,EX14=1),MIN(IE14,MG14),0)</f>
        <v>0</v>
      </c>
      <c r="MI14" s="20" t="n">
        <f aca="false">EY14+MH14</f>
        <v>0</v>
      </c>
      <c r="MJ14" s="20" t="n">
        <f aca="false">IF(EX14=1,MAX(0,(Slot14_Cost-MI14*(1+Slot14_Rate)^(Slot14_Age-D14))/MF14),0)</f>
        <v>0</v>
      </c>
      <c r="MK14" s="20" t="n">
        <f aca="false">IF(EX14=1,MAX(0,(Slot14_Cost-EY14*(1+Slot14_Rate)^(Slot14_Age-D14))/MF14),0)</f>
        <v>0</v>
      </c>
      <c r="ML14" s="20" t="n">
        <f aca="false">IF(AND(HU14=1,EX14=1),MIN(ME14,MJ14),0)</f>
        <v>0</v>
      </c>
      <c r="MM14" s="20" t="n">
        <f aca="false">ME14-ML14</f>
        <v>0</v>
      </c>
      <c r="MN14" s="20" t="n">
        <f aca="false">IF(FH14=1,IF(ABS((1+AS_Wage)/(1+Slot15_Rate)-1)&lt;0.000000000001,(Slot15_Age-D14)*(1+Slot15_Rate)^(Slot15_Age-D14),(1+Slot15_Rate)^(Slot15_Age-D14)*(1-((1+AS_Wage)/(1+Slot15_Rate))^(Slot15_Age-D14))/(1-(1+AS_Wage)/(1+Slot15_Rate))),1)</f>
        <v>1</v>
      </c>
      <c r="MO14" s="20" t="n">
        <f aca="false">IF(AND(HU14=1,IE14&gt;0,Slot15_IsWG=1,FH14=1),MAX(0,(Slot15_Cost-FI14*(1+Slot15_Rate)^(Slot15_Age-D14))/MN14),0)</f>
        <v>0</v>
      </c>
      <c r="MP14" s="20" t="n">
        <f aca="false">IF(AND(HU14=1,IE14&gt;0,Slot15_IsWG=1,FH14=1),MIN(IE14,MO14),0)</f>
        <v>0</v>
      </c>
      <c r="MQ14" s="20" t="n">
        <f aca="false">FI14+MP14</f>
        <v>0</v>
      </c>
      <c r="MR14" s="20" t="n">
        <f aca="false">IF(FH14=1,MAX(0,(Slot15_Cost-MQ14*(1+Slot15_Rate)^(Slot15_Age-D14))/MN14),0)</f>
        <v>0</v>
      </c>
      <c r="MS14" s="20" t="n">
        <f aca="false">IF(FH14=1,MAX(0,(Slot15_Cost-FI14*(1+Slot15_Rate)^(Slot15_Age-D14))/MN14),0)</f>
        <v>0</v>
      </c>
      <c r="MT14" s="20" t="n">
        <f aca="false">IF(AND(HU14=1,FH14=1),MIN(MM14,MR14),0)</f>
        <v>0</v>
      </c>
      <c r="MU14" s="20" t="n">
        <f aca="false">MM14-MT14</f>
        <v>0</v>
      </c>
      <c r="MV14" s="20" t="n">
        <f aca="false">IF(FR14=1,IF(ABS((1+AS_Wage)/(1+Slot16_Rate)-1)&lt;0.000000000001,(Slot16_Age-D14)*(1+Slot16_Rate)^(Slot16_Age-D14),(1+Slot16_Rate)^(Slot16_Age-D14)*(1-((1+AS_Wage)/(1+Slot16_Rate))^(Slot16_Age-D14))/(1-(1+AS_Wage)/(1+Slot16_Rate))),1)</f>
        <v>1</v>
      </c>
      <c r="MW14" s="20" t="n">
        <f aca="false">IF(AND(HU14=1,IE14&gt;0,Slot16_IsWG=1,FR14=1),MAX(0,(Slot16_Cost-FS14*(1+Slot16_Rate)^(Slot16_Age-D14))/MV14),0)</f>
        <v>0</v>
      </c>
      <c r="MX14" s="20" t="n">
        <f aca="false">IF(AND(HU14=1,IE14&gt;0,Slot16_IsWG=1,FR14=1),MIN(IE14,MW14),0)</f>
        <v>0</v>
      </c>
      <c r="MY14" s="20" t="n">
        <f aca="false">FS14+MX14</f>
        <v>0</v>
      </c>
      <c r="MZ14" s="20" t="n">
        <f aca="false">IF(FR14=1,MAX(0,(Slot16_Cost-MY14*(1+Slot16_Rate)^(Slot16_Age-D14))/MV14),0)</f>
        <v>0</v>
      </c>
      <c r="NA14" s="20" t="n">
        <f aca="false">IF(FR14=1,MAX(0,(Slot16_Cost-FS14*(1+Slot16_Rate)^(Slot16_Age-D14))/MV14),0)</f>
        <v>0</v>
      </c>
      <c r="NB14" s="20" t="n">
        <f aca="false">IF(AND(HU14=1,FR14=1),MIN(MU14,MZ14),0)</f>
        <v>0</v>
      </c>
      <c r="NC14" s="20" t="n">
        <f aca="false">MU14-NB14</f>
        <v>0</v>
      </c>
      <c r="ND14" s="20" t="n">
        <f aca="false">IF(GB14=1,IF(ABS((1+AS_Wage)/(1+Slot17_Rate)-1)&lt;0.000000000001,(Slot17_Age-D14)*(1+Slot17_Rate)^(Slot17_Age-D14),(1+Slot17_Rate)^(Slot17_Age-D14)*(1-((1+AS_Wage)/(1+Slot17_Rate))^(Slot17_Age-D14))/(1-(1+AS_Wage)/(1+Slot17_Rate))),1)</f>
        <v>1</v>
      </c>
      <c r="NE14" s="20" t="n">
        <f aca="false">IF(AND(HU14=1,IE14&gt;0,Slot17_IsWG=1,GB14=1),MAX(0,(Slot17_Cost-GC14*(1+Slot17_Rate)^(Slot17_Age-D14))/ND14),0)</f>
        <v>0</v>
      </c>
      <c r="NF14" s="20" t="n">
        <f aca="false">IF(AND(HU14=1,IE14&gt;0,Slot17_IsWG=1,GB14=1),MIN(IE14,NE14),0)</f>
        <v>0</v>
      </c>
      <c r="NG14" s="20" t="n">
        <f aca="false">GC14+NF14</f>
        <v>0</v>
      </c>
      <c r="NH14" s="20" t="n">
        <f aca="false">IF(GB14=1,MAX(0,(Slot17_Cost-NG14*(1+Slot17_Rate)^(Slot17_Age-D14))/ND14),0)</f>
        <v>0</v>
      </c>
      <c r="NI14" s="20" t="n">
        <f aca="false">IF(GB14=1,MAX(0,(Slot17_Cost-GC14*(1+Slot17_Rate)^(Slot17_Age-D14))/ND14),0)</f>
        <v>0</v>
      </c>
      <c r="NJ14" s="20" t="n">
        <f aca="false">IF(AND(HU14=1,GB14=1),MIN(NC14,NH14),0)</f>
        <v>0</v>
      </c>
      <c r="NK14" s="20" t="n">
        <f aca="false">NC14-NJ14</f>
        <v>0</v>
      </c>
      <c r="NL14" s="20" t="n">
        <f aca="false">IF(GL14=1,IF(ABS((1+AS_Wage)/(1+Slot18_Rate)-1)&lt;0.000000000001,(Slot18_Age-D14)*(1+Slot18_Rate)^(Slot18_Age-D14),(1+Slot18_Rate)^(Slot18_Age-D14)*(1-((1+AS_Wage)/(1+Slot18_Rate))^(Slot18_Age-D14))/(1-(1+AS_Wage)/(1+Slot18_Rate))),1)</f>
        <v>1</v>
      </c>
      <c r="NM14" s="20" t="n">
        <f aca="false">IF(AND(HU14=1,IE14&gt;0,Slot18_IsWG=1,GL14=1),MAX(0,(Slot18_Cost-GM14*(1+Slot18_Rate)^(Slot18_Age-D14))/NL14),0)</f>
        <v>0</v>
      </c>
      <c r="NN14" s="20" t="n">
        <f aca="false">IF(AND(HU14=1,IE14&gt;0,Slot18_IsWG=1,GL14=1),MIN(IE14,NM14),0)</f>
        <v>0</v>
      </c>
      <c r="NO14" s="20" t="n">
        <f aca="false">GM14+NN14</f>
        <v>0</v>
      </c>
      <c r="NP14" s="20" t="n">
        <f aca="false">IF(GL14=1,MAX(0,(Slot18_Cost-NO14*(1+Slot18_Rate)^(Slot18_Age-D14))/NL14),0)</f>
        <v>0</v>
      </c>
      <c r="NQ14" s="20" t="n">
        <f aca="false">IF(GL14=1,MAX(0,(Slot18_Cost-GM14*(1+Slot18_Rate)^(Slot18_Age-D14))/NL14),0)</f>
        <v>0</v>
      </c>
      <c r="NR14" s="20" t="n">
        <f aca="false">IF(AND(HU14=1,GL14=1),MIN(NK14,NP14),0)</f>
        <v>0</v>
      </c>
      <c r="NS14" s="20" t="n">
        <f aca="false">NK14-NR14</f>
        <v>0</v>
      </c>
      <c r="NT14" s="20" t="n">
        <f aca="false">IF(GV14=1,IF(ABS((1+AS_Wage)/(1+Slot19_Rate)-1)&lt;0.000000000001,(Slot19_Age-D14)*(1+Slot19_Rate)^(Slot19_Age-D14),(1+Slot19_Rate)^(Slot19_Age-D14)*(1-((1+AS_Wage)/(1+Slot19_Rate))^(Slot19_Age-D14))/(1-(1+AS_Wage)/(1+Slot19_Rate))),1)</f>
        <v>1</v>
      </c>
      <c r="NU14" s="20" t="n">
        <f aca="false">IF(AND(HU14=1,IE14&gt;0,Slot19_IsWG=1,GV14=1),MAX(0,(Slot19_Cost-GW14*(1+Slot19_Rate)^(Slot19_Age-D14))/NT14),0)</f>
        <v>0</v>
      </c>
      <c r="NV14" s="20" t="n">
        <f aca="false">IF(AND(HU14=1,IE14&gt;0,Slot19_IsWG=1,GV14=1),MIN(IE14,NU14),0)</f>
        <v>0</v>
      </c>
      <c r="NW14" s="20" t="n">
        <f aca="false">GW14+NV14</f>
        <v>0</v>
      </c>
      <c r="NX14" s="20" t="n">
        <f aca="false">IF(GV14=1,MAX(0,(Slot19_Cost-NW14*(1+Slot19_Rate)^(Slot19_Age-D14))/NT14),0)</f>
        <v>0</v>
      </c>
      <c r="NY14" s="20" t="n">
        <f aca="false">IF(GV14=1,MAX(0,(Slot19_Cost-GW14*(1+Slot19_Rate)^(Slot19_Age-D14))/NT14),0)</f>
        <v>0</v>
      </c>
      <c r="NZ14" s="20" t="n">
        <f aca="false">IF(AND(HU14=1,GV14=1),MIN(NS14,NX14),0)</f>
        <v>0</v>
      </c>
      <c r="OA14" s="20" t="n">
        <f aca="false">NS14-NZ14</f>
        <v>0</v>
      </c>
      <c r="OB14" s="20" t="n">
        <f aca="false">IF(HF14=1,IF(ABS((1+AS_Wage)/(1+Slot20_Rate)-1)&lt;0.000000000001,(Slot20_Age-D14)*(1+Slot20_Rate)^(Slot20_Age-D14),(1+Slot20_Rate)^(Slot20_Age-D14)*(1-((1+AS_Wage)/(1+Slot20_Rate))^(Slot20_Age-D14))/(1-(1+AS_Wage)/(1+Slot20_Rate))),1)</f>
        <v>1</v>
      </c>
      <c r="OC14" s="20" t="n">
        <f aca="false">IF(AND(HU14=1,IE14&gt;0,Slot20_IsWG=1,HF14=1),MAX(0,(Slot20_Cost-HG14*(1+Slot20_Rate)^(Slot20_Age-D14))/OB14),0)</f>
        <v>0</v>
      </c>
      <c r="OD14" s="20" t="n">
        <f aca="false">IF(AND(HU14=1,IE14&gt;0,Slot20_IsWG=1,HF14=1),MIN(IE14,OC14),0)</f>
        <v>0</v>
      </c>
      <c r="OE14" s="20" t="n">
        <f aca="false">HG14+OD14</f>
        <v>0</v>
      </c>
      <c r="OF14" s="20" t="n">
        <f aca="false">IF(HF14=1,MAX(0,(Slot20_Cost-OE14*(1+Slot20_Rate)^(Slot20_Age-D14))/OB14),0)</f>
        <v>0</v>
      </c>
      <c r="OG14" s="20" t="n">
        <f aca="false">IF(HF14=1,MAX(0,(Slot20_Cost-HG14*(1+Slot20_Rate)^(Slot20_Age-D14))/OB14),0)</f>
        <v>0</v>
      </c>
      <c r="OH14" s="20" t="n">
        <f aca="false">IF(AND(HU14=1,HF14=1),MIN(OA14,OF14),0)</f>
        <v>0</v>
      </c>
      <c r="OI14" s="20" t="n">
        <f aca="false">OA14-OH14</f>
        <v>0</v>
      </c>
      <c r="OJ14" s="20" t="n">
        <f aca="false">IE14-(IH14+IP14+IX14+JF14+JN14+JV14+KD14+KL14+KT14+LB14+LJ14+LR14+LZ14+MH14+MP14+MX14+NF14+NN14+NV14+OD14)</f>
        <v>0</v>
      </c>
      <c r="OK14" s="20" t="n">
        <f aca="false">IF(HU14=1,HS14-ID14-IE14,0)</f>
        <v>4025.8280390625</v>
      </c>
      <c r="OL14" s="20" t="n">
        <f aca="false">IF(HU14=0,-HS14,0)</f>
        <v>0</v>
      </c>
      <c r="OM14" s="20" t="n">
        <f aca="false">MIN(OL14,HK14)</f>
        <v>0</v>
      </c>
      <c r="ON14" s="20" t="n">
        <f aca="false">OL14-OM14</f>
        <v>0</v>
      </c>
      <c r="OO14" s="20" t="n">
        <f aca="false">MIN(ON14,HL14)</f>
        <v>0</v>
      </c>
      <c r="OP14" s="20" t="n">
        <f aca="false">ON14-OO14</f>
        <v>0</v>
      </c>
      <c r="OQ14" s="20" t="n">
        <f aca="false">IF(AND(HU14=0,HF14=1,OP14&gt;0),MIN(OP14,HG14),0)</f>
        <v>0</v>
      </c>
      <c r="OR14" s="20" t="n">
        <f aca="false">OP14-OQ14</f>
        <v>0</v>
      </c>
      <c r="OS14" s="20" t="n">
        <f aca="false">IF(AND(HU14=0,GV14=1,OR14&gt;0),MIN(OR14,GW14),0)</f>
        <v>0</v>
      </c>
      <c r="OT14" s="20" t="n">
        <f aca="false">OR14-OS14</f>
        <v>0</v>
      </c>
      <c r="OU14" s="20" t="n">
        <f aca="false">IF(AND(HU14=0,GL14=1,OT14&gt;0),MIN(OT14,GM14),0)</f>
        <v>0</v>
      </c>
      <c r="OV14" s="20" t="n">
        <f aca="false">OT14-OU14</f>
        <v>0</v>
      </c>
      <c r="OW14" s="20" t="n">
        <f aca="false">IF(AND(HU14=0,GB14=1,OV14&gt;0),MIN(OV14,GC14),0)</f>
        <v>0</v>
      </c>
      <c r="OX14" s="20" t="n">
        <f aca="false">OV14-OW14</f>
        <v>0</v>
      </c>
      <c r="OY14" s="20" t="n">
        <f aca="false">IF(AND(HU14=0,FR14=1,OX14&gt;0),MIN(OX14,FS14),0)</f>
        <v>0</v>
      </c>
      <c r="OZ14" s="20" t="n">
        <f aca="false">OX14-OY14</f>
        <v>0</v>
      </c>
      <c r="PA14" s="20" t="n">
        <f aca="false">IF(AND(HU14=0,FH14=1,OZ14&gt;0),MIN(OZ14,FI14),0)</f>
        <v>0</v>
      </c>
      <c r="PB14" s="20" t="n">
        <f aca="false">OZ14-PA14</f>
        <v>0</v>
      </c>
      <c r="PC14" s="20" t="n">
        <f aca="false">IF(AND(HU14=0,EX14=1,PB14&gt;0),MIN(PB14,EY14),0)</f>
        <v>0</v>
      </c>
      <c r="PD14" s="20" t="n">
        <f aca="false">PB14-PC14</f>
        <v>0</v>
      </c>
      <c r="PE14" s="20" t="n">
        <f aca="false">IF(AND(HU14=0,EN14=1,PD14&gt;0),MIN(PD14,EO14),0)</f>
        <v>0</v>
      </c>
      <c r="PF14" s="20" t="n">
        <f aca="false">PD14-PE14</f>
        <v>0</v>
      </c>
      <c r="PG14" s="20" t="n">
        <f aca="false">IF(AND(HU14=0,ED14=1,PF14&gt;0),MIN(PF14,EE14),0)</f>
        <v>0</v>
      </c>
      <c r="PH14" s="20" t="n">
        <f aca="false">PF14-PG14</f>
        <v>0</v>
      </c>
      <c r="PI14" s="20" t="n">
        <f aca="false">IF(AND(HU14=0,DT14=1,PH14&gt;0),MIN(PH14,DU14),0)</f>
        <v>0</v>
      </c>
      <c r="PJ14" s="20" t="n">
        <f aca="false">PH14-PI14</f>
        <v>0</v>
      </c>
      <c r="PK14" s="20" t="n">
        <f aca="false">IF(AND(HU14=0,DJ14=1,PJ14&gt;0),MIN(PJ14,DK14),0)</f>
        <v>0</v>
      </c>
      <c r="PL14" s="20" t="n">
        <f aca="false">PJ14-PK14</f>
        <v>0</v>
      </c>
      <c r="PM14" s="20" t="n">
        <f aca="false">IF(AND(HU14=0,CZ14=1,PL14&gt;0),MIN(PL14,DA14),0)</f>
        <v>0</v>
      </c>
      <c r="PN14" s="20" t="n">
        <f aca="false">PL14-PM14</f>
        <v>0</v>
      </c>
      <c r="PO14" s="20" t="n">
        <f aca="false">IF(AND(HU14=0,CP14=1,PN14&gt;0),MIN(PN14,CQ14),0)</f>
        <v>0</v>
      </c>
      <c r="PP14" s="20" t="n">
        <f aca="false">PN14-PO14</f>
        <v>0</v>
      </c>
      <c r="PQ14" s="20" t="n">
        <f aca="false">IF(AND(HU14=0,CF14=1,PP14&gt;0),MIN(PP14,CG14),0)</f>
        <v>0</v>
      </c>
      <c r="PR14" s="20" t="n">
        <f aca="false">PP14-PQ14</f>
        <v>0</v>
      </c>
      <c r="PS14" s="20" t="n">
        <f aca="false">IF(AND(HU14=0,BV14=1,PR14&gt;0),MIN(PR14,BW14),0)</f>
        <v>0</v>
      </c>
      <c r="PT14" s="20" t="n">
        <f aca="false">PR14-PS14</f>
        <v>0</v>
      </c>
      <c r="PU14" s="20" t="n">
        <f aca="false">IF(AND(HU14=0,BL14=1,PT14&gt;0),MIN(PT14,BM14),0)</f>
        <v>0</v>
      </c>
      <c r="PV14" s="20" t="n">
        <f aca="false">PT14-PU14</f>
        <v>0</v>
      </c>
      <c r="PW14" s="20" t="n">
        <f aca="false">IF(AND(HU14=0,BB14=1,PV14&gt;0),MIN(PV14,BC14),0)</f>
        <v>0</v>
      </c>
      <c r="PX14" s="20" t="n">
        <f aca="false">PV14-PW14</f>
        <v>0</v>
      </c>
      <c r="PY14" s="20" t="n">
        <f aca="false">IF(AND(HU14=0,AR14=1,PX14&gt;0),MIN(PX14,AS14),0)</f>
        <v>0</v>
      </c>
      <c r="PZ14" s="20" t="n">
        <f aca="false">PX14-PY14</f>
        <v>0</v>
      </c>
      <c r="QA14" s="20" t="n">
        <f aca="false">IF(AND(HU14=0,AH14=1,PZ14&gt;0),MIN(PZ14,AI14),0)</f>
        <v>0</v>
      </c>
      <c r="QB14" s="20" t="n">
        <f aca="false">PZ14-QA14</f>
        <v>0</v>
      </c>
      <c r="QC14" s="20" t="n">
        <f aca="false">IF(AND(HU14=0,W14=1,QB14&gt;0),MIN(QB14,X14),0)</f>
        <v>0</v>
      </c>
      <c r="QD14" s="20" t="n">
        <f aca="false">QB14-QC14</f>
        <v>0</v>
      </c>
      <c r="QE14" s="20" t="n">
        <f aca="false">IF(HU14=0,QD14,0)</f>
        <v>0</v>
      </c>
      <c r="QF14" s="20" t="n">
        <f aca="false">OM14+OO14+QC14+QA14+PY14+PW14+PU14+PS14+PQ14+PO14+PM14+PK14+PI14+PG14+PE14+PC14+PA14+OY14+OW14+OU14+OS14+OQ14</f>
        <v>0</v>
      </c>
      <c r="QG14" s="20" t="n">
        <f aca="false">IF(HU14=1,HK14+OJ14+OI14+IF(G14=1,0,OK14),HK14-OM14)</f>
        <v>0</v>
      </c>
      <c r="QH14" s="20" t="n">
        <f aca="false">HL14-OO14</f>
        <v>16239.66618006</v>
      </c>
      <c r="QI14" s="20" t="n">
        <f aca="false">IF(HU14=1,IF(G14=1,ID14+IE14,HS14),0)</f>
        <v>4025.8280390625</v>
      </c>
      <c r="QJ14" s="20" t="n">
        <f aca="false">IF(HU14=1,IF(G14=1,HS14-ID14-IE14,0),0)</f>
        <v>4025.8280390625</v>
      </c>
      <c r="QK14" s="20" t="n">
        <f aca="false">QG14*(1+GR)</f>
        <v>0</v>
      </c>
      <c r="QL14" s="20" t="n">
        <f aca="false">QH14*(1+AS_Cash)</f>
        <v>16402.0628418606</v>
      </c>
      <c r="QM14" s="20" t="n">
        <f aca="false">IF(W14=1,IF(HU14=1,II14+IL14,X14-QC14)*(1+Slot1_Rate),0)</f>
        <v>0</v>
      </c>
      <c r="QN14" s="20" t="n">
        <f aca="false">IF(AND(HU14=1,W14=1),(IH14+IL14)/F14,0)</f>
        <v>0</v>
      </c>
      <c r="QO14" s="20" t="n">
        <f aca="false">IF(B14=0,IH14+IL14,0)</f>
        <v>0</v>
      </c>
      <c r="QP14" s="20" t="n">
        <f aca="false">IF(B14=0,IF(HU14=1,IJ14,IK14),0)</f>
        <v>0</v>
      </c>
      <c r="QQ14" s="20" t="n">
        <f aca="false">IF(AH14=1,IF(HU14=1,IQ14+IT14,AI14-QA14)*(1+Slot2_Rate),0)</f>
        <v>0</v>
      </c>
      <c r="QR14" s="20" t="n">
        <f aca="false">IF(AND(HU14=1,AH14=1),(IP14+IT14)/F14,0)</f>
        <v>0</v>
      </c>
      <c r="QS14" s="20" t="n">
        <f aca="false">IF(B14=0,IP14+IT14,0)</f>
        <v>0</v>
      </c>
      <c r="QT14" s="20" t="n">
        <f aca="false">IF(B14=0,IF(HU14=1,IR14,IS14),0)</f>
        <v>0</v>
      </c>
      <c r="QU14" s="20" t="n">
        <f aca="false">IF(AR14=1,IF(HU14=1,IY14+JB14,AS14-PY14)*(1+Slot3_Rate),0)</f>
        <v>13960.6870096001</v>
      </c>
      <c r="QV14" s="20" t="n">
        <f aca="false">IF(AND(HU14=1,AR14=1),(IX14+JB14)/F14,0)</f>
        <v>3574.82008829026</v>
      </c>
      <c r="QW14" s="20" t="n">
        <f aca="false">IF(B14=0,IX14+JB14,0)</f>
        <v>0</v>
      </c>
      <c r="QX14" s="20" t="n">
        <f aca="false">IF(B14=0,IF(HU14=1,IZ14,JA14),0)</f>
        <v>0</v>
      </c>
      <c r="QY14" s="20" t="n">
        <f aca="false">IF(BB14=1,IF(HU14=1,JG14+JJ14,BC14-PW14)*(1+Slot4_Rate),0)</f>
        <v>0</v>
      </c>
      <c r="QZ14" s="20" t="n">
        <f aca="false">IF(AND(HU14=1,BB14=1),(JF14+JJ14)/F14,0)</f>
        <v>0</v>
      </c>
      <c r="RA14" s="20" t="n">
        <f aca="false">IF(B14=0,JF14+JJ14,0)</f>
        <v>0</v>
      </c>
      <c r="RB14" s="20" t="n">
        <f aca="false">IF(B14=0,IF(HU14=1,JH14,JI14),0)</f>
        <v>0</v>
      </c>
      <c r="RC14" s="20" t="n">
        <f aca="false">IF(BL14=1,IF(HU14=1,JO14+JR14,BM14-PU14)*(1+Slot5_Rate),0)</f>
        <v>0</v>
      </c>
      <c r="RD14" s="20" t="n">
        <f aca="false">IF(AND(HU14=1,BL14=1),(JN14+JR14)/F14,0)</f>
        <v>0</v>
      </c>
      <c r="RE14" s="20" t="n">
        <f aca="false">IF(B14=0,JN14+JR14,0)</f>
        <v>0</v>
      </c>
      <c r="RF14" s="20" t="n">
        <f aca="false">IF(B14=0,IF(HU14=1,JP14,JQ14),0)</f>
        <v>0</v>
      </c>
      <c r="RG14" s="20" t="n">
        <f aca="false">IF(BV14=1,IF(HU14=1,JW14+JZ14,BW14-PS14)*(1+Slot6_Rate),0)</f>
        <v>0</v>
      </c>
      <c r="RH14" s="20" t="n">
        <f aca="false">IF(AND(HU14=1,BV14=1),(JV14+JZ14)/F14,0)</f>
        <v>0</v>
      </c>
      <c r="RI14" s="20" t="n">
        <f aca="false">IF(B14=0,JV14+JZ14,0)</f>
        <v>0</v>
      </c>
      <c r="RJ14" s="20" t="n">
        <f aca="false">IF(B14=0,IF(HU14=1,JX14,JY14),0)</f>
        <v>0</v>
      </c>
      <c r="RK14" s="20" t="n">
        <f aca="false">IF(CF14=1,IF(HU14=1,KE14+KH14,CG14-PQ14)*(1+Slot7_Rate),0)</f>
        <v>0</v>
      </c>
      <c r="RL14" s="20" t="n">
        <f aca="false">IF(AND(HU14=1,CF14=1),(KD14+KH14)/F14,0)</f>
        <v>0</v>
      </c>
      <c r="RM14" s="20" t="n">
        <f aca="false">IF(B14=0,KD14+KH14,0)</f>
        <v>0</v>
      </c>
      <c r="RN14" s="20" t="n">
        <f aca="false">IF(B14=0,IF(HU14=1,KF14,KG14),0)</f>
        <v>0</v>
      </c>
      <c r="RO14" s="20" t="n">
        <f aca="false">IF(CP14=1,IF(HU14=1,KM14+KP14,CQ14-PO14)*(1+Slot8_Rate),0)</f>
        <v>0</v>
      </c>
      <c r="RP14" s="20" t="n">
        <f aca="false">IF(AND(HU14=1,CP14=1),(KL14+KP14)/F14,0)</f>
        <v>0</v>
      </c>
      <c r="RQ14" s="20" t="n">
        <f aca="false">IF(B14=0,KL14+KP14,0)</f>
        <v>0</v>
      </c>
      <c r="RR14" s="20" t="n">
        <f aca="false">IF(B14=0,IF(HU14=1,KN14,KO14),0)</f>
        <v>0</v>
      </c>
      <c r="RS14" s="20" t="n">
        <f aca="false">IF(CZ14=1,IF(HU14=1,KU14+KX14,DA14-PM14)*(1+Slot9_Rate),0)</f>
        <v>0</v>
      </c>
      <c r="RT14" s="20" t="n">
        <f aca="false">IF(AND(HU14=1,CZ14=1),(KT14+KX14)/F14,0)</f>
        <v>0</v>
      </c>
      <c r="RU14" s="20" t="n">
        <f aca="false">IF(B14=0,KT14+KX14,0)</f>
        <v>0</v>
      </c>
      <c r="RV14" s="20" t="n">
        <f aca="false">IF(B14=0,IF(HU14=1,KV14,KW14),0)</f>
        <v>0</v>
      </c>
      <c r="RW14" s="20" t="n">
        <f aca="false">IF(DJ14=1,IF(HU14=1,LC14+LF14,DK14-PK14)*(1+Slot10_Rate),0)</f>
        <v>0</v>
      </c>
      <c r="RX14" s="20" t="n">
        <f aca="false">IF(AND(HU14=1,DJ14=1),(LB14+LF14)/F14,0)</f>
        <v>0</v>
      </c>
      <c r="RY14" s="20" t="n">
        <f aca="false">IF(B14=0,LB14+LF14,0)</f>
        <v>0</v>
      </c>
      <c r="RZ14" s="20" t="n">
        <f aca="false">IF(B14=0,IF(HU14=1,LD14,LE14),0)</f>
        <v>0</v>
      </c>
      <c r="SA14" s="20" t="n">
        <f aca="false">IF(DT14=1,IF(HU14=1,LK14+LN14,DU14-PI14)*(1+Slot11_Rate),0)</f>
        <v>0</v>
      </c>
      <c r="SB14" s="20" t="n">
        <f aca="false">IF(AND(HU14=1,DT14=1),(LJ14+LN14)/F14,0)</f>
        <v>0</v>
      </c>
      <c r="SC14" s="20" t="n">
        <f aca="false">IF(B14=0,LJ14+LN14,0)</f>
        <v>0</v>
      </c>
      <c r="SD14" s="20" t="n">
        <f aca="false">IF(B14=0,IF(HU14=1,LL14,LM14),0)</f>
        <v>0</v>
      </c>
      <c r="SE14" s="20" t="n">
        <f aca="false">IF(ED14=1,IF(HU14=1,LS14+LV14,EE14-PG14)*(1+Slot12_Rate),0)</f>
        <v>0</v>
      </c>
      <c r="SF14" s="20" t="n">
        <f aca="false">IF(AND(HU14=1,ED14=1),(LR14+LV14)/F14,0)</f>
        <v>0</v>
      </c>
      <c r="SG14" s="20" t="n">
        <f aca="false">IF(B14=0,LR14+LV14,0)</f>
        <v>0</v>
      </c>
      <c r="SH14" s="20" t="n">
        <f aca="false">IF(B14=0,IF(HU14=1,LT14,LU14),0)</f>
        <v>0</v>
      </c>
      <c r="SI14" s="20" t="n">
        <f aca="false">IF(EN14=1,IF(HU14=1,MA14+MD14,EO14-PE14)*(1+Slot13_Rate),0)</f>
        <v>0</v>
      </c>
      <c r="SJ14" s="20" t="n">
        <f aca="false">IF(AND(HU14=1,EN14=1),(LZ14+MD14)/F14,0)</f>
        <v>0</v>
      </c>
      <c r="SK14" s="20" t="n">
        <f aca="false">IF(B14=0,LZ14+MD14,0)</f>
        <v>0</v>
      </c>
      <c r="SL14" s="20" t="n">
        <f aca="false">IF(B14=0,IF(HU14=1,MB14,MC14),0)</f>
        <v>0</v>
      </c>
      <c r="SM14" s="20" t="n">
        <f aca="false">IF(EX14=1,IF(HU14=1,MI14+ML14,EY14-PC14)*(1+Slot14_Rate),0)</f>
        <v>0</v>
      </c>
      <c r="SN14" s="20" t="n">
        <f aca="false">IF(AND(HU14=1,EX14=1),(MH14+ML14)/F14,0)</f>
        <v>0</v>
      </c>
      <c r="SO14" s="20" t="n">
        <f aca="false">IF(B14=0,MH14+ML14,0)</f>
        <v>0</v>
      </c>
      <c r="SP14" s="20" t="n">
        <f aca="false">IF(B14=0,IF(HU14=1,MJ14,MK14),0)</f>
        <v>0</v>
      </c>
      <c r="SQ14" s="20" t="n">
        <f aca="false">IF(FH14=1,IF(HU14=1,MQ14+MT14,FI14-PA14)*(1+Slot15_Rate),0)</f>
        <v>0</v>
      </c>
      <c r="SR14" s="20" t="n">
        <f aca="false">IF(AND(HU14=1,FH14=1),(MP14+MT14)/F14,0)</f>
        <v>0</v>
      </c>
      <c r="SS14" s="20" t="n">
        <f aca="false">IF(B14=0,MP14+MT14,0)</f>
        <v>0</v>
      </c>
      <c r="ST14" s="20" t="n">
        <f aca="false">IF(B14=0,IF(HU14=1,MR14,MS14),0)</f>
        <v>0</v>
      </c>
      <c r="SU14" s="20" t="n">
        <f aca="false">IF(FR14=1,IF(HU14=1,MY14+NB14,FS14-OY14)*(1+Slot16_Rate),0)</f>
        <v>0</v>
      </c>
      <c r="SV14" s="20" t="n">
        <f aca="false">IF(AND(HU14=1,FR14=1),(MX14+NB14)/F14,0)</f>
        <v>0</v>
      </c>
      <c r="SW14" s="20" t="n">
        <f aca="false">IF(B14=0,MX14+NB14,0)</f>
        <v>0</v>
      </c>
      <c r="SX14" s="20" t="n">
        <f aca="false">IF(B14=0,IF(HU14=1,MZ14,NA14),0)</f>
        <v>0</v>
      </c>
      <c r="SY14" s="20" t="n">
        <f aca="false">IF(GB14=1,IF(HU14=1,NG14+NJ14,GC14-OW14)*(1+Slot17_Rate),0)</f>
        <v>0</v>
      </c>
      <c r="SZ14" s="20" t="n">
        <f aca="false">IF(AND(HU14=1,GB14=1),(NF14+NJ14)/F14,0)</f>
        <v>0</v>
      </c>
      <c r="TA14" s="20" t="n">
        <f aca="false">IF(B14=0,NF14+NJ14,0)</f>
        <v>0</v>
      </c>
      <c r="TB14" s="20" t="n">
        <f aca="false">IF(B14=0,IF(HU14=1,NH14,NI14),0)</f>
        <v>0</v>
      </c>
      <c r="TC14" s="20" t="n">
        <f aca="false">IF(GL14=1,IF(HU14=1,NO14+NR14,GM14-OU14)*(1+Slot18_Rate),0)</f>
        <v>0</v>
      </c>
      <c r="TD14" s="20" t="n">
        <f aca="false">IF(AND(HU14=1,GL14=1),(NN14+NR14)/F14,0)</f>
        <v>0</v>
      </c>
      <c r="TE14" s="20" t="n">
        <f aca="false">IF(B14=0,NN14+NR14,0)</f>
        <v>0</v>
      </c>
      <c r="TF14" s="20" t="n">
        <f aca="false">IF(B14=0,IF(HU14=1,NP14,NQ14),0)</f>
        <v>0</v>
      </c>
      <c r="TG14" s="20" t="n">
        <f aca="false">IF(GV14=1,IF(HU14=1,NW14+NZ14,GW14-OS14)*(1+Slot19_Rate),0)</f>
        <v>0</v>
      </c>
      <c r="TH14" s="20" t="n">
        <f aca="false">IF(AND(HU14=1,GV14=1),(NV14+NZ14)/F14,0)</f>
        <v>0</v>
      </c>
      <c r="TI14" s="20" t="n">
        <f aca="false">IF(B14=0,NV14+NZ14,0)</f>
        <v>0</v>
      </c>
      <c r="TJ14" s="20" t="n">
        <f aca="false">IF(B14=0,IF(HU14=1,NX14,NY14),0)</f>
        <v>0</v>
      </c>
      <c r="TK14" s="20" t="n">
        <f aca="false">IF(HF14=1,IF(HU14=1,OE14+OH14,HG14-OQ14)*(1+Slot20_Rate),0)</f>
        <v>0</v>
      </c>
      <c r="TL14" s="20" t="n">
        <f aca="false">IF(AND(HU14=1,HF14=1),(OD14+OH14)/F14,0)</f>
        <v>0</v>
      </c>
      <c r="TM14" s="20" t="n">
        <f aca="false">IF(B14=0,OD14+OH14,0)</f>
        <v>0</v>
      </c>
      <c r="TN14" s="20" t="n">
        <f aca="false">IF(B14=0,IF(HU14=1,OF14,OG14),0)</f>
        <v>0</v>
      </c>
      <c r="TO14" s="20" t="n">
        <f aca="false">QK14+QL14+QM14+QQ14+QU14+QY14+RC14+RG14+RK14+RO14+RS14+RW14+SA14+SE14+SI14+SM14+SQ14+SU14+SY14+TC14+TG14+TK14</f>
        <v>30362.7498514607</v>
      </c>
      <c r="TP14" s="20" t="n">
        <f aca="false">QE14+HP14</f>
        <v>0</v>
      </c>
      <c r="TQ14" s="20" t="n">
        <f aca="false">I14+S14</f>
        <v>64837.30886688</v>
      </c>
      <c r="TR14" s="20" t="n">
        <f aca="false">1-G14</f>
        <v>0</v>
      </c>
      <c r="TS14" s="20" t="n">
        <f aca="false">IF(AND(RG_Exists=1,G14=0,C14=1),I14,0)</f>
        <v>0</v>
      </c>
      <c r="TT14" s="20" t="n">
        <f aca="false">IF(AND(RG_Exists=1,G14=0,C14=1),I14-MIN(QE14,I14),0)</f>
        <v>0</v>
      </c>
      <c r="TU14" s="20" t="n">
        <f aca="false">'Plan pay &amp; tax'!AD240</f>
        <v>152473.045250493</v>
      </c>
      <c r="TV14" s="20" t="n">
        <f aca="false">IF(AND(C14=1,QE14&gt;MAX(PR_Short1,TQ14*PR_Short2)),1,0)</f>
        <v>0</v>
      </c>
      <c r="TW14" s="20" t="n">
        <f aca="false">MIN(H14,I14+S14)</f>
        <v>64837.30886688</v>
      </c>
      <c r="TX14" s="20" t="n">
        <f aca="false">QF14+MAX(0,HQ14-HP14)</f>
        <v>0</v>
      </c>
      <c r="TY14" s="20" t="n">
        <f aca="false">QE14+HP14</f>
        <v>0</v>
      </c>
      <c r="TZ14" s="20" t="n">
        <f aca="false">IF(AND(C14=1,TY14&gt;PR_MinShort),1,0)</f>
        <v>0</v>
      </c>
      <c r="UA14" s="20" t="n">
        <f aca="false">IF(AND(C14=1,TZ14=0,TX14&gt;PR_MinShort),1,0)</f>
        <v>0</v>
      </c>
      <c r="UB14" s="20" t="n">
        <f aca="false">IF(AND(C14=1,QE14&gt;PR_MinShort),1,0)</f>
        <v>0</v>
      </c>
      <c r="UC14" s="20" t="n">
        <f aca="false">IF(AND(C14=1,QF14&gt;1,UJ14=0),1,0)</f>
        <v>0</v>
      </c>
      <c r="UD14" s="20" t="str">
        <f aca="false">IF(C14=0,"",IF(UJ14=1,"Gap to plan for: short "&amp;"€"&amp;TEXT(ROUND(TP14,0),"#,##0"),IF(QF14&gt;1,"Using savings","Comfortable")))</f>
        <v>Comfortable</v>
      </c>
      <c r="UE14" s="20" t="n">
        <f aca="false">IF(AND(INT(D14/10)*10=90,B14&gt;0),80,INT(D14/10)*10)</f>
        <v>40</v>
      </c>
      <c r="UF14" s="20" t="n">
        <f aca="false">IF(B14=0,1,IF(UE14&lt;&gt;UE13,UF13+1,UF13))</f>
        <v>2</v>
      </c>
      <c r="UG14" s="20" t="n">
        <f aca="false">IF(AND(C14=1,G14=1,QE14&gt;MAX(PR_Short1,TQ14*PR_Short2)),1,0)</f>
        <v>0</v>
      </c>
      <c r="UH14" s="20" t="n">
        <f aca="false">TR14*TV14</f>
        <v>0</v>
      </c>
      <c r="UI14" s="20" t="n">
        <f aca="false">IF(AND(V14=1,Slot1_PctLow=1),1,0)+IF(AND(AG14=1,Slot2_PctLow=1),1,0)+IF(AND(AQ14=1,Slot3_PctLow=1),1,0)+IF(AND(BA14=1,Slot4_PctLow=1),1,0)+IF(AND(BK14=1,Slot5_PctLow=1),1,0)+IF(AND(BU14=1,Slot6_PctLow=1),1,0)+IF(AND(CE14=1,Slot7_PctLow=1),1,0)+IF(AND(CO14=1,Slot8_PctLow=1),1,0)+IF(AND(CY14=1,Slot9_PctLow=1),1,0)+IF(AND(DI14=1,Slot10_PctLow=1),1,0)+IF(AND(DS14=1,Slot11_PctLow=1),1,0)+IF(AND(EC14=1,Slot12_PctLow=1),1,0)+IF(AND(EM14=1,Slot13_PctLow=1),1,0)+IF(AND(EW14=1,Slot14_PctLow=1),1,0)+IF(AND(FG14=1,Slot15_PctLow=1),1,0)+IF(AND(FQ14=1,Slot16_PctLow=1),1,0)+IF(AND(GA14=1,Slot17_PctLow=1),1,0)+IF(AND(GK14=1,Slot18_PctLow=1),1,0)+IF(AND(GU14=1,Slot19_PctLow=1),1,0)+IF(AND(HE14=1,Slot20_PctLow=1),1,0)</f>
        <v>0</v>
      </c>
      <c r="UJ14" s="20" t="n">
        <f aca="false">IF(C14=1,IF(OR(TV14=1,UI14&gt;0),1,0),0)</f>
        <v>0</v>
      </c>
    </row>
    <row r="15" customFormat="false" ht="15" hidden="false" customHeight="true" outlineLevel="0" collapsed="false">
      <c r="B15" s="20" t="n">
        <v>7</v>
      </c>
      <c r="C15" s="20" t="n">
        <f aca="false">IF(B15&lt;=F_N,1,0)</f>
        <v>1</v>
      </c>
      <c r="D15" s="20" t="n">
        <f aca="false">'Plan pay &amp; tax'!C241</f>
        <v>45</v>
      </c>
      <c r="E15" s="20" t="str">
        <f aca="false">IF($C15=1,"Income tax "&amp;TEXT(N('Plan pay &amp; tax'!BK241),"#,##0")&amp;"; USC "&amp;TEXT(N('Plan pay &amp; tax'!BM241)+N('Plan pay &amp; tax'!BO241),"#,##0")&amp;"; PRSI "&amp;TEXT(N('Plan pay &amp; tax'!BP241)+N('Plan pay &amp; tax'!BQ241),"#,##0")&amp;". DIRT and exit tax are inside the growth rates here.","")</f>
        <v>Income tax 11,415; USC 1,687; PRSI 4,026. DIRT and exit tax are inside the growth rates here.</v>
      </c>
      <c r="F15" s="44" t="n">
        <f aca="false">'Plan pay &amp; tax'!E241</f>
        <v>1.14868566764928</v>
      </c>
      <c r="G15" s="20" t="n">
        <f aca="false">'Plan pay &amp; tax'!G241</f>
        <v>1</v>
      </c>
      <c r="H15" s="20" t="n">
        <f aca="false">'Plan pay &amp; tax'!BT241-'Plan pay &amp; tax'!BS241-'Plan pay &amp; tax'!R241</f>
        <v>74879.1482818815</v>
      </c>
      <c r="I15" s="20" t="n">
        <f aca="false">IF(G15=1,F_CostsM*12,IF(RG_Exists=1,RG_Amount,F_CostsM*12*AS_RetireSpend))*F15+F_OneOffY*F15</f>
        <v>51690.8550442176</v>
      </c>
      <c r="J15" s="20" t="n">
        <f aca="false">HR14</f>
        <v>153037.364877978</v>
      </c>
      <c r="K15" s="20" t="n">
        <f aca="false">IF(J15&gt;1,'Plan debt months'!AC15,0)</f>
        <v>14160</v>
      </c>
      <c r="L15" s="20" t="n">
        <f aca="false">IF(J15&gt;1,'Plan debt months'!AB15,J15)</f>
        <v>144621.834984468</v>
      </c>
      <c r="M15" s="20" t="n">
        <f aca="false">O14</f>
        <v>0</v>
      </c>
      <c r="N15" s="20" t="n">
        <f aca="false">IF(M15&gt;1,'Plan debt months'!BD15,0)</f>
        <v>0</v>
      </c>
      <c r="O15" s="20" t="n">
        <f aca="false">IF(M15&gt;1,'Plan debt months'!BC15,M15)</f>
        <v>0</v>
      </c>
      <c r="P15" s="20" t="n">
        <f aca="false">R14</f>
        <v>0</v>
      </c>
      <c r="Q15" s="20" t="n">
        <f aca="false">IF(P15&gt;1,'Plan debt months'!CE15,0)</f>
        <v>0</v>
      </c>
      <c r="R15" s="20" t="n">
        <f aca="false">IF(P15&gt;1,'Plan debt months'!CD15,P15)</f>
        <v>0</v>
      </c>
      <c r="S15" s="20" t="n">
        <f aca="false">K15+N15+Q15</f>
        <v>14160</v>
      </c>
      <c r="T15" s="20" t="n">
        <f aca="false">QK14+'Plan pay &amp; tax'!Y241</f>
        <v>0</v>
      </c>
      <c r="U15" s="20" t="n">
        <f aca="false">QK14</f>
        <v>0</v>
      </c>
      <c r="V15" s="20" t="n">
        <f aca="false">IF(AND(Slot1_On=1,D15=Slot1_Age),1,0)</f>
        <v>0</v>
      </c>
      <c r="W15" s="20" t="n">
        <f aca="false">IF(AND(Slot1_On=1,Slot1_Age&gt;D15),1,0)</f>
        <v>0</v>
      </c>
      <c r="X15" s="20" t="n">
        <f aca="false">QM14</f>
        <v>0</v>
      </c>
      <c r="Y15" s="20" t="n">
        <f aca="false">V15*MIN(Slot1_Cost,X15)</f>
        <v>0</v>
      </c>
      <c r="Z15" s="20" t="n">
        <f aca="false">V15*Slot1_SpendLike*MIN(Slot1_Cost-Y15,T15)</f>
        <v>0</v>
      </c>
      <c r="AA15" s="20" t="n">
        <f aca="false">Y15+Z15</f>
        <v>0</v>
      </c>
      <c r="AB15" s="20" t="n">
        <f aca="false">T15-Z15+V15*IF(Slot1_SpendLike=1,X15-Y15,IF(Slot1_PotFree=1,X15,0))</f>
        <v>0</v>
      </c>
      <c r="AC15" s="20" t="n">
        <f aca="false">AF15+V15*Slot1_BufPot*X15</f>
        <v>16402.0628418606</v>
      </c>
      <c r="AD15" s="20" t="n">
        <f aca="false">IF(AND(V15=1,Slot1_IsMfree=1),IF(AA15&gt;=Slot1_Cost-1,0,MAX(0,L15-AA15)),L15)</f>
        <v>144621.834984468</v>
      </c>
      <c r="AE15" s="20" t="n">
        <f aca="false">V15*(Slot1_Cost-AA15)</f>
        <v>0</v>
      </c>
      <c r="AF15" s="20" t="n">
        <f aca="false">QL14</f>
        <v>16402.0628418606</v>
      </c>
      <c r="AG15" s="20" t="n">
        <f aca="false">IF(AND(Slot2_On=1,D15=Slot2_Age),1,0)</f>
        <v>0</v>
      </c>
      <c r="AH15" s="20" t="n">
        <f aca="false">IF(AND(Slot2_On=1,Slot2_Age&gt;D15),1,0)</f>
        <v>0</v>
      </c>
      <c r="AI15" s="20" t="n">
        <f aca="false">QQ14</f>
        <v>0</v>
      </c>
      <c r="AJ15" s="20" t="n">
        <f aca="false">AG15*MIN(Slot2_Cost,AI15)</f>
        <v>0</v>
      </c>
      <c r="AK15" s="20" t="n">
        <f aca="false">AG15*Slot2_SpendLike*MIN(Slot2_Cost-AJ15,AB15)</f>
        <v>0</v>
      </c>
      <c r="AL15" s="20" t="n">
        <f aca="false">AJ15+AK15</f>
        <v>0</v>
      </c>
      <c r="AM15" s="20" t="n">
        <f aca="false">AB15-AK15+AG15*IF(Slot2_SpendLike=1,AI15-AJ15,IF(Slot2_PotFree=1,AI15,0))</f>
        <v>0</v>
      </c>
      <c r="AN15" s="20" t="n">
        <f aca="false">AC15+AG15*Slot2_BufPot*AI15</f>
        <v>16402.0628418606</v>
      </c>
      <c r="AO15" s="20" t="n">
        <f aca="false">IF(AND(AG15=1,Slot2_IsMfree=1),IF(AL15&gt;=Slot2_Cost-1,0,MAX(0,AD15-AL15)),AD15)</f>
        <v>144621.834984468</v>
      </c>
      <c r="AP15" s="20" t="n">
        <f aca="false">AG15*(Slot2_Cost-AL15)</f>
        <v>0</v>
      </c>
      <c r="AQ15" s="20" t="n">
        <f aca="false">IF(AND(Slot3_On=1,D15=Slot3_Age),1,0)</f>
        <v>0</v>
      </c>
      <c r="AR15" s="20" t="n">
        <f aca="false">IF(AND(Slot3_On=1,Slot3_Age&gt;D15),1,0)</f>
        <v>1</v>
      </c>
      <c r="AS15" s="20" t="n">
        <f aca="false">QU14</f>
        <v>13960.6870096001</v>
      </c>
      <c r="AT15" s="20" t="n">
        <f aca="false">AQ15*MIN(Slot3_Cost,AS15)</f>
        <v>0</v>
      </c>
      <c r="AU15" s="20" t="n">
        <f aca="false">AQ15*Slot3_SpendLike*MIN(Slot3_Cost-AT15,AM15)</f>
        <v>0</v>
      </c>
      <c r="AV15" s="20" t="n">
        <f aca="false">AT15+AU15</f>
        <v>0</v>
      </c>
      <c r="AW15" s="20" t="n">
        <f aca="false">AM15-AU15+AQ15*IF(Slot3_SpendLike=1,AS15-AT15,IF(Slot3_PotFree=1,AS15,0))</f>
        <v>0</v>
      </c>
      <c r="AX15" s="20" t="n">
        <f aca="false">AN15+AQ15*Slot3_BufPot*AS15</f>
        <v>16402.0628418606</v>
      </c>
      <c r="AY15" s="20" t="n">
        <f aca="false">IF(AND(AQ15=1,Slot3_IsMfree=1),IF(AV15&gt;=Slot3_Cost-1,0,MAX(0,AO15-AV15)),AO15)</f>
        <v>144621.834984468</v>
      </c>
      <c r="AZ15" s="20" t="n">
        <f aca="false">AQ15*(Slot3_Cost-AV15)</f>
        <v>0</v>
      </c>
      <c r="BA15" s="20" t="n">
        <f aca="false">IF(AND(Slot4_On=1,D15=Slot4_Age),1,0)</f>
        <v>0</v>
      </c>
      <c r="BB15" s="20" t="n">
        <f aca="false">IF(AND(Slot4_On=1,Slot4_Age&gt;D15),1,0)</f>
        <v>1</v>
      </c>
      <c r="BC15" s="20" t="n">
        <f aca="false">QY14</f>
        <v>0</v>
      </c>
      <c r="BD15" s="20" t="n">
        <f aca="false">BA15*MIN(Slot4_Cost,BC15)</f>
        <v>0</v>
      </c>
      <c r="BE15" s="20" t="n">
        <f aca="false">BA15*Slot4_SpendLike*MIN(Slot4_Cost-BD15,AW15)</f>
        <v>0</v>
      </c>
      <c r="BF15" s="20" t="n">
        <f aca="false">BD15+BE15</f>
        <v>0</v>
      </c>
      <c r="BG15" s="20" t="n">
        <f aca="false">AW15-BE15+BA15*IF(Slot4_SpendLike=1,BC15-BD15,IF(Slot4_PotFree=1,BC15,0))</f>
        <v>0</v>
      </c>
      <c r="BH15" s="20" t="n">
        <f aca="false">AX15+BA15*Slot4_BufPot*BC15</f>
        <v>16402.0628418606</v>
      </c>
      <c r="BI15" s="20" t="n">
        <f aca="false">IF(AND(BA15=1,Slot4_IsMfree=1),IF(BF15&gt;=Slot4_Cost-1,0,MAX(0,AY15-BF15)),AY15)</f>
        <v>144621.834984468</v>
      </c>
      <c r="BJ15" s="20" t="n">
        <f aca="false">BA15*(Slot4_Cost-BF15)</f>
        <v>0</v>
      </c>
      <c r="BK15" s="20" t="n">
        <f aca="false">IF(AND(Slot5_On=1,D15=Slot5_Age),1,0)</f>
        <v>0</v>
      </c>
      <c r="BL15" s="20" t="n">
        <f aca="false">IF(AND(Slot5_On=1,Slot5_Age&gt;D15),1,0)</f>
        <v>0</v>
      </c>
      <c r="BM15" s="20" t="n">
        <f aca="false">RC14</f>
        <v>0</v>
      </c>
      <c r="BN15" s="20" t="n">
        <f aca="false">BK15*MIN(Slot5_Cost,BM15)</f>
        <v>0</v>
      </c>
      <c r="BO15" s="20" t="n">
        <f aca="false">BK15*Slot5_SpendLike*MIN(Slot5_Cost-BN15,BG15)</f>
        <v>0</v>
      </c>
      <c r="BP15" s="20" t="n">
        <f aca="false">BN15+BO15</f>
        <v>0</v>
      </c>
      <c r="BQ15" s="20" t="n">
        <f aca="false">BG15-BO15+BK15*IF(Slot5_SpendLike=1,BM15-BN15,IF(Slot5_PotFree=1,BM15,0))</f>
        <v>0</v>
      </c>
      <c r="BR15" s="20" t="n">
        <f aca="false">BH15+BK15*Slot5_BufPot*BM15</f>
        <v>16402.0628418606</v>
      </c>
      <c r="BS15" s="20" t="n">
        <f aca="false">IF(AND(BK15=1,Slot5_IsMfree=1),IF(BP15&gt;=Slot5_Cost-1,0,MAX(0,BI15-BP15)),BI15)</f>
        <v>144621.834984468</v>
      </c>
      <c r="BT15" s="20" t="n">
        <f aca="false">BK15*(Slot5_Cost-BP15)</f>
        <v>0</v>
      </c>
      <c r="BU15" s="20" t="n">
        <f aca="false">IF(AND(Slot6_On=1,D15=Slot6_Age),1,0)</f>
        <v>0</v>
      </c>
      <c r="BV15" s="20" t="n">
        <f aca="false">IF(AND(Slot6_On=1,Slot6_Age&gt;D15),1,0)</f>
        <v>0</v>
      </c>
      <c r="BW15" s="20" t="n">
        <f aca="false">RG14</f>
        <v>0</v>
      </c>
      <c r="BX15" s="20" t="n">
        <f aca="false">BU15*MIN(Slot6_Cost,BW15)</f>
        <v>0</v>
      </c>
      <c r="BY15" s="20" t="n">
        <f aca="false">BU15*Slot6_SpendLike*MIN(Slot6_Cost-BX15,BQ15)</f>
        <v>0</v>
      </c>
      <c r="BZ15" s="20" t="n">
        <f aca="false">BX15+BY15</f>
        <v>0</v>
      </c>
      <c r="CA15" s="20" t="n">
        <f aca="false">BQ15-BY15+BU15*IF(Slot6_SpendLike=1,BW15-BX15,IF(Slot6_PotFree=1,BW15,0))</f>
        <v>0</v>
      </c>
      <c r="CB15" s="20" t="n">
        <f aca="false">BR15+BU15*Slot6_BufPot*BW15</f>
        <v>16402.0628418606</v>
      </c>
      <c r="CC15" s="20" t="n">
        <f aca="false">IF(AND(BU15=1,Slot6_IsMfree=1),IF(BZ15&gt;=Slot6_Cost-1,0,MAX(0,BS15-BZ15)),BS15)</f>
        <v>144621.834984468</v>
      </c>
      <c r="CD15" s="20" t="n">
        <f aca="false">BU15*(Slot6_Cost-BZ15)</f>
        <v>0</v>
      </c>
      <c r="CE15" s="20" t="n">
        <f aca="false">IF(AND(Slot7_On=1,D15=Slot7_Age),1,0)</f>
        <v>0</v>
      </c>
      <c r="CF15" s="20" t="n">
        <f aca="false">IF(AND(Slot7_On=1,Slot7_Age&gt;D15),1,0)</f>
        <v>0</v>
      </c>
      <c r="CG15" s="20" t="n">
        <f aca="false">RK14</f>
        <v>0</v>
      </c>
      <c r="CH15" s="20" t="n">
        <f aca="false">CE15*MIN(Slot7_Cost,CG15)</f>
        <v>0</v>
      </c>
      <c r="CI15" s="20" t="n">
        <f aca="false">CE15*Slot7_SpendLike*MIN(Slot7_Cost-CH15,CA15)</f>
        <v>0</v>
      </c>
      <c r="CJ15" s="20" t="n">
        <f aca="false">CH15+CI15</f>
        <v>0</v>
      </c>
      <c r="CK15" s="20" t="n">
        <f aca="false">CA15-CI15+CE15*IF(Slot7_SpendLike=1,CG15-CH15,IF(Slot7_PotFree=1,CG15,0))</f>
        <v>0</v>
      </c>
      <c r="CL15" s="20" t="n">
        <f aca="false">CB15+CE15*Slot7_BufPot*CG15</f>
        <v>16402.0628418606</v>
      </c>
      <c r="CM15" s="20" t="n">
        <f aca="false">IF(AND(CE15=1,Slot7_IsMfree=1),IF(CJ15&gt;=Slot7_Cost-1,0,MAX(0,CC15-CJ15)),CC15)</f>
        <v>144621.834984468</v>
      </c>
      <c r="CN15" s="20" t="n">
        <f aca="false">CE15*(Slot7_Cost-CJ15)</f>
        <v>0</v>
      </c>
      <c r="CO15" s="20" t="n">
        <f aca="false">IF(AND(Slot8_On=1,D15=Slot8_Age),1,0)</f>
        <v>0</v>
      </c>
      <c r="CP15" s="20" t="n">
        <f aca="false">IF(AND(Slot8_On=1,Slot8_Age&gt;D15),1,0)</f>
        <v>0</v>
      </c>
      <c r="CQ15" s="20" t="n">
        <f aca="false">RO14</f>
        <v>0</v>
      </c>
      <c r="CR15" s="20" t="n">
        <f aca="false">CO15*MIN(Slot8_Cost,CQ15)</f>
        <v>0</v>
      </c>
      <c r="CS15" s="20" t="n">
        <f aca="false">CO15*Slot8_SpendLike*MIN(Slot8_Cost-CR15,CK15)</f>
        <v>0</v>
      </c>
      <c r="CT15" s="20" t="n">
        <f aca="false">CR15+CS15</f>
        <v>0</v>
      </c>
      <c r="CU15" s="20" t="n">
        <f aca="false">CK15-CS15+CO15*IF(Slot8_SpendLike=1,CQ15-CR15,IF(Slot8_PotFree=1,CQ15,0))</f>
        <v>0</v>
      </c>
      <c r="CV15" s="20" t="n">
        <f aca="false">CL15+CO15*Slot8_BufPot*CQ15</f>
        <v>16402.0628418606</v>
      </c>
      <c r="CW15" s="20" t="n">
        <f aca="false">IF(AND(CO15=1,Slot8_IsMfree=1),IF(CT15&gt;=Slot8_Cost-1,0,MAX(0,CM15-CT15)),CM15)</f>
        <v>144621.834984468</v>
      </c>
      <c r="CX15" s="20" t="n">
        <f aca="false">CO15*(Slot8_Cost-CT15)</f>
        <v>0</v>
      </c>
      <c r="CY15" s="20" t="n">
        <f aca="false">IF(AND(Slot9_On=1,D15=Slot9_Age),1,0)</f>
        <v>0</v>
      </c>
      <c r="CZ15" s="20" t="n">
        <f aca="false">IF(AND(Slot9_On=1,Slot9_Age&gt;D15),1,0)</f>
        <v>0</v>
      </c>
      <c r="DA15" s="20" t="n">
        <f aca="false">RS14</f>
        <v>0</v>
      </c>
      <c r="DB15" s="20" t="n">
        <f aca="false">CY15*MIN(Slot9_Cost,DA15)</f>
        <v>0</v>
      </c>
      <c r="DC15" s="20" t="n">
        <f aca="false">CY15*Slot9_SpendLike*MIN(Slot9_Cost-DB15,CU15)</f>
        <v>0</v>
      </c>
      <c r="DD15" s="20" t="n">
        <f aca="false">DB15+DC15</f>
        <v>0</v>
      </c>
      <c r="DE15" s="20" t="n">
        <f aca="false">CU15-DC15+CY15*IF(Slot9_SpendLike=1,DA15-DB15,IF(Slot9_PotFree=1,DA15,0))</f>
        <v>0</v>
      </c>
      <c r="DF15" s="20" t="n">
        <f aca="false">CV15+CY15*Slot9_BufPot*DA15</f>
        <v>16402.0628418606</v>
      </c>
      <c r="DG15" s="20" t="n">
        <f aca="false">IF(AND(CY15=1,Slot9_IsMfree=1),IF(DD15&gt;=Slot9_Cost-1,0,MAX(0,CW15-DD15)),CW15)</f>
        <v>144621.834984468</v>
      </c>
      <c r="DH15" s="20" t="n">
        <f aca="false">CY15*(Slot9_Cost-DD15)</f>
        <v>0</v>
      </c>
      <c r="DI15" s="20" t="n">
        <f aca="false">IF(AND(Slot10_On=1,D15=Slot10_Age),1,0)</f>
        <v>0</v>
      </c>
      <c r="DJ15" s="20" t="n">
        <f aca="false">IF(AND(Slot10_On=1,Slot10_Age&gt;D15),1,0)</f>
        <v>0</v>
      </c>
      <c r="DK15" s="20" t="n">
        <f aca="false">RW14</f>
        <v>0</v>
      </c>
      <c r="DL15" s="20" t="n">
        <f aca="false">DI15*MIN(Slot10_Cost,DK15)</f>
        <v>0</v>
      </c>
      <c r="DM15" s="20" t="n">
        <f aca="false">DI15*Slot10_SpendLike*MIN(Slot10_Cost-DL15,DE15)</f>
        <v>0</v>
      </c>
      <c r="DN15" s="20" t="n">
        <f aca="false">DL15+DM15</f>
        <v>0</v>
      </c>
      <c r="DO15" s="20" t="n">
        <f aca="false">DE15-DM15+DI15*IF(Slot10_SpendLike=1,DK15-DL15,IF(Slot10_PotFree=1,DK15,0))</f>
        <v>0</v>
      </c>
      <c r="DP15" s="20" t="n">
        <f aca="false">DF15+DI15*Slot10_BufPot*DK15</f>
        <v>16402.0628418606</v>
      </c>
      <c r="DQ15" s="20" t="n">
        <f aca="false">IF(AND(DI15=1,Slot10_IsMfree=1),IF(DN15&gt;=Slot10_Cost-1,0,MAX(0,DG15-DN15)),DG15)</f>
        <v>144621.834984468</v>
      </c>
      <c r="DR15" s="20" t="n">
        <f aca="false">DI15*(Slot10_Cost-DN15)</f>
        <v>0</v>
      </c>
      <c r="DS15" s="20" t="n">
        <f aca="false">IF(AND(Slot11_On=1,D15=Slot11_Age),1,0)</f>
        <v>0</v>
      </c>
      <c r="DT15" s="20" t="n">
        <f aca="false">IF(AND(Slot11_On=1,Slot11_Age&gt;D15),1,0)</f>
        <v>0</v>
      </c>
      <c r="DU15" s="20" t="n">
        <f aca="false">SA14</f>
        <v>0</v>
      </c>
      <c r="DV15" s="20" t="n">
        <f aca="false">DS15*MIN(Slot11_Cost,DU15)</f>
        <v>0</v>
      </c>
      <c r="DW15" s="20" t="n">
        <f aca="false">DS15*Slot11_SpendLike*MIN(Slot11_Cost-DV15,DO15)</f>
        <v>0</v>
      </c>
      <c r="DX15" s="20" t="n">
        <f aca="false">DV15+DW15</f>
        <v>0</v>
      </c>
      <c r="DY15" s="20" t="n">
        <f aca="false">DO15-DW15+DS15*IF(Slot11_SpendLike=1,DU15-DV15,IF(Slot11_PotFree=1,DU15,0))</f>
        <v>0</v>
      </c>
      <c r="DZ15" s="20" t="n">
        <f aca="false">DP15+DS15*Slot11_BufPot*DU15</f>
        <v>16402.0628418606</v>
      </c>
      <c r="EA15" s="20" t="n">
        <f aca="false">IF(AND(DS15=1,Slot11_IsMfree=1),IF(DX15&gt;=Slot11_Cost-1,0,MAX(0,DQ15-DX15)),DQ15)</f>
        <v>144621.834984468</v>
      </c>
      <c r="EB15" s="20" t="n">
        <f aca="false">DS15*(Slot11_Cost-DX15)</f>
        <v>0</v>
      </c>
      <c r="EC15" s="20" t="n">
        <f aca="false">IF(AND(Slot12_On=1,D15=Slot12_Age),1,0)</f>
        <v>0</v>
      </c>
      <c r="ED15" s="20" t="n">
        <f aca="false">IF(AND(Slot12_On=1,Slot12_Age&gt;D15),1,0)</f>
        <v>0</v>
      </c>
      <c r="EE15" s="20" t="n">
        <f aca="false">SE14</f>
        <v>0</v>
      </c>
      <c r="EF15" s="20" t="n">
        <f aca="false">EC15*MIN(Slot12_Cost,EE15)</f>
        <v>0</v>
      </c>
      <c r="EG15" s="20" t="n">
        <f aca="false">EC15*Slot12_SpendLike*MIN(Slot12_Cost-EF15,DY15)</f>
        <v>0</v>
      </c>
      <c r="EH15" s="20" t="n">
        <f aca="false">EF15+EG15</f>
        <v>0</v>
      </c>
      <c r="EI15" s="20" t="n">
        <f aca="false">DY15-EG15+EC15*IF(Slot12_SpendLike=1,EE15-EF15,IF(Slot12_PotFree=1,EE15,0))</f>
        <v>0</v>
      </c>
      <c r="EJ15" s="20" t="n">
        <f aca="false">DZ15+EC15*Slot12_BufPot*EE15</f>
        <v>16402.0628418606</v>
      </c>
      <c r="EK15" s="20" t="n">
        <f aca="false">IF(AND(EC15=1,Slot12_IsMfree=1),IF(EH15&gt;=Slot12_Cost-1,0,MAX(0,EA15-EH15)),EA15)</f>
        <v>144621.834984468</v>
      </c>
      <c r="EL15" s="20" t="n">
        <f aca="false">EC15*(Slot12_Cost-EH15)</f>
        <v>0</v>
      </c>
      <c r="EM15" s="20" t="n">
        <f aca="false">IF(AND(Slot13_On=1,D15=Slot13_Age),1,0)</f>
        <v>0</v>
      </c>
      <c r="EN15" s="20" t="n">
        <f aca="false">IF(AND(Slot13_On=1,Slot13_Age&gt;D15),1,0)</f>
        <v>0</v>
      </c>
      <c r="EO15" s="20" t="n">
        <f aca="false">SI14</f>
        <v>0</v>
      </c>
      <c r="EP15" s="20" t="n">
        <f aca="false">EM15*MIN(Slot13_Cost,EO15)</f>
        <v>0</v>
      </c>
      <c r="EQ15" s="20" t="n">
        <f aca="false">EM15*Slot13_SpendLike*MIN(Slot13_Cost-EP15,EI15)</f>
        <v>0</v>
      </c>
      <c r="ER15" s="20" t="n">
        <f aca="false">EP15+EQ15</f>
        <v>0</v>
      </c>
      <c r="ES15" s="20" t="n">
        <f aca="false">EI15-EQ15+EM15*IF(Slot13_SpendLike=1,EO15-EP15,IF(Slot13_PotFree=1,EO15,0))</f>
        <v>0</v>
      </c>
      <c r="ET15" s="20" t="n">
        <f aca="false">EJ15+EM15*Slot13_BufPot*EO15</f>
        <v>16402.0628418606</v>
      </c>
      <c r="EU15" s="20" t="n">
        <f aca="false">IF(AND(EM15=1,Slot13_IsMfree=1),IF(ER15&gt;=Slot13_Cost-1,0,MAX(0,EK15-ER15)),EK15)</f>
        <v>144621.834984468</v>
      </c>
      <c r="EV15" s="20" t="n">
        <f aca="false">EM15*(Slot13_Cost-ER15)</f>
        <v>0</v>
      </c>
      <c r="EW15" s="20" t="n">
        <f aca="false">IF(AND(Slot14_On=1,D15=Slot14_Age),1,0)</f>
        <v>0</v>
      </c>
      <c r="EX15" s="20" t="n">
        <f aca="false">IF(AND(Slot14_On=1,Slot14_Age&gt;D15),1,0)</f>
        <v>0</v>
      </c>
      <c r="EY15" s="20" t="n">
        <f aca="false">SM14</f>
        <v>0</v>
      </c>
      <c r="EZ15" s="20" t="n">
        <f aca="false">EW15*MIN(Slot14_Cost,EY15)</f>
        <v>0</v>
      </c>
      <c r="FA15" s="20" t="n">
        <f aca="false">EW15*Slot14_SpendLike*MIN(Slot14_Cost-EZ15,ES15)</f>
        <v>0</v>
      </c>
      <c r="FB15" s="20" t="n">
        <f aca="false">EZ15+FA15</f>
        <v>0</v>
      </c>
      <c r="FC15" s="20" t="n">
        <f aca="false">ES15-FA15+EW15*IF(Slot14_SpendLike=1,EY15-EZ15,IF(Slot14_PotFree=1,EY15,0))</f>
        <v>0</v>
      </c>
      <c r="FD15" s="20" t="n">
        <f aca="false">ET15+EW15*Slot14_BufPot*EY15</f>
        <v>16402.0628418606</v>
      </c>
      <c r="FE15" s="20" t="n">
        <f aca="false">IF(AND(EW15=1,Slot14_IsMfree=1),IF(FB15&gt;=Slot14_Cost-1,0,MAX(0,EU15-FB15)),EU15)</f>
        <v>144621.834984468</v>
      </c>
      <c r="FF15" s="20" t="n">
        <f aca="false">EW15*(Slot14_Cost-FB15)</f>
        <v>0</v>
      </c>
      <c r="FG15" s="20" t="n">
        <f aca="false">IF(AND(Slot15_On=1,D15=Slot15_Age),1,0)</f>
        <v>0</v>
      </c>
      <c r="FH15" s="20" t="n">
        <f aca="false">IF(AND(Slot15_On=1,Slot15_Age&gt;D15),1,0)</f>
        <v>0</v>
      </c>
      <c r="FI15" s="20" t="n">
        <f aca="false">SQ14</f>
        <v>0</v>
      </c>
      <c r="FJ15" s="20" t="n">
        <f aca="false">FG15*MIN(Slot15_Cost,FI15)</f>
        <v>0</v>
      </c>
      <c r="FK15" s="20" t="n">
        <f aca="false">FG15*Slot15_SpendLike*MIN(Slot15_Cost-FJ15,FC15)</f>
        <v>0</v>
      </c>
      <c r="FL15" s="20" t="n">
        <f aca="false">FJ15+FK15</f>
        <v>0</v>
      </c>
      <c r="FM15" s="20" t="n">
        <f aca="false">FC15-FK15+FG15*IF(Slot15_SpendLike=1,FI15-FJ15,IF(Slot15_PotFree=1,FI15,0))</f>
        <v>0</v>
      </c>
      <c r="FN15" s="20" t="n">
        <f aca="false">FD15+FG15*Slot15_BufPot*FI15</f>
        <v>16402.0628418606</v>
      </c>
      <c r="FO15" s="20" t="n">
        <f aca="false">IF(AND(FG15=1,Slot15_IsMfree=1),IF(FL15&gt;=Slot15_Cost-1,0,MAX(0,FE15-FL15)),FE15)</f>
        <v>144621.834984468</v>
      </c>
      <c r="FP15" s="20" t="n">
        <f aca="false">FG15*(Slot15_Cost-FL15)</f>
        <v>0</v>
      </c>
      <c r="FQ15" s="20" t="n">
        <f aca="false">IF(AND(Slot16_On=1,D15=Slot16_Age),1,0)</f>
        <v>0</v>
      </c>
      <c r="FR15" s="20" t="n">
        <f aca="false">IF(AND(Slot16_On=1,Slot16_Age&gt;D15),1,0)</f>
        <v>0</v>
      </c>
      <c r="FS15" s="20" t="n">
        <f aca="false">SU14</f>
        <v>0</v>
      </c>
      <c r="FT15" s="20" t="n">
        <f aca="false">FQ15*MIN(Slot16_Cost,FS15)</f>
        <v>0</v>
      </c>
      <c r="FU15" s="20" t="n">
        <f aca="false">FQ15*Slot16_SpendLike*MIN(Slot16_Cost-FT15,FM15)</f>
        <v>0</v>
      </c>
      <c r="FV15" s="20" t="n">
        <f aca="false">FT15+FU15</f>
        <v>0</v>
      </c>
      <c r="FW15" s="20" t="n">
        <f aca="false">FM15-FU15+FQ15*IF(Slot16_SpendLike=1,FS15-FT15,IF(Slot16_PotFree=1,FS15,0))</f>
        <v>0</v>
      </c>
      <c r="FX15" s="20" t="n">
        <f aca="false">FN15+FQ15*Slot16_BufPot*FS15</f>
        <v>16402.0628418606</v>
      </c>
      <c r="FY15" s="20" t="n">
        <f aca="false">IF(AND(FQ15=1,Slot16_IsMfree=1),IF(FV15&gt;=Slot16_Cost-1,0,MAX(0,FO15-FV15)),FO15)</f>
        <v>144621.834984468</v>
      </c>
      <c r="FZ15" s="20" t="n">
        <f aca="false">FQ15*(Slot16_Cost-FV15)</f>
        <v>0</v>
      </c>
      <c r="GA15" s="20" t="n">
        <f aca="false">IF(AND(Slot17_On=1,D15=Slot17_Age),1,0)</f>
        <v>0</v>
      </c>
      <c r="GB15" s="20" t="n">
        <f aca="false">IF(AND(Slot17_On=1,Slot17_Age&gt;D15),1,0)</f>
        <v>0</v>
      </c>
      <c r="GC15" s="20" t="n">
        <f aca="false">SY14</f>
        <v>0</v>
      </c>
      <c r="GD15" s="20" t="n">
        <f aca="false">GA15*MIN(Slot17_Cost,GC15)</f>
        <v>0</v>
      </c>
      <c r="GE15" s="20" t="n">
        <f aca="false">GA15*Slot17_SpendLike*MIN(Slot17_Cost-GD15,FW15)</f>
        <v>0</v>
      </c>
      <c r="GF15" s="20" t="n">
        <f aca="false">GD15+GE15</f>
        <v>0</v>
      </c>
      <c r="GG15" s="20" t="n">
        <f aca="false">FW15-GE15+GA15*IF(Slot17_SpendLike=1,GC15-GD15,IF(Slot17_PotFree=1,GC15,0))</f>
        <v>0</v>
      </c>
      <c r="GH15" s="20" t="n">
        <f aca="false">FX15+GA15*Slot17_BufPot*GC15</f>
        <v>16402.0628418606</v>
      </c>
      <c r="GI15" s="20" t="n">
        <f aca="false">IF(AND(GA15=1,Slot17_IsMfree=1),IF(GF15&gt;=Slot17_Cost-1,0,MAX(0,FY15-GF15)),FY15)</f>
        <v>144621.834984468</v>
      </c>
      <c r="GJ15" s="20" t="n">
        <f aca="false">GA15*(Slot17_Cost-GF15)</f>
        <v>0</v>
      </c>
      <c r="GK15" s="20" t="n">
        <f aca="false">IF(AND(Slot18_On=1,D15=Slot18_Age),1,0)</f>
        <v>0</v>
      </c>
      <c r="GL15" s="20" t="n">
        <f aca="false">IF(AND(Slot18_On=1,Slot18_Age&gt;D15),1,0)</f>
        <v>0</v>
      </c>
      <c r="GM15" s="20" t="n">
        <f aca="false">TC14</f>
        <v>0</v>
      </c>
      <c r="GN15" s="20" t="n">
        <f aca="false">GK15*MIN(Slot18_Cost,GM15)</f>
        <v>0</v>
      </c>
      <c r="GO15" s="20" t="n">
        <f aca="false">GK15*Slot18_SpendLike*MIN(Slot18_Cost-GN15,GG15)</f>
        <v>0</v>
      </c>
      <c r="GP15" s="20" t="n">
        <f aca="false">GN15+GO15</f>
        <v>0</v>
      </c>
      <c r="GQ15" s="20" t="n">
        <f aca="false">GG15-GO15+GK15*IF(Slot18_SpendLike=1,GM15-GN15,IF(Slot18_PotFree=1,GM15,0))</f>
        <v>0</v>
      </c>
      <c r="GR15" s="20" t="n">
        <f aca="false">GH15+GK15*Slot18_BufPot*GM15</f>
        <v>16402.0628418606</v>
      </c>
      <c r="GS15" s="20" t="n">
        <f aca="false">IF(AND(GK15=1,Slot18_IsMfree=1),IF(GP15&gt;=Slot18_Cost-1,0,MAX(0,GI15-GP15)),GI15)</f>
        <v>144621.834984468</v>
      </c>
      <c r="GT15" s="20" t="n">
        <f aca="false">GK15*(Slot18_Cost-GP15)</f>
        <v>0</v>
      </c>
      <c r="GU15" s="20" t="n">
        <f aca="false">IF(AND(Slot19_On=1,D15=Slot19_Age),1,0)</f>
        <v>0</v>
      </c>
      <c r="GV15" s="20" t="n">
        <f aca="false">IF(AND(Slot19_On=1,Slot19_Age&gt;D15),1,0)</f>
        <v>0</v>
      </c>
      <c r="GW15" s="20" t="n">
        <f aca="false">TG14</f>
        <v>0</v>
      </c>
      <c r="GX15" s="20" t="n">
        <f aca="false">GU15*MIN(Slot19_Cost,GW15)</f>
        <v>0</v>
      </c>
      <c r="GY15" s="20" t="n">
        <f aca="false">GU15*Slot19_SpendLike*MIN(Slot19_Cost-GX15,GQ15)</f>
        <v>0</v>
      </c>
      <c r="GZ15" s="20" t="n">
        <f aca="false">GX15+GY15</f>
        <v>0</v>
      </c>
      <c r="HA15" s="20" t="n">
        <f aca="false">GQ15-GY15+GU15*IF(Slot19_SpendLike=1,GW15-GX15,IF(Slot19_PotFree=1,GW15,0))</f>
        <v>0</v>
      </c>
      <c r="HB15" s="20" t="n">
        <f aca="false">GR15+GU15*Slot19_BufPot*GW15</f>
        <v>16402.0628418606</v>
      </c>
      <c r="HC15" s="20" t="n">
        <f aca="false">IF(AND(GU15=1,Slot19_IsMfree=1),IF(GZ15&gt;=Slot19_Cost-1,0,MAX(0,GS15-GZ15)),GS15)</f>
        <v>144621.834984468</v>
      </c>
      <c r="HD15" s="20" t="n">
        <f aca="false">GU15*(Slot19_Cost-GZ15)</f>
        <v>0</v>
      </c>
      <c r="HE15" s="20" t="n">
        <f aca="false">IF(AND(Slot20_On=1,D15=Slot20_Age),1,0)</f>
        <v>0</v>
      </c>
      <c r="HF15" s="20" t="n">
        <f aca="false">IF(AND(Slot20_On=1,Slot20_Age&gt;D15),1,0)</f>
        <v>0</v>
      </c>
      <c r="HG15" s="20" t="n">
        <f aca="false">TK14</f>
        <v>0</v>
      </c>
      <c r="HH15" s="20" t="n">
        <f aca="false">HE15*MIN(Slot20_Cost,HG15)</f>
        <v>0</v>
      </c>
      <c r="HI15" s="20" t="n">
        <f aca="false">HE15*Slot20_SpendLike*MIN(Slot20_Cost-HH15,HA15)</f>
        <v>0</v>
      </c>
      <c r="HJ15" s="20" t="n">
        <f aca="false">HH15+HI15</f>
        <v>0</v>
      </c>
      <c r="HK15" s="20" t="n">
        <f aca="false">HA15-HI15+HE15*IF(Slot20_SpendLike=1,HG15-HH15,IF(Slot20_PotFree=1,HG15,0))</f>
        <v>0</v>
      </c>
      <c r="HL15" s="20" t="n">
        <f aca="false">HB15+HE15*Slot20_BufPot*HG15</f>
        <v>16402.0628418606</v>
      </c>
      <c r="HM15" s="20" t="n">
        <f aca="false">IF(AND(HE15=1,Slot20_IsMfree=1),IF(HJ15&gt;=Slot20_Cost-1,0,MAX(0,HC15-HJ15)),HC15)</f>
        <v>144621.834984468</v>
      </c>
      <c r="HN15" s="20" t="n">
        <f aca="false">HE15*(Slot20_Cost-HJ15)</f>
        <v>0</v>
      </c>
      <c r="HO15" s="20" t="n">
        <f aca="false">V15*Slot1_SpendLike*AA15+AG15*Slot2_SpendLike*AL15+AQ15*Slot3_SpendLike*AV15+BA15*Slot4_SpendLike*BF15+BK15*Slot5_SpendLike*BP15+BU15*Slot6_SpendLike*BZ15+CE15*Slot7_SpendLike*CJ15+CO15*Slot8_SpendLike*CT15+CY15*Slot9_SpendLike*DD15+DI15*Slot10_SpendLike*DN15+DS15*Slot11_SpendLike*DX15+EC15*Slot12_SpendLike*EH15+EM15*Slot13_SpendLike*ER15+EW15*Slot14_SpendLike*FB15+FG15*Slot15_SpendLike*FL15+FQ15*Slot16_SpendLike*FV15+GA15*Slot17_SpendLike*GF15+GK15*Slot18_SpendLike*GP15+GU15*Slot19_SpendLike*GZ15+HE15*Slot20_SpendLike*HJ15</f>
        <v>0</v>
      </c>
      <c r="HP15" s="20" t="n">
        <f aca="false">AE15+AP15+AZ15+BJ15+BT15+CD15+CN15+CX15+DH15+DR15+EB15+EL15+EV15+FF15+FP15+FZ15+GJ15+GT15+HD15+HN15</f>
        <v>0</v>
      </c>
      <c r="HQ15" s="20" t="n">
        <f aca="false">V15*Slot1_Cost+AG15*Slot2_Cost+AQ15*Slot3_Cost+BA15*Slot4_Cost+BK15*Slot5_Cost+BU15*Slot6_Cost+CE15*Slot7_Cost+CO15*Slot8_Cost+CY15*Slot9_Cost+DI15*Slot10_Cost+DS15*Slot11_Cost+EC15*Slot12_Cost+EM15*Slot13_Cost+EW15*Slot14_Cost+FG15*Slot15_Cost+FQ15*Slot16_Cost+GA15*Slot17_Cost+GK15*Slot18_Cost+GU15*Slot19_Cost+HE15*Slot20_Cost</f>
        <v>0</v>
      </c>
      <c r="HR15" s="20" t="n">
        <f aca="false">HM15</f>
        <v>144621.834984468</v>
      </c>
      <c r="HS15" s="20" t="n">
        <f aca="false">H15-I15-S15</f>
        <v>9028.29323766385</v>
      </c>
      <c r="HT15" s="20" t="n">
        <f aca="false">IF(B15=0,IF(AND(Has_q6=1,In_q6=4),PR_ShareVaries*(MAX(0,HS15)/12),MIN(IF(Has_q6=1,CHOOSE(In_q6+1,PR_SaveB1,PR_SaveB2,PR_SaveB3,PR_SaveB4,0),AS_NoAnswer),AS_SaveShare*(MAX(0,HS15)/12))),HT14)</f>
        <v>62.3316893520437</v>
      </c>
      <c r="HU15" s="20" t="n">
        <f aca="false">IF(HS15&gt;=0,1,0)</f>
        <v>1</v>
      </c>
      <c r="HV15" s="20" t="n">
        <f aca="false">MAX(0,HS15/12/F15)</f>
        <v>654.972714463286</v>
      </c>
      <c r="HW15" s="20" t="n">
        <f aca="false">IF(AND(Has_q6=1,In_q6=4),PR_ShareVaries*(HV15),MIN(IF(Has_q6=1,CHOOSE(In_q6+1,PR_SaveB1,PR_SaveB2,PR_SaveB3,PR_SaveB4,0),AS_NoAnswer),AS_SaveShare*(HV15)))</f>
        <v>327.486357231643</v>
      </c>
      <c r="HX15" s="20" t="n">
        <f aca="false">IF(Has_saveM=1,IF(In_saveUp="Yes",1,IF(In_saveUp="No",0,IF(In_saveM&gt;=HT15-0.5,1,0))),0)</f>
        <v>0</v>
      </c>
      <c r="HY15" s="20" t="n">
        <f aca="false">IF(Has_saveM=1,MIN(HV15,IF(HX15=1,MAX(In_saveM,HW15),MIN(In_saveM,HW15))),HW15)</f>
        <v>327.486357231643</v>
      </c>
      <c r="HZ15" s="20" t="n">
        <f aca="false">IF(G15=1,HY15*12*F15,0)</f>
        <v>4514.14661883193</v>
      </c>
      <c r="IA15" s="20" t="n">
        <f aca="false">MAX(0,HZ15+IF(AND(WI_Retire=0,WI_M&lt;0,G15=1),WI_M*12*F15,0))</f>
        <v>4514.14661883193</v>
      </c>
      <c r="IB15" s="20" t="n">
        <f aca="false">Slot1_IsWG*W15+Slot2_IsWG*AH15+Slot3_IsWG*AR15+Slot4_IsWG*BB15+Slot5_IsWG*BL15+Slot6_IsWG*BV15+Slot7_IsWG*CF15+Slot8_IsWG*CP15+Slot9_IsWG*CZ15+Slot10_IsWG*DJ15+Slot11_IsWG*DT15+Slot12_IsWG*ED15+Slot13_IsWG*EN15+Slot14_IsWG*EX15+Slot15_IsWG*FH15+Slot16_IsWG*FR15+Slot17_IsWG*GB15+Slot18_IsWG*GL15+Slot19_IsWG*GV15+Slot20_IsWG*HF15</f>
        <v>0</v>
      </c>
      <c r="IC15" s="20" t="n">
        <f aca="false">IF(AND(WI_Retire=0,WI_M&gt;0,G15=1,IB15&gt;=1),WI_M*12*F15,0)</f>
        <v>0</v>
      </c>
      <c r="ID15" s="20" t="n">
        <f aca="false">IF(HU15=1,MIN(IA15,HS15),0)</f>
        <v>4514.14661883193</v>
      </c>
      <c r="IE15" s="20" t="n">
        <f aca="false">IF(HU15=1,MIN(IC15,HS15-ID15),0)</f>
        <v>0</v>
      </c>
      <c r="IF15" s="20" t="n">
        <f aca="false">IF(W15=1,IF(ABS((1+AS_Wage)/(1+Slot1_Rate)-1)&lt;0.000000000001,(Slot1_Age-D15)*(1+Slot1_Rate)^(Slot1_Age-D15),(1+Slot1_Rate)^(Slot1_Age-D15)*(1-((1+AS_Wage)/(1+Slot1_Rate))^(Slot1_Age-D15))/(1-(1+AS_Wage)/(1+Slot1_Rate))),1)</f>
        <v>1</v>
      </c>
      <c r="IG15" s="20" t="n">
        <f aca="false">IF(AND(HU15=1,IE15&gt;0,Slot1_IsWG=1,W15=1),MAX(0,(Slot1_Cost-X15*(1+Slot1_Rate)^(Slot1_Age-D15))/IF15),0)</f>
        <v>0</v>
      </c>
      <c r="IH15" s="20" t="n">
        <f aca="false">IF(AND(HU15=1,IE15&gt;0,Slot1_IsWG=1,W15=1),MIN(IE15,IG15),0)</f>
        <v>0</v>
      </c>
      <c r="II15" s="20" t="n">
        <f aca="false">X15+IH15</f>
        <v>0</v>
      </c>
      <c r="IJ15" s="20" t="n">
        <f aca="false">IF(W15=1,MAX(0,(Slot1_Cost-II15*(1+Slot1_Rate)^(Slot1_Age-D15))/IF15),0)</f>
        <v>0</v>
      </c>
      <c r="IK15" s="20" t="n">
        <f aca="false">IF(W15=1,MAX(0,(Slot1_Cost-X15*(1+Slot1_Rate)^(Slot1_Age-D15))/IF15),0)</f>
        <v>0</v>
      </c>
      <c r="IL15" s="20" t="n">
        <f aca="false">IF(AND(HU15=1,W15=1),MIN(ID15,IJ15),0)</f>
        <v>0</v>
      </c>
      <c r="IM15" s="20" t="n">
        <f aca="false">ID15-IL15</f>
        <v>4514.14661883193</v>
      </c>
      <c r="IN15" s="20" t="n">
        <f aca="false">IF(AH15=1,IF(ABS((1+AS_Wage)/(1+Slot2_Rate)-1)&lt;0.000000000001,(Slot2_Age-D15)*(1+Slot2_Rate)^(Slot2_Age-D15),(1+Slot2_Rate)^(Slot2_Age-D15)*(1-((1+AS_Wage)/(1+Slot2_Rate))^(Slot2_Age-D15))/(1-(1+AS_Wage)/(1+Slot2_Rate))),1)</f>
        <v>1</v>
      </c>
      <c r="IO15" s="20" t="n">
        <f aca="false">IF(AND(HU15=1,IE15&gt;0,Slot2_IsWG=1,AH15=1),MAX(0,(Slot2_Cost-AI15*(1+Slot2_Rate)^(Slot2_Age-D15))/IN15),0)</f>
        <v>0</v>
      </c>
      <c r="IP15" s="20" t="n">
        <f aca="false">IF(AND(HU15=1,IE15&gt;0,Slot2_IsWG=1,AH15=1),MIN(IE15,IO15),0)</f>
        <v>0</v>
      </c>
      <c r="IQ15" s="20" t="n">
        <f aca="false">AI15+IP15</f>
        <v>0</v>
      </c>
      <c r="IR15" s="20" t="n">
        <f aca="false">IF(AH15=1,MAX(0,(Slot2_Cost-IQ15*(1+Slot2_Rate)^(Slot2_Age-D15))/IN15),0)</f>
        <v>0</v>
      </c>
      <c r="IS15" s="20" t="n">
        <f aca="false">IF(AH15=1,MAX(0,(Slot2_Cost-AI15*(1+Slot2_Rate)^(Slot2_Age-D15))/IN15),0)</f>
        <v>0</v>
      </c>
      <c r="IT15" s="20" t="n">
        <f aca="false">IF(AND(HU15=1,AH15=1),MIN(IM15,IR15),0)</f>
        <v>0</v>
      </c>
      <c r="IU15" s="20" t="n">
        <f aca="false">IM15-IT15</f>
        <v>4514.14661883193</v>
      </c>
      <c r="IV15" s="20" t="n">
        <f aca="false">IF(AR15=1,IF(ABS((1+AS_Wage)/(1+Slot3_Rate)-1)&lt;0.000000000001,(Slot3_Age-D15)*(1+Slot3_Rate)^(Slot3_Age-D15),(1+Slot3_Rate)^(Slot3_Age-D15)*(1-((1+AS_Wage)/(1+Slot3_Rate))^(Slot3_Age-D15))/(1-(1+AS_Wage)/(1+Slot3_Rate))),1)</f>
        <v>3.252785256</v>
      </c>
      <c r="IW15" s="20" t="n">
        <f aca="false">IF(AND(HU15=1,IE15&gt;0,Slot3_IsWG=1,AR15=1),MAX(0,(Slot3_Cost-AS15*(1+Slot3_Rate)^(Slot3_Age-D15))/IV15),0)</f>
        <v>0</v>
      </c>
      <c r="IX15" s="20" t="n">
        <f aca="false">IF(AND(HU15=1,IE15&gt;0,Slot3_IsWG=1,AR15=1),MIN(IE15,IW15),0)</f>
        <v>0</v>
      </c>
      <c r="IY15" s="20" t="n">
        <f aca="false">AS15+IX15</f>
        <v>13960.6870096001</v>
      </c>
      <c r="IZ15" s="20" t="n">
        <f aca="false">IF(AR15=1,MAX(0,(Slot3_Cost-IY15*(1+Slot3_Rate)^(Slot3_Age-D15))/IV15),0)</f>
        <v>14102.235206731</v>
      </c>
      <c r="JA15" s="20" t="n">
        <f aca="false">IF(AR15=1,MAX(0,(Slot3_Cost-AS15*(1+Slot3_Rate)^(Slot3_Age-D15))/IV15),0)</f>
        <v>14102.235206731</v>
      </c>
      <c r="JB15" s="20" t="n">
        <f aca="false">IF(AND(HU15=1,AR15=1),MIN(IU15,IZ15),0)</f>
        <v>4514.14661883193</v>
      </c>
      <c r="JC15" s="20" t="n">
        <f aca="false">IU15-JB15</f>
        <v>0</v>
      </c>
      <c r="JD15" s="20" t="n">
        <f aca="false">IF(BB15=1,IF(ABS((1+AS_Wage)/(1+Slot4_Rate)-1)&lt;0.000000000001,(Slot4_Age-D15)*(1+Slot4_Rate)^(Slot4_Age-D15),(1+Slot4_Rate)^(Slot4_Age-D15)*(1-((1+AS_Wage)/(1+Slot4_Rate))^(Slot4_Age-D15))/(1-(1+AS_Wage)/(1+Slot4_Rate))),1)</f>
        <v>13.1554321317536</v>
      </c>
      <c r="JE15" s="20" t="n">
        <f aca="false">IF(AND(HU15=1,IE15&gt;0,Slot4_IsWG=1,BB15=1),MAX(0,(Slot4_Cost-BC15*(1+Slot4_Rate)^(Slot4_Age-D15))/JD15),0)</f>
        <v>0</v>
      </c>
      <c r="JF15" s="20" t="n">
        <f aca="false">IF(AND(HU15=1,IE15&gt;0,Slot4_IsWG=1,BB15=1),MIN(IE15,JE15),0)</f>
        <v>0</v>
      </c>
      <c r="JG15" s="20" t="n">
        <f aca="false">BC15+JF15</f>
        <v>0</v>
      </c>
      <c r="JH15" s="20" t="n">
        <f aca="false">IF(BB15=1,MAX(0,(Slot4_Cost-JG15*(1+Slot4_Rate)^(Slot4_Age-D15))/JD15),0)</f>
        <v>3042.08141944893</v>
      </c>
      <c r="JI15" s="20" t="n">
        <f aca="false">IF(BB15=1,MAX(0,(Slot4_Cost-BC15*(1+Slot4_Rate)^(Slot4_Age-D15))/JD15),0)</f>
        <v>3042.08141944893</v>
      </c>
      <c r="JJ15" s="20" t="n">
        <f aca="false">IF(AND(HU15=1,BB15=1),MIN(JC15,JH15),0)</f>
        <v>0</v>
      </c>
      <c r="JK15" s="20" t="n">
        <f aca="false">JC15-JJ15</f>
        <v>0</v>
      </c>
      <c r="JL15" s="20" t="n">
        <f aca="false">IF(BL15=1,IF(ABS((1+AS_Wage)/(1+Slot5_Rate)-1)&lt;0.000000000001,(Slot5_Age-D15)*(1+Slot5_Rate)^(Slot5_Age-D15),(1+Slot5_Rate)^(Slot5_Age-D15)*(1-((1+AS_Wage)/(1+Slot5_Rate))^(Slot5_Age-D15))/(1-(1+AS_Wage)/(1+Slot5_Rate))),1)</f>
        <v>1</v>
      </c>
      <c r="JM15" s="20" t="n">
        <f aca="false">IF(AND(HU15=1,IE15&gt;0,Slot5_IsWG=1,BL15=1),MAX(0,(Slot5_Cost-BM15*(1+Slot5_Rate)^(Slot5_Age-D15))/JL15),0)</f>
        <v>0</v>
      </c>
      <c r="JN15" s="20" t="n">
        <f aca="false">IF(AND(HU15=1,IE15&gt;0,Slot5_IsWG=1,BL15=1),MIN(IE15,JM15),0)</f>
        <v>0</v>
      </c>
      <c r="JO15" s="20" t="n">
        <f aca="false">BM15+JN15</f>
        <v>0</v>
      </c>
      <c r="JP15" s="20" t="n">
        <f aca="false">IF(BL15=1,MAX(0,(Slot5_Cost-JO15*(1+Slot5_Rate)^(Slot5_Age-D15))/JL15),0)</f>
        <v>0</v>
      </c>
      <c r="JQ15" s="20" t="n">
        <f aca="false">IF(BL15=1,MAX(0,(Slot5_Cost-BM15*(1+Slot5_Rate)^(Slot5_Age-D15))/JL15),0)</f>
        <v>0</v>
      </c>
      <c r="JR15" s="20" t="n">
        <f aca="false">IF(AND(HU15=1,BL15=1),MIN(JK15,JP15),0)</f>
        <v>0</v>
      </c>
      <c r="JS15" s="20" t="n">
        <f aca="false">JK15-JR15</f>
        <v>0</v>
      </c>
      <c r="JT15" s="20" t="n">
        <f aca="false">IF(BV15=1,IF(ABS((1+AS_Wage)/(1+Slot6_Rate)-1)&lt;0.000000000001,(Slot6_Age-D15)*(1+Slot6_Rate)^(Slot6_Age-D15),(1+Slot6_Rate)^(Slot6_Age-D15)*(1-((1+AS_Wage)/(1+Slot6_Rate))^(Slot6_Age-D15))/(1-(1+AS_Wage)/(1+Slot6_Rate))),1)</f>
        <v>1</v>
      </c>
      <c r="JU15" s="20" t="n">
        <f aca="false">IF(AND(HU15=1,IE15&gt;0,Slot6_IsWG=1,BV15=1),MAX(0,(Slot6_Cost-BW15*(1+Slot6_Rate)^(Slot6_Age-D15))/JT15),0)</f>
        <v>0</v>
      </c>
      <c r="JV15" s="20" t="n">
        <f aca="false">IF(AND(HU15=1,IE15&gt;0,Slot6_IsWG=1,BV15=1),MIN(IE15,JU15),0)</f>
        <v>0</v>
      </c>
      <c r="JW15" s="20" t="n">
        <f aca="false">BW15+JV15</f>
        <v>0</v>
      </c>
      <c r="JX15" s="20" t="n">
        <f aca="false">IF(BV15=1,MAX(0,(Slot6_Cost-JW15*(1+Slot6_Rate)^(Slot6_Age-D15))/JT15),0)</f>
        <v>0</v>
      </c>
      <c r="JY15" s="20" t="n">
        <f aca="false">IF(BV15=1,MAX(0,(Slot6_Cost-BW15*(1+Slot6_Rate)^(Slot6_Age-D15))/JT15),0)</f>
        <v>0</v>
      </c>
      <c r="JZ15" s="20" t="n">
        <f aca="false">IF(AND(HU15=1,BV15=1),MIN(JS15,JX15),0)</f>
        <v>0</v>
      </c>
      <c r="KA15" s="20" t="n">
        <f aca="false">JS15-JZ15</f>
        <v>0</v>
      </c>
      <c r="KB15" s="20" t="n">
        <f aca="false">IF(CF15=1,IF(ABS((1+AS_Wage)/(1+Slot7_Rate)-1)&lt;0.000000000001,(Slot7_Age-D15)*(1+Slot7_Rate)^(Slot7_Age-D15),(1+Slot7_Rate)^(Slot7_Age-D15)*(1-((1+AS_Wage)/(1+Slot7_Rate))^(Slot7_Age-D15))/(1-(1+AS_Wage)/(1+Slot7_Rate))),1)</f>
        <v>1</v>
      </c>
      <c r="KC15" s="20" t="n">
        <f aca="false">IF(AND(HU15=1,IE15&gt;0,Slot7_IsWG=1,CF15=1),MAX(0,(Slot7_Cost-CG15*(1+Slot7_Rate)^(Slot7_Age-D15))/KB15),0)</f>
        <v>0</v>
      </c>
      <c r="KD15" s="20" t="n">
        <f aca="false">IF(AND(HU15=1,IE15&gt;0,Slot7_IsWG=1,CF15=1),MIN(IE15,KC15),0)</f>
        <v>0</v>
      </c>
      <c r="KE15" s="20" t="n">
        <f aca="false">CG15+KD15</f>
        <v>0</v>
      </c>
      <c r="KF15" s="20" t="n">
        <f aca="false">IF(CF15=1,MAX(0,(Slot7_Cost-KE15*(1+Slot7_Rate)^(Slot7_Age-D15))/KB15),0)</f>
        <v>0</v>
      </c>
      <c r="KG15" s="20" t="n">
        <f aca="false">IF(CF15=1,MAX(0,(Slot7_Cost-CG15*(1+Slot7_Rate)^(Slot7_Age-D15))/KB15),0)</f>
        <v>0</v>
      </c>
      <c r="KH15" s="20" t="n">
        <f aca="false">IF(AND(HU15=1,CF15=1),MIN(KA15,KF15),0)</f>
        <v>0</v>
      </c>
      <c r="KI15" s="20" t="n">
        <f aca="false">KA15-KH15</f>
        <v>0</v>
      </c>
      <c r="KJ15" s="20" t="n">
        <f aca="false">IF(CP15=1,IF(ABS((1+AS_Wage)/(1+Slot8_Rate)-1)&lt;0.000000000001,(Slot8_Age-D15)*(1+Slot8_Rate)^(Slot8_Age-D15),(1+Slot8_Rate)^(Slot8_Age-D15)*(1-((1+AS_Wage)/(1+Slot8_Rate))^(Slot8_Age-D15))/(1-(1+AS_Wage)/(1+Slot8_Rate))),1)</f>
        <v>1</v>
      </c>
      <c r="KK15" s="20" t="n">
        <f aca="false">IF(AND(HU15=1,IE15&gt;0,Slot8_IsWG=1,CP15=1),MAX(0,(Slot8_Cost-CQ15*(1+Slot8_Rate)^(Slot8_Age-D15))/KJ15),0)</f>
        <v>0</v>
      </c>
      <c r="KL15" s="20" t="n">
        <f aca="false">IF(AND(HU15=1,IE15&gt;0,Slot8_IsWG=1,CP15=1),MIN(IE15,KK15),0)</f>
        <v>0</v>
      </c>
      <c r="KM15" s="20" t="n">
        <f aca="false">CQ15+KL15</f>
        <v>0</v>
      </c>
      <c r="KN15" s="20" t="n">
        <f aca="false">IF(CP15=1,MAX(0,(Slot8_Cost-KM15*(1+Slot8_Rate)^(Slot8_Age-D15))/KJ15),0)</f>
        <v>0</v>
      </c>
      <c r="KO15" s="20" t="n">
        <f aca="false">IF(CP15=1,MAX(0,(Slot8_Cost-CQ15*(1+Slot8_Rate)^(Slot8_Age-D15))/KJ15),0)</f>
        <v>0</v>
      </c>
      <c r="KP15" s="20" t="n">
        <f aca="false">IF(AND(HU15=1,CP15=1),MIN(KI15,KN15),0)</f>
        <v>0</v>
      </c>
      <c r="KQ15" s="20" t="n">
        <f aca="false">KI15-KP15</f>
        <v>0</v>
      </c>
      <c r="KR15" s="20" t="n">
        <f aca="false">IF(CZ15=1,IF(ABS((1+AS_Wage)/(1+Slot9_Rate)-1)&lt;0.000000000001,(Slot9_Age-D15)*(1+Slot9_Rate)^(Slot9_Age-D15),(1+Slot9_Rate)^(Slot9_Age-D15)*(1-((1+AS_Wage)/(1+Slot9_Rate))^(Slot9_Age-D15))/(1-(1+AS_Wage)/(1+Slot9_Rate))),1)</f>
        <v>1</v>
      </c>
      <c r="KS15" s="20" t="n">
        <f aca="false">IF(AND(HU15=1,IE15&gt;0,Slot9_IsWG=1,CZ15=1),MAX(0,(Slot9_Cost-DA15*(1+Slot9_Rate)^(Slot9_Age-D15))/KR15),0)</f>
        <v>0</v>
      </c>
      <c r="KT15" s="20" t="n">
        <f aca="false">IF(AND(HU15=1,IE15&gt;0,Slot9_IsWG=1,CZ15=1),MIN(IE15,KS15),0)</f>
        <v>0</v>
      </c>
      <c r="KU15" s="20" t="n">
        <f aca="false">DA15+KT15</f>
        <v>0</v>
      </c>
      <c r="KV15" s="20" t="n">
        <f aca="false">IF(CZ15=1,MAX(0,(Slot9_Cost-KU15*(1+Slot9_Rate)^(Slot9_Age-D15))/KR15),0)</f>
        <v>0</v>
      </c>
      <c r="KW15" s="20" t="n">
        <f aca="false">IF(CZ15=1,MAX(0,(Slot9_Cost-DA15*(1+Slot9_Rate)^(Slot9_Age-D15))/KR15),0)</f>
        <v>0</v>
      </c>
      <c r="KX15" s="20" t="n">
        <f aca="false">IF(AND(HU15=1,CZ15=1),MIN(KQ15,KV15),0)</f>
        <v>0</v>
      </c>
      <c r="KY15" s="20" t="n">
        <f aca="false">KQ15-KX15</f>
        <v>0</v>
      </c>
      <c r="KZ15" s="20" t="n">
        <f aca="false">IF(DJ15=1,IF(ABS((1+AS_Wage)/(1+Slot10_Rate)-1)&lt;0.000000000001,(Slot10_Age-D15)*(1+Slot10_Rate)^(Slot10_Age-D15),(1+Slot10_Rate)^(Slot10_Age-D15)*(1-((1+AS_Wage)/(1+Slot10_Rate))^(Slot10_Age-D15))/(1-(1+AS_Wage)/(1+Slot10_Rate))),1)</f>
        <v>1</v>
      </c>
      <c r="LA15" s="20" t="n">
        <f aca="false">IF(AND(HU15=1,IE15&gt;0,Slot10_IsWG=1,DJ15=1),MAX(0,(Slot10_Cost-DK15*(1+Slot10_Rate)^(Slot10_Age-D15))/KZ15),0)</f>
        <v>0</v>
      </c>
      <c r="LB15" s="20" t="n">
        <f aca="false">IF(AND(HU15=1,IE15&gt;0,Slot10_IsWG=1,DJ15=1),MIN(IE15,LA15),0)</f>
        <v>0</v>
      </c>
      <c r="LC15" s="20" t="n">
        <f aca="false">DK15+LB15</f>
        <v>0</v>
      </c>
      <c r="LD15" s="20" t="n">
        <f aca="false">IF(DJ15=1,MAX(0,(Slot10_Cost-LC15*(1+Slot10_Rate)^(Slot10_Age-D15))/KZ15),0)</f>
        <v>0</v>
      </c>
      <c r="LE15" s="20" t="n">
        <f aca="false">IF(DJ15=1,MAX(0,(Slot10_Cost-DK15*(1+Slot10_Rate)^(Slot10_Age-D15))/KZ15),0)</f>
        <v>0</v>
      </c>
      <c r="LF15" s="20" t="n">
        <f aca="false">IF(AND(HU15=1,DJ15=1),MIN(KY15,LD15),0)</f>
        <v>0</v>
      </c>
      <c r="LG15" s="20" t="n">
        <f aca="false">KY15-LF15</f>
        <v>0</v>
      </c>
      <c r="LH15" s="20" t="n">
        <f aca="false">IF(DT15=1,IF(ABS((1+AS_Wage)/(1+Slot11_Rate)-1)&lt;0.000000000001,(Slot11_Age-D15)*(1+Slot11_Rate)^(Slot11_Age-D15),(1+Slot11_Rate)^(Slot11_Age-D15)*(1-((1+AS_Wage)/(1+Slot11_Rate))^(Slot11_Age-D15))/(1-(1+AS_Wage)/(1+Slot11_Rate))),1)</f>
        <v>1</v>
      </c>
      <c r="LI15" s="20" t="n">
        <f aca="false">IF(AND(HU15=1,IE15&gt;0,Slot11_IsWG=1,DT15=1),MAX(0,(Slot11_Cost-DU15*(1+Slot11_Rate)^(Slot11_Age-D15))/LH15),0)</f>
        <v>0</v>
      </c>
      <c r="LJ15" s="20" t="n">
        <f aca="false">IF(AND(HU15=1,IE15&gt;0,Slot11_IsWG=1,DT15=1),MIN(IE15,LI15),0)</f>
        <v>0</v>
      </c>
      <c r="LK15" s="20" t="n">
        <f aca="false">DU15+LJ15</f>
        <v>0</v>
      </c>
      <c r="LL15" s="20" t="n">
        <f aca="false">IF(DT15=1,MAX(0,(Slot11_Cost-LK15*(1+Slot11_Rate)^(Slot11_Age-D15))/LH15),0)</f>
        <v>0</v>
      </c>
      <c r="LM15" s="20" t="n">
        <f aca="false">IF(DT15=1,MAX(0,(Slot11_Cost-DU15*(1+Slot11_Rate)^(Slot11_Age-D15))/LH15),0)</f>
        <v>0</v>
      </c>
      <c r="LN15" s="20" t="n">
        <f aca="false">IF(AND(HU15=1,DT15=1),MIN(LG15,LL15),0)</f>
        <v>0</v>
      </c>
      <c r="LO15" s="20" t="n">
        <f aca="false">LG15-LN15</f>
        <v>0</v>
      </c>
      <c r="LP15" s="20" t="n">
        <f aca="false">IF(ED15=1,IF(ABS((1+AS_Wage)/(1+Slot12_Rate)-1)&lt;0.000000000001,(Slot12_Age-D15)*(1+Slot12_Rate)^(Slot12_Age-D15),(1+Slot12_Rate)^(Slot12_Age-D15)*(1-((1+AS_Wage)/(1+Slot12_Rate))^(Slot12_Age-D15))/(1-(1+AS_Wage)/(1+Slot12_Rate))),1)</f>
        <v>1</v>
      </c>
      <c r="LQ15" s="20" t="n">
        <f aca="false">IF(AND(HU15=1,IE15&gt;0,Slot12_IsWG=1,ED15=1),MAX(0,(Slot12_Cost-EE15*(1+Slot12_Rate)^(Slot12_Age-D15))/LP15),0)</f>
        <v>0</v>
      </c>
      <c r="LR15" s="20" t="n">
        <f aca="false">IF(AND(HU15=1,IE15&gt;0,Slot12_IsWG=1,ED15=1),MIN(IE15,LQ15),0)</f>
        <v>0</v>
      </c>
      <c r="LS15" s="20" t="n">
        <f aca="false">EE15+LR15</f>
        <v>0</v>
      </c>
      <c r="LT15" s="20" t="n">
        <f aca="false">IF(ED15=1,MAX(0,(Slot12_Cost-LS15*(1+Slot12_Rate)^(Slot12_Age-D15))/LP15),0)</f>
        <v>0</v>
      </c>
      <c r="LU15" s="20" t="n">
        <f aca="false">IF(ED15=1,MAX(0,(Slot12_Cost-EE15*(1+Slot12_Rate)^(Slot12_Age-D15))/LP15),0)</f>
        <v>0</v>
      </c>
      <c r="LV15" s="20" t="n">
        <f aca="false">IF(AND(HU15=1,ED15=1),MIN(LO15,LT15),0)</f>
        <v>0</v>
      </c>
      <c r="LW15" s="20" t="n">
        <f aca="false">LO15-LV15</f>
        <v>0</v>
      </c>
      <c r="LX15" s="20" t="n">
        <f aca="false">IF(EN15=1,IF(ABS((1+AS_Wage)/(1+Slot13_Rate)-1)&lt;0.000000000001,(Slot13_Age-D15)*(1+Slot13_Rate)^(Slot13_Age-D15),(1+Slot13_Rate)^(Slot13_Age-D15)*(1-((1+AS_Wage)/(1+Slot13_Rate))^(Slot13_Age-D15))/(1-(1+AS_Wage)/(1+Slot13_Rate))),1)</f>
        <v>1</v>
      </c>
      <c r="LY15" s="20" t="n">
        <f aca="false">IF(AND(HU15=1,IE15&gt;0,Slot13_IsWG=1,EN15=1),MAX(0,(Slot13_Cost-EO15*(1+Slot13_Rate)^(Slot13_Age-D15))/LX15),0)</f>
        <v>0</v>
      </c>
      <c r="LZ15" s="20" t="n">
        <f aca="false">IF(AND(HU15=1,IE15&gt;0,Slot13_IsWG=1,EN15=1),MIN(IE15,LY15),0)</f>
        <v>0</v>
      </c>
      <c r="MA15" s="20" t="n">
        <f aca="false">EO15+LZ15</f>
        <v>0</v>
      </c>
      <c r="MB15" s="20" t="n">
        <f aca="false">IF(EN15=1,MAX(0,(Slot13_Cost-MA15*(1+Slot13_Rate)^(Slot13_Age-D15))/LX15),0)</f>
        <v>0</v>
      </c>
      <c r="MC15" s="20" t="n">
        <f aca="false">IF(EN15=1,MAX(0,(Slot13_Cost-EO15*(1+Slot13_Rate)^(Slot13_Age-D15))/LX15),0)</f>
        <v>0</v>
      </c>
      <c r="MD15" s="20" t="n">
        <f aca="false">IF(AND(HU15=1,EN15=1),MIN(LW15,MB15),0)</f>
        <v>0</v>
      </c>
      <c r="ME15" s="20" t="n">
        <f aca="false">LW15-MD15</f>
        <v>0</v>
      </c>
      <c r="MF15" s="20" t="n">
        <f aca="false">IF(EX15=1,IF(ABS((1+AS_Wage)/(1+Slot14_Rate)-1)&lt;0.000000000001,(Slot14_Age-D15)*(1+Slot14_Rate)^(Slot14_Age-D15),(1+Slot14_Rate)^(Slot14_Age-D15)*(1-((1+AS_Wage)/(1+Slot14_Rate))^(Slot14_Age-D15))/(1-(1+AS_Wage)/(1+Slot14_Rate))),1)</f>
        <v>1</v>
      </c>
      <c r="MG15" s="20" t="n">
        <f aca="false">IF(AND(HU15=1,IE15&gt;0,Slot14_IsWG=1,EX15=1),MAX(0,(Slot14_Cost-EY15*(1+Slot14_Rate)^(Slot14_Age-D15))/MF15),0)</f>
        <v>0</v>
      </c>
      <c r="MH15" s="20" t="n">
        <f aca="false">IF(AND(HU15=1,IE15&gt;0,Slot14_IsWG=1,EX15=1),MIN(IE15,MG15),0)</f>
        <v>0</v>
      </c>
      <c r="MI15" s="20" t="n">
        <f aca="false">EY15+MH15</f>
        <v>0</v>
      </c>
      <c r="MJ15" s="20" t="n">
        <f aca="false">IF(EX15=1,MAX(0,(Slot14_Cost-MI15*(1+Slot14_Rate)^(Slot14_Age-D15))/MF15),0)</f>
        <v>0</v>
      </c>
      <c r="MK15" s="20" t="n">
        <f aca="false">IF(EX15=1,MAX(0,(Slot14_Cost-EY15*(1+Slot14_Rate)^(Slot14_Age-D15))/MF15),0)</f>
        <v>0</v>
      </c>
      <c r="ML15" s="20" t="n">
        <f aca="false">IF(AND(HU15=1,EX15=1),MIN(ME15,MJ15),0)</f>
        <v>0</v>
      </c>
      <c r="MM15" s="20" t="n">
        <f aca="false">ME15-ML15</f>
        <v>0</v>
      </c>
      <c r="MN15" s="20" t="n">
        <f aca="false">IF(FH15=1,IF(ABS((1+AS_Wage)/(1+Slot15_Rate)-1)&lt;0.000000000001,(Slot15_Age-D15)*(1+Slot15_Rate)^(Slot15_Age-D15),(1+Slot15_Rate)^(Slot15_Age-D15)*(1-((1+AS_Wage)/(1+Slot15_Rate))^(Slot15_Age-D15))/(1-(1+AS_Wage)/(1+Slot15_Rate))),1)</f>
        <v>1</v>
      </c>
      <c r="MO15" s="20" t="n">
        <f aca="false">IF(AND(HU15=1,IE15&gt;0,Slot15_IsWG=1,FH15=1),MAX(0,(Slot15_Cost-FI15*(1+Slot15_Rate)^(Slot15_Age-D15))/MN15),0)</f>
        <v>0</v>
      </c>
      <c r="MP15" s="20" t="n">
        <f aca="false">IF(AND(HU15=1,IE15&gt;0,Slot15_IsWG=1,FH15=1),MIN(IE15,MO15),0)</f>
        <v>0</v>
      </c>
      <c r="MQ15" s="20" t="n">
        <f aca="false">FI15+MP15</f>
        <v>0</v>
      </c>
      <c r="MR15" s="20" t="n">
        <f aca="false">IF(FH15=1,MAX(0,(Slot15_Cost-MQ15*(1+Slot15_Rate)^(Slot15_Age-D15))/MN15),0)</f>
        <v>0</v>
      </c>
      <c r="MS15" s="20" t="n">
        <f aca="false">IF(FH15=1,MAX(0,(Slot15_Cost-FI15*(1+Slot15_Rate)^(Slot15_Age-D15))/MN15),0)</f>
        <v>0</v>
      </c>
      <c r="MT15" s="20" t="n">
        <f aca="false">IF(AND(HU15=1,FH15=1),MIN(MM15,MR15),0)</f>
        <v>0</v>
      </c>
      <c r="MU15" s="20" t="n">
        <f aca="false">MM15-MT15</f>
        <v>0</v>
      </c>
      <c r="MV15" s="20" t="n">
        <f aca="false">IF(FR15=1,IF(ABS((1+AS_Wage)/(1+Slot16_Rate)-1)&lt;0.000000000001,(Slot16_Age-D15)*(1+Slot16_Rate)^(Slot16_Age-D15),(1+Slot16_Rate)^(Slot16_Age-D15)*(1-((1+AS_Wage)/(1+Slot16_Rate))^(Slot16_Age-D15))/(1-(1+AS_Wage)/(1+Slot16_Rate))),1)</f>
        <v>1</v>
      </c>
      <c r="MW15" s="20" t="n">
        <f aca="false">IF(AND(HU15=1,IE15&gt;0,Slot16_IsWG=1,FR15=1),MAX(0,(Slot16_Cost-FS15*(1+Slot16_Rate)^(Slot16_Age-D15))/MV15),0)</f>
        <v>0</v>
      </c>
      <c r="MX15" s="20" t="n">
        <f aca="false">IF(AND(HU15=1,IE15&gt;0,Slot16_IsWG=1,FR15=1),MIN(IE15,MW15),0)</f>
        <v>0</v>
      </c>
      <c r="MY15" s="20" t="n">
        <f aca="false">FS15+MX15</f>
        <v>0</v>
      </c>
      <c r="MZ15" s="20" t="n">
        <f aca="false">IF(FR15=1,MAX(0,(Slot16_Cost-MY15*(1+Slot16_Rate)^(Slot16_Age-D15))/MV15),0)</f>
        <v>0</v>
      </c>
      <c r="NA15" s="20" t="n">
        <f aca="false">IF(FR15=1,MAX(0,(Slot16_Cost-FS15*(1+Slot16_Rate)^(Slot16_Age-D15))/MV15),0)</f>
        <v>0</v>
      </c>
      <c r="NB15" s="20" t="n">
        <f aca="false">IF(AND(HU15=1,FR15=1),MIN(MU15,MZ15),0)</f>
        <v>0</v>
      </c>
      <c r="NC15" s="20" t="n">
        <f aca="false">MU15-NB15</f>
        <v>0</v>
      </c>
      <c r="ND15" s="20" t="n">
        <f aca="false">IF(GB15=1,IF(ABS((1+AS_Wage)/(1+Slot17_Rate)-1)&lt;0.000000000001,(Slot17_Age-D15)*(1+Slot17_Rate)^(Slot17_Age-D15),(1+Slot17_Rate)^(Slot17_Age-D15)*(1-((1+AS_Wage)/(1+Slot17_Rate))^(Slot17_Age-D15))/(1-(1+AS_Wage)/(1+Slot17_Rate))),1)</f>
        <v>1</v>
      </c>
      <c r="NE15" s="20" t="n">
        <f aca="false">IF(AND(HU15=1,IE15&gt;0,Slot17_IsWG=1,GB15=1),MAX(0,(Slot17_Cost-GC15*(1+Slot17_Rate)^(Slot17_Age-D15))/ND15),0)</f>
        <v>0</v>
      </c>
      <c r="NF15" s="20" t="n">
        <f aca="false">IF(AND(HU15=1,IE15&gt;0,Slot17_IsWG=1,GB15=1),MIN(IE15,NE15),0)</f>
        <v>0</v>
      </c>
      <c r="NG15" s="20" t="n">
        <f aca="false">GC15+NF15</f>
        <v>0</v>
      </c>
      <c r="NH15" s="20" t="n">
        <f aca="false">IF(GB15=1,MAX(0,(Slot17_Cost-NG15*(1+Slot17_Rate)^(Slot17_Age-D15))/ND15),0)</f>
        <v>0</v>
      </c>
      <c r="NI15" s="20" t="n">
        <f aca="false">IF(GB15=1,MAX(0,(Slot17_Cost-GC15*(1+Slot17_Rate)^(Slot17_Age-D15))/ND15),0)</f>
        <v>0</v>
      </c>
      <c r="NJ15" s="20" t="n">
        <f aca="false">IF(AND(HU15=1,GB15=1),MIN(NC15,NH15),0)</f>
        <v>0</v>
      </c>
      <c r="NK15" s="20" t="n">
        <f aca="false">NC15-NJ15</f>
        <v>0</v>
      </c>
      <c r="NL15" s="20" t="n">
        <f aca="false">IF(GL15=1,IF(ABS((1+AS_Wage)/(1+Slot18_Rate)-1)&lt;0.000000000001,(Slot18_Age-D15)*(1+Slot18_Rate)^(Slot18_Age-D15),(1+Slot18_Rate)^(Slot18_Age-D15)*(1-((1+AS_Wage)/(1+Slot18_Rate))^(Slot18_Age-D15))/(1-(1+AS_Wage)/(1+Slot18_Rate))),1)</f>
        <v>1</v>
      </c>
      <c r="NM15" s="20" t="n">
        <f aca="false">IF(AND(HU15=1,IE15&gt;0,Slot18_IsWG=1,GL15=1),MAX(0,(Slot18_Cost-GM15*(1+Slot18_Rate)^(Slot18_Age-D15))/NL15),0)</f>
        <v>0</v>
      </c>
      <c r="NN15" s="20" t="n">
        <f aca="false">IF(AND(HU15=1,IE15&gt;0,Slot18_IsWG=1,GL15=1),MIN(IE15,NM15),0)</f>
        <v>0</v>
      </c>
      <c r="NO15" s="20" t="n">
        <f aca="false">GM15+NN15</f>
        <v>0</v>
      </c>
      <c r="NP15" s="20" t="n">
        <f aca="false">IF(GL15=1,MAX(0,(Slot18_Cost-NO15*(1+Slot18_Rate)^(Slot18_Age-D15))/NL15),0)</f>
        <v>0</v>
      </c>
      <c r="NQ15" s="20" t="n">
        <f aca="false">IF(GL15=1,MAX(0,(Slot18_Cost-GM15*(1+Slot18_Rate)^(Slot18_Age-D15))/NL15),0)</f>
        <v>0</v>
      </c>
      <c r="NR15" s="20" t="n">
        <f aca="false">IF(AND(HU15=1,GL15=1),MIN(NK15,NP15),0)</f>
        <v>0</v>
      </c>
      <c r="NS15" s="20" t="n">
        <f aca="false">NK15-NR15</f>
        <v>0</v>
      </c>
      <c r="NT15" s="20" t="n">
        <f aca="false">IF(GV15=1,IF(ABS((1+AS_Wage)/(1+Slot19_Rate)-1)&lt;0.000000000001,(Slot19_Age-D15)*(1+Slot19_Rate)^(Slot19_Age-D15),(1+Slot19_Rate)^(Slot19_Age-D15)*(1-((1+AS_Wage)/(1+Slot19_Rate))^(Slot19_Age-D15))/(1-(1+AS_Wage)/(1+Slot19_Rate))),1)</f>
        <v>1</v>
      </c>
      <c r="NU15" s="20" t="n">
        <f aca="false">IF(AND(HU15=1,IE15&gt;0,Slot19_IsWG=1,GV15=1),MAX(0,(Slot19_Cost-GW15*(1+Slot19_Rate)^(Slot19_Age-D15))/NT15),0)</f>
        <v>0</v>
      </c>
      <c r="NV15" s="20" t="n">
        <f aca="false">IF(AND(HU15=1,IE15&gt;0,Slot19_IsWG=1,GV15=1),MIN(IE15,NU15),0)</f>
        <v>0</v>
      </c>
      <c r="NW15" s="20" t="n">
        <f aca="false">GW15+NV15</f>
        <v>0</v>
      </c>
      <c r="NX15" s="20" t="n">
        <f aca="false">IF(GV15=1,MAX(0,(Slot19_Cost-NW15*(1+Slot19_Rate)^(Slot19_Age-D15))/NT15),0)</f>
        <v>0</v>
      </c>
      <c r="NY15" s="20" t="n">
        <f aca="false">IF(GV15=1,MAX(0,(Slot19_Cost-GW15*(1+Slot19_Rate)^(Slot19_Age-D15))/NT15),0)</f>
        <v>0</v>
      </c>
      <c r="NZ15" s="20" t="n">
        <f aca="false">IF(AND(HU15=1,GV15=1),MIN(NS15,NX15),0)</f>
        <v>0</v>
      </c>
      <c r="OA15" s="20" t="n">
        <f aca="false">NS15-NZ15</f>
        <v>0</v>
      </c>
      <c r="OB15" s="20" t="n">
        <f aca="false">IF(HF15=1,IF(ABS((1+AS_Wage)/(1+Slot20_Rate)-1)&lt;0.000000000001,(Slot20_Age-D15)*(1+Slot20_Rate)^(Slot20_Age-D15),(1+Slot20_Rate)^(Slot20_Age-D15)*(1-((1+AS_Wage)/(1+Slot20_Rate))^(Slot20_Age-D15))/(1-(1+AS_Wage)/(1+Slot20_Rate))),1)</f>
        <v>1</v>
      </c>
      <c r="OC15" s="20" t="n">
        <f aca="false">IF(AND(HU15=1,IE15&gt;0,Slot20_IsWG=1,HF15=1),MAX(0,(Slot20_Cost-HG15*(1+Slot20_Rate)^(Slot20_Age-D15))/OB15),0)</f>
        <v>0</v>
      </c>
      <c r="OD15" s="20" t="n">
        <f aca="false">IF(AND(HU15=1,IE15&gt;0,Slot20_IsWG=1,HF15=1),MIN(IE15,OC15),0)</f>
        <v>0</v>
      </c>
      <c r="OE15" s="20" t="n">
        <f aca="false">HG15+OD15</f>
        <v>0</v>
      </c>
      <c r="OF15" s="20" t="n">
        <f aca="false">IF(HF15=1,MAX(0,(Slot20_Cost-OE15*(1+Slot20_Rate)^(Slot20_Age-D15))/OB15),0)</f>
        <v>0</v>
      </c>
      <c r="OG15" s="20" t="n">
        <f aca="false">IF(HF15=1,MAX(0,(Slot20_Cost-HG15*(1+Slot20_Rate)^(Slot20_Age-D15))/OB15),0)</f>
        <v>0</v>
      </c>
      <c r="OH15" s="20" t="n">
        <f aca="false">IF(AND(HU15=1,HF15=1),MIN(OA15,OF15),0)</f>
        <v>0</v>
      </c>
      <c r="OI15" s="20" t="n">
        <f aca="false">OA15-OH15</f>
        <v>0</v>
      </c>
      <c r="OJ15" s="20" t="n">
        <f aca="false">IE15-(IH15+IP15+IX15+JF15+JN15+JV15+KD15+KL15+KT15+LB15+LJ15+LR15+LZ15+MH15+MP15+MX15+NF15+NN15+NV15+OD15)</f>
        <v>0</v>
      </c>
      <c r="OK15" s="20" t="n">
        <f aca="false">IF(HU15=1,HS15-ID15-IE15,0)</f>
        <v>4514.14661883193</v>
      </c>
      <c r="OL15" s="20" t="n">
        <f aca="false">IF(HU15=0,-HS15,0)</f>
        <v>0</v>
      </c>
      <c r="OM15" s="20" t="n">
        <f aca="false">MIN(OL15,HK15)</f>
        <v>0</v>
      </c>
      <c r="ON15" s="20" t="n">
        <f aca="false">OL15-OM15</f>
        <v>0</v>
      </c>
      <c r="OO15" s="20" t="n">
        <f aca="false">MIN(ON15,HL15)</f>
        <v>0</v>
      </c>
      <c r="OP15" s="20" t="n">
        <f aca="false">ON15-OO15</f>
        <v>0</v>
      </c>
      <c r="OQ15" s="20" t="n">
        <f aca="false">IF(AND(HU15=0,HF15=1,OP15&gt;0),MIN(OP15,HG15),0)</f>
        <v>0</v>
      </c>
      <c r="OR15" s="20" t="n">
        <f aca="false">OP15-OQ15</f>
        <v>0</v>
      </c>
      <c r="OS15" s="20" t="n">
        <f aca="false">IF(AND(HU15=0,GV15=1,OR15&gt;0),MIN(OR15,GW15),0)</f>
        <v>0</v>
      </c>
      <c r="OT15" s="20" t="n">
        <f aca="false">OR15-OS15</f>
        <v>0</v>
      </c>
      <c r="OU15" s="20" t="n">
        <f aca="false">IF(AND(HU15=0,GL15=1,OT15&gt;0),MIN(OT15,GM15),0)</f>
        <v>0</v>
      </c>
      <c r="OV15" s="20" t="n">
        <f aca="false">OT15-OU15</f>
        <v>0</v>
      </c>
      <c r="OW15" s="20" t="n">
        <f aca="false">IF(AND(HU15=0,GB15=1,OV15&gt;0),MIN(OV15,GC15),0)</f>
        <v>0</v>
      </c>
      <c r="OX15" s="20" t="n">
        <f aca="false">OV15-OW15</f>
        <v>0</v>
      </c>
      <c r="OY15" s="20" t="n">
        <f aca="false">IF(AND(HU15=0,FR15=1,OX15&gt;0),MIN(OX15,FS15),0)</f>
        <v>0</v>
      </c>
      <c r="OZ15" s="20" t="n">
        <f aca="false">OX15-OY15</f>
        <v>0</v>
      </c>
      <c r="PA15" s="20" t="n">
        <f aca="false">IF(AND(HU15=0,FH15=1,OZ15&gt;0),MIN(OZ15,FI15),0)</f>
        <v>0</v>
      </c>
      <c r="PB15" s="20" t="n">
        <f aca="false">OZ15-PA15</f>
        <v>0</v>
      </c>
      <c r="PC15" s="20" t="n">
        <f aca="false">IF(AND(HU15=0,EX15=1,PB15&gt;0),MIN(PB15,EY15),0)</f>
        <v>0</v>
      </c>
      <c r="PD15" s="20" t="n">
        <f aca="false">PB15-PC15</f>
        <v>0</v>
      </c>
      <c r="PE15" s="20" t="n">
        <f aca="false">IF(AND(HU15=0,EN15=1,PD15&gt;0),MIN(PD15,EO15),0)</f>
        <v>0</v>
      </c>
      <c r="PF15" s="20" t="n">
        <f aca="false">PD15-PE15</f>
        <v>0</v>
      </c>
      <c r="PG15" s="20" t="n">
        <f aca="false">IF(AND(HU15=0,ED15=1,PF15&gt;0),MIN(PF15,EE15),0)</f>
        <v>0</v>
      </c>
      <c r="PH15" s="20" t="n">
        <f aca="false">PF15-PG15</f>
        <v>0</v>
      </c>
      <c r="PI15" s="20" t="n">
        <f aca="false">IF(AND(HU15=0,DT15=1,PH15&gt;0),MIN(PH15,DU15),0)</f>
        <v>0</v>
      </c>
      <c r="PJ15" s="20" t="n">
        <f aca="false">PH15-PI15</f>
        <v>0</v>
      </c>
      <c r="PK15" s="20" t="n">
        <f aca="false">IF(AND(HU15=0,DJ15=1,PJ15&gt;0),MIN(PJ15,DK15),0)</f>
        <v>0</v>
      </c>
      <c r="PL15" s="20" t="n">
        <f aca="false">PJ15-PK15</f>
        <v>0</v>
      </c>
      <c r="PM15" s="20" t="n">
        <f aca="false">IF(AND(HU15=0,CZ15=1,PL15&gt;0),MIN(PL15,DA15),0)</f>
        <v>0</v>
      </c>
      <c r="PN15" s="20" t="n">
        <f aca="false">PL15-PM15</f>
        <v>0</v>
      </c>
      <c r="PO15" s="20" t="n">
        <f aca="false">IF(AND(HU15=0,CP15=1,PN15&gt;0),MIN(PN15,CQ15),0)</f>
        <v>0</v>
      </c>
      <c r="PP15" s="20" t="n">
        <f aca="false">PN15-PO15</f>
        <v>0</v>
      </c>
      <c r="PQ15" s="20" t="n">
        <f aca="false">IF(AND(HU15=0,CF15=1,PP15&gt;0),MIN(PP15,CG15),0)</f>
        <v>0</v>
      </c>
      <c r="PR15" s="20" t="n">
        <f aca="false">PP15-PQ15</f>
        <v>0</v>
      </c>
      <c r="PS15" s="20" t="n">
        <f aca="false">IF(AND(HU15=0,BV15=1,PR15&gt;0),MIN(PR15,BW15),0)</f>
        <v>0</v>
      </c>
      <c r="PT15" s="20" t="n">
        <f aca="false">PR15-PS15</f>
        <v>0</v>
      </c>
      <c r="PU15" s="20" t="n">
        <f aca="false">IF(AND(HU15=0,BL15=1,PT15&gt;0),MIN(PT15,BM15),0)</f>
        <v>0</v>
      </c>
      <c r="PV15" s="20" t="n">
        <f aca="false">PT15-PU15</f>
        <v>0</v>
      </c>
      <c r="PW15" s="20" t="n">
        <f aca="false">IF(AND(HU15=0,BB15=1,PV15&gt;0),MIN(PV15,BC15),0)</f>
        <v>0</v>
      </c>
      <c r="PX15" s="20" t="n">
        <f aca="false">PV15-PW15</f>
        <v>0</v>
      </c>
      <c r="PY15" s="20" t="n">
        <f aca="false">IF(AND(HU15=0,AR15=1,PX15&gt;0),MIN(PX15,AS15),0)</f>
        <v>0</v>
      </c>
      <c r="PZ15" s="20" t="n">
        <f aca="false">PX15-PY15</f>
        <v>0</v>
      </c>
      <c r="QA15" s="20" t="n">
        <f aca="false">IF(AND(HU15=0,AH15=1,PZ15&gt;0),MIN(PZ15,AI15),0)</f>
        <v>0</v>
      </c>
      <c r="QB15" s="20" t="n">
        <f aca="false">PZ15-QA15</f>
        <v>0</v>
      </c>
      <c r="QC15" s="20" t="n">
        <f aca="false">IF(AND(HU15=0,W15=1,QB15&gt;0),MIN(QB15,X15),0)</f>
        <v>0</v>
      </c>
      <c r="QD15" s="20" t="n">
        <f aca="false">QB15-QC15</f>
        <v>0</v>
      </c>
      <c r="QE15" s="20" t="n">
        <f aca="false">IF(HU15=0,QD15,0)</f>
        <v>0</v>
      </c>
      <c r="QF15" s="20" t="n">
        <f aca="false">OM15+OO15+QC15+QA15+PY15+PW15+PU15+PS15+PQ15+PO15+PM15+PK15+PI15+PG15+PE15+PC15+PA15+OY15+OW15+OU15+OS15+OQ15</f>
        <v>0</v>
      </c>
      <c r="QG15" s="20" t="n">
        <f aca="false">IF(HU15=1,HK15+OJ15+OI15+IF(G15=1,0,OK15),HK15-OM15)</f>
        <v>0</v>
      </c>
      <c r="QH15" s="20" t="n">
        <f aca="false">HL15-OO15</f>
        <v>16402.0628418606</v>
      </c>
      <c r="QI15" s="20" t="n">
        <f aca="false">IF(HU15=1,IF(G15=1,ID15+IE15,HS15),0)</f>
        <v>4514.14661883193</v>
      </c>
      <c r="QJ15" s="20" t="n">
        <f aca="false">IF(HU15=1,IF(G15=1,HS15-ID15-IE15,0),0)</f>
        <v>4514.14661883193</v>
      </c>
      <c r="QK15" s="20" t="n">
        <f aca="false">QG15*(1+GR)</f>
        <v>0</v>
      </c>
      <c r="QL15" s="20" t="n">
        <f aca="false">QH15*(1+AS_Cash)</f>
        <v>16566.0834702792</v>
      </c>
      <c r="QM15" s="20" t="n">
        <f aca="false">IF(W15=1,IF(HU15=1,II15+IL15,X15-QC15)*(1+Slot1_Rate),0)</f>
        <v>0</v>
      </c>
      <c r="QN15" s="20" t="n">
        <f aca="false">IF(AND(HU15=1,W15=1),(IH15+IL15)/F15,0)</f>
        <v>0</v>
      </c>
      <c r="QO15" s="20" t="n">
        <f aca="false">IF(B15=0,IH15+IL15,0)</f>
        <v>0</v>
      </c>
      <c r="QP15" s="20" t="n">
        <f aca="false">IF(B15=0,IF(HU15=1,IJ15,IK15),0)</f>
        <v>0</v>
      </c>
      <c r="QQ15" s="20" t="n">
        <f aca="false">IF(AH15=1,IF(HU15=1,IQ15+IT15,AI15-QA15)*(1+Slot2_Rate),0)</f>
        <v>0</v>
      </c>
      <c r="QR15" s="20" t="n">
        <f aca="false">IF(AND(HU15=1,AH15=1),(IP15+IT15)/F15,0)</f>
        <v>0</v>
      </c>
      <c r="QS15" s="20" t="n">
        <f aca="false">IF(B15=0,IP15+IT15,0)</f>
        <v>0</v>
      </c>
      <c r="QT15" s="20" t="n">
        <f aca="false">IF(B15=0,IF(HU15=1,IR15,IS15),0)</f>
        <v>0</v>
      </c>
      <c r="QU15" s="20" t="n">
        <f aca="false">IF(AR15=1,IF(HU15=1,IY15+JB15,AS15-PY15)*(1+Slot3_Rate),0)</f>
        <v>18955.1793027713</v>
      </c>
      <c r="QV15" s="20" t="n">
        <f aca="false">IF(AND(HU15=1,AR15=1),(IX15+JB15)/F15,0)</f>
        <v>3929.83628677972</v>
      </c>
      <c r="QW15" s="20" t="n">
        <f aca="false">IF(B15=0,IX15+JB15,0)</f>
        <v>0</v>
      </c>
      <c r="QX15" s="20" t="n">
        <f aca="false">IF(B15=0,IF(HU15=1,IZ15,JA15),0)</f>
        <v>0</v>
      </c>
      <c r="QY15" s="20" t="n">
        <f aca="false">IF(BB15=1,IF(HU15=1,JG15+JJ15,BC15-PW15)*(1+Slot4_Rate),0)</f>
        <v>0</v>
      </c>
      <c r="QZ15" s="20" t="n">
        <f aca="false">IF(AND(HU15=1,BB15=1),(JF15+JJ15)/F15,0)</f>
        <v>0</v>
      </c>
      <c r="RA15" s="20" t="n">
        <f aca="false">IF(B15=0,JF15+JJ15,0)</f>
        <v>0</v>
      </c>
      <c r="RB15" s="20" t="n">
        <f aca="false">IF(B15=0,IF(HU15=1,JH15,JI15),0)</f>
        <v>0</v>
      </c>
      <c r="RC15" s="20" t="n">
        <f aca="false">IF(BL15=1,IF(HU15=1,JO15+JR15,BM15-PU15)*(1+Slot5_Rate),0)</f>
        <v>0</v>
      </c>
      <c r="RD15" s="20" t="n">
        <f aca="false">IF(AND(HU15=1,BL15=1),(JN15+JR15)/F15,0)</f>
        <v>0</v>
      </c>
      <c r="RE15" s="20" t="n">
        <f aca="false">IF(B15=0,JN15+JR15,0)</f>
        <v>0</v>
      </c>
      <c r="RF15" s="20" t="n">
        <f aca="false">IF(B15=0,IF(HU15=1,JP15,JQ15),0)</f>
        <v>0</v>
      </c>
      <c r="RG15" s="20" t="n">
        <f aca="false">IF(BV15=1,IF(HU15=1,JW15+JZ15,BW15-PS15)*(1+Slot6_Rate),0)</f>
        <v>0</v>
      </c>
      <c r="RH15" s="20" t="n">
        <f aca="false">IF(AND(HU15=1,BV15=1),(JV15+JZ15)/F15,0)</f>
        <v>0</v>
      </c>
      <c r="RI15" s="20" t="n">
        <f aca="false">IF(B15=0,JV15+JZ15,0)</f>
        <v>0</v>
      </c>
      <c r="RJ15" s="20" t="n">
        <f aca="false">IF(B15=0,IF(HU15=1,JX15,JY15),0)</f>
        <v>0</v>
      </c>
      <c r="RK15" s="20" t="n">
        <f aca="false">IF(CF15=1,IF(HU15=1,KE15+KH15,CG15-PQ15)*(1+Slot7_Rate),0)</f>
        <v>0</v>
      </c>
      <c r="RL15" s="20" t="n">
        <f aca="false">IF(AND(HU15=1,CF15=1),(KD15+KH15)/F15,0)</f>
        <v>0</v>
      </c>
      <c r="RM15" s="20" t="n">
        <f aca="false">IF(B15=0,KD15+KH15,0)</f>
        <v>0</v>
      </c>
      <c r="RN15" s="20" t="n">
        <f aca="false">IF(B15=0,IF(HU15=1,KF15,KG15),0)</f>
        <v>0</v>
      </c>
      <c r="RO15" s="20" t="n">
        <f aca="false">IF(CP15=1,IF(HU15=1,KM15+KP15,CQ15-PO15)*(1+Slot8_Rate),0)</f>
        <v>0</v>
      </c>
      <c r="RP15" s="20" t="n">
        <f aca="false">IF(AND(HU15=1,CP15=1),(KL15+KP15)/F15,0)</f>
        <v>0</v>
      </c>
      <c r="RQ15" s="20" t="n">
        <f aca="false">IF(B15=0,KL15+KP15,0)</f>
        <v>0</v>
      </c>
      <c r="RR15" s="20" t="n">
        <f aca="false">IF(B15=0,IF(HU15=1,KN15,KO15),0)</f>
        <v>0</v>
      </c>
      <c r="RS15" s="20" t="n">
        <f aca="false">IF(CZ15=1,IF(HU15=1,KU15+KX15,DA15-PM15)*(1+Slot9_Rate),0)</f>
        <v>0</v>
      </c>
      <c r="RT15" s="20" t="n">
        <f aca="false">IF(AND(HU15=1,CZ15=1),(KT15+KX15)/F15,0)</f>
        <v>0</v>
      </c>
      <c r="RU15" s="20" t="n">
        <f aca="false">IF(B15=0,KT15+KX15,0)</f>
        <v>0</v>
      </c>
      <c r="RV15" s="20" t="n">
        <f aca="false">IF(B15=0,IF(HU15=1,KV15,KW15),0)</f>
        <v>0</v>
      </c>
      <c r="RW15" s="20" t="n">
        <f aca="false">IF(DJ15=1,IF(HU15=1,LC15+LF15,DK15-PK15)*(1+Slot10_Rate),0)</f>
        <v>0</v>
      </c>
      <c r="RX15" s="20" t="n">
        <f aca="false">IF(AND(HU15=1,DJ15=1),(LB15+LF15)/F15,0)</f>
        <v>0</v>
      </c>
      <c r="RY15" s="20" t="n">
        <f aca="false">IF(B15=0,LB15+LF15,0)</f>
        <v>0</v>
      </c>
      <c r="RZ15" s="20" t="n">
        <f aca="false">IF(B15=0,IF(HU15=1,LD15,LE15),0)</f>
        <v>0</v>
      </c>
      <c r="SA15" s="20" t="n">
        <f aca="false">IF(DT15=1,IF(HU15=1,LK15+LN15,DU15-PI15)*(1+Slot11_Rate),0)</f>
        <v>0</v>
      </c>
      <c r="SB15" s="20" t="n">
        <f aca="false">IF(AND(HU15=1,DT15=1),(LJ15+LN15)/F15,0)</f>
        <v>0</v>
      </c>
      <c r="SC15" s="20" t="n">
        <f aca="false">IF(B15=0,LJ15+LN15,0)</f>
        <v>0</v>
      </c>
      <c r="SD15" s="20" t="n">
        <f aca="false">IF(B15=0,IF(HU15=1,LL15,LM15),0)</f>
        <v>0</v>
      </c>
      <c r="SE15" s="20" t="n">
        <f aca="false">IF(ED15=1,IF(HU15=1,LS15+LV15,EE15-PG15)*(1+Slot12_Rate),0)</f>
        <v>0</v>
      </c>
      <c r="SF15" s="20" t="n">
        <f aca="false">IF(AND(HU15=1,ED15=1),(LR15+LV15)/F15,0)</f>
        <v>0</v>
      </c>
      <c r="SG15" s="20" t="n">
        <f aca="false">IF(B15=0,LR15+LV15,0)</f>
        <v>0</v>
      </c>
      <c r="SH15" s="20" t="n">
        <f aca="false">IF(B15=0,IF(HU15=1,LT15,LU15),0)</f>
        <v>0</v>
      </c>
      <c r="SI15" s="20" t="n">
        <f aca="false">IF(EN15=1,IF(HU15=1,MA15+MD15,EO15-PE15)*(1+Slot13_Rate),0)</f>
        <v>0</v>
      </c>
      <c r="SJ15" s="20" t="n">
        <f aca="false">IF(AND(HU15=1,EN15=1),(LZ15+MD15)/F15,0)</f>
        <v>0</v>
      </c>
      <c r="SK15" s="20" t="n">
        <f aca="false">IF(B15=0,LZ15+MD15,0)</f>
        <v>0</v>
      </c>
      <c r="SL15" s="20" t="n">
        <f aca="false">IF(B15=0,IF(HU15=1,MB15,MC15),0)</f>
        <v>0</v>
      </c>
      <c r="SM15" s="20" t="n">
        <f aca="false">IF(EX15=1,IF(HU15=1,MI15+ML15,EY15-PC15)*(1+Slot14_Rate),0)</f>
        <v>0</v>
      </c>
      <c r="SN15" s="20" t="n">
        <f aca="false">IF(AND(HU15=1,EX15=1),(MH15+ML15)/F15,0)</f>
        <v>0</v>
      </c>
      <c r="SO15" s="20" t="n">
        <f aca="false">IF(B15=0,MH15+ML15,0)</f>
        <v>0</v>
      </c>
      <c r="SP15" s="20" t="n">
        <f aca="false">IF(B15=0,IF(HU15=1,MJ15,MK15),0)</f>
        <v>0</v>
      </c>
      <c r="SQ15" s="20" t="n">
        <f aca="false">IF(FH15=1,IF(HU15=1,MQ15+MT15,FI15-PA15)*(1+Slot15_Rate),0)</f>
        <v>0</v>
      </c>
      <c r="SR15" s="20" t="n">
        <f aca="false">IF(AND(HU15=1,FH15=1),(MP15+MT15)/F15,0)</f>
        <v>0</v>
      </c>
      <c r="SS15" s="20" t="n">
        <f aca="false">IF(B15=0,MP15+MT15,0)</f>
        <v>0</v>
      </c>
      <c r="ST15" s="20" t="n">
        <f aca="false">IF(B15=0,IF(HU15=1,MR15,MS15),0)</f>
        <v>0</v>
      </c>
      <c r="SU15" s="20" t="n">
        <f aca="false">IF(FR15=1,IF(HU15=1,MY15+NB15,FS15-OY15)*(1+Slot16_Rate),0)</f>
        <v>0</v>
      </c>
      <c r="SV15" s="20" t="n">
        <f aca="false">IF(AND(HU15=1,FR15=1),(MX15+NB15)/F15,0)</f>
        <v>0</v>
      </c>
      <c r="SW15" s="20" t="n">
        <f aca="false">IF(B15=0,MX15+NB15,0)</f>
        <v>0</v>
      </c>
      <c r="SX15" s="20" t="n">
        <f aca="false">IF(B15=0,IF(HU15=1,MZ15,NA15),0)</f>
        <v>0</v>
      </c>
      <c r="SY15" s="20" t="n">
        <f aca="false">IF(GB15=1,IF(HU15=1,NG15+NJ15,GC15-OW15)*(1+Slot17_Rate),0)</f>
        <v>0</v>
      </c>
      <c r="SZ15" s="20" t="n">
        <f aca="false">IF(AND(HU15=1,GB15=1),(NF15+NJ15)/F15,0)</f>
        <v>0</v>
      </c>
      <c r="TA15" s="20" t="n">
        <f aca="false">IF(B15=0,NF15+NJ15,0)</f>
        <v>0</v>
      </c>
      <c r="TB15" s="20" t="n">
        <f aca="false">IF(B15=0,IF(HU15=1,NH15,NI15),0)</f>
        <v>0</v>
      </c>
      <c r="TC15" s="20" t="n">
        <f aca="false">IF(GL15=1,IF(HU15=1,NO15+NR15,GM15-OU15)*(1+Slot18_Rate),0)</f>
        <v>0</v>
      </c>
      <c r="TD15" s="20" t="n">
        <f aca="false">IF(AND(HU15=1,GL15=1),(NN15+NR15)/F15,0)</f>
        <v>0</v>
      </c>
      <c r="TE15" s="20" t="n">
        <f aca="false">IF(B15=0,NN15+NR15,0)</f>
        <v>0</v>
      </c>
      <c r="TF15" s="20" t="n">
        <f aca="false">IF(B15=0,IF(HU15=1,NP15,NQ15),0)</f>
        <v>0</v>
      </c>
      <c r="TG15" s="20" t="n">
        <f aca="false">IF(GV15=1,IF(HU15=1,NW15+NZ15,GW15-OS15)*(1+Slot19_Rate),0)</f>
        <v>0</v>
      </c>
      <c r="TH15" s="20" t="n">
        <f aca="false">IF(AND(HU15=1,GV15=1),(NV15+NZ15)/F15,0)</f>
        <v>0</v>
      </c>
      <c r="TI15" s="20" t="n">
        <f aca="false">IF(B15=0,NV15+NZ15,0)</f>
        <v>0</v>
      </c>
      <c r="TJ15" s="20" t="n">
        <f aca="false">IF(B15=0,IF(HU15=1,NX15,NY15),0)</f>
        <v>0</v>
      </c>
      <c r="TK15" s="20" t="n">
        <f aca="false">IF(HF15=1,IF(HU15=1,OE15+OH15,HG15-OQ15)*(1+Slot20_Rate),0)</f>
        <v>0</v>
      </c>
      <c r="TL15" s="20" t="n">
        <f aca="false">IF(AND(HU15=1,HF15=1),(OD15+OH15)/F15,0)</f>
        <v>0</v>
      </c>
      <c r="TM15" s="20" t="n">
        <f aca="false">IF(B15=0,OD15+OH15,0)</f>
        <v>0</v>
      </c>
      <c r="TN15" s="20" t="n">
        <f aca="false">IF(B15=0,IF(HU15=1,OF15,OG15),0)</f>
        <v>0</v>
      </c>
      <c r="TO15" s="20" t="n">
        <f aca="false">QK15+QL15+QM15+QQ15+QU15+QY15+RC15+RG15+RK15+RO15+RS15+RW15+SA15+SE15+SI15+SM15+SQ15+SU15+SY15+TC15+TG15+TK15</f>
        <v>35521.2627730505</v>
      </c>
      <c r="TP15" s="20" t="n">
        <f aca="false">QE15+HP15</f>
        <v>0</v>
      </c>
      <c r="TQ15" s="20" t="n">
        <f aca="false">I15+S15</f>
        <v>65850.8550442176</v>
      </c>
      <c r="TR15" s="20" t="n">
        <f aca="false">1-G15</f>
        <v>0</v>
      </c>
      <c r="TS15" s="20" t="n">
        <f aca="false">IF(AND(RG_Exists=1,G15=0,C15=1),I15,0)</f>
        <v>0</v>
      </c>
      <c r="TT15" s="20" t="n">
        <f aca="false">IF(AND(RG_Exists=1,G15=0,C15=1),I15-MIN(QE15,I15),0)</f>
        <v>0</v>
      </c>
      <c r="TU15" s="20" t="n">
        <f aca="false">'Plan pay &amp; tax'!AD241</f>
        <v>167008.745207016</v>
      </c>
      <c r="TV15" s="20" t="n">
        <f aca="false">IF(AND(C15=1,QE15&gt;MAX(PR_Short1,TQ15*PR_Short2)),1,0)</f>
        <v>0</v>
      </c>
      <c r="TW15" s="20" t="n">
        <f aca="false">MIN(H15,I15+S15)</f>
        <v>65850.8550442176</v>
      </c>
      <c r="TX15" s="20" t="n">
        <f aca="false">QF15+MAX(0,HQ15-HP15)</f>
        <v>0</v>
      </c>
      <c r="TY15" s="20" t="n">
        <f aca="false">QE15+HP15</f>
        <v>0</v>
      </c>
      <c r="TZ15" s="20" t="n">
        <f aca="false">IF(AND(C15=1,TY15&gt;PR_MinShort),1,0)</f>
        <v>0</v>
      </c>
      <c r="UA15" s="20" t="n">
        <f aca="false">IF(AND(C15=1,TZ15=0,TX15&gt;PR_MinShort),1,0)</f>
        <v>0</v>
      </c>
      <c r="UB15" s="20" t="n">
        <f aca="false">IF(AND(C15=1,QE15&gt;PR_MinShort),1,0)</f>
        <v>0</v>
      </c>
      <c r="UC15" s="20" t="n">
        <f aca="false">IF(AND(C15=1,QF15&gt;1,UJ15=0),1,0)</f>
        <v>0</v>
      </c>
      <c r="UD15" s="20" t="str">
        <f aca="false">IF(C15=0,"",IF(UJ15=1,"Gap to plan for: short "&amp;"€"&amp;TEXT(ROUND(TP15,0),"#,##0"),IF(QF15&gt;1,"Using savings","Comfortable")))</f>
        <v>Comfortable</v>
      </c>
      <c r="UE15" s="20" t="n">
        <f aca="false">IF(AND(INT(D15/10)*10=90,B15&gt;0),80,INT(D15/10)*10)</f>
        <v>40</v>
      </c>
      <c r="UF15" s="20" t="n">
        <f aca="false">IF(B15=0,1,IF(UE15&lt;&gt;UE14,UF14+1,UF14))</f>
        <v>2</v>
      </c>
      <c r="UG15" s="20" t="n">
        <f aca="false">IF(AND(C15=1,G15=1,QE15&gt;MAX(PR_Short1,TQ15*PR_Short2)),1,0)</f>
        <v>0</v>
      </c>
      <c r="UH15" s="20" t="n">
        <f aca="false">TR15*TV15</f>
        <v>0</v>
      </c>
      <c r="UI15" s="20" t="n">
        <f aca="false">IF(AND(V15=1,Slot1_PctLow=1),1,0)+IF(AND(AG15=1,Slot2_PctLow=1),1,0)+IF(AND(AQ15=1,Slot3_PctLow=1),1,0)+IF(AND(BA15=1,Slot4_PctLow=1),1,0)+IF(AND(BK15=1,Slot5_PctLow=1),1,0)+IF(AND(BU15=1,Slot6_PctLow=1),1,0)+IF(AND(CE15=1,Slot7_PctLow=1),1,0)+IF(AND(CO15=1,Slot8_PctLow=1),1,0)+IF(AND(CY15=1,Slot9_PctLow=1),1,0)+IF(AND(DI15=1,Slot10_PctLow=1),1,0)+IF(AND(DS15=1,Slot11_PctLow=1),1,0)+IF(AND(EC15=1,Slot12_PctLow=1),1,0)+IF(AND(EM15=1,Slot13_PctLow=1),1,0)+IF(AND(EW15=1,Slot14_PctLow=1),1,0)+IF(AND(FG15=1,Slot15_PctLow=1),1,0)+IF(AND(FQ15=1,Slot16_PctLow=1),1,0)+IF(AND(GA15=1,Slot17_PctLow=1),1,0)+IF(AND(GK15=1,Slot18_PctLow=1),1,0)+IF(AND(GU15=1,Slot19_PctLow=1),1,0)+IF(AND(HE15=1,Slot20_PctLow=1),1,0)</f>
        <v>0</v>
      </c>
      <c r="UJ15" s="20" t="n">
        <f aca="false">IF(C15=1,IF(OR(TV15=1,UI15&gt;0),1,0),0)</f>
        <v>0</v>
      </c>
    </row>
    <row r="16" customFormat="false" ht="15" hidden="false" customHeight="true" outlineLevel="0" collapsed="false">
      <c r="B16" s="20" t="n">
        <v>8</v>
      </c>
      <c r="C16" s="20" t="n">
        <f aca="false">IF(B16&lt;=F_N,1,0)</f>
        <v>1</v>
      </c>
      <c r="D16" s="20" t="n">
        <f aca="false">'Plan pay &amp; tax'!C242</f>
        <v>46</v>
      </c>
      <c r="E16" s="20" t="str">
        <f aca="false">IF($C16=1,"Income tax "&amp;TEXT(N('Plan pay &amp; tax'!BK242),"#,##0")&amp;"; USC "&amp;TEXT(N('Plan pay &amp; tax'!BM242)+N('Plan pay &amp; tax'!BO242),"#,##0")&amp;"; PRSI "&amp;TEXT(N('Plan pay &amp; tax'!BP242)+N('Plan pay &amp; tax'!BQ242),"#,##0")&amp;". DIRT and exit tax are inside the growth rates here.","")</f>
        <v>Income tax 11,691; USC 1,710; PRSI 4,065. DIRT and exit tax are inside the growth rates here.</v>
      </c>
      <c r="F16" s="44" t="n">
        <f aca="false">'Plan pay &amp; tax'!E242</f>
        <v>1.17165938100227</v>
      </c>
      <c r="G16" s="20" t="n">
        <f aca="false">'Plan pay &amp; tax'!G242</f>
        <v>1</v>
      </c>
      <c r="H16" s="20" t="n">
        <f aca="false">'Plan pay &amp; tax'!BT242-'Plan pay &amp; tax'!BS242-'Plan pay &amp; tax'!R242</f>
        <v>76925.1074066347</v>
      </c>
      <c r="I16" s="20" t="n">
        <f aca="false">IF(G16=1,F_CostsM*12,IF(RG_Exists=1,RG_Amount,F_CostsM*12*AS_RetireSpend))*F16+F_OneOffY*F16</f>
        <v>52724.672145102</v>
      </c>
      <c r="J16" s="20" t="n">
        <f aca="false">HR15</f>
        <v>144621.834984468</v>
      </c>
      <c r="K16" s="20" t="n">
        <f aca="false">IF(J16&gt;1,'Plan debt months'!AC16,0)</f>
        <v>14160</v>
      </c>
      <c r="L16" s="20" t="n">
        <f aca="false">IF(J16&gt;1,'Plan debt months'!AB16,J16)</f>
        <v>135876.528391036</v>
      </c>
      <c r="M16" s="20" t="n">
        <f aca="false">O15</f>
        <v>0</v>
      </c>
      <c r="N16" s="20" t="n">
        <f aca="false">IF(M16&gt;1,'Plan debt months'!BD16,0)</f>
        <v>0</v>
      </c>
      <c r="O16" s="20" t="n">
        <f aca="false">IF(M16&gt;1,'Plan debt months'!BC16,M16)</f>
        <v>0</v>
      </c>
      <c r="P16" s="20" t="n">
        <f aca="false">R15</f>
        <v>0</v>
      </c>
      <c r="Q16" s="20" t="n">
        <f aca="false">IF(P16&gt;1,'Plan debt months'!CE16,0)</f>
        <v>0</v>
      </c>
      <c r="R16" s="20" t="n">
        <f aca="false">IF(P16&gt;1,'Plan debt months'!CD16,P16)</f>
        <v>0</v>
      </c>
      <c r="S16" s="20" t="n">
        <f aca="false">K16+N16+Q16</f>
        <v>14160</v>
      </c>
      <c r="T16" s="20" t="n">
        <f aca="false">QK15+'Plan pay &amp; tax'!Y242</f>
        <v>0</v>
      </c>
      <c r="U16" s="20" t="n">
        <f aca="false">QK15</f>
        <v>0</v>
      </c>
      <c r="V16" s="20" t="n">
        <f aca="false">IF(AND(Slot1_On=1,D16=Slot1_Age),1,0)</f>
        <v>0</v>
      </c>
      <c r="W16" s="20" t="n">
        <f aca="false">IF(AND(Slot1_On=1,Slot1_Age&gt;D16),1,0)</f>
        <v>0</v>
      </c>
      <c r="X16" s="20" t="n">
        <f aca="false">QM15</f>
        <v>0</v>
      </c>
      <c r="Y16" s="20" t="n">
        <f aca="false">V16*MIN(Slot1_Cost,X16)</f>
        <v>0</v>
      </c>
      <c r="Z16" s="20" t="n">
        <f aca="false">V16*Slot1_SpendLike*MIN(Slot1_Cost-Y16,T16)</f>
        <v>0</v>
      </c>
      <c r="AA16" s="20" t="n">
        <f aca="false">Y16+Z16</f>
        <v>0</v>
      </c>
      <c r="AB16" s="20" t="n">
        <f aca="false">T16-Z16+V16*IF(Slot1_SpendLike=1,X16-Y16,IF(Slot1_PotFree=1,X16,0))</f>
        <v>0</v>
      </c>
      <c r="AC16" s="20" t="n">
        <f aca="false">AF16+V16*Slot1_BufPot*X16</f>
        <v>16566.0834702792</v>
      </c>
      <c r="AD16" s="20" t="n">
        <f aca="false">IF(AND(V16=1,Slot1_IsMfree=1),IF(AA16&gt;=Slot1_Cost-1,0,MAX(0,L16-AA16)),L16)</f>
        <v>135876.528391036</v>
      </c>
      <c r="AE16" s="20" t="n">
        <f aca="false">V16*(Slot1_Cost-AA16)</f>
        <v>0</v>
      </c>
      <c r="AF16" s="20" t="n">
        <f aca="false">QL15</f>
        <v>16566.0834702792</v>
      </c>
      <c r="AG16" s="20" t="n">
        <f aca="false">IF(AND(Slot2_On=1,D16=Slot2_Age),1,0)</f>
        <v>0</v>
      </c>
      <c r="AH16" s="20" t="n">
        <f aca="false">IF(AND(Slot2_On=1,Slot2_Age&gt;D16),1,0)</f>
        <v>0</v>
      </c>
      <c r="AI16" s="20" t="n">
        <f aca="false">QQ15</f>
        <v>0</v>
      </c>
      <c r="AJ16" s="20" t="n">
        <f aca="false">AG16*MIN(Slot2_Cost,AI16)</f>
        <v>0</v>
      </c>
      <c r="AK16" s="20" t="n">
        <f aca="false">AG16*Slot2_SpendLike*MIN(Slot2_Cost-AJ16,AB16)</f>
        <v>0</v>
      </c>
      <c r="AL16" s="20" t="n">
        <f aca="false">AJ16+AK16</f>
        <v>0</v>
      </c>
      <c r="AM16" s="20" t="n">
        <f aca="false">AB16-AK16+AG16*IF(Slot2_SpendLike=1,AI16-AJ16,IF(Slot2_PotFree=1,AI16,0))</f>
        <v>0</v>
      </c>
      <c r="AN16" s="20" t="n">
        <f aca="false">AC16+AG16*Slot2_BufPot*AI16</f>
        <v>16566.0834702792</v>
      </c>
      <c r="AO16" s="20" t="n">
        <f aca="false">IF(AND(AG16=1,Slot2_IsMfree=1),IF(AL16&gt;=Slot2_Cost-1,0,MAX(0,AD16-AL16)),AD16)</f>
        <v>135876.528391036</v>
      </c>
      <c r="AP16" s="20" t="n">
        <f aca="false">AG16*(Slot2_Cost-AL16)</f>
        <v>0</v>
      </c>
      <c r="AQ16" s="20" t="n">
        <f aca="false">IF(AND(Slot3_On=1,D16=Slot3_Age),1,0)</f>
        <v>0</v>
      </c>
      <c r="AR16" s="20" t="n">
        <f aca="false">IF(AND(Slot3_On=1,Slot3_Age&gt;D16),1,0)</f>
        <v>1</v>
      </c>
      <c r="AS16" s="20" t="n">
        <f aca="false">QU15</f>
        <v>18955.1793027713</v>
      </c>
      <c r="AT16" s="20" t="n">
        <f aca="false">AQ16*MIN(Slot3_Cost,AS16)</f>
        <v>0</v>
      </c>
      <c r="AU16" s="20" t="n">
        <f aca="false">AQ16*Slot3_SpendLike*MIN(Slot3_Cost-AT16,AM16)</f>
        <v>0</v>
      </c>
      <c r="AV16" s="20" t="n">
        <f aca="false">AT16+AU16</f>
        <v>0</v>
      </c>
      <c r="AW16" s="20" t="n">
        <f aca="false">AM16-AU16+AQ16*IF(Slot3_SpendLike=1,AS16-AT16,IF(Slot3_PotFree=1,AS16,0))</f>
        <v>0</v>
      </c>
      <c r="AX16" s="20" t="n">
        <f aca="false">AN16+AQ16*Slot3_BufPot*AS16</f>
        <v>16566.0834702792</v>
      </c>
      <c r="AY16" s="20" t="n">
        <f aca="false">IF(AND(AQ16=1,Slot3_IsMfree=1),IF(AV16&gt;=Slot3_Cost-1,0,MAX(0,AO16-AV16)),AO16)</f>
        <v>135876.528391036</v>
      </c>
      <c r="AZ16" s="20" t="n">
        <f aca="false">AQ16*(Slot3_Cost-AV16)</f>
        <v>0</v>
      </c>
      <c r="BA16" s="20" t="n">
        <f aca="false">IF(AND(Slot4_On=1,D16=Slot4_Age),1,0)</f>
        <v>0</v>
      </c>
      <c r="BB16" s="20" t="n">
        <f aca="false">IF(AND(Slot4_On=1,Slot4_Age&gt;D16),1,0)</f>
        <v>1</v>
      </c>
      <c r="BC16" s="20" t="n">
        <f aca="false">QY15</f>
        <v>0</v>
      </c>
      <c r="BD16" s="20" t="n">
        <f aca="false">BA16*MIN(Slot4_Cost,BC16)</f>
        <v>0</v>
      </c>
      <c r="BE16" s="20" t="n">
        <f aca="false">BA16*Slot4_SpendLike*MIN(Slot4_Cost-BD16,AW16)</f>
        <v>0</v>
      </c>
      <c r="BF16" s="20" t="n">
        <f aca="false">BD16+BE16</f>
        <v>0</v>
      </c>
      <c r="BG16" s="20" t="n">
        <f aca="false">AW16-BE16+BA16*IF(Slot4_SpendLike=1,BC16-BD16,IF(Slot4_PotFree=1,BC16,0))</f>
        <v>0</v>
      </c>
      <c r="BH16" s="20" t="n">
        <f aca="false">AX16+BA16*Slot4_BufPot*BC16</f>
        <v>16566.0834702792</v>
      </c>
      <c r="BI16" s="20" t="n">
        <f aca="false">IF(AND(BA16=1,Slot4_IsMfree=1),IF(BF16&gt;=Slot4_Cost-1,0,MAX(0,AY16-BF16)),AY16)</f>
        <v>135876.528391036</v>
      </c>
      <c r="BJ16" s="20" t="n">
        <f aca="false">BA16*(Slot4_Cost-BF16)</f>
        <v>0</v>
      </c>
      <c r="BK16" s="20" t="n">
        <f aca="false">IF(AND(Slot5_On=1,D16=Slot5_Age),1,0)</f>
        <v>0</v>
      </c>
      <c r="BL16" s="20" t="n">
        <f aca="false">IF(AND(Slot5_On=1,Slot5_Age&gt;D16),1,0)</f>
        <v>0</v>
      </c>
      <c r="BM16" s="20" t="n">
        <f aca="false">RC15</f>
        <v>0</v>
      </c>
      <c r="BN16" s="20" t="n">
        <f aca="false">BK16*MIN(Slot5_Cost,BM16)</f>
        <v>0</v>
      </c>
      <c r="BO16" s="20" t="n">
        <f aca="false">BK16*Slot5_SpendLike*MIN(Slot5_Cost-BN16,BG16)</f>
        <v>0</v>
      </c>
      <c r="BP16" s="20" t="n">
        <f aca="false">BN16+BO16</f>
        <v>0</v>
      </c>
      <c r="BQ16" s="20" t="n">
        <f aca="false">BG16-BO16+BK16*IF(Slot5_SpendLike=1,BM16-BN16,IF(Slot5_PotFree=1,BM16,0))</f>
        <v>0</v>
      </c>
      <c r="BR16" s="20" t="n">
        <f aca="false">BH16+BK16*Slot5_BufPot*BM16</f>
        <v>16566.0834702792</v>
      </c>
      <c r="BS16" s="20" t="n">
        <f aca="false">IF(AND(BK16=1,Slot5_IsMfree=1),IF(BP16&gt;=Slot5_Cost-1,0,MAX(0,BI16-BP16)),BI16)</f>
        <v>135876.528391036</v>
      </c>
      <c r="BT16" s="20" t="n">
        <f aca="false">BK16*(Slot5_Cost-BP16)</f>
        <v>0</v>
      </c>
      <c r="BU16" s="20" t="n">
        <f aca="false">IF(AND(Slot6_On=1,D16=Slot6_Age),1,0)</f>
        <v>0</v>
      </c>
      <c r="BV16" s="20" t="n">
        <f aca="false">IF(AND(Slot6_On=1,Slot6_Age&gt;D16),1,0)</f>
        <v>0</v>
      </c>
      <c r="BW16" s="20" t="n">
        <f aca="false">RG15</f>
        <v>0</v>
      </c>
      <c r="BX16" s="20" t="n">
        <f aca="false">BU16*MIN(Slot6_Cost,BW16)</f>
        <v>0</v>
      </c>
      <c r="BY16" s="20" t="n">
        <f aca="false">BU16*Slot6_SpendLike*MIN(Slot6_Cost-BX16,BQ16)</f>
        <v>0</v>
      </c>
      <c r="BZ16" s="20" t="n">
        <f aca="false">BX16+BY16</f>
        <v>0</v>
      </c>
      <c r="CA16" s="20" t="n">
        <f aca="false">BQ16-BY16+BU16*IF(Slot6_SpendLike=1,BW16-BX16,IF(Slot6_PotFree=1,BW16,0))</f>
        <v>0</v>
      </c>
      <c r="CB16" s="20" t="n">
        <f aca="false">BR16+BU16*Slot6_BufPot*BW16</f>
        <v>16566.0834702792</v>
      </c>
      <c r="CC16" s="20" t="n">
        <f aca="false">IF(AND(BU16=1,Slot6_IsMfree=1),IF(BZ16&gt;=Slot6_Cost-1,0,MAX(0,BS16-BZ16)),BS16)</f>
        <v>135876.528391036</v>
      </c>
      <c r="CD16" s="20" t="n">
        <f aca="false">BU16*(Slot6_Cost-BZ16)</f>
        <v>0</v>
      </c>
      <c r="CE16" s="20" t="n">
        <f aca="false">IF(AND(Slot7_On=1,D16=Slot7_Age),1,0)</f>
        <v>0</v>
      </c>
      <c r="CF16" s="20" t="n">
        <f aca="false">IF(AND(Slot7_On=1,Slot7_Age&gt;D16),1,0)</f>
        <v>0</v>
      </c>
      <c r="CG16" s="20" t="n">
        <f aca="false">RK15</f>
        <v>0</v>
      </c>
      <c r="CH16" s="20" t="n">
        <f aca="false">CE16*MIN(Slot7_Cost,CG16)</f>
        <v>0</v>
      </c>
      <c r="CI16" s="20" t="n">
        <f aca="false">CE16*Slot7_SpendLike*MIN(Slot7_Cost-CH16,CA16)</f>
        <v>0</v>
      </c>
      <c r="CJ16" s="20" t="n">
        <f aca="false">CH16+CI16</f>
        <v>0</v>
      </c>
      <c r="CK16" s="20" t="n">
        <f aca="false">CA16-CI16+CE16*IF(Slot7_SpendLike=1,CG16-CH16,IF(Slot7_PotFree=1,CG16,0))</f>
        <v>0</v>
      </c>
      <c r="CL16" s="20" t="n">
        <f aca="false">CB16+CE16*Slot7_BufPot*CG16</f>
        <v>16566.0834702792</v>
      </c>
      <c r="CM16" s="20" t="n">
        <f aca="false">IF(AND(CE16=1,Slot7_IsMfree=1),IF(CJ16&gt;=Slot7_Cost-1,0,MAX(0,CC16-CJ16)),CC16)</f>
        <v>135876.528391036</v>
      </c>
      <c r="CN16" s="20" t="n">
        <f aca="false">CE16*(Slot7_Cost-CJ16)</f>
        <v>0</v>
      </c>
      <c r="CO16" s="20" t="n">
        <f aca="false">IF(AND(Slot8_On=1,D16=Slot8_Age),1,0)</f>
        <v>0</v>
      </c>
      <c r="CP16" s="20" t="n">
        <f aca="false">IF(AND(Slot8_On=1,Slot8_Age&gt;D16),1,0)</f>
        <v>0</v>
      </c>
      <c r="CQ16" s="20" t="n">
        <f aca="false">RO15</f>
        <v>0</v>
      </c>
      <c r="CR16" s="20" t="n">
        <f aca="false">CO16*MIN(Slot8_Cost,CQ16)</f>
        <v>0</v>
      </c>
      <c r="CS16" s="20" t="n">
        <f aca="false">CO16*Slot8_SpendLike*MIN(Slot8_Cost-CR16,CK16)</f>
        <v>0</v>
      </c>
      <c r="CT16" s="20" t="n">
        <f aca="false">CR16+CS16</f>
        <v>0</v>
      </c>
      <c r="CU16" s="20" t="n">
        <f aca="false">CK16-CS16+CO16*IF(Slot8_SpendLike=1,CQ16-CR16,IF(Slot8_PotFree=1,CQ16,0))</f>
        <v>0</v>
      </c>
      <c r="CV16" s="20" t="n">
        <f aca="false">CL16+CO16*Slot8_BufPot*CQ16</f>
        <v>16566.0834702792</v>
      </c>
      <c r="CW16" s="20" t="n">
        <f aca="false">IF(AND(CO16=1,Slot8_IsMfree=1),IF(CT16&gt;=Slot8_Cost-1,0,MAX(0,CM16-CT16)),CM16)</f>
        <v>135876.528391036</v>
      </c>
      <c r="CX16" s="20" t="n">
        <f aca="false">CO16*(Slot8_Cost-CT16)</f>
        <v>0</v>
      </c>
      <c r="CY16" s="20" t="n">
        <f aca="false">IF(AND(Slot9_On=1,D16=Slot9_Age),1,0)</f>
        <v>0</v>
      </c>
      <c r="CZ16" s="20" t="n">
        <f aca="false">IF(AND(Slot9_On=1,Slot9_Age&gt;D16),1,0)</f>
        <v>0</v>
      </c>
      <c r="DA16" s="20" t="n">
        <f aca="false">RS15</f>
        <v>0</v>
      </c>
      <c r="DB16" s="20" t="n">
        <f aca="false">CY16*MIN(Slot9_Cost,DA16)</f>
        <v>0</v>
      </c>
      <c r="DC16" s="20" t="n">
        <f aca="false">CY16*Slot9_SpendLike*MIN(Slot9_Cost-DB16,CU16)</f>
        <v>0</v>
      </c>
      <c r="DD16" s="20" t="n">
        <f aca="false">DB16+DC16</f>
        <v>0</v>
      </c>
      <c r="DE16" s="20" t="n">
        <f aca="false">CU16-DC16+CY16*IF(Slot9_SpendLike=1,DA16-DB16,IF(Slot9_PotFree=1,DA16,0))</f>
        <v>0</v>
      </c>
      <c r="DF16" s="20" t="n">
        <f aca="false">CV16+CY16*Slot9_BufPot*DA16</f>
        <v>16566.0834702792</v>
      </c>
      <c r="DG16" s="20" t="n">
        <f aca="false">IF(AND(CY16=1,Slot9_IsMfree=1),IF(DD16&gt;=Slot9_Cost-1,0,MAX(0,CW16-DD16)),CW16)</f>
        <v>135876.528391036</v>
      </c>
      <c r="DH16" s="20" t="n">
        <f aca="false">CY16*(Slot9_Cost-DD16)</f>
        <v>0</v>
      </c>
      <c r="DI16" s="20" t="n">
        <f aca="false">IF(AND(Slot10_On=1,D16=Slot10_Age),1,0)</f>
        <v>0</v>
      </c>
      <c r="DJ16" s="20" t="n">
        <f aca="false">IF(AND(Slot10_On=1,Slot10_Age&gt;D16),1,0)</f>
        <v>0</v>
      </c>
      <c r="DK16" s="20" t="n">
        <f aca="false">RW15</f>
        <v>0</v>
      </c>
      <c r="DL16" s="20" t="n">
        <f aca="false">DI16*MIN(Slot10_Cost,DK16)</f>
        <v>0</v>
      </c>
      <c r="DM16" s="20" t="n">
        <f aca="false">DI16*Slot10_SpendLike*MIN(Slot10_Cost-DL16,DE16)</f>
        <v>0</v>
      </c>
      <c r="DN16" s="20" t="n">
        <f aca="false">DL16+DM16</f>
        <v>0</v>
      </c>
      <c r="DO16" s="20" t="n">
        <f aca="false">DE16-DM16+DI16*IF(Slot10_SpendLike=1,DK16-DL16,IF(Slot10_PotFree=1,DK16,0))</f>
        <v>0</v>
      </c>
      <c r="DP16" s="20" t="n">
        <f aca="false">DF16+DI16*Slot10_BufPot*DK16</f>
        <v>16566.0834702792</v>
      </c>
      <c r="DQ16" s="20" t="n">
        <f aca="false">IF(AND(DI16=1,Slot10_IsMfree=1),IF(DN16&gt;=Slot10_Cost-1,0,MAX(0,DG16-DN16)),DG16)</f>
        <v>135876.528391036</v>
      </c>
      <c r="DR16" s="20" t="n">
        <f aca="false">DI16*(Slot10_Cost-DN16)</f>
        <v>0</v>
      </c>
      <c r="DS16" s="20" t="n">
        <f aca="false">IF(AND(Slot11_On=1,D16=Slot11_Age),1,0)</f>
        <v>0</v>
      </c>
      <c r="DT16" s="20" t="n">
        <f aca="false">IF(AND(Slot11_On=1,Slot11_Age&gt;D16),1,0)</f>
        <v>0</v>
      </c>
      <c r="DU16" s="20" t="n">
        <f aca="false">SA15</f>
        <v>0</v>
      </c>
      <c r="DV16" s="20" t="n">
        <f aca="false">DS16*MIN(Slot11_Cost,DU16)</f>
        <v>0</v>
      </c>
      <c r="DW16" s="20" t="n">
        <f aca="false">DS16*Slot11_SpendLike*MIN(Slot11_Cost-DV16,DO16)</f>
        <v>0</v>
      </c>
      <c r="DX16" s="20" t="n">
        <f aca="false">DV16+DW16</f>
        <v>0</v>
      </c>
      <c r="DY16" s="20" t="n">
        <f aca="false">DO16-DW16+DS16*IF(Slot11_SpendLike=1,DU16-DV16,IF(Slot11_PotFree=1,DU16,0))</f>
        <v>0</v>
      </c>
      <c r="DZ16" s="20" t="n">
        <f aca="false">DP16+DS16*Slot11_BufPot*DU16</f>
        <v>16566.0834702792</v>
      </c>
      <c r="EA16" s="20" t="n">
        <f aca="false">IF(AND(DS16=1,Slot11_IsMfree=1),IF(DX16&gt;=Slot11_Cost-1,0,MAX(0,DQ16-DX16)),DQ16)</f>
        <v>135876.528391036</v>
      </c>
      <c r="EB16" s="20" t="n">
        <f aca="false">DS16*(Slot11_Cost-DX16)</f>
        <v>0</v>
      </c>
      <c r="EC16" s="20" t="n">
        <f aca="false">IF(AND(Slot12_On=1,D16=Slot12_Age),1,0)</f>
        <v>0</v>
      </c>
      <c r="ED16" s="20" t="n">
        <f aca="false">IF(AND(Slot12_On=1,Slot12_Age&gt;D16),1,0)</f>
        <v>0</v>
      </c>
      <c r="EE16" s="20" t="n">
        <f aca="false">SE15</f>
        <v>0</v>
      </c>
      <c r="EF16" s="20" t="n">
        <f aca="false">EC16*MIN(Slot12_Cost,EE16)</f>
        <v>0</v>
      </c>
      <c r="EG16" s="20" t="n">
        <f aca="false">EC16*Slot12_SpendLike*MIN(Slot12_Cost-EF16,DY16)</f>
        <v>0</v>
      </c>
      <c r="EH16" s="20" t="n">
        <f aca="false">EF16+EG16</f>
        <v>0</v>
      </c>
      <c r="EI16" s="20" t="n">
        <f aca="false">DY16-EG16+EC16*IF(Slot12_SpendLike=1,EE16-EF16,IF(Slot12_PotFree=1,EE16,0))</f>
        <v>0</v>
      </c>
      <c r="EJ16" s="20" t="n">
        <f aca="false">DZ16+EC16*Slot12_BufPot*EE16</f>
        <v>16566.0834702792</v>
      </c>
      <c r="EK16" s="20" t="n">
        <f aca="false">IF(AND(EC16=1,Slot12_IsMfree=1),IF(EH16&gt;=Slot12_Cost-1,0,MAX(0,EA16-EH16)),EA16)</f>
        <v>135876.528391036</v>
      </c>
      <c r="EL16" s="20" t="n">
        <f aca="false">EC16*(Slot12_Cost-EH16)</f>
        <v>0</v>
      </c>
      <c r="EM16" s="20" t="n">
        <f aca="false">IF(AND(Slot13_On=1,D16=Slot13_Age),1,0)</f>
        <v>0</v>
      </c>
      <c r="EN16" s="20" t="n">
        <f aca="false">IF(AND(Slot13_On=1,Slot13_Age&gt;D16),1,0)</f>
        <v>0</v>
      </c>
      <c r="EO16" s="20" t="n">
        <f aca="false">SI15</f>
        <v>0</v>
      </c>
      <c r="EP16" s="20" t="n">
        <f aca="false">EM16*MIN(Slot13_Cost,EO16)</f>
        <v>0</v>
      </c>
      <c r="EQ16" s="20" t="n">
        <f aca="false">EM16*Slot13_SpendLike*MIN(Slot13_Cost-EP16,EI16)</f>
        <v>0</v>
      </c>
      <c r="ER16" s="20" t="n">
        <f aca="false">EP16+EQ16</f>
        <v>0</v>
      </c>
      <c r="ES16" s="20" t="n">
        <f aca="false">EI16-EQ16+EM16*IF(Slot13_SpendLike=1,EO16-EP16,IF(Slot13_PotFree=1,EO16,0))</f>
        <v>0</v>
      </c>
      <c r="ET16" s="20" t="n">
        <f aca="false">EJ16+EM16*Slot13_BufPot*EO16</f>
        <v>16566.0834702792</v>
      </c>
      <c r="EU16" s="20" t="n">
        <f aca="false">IF(AND(EM16=1,Slot13_IsMfree=1),IF(ER16&gt;=Slot13_Cost-1,0,MAX(0,EK16-ER16)),EK16)</f>
        <v>135876.528391036</v>
      </c>
      <c r="EV16" s="20" t="n">
        <f aca="false">EM16*(Slot13_Cost-ER16)</f>
        <v>0</v>
      </c>
      <c r="EW16" s="20" t="n">
        <f aca="false">IF(AND(Slot14_On=1,D16=Slot14_Age),1,0)</f>
        <v>0</v>
      </c>
      <c r="EX16" s="20" t="n">
        <f aca="false">IF(AND(Slot14_On=1,Slot14_Age&gt;D16),1,0)</f>
        <v>0</v>
      </c>
      <c r="EY16" s="20" t="n">
        <f aca="false">SM15</f>
        <v>0</v>
      </c>
      <c r="EZ16" s="20" t="n">
        <f aca="false">EW16*MIN(Slot14_Cost,EY16)</f>
        <v>0</v>
      </c>
      <c r="FA16" s="20" t="n">
        <f aca="false">EW16*Slot14_SpendLike*MIN(Slot14_Cost-EZ16,ES16)</f>
        <v>0</v>
      </c>
      <c r="FB16" s="20" t="n">
        <f aca="false">EZ16+FA16</f>
        <v>0</v>
      </c>
      <c r="FC16" s="20" t="n">
        <f aca="false">ES16-FA16+EW16*IF(Slot14_SpendLike=1,EY16-EZ16,IF(Slot14_PotFree=1,EY16,0))</f>
        <v>0</v>
      </c>
      <c r="FD16" s="20" t="n">
        <f aca="false">ET16+EW16*Slot14_BufPot*EY16</f>
        <v>16566.0834702792</v>
      </c>
      <c r="FE16" s="20" t="n">
        <f aca="false">IF(AND(EW16=1,Slot14_IsMfree=1),IF(FB16&gt;=Slot14_Cost-1,0,MAX(0,EU16-FB16)),EU16)</f>
        <v>135876.528391036</v>
      </c>
      <c r="FF16" s="20" t="n">
        <f aca="false">EW16*(Slot14_Cost-FB16)</f>
        <v>0</v>
      </c>
      <c r="FG16" s="20" t="n">
        <f aca="false">IF(AND(Slot15_On=1,D16=Slot15_Age),1,0)</f>
        <v>0</v>
      </c>
      <c r="FH16" s="20" t="n">
        <f aca="false">IF(AND(Slot15_On=1,Slot15_Age&gt;D16),1,0)</f>
        <v>0</v>
      </c>
      <c r="FI16" s="20" t="n">
        <f aca="false">SQ15</f>
        <v>0</v>
      </c>
      <c r="FJ16" s="20" t="n">
        <f aca="false">FG16*MIN(Slot15_Cost,FI16)</f>
        <v>0</v>
      </c>
      <c r="FK16" s="20" t="n">
        <f aca="false">FG16*Slot15_SpendLike*MIN(Slot15_Cost-FJ16,FC16)</f>
        <v>0</v>
      </c>
      <c r="FL16" s="20" t="n">
        <f aca="false">FJ16+FK16</f>
        <v>0</v>
      </c>
      <c r="FM16" s="20" t="n">
        <f aca="false">FC16-FK16+FG16*IF(Slot15_SpendLike=1,FI16-FJ16,IF(Slot15_PotFree=1,FI16,0))</f>
        <v>0</v>
      </c>
      <c r="FN16" s="20" t="n">
        <f aca="false">FD16+FG16*Slot15_BufPot*FI16</f>
        <v>16566.0834702792</v>
      </c>
      <c r="FO16" s="20" t="n">
        <f aca="false">IF(AND(FG16=1,Slot15_IsMfree=1),IF(FL16&gt;=Slot15_Cost-1,0,MAX(0,FE16-FL16)),FE16)</f>
        <v>135876.528391036</v>
      </c>
      <c r="FP16" s="20" t="n">
        <f aca="false">FG16*(Slot15_Cost-FL16)</f>
        <v>0</v>
      </c>
      <c r="FQ16" s="20" t="n">
        <f aca="false">IF(AND(Slot16_On=1,D16=Slot16_Age),1,0)</f>
        <v>0</v>
      </c>
      <c r="FR16" s="20" t="n">
        <f aca="false">IF(AND(Slot16_On=1,Slot16_Age&gt;D16),1,0)</f>
        <v>0</v>
      </c>
      <c r="FS16" s="20" t="n">
        <f aca="false">SU15</f>
        <v>0</v>
      </c>
      <c r="FT16" s="20" t="n">
        <f aca="false">FQ16*MIN(Slot16_Cost,FS16)</f>
        <v>0</v>
      </c>
      <c r="FU16" s="20" t="n">
        <f aca="false">FQ16*Slot16_SpendLike*MIN(Slot16_Cost-FT16,FM16)</f>
        <v>0</v>
      </c>
      <c r="FV16" s="20" t="n">
        <f aca="false">FT16+FU16</f>
        <v>0</v>
      </c>
      <c r="FW16" s="20" t="n">
        <f aca="false">FM16-FU16+FQ16*IF(Slot16_SpendLike=1,FS16-FT16,IF(Slot16_PotFree=1,FS16,0))</f>
        <v>0</v>
      </c>
      <c r="FX16" s="20" t="n">
        <f aca="false">FN16+FQ16*Slot16_BufPot*FS16</f>
        <v>16566.0834702792</v>
      </c>
      <c r="FY16" s="20" t="n">
        <f aca="false">IF(AND(FQ16=1,Slot16_IsMfree=1),IF(FV16&gt;=Slot16_Cost-1,0,MAX(0,FO16-FV16)),FO16)</f>
        <v>135876.528391036</v>
      </c>
      <c r="FZ16" s="20" t="n">
        <f aca="false">FQ16*(Slot16_Cost-FV16)</f>
        <v>0</v>
      </c>
      <c r="GA16" s="20" t="n">
        <f aca="false">IF(AND(Slot17_On=1,D16=Slot17_Age),1,0)</f>
        <v>0</v>
      </c>
      <c r="GB16" s="20" t="n">
        <f aca="false">IF(AND(Slot17_On=1,Slot17_Age&gt;D16),1,0)</f>
        <v>0</v>
      </c>
      <c r="GC16" s="20" t="n">
        <f aca="false">SY15</f>
        <v>0</v>
      </c>
      <c r="GD16" s="20" t="n">
        <f aca="false">GA16*MIN(Slot17_Cost,GC16)</f>
        <v>0</v>
      </c>
      <c r="GE16" s="20" t="n">
        <f aca="false">GA16*Slot17_SpendLike*MIN(Slot17_Cost-GD16,FW16)</f>
        <v>0</v>
      </c>
      <c r="GF16" s="20" t="n">
        <f aca="false">GD16+GE16</f>
        <v>0</v>
      </c>
      <c r="GG16" s="20" t="n">
        <f aca="false">FW16-GE16+GA16*IF(Slot17_SpendLike=1,GC16-GD16,IF(Slot17_PotFree=1,GC16,0))</f>
        <v>0</v>
      </c>
      <c r="GH16" s="20" t="n">
        <f aca="false">FX16+GA16*Slot17_BufPot*GC16</f>
        <v>16566.0834702792</v>
      </c>
      <c r="GI16" s="20" t="n">
        <f aca="false">IF(AND(GA16=1,Slot17_IsMfree=1),IF(GF16&gt;=Slot17_Cost-1,0,MAX(0,FY16-GF16)),FY16)</f>
        <v>135876.528391036</v>
      </c>
      <c r="GJ16" s="20" t="n">
        <f aca="false">GA16*(Slot17_Cost-GF16)</f>
        <v>0</v>
      </c>
      <c r="GK16" s="20" t="n">
        <f aca="false">IF(AND(Slot18_On=1,D16=Slot18_Age),1,0)</f>
        <v>0</v>
      </c>
      <c r="GL16" s="20" t="n">
        <f aca="false">IF(AND(Slot18_On=1,Slot18_Age&gt;D16),1,0)</f>
        <v>0</v>
      </c>
      <c r="GM16" s="20" t="n">
        <f aca="false">TC15</f>
        <v>0</v>
      </c>
      <c r="GN16" s="20" t="n">
        <f aca="false">GK16*MIN(Slot18_Cost,GM16)</f>
        <v>0</v>
      </c>
      <c r="GO16" s="20" t="n">
        <f aca="false">GK16*Slot18_SpendLike*MIN(Slot18_Cost-GN16,GG16)</f>
        <v>0</v>
      </c>
      <c r="GP16" s="20" t="n">
        <f aca="false">GN16+GO16</f>
        <v>0</v>
      </c>
      <c r="GQ16" s="20" t="n">
        <f aca="false">GG16-GO16+GK16*IF(Slot18_SpendLike=1,GM16-GN16,IF(Slot18_PotFree=1,GM16,0))</f>
        <v>0</v>
      </c>
      <c r="GR16" s="20" t="n">
        <f aca="false">GH16+GK16*Slot18_BufPot*GM16</f>
        <v>16566.0834702792</v>
      </c>
      <c r="GS16" s="20" t="n">
        <f aca="false">IF(AND(GK16=1,Slot18_IsMfree=1),IF(GP16&gt;=Slot18_Cost-1,0,MAX(0,GI16-GP16)),GI16)</f>
        <v>135876.528391036</v>
      </c>
      <c r="GT16" s="20" t="n">
        <f aca="false">GK16*(Slot18_Cost-GP16)</f>
        <v>0</v>
      </c>
      <c r="GU16" s="20" t="n">
        <f aca="false">IF(AND(Slot19_On=1,D16=Slot19_Age),1,0)</f>
        <v>0</v>
      </c>
      <c r="GV16" s="20" t="n">
        <f aca="false">IF(AND(Slot19_On=1,Slot19_Age&gt;D16),1,0)</f>
        <v>0</v>
      </c>
      <c r="GW16" s="20" t="n">
        <f aca="false">TG15</f>
        <v>0</v>
      </c>
      <c r="GX16" s="20" t="n">
        <f aca="false">GU16*MIN(Slot19_Cost,GW16)</f>
        <v>0</v>
      </c>
      <c r="GY16" s="20" t="n">
        <f aca="false">GU16*Slot19_SpendLike*MIN(Slot19_Cost-GX16,GQ16)</f>
        <v>0</v>
      </c>
      <c r="GZ16" s="20" t="n">
        <f aca="false">GX16+GY16</f>
        <v>0</v>
      </c>
      <c r="HA16" s="20" t="n">
        <f aca="false">GQ16-GY16+GU16*IF(Slot19_SpendLike=1,GW16-GX16,IF(Slot19_PotFree=1,GW16,0))</f>
        <v>0</v>
      </c>
      <c r="HB16" s="20" t="n">
        <f aca="false">GR16+GU16*Slot19_BufPot*GW16</f>
        <v>16566.0834702792</v>
      </c>
      <c r="HC16" s="20" t="n">
        <f aca="false">IF(AND(GU16=1,Slot19_IsMfree=1),IF(GZ16&gt;=Slot19_Cost-1,0,MAX(0,GS16-GZ16)),GS16)</f>
        <v>135876.528391036</v>
      </c>
      <c r="HD16" s="20" t="n">
        <f aca="false">GU16*(Slot19_Cost-GZ16)</f>
        <v>0</v>
      </c>
      <c r="HE16" s="20" t="n">
        <f aca="false">IF(AND(Slot20_On=1,D16=Slot20_Age),1,0)</f>
        <v>0</v>
      </c>
      <c r="HF16" s="20" t="n">
        <f aca="false">IF(AND(Slot20_On=1,Slot20_Age&gt;D16),1,0)</f>
        <v>0</v>
      </c>
      <c r="HG16" s="20" t="n">
        <f aca="false">TK15</f>
        <v>0</v>
      </c>
      <c r="HH16" s="20" t="n">
        <f aca="false">HE16*MIN(Slot20_Cost,HG16)</f>
        <v>0</v>
      </c>
      <c r="HI16" s="20" t="n">
        <f aca="false">HE16*Slot20_SpendLike*MIN(Slot20_Cost-HH16,HA16)</f>
        <v>0</v>
      </c>
      <c r="HJ16" s="20" t="n">
        <f aca="false">HH16+HI16</f>
        <v>0</v>
      </c>
      <c r="HK16" s="20" t="n">
        <f aca="false">HA16-HI16+HE16*IF(Slot20_SpendLike=1,HG16-HH16,IF(Slot20_PotFree=1,HG16,0))</f>
        <v>0</v>
      </c>
      <c r="HL16" s="20" t="n">
        <f aca="false">HB16+HE16*Slot20_BufPot*HG16</f>
        <v>16566.0834702792</v>
      </c>
      <c r="HM16" s="20" t="n">
        <f aca="false">IF(AND(HE16=1,Slot20_IsMfree=1),IF(HJ16&gt;=Slot20_Cost-1,0,MAX(0,HC16-HJ16)),HC16)</f>
        <v>135876.528391036</v>
      </c>
      <c r="HN16" s="20" t="n">
        <f aca="false">HE16*(Slot20_Cost-HJ16)</f>
        <v>0</v>
      </c>
      <c r="HO16" s="20" t="n">
        <f aca="false">V16*Slot1_SpendLike*AA16+AG16*Slot2_SpendLike*AL16+AQ16*Slot3_SpendLike*AV16+BA16*Slot4_SpendLike*BF16+BK16*Slot5_SpendLike*BP16+BU16*Slot6_SpendLike*BZ16+CE16*Slot7_SpendLike*CJ16+CO16*Slot8_SpendLike*CT16+CY16*Slot9_SpendLike*DD16+DI16*Slot10_SpendLike*DN16+DS16*Slot11_SpendLike*DX16+EC16*Slot12_SpendLike*EH16+EM16*Slot13_SpendLike*ER16+EW16*Slot14_SpendLike*FB16+FG16*Slot15_SpendLike*FL16+FQ16*Slot16_SpendLike*FV16+GA16*Slot17_SpendLike*GF16+GK16*Slot18_SpendLike*GP16+GU16*Slot19_SpendLike*GZ16+HE16*Slot20_SpendLike*HJ16</f>
        <v>0</v>
      </c>
      <c r="HP16" s="20" t="n">
        <f aca="false">AE16+AP16+AZ16+BJ16+BT16+CD16+CN16+CX16+DH16+DR16+EB16+EL16+EV16+FF16+FP16+FZ16+GJ16+GT16+HD16+HN16</f>
        <v>0</v>
      </c>
      <c r="HQ16" s="20" t="n">
        <f aca="false">V16*Slot1_Cost+AG16*Slot2_Cost+AQ16*Slot3_Cost+BA16*Slot4_Cost+BK16*Slot5_Cost+BU16*Slot6_Cost+CE16*Slot7_Cost+CO16*Slot8_Cost+CY16*Slot9_Cost+DI16*Slot10_Cost+DS16*Slot11_Cost+EC16*Slot12_Cost+EM16*Slot13_Cost+EW16*Slot14_Cost+FG16*Slot15_Cost+FQ16*Slot16_Cost+GA16*Slot17_Cost+GK16*Slot18_Cost+GU16*Slot19_Cost+HE16*Slot20_Cost</f>
        <v>0</v>
      </c>
      <c r="HR16" s="20" t="n">
        <f aca="false">HM16</f>
        <v>135876.528391036</v>
      </c>
      <c r="HS16" s="20" t="n">
        <f aca="false">H16-I16-S16</f>
        <v>10040.4352615328</v>
      </c>
      <c r="HT16" s="20" t="n">
        <f aca="false">IF(B16=0,IF(AND(Has_q6=1,In_q6=4),PR_ShareVaries*(MAX(0,HS16)/12),MIN(IF(Has_q6=1,CHOOSE(In_q6+1,PR_SaveB1,PR_SaveB2,PR_SaveB3,PR_SaveB4,0),AS_NoAnswer),AS_SaveShare*(MAX(0,HS16)/12))),HT15)</f>
        <v>62.3316893520437</v>
      </c>
      <c r="HU16" s="20" t="n">
        <f aca="false">IF(HS16&gt;=0,1,0)</f>
        <v>1</v>
      </c>
      <c r="HV16" s="20" t="n">
        <f aca="false">MAX(0,HS16/12/F16)</f>
        <v>714.117901522991</v>
      </c>
      <c r="HW16" s="20" t="n">
        <f aca="false">IF(AND(Has_q6=1,In_q6=4),PR_ShareVaries*(HV16),MIN(IF(Has_q6=1,CHOOSE(In_q6+1,PR_SaveB1,PR_SaveB2,PR_SaveB3,PR_SaveB4,0),AS_NoAnswer),AS_SaveShare*(HV16)))</f>
        <v>357.058950761495</v>
      </c>
      <c r="HX16" s="20" t="n">
        <f aca="false">IF(Has_saveM=1,IF(In_saveUp="Yes",1,IF(In_saveUp="No",0,IF(In_saveM&gt;=HT16-0.5,1,0))),0)</f>
        <v>0</v>
      </c>
      <c r="HY16" s="20" t="n">
        <f aca="false">IF(Has_saveM=1,MIN(HV16,IF(HX16=1,MAX(In_saveM,HW16),MIN(In_saveM,HW16))),HW16)</f>
        <v>357.058950761495</v>
      </c>
      <c r="HZ16" s="20" t="n">
        <f aca="false">IF(G16=1,HY16*12*F16,0)</f>
        <v>5020.21763076639</v>
      </c>
      <c r="IA16" s="20" t="n">
        <f aca="false">MAX(0,HZ16+IF(AND(WI_Retire=0,WI_M&lt;0,G16=1),WI_M*12*F16,0))</f>
        <v>5020.21763076639</v>
      </c>
      <c r="IB16" s="20" t="n">
        <f aca="false">Slot1_IsWG*W16+Slot2_IsWG*AH16+Slot3_IsWG*AR16+Slot4_IsWG*BB16+Slot5_IsWG*BL16+Slot6_IsWG*BV16+Slot7_IsWG*CF16+Slot8_IsWG*CP16+Slot9_IsWG*CZ16+Slot10_IsWG*DJ16+Slot11_IsWG*DT16+Slot12_IsWG*ED16+Slot13_IsWG*EN16+Slot14_IsWG*EX16+Slot15_IsWG*FH16+Slot16_IsWG*FR16+Slot17_IsWG*GB16+Slot18_IsWG*GL16+Slot19_IsWG*GV16+Slot20_IsWG*HF16</f>
        <v>0</v>
      </c>
      <c r="IC16" s="20" t="n">
        <f aca="false">IF(AND(WI_Retire=0,WI_M&gt;0,G16=1,IB16&gt;=1),WI_M*12*F16,0)</f>
        <v>0</v>
      </c>
      <c r="ID16" s="20" t="n">
        <f aca="false">IF(HU16=1,MIN(IA16,HS16),0)</f>
        <v>5020.21763076639</v>
      </c>
      <c r="IE16" s="20" t="n">
        <f aca="false">IF(HU16=1,MIN(IC16,HS16-ID16),0)</f>
        <v>0</v>
      </c>
      <c r="IF16" s="20" t="n">
        <f aca="false">IF(W16=1,IF(ABS((1+AS_Wage)/(1+Slot1_Rate)-1)&lt;0.000000000001,(Slot1_Age-D16)*(1+Slot1_Rate)^(Slot1_Age-D16),(1+Slot1_Rate)^(Slot1_Age-D16)*(1-((1+AS_Wage)/(1+Slot1_Rate))^(Slot1_Age-D16))/(1-(1+AS_Wage)/(1+Slot1_Rate))),1)</f>
        <v>1</v>
      </c>
      <c r="IG16" s="20" t="n">
        <f aca="false">IF(AND(HU16=1,IE16&gt;0,Slot1_IsWG=1,W16=1),MAX(0,(Slot1_Cost-X16*(1+Slot1_Rate)^(Slot1_Age-D16))/IF16),0)</f>
        <v>0</v>
      </c>
      <c r="IH16" s="20" t="n">
        <f aca="false">IF(AND(HU16=1,IE16&gt;0,Slot1_IsWG=1,W16=1),MIN(IE16,IG16),0)</f>
        <v>0</v>
      </c>
      <c r="II16" s="20" t="n">
        <f aca="false">X16+IH16</f>
        <v>0</v>
      </c>
      <c r="IJ16" s="20" t="n">
        <f aca="false">IF(W16=1,MAX(0,(Slot1_Cost-II16*(1+Slot1_Rate)^(Slot1_Age-D16))/IF16),0)</f>
        <v>0</v>
      </c>
      <c r="IK16" s="20" t="n">
        <f aca="false">IF(W16=1,MAX(0,(Slot1_Cost-X16*(1+Slot1_Rate)^(Slot1_Age-D16))/IF16),0)</f>
        <v>0</v>
      </c>
      <c r="IL16" s="20" t="n">
        <f aca="false">IF(AND(HU16=1,W16=1),MIN(ID16,IJ16),0)</f>
        <v>0</v>
      </c>
      <c r="IM16" s="20" t="n">
        <f aca="false">ID16-IL16</f>
        <v>5020.21763076639</v>
      </c>
      <c r="IN16" s="20" t="n">
        <f aca="false">IF(AH16=1,IF(ABS((1+AS_Wage)/(1+Slot2_Rate)-1)&lt;0.000000000001,(Slot2_Age-D16)*(1+Slot2_Rate)^(Slot2_Age-D16),(1+Slot2_Rate)^(Slot2_Age-D16)*(1-((1+AS_Wage)/(1+Slot2_Rate))^(Slot2_Age-D16))/(1-(1+AS_Wage)/(1+Slot2_Rate))),1)</f>
        <v>1</v>
      </c>
      <c r="IO16" s="20" t="n">
        <f aca="false">IF(AND(HU16=1,IE16&gt;0,Slot2_IsWG=1,AH16=1),MAX(0,(Slot2_Cost-AI16*(1+Slot2_Rate)^(Slot2_Age-D16))/IN16),0)</f>
        <v>0</v>
      </c>
      <c r="IP16" s="20" t="n">
        <f aca="false">IF(AND(HU16=1,IE16&gt;0,Slot2_IsWG=1,AH16=1),MIN(IE16,IO16),0)</f>
        <v>0</v>
      </c>
      <c r="IQ16" s="20" t="n">
        <f aca="false">AI16+IP16</f>
        <v>0</v>
      </c>
      <c r="IR16" s="20" t="n">
        <f aca="false">IF(AH16=1,MAX(0,(Slot2_Cost-IQ16*(1+Slot2_Rate)^(Slot2_Age-D16))/IN16),0)</f>
        <v>0</v>
      </c>
      <c r="IS16" s="20" t="n">
        <f aca="false">IF(AH16=1,MAX(0,(Slot2_Cost-AI16*(1+Slot2_Rate)^(Slot2_Age-D16))/IN16),0)</f>
        <v>0</v>
      </c>
      <c r="IT16" s="20" t="n">
        <f aca="false">IF(AND(HU16=1,AH16=1),MIN(IM16,IR16),0)</f>
        <v>0</v>
      </c>
      <c r="IU16" s="20" t="n">
        <f aca="false">IM16-IT16</f>
        <v>5020.21763076639</v>
      </c>
      <c r="IV16" s="20" t="n">
        <f aca="false">IF(AR16=1,IF(ABS((1+AS_Wage)/(1+Slot3_Rate)-1)&lt;0.000000000001,(Slot3_Age-D16)*(1+Slot3_Rate)^(Slot3_Age-D16),(1+Slot3_Rate)^(Slot3_Age-D16)*(1-((1+AS_Wage)/(1+Slot3_Rate))^(Slot3_Age-D16))/(1-(1+AS_Wage)/(1+Slot3_Rate))),1)</f>
        <v>2.109456</v>
      </c>
      <c r="IW16" s="20" t="n">
        <f aca="false">IF(AND(HU16=1,IE16&gt;0,Slot3_IsWG=1,AR16=1),MAX(0,(Slot3_Cost-AS16*(1+Slot3_Rate)^(Slot3_Age-D16))/IV16),0)</f>
        <v>0</v>
      </c>
      <c r="IX16" s="20" t="n">
        <f aca="false">IF(AND(HU16=1,IE16&gt;0,Slot3_IsWG=1,AR16=1),MIN(IE16,IW16),0)</f>
        <v>0</v>
      </c>
      <c r="IY16" s="20" t="n">
        <f aca="false">AS16+IX16</f>
        <v>18955.1793027713</v>
      </c>
      <c r="IZ16" s="20" t="n">
        <f aca="false">IF(AR16=1,MAX(0,(Slot3_Cost-IY16*(1+Slot3_Rate)^(Slot3_Age-D16))/IV16),0)</f>
        <v>19434.422273806</v>
      </c>
      <c r="JA16" s="20" t="n">
        <f aca="false">IF(AR16=1,MAX(0,(Slot3_Cost-AS16*(1+Slot3_Rate)^(Slot3_Age-D16))/IV16),0)</f>
        <v>19434.422273806</v>
      </c>
      <c r="JB16" s="20" t="n">
        <f aca="false">IF(AND(HU16=1,AR16=1),MIN(IU16,IZ16),0)</f>
        <v>5020.21763076639</v>
      </c>
      <c r="JC16" s="20" t="n">
        <f aca="false">IU16-JB16</f>
        <v>0</v>
      </c>
      <c r="JD16" s="20" t="n">
        <f aca="false">IF(BB16=1,IF(ABS((1+AS_Wage)/(1+Slot4_Rate)-1)&lt;0.000000000001,(Slot4_Age-D16)*(1+Slot4_Rate)^(Slot4_Age-D16),(1+Slot4_Rate)^(Slot4_Age-D16)*(1-((1+AS_Wage)/(1+Slot4_Rate))^(Slot4_Age-D16))/(1-(1+AS_Wage)/(1+Slot4_Rate))),1)</f>
        <v>11.5172854241178</v>
      </c>
      <c r="JE16" s="20" t="n">
        <f aca="false">IF(AND(HU16=1,IE16&gt;0,Slot4_IsWG=1,BB16=1),MAX(0,(Slot4_Cost-BC16*(1+Slot4_Rate)^(Slot4_Age-D16))/JD16),0)</f>
        <v>0</v>
      </c>
      <c r="JF16" s="20" t="n">
        <f aca="false">IF(AND(HU16=1,IE16&gt;0,Slot4_IsWG=1,BB16=1),MIN(IE16,JE16),0)</f>
        <v>0</v>
      </c>
      <c r="JG16" s="20" t="n">
        <f aca="false">BC16+JF16</f>
        <v>0</v>
      </c>
      <c r="JH16" s="20" t="n">
        <f aca="false">IF(BB16=1,MAX(0,(Slot4_Cost-JG16*(1+Slot4_Rate)^(Slot4_Age-D16))/JD16),0)</f>
        <v>3474.76807069706</v>
      </c>
      <c r="JI16" s="20" t="n">
        <f aca="false">IF(BB16=1,MAX(0,(Slot4_Cost-BC16*(1+Slot4_Rate)^(Slot4_Age-D16))/JD16),0)</f>
        <v>3474.76807069706</v>
      </c>
      <c r="JJ16" s="20" t="n">
        <f aca="false">IF(AND(HU16=1,BB16=1),MIN(JC16,JH16),0)</f>
        <v>0</v>
      </c>
      <c r="JK16" s="20" t="n">
        <f aca="false">JC16-JJ16</f>
        <v>0</v>
      </c>
      <c r="JL16" s="20" t="n">
        <f aca="false">IF(BL16=1,IF(ABS((1+AS_Wage)/(1+Slot5_Rate)-1)&lt;0.000000000001,(Slot5_Age-D16)*(1+Slot5_Rate)^(Slot5_Age-D16),(1+Slot5_Rate)^(Slot5_Age-D16)*(1-((1+AS_Wage)/(1+Slot5_Rate))^(Slot5_Age-D16))/(1-(1+AS_Wage)/(1+Slot5_Rate))),1)</f>
        <v>1</v>
      </c>
      <c r="JM16" s="20" t="n">
        <f aca="false">IF(AND(HU16=1,IE16&gt;0,Slot5_IsWG=1,BL16=1),MAX(0,(Slot5_Cost-BM16*(1+Slot5_Rate)^(Slot5_Age-D16))/JL16),0)</f>
        <v>0</v>
      </c>
      <c r="JN16" s="20" t="n">
        <f aca="false">IF(AND(HU16=1,IE16&gt;0,Slot5_IsWG=1,BL16=1),MIN(IE16,JM16),0)</f>
        <v>0</v>
      </c>
      <c r="JO16" s="20" t="n">
        <f aca="false">BM16+JN16</f>
        <v>0</v>
      </c>
      <c r="JP16" s="20" t="n">
        <f aca="false">IF(BL16=1,MAX(0,(Slot5_Cost-JO16*(1+Slot5_Rate)^(Slot5_Age-D16))/JL16),0)</f>
        <v>0</v>
      </c>
      <c r="JQ16" s="20" t="n">
        <f aca="false">IF(BL16=1,MAX(0,(Slot5_Cost-BM16*(1+Slot5_Rate)^(Slot5_Age-D16))/JL16),0)</f>
        <v>0</v>
      </c>
      <c r="JR16" s="20" t="n">
        <f aca="false">IF(AND(HU16=1,BL16=1),MIN(JK16,JP16),0)</f>
        <v>0</v>
      </c>
      <c r="JS16" s="20" t="n">
        <f aca="false">JK16-JR16</f>
        <v>0</v>
      </c>
      <c r="JT16" s="20" t="n">
        <f aca="false">IF(BV16=1,IF(ABS((1+AS_Wage)/(1+Slot6_Rate)-1)&lt;0.000000000001,(Slot6_Age-D16)*(1+Slot6_Rate)^(Slot6_Age-D16),(1+Slot6_Rate)^(Slot6_Age-D16)*(1-((1+AS_Wage)/(1+Slot6_Rate))^(Slot6_Age-D16))/(1-(1+AS_Wage)/(1+Slot6_Rate))),1)</f>
        <v>1</v>
      </c>
      <c r="JU16" s="20" t="n">
        <f aca="false">IF(AND(HU16=1,IE16&gt;0,Slot6_IsWG=1,BV16=1),MAX(0,(Slot6_Cost-BW16*(1+Slot6_Rate)^(Slot6_Age-D16))/JT16),0)</f>
        <v>0</v>
      </c>
      <c r="JV16" s="20" t="n">
        <f aca="false">IF(AND(HU16=1,IE16&gt;0,Slot6_IsWG=1,BV16=1),MIN(IE16,JU16),0)</f>
        <v>0</v>
      </c>
      <c r="JW16" s="20" t="n">
        <f aca="false">BW16+JV16</f>
        <v>0</v>
      </c>
      <c r="JX16" s="20" t="n">
        <f aca="false">IF(BV16=1,MAX(0,(Slot6_Cost-JW16*(1+Slot6_Rate)^(Slot6_Age-D16))/JT16),0)</f>
        <v>0</v>
      </c>
      <c r="JY16" s="20" t="n">
        <f aca="false">IF(BV16=1,MAX(0,(Slot6_Cost-BW16*(1+Slot6_Rate)^(Slot6_Age-D16))/JT16),0)</f>
        <v>0</v>
      </c>
      <c r="JZ16" s="20" t="n">
        <f aca="false">IF(AND(HU16=1,BV16=1),MIN(JS16,JX16),0)</f>
        <v>0</v>
      </c>
      <c r="KA16" s="20" t="n">
        <f aca="false">JS16-JZ16</f>
        <v>0</v>
      </c>
      <c r="KB16" s="20" t="n">
        <f aca="false">IF(CF16=1,IF(ABS((1+AS_Wage)/(1+Slot7_Rate)-1)&lt;0.000000000001,(Slot7_Age-D16)*(1+Slot7_Rate)^(Slot7_Age-D16),(1+Slot7_Rate)^(Slot7_Age-D16)*(1-((1+AS_Wage)/(1+Slot7_Rate))^(Slot7_Age-D16))/(1-(1+AS_Wage)/(1+Slot7_Rate))),1)</f>
        <v>1</v>
      </c>
      <c r="KC16" s="20" t="n">
        <f aca="false">IF(AND(HU16=1,IE16&gt;0,Slot7_IsWG=1,CF16=1),MAX(0,(Slot7_Cost-CG16*(1+Slot7_Rate)^(Slot7_Age-D16))/KB16),0)</f>
        <v>0</v>
      </c>
      <c r="KD16" s="20" t="n">
        <f aca="false">IF(AND(HU16=1,IE16&gt;0,Slot7_IsWG=1,CF16=1),MIN(IE16,KC16),0)</f>
        <v>0</v>
      </c>
      <c r="KE16" s="20" t="n">
        <f aca="false">CG16+KD16</f>
        <v>0</v>
      </c>
      <c r="KF16" s="20" t="n">
        <f aca="false">IF(CF16=1,MAX(0,(Slot7_Cost-KE16*(1+Slot7_Rate)^(Slot7_Age-D16))/KB16),0)</f>
        <v>0</v>
      </c>
      <c r="KG16" s="20" t="n">
        <f aca="false">IF(CF16=1,MAX(0,(Slot7_Cost-CG16*(1+Slot7_Rate)^(Slot7_Age-D16))/KB16),0)</f>
        <v>0</v>
      </c>
      <c r="KH16" s="20" t="n">
        <f aca="false">IF(AND(HU16=1,CF16=1),MIN(KA16,KF16),0)</f>
        <v>0</v>
      </c>
      <c r="KI16" s="20" t="n">
        <f aca="false">KA16-KH16</f>
        <v>0</v>
      </c>
      <c r="KJ16" s="20" t="n">
        <f aca="false">IF(CP16=1,IF(ABS((1+AS_Wage)/(1+Slot8_Rate)-1)&lt;0.000000000001,(Slot8_Age-D16)*(1+Slot8_Rate)^(Slot8_Age-D16),(1+Slot8_Rate)^(Slot8_Age-D16)*(1-((1+AS_Wage)/(1+Slot8_Rate))^(Slot8_Age-D16))/(1-(1+AS_Wage)/(1+Slot8_Rate))),1)</f>
        <v>1</v>
      </c>
      <c r="KK16" s="20" t="n">
        <f aca="false">IF(AND(HU16=1,IE16&gt;0,Slot8_IsWG=1,CP16=1),MAX(0,(Slot8_Cost-CQ16*(1+Slot8_Rate)^(Slot8_Age-D16))/KJ16),0)</f>
        <v>0</v>
      </c>
      <c r="KL16" s="20" t="n">
        <f aca="false">IF(AND(HU16=1,IE16&gt;0,Slot8_IsWG=1,CP16=1),MIN(IE16,KK16),0)</f>
        <v>0</v>
      </c>
      <c r="KM16" s="20" t="n">
        <f aca="false">CQ16+KL16</f>
        <v>0</v>
      </c>
      <c r="KN16" s="20" t="n">
        <f aca="false">IF(CP16=1,MAX(0,(Slot8_Cost-KM16*(1+Slot8_Rate)^(Slot8_Age-D16))/KJ16),0)</f>
        <v>0</v>
      </c>
      <c r="KO16" s="20" t="n">
        <f aca="false">IF(CP16=1,MAX(0,(Slot8_Cost-CQ16*(1+Slot8_Rate)^(Slot8_Age-D16))/KJ16),0)</f>
        <v>0</v>
      </c>
      <c r="KP16" s="20" t="n">
        <f aca="false">IF(AND(HU16=1,CP16=1),MIN(KI16,KN16),0)</f>
        <v>0</v>
      </c>
      <c r="KQ16" s="20" t="n">
        <f aca="false">KI16-KP16</f>
        <v>0</v>
      </c>
      <c r="KR16" s="20" t="n">
        <f aca="false">IF(CZ16=1,IF(ABS((1+AS_Wage)/(1+Slot9_Rate)-1)&lt;0.000000000001,(Slot9_Age-D16)*(1+Slot9_Rate)^(Slot9_Age-D16),(1+Slot9_Rate)^(Slot9_Age-D16)*(1-((1+AS_Wage)/(1+Slot9_Rate))^(Slot9_Age-D16))/(1-(1+AS_Wage)/(1+Slot9_Rate))),1)</f>
        <v>1</v>
      </c>
      <c r="KS16" s="20" t="n">
        <f aca="false">IF(AND(HU16=1,IE16&gt;0,Slot9_IsWG=1,CZ16=1),MAX(0,(Slot9_Cost-DA16*(1+Slot9_Rate)^(Slot9_Age-D16))/KR16),0)</f>
        <v>0</v>
      </c>
      <c r="KT16" s="20" t="n">
        <f aca="false">IF(AND(HU16=1,IE16&gt;0,Slot9_IsWG=1,CZ16=1),MIN(IE16,KS16),0)</f>
        <v>0</v>
      </c>
      <c r="KU16" s="20" t="n">
        <f aca="false">DA16+KT16</f>
        <v>0</v>
      </c>
      <c r="KV16" s="20" t="n">
        <f aca="false">IF(CZ16=1,MAX(0,(Slot9_Cost-KU16*(1+Slot9_Rate)^(Slot9_Age-D16))/KR16),0)</f>
        <v>0</v>
      </c>
      <c r="KW16" s="20" t="n">
        <f aca="false">IF(CZ16=1,MAX(0,(Slot9_Cost-DA16*(1+Slot9_Rate)^(Slot9_Age-D16))/KR16),0)</f>
        <v>0</v>
      </c>
      <c r="KX16" s="20" t="n">
        <f aca="false">IF(AND(HU16=1,CZ16=1),MIN(KQ16,KV16),0)</f>
        <v>0</v>
      </c>
      <c r="KY16" s="20" t="n">
        <f aca="false">KQ16-KX16</f>
        <v>0</v>
      </c>
      <c r="KZ16" s="20" t="n">
        <f aca="false">IF(DJ16=1,IF(ABS((1+AS_Wage)/(1+Slot10_Rate)-1)&lt;0.000000000001,(Slot10_Age-D16)*(1+Slot10_Rate)^(Slot10_Age-D16),(1+Slot10_Rate)^(Slot10_Age-D16)*(1-((1+AS_Wage)/(1+Slot10_Rate))^(Slot10_Age-D16))/(1-(1+AS_Wage)/(1+Slot10_Rate))),1)</f>
        <v>1</v>
      </c>
      <c r="LA16" s="20" t="n">
        <f aca="false">IF(AND(HU16=1,IE16&gt;0,Slot10_IsWG=1,DJ16=1),MAX(0,(Slot10_Cost-DK16*(1+Slot10_Rate)^(Slot10_Age-D16))/KZ16),0)</f>
        <v>0</v>
      </c>
      <c r="LB16" s="20" t="n">
        <f aca="false">IF(AND(HU16=1,IE16&gt;0,Slot10_IsWG=1,DJ16=1),MIN(IE16,LA16),0)</f>
        <v>0</v>
      </c>
      <c r="LC16" s="20" t="n">
        <f aca="false">DK16+LB16</f>
        <v>0</v>
      </c>
      <c r="LD16" s="20" t="n">
        <f aca="false">IF(DJ16=1,MAX(0,(Slot10_Cost-LC16*(1+Slot10_Rate)^(Slot10_Age-D16))/KZ16),0)</f>
        <v>0</v>
      </c>
      <c r="LE16" s="20" t="n">
        <f aca="false">IF(DJ16=1,MAX(0,(Slot10_Cost-DK16*(1+Slot10_Rate)^(Slot10_Age-D16))/KZ16),0)</f>
        <v>0</v>
      </c>
      <c r="LF16" s="20" t="n">
        <f aca="false">IF(AND(HU16=1,DJ16=1),MIN(KY16,LD16),0)</f>
        <v>0</v>
      </c>
      <c r="LG16" s="20" t="n">
        <f aca="false">KY16-LF16</f>
        <v>0</v>
      </c>
      <c r="LH16" s="20" t="n">
        <f aca="false">IF(DT16=1,IF(ABS((1+AS_Wage)/(1+Slot11_Rate)-1)&lt;0.000000000001,(Slot11_Age-D16)*(1+Slot11_Rate)^(Slot11_Age-D16),(1+Slot11_Rate)^(Slot11_Age-D16)*(1-((1+AS_Wage)/(1+Slot11_Rate))^(Slot11_Age-D16))/(1-(1+AS_Wage)/(1+Slot11_Rate))),1)</f>
        <v>1</v>
      </c>
      <c r="LI16" s="20" t="n">
        <f aca="false">IF(AND(HU16=1,IE16&gt;0,Slot11_IsWG=1,DT16=1),MAX(0,(Slot11_Cost-DU16*(1+Slot11_Rate)^(Slot11_Age-D16))/LH16),0)</f>
        <v>0</v>
      </c>
      <c r="LJ16" s="20" t="n">
        <f aca="false">IF(AND(HU16=1,IE16&gt;0,Slot11_IsWG=1,DT16=1),MIN(IE16,LI16),0)</f>
        <v>0</v>
      </c>
      <c r="LK16" s="20" t="n">
        <f aca="false">DU16+LJ16</f>
        <v>0</v>
      </c>
      <c r="LL16" s="20" t="n">
        <f aca="false">IF(DT16=1,MAX(0,(Slot11_Cost-LK16*(1+Slot11_Rate)^(Slot11_Age-D16))/LH16),0)</f>
        <v>0</v>
      </c>
      <c r="LM16" s="20" t="n">
        <f aca="false">IF(DT16=1,MAX(0,(Slot11_Cost-DU16*(1+Slot11_Rate)^(Slot11_Age-D16))/LH16),0)</f>
        <v>0</v>
      </c>
      <c r="LN16" s="20" t="n">
        <f aca="false">IF(AND(HU16=1,DT16=1),MIN(LG16,LL16),0)</f>
        <v>0</v>
      </c>
      <c r="LO16" s="20" t="n">
        <f aca="false">LG16-LN16</f>
        <v>0</v>
      </c>
      <c r="LP16" s="20" t="n">
        <f aca="false">IF(ED16=1,IF(ABS((1+AS_Wage)/(1+Slot12_Rate)-1)&lt;0.000000000001,(Slot12_Age-D16)*(1+Slot12_Rate)^(Slot12_Age-D16),(1+Slot12_Rate)^(Slot12_Age-D16)*(1-((1+AS_Wage)/(1+Slot12_Rate))^(Slot12_Age-D16))/(1-(1+AS_Wage)/(1+Slot12_Rate))),1)</f>
        <v>1</v>
      </c>
      <c r="LQ16" s="20" t="n">
        <f aca="false">IF(AND(HU16=1,IE16&gt;0,Slot12_IsWG=1,ED16=1),MAX(0,(Slot12_Cost-EE16*(1+Slot12_Rate)^(Slot12_Age-D16))/LP16),0)</f>
        <v>0</v>
      </c>
      <c r="LR16" s="20" t="n">
        <f aca="false">IF(AND(HU16=1,IE16&gt;0,Slot12_IsWG=1,ED16=1),MIN(IE16,LQ16),0)</f>
        <v>0</v>
      </c>
      <c r="LS16" s="20" t="n">
        <f aca="false">EE16+LR16</f>
        <v>0</v>
      </c>
      <c r="LT16" s="20" t="n">
        <f aca="false">IF(ED16=1,MAX(0,(Slot12_Cost-LS16*(1+Slot12_Rate)^(Slot12_Age-D16))/LP16),0)</f>
        <v>0</v>
      </c>
      <c r="LU16" s="20" t="n">
        <f aca="false">IF(ED16=1,MAX(0,(Slot12_Cost-EE16*(1+Slot12_Rate)^(Slot12_Age-D16))/LP16),0)</f>
        <v>0</v>
      </c>
      <c r="LV16" s="20" t="n">
        <f aca="false">IF(AND(HU16=1,ED16=1),MIN(LO16,LT16),0)</f>
        <v>0</v>
      </c>
      <c r="LW16" s="20" t="n">
        <f aca="false">LO16-LV16</f>
        <v>0</v>
      </c>
      <c r="LX16" s="20" t="n">
        <f aca="false">IF(EN16=1,IF(ABS((1+AS_Wage)/(1+Slot13_Rate)-1)&lt;0.000000000001,(Slot13_Age-D16)*(1+Slot13_Rate)^(Slot13_Age-D16),(1+Slot13_Rate)^(Slot13_Age-D16)*(1-((1+AS_Wage)/(1+Slot13_Rate))^(Slot13_Age-D16))/(1-(1+AS_Wage)/(1+Slot13_Rate))),1)</f>
        <v>1</v>
      </c>
      <c r="LY16" s="20" t="n">
        <f aca="false">IF(AND(HU16=1,IE16&gt;0,Slot13_IsWG=1,EN16=1),MAX(0,(Slot13_Cost-EO16*(1+Slot13_Rate)^(Slot13_Age-D16))/LX16),0)</f>
        <v>0</v>
      </c>
      <c r="LZ16" s="20" t="n">
        <f aca="false">IF(AND(HU16=1,IE16&gt;0,Slot13_IsWG=1,EN16=1),MIN(IE16,LY16),0)</f>
        <v>0</v>
      </c>
      <c r="MA16" s="20" t="n">
        <f aca="false">EO16+LZ16</f>
        <v>0</v>
      </c>
      <c r="MB16" s="20" t="n">
        <f aca="false">IF(EN16=1,MAX(0,(Slot13_Cost-MA16*(1+Slot13_Rate)^(Slot13_Age-D16))/LX16),0)</f>
        <v>0</v>
      </c>
      <c r="MC16" s="20" t="n">
        <f aca="false">IF(EN16=1,MAX(0,(Slot13_Cost-EO16*(1+Slot13_Rate)^(Slot13_Age-D16))/LX16),0)</f>
        <v>0</v>
      </c>
      <c r="MD16" s="20" t="n">
        <f aca="false">IF(AND(HU16=1,EN16=1),MIN(LW16,MB16),0)</f>
        <v>0</v>
      </c>
      <c r="ME16" s="20" t="n">
        <f aca="false">LW16-MD16</f>
        <v>0</v>
      </c>
      <c r="MF16" s="20" t="n">
        <f aca="false">IF(EX16=1,IF(ABS((1+AS_Wage)/(1+Slot14_Rate)-1)&lt;0.000000000001,(Slot14_Age-D16)*(1+Slot14_Rate)^(Slot14_Age-D16),(1+Slot14_Rate)^(Slot14_Age-D16)*(1-((1+AS_Wage)/(1+Slot14_Rate))^(Slot14_Age-D16))/(1-(1+AS_Wage)/(1+Slot14_Rate))),1)</f>
        <v>1</v>
      </c>
      <c r="MG16" s="20" t="n">
        <f aca="false">IF(AND(HU16=1,IE16&gt;0,Slot14_IsWG=1,EX16=1),MAX(0,(Slot14_Cost-EY16*(1+Slot14_Rate)^(Slot14_Age-D16))/MF16),0)</f>
        <v>0</v>
      </c>
      <c r="MH16" s="20" t="n">
        <f aca="false">IF(AND(HU16=1,IE16&gt;0,Slot14_IsWG=1,EX16=1),MIN(IE16,MG16),0)</f>
        <v>0</v>
      </c>
      <c r="MI16" s="20" t="n">
        <f aca="false">EY16+MH16</f>
        <v>0</v>
      </c>
      <c r="MJ16" s="20" t="n">
        <f aca="false">IF(EX16=1,MAX(0,(Slot14_Cost-MI16*(1+Slot14_Rate)^(Slot14_Age-D16))/MF16),0)</f>
        <v>0</v>
      </c>
      <c r="MK16" s="20" t="n">
        <f aca="false">IF(EX16=1,MAX(0,(Slot14_Cost-EY16*(1+Slot14_Rate)^(Slot14_Age-D16))/MF16),0)</f>
        <v>0</v>
      </c>
      <c r="ML16" s="20" t="n">
        <f aca="false">IF(AND(HU16=1,EX16=1),MIN(ME16,MJ16),0)</f>
        <v>0</v>
      </c>
      <c r="MM16" s="20" t="n">
        <f aca="false">ME16-ML16</f>
        <v>0</v>
      </c>
      <c r="MN16" s="20" t="n">
        <f aca="false">IF(FH16=1,IF(ABS((1+AS_Wage)/(1+Slot15_Rate)-1)&lt;0.000000000001,(Slot15_Age-D16)*(1+Slot15_Rate)^(Slot15_Age-D16),(1+Slot15_Rate)^(Slot15_Age-D16)*(1-((1+AS_Wage)/(1+Slot15_Rate))^(Slot15_Age-D16))/(1-(1+AS_Wage)/(1+Slot15_Rate))),1)</f>
        <v>1</v>
      </c>
      <c r="MO16" s="20" t="n">
        <f aca="false">IF(AND(HU16=1,IE16&gt;0,Slot15_IsWG=1,FH16=1),MAX(0,(Slot15_Cost-FI16*(1+Slot15_Rate)^(Slot15_Age-D16))/MN16),0)</f>
        <v>0</v>
      </c>
      <c r="MP16" s="20" t="n">
        <f aca="false">IF(AND(HU16=1,IE16&gt;0,Slot15_IsWG=1,FH16=1),MIN(IE16,MO16),0)</f>
        <v>0</v>
      </c>
      <c r="MQ16" s="20" t="n">
        <f aca="false">FI16+MP16</f>
        <v>0</v>
      </c>
      <c r="MR16" s="20" t="n">
        <f aca="false">IF(FH16=1,MAX(0,(Slot15_Cost-MQ16*(1+Slot15_Rate)^(Slot15_Age-D16))/MN16),0)</f>
        <v>0</v>
      </c>
      <c r="MS16" s="20" t="n">
        <f aca="false">IF(FH16=1,MAX(0,(Slot15_Cost-FI16*(1+Slot15_Rate)^(Slot15_Age-D16))/MN16),0)</f>
        <v>0</v>
      </c>
      <c r="MT16" s="20" t="n">
        <f aca="false">IF(AND(HU16=1,FH16=1),MIN(MM16,MR16),0)</f>
        <v>0</v>
      </c>
      <c r="MU16" s="20" t="n">
        <f aca="false">MM16-MT16</f>
        <v>0</v>
      </c>
      <c r="MV16" s="20" t="n">
        <f aca="false">IF(FR16=1,IF(ABS((1+AS_Wage)/(1+Slot16_Rate)-1)&lt;0.000000000001,(Slot16_Age-D16)*(1+Slot16_Rate)^(Slot16_Age-D16),(1+Slot16_Rate)^(Slot16_Age-D16)*(1-((1+AS_Wage)/(1+Slot16_Rate))^(Slot16_Age-D16))/(1-(1+AS_Wage)/(1+Slot16_Rate))),1)</f>
        <v>1</v>
      </c>
      <c r="MW16" s="20" t="n">
        <f aca="false">IF(AND(HU16=1,IE16&gt;0,Slot16_IsWG=1,FR16=1),MAX(0,(Slot16_Cost-FS16*(1+Slot16_Rate)^(Slot16_Age-D16))/MV16),0)</f>
        <v>0</v>
      </c>
      <c r="MX16" s="20" t="n">
        <f aca="false">IF(AND(HU16=1,IE16&gt;0,Slot16_IsWG=1,FR16=1),MIN(IE16,MW16),0)</f>
        <v>0</v>
      </c>
      <c r="MY16" s="20" t="n">
        <f aca="false">FS16+MX16</f>
        <v>0</v>
      </c>
      <c r="MZ16" s="20" t="n">
        <f aca="false">IF(FR16=1,MAX(0,(Slot16_Cost-MY16*(1+Slot16_Rate)^(Slot16_Age-D16))/MV16),0)</f>
        <v>0</v>
      </c>
      <c r="NA16" s="20" t="n">
        <f aca="false">IF(FR16=1,MAX(0,(Slot16_Cost-FS16*(1+Slot16_Rate)^(Slot16_Age-D16))/MV16),0)</f>
        <v>0</v>
      </c>
      <c r="NB16" s="20" t="n">
        <f aca="false">IF(AND(HU16=1,FR16=1),MIN(MU16,MZ16),0)</f>
        <v>0</v>
      </c>
      <c r="NC16" s="20" t="n">
        <f aca="false">MU16-NB16</f>
        <v>0</v>
      </c>
      <c r="ND16" s="20" t="n">
        <f aca="false">IF(GB16=1,IF(ABS((1+AS_Wage)/(1+Slot17_Rate)-1)&lt;0.000000000001,(Slot17_Age-D16)*(1+Slot17_Rate)^(Slot17_Age-D16),(1+Slot17_Rate)^(Slot17_Age-D16)*(1-((1+AS_Wage)/(1+Slot17_Rate))^(Slot17_Age-D16))/(1-(1+AS_Wage)/(1+Slot17_Rate))),1)</f>
        <v>1</v>
      </c>
      <c r="NE16" s="20" t="n">
        <f aca="false">IF(AND(HU16=1,IE16&gt;0,Slot17_IsWG=1,GB16=1),MAX(0,(Slot17_Cost-GC16*(1+Slot17_Rate)^(Slot17_Age-D16))/ND16),0)</f>
        <v>0</v>
      </c>
      <c r="NF16" s="20" t="n">
        <f aca="false">IF(AND(HU16=1,IE16&gt;0,Slot17_IsWG=1,GB16=1),MIN(IE16,NE16),0)</f>
        <v>0</v>
      </c>
      <c r="NG16" s="20" t="n">
        <f aca="false">GC16+NF16</f>
        <v>0</v>
      </c>
      <c r="NH16" s="20" t="n">
        <f aca="false">IF(GB16=1,MAX(0,(Slot17_Cost-NG16*(1+Slot17_Rate)^(Slot17_Age-D16))/ND16),0)</f>
        <v>0</v>
      </c>
      <c r="NI16" s="20" t="n">
        <f aca="false">IF(GB16=1,MAX(0,(Slot17_Cost-GC16*(1+Slot17_Rate)^(Slot17_Age-D16))/ND16),0)</f>
        <v>0</v>
      </c>
      <c r="NJ16" s="20" t="n">
        <f aca="false">IF(AND(HU16=1,GB16=1),MIN(NC16,NH16),0)</f>
        <v>0</v>
      </c>
      <c r="NK16" s="20" t="n">
        <f aca="false">NC16-NJ16</f>
        <v>0</v>
      </c>
      <c r="NL16" s="20" t="n">
        <f aca="false">IF(GL16=1,IF(ABS((1+AS_Wage)/(1+Slot18_Rate)-1)&lt;0.000000000001,(Slot18_Age-D16)*(1+Slot18_Rate)^(Slot18_Age-D16),(1+Slot18_Rate)^(Slot18_Age-D16)*(1-((1+AS_Wage)/(1+Slot18_Rate))^(Slot18_Age-D16))/(1-(1+AS_Wage)/(1+Slot18_Rate))),1)</f>
        <v>1</v>
      </c>
      <c r="NM16" s="20" t="n">
        <f aca="false">IF(AND(HU16=1,IE16&gt;0,Slot18_IsWG=1,GL16=1),MAX(0,(Slot18_Cost-GM16*(1+Slot18_Rate)^(Slot18_Age-D16))/NL16),0)</f>
        <v>0</v>
      </c>
      <c r="NN16" s="20" t="n">
        <f aca="false">IF(AND(HU16=1,IE16&gt;0,Slot18_IsWG=1,GL16=1),MIN(IE16,NM16),0)</f>
        <v>0</v>
      </c>
      <c r="NO16" s="20" t="n">
        <f aca="false">GM16+NN16</f>
        <v>0</v>
      </c>
      <c r="NP16" s="20" t="n">
        <f aca="false">IF(GL16=1,MAX(0,(Slot18_Cost-NO16*(1+Slot18_Rate)^(Slot18_Age-D16))/NL16),0)</f>
        <v>0</v>
      </c>
      <c r="NQ16" s="20" t="n">
        <f aca="false">IF(GL16=1,MAX(0,(Slot18_Cost-GM16*(1+Slot18_Rate)^(Slot18_Age-D16))/NL16),0)</f>
        <v>0</v>
      </c>
      <c r="NR16" s="20" t="n">
        <f aca="false">IF(AND(HU16=1,GL16=1),MIN(NK16,NP16),0)</f>
        <v>0</v>
      </c>
      <c r="NS16" s="20" t="n">
        <f aca="false">NK16-NR16</f>
        <v>0</v>
      </c>
      <c r="NT16" s="20" t="n">
        <f aca="false">IF(GV16=1,IF(ABS((1+AS_Wage)/(1+Slot19_Rate)-1)&lt;0.000000000001,(Slot19_Age-D16)*(1+Slot19_Rate)^(Slot19_Age-D16),(1+Slot19_Rate)^(Slot19_Age-D16)*(1-((1+AS_Wage)/(1+Slot19_Rate))^(Slot19_Age-D16))/(1-(1+AS_Wage)/(1+Slot19_Rate))),1)</f>
        <v>1</v>
      </c>
      <c r="NU16" s="20" t="n">
        <f aca="false">IF(AND(HU16=1,IE16&gt;0,Slot19_IsWG=1,GV16=1),MAX(0,(Slot19_Cost-GW16*(1+Slot19_Rate)^(Slot19_Age-D16))/NT16),0)</f>
        <v>0</v>
      </c>
      <c r="NV16" s="20" t="n">
        <f aca="false">IF(AND(HU16=1,IE16&gt;0,Slot19_IsWG=1,GV16=1),MIN(IE16,NU16),0)</f>
        <v>0</v>
      </c>
      <c r="NW16" s="20" t="n">
        <f aca="false">GW16+NV16</f>
        <v>0</v>
      </c>
      <c r="NX16" s="20" t="n">
        <f aca="false">IF(GV16=1,MAX(0,(Slot19_Cost-NW16*(1+Slot19_Rate)^(Slot19_Age-D16))/NT16),0)</f>
        <v>0</v>
      </c>
      <c r="NY16" s="20" t="n">
        <f aca="false">IF(GV16=1,MAX(0,(Slot19_Cost-GW16*(1+Slot19_Rate)^(Slot19_Age-D16))/NT16),0)</f>
        <v>0</v>
      </c>
      <c r="NZ16" s="20" t="n">
        <f aca="false">IF(AND(HU16=1,GV16=1),MIN(NS16,NX16),0)</f>
        <v>0</v>
      </c>
      <c r="OA16" s="20" t="n">
        <f aca="false">NS16-NZ16</f>
        <v>0</v>
      </c>
      <c r="OB16" s="20" t="n">
        <f aca="false">IF(HF16=1,IF(ABS((1+AS_Wage)/(1+Slot20_Rate)-1)&lt;0.000000000001,(Slot20_Age-D16)*(1+Slot20_Rate)^(Slot20_Age-D16),(1+Slot20_Rate)^(Slot20_Age-D16)*(1-((1+AS_Wage)/(1+Slot20_Rate))^(Slot20_Age-D16))/(1-(1+AS_Wage)/(1+Slot20_Rate))),1)</f>
        <v>1</v>
      </c>
      <c r="OC16" s="20" t="n">
        <f aca="false">IF(AND(HU16=1,IE16&gt;0,Slot20_IsWG=1,HF16=1),MAX(0,(Slot20_Cost-HG16*(1+Slot20_Rate)^(Slot20_Age-D16))/OB16),0)</f>
        <v>0</v>
      </c>
      <c r="OD16" s="20" t="n">
        <f aca="false">IF(AND(HU16=1,IE16&gt;0,Slot20_IsWG=1,HF16=1),MIN(IE16,OC16),0)</f>
        <v>0</v>
      </c>
      <c r="OE16" s="20" t="n">
        <f aca="false">HG16+OD16</f>
        <v>0</v>
      </c>
      <c r="OF16" s="20" t="n">
        <f aca="false">IF(HF16=1,MAX(0,(Slot20_Cost-OE16*(1+Slot20_Rate)^(Slot20_Age-D16))/OB16),0)</f>
        <v>0</v>
      </c>
      <c r="OG16" s="20" t="n">
        <f aca="false">IF(HF16=1,MAX(0,(Slot20_Cost-HG16*(1+Slot20_Rate)^(Slot20_Age-D16))/OB16),0)</f>
        <v>0</v>
      </c>
      <c r="OH16" s="20" t="n">
        <f aca="false">IF(AND(HU16=1,HF16=1),MIN(OA16,OF16),0)</f>
        <v>0</v>
      </c>
      <c r="OI16" s="20" t="n">
        <f aca="false">OA16-OH16</f>
        <v>0</v>
      </c>
      <c r="OJ16" s="20" t="n">
        <f aca="false">IE16-(IH16+IP16+IX16+JF16+JN16+JV16+KD16+KL16+KT16+LB16+LJ16+LR16+LZ16+MH16+MP16+MX16+NF16+NN16+NV16+OD16)</f>
        <v>0</v>
      </c>
      <c r="OK16" s="20" t="n">
        <f aca="false">IF(HU16=1,HS16-ID16-IE16,0)</f>
        <v>5020.21763076639</v>
      </c>
      <c r="OL16" s="20" t="n">
        <f aca="false">IF(HU16=0,-HS16,0)</f>
        <v>0</v>
      </c>
      <c r="OM16" s="20" t="n">
        <f aca="false">MIN(OL16,HK16)</f>
        <v>0</v>
      </c>
      <c r="ON16" s="20" t="n">
        <f aca="false">OL16-OM16</f>
        <v>0</v>
      </c>
      <c r="OO16" s="20" t="n">
        <f aca="false">MIN(ON16,HL16)</f>
        <v>0</v>
      </c>
      <c r="OP16" s="20" t="n">
        <f aca="false">ON16-OO16</f>
        <v>0</v>
      </c>
      <c r="OQ16" s="20" t="n">
        <f aca="false">IF(AND(HU16=0,HF16=1,OP16&gt;0),MIN(OP16,HG16),0)</f>
        <v>0</v>
      </c>
      <c r="OR16" s="20" t="n">
        <f aca="false">OP16-OQ16</f>
        <v>0</v>
      </c>
      <c r="OS16" s="20" t="n">
        <f aca="false">IF(AND(HU16=0,GV16=1,OR16&gt;0),MIN(OR16,GW16),0)</f>
        <v>0</v>
      </c>
      <c r="OT16" s="20" t="n">
        <f aca="false">OR16-OS16</f>
        <v>0</v>
      </c>
      <c r="OU16" s="20" t="n">
        <f aca="false">IF(AND(HU16=0,GL16=1,OT16&gt;0),MIN(OT16,GM16),0)</f>
        <v>0</v>
      </c>
      <c r="OV16" s="20" t="n">
        <f aca="false">OT16-OU16</f>
        <v>0</v>
      </c>
      <c r="OW16" s="20" t="n">
        <f aca="false">IF(AND(HU16=0,GB16=1,OV16&gt;0),MIN(OV16,GC16),0)</f>
        <v>0</v>
      </c>
      <c r="OX16" s="20" t="n">
        <f aca="false">OV16-OW16</f>
        <v>0</v>
      </c>
      <c r="OY16" s="20" t="n">
        <f aca="false">IF(AND(HU16=0,FR16=1,OX16&gt;0),MIN(OX16,FS16),0)</f>
        <v>0</v>
      </c>
      <c r="OZ16" s="20" t="n">
        <f aca="false">OX16-OY16</f>
        <v>0</v>
      </c>
      <c r="PA16" s="20" t="n">
        <f aca="false">IF(AND(HU16=0,FH16=1,OZ16&gt;0),MIN(OZ16,FI16),0)</f>
        <v>0</v>
      </c>
      <c r="PB16" s="20" t="n">
        <f aca="false">OZ16-PA16</f>
        <v>0</v>
      </c>
      <c r="PC16" s="20" t="n">
        <f aca="false">IF(AND(HU16=0,EX16=1,PB16&gt;0),MIN(PB16,EY16),0)</f>
        <v>0</v>
      </c>
      <c r="PD16" s="20" t="n">
        <f aca="false">PB16-PC16</f>
        <v>0</v>
      </c>
      <c r="PE16" s="20" t="n">
        <f aca="false">IF(AND(HU16=0,EN16=1,PD16&gt;0),MIN(PD16,EO16),0)</f>
        <v>0</v>
      </c>
      <c r="PF16" s="20" t="n">
        <f aca="false">PD16-PE16</f>
        <v>0</v>
      </c>
      <c r="PG16" s="20" t="n">
        <f aca="false">IF(AND(HU16=0,ED16=1,PF16&gt;0),MIN(PF16,EE16),0)</f>
        <v>0</v>
      </c>
      <c r="PH16" s="20" t="n">
        <f aca="false">PF16-PG16</f>
        <v>0</v>
      </c>
      <c r="PI16" s="20" t="n">
        <f aca="false">IF(AND(HU16=0,DT16=1,PH16&gt;0),MIN(PH16,DU16),0)</f>
        <v>0</v>
      </c>
      <c r="PJ16" s="20" t="n">
        <f aca="false">PH16-PI16</f>
        <v>0</v>
      </c>
      <c r="PK16" s="20" t="n">
        <f aca="false">IF(AND(HU16=0,DJ16=1,PJ16&gt;0),MIN(PJ16,DK16),0)</f>
        <v>0</v>
      </c>
      <c r="PL16" s="20" t="n">
        <f aca="false">PJ16-PK16</f>
        <v>0</v>
      </c>
      <c r="PM16" s="20" t="n">
        <f aca="false">IF(AND(HU16=0,CZ16=1,PL16&gt;0),MIN(PL16,DA16),0)</f>
        <v>0</v>
      </c>
      <c r="PN16" s="20" t="n">
        <f aca="false">PL16-PM16</f>
        <v>0</v>
      </c>
      <c r="PO16" s="20" t="n">
        <f aca="false">IF(AND(HU16=0,CP16=1,PN16&gt;0),MIN(PN16,CQ16),0)</f>
        <v>0</v>
      </c>
      <c r="PP16" s="20" t="n">
        <f aca="false">PN16-PO16</f>
        <v>0</v>
      </c>
      <c r="PQ16" s="20" t="n">
        <f aca="false">IF(AND(HU16=0,CF16=1,PP16&gt;0),MIN(PP16,CG16),0)</f>
        <v>0</v>
      </c>
      <c r="PR16" s="20" t="n">
        <f aca="false">PP16-PQ16</f>
        <v>0</v>
      </c>
      <c r="PS16" s="20" t="n">
        <f aca="false">IF(AND(HU16=0,BV16=1,PR16&gt;0),MIN(PR16,BW16),0)</f>
        <v>0</v>
      </c>
      <c r="PT16" s="20" t="n">
        <f aca="false">PR16-PS16</f>
        <v>0</v>
      </c>
      <c r="PU16" s="20" t="n">
        <f aca="false">IF(AND(HU16=0,BL16=1,PT16&gt;0),MIN(PT16,BM16),0)</f>
        <v>0</v>
      </c>
      <c r="PV16" s="20" t="n">
        <f aca="false">PT16-PU16</f>
        <v>0</v>
      </c>
      <c r="PW16" s="20" t="n">
        <f aca="false">IF(AND(HU16=0,BB16=1,PV16&gt;0),MIN(PV16,BC16),0)</f>
        <v>0</v>
      </c>
      <c r="PX16" s="20" t="n">
        <f aca="false">PV16-PW16</f>
        <v>0</v>
      </c>
      <c r="PY16" s="20" t="n">
        <f aca="false">IF(AND(HU16=0,AR16=1,PX16&gt;0),MIN(PX16,AS16),0)</f>
        <v>0</v>
      </c>
      <c r="PZ16" s="20" t="n">
        <f aca="false">PX16-PY16</f>
        <v>0</v>
      </c>
      <c r="QA16" s="20" t="n">
        <f aca="false">IF(AND(HU16=0,AH16=1,PZ16&gt;0),MIN(PZ16,AI16),0)</f>
        <v>0</v>
      </c>
      <c r="QB16" s="20" t="n">
        <f aca="false">PZ16-QA16</f>
        <v>0</v>
      </c>
      <c r="QC16" s="20" t="n">
        <f aca="false">IF(AND(HU16=0,W16=1,QB16&gt;0),MIN(QB16,X16),0)</f>
        <v>0</v>
      </c>
      <c r="QD16" s="20" t="n">
        <f aca="false">QB16-QC16</f>
        <v>0</v>
      </c>
      <c r="QE16" s="20" t="n">
        <f aca="false">IF(HU16=0,QD16,0)</f>
        <v>0</v>
      </c>
      <c r="QF16" s="20" t="n">
        <f aca="false">OM16+OO16+QC16+QA16+PY16+PW16+PU16+PS16+PQ16+PO16+PM16+PK16+PI16+PG16+PE16+PC16+PA16+OY16+OW16+OU16+OS16+OQ16</f>
        <v>0</v>
      </c>
      <c r="QG16" s="20" t="n">
        <f aca="false">IF(HU16=1,HK16+OJ16+OI16+IF(G16=1,0,OK16),HK16-OM16)</f>
        <v>0</v>
      </c>
      <c r="QH16" s="20" t="n">
        <f aca="false">HL16-OO16</f>
        <v>16566.0834702792</v>
      </c>
      <c r="QI16" s="20" t="n">
        <f aca="false">IF(HU16=1,IF(G16=1,ID16+IE16,HS16),0)</f>
        <v>5020.21763076639</v>
      </c>
      <c r="QJ16" s="20" t="n">
        <f aca="false">IF(HU16=1,IF(G16=1,HS16-ID16-IE16,0),0)</f>
        <v>5020.21763076639</v>
      </c>
      <c r="QK16" s="20" t="n">
        <f aca="false">QG16*(1+GR)</f>
        <v>0</v>
      </c>
      <c r="QL16" s="20" t="n">
        <f aca="false">QH16*(1+AS_Cash)</f>
        <v>16731.744304982</v>
      </c>
      <c r="QM16" s="20" t="n">
        <f aca="false">IF(W16=1,IF(HU16=1,II16+IL16,X16-QC16)*(1+Slot1_Rate),0)</f>
        <v>0</v>
      </c>
      <c r="QN16" s="20" t="n">
        <f aca="false">IF(AND(HU16=1,W16=1),(IH16+IL16)/F16,0)</f>
        <v>0</v>
      </c>
      <c r="QO16" s="20" t="n">
        <f aca="false">IF(B16=0,IH16+IL16,0)</f>
        <v>0</v>
      </c>
      <c r="QP16" s="20" t="n">
        <f aca="false">IF(B16=0,IF(HU16=1,IJ16,IK16),0)</f>
        <v>0</v>
      </c>
      <c r="QQ16" s="20" t="n">
        <f aca="false">IF(AH16=1,IF(HU16=1,IQ16+IT16,AI16-QA16)*(1+Slot2_Rate),0)</f>
        <v>0</v>
      </c>
      <c r="QR16" s="20" t="n">
        <f aca="false">IF(AND(HU16=1,AH16=1),(IP16+IT16)/F16,0)</f>
        <v>0</v>
      </c>
      <c r="QS16" s="20" t="n">
        <f aca="false">IF(B16=0,IP16+IT16,0)</f>
        <v>0</v>
      </c>
      <c r="QT16" s="20" t="n">
        <f aca="false">IF(B16=0,IF(HU16=1,IR16,IS16),0)</f>
        <v>0</v>
      </c>
      <c r="QU16" s="20" t="n">
        <f aca="false">IF(AR16=1,IF(HU16=1,IY16+JB16,AS16-PY16)*(1+Slot3_Rate),0)</f>
        <v>24598.7572538097</v>
      </c>
      <c r="QV16" s="20" t="n">
        <f aca="false">IF(AND(HU16=1,AR16=1),(IX16+JB16)/F16,0)</f>
        <v>4284.70740913795</v>
      </c>
      <c r="QW16" s="20" t="n">
        <f aca="false">IF(B16=0,IX16+JB16,0)</f>
        <v>0</v>
      </c>
      <c r="QX16" s="20" t="n">
        <f aca="false">IF(B16=0,IF(HU16=1,IZ16,JA16),0)</f>
        <v>0</v>
      </c>
      <c r="QY16" s="20" t="n">
        <f aca="false">IF(BB16=1,IF(HU16=1,JG16+JJ16,BC16-PW16)*(1+Slot4_Rate),0)</f>
        <v>0</v>
      </c>
      <c r="QZ16" s="20" t="n">
        <f aca="false">IF(AND(HU16=1,BB16=1),(JF16+JJ16)/F16,0)</f>
        <v>0</v>
      </c>
      <c r="RA16" s="20" t="n">
        <f aca="false">IF(B16=0,JF16+JJ16,0)</f>
        <v>0</v>
      </c>
      <c r="RB16" s="20" t="n">
        <f aca="false">IF(B16=0,IF(HU16=1,JH16,JI16),0)</f>
        <v>0</v>
      </c>
      <c r="RC16" s="20" t="n">
        <f aca="false">IF(BL16=1,IF(HU16=1,JO16+JR16,BM16-PU16)*(1+Slot5_Rate),0)</f>
        <v>0</v>
      </c>
      <c r="RD16" s="20" t="n">
        <f aca="false">IF(AND(HU16=1,BL16=1),(JN16+JR16)/F16,0)</f>
        <v>0</v>
      </c>
      <c r="RE16" s="20" t="n">
        <f aca="false">IF(B16=0,JN16+JR16,0)</f>
        <v>0</v>
      </c>
      <c r="RF16" s="20" t="n">
        <f aca="false">IF(B16=0,IF(HU16=1,JP16,JQ16),0)</f>
        <v>0</v>
      </c>
      <c r="RG16" s="20" t="n">
        <f aca="false">IF(BV16=1,IF(HU16=1,JW16+JZ16,BW16-PS16)*(1+Slot6_Rate),0)</f>
        <v>0</v>
      </c>
      <c r="RH16" s="20" t="n">
        <f aca="false">IF(AND(HU16=1,BV16=1),(JV16+JZ16)/F16,0)</f>
        <v>0</v>
      </c>
      <c r="RI16" s="20" t="n">
        <f aca="false">IF(B16=0,JV16+JZ16,0)</f>
        <v>0</v>
      </c>
      <c r="RJ16" s="20" t="n">
        <f aca="false">IF(B16=0,IF(HU16=1,JX16,JY16),0)</f>
        <v>0</v>
      </c>
      <c r="RK16" s="20" t="n">
        <f aca="false">IF(CF16=1,IF(HU16=1,KE16+KH16,CG16-PQ16)*(1+Slot7_Rate),0)</f>
        <v>0</v>
      </c>
      <c r="RL16" s="20" t="n">
        <f aca="false">IF(AND(HU16=1,CF16=1),(KD16+KH16)/F16,0)</f>
        <v>0</v>
      </c>
      <c r="RM16" s="20" t="n">
        <f aca="false">IF(B16=0,KD16+KH16,0)</f>
        <v>0</v>
      </c>
      <c r="RN16" s="20" t="n">
        <f aca="false">IF(B16=0,IF(HU16=1,KF16,KG16),0)</f>
        <v>0</v>
      </c>
      <c r="RO16" s="20" t="n">
        <f aca="false">IF(CP16=1,IF(HU16=1,KM16+KP16,CQ16-PO16)*(1+Slot8_Rate),0)</f>
        <v>0</v>
      </c>
      <c r="RP16" s="20" t="n">
        <f aca="false">IF(AND(HU16=1,CP16=1),(KL16+KP16)/F16,0)</f>
        <v>0</v>
      </c>
      <c r="RQ16" s="20" t="n">
        <f aca="false">IF(B16=0,KL16+KP16,0)</f>
        <v>0</v>
      </c>
      <c r="RR16" s="20" t="n">
        <f aca="false">IF(B16=0,IF(HU16=1,KN16,KO16),0)</f>
        <v>0</v>
      </c>
      <c r="RS16" s="20" t="n">
        <f aca="false">IF(CZ16=1,IF(HU16=1,KU16+KX16,DA16-PM16)*(1+Slot9_Rate),0)</f>
        <v>0</v>
      </c>
      <c r="RT16" s="20" t="n">
        <f aca="false">IF(AND(HU16=1,CZ16=1),(KT16+KX16)/F16,0)</f>
        <v>0</v>
      </c>
      <c r="RU16" s="20" t="n">
        <f aca="false">IF(B16=0,KT16+KX16,0)</f>
        <v>0</v>
      </c>
      <c r="RV16" s="20" t="n">
        <f aca="false">IF(B16=0,IF(HU16=1,KV16,KW16),0)</f>
        <v>0</v>
      </c>
      <c r="RW16" s="20" t="n">
        <f aca="false">IF(DJ16=1,IF(HU16=1,LC16+LF16,DK16-PK16)*(1+Slot10_Rate),0)</f>
        <v>0</v>
      </c>
      <c r="RX16" s="20" t="n">
        <f aca="false">IF(AND(HU16=1,DJ16=1),(LB16+LF16)/F16,0)</f>
        <v>0</v>
      </c>
      <c r="RY16" s="20" t="n">
        <f aca="false">IF(B16=0,LB16+LF16,0)</f>
        <v>0</v>
      </c>
      <c r="RZ16" s="20" t="n">
        <f aca="false">IF(B16=0,IF(HU16=1,LD16,LE16),0)</f>
        <v>0</v>
      </c>
      <c r="SA16" s="20" t="n">
        <f aca="false">IF(DT16=1,IF(HU16=1,LK16+LN16,DU16-PI16)*(1+Slot11_Rate),0)</f>
        <v>0</v>
      </c>
      <c r="SB16" s="20" t="n">
        <f aca="false">IF(AND(HU16=1,DT16=1),(LJ16+LN16)/F16,0)</f>
        <v>0</v>
      </c>
      <c r="SC16" s="20" t="n">
        <f aca="false">IF(B16=0,LJ16+LN16,0)</f>
        <v>0</v>
      </c>
      <c r="SD16" s="20" t="n">
        <f aca="false">IF(B16=0,IF(HU16=1,LL16,LM16),0)</f>
        <v>0</v>
      </c>
      <c r="SE16" s="20" t="n">
        <f aca="false">IF(ED16=1,IF(HU16=1,LS16+LV16,EE16-PG16)*(1+Slot12_Rate),0)</f>
        <v>0</v>
      </c>
      <c r="SF16" s="20" t="n">
        <f aca="false">IF(AND(HU16=1,ED16=1),(LR16+LV16)/F16,0)</f>
        <v>0</v>
      </c>
      <c r="SG16" s="20" t="n">
        <f aca="false">IF(B16=0,LR16+LV16,0)</f>
        <v>0</v>
      </c>
      <c r="SH16" s="20" t="n">
        <f aca="false">IF(B16=0,IF(HU16=1,LT16,LU16),0)</f>
        <v>0</v>
      </c>
      <c r="SI16" s="20" t="n">
        <f aca="false">IF(EN16=1,IF(HU16=1,MA16+MD16,EO16-PE16)*(1+Slot13_Rate),0)</f>
        <v>0</v>
      </c>
      <c r="SJ16" s="20" t="n">
        <f aca="false">IF(AND(HU16=1,EN16=1),(LZ16+MD16)/F16,0)</f>
        <v>0</v>
      </c>
      <c r="SK16" s="20" t="n">
        <f aca="false">IF(B16=0,LZ16+MD16,0)</f>
        <v>0</v>
      </c>
      <c r="SL16" s="20" t="n">
        <f aca="false">IF(B16=0,IF(HU16=1,MB16,MC16),0)</f>
        <v>0</v>
      </c>
      <c r="SM16" s="20" t="n">
        <f aca="false">IF(EX16=1,IF(HU16=1,MI16+ML16,EY16-PC16)*(1+Slot14_Rate),0)</f>
        <v>0</v>
      </c>
      <c r="SN16" s="20" t="n">
        <f aca="false">IF(AND(HU16=1,EX16=1),(MH16+ML16)/F16,0)</f>
        <v>0</v>
      </c>
      <c r="SO16" s="20" t="n">
        <f aca="false">IF(B16=0,MH16+ML16,0)</f>
        <v>0</v>
      </c>
      <c r="SP16" s="20" t="n">
        <f aca="false">IF(B16=0,IF(HU16=1,MJ16,MK16),0)</f>
        <v>0</v>
      </c>
      <c r="SQ16" s="20" t="n">
        <f aca="false">IF(FH16=1,IF(HU16=1,MQ16+MT16,FI16-PA16)*(1+Slot15_Rate),0)</f>
        <v>0</v>
      </c>
      <c r="SR16" s="20" t="n">
        <f aca="false">IF(AND(HU16=1,FH16=1),(MP16+MT16)/F16,0)</f>
        <v>0</v>
      </c>
      <c r="SS16" s="20" t="n">
        <f aca="false">IF(B16=0,MP16+MT16,0)</f>
        <v>0</v>
      </c>
      <c r="ST16" s="20" t="n">
        <f aca="false">IF(B16=0,IF(HU16=1,MR16,MS16),0)</f>
        <v>0</v>
      </c>
      <c r="SU16" s="20" t="n">
        <f aca="false">IF(FR16=1,IF(HU16=1,MY16+NB16,FS16-OY16)*(1+Slot16_Rate),0)</f>
        <v>0</v>
      </c>
      <c r="SV16" s="20" t="n">
        <f aca="false">IF(AND(HU16=1,FR16=1),(MX16+NB16)/F16,0)</f>
        <v>0</v>
      </c>
      <c r="SW16" s="20" t="n">
        <f aca="false">IF(B16=0,MX16+NB16,0)</f>
        <v>0</v>
      </c>
      <c r="SX16" s="20" t="n">
        <f aca="false">IF(B16=0,IF(HU16=1,MZ16,NA16),0)</f>
        <v>0</v>
      </c>
      <c r="SY16" s="20" t="n">
        <f aca="false">IF(GB16=1,IF(HU16=1,NG16+NJ16,GC16-OW16)*(1+Slot17_Rate),0)</f>
        <v>0</v>
      </c>
      <c r="SZ16" s="20" t="n">
        <f aca="false">IF(AND(HU16=1,GB16=1),(NF16+NJ16)/F16,0)</f>
        <v>0</v>
      </c>
      <c r="TA16" s="20" t="n">
        <f aca="false">IF(B16=0,NF16+NJ16,0)</f>
        <v>0</v>
      </c>
      <c r="TB16" s="20" t="n">
        <f aca="false">IF(B16=0,IF(HU16=1,NH16,NI16),0)</f>
        <v>0</v>
      </c>
      <c r="TC16" s="20" t="n">
        <f aca="false">IF(GL16=1,IF(HU16=1,NO16+NR16,GM16-OU16)*(1+Slot18_Rate),0)</f>
        <v>0</v>
      </c>
      <c r="TD16" s="20" t="n">
        <f aca="false">IF(AND(HU16=1,GL16=1),(NN16+NR16)/F16,0)</f>
        <v>0</v>
      </c>
      <c r="TE16" s="20" t="n">
        <f aca="false">IF(B16=0,NN16+NR16,0)</f>
        <v>0</v>
      </c>
      <c r="TF16" s="20" t="n">
        <f aca="false">IF(B16=0,IF(HU16=1,NP16,NQ16),0)</f>
        <v>0</v>
      </c>
      <c r="TG16" s="20" t="n">
        <f aca="false">IF(GV16=1,IF(HU16=1,NW16+NZ16,GW16-OS16)*(1+Slot19_Rate),0)</f>
        <v>0</v>
      </c>
      <c r="TH16" s="20" t="n">
        <f aca="false">IF(AND(HU16=1,GV16=1),(NV16+NZ16)/F16,0)</f>
        <v>0</v>
      </c>
      <c r="TI16" s="20" t="n">
        <f aca="false">IF(B16=0,NV16+NZ16,0)</f>
        <v>0</v>
      </c>
      <c r="TJ16" s="20" t="n">
        <f aca="false">IF(B16=0,IF(HU16=1,NX16,NY16),0)</f>
        <v>0</v>
      </c>
      <c r="TK16" s="20" t="n">
        <f aca="false">IF(HF16=1,IF(HU16=1,OE16+OH16,HG16-OQ16)*(1+Slot20_Rate),0)</f>
        <v>0</v>
      </c>
      <c r="TL16" s="20" t="n">
        <f aca="false">IF(AND(HU16=1,HF16=1),(OD16+OH16)/F16,0)</f>
        <v>0</v>
      </c>
      <c r="TM16" s="20" t="n">
        <f aca="false">IF(B16=0,OD16+OH16,0)</f>
        <v>0</v>
      </c>
      <c r="TN16" s="20" t="n">
        <f aca="false">IF(B16=0,IF(HU16=1,OF16,OG16),0)</f>
        <v>0</v>
      </c>
      <c r="TO16" s="20" t="n">
        <f aca="false">QK16+QL16+QM16+QQ16+QU16+QY16+RC16+RG16+RK16+RO16+RS16+RW16+SA16+SE16+SI16+SM16+SQ16+SU16+SY16+TC16+TG16+TK16</f>
        <v>41330.5015587917</v>
      </c>
      <c r="TP16" s="20" t="n">
        <f aca="false">QE16+HP16</f>
        <v>0</v>
      </c>
      <c r="TQ16" s="20" t="n">
        <f aca="false">I16+S16</f>
        <v>66884.672145102</v>
      </c>
      <c r="TR16" s="20" t="n">
        <f aca="false">1-G16</f>
        <v>0</v>
      </c>
      <c r="TS16" s="20" t="n">
        <f aca="false">IF(AND(RG_Exists=1,G16=0,C16=1),I16,0)</f>
        <v>0</v>
      </c>
      <c r="TT16" s="20" t="n">
        <f aca="false">IF(AND(RG_Exists=1,G16=0,C16=1),I16-MIN(QE16,I16),0)</f>
        <v>0</v>
      </c>
      <c r="TU16" s="20" t="n">
        <f aca="false">'Plan pay &amp; tax'!AD242</f>
        <v>182428.784049191</v>
      </c>
      <c r="TV16" s="20" t="n">
        <f aca="false">IF(AND(C16=1,QE16&gt;MAX(PR_Short1,TQ16*PR_Short2)),1,0)</f>
        <v>0</v>
      </c>
      <c r="TW16" s="20" t="n">
        <f aca="false">MIN(H16,I16+S16)</f>
        <v>66884.672145102</v>
      </c>
      <c r="TX16" s="20" t="n">
        <f aca="false">QF16+MAX(0,HQ16-HP16)</f>
        <v>0</v>
      </c>
      <c r="TY16" s="20" t="n">
        <f aca="false">QE16+HP16</f>
        <v>0</v>
      </c>
      <c r="TZ16" s="20" t="n">
        <f aca="false">IF(AND(C16=1,TY16&gt;PR_MinShort),1,0)</f>
        <v>0</v>
      </c>
      <c r="UA16" s="20" t="n">
        <f aca="false">IF(AND(C16=1,TZ16=0,TX16&gt;PR_MinShort),1,0)</f>
        <v>0</v>
      </c>
      <c r="UB16" s="20" t="n">
        <f aca="false">IF(AND(C16=1,QE16&gt;PR_MinShort),1,0)</f>
        <v>0</v>
      </c>
      <c r="UC16" s="20" t="n">
        <f aca="false">IF(AND(C16=1,QF16&gt;1,UJ16=0),1,0)</f>
        <v>0</v>
      </c>
      <c r="UD16" s="20" t="str">
        <f aca="false">IF(C16=0,"",IF(UJ16=1,"Gap to plan for: short "&amp;"€"&amp;TEXT(ROUND(TP16,0),"#,##0"),IF(QF16&gt;1,"Using savings","Comfortable")))</f>
        <v>Comfortable</v>
      </c>
      <c r="UE16" s="20" t="n">
        <f aca="false">IF(AND(INT(D16/10)*10=90,B16&gt;0),80,INT(D16/10)*10)</f>
        <v>40</v>
      </c>
      <c r="UF16" s="20" t="n">
        <f aca="false">IF(B16=0,1,IF(UE16&lt;&gt;UE15,UF15+1,UF15))</f>
        <v>2</v>
      </c>
      <c r="UG16" s="20" t="n">
        <f aca="false">IF(AND(C16=1,G16=1,QE16&gt;MAX(PR_Short1,TQ16*PR_Short2)),1,0)</f>
        <v>0</v>
      </c>
      <c r="UH16" s="20" t="n">
        <f aca="false">TR16*TV16</f>
        <v>0</v>
      </c>
      <c r="UI16" s="20" t="n">
        <f aca="false">IF(AND(V16=1,Slot1_PctLow=1),1,0)+IF(AND(AG16=1,Slot2_PctLow=1),1,0)+IF(AND(AQ16=1,Slot3_PctLow=1),1,0)+IF(AND(BA16=1,Slot4_PctLow=1),1,0)+IF(AND(BK16=1,Slot5_PctLow=1),1,0)+IF(AND(BU16=1,Slot6_PctLow=1),1,0)+IF(AND(CE16=1,Slot7_PctLow=1),1,0)+IF(AND(CO16=1,Slot8_PctLow=1),1,0)+IF(AND(CY16=1,Slot9_PctLow=1),1,0)+IF(AND(DI16=1,Slot10_PctLow=1),1,0)+IF(AND(DS16=1,Slot11_PctLow=1),1,0)+IF(AND(EC16=1,Slot12_PctLow=1),1,0)+IF(AND(EM16=1,Slot13_PctLow=1),1,0)+IF(AND(EW16=1,Slot14_PctLow=1),1,0)+IF(AND(FG16=1,Slot15_PctLow=1),1,0)+IF(AND(FQ16=1,Slot16_PctLow=1),1,0)+IF(AND(GA16=1,Slot17_PctLow=1),1,0)+IF(AND(GK16=1,Slot18_PctLow=1),1,0)+IF(AND(GU16=1,Slot19_PctLow=1),1,0)+IF(AND(HE16=1,Slot20_PctLow=1),1,0)</f>
        <v>0</v>
      </c>
      <c r="UJ16" s="20" t="n">
        <f aca="false">IF(C16=1,IF(OR(TV16=1,UI16&gt;0),1,0),0)</f>
        <v>0</v>
      </c>
    </row>
    <row r="17" customFormat="false" ht="15" hidden="false" customHeight="true" outlineLevel="0" collapsed="false">
      <c r="B17" s="20" t="n">
        <v>9</v>
      </c>
      <c r="C17" s="20" t="n">
        <f aca="false">IF(B17&lt;=F_N,1,0)</f>
        <v>1</v>
      </c>
      <c r="D17" s="20" t="n">
        <f aca="false">'Plan pay &amp; tax'!C243</f>
        <v>47</v>
      </c>
      <c r="E17" s="20" t="str">
        <f aca="false">IF($C17=1,"Income tax "&amp;TEXT(N('Plan pay &amp; tax'!BK243),"#,##0")&amp;"; USC "&amp;TEXT(N('Plan pay &amp; tax'!BM243)+N('Plan pay &amp; tax'!BO243),"#,##0")&amp;"; PRSI "&amp;TEXT(N('Plan pay &amp; tax'!BP243)+N('Plan pay &amp; tax'!BQ243),"#,##0")&amp;". DIRT and exit tax are inside the growth rates here.","")</f>
        <v>Income tax 11,970; USC 1,733; PRSI 4,105. DIRT and exit tax are inside the growth rates here.</v>
      </c>
      <c r="F17" s="44" t="n">
        <f aca="false">'Plan pay &amp; tax'!E243</f>
        <v>1.19509256862231</v>
      </c>
      <c r="G17" s="20" t="n">
        <f aca="false">'Plan pay &amp; tax'!G243</f>
        <v>1</v>
      </c>
      <c r="H17" s="20" t="n">
        <f aca="false">'Plan pay &amp; tax'!BT243-'Plan pay &amp; tax'!BS243-'Plan pay &amp; tax'!R243</f>
        <v>79028.4369986565</v>
      </c>
      <c r="I17" s="20" t="n">
        <f aca="false">IF(G17=1,F_CostsM*12,IF(RG_Exists=1,RG_Amount,F_CostsM*12*AS_RetireSpend))*F17+F_OneOffY*F17</f>
        <v>53779.165588004</v>
      </c>
      <c r="J17" s="20" t="n">
        <f aca="false">HR16</f>
        <v>135876.528391036</v>
      </c>
      <c r="K17" s="20" t="n">
        <f aca="false">IF(J17&gt;1,'Plan debt months'!AC17,0)</f>
        <v>14160</v>
      </c>
      <c r="L17" s="20" t="n">
        <f aca="false">IF(J17&gt;1,'Plan debt months'!AB17,J17)</f>
        <v>126788.522242771</v>
      </c>
      <c r="M17" s="20" t="n">
        <f aca="false">O16</f>
        <v>0</v>
      </c>
      <c r="N17" s="20" t="n">
        <f aca="false">IF(M17&gt;1,'Plan debt months'!BD17,0)</f>
        <v>0</v>
      </c>
      <c r="O17" s="20" t="n">
        <f aca="false">IF(M17&gt;1,'Plan debt months'!BC17,M17)</f>
        <v>0</v>
      </c>
      <c r="P17" s="20" t="n">
        <f aca="false">R16</f>
        <v>0</v>
      </c>
      <c r="Q17" s="20" t="n">
        <f aca="false">IF(P17&gt;1,'Plan debt months'!CE17,0)</f>
        <v>0</v>
      </c>
      <c r="R17" s="20" t="n">
        <f aca="false">IF(P17&gt;1,'Plan debt months'!CD17,P17)</f>
        <v>0</v>
      </c>
      <c r="S17" s="20" t="n">
        <f aca="false">K17+N17+Q17</f>
        <v>14160</v>
      </c>
      <c r="T17" s="20" t="n">
        <f aca="false">QK16+'Plan pay &amp; tax'!Y243</f>
        <v>0</v>
      </c>
      <c r="U17" s="20" t="n">
        <f aca="false">QK16</f>
        <v>0</v>
      </c>
      <c r="V17" s="20" t="n">
        <f aca="false">IF(AND(Slot1_On=1,D17=Slot1_Age),1,0)</f>
        <v>0</v>
      </c>
      <c r="W17" s="20" t="n">
        <f aca="false">IF(AND(Slot1_On=1,Slot1_Age&gt;D17),1,0)</f>
        <v>0</v>
      </c>
      <c r="X17" s="20" t="n">
        <f aca="false">QM16</f>
        <v>0</v>
      </c>
      <c r="Y17" s="20" t="n">
        <f aca="false">V17*MIN(Slot1_Cost,X17)</f>
        <v>0</v>
      </c>
      <c r="Z17" s="20" t="n">
        <f aca="false">V17*Slot1_SpendLike*MIN(Slot1_Cost-Y17,T17)</f>
        <v>0</v>
      </c>
      <c r="AA17" s="20" t="n">
        <f aca="false">Y17+Z17</f>
        <v>0</v>
      </c>
      <c r="AB17" s="20" t="n">
        <f aca="false">T17-Z17+V17*IF(Slot1_SpendLike=1,X17-Y17,IF(Slot1_PotFree=1,X17,0))</f>
        <v>0</v>
      </c>
      <c r="AC17" s="20" t="n">
        <f aca="false">AF17+V17*Slot1_BufPot*X17</f>
        <v>16731.744304982</v>
      </c>
      <c r="AD17" s="20" t="n">
        <f aca="false">IF(AND(V17=1,Slot1_IsMfree=1),IF(AA17&gt;=Slot1_Cost-1,0,MAX(0,L17-AA17)),L17)</f>
        <v>126788.522242771</v>
      </c>
      <c r="AE17" s="20" t="n">
        <f aca="false">V17*(Slot1_Cost-AA17)</f>
        <v>0</v>
      </c>
      <c r="AF17" s="20" t="n">
        <f aca="false">QL16</f>
        <v>16731.744304982</v>
      </c>
      <c r="AG17" s="20" t="n">
        <f aca="false">IF(AND(Slot2_On=1,D17=Slot2_Age),1,0)</f>
        <v>0</v>
      </c>
      <c r="AH17" s="20" t="n">
        <f aca="false">IF(AND(Slot2_On=1,Slot2_Age&gt;D17),1,0)</f>
        <v>0</v>
      </c>
      <c r="AI17" s="20" t="n">
        <f aca="false">QQ16</f>
        <v>0</v>
      </c>
      <c r="AJ17" s="20" t="n">
        <f aca="false">AG17*MIN(Slot2_Cost,AI17)</f>
        <v>0</v>
      </c>
      <c r="AK17" s="20" t="n">
        <f aca="false">AG17*Slot2_SpendLike*MIN(Slot2_Cost-AJ17,AB17)</f>
        <v>0</v>
      </c>
      <c r="AL17" s="20" t="n">
        <f aca="false">AJ17+AK17</f>
        <v>0</v>
      </c>
      <c r="AM17" s="20" t="n">
        <f aca="false">AB17-AK17+AG17*IF(Slot2_SpendLike=1,AI17-AJ17,IF(Slot2_PotFree=1,AI17,0))</f>
        <v>0</v>
      </c>
      <c r="AN17" s="20" t="n">
        <f aca="false">AC17+AG17*Slot2_BufPot*AI17</f>
        <v>16731.744304982</v>
      </c>
      <c r="AO17" s="20" t="n">
        <f aca="false">IF(AND(AG17=1,Slot2_IsMfree=1),IF(AL17&gt;=Slot2_Cost-1,0,MAX(0,AD17-AL17)),AD17)</f>
        <v>126788.522242771</v>
      </c>
      <c r="AP17" s="20" t="n">
        <f aca="false">AG17*(Slot2_Cost-AL17)</f>
        <v>0</v>
      </c>
      <c r="AQ17" s="20" t="n">
        <f aca="false">IF(AND(Slot3_On=1,D17=Slot3_Age),1,0)</f>
        <v>0</v>
      </c>
      <c r="AR17" s="20" t="n">
        <f aca="false">IF(AND(Slot3_On=1,Slot3_Age&gt;D17),1,0)</f>
        <v>1</v>
      </c>
      <c r="AS17" s="20" t="n">
        <f aca="false">QU16</f>
        <v>24598.7572538097</v>
      </c>
      <c r="AT17" s="20" t="n">
        <f aca="false">AQ17*MIN(Slot3_Cost,AS17)</f>
        <v>0</v>
      </c>
      <c r="AU17" s="20" t="n">
        <f aca="false">AQ17*Slot3_SpendLike*MIN(Slot3_Cost-AT17,AM17)</f>
        <v>0</v>
      </c>
      <c r="AV17" s="20" t="n">
        <f aca="false">AT17+AU17</f>
        <v>0</v>
      </c>
      <c r="AW17" s="20" t="n">
        <f aca="false">AM17-AU17+AQ17*IF(Slot3_SpendLike=1,AS17-AT17,IF(Slot3_PotFree=1,AS17,0))</f>
        <v>0</v>
      </c>
      <c r="AX17" s="20" t="n">
        <f aca="false">AN17+AQ17*Slot3_BufPot*AS17</f>
        <v>16731.744304982</v>
      </c>
      <c r="AY17" s="20" t="n">
        <f aca="false">IF(AND(AQ17=1,Slot3_IsMfree=1),IF(AV17&gt;=Slot3_Cost-1,0,MAX(0,AO17-AV17)),AO17)</f>
        <v>126788.522242771</v>
      </c>
      <c r="AZ17" s="20" t="n">
        <f aca="false">AQ17*(Slot3_Cost-AV17)</f>
        <v>0</v>
      </c>
      <c r="BA17" s="20" t="n">
        <f aca="false">IF(AND(Slot4_On=1,D17=Slot4_Age),1,0)</f>
        <v>0</v>
      </c>
      <c r="BB17" s="20" t="n">
        <f aca="false">IF(AND(Slot4_On=1,Slot4_Age&gt;D17),1,0)</f>
        <v>1</v>
      </c>
      <c r="BC17" s="20" t="n">
        <f aca="false">QY16</f>
        <v>0</v>
      </c>
      <c r="BD17" s="20" t="n">
        <f aca="false">BA17*MIN(Slot4_Cost,BC17)</f>
        <v>0</v>
      </c>
      <c r="BE17" s="20" t="n">
        <f aca="false">BA17*Slot4_SpendLike*MIN(Slot4_Cost-BD17,AW17)</f>
        <v>0</v>
      </c>
      <c r="BF17" s="20" t="n">
        <f aca="false">BD17+BE17</f>
        <v>0</v>
      </c>
      <c r="BG17" s="20" t="n">
        <f aca="false">AW17-BE17+BA17*IF(Slot4_SpendLike=1,BC17-BD17,IF(Slot4_PotFree=1,BC17,0))</f>
        <v>0</v>
      </c>
      <c r="BH17" s="20" t="n">
        <f aca="false">AX17+BA17*Slot4_BufPot*BC17</f>
        <v>16731.744304982</v>
      </c>
      <c r="BI17" s="20" t="n">
        <f aca="false">IF(AND(BA17=1,Slot4_IsMfree=1),IF(BF17&gt;=Slot4_Cost-1,0,MAX(0,AY17-BF17)),AY17)</f>
        <v>126788.522242771</v>
      </c>
      <c r="BJ17" s="20" t="n">
        <f aca="false">BA17*(Slot4_Cost-BF17)</f>
        <v>0</v>
      </c>
      <c r="BK17" s="20" t="n">
        <f aca="false">IF(AND(Slot5_On=1,D17=Slot5_Age),1,0)</f>
        <v>0</v>
      </c>
      <c r="BL17" s="20" t="n">
        <f aca="false">IF(AND(Slot5_On=1,Slot5_Age&gt;D17),1,0)</f>
        <v>0</v>
      </c>
      <c r="BM17" s="20" t="n">
        <f aca="false">RC16</f>
        <v>0</v>
      </c>
      <c r="BN17" s="20" t="n">
        <f aca="false">BK17*MIN(Slot5_Cost,BM17)</f>
        <v>0</v>
      </c>
      <c r="BO17" s="20" t="n">
        <f aca="false">BK17*Slot5_SpendLike*MIN(Slot5_Cost-BN17,BG17)</f>
        <v>0</v>
      </c>
      <c r="BP17" s="20" t="n">
        <f aca="false">BN17+BO17</f>
        <v>0</v>
      </c>
      <c r="BQ17" s="20" t="n">
        <f aca="false">BG17-BO17+BK17*IF(Slot5_SpendLike=1,BM17-BN17,IF(Slot5_PotFree=1,BM17,0))</f>
        <v>0</v>
      </c>
      <c r="BR17" s="20" t="n">
        <f aca="false">BH17+BK17*Slot5_BufPot*BM17</f>
        <v>16731.744304982</v>
      </c>
      <c r="BS17" s="20" t="n">
        <f aca="false">IF(AND(BK17=1,Slot5_IsMfree=1),IF(BP17&gt;=Slot5_Cost-1,0,MAX(0,BI17-BP17)),BI17)</f>
        <v>126788.522242771</v>
      </c>
      <c r="BT17" s="20" t="n">
        <f aca="false">BK17*(Slot5_Cost-BP17)</f>
        <v>0</v>
      </c>
      <c r="BU17" s="20" t="n">
        <f aca="false">IF(AND(Slot6_On=1,D17=Slot6_Age),1,0)</f>
        <v>0</v>
      </c>
      <c r="BV17" s="20" t="n">
        <f aca="false">IF(AND(Slot6_On=1,Slot6_Age&gt;D17),1,0)</f>
        <v>0</v>
      </c>
      <c r="BW17" s="20" t="n">
        <f aca="false">RG16</f>
        <v>0</v>
      </c>
      <c r="BX17" s="20" t="n">
        <f aca="false">BU17*MIN(Slot6_Cost,BW17)</f>
        <v>0</v>
      </c>
      <c r="BY17" s="20" t="n">
        <f aca="false">BU17*Slot6_SpendLike*MIN(Slot6_Cost-BX17,BQ17)</f>
        <v>0</v>
      </c>
      <c r="BZ17" s="20" t="n">
        <f aca="false">BX17+BY17</f>
        <v>0</v>
      </c>
      <c r="CA17" s="20" t="n">
        <f aca="false">BQ17-BY17+BU17*IF(Slot6_SpendLike=1,BW17-BX17,IF(Slot6_PotFree=1,BW17,0))</f>
        <v>0</v>
      </c>
      <c r="CB17" s="20" t="n">
        <f aca="false">BR17+BU17*Slot6_BufPot*BW17</f>
        <v>16731.744304982</v>
      </c>
      <c r="CC17" s="20" t="n">
        <f aca="false">IF(AND(BU17=1,Slot6_IsMfree=1),IF(BZ17&gt;=Slot6_Cost-1,0,MAX(0,BS17-BZ17)),BS17)</f>
        <v>126788.522242771</v>
      </c>
      <c r="CD17" s="20" t="n">
        <f aca="false">BU17*(Slot6_Cost-BZ17)</f>
        <v>0</v>
      </c>
      <c r="CE17" s="20" t="n">
        <f aca="false">IF(AND(Slot7_On=1,D17=Slot7_Age),1,0)</f>
        <v>0</v>
      </c>
      <c r="CF17" s="20" t="n">
        <f aca="false">IF(AND(Slot7_On=1,Slot7_Age&gt;D17),1,0)</f>
        <v>0</v>
      </c>
      <c r="CG17" s="20" t="n">
        <f aca="false">RK16</f>
        <v>0</v>
      </c>
      <c r="CH17" s="20" t="n">
        <f aca="false">CE17*MIN(Slot7_Cost,CG17)</f>
        <v>0</v>
      </c>
      <c r="CI17" s="20" t="n">
        <f aca="false">CE17*Slot7_SpendLike*MIN(Slot7_Cost-CH17,CA17)</f>
        <v>0</v>
      </c>
      <c r="CJ17" s="20" t="n">
        <f aca="false">CH17+CI17</f>
        <v>0</v>
      </c>
      <c r="CK17" s="20" t="n">
        <f aca="false">CA17-CI17+CE17*IF(Slot7_SpendLike=1,CG17-CH17,IF(Slot7_PotFree=1,CG17,0))</f>
        <v>0</v>
      </c>
      <c r="CL17" s="20" t="n">
        <f aca="false">CB17+CE17*Slot7_BufPot*CG17</f>
        <v>16731.744304982</v>
      </c>
      <c r="CM17" s="20" t="n">
        <f aca="false">IF(AND(CE17=1,Slot7_IsMfree=1),IF(CJ17&gt;=Slot7_Cost-1,0,MAX(0,CC17-CJ17)),CC17)</f>
        <v>126788.522242771</v>
      </c>
      <c r="CN17" s="20" t="n">
        <f aca="false">CE17*(Slot7_Cost-CJ17)</f>
        <v>0</v>
      </c>
      <c r="CO17" s="20" t="n">
        <f aca="false">IF(AND(Slot8_On=1,D17=Slot8_Age),1,0)</f>
        <v>0</v>
      </c>
      <c r="CP17" s="20" t="n">
        <f aca="false">IF(AND(Slot8_On=1,Slot8_Age&gt;D17),1,0)</f>
        <v>0</v>
      </c>
      <c r="CQ17" s="20" t="n">
        <f aca="false">RO16</f>
        <v>0</v>
      </c>
      <c r="CR17" s="20" t="n">
        <f aca="false">CO17*MIN(Slot8_Cost,CQ17)</f>
        <v>0</v>
      </c>
      <c r="CS17" s="20" t="n">
        <f aca="false">CO17*Slot8_SpendLike*MIN(Slot8_Cost-CR17,CK17)</f>
        <v>0</v>
      </c>
      <c r="CT17" s="20" t="n">
        <f aca="false">CR17+CS17</f>
        <v>0</v>
      </c>
      <c r="CU17" s="20" t="n">
        <f aca="false">CK17-CS17+CO17*IF(Slot8_SpendLike=1,CQ17-CR17,IF(Slot8_PotFree=1,CQ17,0))</f>
        <v>0</v>
      </c>
      <c r="CV17" s="20" t="n">
        <f aca="false">CL17+CO17*Slot8_BufPot*CQ17</f>
        <v>16731.744304982</v>
      </c>
      <c r="CW17" s="20" t="n">
        <f aca="false">IF(AND(CO17=1,Slot8_IsMfree=1),IF(CT17&gt;=Slot8_Cost-1,0,MAX(0,CM17-CT17)),CM17)</f>
        <v>126788.522242771</v>
      </c>
      <c r="CX17" s="20" t="n">
        <f aca="false">CO17*(Slot8_Cost-CT17)</f>
        <v>0</v>
      </c>
      <c r="CY17" s="20" t="n">
        <f aca="false">IF(AND(Slot9_On=1,D17=Slot9_Age),1,0)</f>
        <v>0</v>
      </c>
      <c r="CZ17" s="20" t="n">
        <f aca="false">IF(AND(Slot9_On=1,Slot9_Age&gt;D17),1,0)</f>
        <v>0</v>
      </c>
      <c r="DA17" s="20" t="n">
        <f aca="false">RS16</f>
        <v>0</v>
      </c>
      <c r="DB17" s="20" t="n">
        <f aca="false">CY17*MIN(Slot9_Cost,DA17)</f>
        <v>0</v>
      </c>
      <c r="DC17" s="20" t="n">
        <f aca="false">CY17*Slot9_SpendLike*MIN(Slot9_Cost-DB17,CU17)</f>
        <v>0</v>
      </c>
      <c r="DD17" s="20" t="n">
        <f aca="false">DB17+DC17</f>
        <v>0</v>
      </c>
      <c r="DE17" s="20" t="n">
        <f aca="false">CU17-DC17+CY17*IF(Slot9_SpendLike=1,DA17-DB17,IF(Slot9_PotFree=1,DA17,0))</f>
        <v>0</v>
      </c>
      <c r="DF17" s="20" t="n">
        <f aca="false">CV17+CY17*Slot9_BufPot*DA17</f>
        <v>16731.744304982</v>
      </c>
      <c r="DG17" s="20" t="n">
        <f aca="false">IF(AND(CY17=1,Slot9_IsMfree=1),IF(DD17&gt;=Slot9_Cost-1,0,MAX(0,CW17-DD17)),CW17)</f>
        <v>126788.522242771</v>
      </c>
      <c r="DH17" s="20" t="n">
        <f aca="false">CY17*(Slot9_Cost-DD17)</f>
        <v>0</v>
      </c>
      <c r="DI17" s="20" t="n">
        <f aca="false">IF(AND(Slot10_On=1,D17=Slot10_Age),1,0)</f>
        <v>0</v>
      </c>
      <c r="DJ17" s="20" t="n">
        <f aca="false">IF(AND(Slot10_On=1,Slot10_Age&gt;D17),1,0)</f>
        <v>0</v>
      </c>
      <c r="DK17" s="20" t="n">
        <f aca="false">RW16</f>
        <v>0</v>
      </c>
      <c r="DL17" s="20" t="n">
        <f aca="false">DI17*MIN(Slot10_Cost,DK17)</f>
        <v>0</v>
      </c>
      <c r="DM17" s="20" t="n">
        <f aca="false">DI17*Slot10_SpendLike*MIN(Slot10_Cost-DL17,DE17)</f>
        <v>0</v>
      </c>
      <c r="DN17" s="20" t="n">
        <f aca="false">DL17+DM17</f>
        <v>0</v>
      </c>
      <c r="DO17" s="20" t="n">
        <f aca="false">DE17-DM17+DI17*IF(Slot10_SpendLike=1,DK17-DL17,IF(Slot10_PotFree=1,DK17,0))</f>
        <v>0</v>
      </c>
      <c r="DP17" s="20" t="n">
        <f aca="false">DF17+DI17*Slot10_BufPot*DK17</f>
        <v>16731.744304982</v>
      </c>
      <c r="DQ17" s="20" t="n">
        <f aca="false">IF(AND(DI17=1,Slot10_IsMfree=1),IF(DN17&gt;=Slot10_Cost-1,0,MAX(0,DG17-DN17)),DG17)</f>
        <v>126788.522242771</v>
      </c>
      <c r="DR17" s="20" t="n">
        <f aca="false">DI17*(Slot10_Cost-DN17)</f>
        <v>0</v>
      </c>
      <c r="DS17" s="20" t="n">
        <f aca="false">IF(AND(Slot11_On=1,D17=Slot11_Age),1,0)</f>
        <v>0</v>
      </c>
      <c r="DT17" s="20" t="n">
        <f aca="false">IF(AND(Slot11_On=1,Slot11_Age&gt;D17),1,0)</f>
        <v>0</v>
      </c>
      <c r="DU17" s="20" t="n">
        <f aca="false">SA16</f>
        <v>0</v>
      </c>
      <c r="DV17" s="20" t="n">
        <f aca="false">DS17*MIN(Slot11_Cost,DU17)</f>
        <v>0</v>
      </c>
      <c r="DW17" s="20" t="n">
        <f aca="false">DS17*Slot11_SpendLike*MIN(Slot11_Cost-DV17,DO17)</f>
        <v>0</v>
      </c>
      <c r="DX17" s="20" t="n">
        <f aca="false">DV17+DW17</f>
        <v>0</v>
      </c>
      <c r="DY17" s="20" t="n">
        <f aca="false">DO17-DW17+DS17*IF(Slot11_SpendLike=1,DU17-DV17,IF(Slot11_PotFree=1,DU17,0))</f>
        <v>0</v>
      </c>
      <c r="DZ17" s="20" t="n">
        <f aca="false">DP17+DS17*Slot11_BufPot*DU17</f>
        <v>16731.744304982</v>
      </c>
      <c r="EA17" s="20" t="n">
        <f aca="false">IF(AND(DS17=1,Slot11_IsMfree=1),IF(DX17&gt;=Slot11_Cost-1,0,MAX(0,DQ17-DX17)),DQ17)</f>
        <v>126788.522242771</v>
      </c>
      <c r="EB17" s="20" t="n">
        <f aca="false">DS17*(Slot11_Cost-DX17)</f>
        <v>0</v>
      </c>
      <c r="EC17" s="20" t="n">
        <f aca="false">IF(AND(Slot12_On=1,D17=Slot12_Age),1,0)</f>
        <v>0</v>
      </c>
      <c r="ED17" s="20" t="n">
        <f aca="false">IF(AND(Slot12_On=1,Slot12_Age&gt;D17),1,0)</f>
        <v>0</v>
      </c>
      <c r="EE17" s="20" t="n">
        <f aca="false">SE16</f>
        <v>0</v>
      </c>
      <c r="EF17" s="20" t="n">
        <f aca="false">EC17*MIN(Slot12_Cost,EE17)</f>
        <v>0</v>
      </c>
      <c r="EG17" s="20" t="n">
        <f aca="false">EC17*Slot12_SpendLike*MIN(Slot12_Cost-EF17,DY17)</f>
        <v>0</v>
      </c>
      <c r="EH17" s="20" t="n">
        <f aca="false">EF17+EG17</f>
        <v>0</v>
      </c>
      <c r="EI17" s="20" t="n">
        <f aca="false">DY17-EG17+EC17*IF(Slot12_SpendLike=1,EE17-EF17,IF(Slot12_PotFree=1,EE17,0))</f>
        <v>0</v>
      </c>
      <c r="EJ17" s="20" t="n">
        <f aca="false">DZ17+EC17*Slot12_BufPot*EE17</f>
        <v>16731.744304982</v>
      </c>
      <c r="EK17" s="20" t="n">
        <f aca="false">IF(AND(EC17=1,Slot12_IsMfree=1),IF(EH17&gt;=Slot12_Cost-1,0,MAX(0,EA17-EH17)),EA17)</f>
        <v>126788.522242771</v>
      </c>
      <c r="EL17" s="20" t="n">
        <f aca="false">EC17*(Slot12_Cost-EH17)</f>
        <v>0</v>
      </c>
      <c r="EM17" s="20" t="n">
        <f aca="false">IF(AND(Slot13_On=1,D17=Slot13_Age),1,0)</f>
        <v>0</v>
      </c>
      <c r="EN17" s="20" t="n">
        <f aca="false">IF(AND(Slot13_On=1,Slot13_Age&gt;D17),1,0)</f>
        <v>0</v>
      </c>
      <c r="EO17" s="20" t="n">
        <f aca="false">SI16</f>
        <v>0</v>
      </c>
      <c r="EP17" s="20" t="n">
        <f aca="false">EM17*MIN(Slot13_Cost,EO17)</f>
        <v>0</v>
      </c>
      <c r="EQ17" s="20" t="n">
        <f aca="false">EM17*Slot13_SpendLike*MIN(Slot13_Cost-EP17,EI17)</f>
        <v>0</v>
      </c>
      <c r="ER17" s="20" t="n">
        <f aca="false">EP17+EQ17</f>
        <v>0</v>
      </c>
      <c r="ES17" s="20" t="n">
        <f aca="false">EI17-EQ17+EM17*IF(Slot13_SpendLike=1,EO17-EP17,IF(Slot13_PotFree=1,EO17,0))</f>
        <v>0</v>
      </c>
      <c r="ET17" s="20" t="n">
        <f aca="false">EJ17+EM17*Slot13_BufPot*EO17</f>
        <v>16731.744304982</v>
      </c>
      <c r="EU17" s="20" t="n">
        <f aca="false">IF(AND(EM17=1,Slot13_IsMfree=1),IF(ER17&gt;=Slot13_Cost-1,0,MAX(0,EK17-ER17)),EK17)</f>
        <v>126788.522242771</v>
      </c>
      <c r="EV17" s="20" t="n">
        <f aca="false">EM17*(Slot13_Cost-ER17)</f>
        <v>0</v>
      </c>
      <c r="EW17" s="20" t="n">
        <f aca="false">IF(AND(Slot14_On=1,D17=Slot14_Age),1,0)</f>
        <v>0</v>
      </c>
      <c r="EX17" s="20" t="n">
        <f aca="false">IF(AND(Slot14_On=1,Slot14_Age&gt;D17),1,0)</f>
        <v>0</v>
      </c>
      <c r="EY17" s="20" t="n">
        <f aca="false">SM16</f>
        <v>0</v>
      </c>
      <c r="EZ17" s="20" t="n">
        <f aca="false">EW17*MIN(Slot14_Cost,EY17)</f>
        <v>0</v>
      </c>
      <c r="FA17" s="20" t="n">
        <f aca="false">EW17*Slot14_SpendLike*MIN(Slot14_Cost-EZ17,ES17)</f>
        <v>0</v>
      </c>
      <c r="FB17" s="20" t="n">
        <f aca="false">EZ17+FA17</f>
        <v>0</v>
      </c>
      <c r="FC17" s="20" t="n">
        <f aca="false">ES17-FA17+EW17*IF(Slot14_SpendLike=1,EY17-EZ17,IF(Slot14_PotFree=1,EY17,0))</f>
        <v>0</v>
      </c>
      <c r="FD17" s="20" t="n">
        <f aca="false">ET17+EW17*Slot14_BufPot*EY17</f>
        <v>16731.744304982</v>
      </c>
      <c r="FE17" s="20" t="n">
        <f aca="false">IF(AND(EW17=1,Slot14_IsMfree=1),IF(FB17&gt;=Slot14_Cost-1,0,MAX(0,EU17-FB17)),EU17)</f>
        <v>126788.522242771</v>
      </c>
      <c r="FF17" s="20" t="n">
        <f aca="false">EW17*(Slot14_Cost-FB17)</f>
        <v>0</v>
      </c>
      <c r="FG17" s="20" t="n">
        <f aca="false">IF(AND(Slot15_On=1,D17=Slot15_Age),1,0)</f>
        <v>0</v>
      </c>
      <c r="FH17" s="20" t="n">
        <f aca="false">IF(AND(Slot15_On=1,Slot15_Age&gt;D17),1,0)</f>
        <v>0</v>
      </c>
      <c r="FI17" s="20" t="n">
        <f aca="false">SQ16</f>
        <v>0</v>
      </c>
      <c r="FJ17" s="20" t="n">
        <f aca="false">FG17*MIN(Slot15_Cost,FI17)</f>
        <v>0</v>
      </c>
      <c r="FK17" s="20" t="n">
        <f aca="false">FG17*Slot15_SpendLike*MIN(Slot15_Cost-FJ17,FC17)</f>
        <v>0</v>
      </c>
      <c r="FL17" s="20" t="n">
        <f aca="false">FJ17+FK17</f>
        <v>0</v>
      </c>
      <c r="FM17" s="20" t="n">
        <f aca="false">FC17-FK17+FG17*IF(Slot15_SpendLike=1,FI17-FJ17,IF(Slot15_PotFree=1,FI17,0))</f>
        <v>0</v>
      </c>
      <c r="FN17" s="20" t="n">
        <f aca="false">FD17+FG17*Slot15_BufPot*FI17</f>
        <v>16731.744304982</v>
      </c>
      <c r="FO17" s="20" t="n">
        <f aca="false">IF(AND(FG17=1,Slot15_IsMfree=1),IF(FL17&gt;=Slot15_Cost-1,0,MAX(0,FE17-FL17)),FE17)</f>
        <v>126788.522242771</v>
      </c>
      <c r="FP17" s="20" t="n">
        <f aca="false">FG17*(Slot15_Cost-FL17)</f>
        <v>0</v>
      </c>
      <c r="FQ17" s="20" t="n">
        <f aca="false">IF(AND(Slot16_On=1,D17=Slot16_Age),1,0)</f>
        <v>0</v>
      </c>
      <c r="FR17" s="20" t="n">
        <f aca="false">IF(AND(Slot16_On=1,Slot16_Age&gt;D17),1,0)</f>
        <v>0</v>
      </c>
      <c r="FS17" s="20" t="n">
        <f aca="false">SU16</f>
        <v>0</v>
      </c>
      <c r="FT17" s="20" t="n">
        <f aca="false">FQ17*MIN(Slot16_Cost,FS17)</f>
        <v>0</v>
      </c>
      <c r="FU17" s="20" t="n">
        <f aca="false">FQ17*Slot16_SpendLike*MIN(Slot16_Cost-FT17,FM17)</f>
        <v>0</v>
      </c>
      <c r="FV17" s="20" t="n">
        <f aca="false">FT17+FU17</f>
        <v>0</v>
      </c>
      <c r="FW17" s="20" t="n">
        <f aca="false">FM17-FU17+FQ17*IF(Slot16_SpendLike=1,FS17-FT17,IF(Slot16_PotFree=1,FS17,0))</f>
        <v>0</v>
      </c>
      <c r="FX17" s="20" t="n">
        <f aca="false">FN17+FQ17*Slot16_BufPot*FS17</f>
        <v>16731.744304982</v>
      </c>
      <c r="FY17" s="20" t="n">
        <f aca="false">IF(AND(FQ17=1,Slot16_IsMfree=1),IF(FV17&gt;=Slot16_Cost-1,0,MAX(0,FO17-FV17)),FO17)</f>
        <v>126788.522242771</v>
      </c>
      <c r="FZ17" s="20" t="n">
        <f aca="false">FQ17*(Slot16_Cost-FV17)</f>
        <v>0</v>
      </c>
      <c r="GA17" s="20" t="n">
        <f aca="false">IF(AND(Slot17_On=1,D17=Slot17_Age),1,0)</f>
        <v>0</v>
      </c>
      <c r="GB17" s="20" t="n">
        <f aca="false">IF(AND(Slot17_On=1,Slot17_Age&gt;D17),1,0)</f>
        <v>0</v>
      </c>
      <c r="GC17" s="20" t="n">
        <f aca="false">SY16</f>
        <v>0</v>
      </c>
      <c r="GD17" s="20" t="n">
        <f aca="false">GA17*MIN(Slot17_Cost,GC17)</f>
        <v>0</v>
      </c>
      <c r="GE17" s="20" t="n">
        <f aca="false">GA17*Slot17_SpendLike*MIN(Slot17_Cost-GD17,FW17)</f>
        <v>0</v>
      </c>
      <c r="GF17" s="20" t="n">
        <f aca="false">GD17+GE17</f>
        <v>0</v>
      </c>
      <c r="GG17" s="20" t="n">
        <f aca="false">FW17-GE17+GA17*IF(Slot17_SpendLike=1,GC17-GD17,IF(Slot17_PotFree=1,GC17,0))</f>
        <v>0</v>
      </c>
      <c r="GH17" s="20" t="n">
        <f aca="false">FX17+GA17*Slot17_BufPot*GC17</f>
        <v>16731.744304982</v>
      </c>
      <c r="GI17" s="20" t="n">
        <f aca="false">IF(AND(GA17=1,Slot17_IsMfree=1),IF(GF17&gt;=Slot17_Cost-1,0,MAX(0,FY17-GF17)),FY17)</f>
        <v>126788.522242771</v>
      </c>
      <c r="GJ17" s="20" t="n">
        <f aca="false">GA17*(Slot17_Cost-GF17)</f>
        <v>0</v>
      </c>
      <c r="GK17" s="20" t="n">
        <f aca="false">IF(AND(Slot18_On=1,D17=Slot18_Age),1,0)</f>
        <v>0</v>
      </c>
      <c r="GL17" s="20" t="n">
        <f aca="false">IF(AND(Slot18_On=1,Slot18_Age&gt;D17),1,0)</f>
        <v>0</v>
      </c>
      <c r="GM17" s="20" t="n">
        <f aca="false">TC16</f>
        <v>0</v>
      </c>
      <c r="GN17" s="20" t="n">
        <f aca="false">GK17*MIN(Slot18_Cost,GM17)</f>
        <v>0</v>
      </c>
      <c r="GO17" s="20" t="n">
        <f aca="false">GK17*Slot18_SpendLike*MIN(Slot18_Cost-GN17,GG17)</f>
        <v>0</v>
      </c>
      <c r="GP17" s="20" t="n">
        <f aca="false">GN17+GO17</f>
        <v>0</v>
      </c>
      <c r="GQ17" s="20" t="n">
        <f aca="false">GG17-GO17+GK17*IF(Slot18_SpendLike=1,GM17-GN17,IF(Slot18_PotFree=1,GM17,0))</f>
        <v>0</v>
      </c>
      <c r="GR17" s="20" t="n">
        <f aca="false">GH17+GK17*Slot18_BufPot*GM17</f>
        <v>16731.744304982</v>
      </c>
      <c r="GS17" s="20" t="n">
        <f aca="false">IF(AND(GK17=1,Slot18_IsMfree=1),IF(GP17&gt;=Slot18_Cost-1,0,MAX(0,GI17-GP17)),GI17)</f>
        <v>126788.522242771</v>
      </c>
      <c r="GT17" s="20" t="n">
        <f aca="false">GK17*(Slot18_Cost-GP17)</f>
        <v>0</v>
      </c>
      <c r="GU17" s="20" t="n">
        <f aca="false">IF(AND(Slot19_On=1,D17=Slot19_Age),1,0)</f>
        <v>0</v>
      </c>
      <c r="GV17" s="20" t="n">
        <f aca="false">IF(AND(Slot19_On=1,Slot19_Age&gt;D17),1,0)</f>
        <v>0</v>
      </c>
      <c r="GW17" s="20" t="n">
        <f aca="false">TG16</f>
        <v>0</v>
      </c>
      <c r="GX17" s="20" t="n">
        <f aca="false">GU17*MIN(Slot19_Cost,GW17)</f>
        <v>0</v>
      </c>
      <c r="GY17" s="20" t="n">
        <f aca="false">GU17*Slot19_SpendLike*MIN(Slot19_Cost-GX17,GQ17)</f>
        <v>0</v>
      </c>
      <c r="GZ17" s="20" t="n">
        <f aca="false">GX17+GY17</f>
        <v>0</v>
      </c>
      <c r="HA17" s="20" t="n">
        <f aca="false">GQ17-GY17+GU17*IF(Slot19_SpendLike=1,GW17-GX17,IF(Slot19_PotFree=1,GW17,0))</f>
        <v>0</v>
      </c>
      <c r="HB17" s="20" t="n">
        <f aca="false">GR17+GU17*Slot19_BufPot*GW17</f>
        <v>16731.744304982</v>
      </c>
      <c r="HC17" s="20" t="n">
        <f aca="false">IF(AND(GU17=1,Slot19_IsMfree=1),IF(GZ17&gt;=Slot19_Cost-1,0,MAX(0,GS17-GZ17)),GS17)</f>
        <v>126788.522242771</v>
      </c>
      <c r="HD17" s="20" t="n">
        <f aca="false">GU17*(Slot19_Cost-GZ17)</f>
        <v>0</v>
      </c>
      <c r="HE17" s="20" t="n">
        <f aca="false">IF(AND(Slot20_On=1,D17=Slot20_Age),1,0)</f>
        <v>0</v>
      </c>
      <c r="HF17" s="20" t="n">
        <f aca="false">IF(AND(Slot20_On=1,Slot20_Age&gt;D17),1,0)</f>
        <v>0</v>
      </c>
      <c r="HG17" s="20" t="n">
        <f aca="false">TK16</f>
        <v>0</v>
      </c>
      <c r="HH17" s="20" t="n">
        <f aca="false">HE17*MIN(Slot20_Cost,HG17)</f>
        <v>0</v>
      </c>
      <c r="HI17" s="20" t="n">
        <f aca="false">HE17*Slot20_SpendLike*MIN(Slot20_Cost-HH17,HA17)</f>
        <v>0</v>
      </c>
      <c r="HJ17" s="20" t="n">
        <f aca="false">HH17+HI17</f>
        <v>0</v>
      </c>
      <c r="HK17" s="20" t="n">
        <f aca="false">HA17-HI17+HE17*IF(Slot20_SpendLike=1,HG17-HH17,IF(Slot20_PotFree=1,HG17,0))</f>
        <v>0</v>
      </c>
      <c r="HL17" s="20" t="n">
        <f aca="false">HB17+HE17*Slot20_BufPot*HG17</f>
        <v>16731.744304982</v>
      </c>
      <c r="HM17" s="20" t="n">
        <f aca="false">IF(AND(HE17=1,Slot20_IsMfree=1),IF(HJ17&gt;=Slot20_Cost-1,0,MAX(0,HC17-HJ17)),HC17)</f>
        <v>126788.522242771</v>
      </c>
      <c r="HN17" s="20" t="n">
        <f aca="false">HE17*(Slot20_Cost-HJ17)</f>
        <v>0</v>
      </c>
      <c r="HO17" s="20" t="n">
        <f aca="false">V17*Slot1_SpendLike*AA17+AG17*Slot2_SpendLike*AL17+AQ17*Slot3_SpendLike*AV17+BA17*Slot4_SpendLike*BF17+BK17*Slot5_SpendLike*BP17+BU17*Slot6_SpendLike*BZ17+CE17*Slot7_SpendLike*CJ17+CO17*Slot8_SpendLike*CT17+CY17*Slot9_SpendLike*DD17+DI17*Slot10_SpendLike*DN17+DS17*Slot11_SpendLike*DX17+EC17*Slot12_SpendLike*EH17+EM17*Slot13_SpendLike*ER17+EW17*Slot14_SpendLike*FB17+FG17*Slot15_SpendLike*FL17+FQ17*Slot16_SpendLike*FV17+GA17*Slot17_SpendLike*GF17+GK17*Slot18_SpendLike*GP17+GU17*Slot19_SpendLike*GZ17+HE17*Slot20_SpendLike*HJ17</f>
        <v>0</v>
      </c>
      <c r="HP17" s="20" t="n">
        <f aca="false">AE17+AP17+AZ17+BJ17+BT17+CD17+CN17+CX17+DH17+DR17+EB17+EL17+EV17+FF17+FP17+FZ17+GJ17+GT17+HD17+HN17</f>
        <v>0</v>
      </c>
      <c r="HQ17" s="20" t="n">
        <f aca="false">V17*Slot1_Cost+AG17*Slot2_Cost+AQ17*Slot3_Cost+BA17*Slot4_Cost+BK17*Slot5_Cost+BU17*Slot6_Cost+CE17*Slot7_Cost+CO17*Slot8_Cost+CY17*Slot9_Cost+DI17*Slot10_Cost+DS17*Slot11_Cost+EC17*Slot12_Cost+EM17*Slot13_Cost+EW17*Slot14_Cost+FG17*Slot15_Cost+FQ17*Slot16_Cost+GA17*Slot17_Cost+GK17*Slot18_Cost+GU17*Slot19_Cost+HE17*Slot20_Cost</f>
        <v>0</v>
      </c>
      <c r="HR17" s="20" t="n">
        <f aca="false">HM17</f>
        <v>126788.522242771</v>
      </c>
      <c r="HS17" s="20" t="n">
        <f aca="false">H17-I17-S17</f>
        <v>11089.2714106525</v>
      </c>
      <c r="HT17" s="20" t="n">
        <f aca="false">IF(B17=0,IF(AND(Has_q6=1,In_q6=4),PR_ShareVaries*(MAX(0,HS17)/12),MIN(IF(Has_q6=1,CHOOSE(In_q6+1,PR_SaveB1,PR_SaveB2,PR_SaveB3,PR_SaveB4,0),AS_NoAnswer),AS_SaveShare*(MAX(0,HS17)/12))),HT16)</f>
        <v>62.3316893520437</v>
      </c>
      <c r="HU17" s="20" t="n">
        <f aca="false">IF(HS17&gt;=0,1,0)</f>
        <v>1</v>
      </c>
      <c r="HV17" s="20" t="n">
        <f aca="false">MAX(0,HS17/12/F17)</f>
        <v>773.250520629552</v>
      </c>
      <c r="HW17" s="20" t="n">
        <f aca="false">IF(AND(Has_q6=1,In_q6=4),PR_ShareVaries*(HV17),MIN(IF(Has_q6=1,CHOOSE(In_q6+1,PR_SaveB1,PR_SaveB2,PR_SaveB3,PR_SaveB4,0),AS_NoAnswer),AS_SaveShare*(HV17)))</f>
        <v>386.625260314776</v>
      </c>
      <c r="HX17" s="20" t="n">
        <f aca="false">IF(Has_saveM=1,IF(In_saveUp="Yes",1,IF(In_saveUp="No",0,IF(In_saveM&gt;=HT17-0.5,1,0))),0)</f>
        <v>0</v>
      </c>
      <c r="HY17" s="20" t="n">
        <f aca="false">IF(Has_saveM=1,MIN(HV17,IF(HX17=1,MAX(In_saveM,HW17),MIN(In_saveM,HW17))),HW17)</f>
        <v>386.625260314776</v>
      </c>
      <c r="HZ17" s="20" t="n">
        <f aca="false">IF(G17=1,HY17*12*F17,0)</f>
        <v>5544.63570532627</v>
      </c>
      <c r="IA17" s="20" t="n">
        <f aca="false">MAX(0,HZ17+IF(AND(WI_Retire=0,WI_M&lt;0,G17=1),WI_M*12*F17,0))</f>
        <v>5544.63570532627</v>
      </c>
      <c r="IB17" s="20" t="n">
        <f aca="false">Slot1_IsWG*W17+Slot2_IsWG*AH17+Slot3_IsWG*AR17+Slot4_IsWG*BB17+Slot5_IsWG*BL17+Slot6_IsWG*BV17+Slot7_IsWG*CF17+Slot8_IsWG*CP17+Slot9_IsWG*CZ17+Slot10_IsWG*DJ17+Slot11_IsWG*DT17+Slot12_IsWG*ED17+Slot13_IsWG*EN17+Slot14_IsWG*EX17+Slot15_IsWG*FH17+Slot16_IsWG*FR17+Slot17_IsWG*GB17+Slot18_IsWG*GL17+Slot19_IsWG*GV17+Slot20_IsWG*HF17</f>
        <v>0</v>
      </c>
      <c r="IC17" s="20" t="n">
        <f aca="false">IF(AND(WI_Retire=0,WI_M&gt;0,G17=1,IB17&gt;=1),WI_M*12*F17,0)</f>
        <v>0</v>
      </c>
      <c r="ID17" s="20" t="n">
        <f aca="false">IF(HU17=1,MIN(IA17,HS17),0)</f>
        <v>5544.63570532627</v>
      </c>
      <c r="IE17" s="20" t="n">
        <f aca="false">IF(HU17=1,MIN(IC17,HS17-ID17),0)</f>
        <v>0</v>
      </c>
      <c r="IF17" s="20" t="n">
        <f aca="false">IF(W17=1,IF(ABS((1+AS_Wage)/(1+Slot1_Rate)-1)&lt;0.000000000001,(Slot1_Age-D17)*(1+Slot1_Rate)^(Slot1_Age-D17),(1+Slot1_Rate)^(Slot1_Age-D17)*(1-((1+AS_Wage)/(1+Slot1_Rate))^(Slot1_Age-D17))/(1-(1+AS_Wage)/(1+Slot1_Rate))),1)</f>
        <v>1</v>
      </c>
      <c r="IG17" s="20" t="n">
        <f aca="false">IF(AND(HU17=1,IE17&gt;0,Slot1_IsWG=1,W17=1),MAX(0,(Slot1_Cost-X17*(1+Slot1_Rate)^(Slot1_Age-D17))/IF17),0)</f>
        <v>0</v>
      </c>
      <c r="IH17" s="20" t="n">
        <f aca="false">IF(AND(HU17=1,IE17&gt;0,Slot1_IsWG=1,W17=1),MIN(IE17,IG17),0)</f>
        <v>0</v>
      </c>
      <c r="II17" s="20" t="n">
        <f aca="false">X17+IH17</f>
        <v>0</v>
      </c>
      <c r="IJ17" s="20" t="n">
        <f aca="false">IF(W17=1,MAX(0,(Slot1_Cost-II17*(1+Slot1_Rate)^(Slot1_Age-D17))/IF17),0)</f>
        <v>0</v>
      </c>
      <c r="IK17" s="20" t="n">
        <f aca="false">IF(W17=1,MAX(0,(Slot1_Cost-X17*(1+Slot1_Rate)^(Slot1_Age-D17))/IF17),0)</f>
        <v>0</v>
      </c>
      <c r="IL17" s="20" t="n">
        <f aca="false">IF(AND(HU17=1,W17=1),MIN(ID17,IJ17),0)</f>
        <v>0</v>
      </c>
      <c r="IM17" s="20" t="n">
        <f aca="false">ID17-IL17</f>
        <v>5544.63570532627</v>
      </c>
      <c r="IN17" s="20" t="n">
        <f aca="false">IF(AH17=1,IF(ABS((1+AS_Wage)/(1+Slot2_Rate)-1)&lt;0.000000000001,(Slot2_Age-D17)*(1+Slot2_Rate)^(Slot2_Age-D17),(1+Slot2_Rate)^(Slot2_Age-D17)*(1-((1+AS_Wage)/(1+Slot2_Rate))^(Slot2_Age-D17))/(1-(1+AS_Wage)/(1+Slot2_Rate))),1)</f>
        <v>1</v>
      </c>
      <c r="IO17" s="20" t="n">
        <f aca="false">IF(AND(HU17=1,IE17&gt;0,Slot2_IsWG=1,AH17=1),MAX(0,(Slot2_Cost-AI17*(1+Slot2_Rate)^(Slot2_Age-D17))/IN17),0)</f>
        <v>0</v>
      </c>
      <c r="IP17" s="20" t="n">
        <f aca="false">IF(AND(HU17=1,IE17&gt;0,Slot2_IsWG=1,AH17=1),MIN(IE17,IO17),0)</f>
        <v>0</v>
      </c>
      <c r="IQ17" s="20" t="n">
        <f aca="false">AI17+IP17</f>
        <v>0</v>
      </c>
      <c r="IR17" s="20" t="n">
        <f aca="false">IF(AH17=1,MAX(0,(Slot2_Cost-IQ17*(1+Slot2_Rate)^(Slot2_Age-D17))/IN17),0)</f>
        <v>0</v>
      </c>
      <c r="IS17" s="20" t="n">
        <f aca="false">IF(AH17=1,MAX(0,(Slot2_Cost-AI17*(1+Slot2_Rate)^(Slot2_Age-D17))/IN17),0)</f>
        <v>0</v>
      </c>
      <c r="IT17" s="20" t="n">
        <f aca="false">IF(AND(HU17=1,AH17=1),MIN(IM17,IR17),0)</f>
        <v>0</v>
      </c>
      <c r="IU17" s="20" t="n">
        <f aca="false">IM17-IT17</f>
        <v>5544.63570532627</v>
      </c>
      <c r="IV17" s="20" t="n">
        <f aca="false">IF(AR17=1,IF(ABS((1+AS_Wage)/(1+Slot3_Rate)-1)&lt;0.000000000001,(Slot3_Age-D17)*(1+Slot3_Rate)^(Slot3_Age-D17),(1+Slot3_Rate)^(Slot3_Age-D17)*(1-((1+AS_Wage)/(1+Slot3_Rate))^(Slot3_Age-D17))/(1-(1+AS_Wage)/(1+Slot3_Rate))),1)</f>
        <v>1.026</v>
      </c>
      <c r="IW17" s="20" t="n">
        <f aca="false">IF(AND(HU17=1,IE17&gt;0,Slot3_IsWG=1,AR17=1),MAX(0,(Slot3_Cost-AS17*(1+Slot3_Rate)^(Slot3_Age-D17))/IV17),0)</f>
        <v>0</v>
      </c>
      <c r="IX17" s="20" t="n">
        <f aca="false">IF(AND(HU17=1,IE17&gt;0,Slot3_IsWG=1,AR17=1),MIN(IE17,IW17),0)</f>
        <v>0</v>
      </c>
      <c r="IY17" s="20" t="n">
        <f aca="false">AS17+IX17</f>
        <v>24598.7572538097</v>
      </c>
      <c r="IZ17" s="20" t="n">
        <f aca="false">IF(AR17=1,MAX(0,(Slot3_Cost-IY17*(1+Slot3_Rate)^(Slot3_Age-D17))/IV17),0)</f>
        <v>34806.4289057789</v>
      </c>
      <c r="JA17" s="20" t="n">
        <f aca="false">IF(AR17=1,MAX(0,(Slot3_Cost-AS17*(1+Slot3_Rate)^(Slot3_Age-D17))/IV17),0)</f>
        <v>34806.4289057789</v>
      </c>
      <c r="JB17" s="20" t="n">
        <f aca="false">IF(AND(HU17=1,AR17=1),MIN(IU17,IZ17),0)</f>
        <v>5544.63570532627</v>
      </c>
      <c r="JC17" s="20" t="n">
        <f aca="false">IU17-JB17</f>
        <v>0</v>
      </c>
      <c r="JD17" s="20" t="n">
        <f aca="false">IF(BB17=1,IF(ABS((1+AS_Wage)/(1+Slot4_Rate)-1)&lt;0.000000000001,(Slot4_Age-D17)*(1+Slot4_Rate)^(Slot4_Age-D17),(1+Slot4_Rate)^(Slot4_Age-D17)*(1-((1+AS_Wage)/(1+Slot4_Rate))^(Slot4_Age-D17))/(1-(1+AS_Wage)/(1+Slot4_Rate))),1)</f>
        <v>9.9586543085907</v>
      </c>
      <c r="JE17" s="20" t="n">
        <f aca="false">IF(AND(HU17=1,IE17&gt;0,Slot4_IsWG=1,BB17=1),MAX(0,(Slot4_Cost-BC17*(1+Slot4_Rate)^(Slot4_Age-D17))/JD17),0)</f>
        <v>0</v>
      </c>
      <c r="JF17" s="20" t="n">
        <f aca="false">IF(AND(HU17=1,IE17&gt;0,Slot4_IsWG=1,BB17=1),MIN(IE17,JE17),0)</f>
        <v>0</v>
      </c>
      <c r="JG17" s="20" t="n">
        <f aca="false">BC17+JF17</f>
        <v>0</v>
      </c>
      <c r="JH17" s="20" t="n">
        <f aca="false">IF(BB17=1,MAX(0,(Slot4_Cost-JG17*(1+Slot4_Rate)^(Slot4_Age-D17))/JD17),0)</f>
        <v>4018.60476453194</v>
      </c>
      <c r="JI17" s="20" t="n">
        <f aca="false">IF(BB17=1,MAX(0,(Slot4_Cost-BC17*(1+Slot4_Rate)^(Slot4_Age-D17))/JD17),0)</f>
        <v>4018.60476453194</v>
      </c>
      <c r="JJ17" s="20" t="n">
        <f aca="false">IF(AND(HU17=1,BB17=1),MIN(JC17,JH17),0)</f>
        <v>0</v>
      </c>
      <c r="JK17" s="20" t="n">
        <f aca="false">JC17-JJ17</f>
        <v>0</v>
      </c>
      <c r="JL17" s="20" t="n">
        <f aca="false">IF(BL17=1,IF(ABS((1+AS_Wage)/(1+Slot5_Rate)-1)&lt;0.000000000001,(Slot5_Age-D17)*(1+Slot5_Rate)^(Slot5_Age-D17),(1+Slot5_Rate)^(Slot5_Age-D17)*(1-((1+AS_Wage)/(1+Slot5_Rate))^(Slot5_Age-D17))/(1-(1+AS_Wage)/(1+Slot5_Rate))),1)</f>
        <v>1</v>
      </c>
      <c r="JM17" s="20" t="n">
        <f aca="false">IF(AND(HU17=1,IE17&gt;0,Slot5_IsWG=1,BL17=1),MAX(0,(Slot5_Cost-BM17*(1+Slot5_Rate)^(Slot5_Age-D17))/JL17),0)</f>
        <v>0</v>
      </c>
      <c r="JN17" s="20" t="n">
        <f aca="false">IF(AND(HU17=1,IE17&gt;0,Slot5_IsWG=1,BL17=1),MIN(IE17,JM17),0)</f>
        <v>0</v>
      </c>
      <c r="JO17" s="20" t="n">
        <f aca="false">BM17+JN17</f>
        <v>0</v>
      </c>
      <c r="JP17" s="20" t="n">
        <f aca="false">IF(BL17=1,MAX(0,(Slot5_Cost-JO17*(1+Slot5_Rate)^(Slot5_Age-D17))/JL17),0)</f>
        <v>0</v>
      </c>
      <c r="JQ17" s="20" t="n">
        <f aca="false">IF(BL17=1,MAX(0,(Slot5_Cost-BM17*(1+Slot5_Rate)^(Slot5_Age-D17))/JL17),0)</f>
        <v>0</v>
      </c>
      <c r="JR17" s="20" t="n">
        <f aca="false">IF(AND(HU17=1,BL17=1),MIN(JK17,JP17),0)</f>
        <v>0</v>
      </c>
      <c r="JS17" s="20" t="n">
        <f aca="false">JK17-JR17</f>
        <v>0</v>
      </c>
      <c r="JT17" s="20" t="n">
        <f aca="false">IF(BV17=1,IF(ABS((1+AS_Wage)/(1+Slot6_Rate)-1)&lt;0.000000000001,(Slot6_Age-D17)*(1+Slot6_Rate)^(Slot6_Age-D17),(1+Slot6_Rate)^(Slot6_Age-D17)*(1-((1+AS_Wage)/(1+Slot6_Rate))^(Slot6_Age-D17))/(1-(1+AS_Wage)/(1+Slot6_Rate))),1)</f>
        <v>1</v>
      </c>
      <c r="JU17" s="20" t="n">
        <f aca="false">IF(AND(HU17=1,IE17&gt;0,Slot6_IsWG=1,BV17=1),MAX(0,(Slot6_Cost-BW17*(1+Slot6_Rate)^(Slot6_Age-D17))/JT17),0)</f>
        <v>0</v>
      </c>
      <c r="JV17" s="20" t="n">
        <f aca="false">IF(AND(HU17=1,IE17&gt;0,Slot6_IsWG=1,BV17=1),MIN(IE17,JU17),0)</f>
        <v>0</v>
      </c>
      <c r="JW17" s="20" t="n">
        <f aca="false">BW17+JV17</f>
        <v>0</v>
      </c>
      <c r="JX17" s="20" t="n">
        <f aca="false">IF(BV17=1,MAX(0,(Slot6_Cost-JW17*(1+Slot6_Rate)^(Slot6_Age-D17))/JT17),0)</f>
        <v>0</v>
      </c>
      <c r="JY17" s="20" t="n">
        <f aca="false">IF(BV17=1,MAX(0,(Slot6_Cost-BW17*(1+Slot6_Rate)^(Slot6_Age-D17))/JT17),0)</f>
        <v>0</v>
      </c>
      <c r="JZ17" s="20" t="n">
        <f aca="false">IF(AND(HU17=1,BV17=1),MIN(JS17,JX17),0)</f>
        <v>0</v>
      </c>
      <c r="KA17" s="20" t="n">
        <f aca="false">JS17-JZ17</f>
        <v>0</v>
      </c>
      <c r="KB17" s="20" t="n">
        <f aca="false">IF(CF17=1,IF(ABS((1+AS_Wage)/(1+Slot7_Rate)-1)&lt;0.000000000001,(Slot7_Age-D17)*(1+Slot7_Rate)^(Slot7_Age-D17),(1+Slot7_Rate)^(Slot7_Age-D17)*(1-((1+AS_Wage)/(1+Slot7_Rate))^(Slot7_Age-D17))/(1-(1+AS_Wage)/(1+Slot7_Rate))),1)</f>
        <v>1</v>
      </c>
      <c r="KC17" s="20" t="n">
        <f aca="false">IF(AND(HU17=1,IE17&gt;0,Slot7_IsWG=1,CF17=1),MAX(0,(Slot7_Cost-CG17*(1+Slot7_Rate)^(Slot7_Age-D17))/KB17),0)</f>
        <v>0</v>
      </c>
      <c r="KD17" s="20" t="n">
        <f aca="false">IF(AND(HU17=1,IE17&gt;0,Slot7_IsWG=1,CF17=1),MIN(IE17,KC17),0)</f>
        <v>0</v>
      </c>
      <c r="KE17" s="20" t="n">
        <f aca="false">CG17+KD17</f>
        <v>0</v>
      </c>
      <c r="KF17" s="20" t="n">
        <f aca="false">IF(CF17=1,MAX(0,(Slot7_Cost-KE17*(1+Slot7_Rate)^(Slot7_Age-D17))/KB17),0)</f>
        <v>0</v>
      </c>
      <c r="KG17" s="20" t="n">
        <f aca="false">IF(CF17=1,MAX(0,(Slot7_Cost-CG17*(1+Slot7_Rate)^(Slot7_Age-D17))/KB17),0)</f>
        <v>0</v>
      </c>
      <c r="KH17" s="20" t="n">
        <f aca="false">IF(AND(HU17=1,CF17=1),MIN(KA17,KF17),0)</f>
        <v>0</v>
      </c>
      <c r="KI17" s="20" t="n">
        <f aca="false">KA17-KH17</f>
        <v>0</v>
      </c>
      <c r="KJ17" s="20" t="n">
        <f aca="false">IF(CP17=1,IF(ABS((1+AS_Wage)/(1+Slot8_Rate)-1)&lt;0.000000000001,(Slot8_Age-D17)*(1+Slot8_Rate)^(Slot8_Age-D17),(1+Slot8_Rate)^(Slot8_Age-D17)*(1-((1+AS_Wage)/(1+Slot8_Rate))^(Slot8_Age-D17))/(1-(1+AS_Wage)/(1+Slot8_Rate))),1)</f>
        <v>1</v>
      </c>
      <c r="KK17" s="20" t="n">
        <f aca="false">IF(AND(HU17=1,IE17&gt;0,Slot8_IsWG=1,CP17=1),MAX(0,(Slot8_Cost-CQ17*(1+Slot8_Rate)^(Slot8_Age-D17))/KJ17),0)</f>
        <v>0</v>
      </c>
      <c r="KL17" s="20" t="n">
        <f aca="false">IF(AND(HU17=1,IE17&gt;0,Slot8_IsWG=1,CP17=1),MIN(IE17,KK17),0)</f>
        <v>0</v>
      </c>
      <c r="KM17" s="20" t="n">
        <f aca="false">CQ17+KL17</f>
        <v>0</v>
      </c>
      <c r="KN17" s="20" t="n">
        <f aca="false">IF(CP17=1,MAX(0,(Slot8_Cost-KM17*(1+Slot8_Rate)^(Slot8_Age-D17))/KJ17),0)</f>
        <v>0</v>
      </c>
      <c r="KO17" s="20" t="n">
        <f aca="false">IF(CP17=1,MAX(0,(Slot8_Cost-CQ17*(1+Slot8_Rate)^(Slot8_Age-D17))/KJ17),0)</f>
        <v>0</v>
      </c>
      <c r="KP17" s="20" t="n">
        <f aca="false">IF(AND(HU17=1,CP17=1),MIN(KI17,KN17),0)</f>
        <v>0</v>
      </c>
      <c r="KQ17" s="20" t="n">
        <f aca="false">KI17-KP17</f>
        <v>0</v>
      </c>
      <c r="KR17" s="20" t="n">
        <f aca="false">IF(CZ17=1,IF(ABS((1+AS_Wage)/(1+Slot9_Rate)-1)&lt;0.000000000001,(Slot9_Age-D17)*(1+Slot9_Rate)^(Slot9_Age-D17),(1+Slot9_Rate)^(Slot9_Age-D17)*(1-((1+AS_Wage)/(1+Slot9_Rate))^(Slot9_Age-D17))/(1-(1+AS_Wage)/(1+Slot9_Rate))),1)</f>
        <v>1</v>
      </c>
      <c r="KS17" s="20" t="n">
        <f aca="false">IF(AND(HU17=1,IE17&gt;0,Slot9_IsWG=1,CZ17=1),MAX(0,(Slot9_Cost-DA17*(1+Slot9_Rate)^(Slot9_Age-D17))/KR17),0)</f>
        <v>0</v>
      </c>
      <c r="KT17" s="20" t="n">
        <f aca="false">IF(AND(HU17=1,IE17&gt;0,Slot9_IsWG=1,CZ17=1),MIN(IE17,KS17),0)</f>
        <v>0</v>
      </c>
      <c r="KU17" s="20" t="n">
        <f aca="false">DA17+KT17</f>
        <v>0</v>
      </c>
      <c r="KV17" s="20" t="n">
        <f aca="false">IF(CZ17=1,MAX(0,(Slot9_Cost-KU17*(1+Slot9_Rate)^(Slot9_Age-D17))/KR17),0)</f>
        <v>0</v>
      </c>
      <c r="KW17" s="20" t="n">
        <f aca="false">IF(CZ17=1,MAX(0,(Slot9_Cost-DA17*(1+Slot9_Rate)^(Slot9_Age-D17))/KR17),0)</f>
        <v>0</v>
      </c>
      <c r="KX17" s="20" t="n">
        <f aca="false">IF(AND(HU17=1,CZ17=1),MIN(KQ17,KV17),0)</f>
        <v>0</v>
      </c>
      <c r="KY17" s="20" t="n">
        <f aca="false">KQ17-KX17</f>
        <v>0</v>
      </c>
      <c r="KZ17" s="20" t="n">
        <f aca="false">IF(DJ17=1,IF(ABS((1+AS_Wage)/(1+Slot10_Rate)-1)&lt;0.000000000001,(Slot10_Age-D17)*(1+Slot10_Rate)^(Slot10_Age-D17),(1+Slot10_Rate)^(Slot10_Age-D17)*(1-((1+AS_Wage)/(1+Slot10_Rate))^(Slot10_Age-D17))/(1-(1+AS_Wage)/(1+Slot10_Rate))),1)</f>
        <v>1</v>
      </c>
      <c r="LA17" s="20" t="n">
        <f aca="false">IF(AND(HU17=1,IE17&gt;0,Slot10_IsWG=1,DJ17=1),MAX(0,(Slot10_Cost-DK17*(1+Slot10_Rate)^(Slot10_Age-D17))/KZ17),0)</f>
        <v>0</v>
      </c>
      <c r="LB17" s="20" t="n">
        <f aca="false">IF(AND(HU17=1,IE17&gt;0,Slot10_IsWG=1,DJ17=1),MIN(IE17,LA17),0)</f>
        <v>0</v>
      </c>
      <c r="LC17" s="20" t="n">
        <f aca="false">DK17+LB17</f>
        <v>0</v>
      </c>
      <c r="LD17" s="20" t="n">
        <f aca="false">IF(DJ17=1,MAX(0,(Slot10_Cost-LC17*(1+Slot10_Rate)^(Slot10_Age-D17))/KZ17),0)</f>
        <v>0</v>
      </c>
      <c r="LE17" s="20" t="n">
        <f aca="false">IF(DJ17=1,MAX(0,(Slot10_Cost-DK17*(1+Slot10_Rate)^(Slot10_Age-D17))/KZ17),0)</f>
        <v>0</v>
      </c>
      <c r="LF17" s="20" t="n">
        <f aca="false">IF(AND(HU17=1,DJ17=1),MIN(KY17,LD17),0)</f>
        <v>0</v>
      </c>
      <c r="LG17" s="20" t="n">
        <f aca="false">KY17-LF17</f>
        <v>0</v>
      </c>
      <c r="LH17" s="20" t="n">
        <f aca="false">IF(DT17=1,IF(ABS((1+AS_Wage)/(1+Slot11_Rate)-1)&lt;0.000000000001,(Slot11_Age-D17)*(1+Slot11_Rate)^(Slot11_Age-D17),(1+Slot11_Rate)^(Slot11_Age-D17)*(1-((1+AS_Wage)/(1+Slot11_Rate))^(Slot11_Age-D17))/(1-(1+AS_Wage)/(1+Slot11_Rate))),1)</f>
        <v>1</v>
      </c>
      <c r="LI17" s="20" t="n">
        <f aca="false">IF(AND(HU17=1,IE17&gt;0,Slot11_IsWG=1,DT17=1),MAX(0,(Slot11_Cost-DU17*(1+Slot11_Rate)^(Slot11_Age-D17))/LH17),0)</f>
        <v>0</v>
      </c>
      <c r="LJ17" s="20" t="n">
        <f aca="false">IF(AND(HU17=1,IE17&gt;0,Slot11_IsWG=1,DT17=1),MIN(IE17,LI17),0)</f>
        <v>0</v>
      </c>
      <c r="LK17" s="20" t="n">
        <f aca="false">DU17+LJ17</f>
        <v>0</v>
      </c>
      <c r="LL17" s="20" t="n">
        <f aca="false">IF(DT17=1,MAX(0,(Slot11_Cost-LK17*(1+Slot11_Rate)^(Slot11_Age-D17))/LH17),0)</f>
        <v>0</v>
      </c>
      <c r="LM17" s="20" t="n">
        <f aca="false">IF(DT17=1,MAX(0,(Slot11_Cost-DU17*(1+Slot11_Rate)^(Slot11_Age-D17))/LH17),0)</f>
        <v>0</v>
      </c>
      <c r="LN17" s="20" t="n">
        <f aca="false">IF(AND(HU17=1,DT17=1),MIN(LG17,LL17),0)</f>
        <v>0</v>
      </c>
      <c r="LO17" s="20" t="n">
        <f aca="false">LG17-LN17</f>
        <v>0</v>
      </c>
      <c r="LP17" s="20" t="n">
        <f aca="false">IF(ED17=1,IF(ABS((1+AS_Wage)/(1+Slot12_Rate)-1)&lt;0.000000000001,(Slot12_Age-D17)*(1+Slot12_Rate)^(Slot12_Age-D17),(1+Slot12_Rate)^(Slot12_Age-D17)*(1-((1+AS_Wage)/(1+Slot12_Rate))^(Slot12_Age-D17))/(1-(1+AS_Wage)/(1+Slot12_Rate))),1)</f>
        <v>1</v>
      </c>
      <c r="LQ17" s="20" t="n">
        <f aca="false">IF(AND(HU17=1,IE17&gt;0,Slot12_IsWG=1,ED17=1),MAX(0,(Slot12_Cost-EE17*(1+Slot12_Rate)^(Slot12_Age-D17))/LP17),0)</f>
        <v>0</v>
      </c>
      <c r="LR17" s="20" t="n">
        <f aca="false">IF(AND(HU17=1,IE17&gt;0,Slot12_IsWG=1,ED17=1),MIN(IE17,LQ17),0)</f>
        <v>0</v>
      </c>
      <c r="LS17" s="20" t="n">
        <f aca="false">EE17+LR17</f>
        <v>0</v>
      </c>
      <c r="LT17" s="20" t="n">
        <f aca="false">IF(ED17=1,MAX(0,(Slot12_Cost-LS17*(1+Slot12_Rate)^(Slot12_Age-D17))/LP17),0)</f>
        <v>0</v>
      </c>
      <c r="LU17" s="20" t="n">
        <f aca="false">IF(ED17=1,MAX(0,(Slot12_Cost-EE17*(1+Slot12_Rate)^(Slot12_Age-D17))/LP17),0)</f>
        <v>0</v>
      </c>
      <c r="LV17" s="20" t="n">
        <f aca="false">IF(AND(HU17=1,ED17=1),MIN(LO17,LT17),0)</f>
        <v>0</v>
      </c>
      <c r="LW17" s="20" t="n">
        <f aca="false">LO17-LV17</f>
        <v>0</v>
      </c>
      <c r="LX17" s="20" t="n">
        <f aca="false">IF(EN17=1,IF(ABS((1+AS_Wage)/(1+Slot13_Rate)-1)&lt;0.000000000001,(Slot13_Age-D17)*(1+Slot13_Rate)^(Slot13_Age-D17),(1+Slot13_Rate)^(Slot13_Age-D17)*(1-((1+AS_Wage)/(1+Slot13_Rate))^(Slot13_Age-D17))/(1-(1+AS_Wage)/(1+Slot13_Rate))),1)</f>
        <v>1</v>
      </c>
      <c r="LY17" s="20" t="n">
        <f aca="false">IF(AND(HU17=1,IE17&gt;0,Slot13_IsWG=1,EN17=1),MAX(0,(Slot13_Cost-EO17*(1+Slot13_Rate)^(Slot13_Age-D17))/LX17),0)</f>
        <v>0</v>
      </c>
      <c r="LZ17" s="20" t="n">
        <f aca="false">IF(AND(HU17=1,IE17&gt;0,Slot13_IsWG=1,EN17=1),MIN(IE17,LY17),0)</f>
        <v>0</v>
      </c>
      <c r="MA17" s="20" t="n">
        <f aca="false">EO17+LZ17</f>
        <v>0</v>
      </c>
      <c r="MB17" s="20" t="n">
        <f aca="false">IF(EN17=1,MAX(0,(Slot13_Cost-MA17*(1+Slot13_Rate)^(Slot13_Age-D17))/LX17),0)</f>
        <v>0</v>
      </c>
      <c r="MC17" s="20" t="n">
        <f aca="false">IF(EN17=1,MAX(0,(Slot13_Cost-EO17*(1+Slot13_Rate)^(Slot13_Age-D17))/LX17),0)</f>
        <v>0</v>
      </c>
      <c r="MD17" s="20" t="n">
        <f aca="false">IF(AND(HU17=1,EN17=1),MIN(LW17,MB17),0)</f>
        <v>0</v>
      </c>
      <c r="ME17" s="20" t="n">
        <f aca="false">LW17-MD17</f>
        <v>0</v>
      </c>
      <c r="MF17" s="20" t="n">
        <f aca="false">IF(EX17=1,IF(ABS((1+AS_Wage)/(1+Slot14_Rate)-1)&lt;0.000000000001,(Slot14_Age-D17)*(1+Slot14_Rate)^(Slot14_Age-D17),(1+Slot14_Rate)^(Slot14_Age-D17)*(1-((1+AS_Wage)/(1+Slot14_Rate))^(Slot14_Age-D17))/(1-(1+AS_Wage)/(1+Slot14_Rate))),1)</f>
        <v>1</v>
      </c>
      <c r="MG17" s="20" t="n">
        <f aca="false">IF(AND(HU17=1,IE17&gt;0,Slot14_IsWG=1,EX17=1),MAX(0,(Slot14_Cost-EY17*(1+Slot14_Rate)^(Slot14_Age-D17))/MF17),0)</f>
        <v>0</v>
      </c>
      <c r="MH17" s="20" t="n">
        <f aca="false">IF(AND(HU17=1,IE17&gt;0,Slot14_IsWG=1,EX17=1),MIN(IE17,MG17),0)</f>
        <v>0</v>
      </c>
      <c r="MI17" s="20" t="n">
        <f aca="false">EY17+MH17</f>
        <v>0</v>
      </c>
      <c r="MJ17" s="20" t="n">
        <f aca="false">IF(EX17=1,MAX(0,(Slot14_Cost-MI17*(1+Slot14_Rate)^(Slot14_Age-D17))/MF17),0)</f>
        <v>0</v>
      </c>
      <c r="MK17" s="20" t="n">
        <f aca="false">IF(EX17=1,MAX(0,(Slot14_Cost-EY17*(1+Slot14_Rate)^(Slot14_Age-D17))/MF17),0)</f>
        <v>0</v>
      </c>
      <c r="ML17" s="20" t="n">
        <f aca="false">IF(AND(HU17=1,EX17=1),MIN(ME17,MJ17),0)</f>
        <v>0</v>
      </c>
      <c r="MM17" s="20" t="n">
        <f aca="false">ME17-ML17</f>
        <v>0</v>
      </c>
      <c r="MN17" s="20" t="n">
        <f aca="false">IF(FH17=1,IF(ABS((1+AS_Wage)/(1+Slot15_Rate)-1)&lt;0.000000000001,(Slot15_Age-D17)*(1+Slot15_Rate)^(Slot15_Age-D17),(1+Slot15_Rate)^(Slot15_Age-D17)*(1-((1+AS_Wage)/(1+Slot15_Rate))^(Slot15_Age-D17))/(1-(1+AS_Wage)/(1+Slot15_Rate))),1)</f>
        <v>1</v>
      </c>
      <c r="MO17" s="20" t="n">
        <f aca="false">IF(AND(HU17=1,IE17&gt;0,Slot15_IsWG=1,FH17=1),MAX(0,(Slot15_Cost-FI17*(1+Slot15_Rate)^(Slot15_Age-D17))/MN17),0)</f>
        <v>0</v>
      </c>
      <c r="MP17" s="20" t="n">
        <f aca="false">IF(AND(HU17=1,IE17&gt;0,Slot15_IsWG=1,FH17=1),MIN(IE17,MO17),0)</f>
        <v>0</v>
      </c>
      <c r="MQ17" s="20" t="n">
        <f aca="false">FI17+MP17</f>
        <v>0</v>
      </c>
      <c r="MR17" s="20" t="n">
        <f aca="false">IF(FH17=1,MAX(0,(Slot15_Cost-MQ17*(1+Slot15_Rate)^(Slot15_Age-D17))/MN17),0)</f>
        <v>0</v>
      </c>
      <c r="MS17" s="20" t="n">
        <f aca="false">IF(FH17=1,MAX(0,(Slot15_Cost-FI17*(1+Slot15_Rate)^(Slot15_Age-D17))/MN17),0)</f>
        <v>0</v>
      </c>
      <c r="MT17" s="20" t="n">
        <f aca="false">IF(AND(HU17=1,FH17=1),MIN(MM17,MR17),0)</f>
        <v>0</v>
      </c>
      <c r="MU17" s="20" t="n">
        <f aca="false">MM17-MT17</f>
        <v>0</v>
      </c>
      <c r="MV17" s="20" t="n">
        <f aca="false">IF(FR17=1,IF(ABS((1+AS_Wage)/(1+Slot16_Rate)-1)&lt;0.000000000001,(Slot16_Age-D17)*(1+Slot16_Rate)^(Slot16_Age-D17),(1+Slot16_Rate)^(Slot16_Age-D17)*(1-((1+AS_Wage)/(1+Slot16_Rate))^(Slot16_Age-D17))/(1-(1+AS_Wage)/(1+Slot16_Rate))),1)</f>
        <v>1</v>
      </c>
      <c r="MW17" s="20" t="n">
        <f aca="false">IF(AND(HU17=1,IE17&gt;0,Slot16_IsWG=1,FR17=1),MAX(0,(Slot16_Cost-FS17*(1+Slot16_Rate)^(Slot16_Age-D17))/MV17),0)</f>
        <v>0</v>
      </c>
      <c r="MX17" s="20" t="n">
        <f aca="false">IF(AND(HU17=1,IE17&gt;0,Slot16_IsWG=1,FR17=1),MIN(IE17,MW17),0)</f>
        <v>0</v>
      </c>
      <c r="MY17" s="20" t="n">
        <f aca="false">FS17+MX17</f>
        <v>0</v>
      </c>
      <c r="MZ17" s="20" t="n">
        <f aca="false">IF(FR17=1,MAX(0,(Slot16_Cost-MY17*(1+Slot16_Rate)^(Slot16_Age-D17))/MV17),0)</f>
        <v>0</v>
      </c>
      <c r="NA17" s="20" t="n">
        <f aca="false">IF(FR17=1,MAX(0,(Slot16_Cost-FS17*(1+Slot16_Rate)^(Slot16_Age-D17))/MV17),0)</f>
        <v>0</v>
      </c>
      <c r="NB17" s="20" t="n">
        <f aca="false">IF(AND(HU17=1,FR17=1),MIN(MU17,MZ17),0)</f>
        <v>0</v>
      </c>
      <c r="NC17" s="20" t="n">
        <f aca="false">MU17-NB17</f>
        <v>0</v>
      </c>
      <c r="ND17" s="20" t="n">
        <f aca="false">IF(GB17=1,IF(ABS((1+AS_Wage)/(1+Slot17_Rate)-1)&lt;0.000000000001,(Slot17_Age-D17)*(1+Slot17_Rate)^(Slot17_Age-D17),(1+Slot17_Rate)^(Slot17_Age-D17)*(1-((1+AS_Wage)/(1+Slot17_Rate))^(Slot17_Age-D17))/(1-(1+AS_Wage)/(1+Slot17_Rate))),1)</f>
        <v>1</v>
      </c>
      <c r="NE17" s="20" t="n">
        <f aca="false">IF(AND(HU17=1,IE17&gt;0,Slot17_IsWG=1,GB17=1),MAX(0,(Slot17_Cost-GC17*(1+Slot17_Rate)^(Slot17_Age-D17))/ND17),0)</f>
        <v>0</v>
      </c>
      <c r="NF17" s="20" t="n">
        <f aca="false">IF(AND(HU17=1,IE17&gt;0,Slot17_IsWG=1,GB17=1),MIN(IE17,NE17),0)</f>
        <v>0</v>
      </c>
      <c r="NG17" s="20" t="n">
        <f aca="false">GC17+NF17</f>
        <v>0</v>
      </c>
      <c r="NH17" s="20" t="n">
        <f aca="false">IF(GB17=1,MAX(0,(Slot17_Cost-NG17*(1+Slot17_Rate)^(Slot17_Age-D17))/ND17),0)</f>
        <v>0</v>
      </c>
      <c r="NI17" s="20" t="n">
        <f aca="false">IF(GB17=1,MAX(0,(Slot17_Cost-GC17*(1+Slot17_Rate)^(Slot17_Age-D17))/ND17),0)</f>
        <v>0</v>
      </c>
      <c r="NJ17" s="20" t="n">
        <f aca="false">IF(AND(HU17=1,GB17=1),MIN(NC17,NH17),0)</f>
        <v>0</v>
      </c>
      <c r="NK17" s="20" t="n">
        <f aca="false">NC17-NJ17</f>
        <v>0</v>
      </c>
      <c r="NL17" s="20" t="n">
        <f aca="false">IF(GL17=1,IF(ABS((1+AS_Wage)/(1+Slot18_Rate)-1)&lt;0.000000000001,(Slot18_Age-D17)*(1+Slot18_Rate)^(Slot18_Age-D17),(1+Slot18_Rate)^(Slot18_Age-D17)*(1-((1+AS_Wage)/(1+Slot18_Rate))^(Slot18_Age-D17))/(1-(1+AS_Wage)/(1+Slot18_Rate))),1)</f>
        <v>1</v>
      </c>
      <c r="NM17" s="20" t="n">
        <f aca="false">IF(AND(HU17=1,IE17&gt;0,Slot18_IsWG=1,GL17=1),MAX(0,(Slot18_Cost-GM17*(1+Slot18_Rate)^(Slot18_Age-D17))/NL17),0)</f>
        <v>0</v>
      </c>
      <c r="NN17" s="20" t="n">
        <f aca="false">IF(AND(HU17=1,IE17&gt;0,Slot18_IsWG=1,GL17=1),MIN(IE17,NM17),0)</f>
        <v>0</v>
      </c>
      <c r="NO17" s="20" t="n">
        <f aca="false">GM17+NN17</f>
        <v>0</v>
      </c>
      <c r="NP17" s="20" t="n">
        <f aca="false">IF(GL17=1,MAX(0,(Slot18_Cost-NO17*(1+Slot18_Rate)^(Slot18_Age-D17))/NL17),0)</f>
        <v>0</v>
      </c>
      <c r="NQ17" s="20" t="n">
        <f aca="false">IF(GL17=1,MAX(0,(Slot18_Cost-GM17*(1+Slot18_Rate)^(Slot18_Age-D17))/NL17),0)</f>
        <v>0</v>
      </c>
      <c r="NR17" s="20" t="n">
        <f aca="false">IF(AND(HU17=1,GL17=1),MIN(NK17,NP17),0)</f>
        <v>0</v>
      </c>
      <c r="NS17" s="20" t="n">
        <f aca="false">NK17-NR17</f>
        <v>0</v>
      </c>
      <c r="NT17" s="20" t="n">
        <f aca="false">IF(GV17=1,IF(ABS((1+AS_Wage)/(1+Slot19_Rate)-1)&lt;0.000000000001,(Slot19_Age-D17)*(1+Slot19_Rate)^(Slot19_Age-D17),(1+Slot19_Rate)^(Slot19_Age-D17)*(1-((1+AS_Wage)/(1+Slot19_Rate))^(Slot19_Age-D17))/(1-(1+AS_Wage)/(1+Slot19_Rate))),1)</f>
        <v>1</v>
      </c>
      <c r="NU17" s="20" t="n">
        <f aca="false">IF(AND(HU17=1,IE17&gt;0,Slot19_IsWG=1,GV17=1),MAX(0,(Slot19_Cost-GW17*(1+Slot19_Rate)^(Slot19_Age-D17))/NT17),0)</f>
        <v>0</v>
      </c>
      <c r="NV17" s="20" t="n">
        <f aca="false">IF(AND(HU17=1,IE17&gt;0,Slot19_IsWG=1,GV17=1),MIN(IE17,NU17),0)</f>
        <v>0</v>
      </c>
      <c r="NW17" s="20" t="n">
        <f aca="false">GW17+NV17</f>
        <v>0</v>
      </c>
      <c r="NX17" s="20" t="n">
        <f aca="false">IF(GV17=1,MAX(0,(Slot19_Cost-NW17*(1+Slot19_Rate)^(Slot19_Age-D17))/NT17),0)</f>
        <v>0</v>
      </c>
      <c r="NY17" s="20" t="n">
        <f aca="false">IF(GV17=1,MAX(0,(Slot19_Cost-GW17*(1+Slot19_Rate)^(Slot19_Age-D17))/NT17),0)</f>
        <v>0</v>
      </c>
      <c r="NZ17" s="20" t="n">
        <f aca="false">IF(AND(HU17=1,GV17=1),MIN(NS17,NX17),0)</f>
        <v>0</v>
      </c>
      <c r="OA17" s="20" t="n">
        <f aca="false">NS17-NZ17</f>
        <v>0</v>
      </c>
      <c r="OB17" s="20" t="n">
        <f aca="false">IF(HF17=1,IF(ABS((1+AS_Wage)/(1+Slot20_Rate)-1)&lt;0.000000000001,(Slot20_Age-D17)*(1+Slot20_Rate)^(Slot20_Age-D17),(1+Slot20_Rate)^(Slot20_Age-D17)*(1-((1+AS_Wage)/(1+Slot20_Rate))^(Slot20_Age-D17))/(1-(1+AS_Wage)/(1+Slot20_Rate))),1)</f>
        <v>1</v>
      </c>
      <c r="OC17" s="20" t="n">
        <f aca="false">IF(AND(HU17=1,IE17&gt;0,Slot20_IsWG=1,HF17=1),MAX(0,(Slot20_Cost-HG17*(1+Slot20_Rate)^(Slot20_Age-D17))/OB17),0)</f>
        <v>0</v>
      </c>
      <c r="OD17" s="20" t="n">
        <f aca="false">IF(AND(HU17=1,IE17&gt;0,Slot20_IsWG=1,HF17=1),MIN(IE17,OC17),0)</f>
        <v>0</v>
      </c>
      <c r="OE17" s="20" t="n">
        <f aca="false">HG17+OD17</f>
        <v>0</v>
      </c>
      <c r="OF17" s="20" t="n">
        <f aca="false">IF(HF17=1,MAX(0,(Slot20_Cost-OE17*(1+Slot20_Rate)^(Slot20_Age-D17))/OB17),0)</f>
        <v>0</v>
      </c>
      <c r="OG17" s="20" t="n">
        <f aca="false">IF(HF17=1,MAX(0,(Slot20_Cost-HG17*(1+Slot20_Rate)^(Slot20_Age-D17))/OB17),0)</f>
        <v>0</v>
      </c>
      <c r="OH17" s="20" t="n">
        <f aca="false">IF(AND(HU17=1,HF17=1),MIN(OA17,OF17),0)</f>
        <v>0</v>
      </c>
      <c r="OI17" s="20" t="n">
        <f aca="false">OA17-OH17</f>
        <v>0</v>
      </c>
      <c r="OJ17" s="20" t="n">
        <f aca="false">IE17-(IH17+IP17+IX17+JF17+JN17+JV17+KD17+KL17+KT17+LB17+LJ17+LR17+LZ17+MH17+MP17+MX17+NF17+NN17+NV17+OD17)</f>
        <v>0</v>
      </c>
      <c r="OK17" s="20" t="n">
        <f aca="false">IF(HU17=1,HS17-ID17-IE17,0)</f>
        <v>5544.63570532627</v>
      </c>
      <c r="OL17" s="20" t="n">
        <f aca="false">IF(HU17=0,-HS17,0)</f>
        <v>0</v>
      </c>
      <c r="OM17" s="20" t="n">
        <f aca="false">MIN(OL17,HK17)</f>
        <v>0</v>
      </c>
      <c r="ON17" s="20" t="n">
        <f aca="false">OL17-OM17</f>
        <v>0</v>
      </c>
      <c r="OO17" s="20" t="n">
        <f aca="false">MIN(ON17,HL17)</f>
        <v>0</v>
      </c>
      <c r="OP17" s="20" t="n">
        <f aca="false">ON17-OO17</f>
        <v>0</v>
      </c>
      <c r="OQ17" s="20" t="n">
        <f aca="false">IF(AND(HU17=0,HF17=1,OP17&gt;0),MIN(OP17,HG17),0)</f>
        <v>0</v>
      </c>
      <c r="OR17" s="20" t="n">
        <f aca="false">OP17-OQ17</f>
        <v>0</v>
      </c>
      <c r="OS17" s="20" t="n">
        <f aca="false">IF(AND(HU17=0,GV17=1,OR17&gt;0),MIN(OR17,GW17),0)</f>
        <v>0</v>
      </c>
      <c r="OT17" s="20" t="n">
        <f aca="false">OR17-OS17</f>
        <v>0</v>
      </c>
      <c r="OU17" s="20" t="n">
        <f aca="false">IF(AND(HU17=0,GL17=1,OT17&gt;0),MIN(OT17,GM17),0)</f>
        <v>0</v>
      </c>
      <c r="OV17" s="20" t="n">
        <f aca="false">OT17-OU17</f>
        <v>0</v>
      </c>
      <c r="OW17" s="20" t="n">
        <f aca="false">IF(AND(HU17=0,GB17=1,OV17&gt;0),MIN(OV17,GC17),0)</f>
        <v>0</v>
      </c>
      <c r="OX17" s="20" t="n">
        <f aca="false">OV17-OW17</f>
        <v>0</v>
      </c>
      <c r="OY17" s="20" t="n">
        <f aca="false">IF(AND(HU17=0,FR17=1,OX17&gt;0),MIN(OX17,FS17),0)</f>
        <v>0</v>
      </c>
      <c r="OZ17" s="20" t="n">
        <f aca="false">OX17-OY17</f>
        <v>0</v>
      </c>
      <c r="PA17" s="20" t="n">
        <f aca="false">IF(AND(HU17=0,FH17=1,OZ17&gt;0),MIN(OZ17,FI17),0)</f>
        <v>0</v>
      </c>
      <c r="PB17" s="20" t="n">
        <f aca="false">OZ17-PA17</f>
        <v>0</v>
      </c>
      <c r="PC17" s="20" t="n">
        <f aca="false">IF(AND(HU17=0,EX17=1,PB17&gt;0),MIN(PB17,EY17),0)</f>
        <v>0</v>
      </c>
      <c r="PD17" s="20" t="n">
        <f aca="false">PB17-PC17</f>
        <v>0</v>
      </c>
      <c r="PE17" s="20" t="n">
        <f aca="false">IF(AND(HU17=0,EN17=1,PD17&gt;0),MIN(PD17,EO17),0)</f>
        <v>0</v>
      </c>
      <c r="PF17" s="20" t="n">
        <f aca="false">PD17-PE17</f>
        <v>0</v>
      </c>
      <c r="PG17" s="20" t="n">
        <f aca="false">IF(AND(HU17=0,ED17=1,PF17&gt;0),MIN(PF17,EE17),0)</f>
        <v>0</v>
      </c>
      <c r="PH17" s="20" t="n">
        <f aca="false">PF17-PG17</f>
        <v>0</v>
      </c>
      <c r="PI17" s="20" t="n">
        <f aca="false">IF(AND(HU17=0,DT17=1,PH17&gt;0),MIN(PH17,DU17),0)</f>
        <v>0</v>
      </c>
      <c r="PJ17" s="20" t="n">
        <f aca="false">PH17-PI17</f>
        <v>0</v>
      </c>
      <c r="PK17" s="20" t="n">
        <f aca="false">IF(AND(HU17=0,DJ17=1,PJ17&gt;0),MIN(PJ17,DK17),0)</f>
        <v>0</v>
      </c>
      <c r="PL17" s="20" t="n">
        <f aca="false">PJ17-PK17</f>
        <v>0</v>
      </c>
      <c r="PM17" s="20" t="n">
        <f aca="false">IF(AND(HU17=0,CZ17=1,PL17&gt;0),MIN(PL17,DA17),0)</f>
        <v>0</v>
      </c>
      <c r="PN17" s="20" t="n">
        <f aca="false">PL17-PM17</f>
        <v>0</v>
      </c>
      <c r="PO17" s="20" t="n">
        <f aca="false">IF(AND(HU17=0,CP17=1,PN17&gt;0),MIN(PN17,CQ17),0)</f>
        <v>0</v>
      </c>
      <c r="PP17" s="20" t="n">
        <f aca="false">PN17-PO17</f>
        <v>0</v>
      </c>
      <c r="PQ17" s="20" t="n">
        <f aca="false">IF(AND(HU17=0,CF17=1,PP17&gt;0),MIN(PP17,CG17),0)</f>
        <v>0</v>
      </c>
      <c r="PR17" s="20" t="n">
        <f aca="false">PP17-PQ17</f>
        <v>0</v>
      </c>
      <c r="PS17" s="20" t="n">
        <f aca="false">IF(AND(HU17=0,BV17=1,PR17&gt;0),MIN(PR17,BW17),0)</f>
        <v>0</v>
      </c>
      <c r="PT17" s="20" t="n">
        <f aca="false">PR17-PS17</f>
        <v>0</v>
      </c>
      <c r="PU17" s="20" t="n">
        <f aca="false">IF(AND(HU17=0,BL17=1,PT17&gt;0),MIN(PT17,BM17),0)</f>
        <v>0</v>
      </c>
      <c r="PV17" s="20" t="n">
        <f aca="false">PT17-PU17</f>
        <v>0</v>
      </c>
      <c r="PW17" s="20" t="n">
        <f aca="false">IF(AND(HU17=0,BB17=1,PV17&gt;0),MIN(PV17,BC17),0)</f>
        <v>0</v>
      </c>
      <c r="PX17" s="20" t="n">
        <f aca="false">PV17-PW17</f>
        <v>0</v>
      </c>
      <c r="PY17" s="20" t="n">
        <f aca="false">IF(AND(HU17=0,AR17=1,PX17&gt;0),MIN(PX17,AS17),0)</f>
        <v>0</v>
      </c>
      <c r="PZ17" s="20" t="n">
        <f aca="false">PX17-PY17</f>
        <v>0</v>
      </c>
      <c r="QA17" s="20" t="n">
        <f aca="false">IF(AND(HU17=0,AH17=1,PZ17&gt;0),MIN(PZ17,AI17),0)</f>
        <v>0</v>
      </c>
      <c r="QB17" s="20" t="n">
        <f aca="false">PZ17-QA17</f>
        <v>0</v>
      </c>
      <c r="QC17" s="20" t="n">
        <f aca="false">IF(AND(HU17=0,W17=1,QB17&gt;0),MIN(QB17,X17),0)</f>
        <v>0</v>
      </c>
      <c r="QD17" s="20" t="n">
        <f aca="false">QB17-QC17</f>
        <v>0</v>
      </c>
      <c r="QE17" s="20" t="n">
        <f aca="false">IF(HU17=0,QD17,0)</f>
        <v>0</v>
      </c>
      <c r="QF17" s="20" t="n">
        <f aca="false">OM17+OO17+QC17+QA17+PY17+PW17+PU17+PS17+PQ17+PO17+PM17+PK17+PI17+PG17+PE17+PC17+PA17+OY17+OW17+OU17+OS17+OQ17</f>
        <v>0</v>
      </c>
      <c r="QG17" s="20" t="n">
        <f aca="false">IF(HU17=1,HK17+OJ17+OI17+IF(G17=1,0,OK17),HK17-OM17)</f>
        <v>0</v>
      </c>
      <c r="QH17" s="20" t="n">
        <f aca="false">HL17-OO17</f>
        <v>16731.744304982</v>
      </c>
      <c r="QI17" s="20" t="n">
        <f aca="false">IF(HU17=1,IF(G17=1,ID17+IE17,HS17),0)</f>
        <v>5544.63570532627</v>
      </c>
      <c r="QJ17" s="20" t="n">
        <f aca="false">IF(HU17=1,IF(G17=1,HS17-ID17-IE17,0),0)</f>
        <v>5544.63570532627</v>
      </c>
      <c r="QK17" s="20" t="n">
        <f aca="false">QG17*(1+GR)</f>
        <v>0</v>
      </c>
      <c r="QL17" s="20" t="n">
        <f aca="false">QH17*(1+AS_Cash)</f>
        <v>16899.0617480318</v>
      </c>
      <c r="QM17" s="20" t="n">
        <f aca="false">IF(W17=1,IF(HU17=1,II17+IL17,X17-QC17)*(1+Slot1_Rate),0)</f>
        <v>0</v>
      </c>
      <c r="QN17" s="20" t="n">
        <f aca="false">IF(AND(HU17=1,W17=1),(IH17+IL17)/F17,0)</f>
        <v>0</v>
      </c>
      <c r="QO17" s="20" t="n">
        <f aca="false">IF(B17=0,IH17+IL17,0)</f>
        <v>0</v>
      </c>
      <c r="QP17" s="20" t="n">
        <f aca="false">IF(B17=0,IF(HU17=1,IJ17,IK17),0)</f>
        <v>0</v>
      </c>
      <c r="QQ17" s="20" t="n">
        <f aca="false">IF(AH17=1,IF(HU17=1,IQ17+IT17,AI17-QA17)*(1+Slot2_Rate),0)</f>
        <v>0</v>
      </c>
      <c r="QR17" s="20" t="n">
        <f aca="false">IF(AND(HU17=1,AH17=1),(IP17+IT17)/F17,0)</f>
        <v>0</v>
      </c>
      <c r="QS17" s="20" t="n">
        <f aca="false">IF(B17=0,IP17+IT17,0)</f>
        <v>0</v>
      </c>
      <c r="QT17" s="20" t="n">
        <f aca="false">IF(B17=0,IF(HU17=1,IR17,IS17),0)</f>
        <v>0</v>
      </c>
      <c r="QU17" s="20" t="n">
        <f aca="false">IF(AR17=1,IF(HU17=1,IY17+JB17,AS17-PY17)*(1+Slot3_Rate),0)</f>
        <v>30927.1211760735</v>
      </c>
      <c r="QV17" s="20" t="n">
        <f aca="false">IF(AND(HU17=1,AR17=1),(IX17+JB17)/F17,0)</f>
        <v>4639.50312377731</v>
      </c>
      <c r="QW17" s="20" t="n">
        <f aca="false">IF(B17=0,IX17+JB17,0)</f>
        <v>0</v>
      </c>
      <c r="QX17" s="20" t="n">
        <f aca="false">IF(B17=0,IF(HU17=1,IZ17,JA17),0)</f>
        <v>0</v>
      </c>
      <c r="QY17" s="20" t="n">
        <f aca="false">IF(BB17=1,IF(HU17=1,JG17+JJ17,BC17-PW17)*(1+Slot4_Rate),0)</f>
        <v>0</v>
      </c>
      <c r="QZ17" s="20" t="n">
        <f aca="false">IF(AND(HU17=1,BB17=1),(JF17+JJ17)/F17,0)</f>
        <v>0</v>
      </c>
      <c r="RA17" s="20" t="n">
        <f aca="false">IF(B17=0,JF17+JJ17,0)</f>
        <v>0</v>
      </c>
      <c r="RB17" s="20" t="n">
        <f aca="false">IF(B17=0,IF(HU17=1,JH17,JI17),0)</f>
        <v>0</v>
      </c>
      <c r="RC17" s="20" t="n">
        <f aca="false">IF(BL17=1,IF(HU17=1,JO17+JR17,BM17-PU17)*(1+Slot5_Rate),0)</f>
        <v>0</v>
      </c>
      <c r="RD17" s="20" t="n">
        <f aca="false">IF(AND(HU17=1,BL17=1),(JN17+JR17)/F17,0)</f>
        <v>0</v>
      </c>
      <c r="RE17" s="20" t="n">
        <f aca="false">IF(B17=0,JN17+JR17,0)</f>
        <v>0</v>
      </c>
      <c r="RF17" s="20" t="n">
        <f aca="false">IF(B17=0,IF(HU17=1,JP17,JQ17),0)</f>
        <v>0</v>
      </c>
      <c r="RG17" s="20" t="n">
        <f aca="false">IF(BV17=1,IF(HU17=1,JW17+JZ17,BW17-PS17)*(1+Slot6_Rate),0)</f>
        <v>0</v>
      </c>
      <c r="RH17" s="20" t="n">
        <f aca="false">IF(AND(HU17=1,BV17=1),(JV17+JZ17)/F17,0)</f>
        <v>0</v>
      </c>
      <c r="RI17" s="20" t="n">
        <f aca="false">IF(B17=0,JV17+JZ17,0)</f>
        <v>0</v>
      </c>
      <c r="RJ17" s="20" t="n">
        <f aca="false">IF(B17=0,IF(HU17=1,JX17,JY17),0)</f>
        <v>0</v>
      </c>
      <c r="RK17" s="20" t="n">
        <f aca="false">IF(CF17=1,IF(HU17=1,KE17+KH17,CG17-PQ17)*(1+Slot7_Rate),0)</f>
        <v>0</v>
      </c>
      <c r="RL17" s="20" t="n">
        <f aca="false">IF(AND(HU17=1,CF17=1),(KD17+KH17)/F17,0)</f>
        <v>0</v>
      </c>
      <c r="RM17" s="20" t="n">
        <f aca="false">IF(B17=0,KD17+KH17,0)</f>
        <v>0</v>
      </c>
      <c r="RN17" s="20" t="n">
        <f aca="false">IF(B17=0,IF(HU17=1,KF17,KG17),0)</f>
        <v>0</v>
      </c>
      <c r="RO17" s="20" t="n">
        <f aca="false">IF(CP17=1,IF(HU17=1,KM17+KP17,CQ17-PO17)*(1+Slot8_Rate),0)</f>
        <v>0</v>
      </c>
      <c r="RP17" s="20" t="n">
        <f aca="false">IF(AND(HU17=1,CP17=1),(KL17+KP17)/F17,0)</f>
        <v>0</v>
      </c>
      <c r="RQ17" s="20" t="n">
        <f aca="false">IF(B17=0,KL17+KP17,0)</f>
        <v>0</v>
      </c>
      <c r="RR17" s="20" t="n">
        <f aca="false">IF(B17=0,IF(HU17=1,KN17,KO17),0)</f>
        <v>0</v>
      </c>
      <c r="RS17" s="20" t="n">
        <f aca="false">IF(CZ17=1,IF(HU17=1,KU17+KX17,DA17-PM17)*(1+Slot9_Rate),0)</f>
        <v>0</v>
      </c>
      <c r="RT17" s="20" t="n">
        <f aca="false">IF(AND(HU17=1,CZ17=1),(KT17+KX17)/F17,0)</f>
        <v>0</v>
      </c>
      <c r="RU17" s="20" t="n">
        <f aca="false">IF(B17=0,KT17+KX17,0)</f>
        <v>0</v>
      </c>
      <c r="RV17" s="20" t="n">
        <f aca="false">IF(B17=0,IF(HU17=1,KV17,KW17),0)</f>
        <v>0</v>
      </c>
      <c r="RW17" s="20" t="n">
        <f aca="false">IF(DJ17=1,IF(HU17=1,LC17+LF17,DK17-PK17)*(1+Slot10_Rate),0)</f>
        <v>0</v>
      </c>
      <c r="RX17" s="20" t="n">
        <f aca="false">IF(AND(HU17=1,DJ17=1),(LB17+LF17)/F17,0)</f>
        <v>0</v>
      </c>
      <c r="RY17" s="20" t="n">
        <f aca="false">IF(B17=0,LB17+LF17,0)</f>
        <v>0</v>
      </c>
      <c r="RZ17" s="20" t="n">
        <f aca="false">IF(B17=0,IF(HU17=1,LD17,LE17),0)</f>
        <v>0</v>
      </c>
      <c r="SA17" s="20" t="n">
        <f aca="false">IF(DT17=1,IF(HU17=1,LK17+LN17,DU17-PI17)*(1+Slot11_Rate),0)</f>
        <v>0</v>
      </c>
      <c r="SB17" s="20" t="n">
        <f aca="false">IF(AND(HU17=1,DT17=1),(LJ17+LN17)/F17,0)</f>
        <v>0</v>
      </c>
      <c r="SC17" s="20" t="n">
        <f aca="false">IF(B17=0,LJ17+LN17,0)</f>
        <v>0</v>
      </c>
      <c r="SD17" s="20" t="n">
        <f aca="false">IF(B17=0,IF(HU17=1,LL17,LM17),0)</f>
        <v>0</v>
      </c>
      <c r="SE17" s="20" t="n">
        <f aca="false">IF(ED17=1,IF(HU17=1,LS17+LV17,EE17-PG17)*(1+Slot12_Rate),0)</f>
        <v>0</v>
      </c>
      <c r="SF17" s="20" t="n">
        <f aca="false">IF(AND(HU17=1,ED17=1),(LR17+LV17)/F17,0)</f>
        <v>0</v>
      </c>
      <c r="SG17" s="20" t="n">
        <f aca="false">IF(B17=0,LR17+LV17,0)</f>
        <v>0</v>
      </c>
      <c r="SH17" s="20" t="n">
        <f aca="false">IF(B17=0,IF(HU17=1,LT17,LU17),0)</f>
        <v>0</v>
      </c>
      <c r="SI17" s="20" t="n">
        <f aca="false">IF(EN17=1,IF(HU17=1,MA17+MD17,EO17-PE17)*(1+Slot13_Rate),0)</f>
        <v>0</v>
      </c>
      <c r="SJ17" s="20" t="n">
        <f aca="false">IF(AND(HU17=1,EN17=1),(LZ17+MD17)/F17,0)</f>
        <v>0</v>
      </c>
      <c r="SK17" s="20" t="n">
        <f aca="false">IF(B17=0,LZ17+MD17,0)</f>
        <v>0</v>
      </c>
      <c r="SL17" s="20" t="n">
        <f aca="false">IF(B17=0,IF(HU17=1,MB17,MC17),0)</f>
        <v>0</v>
      </c>
      <c r="SM17" s="20" t="n">
        <f aca="false">IF(EX17=1,IF(HU17=1,MI17+ML17,EY17-PC17)*(1+Slot14_Rate),0)</f>
        <v>0</v>
      </c>
      <c r="SN17" s="20" t="n">
        <f aca="false">IF(AND(HU17=1,EX17=1),(MH17+ML17)/F17,0)</f>
        <v>0</v>
      </c>
      <c r="SO17" s="20" t="n">
        <f aca="false">IF(B17=0,MH17+ML17,0)</f>
        <v>0</v>
      </c>
      <c r="SP17" s="20" t="n">
        <f aca="false">IF(B17=0,IF(HU17=1,MJ17,MK17),0)</f>
        <v>0</v>
      </c>
      <c r="SQ17" s="20" t="n">
        <f aca="false">IF(FH17=1,IF(HU17=1,MQ17+MT17,FI17-PA17)*(1+Slot15_Rate),0)</f>
        <v>0</v>
      </c>
      <c r="SR17" s="20" t="n">
        <f aca="false">IF(AND(HU17=1,FH17=1),(MP17+MT17)/F17,0)</f>
        <v>0</v>
      </c>
      <c r="SS17" s="20" t="n">
        <f aca="false">IF(B17=0,MP17+MT17,0)</f>
        <v>0</v>
      </c>
      <c r="ST17" s="20" t="n">
        <f aca="false">IF(B17=0,IF(HU17=1,MR17,MS17),0)</f>
        <v>0</v>
      </c>
      <c r="SU17" s="20" t="n">
        <f aca="false">IF(FR17=1,IF(HU17=1,MY17+NB17,FS17-OY17)*(1+Slot16_Rate),0)</f>
        <v>0</v>
      </c>
      <c r="SV17" s="20" t="n">
        <f aca="false">IF(AND(HU17=1,FR17=1),(MX17+NB17)/F17,0)</f>
        <v>0</v>
      </c>
      <c r="SW17" s="20" t="n">
        <f aca="false">IF(B17=0,MX17+NB17,0)</f>
        <v>0</v>
      </c>
      <c r="SX17" s="20" t="n">
        <f aca="false">IF(B17=0,IF(HU17=1,MZ17,NA17),0)</f>
        <v>0</v>
      </c>
      <c r="SY17" s="20" t="n">
        <f aca="false">IF(GB17=1,IF(HU17=1,NG17+NJ17,GC17-OW17)*(1+Slot17_Rate),0)</f>
        <v>0</v>
      </c>
      <c r="SZ17" s="20" t="n">
        <f aca="false">IF(AND(HU17=1,GB17=1),(NF17+NJ17)/F17,0)</f>
        <v>0</v>
      </c>
      <c r="TA17" s="20" t="n">
        <f aca="false">IF(B17=0,NF17+NJ17,0)</f>
        <v>0</v>
      </c>
      <c r="TB17" s="20" t="n">
        <f aca="false">IF(B17=0,IF(HU17=1,NH17,NI17),0)</f>
        <v>0</v>
      </c>
      <c r="TC17" s="20" t="n">
        <f aca="false">IF(GL17=1,IF(HU17=1,NO17+NR17,GM17-OU17)*(1+Slot18_Rate),0)</f>
        <v>0</v>
      </c>
      <c r="TD17" s="20" t="n">
        <f aca="false">IF(AND(HU17=1,GL17=1),(NN17+NR17)/F17,0)</f>
        <v>0</v>
      </c>
      <c r="TE17" s="20" t="n">
        <f aca="false">IF(B17=0,NN17+NR17,0)</f>
        <v>0</v>
      </c>
      <c r="TF17" s="20" t="n">
        <f aca="false">IF(B17=0,IF(HU17=1,NP17,NQ17),0)</f>
        <v>0</v>
      </c>
      <c r="TG17" s="20" t="n">
        <f aca="false">IF(GV17=1,IF(HU17=1,NW17+NZ17,GW17-OS17)*(1+Slot19_Rate),0)</f>
        <v>0</v>
      </c>
      <c r="TH17" s="20" t="n">
        <f aca="false">IF(AND(HU17=1,GV17=1),(NV17+NZ17)/F17,0)</f>
        <v>0</v>
      </c>
      <c r="TI17" s="20" t="n">
        <f aca="false">IF(B17=0,NV17+NZ17,0)</f>
        <v>0</v>
      </c>
      <c r="TJ17" s="20" t="n">
        <f aca="false">IF(B17=0,IF(HU17=1,NX17,NY17),0)</f>
        <v>0</v>
      </c>
      <c r="TK17" s="20" t="n">
        <f aca="false">IF(HF17=1,IF(HU17=1,OE17+OH17,HG17-OQ17)*(1+Slot20_Rate),0)</f>
        <v>0</v>
      </c>
      <c r="TL17" s="20" t="n">
        <f aca="false">IF(AND(HU17=1,HF17=1),(OD17+OH17)/F17,0)</f>
        <v>0</v>
      </c>
      <c r="TM17" s="20" t="n">
        <f aca="false">IF(B17=0,OD17+OH17,0)</f>
        <v>0</v>
      </c>
      <c r="TN17" s="20" t="n">
        <f aca="false">IF(B17=0,IF(HU17=1,OF17,OG17),0)</f>
        <v>0</v>
      </c>
      <c r="TO17" s="20" t="n">
        <f aca="false">QK17+QL17+QM17+QQ17+QU17+QY17+RC17+RG17+RK17+RO17+RS17+RW17+SA17+SE17+SI17+SM17+SQ17+SU17+SY17+TC17+TG17+TK17</f>
        <v>47826.1829241053</v>
      </c>
      <c r="TP17" s="20" t="n">
        <f aca="false">QE17+HP17</f>
        <v>0</v>
      </c>
      <c r="TQ17" s="20" t="n">
        <f aca="false">I17+S17</f>
        <v>67939.165588004</v>
      </c>
      <c r="TR17" s="20" t="n">
        <f aca="false">1-G17</f>
        <v>0</v>
      </c>
      <c r="TS17" s="20" t="n">
        <f aca="false">IF(AND(RG_Exists=1,G17=0,C17=1),I17,0)</f>
        <v>0</v>
      </c>
      <c r="TT17" s="20" t="n">
        <f aca="false">IF(AND(RG_Exists=1,G17=0,C17=1),I17-MIN(QE17,I17),0)</f>
        <v>0</v>
      </c>
      <c r="TU17" s="20" t="n">
        <f aca="false">'Plan pay &amp; tax'!AD243</f>
        <v>198779.863998499</v>
      </c>
      <c r="TV17" s="20" t="n">
        <f aca="false">IF(AND(C17=1,QE17&gt;MAX(PR_Short1,TQ17*PR_Short2)),1,0)</f>
        <v>0</v>
      </c>
      <c r="TW17" s="20" t="n">
        <f aca="false">MIN(H17,I17+S17)</f>
        <v>67939.165588004</v>
      </c>
      <c r="TX17" s="20" t="n">
        <f aca="false">QF17+MAX(0,HQ17-HP17)</f>
        <v>0</v>
      </c>
      <c r="TY17" s="20" t="n">
        <f aca="false">QE17+HP17</f>
        <v>0</v>
      </c>
      <c r="TZ17" s="20" t="n">
        <f aca="false">IF(AND(C17=1,TY17&gt;PR_MinShort),1,0)</f>
        <v>0</v>
      </c>
      <c r="UA17" s="20" t="n">
        <f aca="false">IF(AND(C17=1,TZ17=0,TX17&gt;PR_MinShort),1,0)</f>
        <v>0</v>
      </c>
      <c r="UB17" s="20" t="n">
        <f aca="false">IF(AND(C17=1,QE17&gt;PR_MinShort),1,0)</f>
        <v>0</v>
      </c>
      <c r="UC17" s="20" t="n">
        <f aca="false">IF(AND(C17=1,QF17&gt;1,UJ17=0),1,0)</f>
        <v>0</v>
      </c>
      <c r="UD17" s="20" t="str">
        <f aca="false">IF(C17=0,"",IF(UJ17=1,"Gap to plan for: short "&amp;"€"&amp;TEXT(ROUND(TP17,0),"#,##0"),IF(QF17&gt;1,"Using savings","Comfortable")))</f>
        <v>Comfortable</v>
      </c>
      <c r="UE17" s="20" t="n">
        <f aca="false">IF(AND(INT(D17/10)*10=90,B17&gt;0),80,INT(D17/10)*10)</f>
        <v>40</v>
      </c>
      <c r="UF17" s="20" t="n">
        <f aca="false">IF(B17=0,1,IF(UE17&lt;&gt;UE16,UF16+1,UF16))</f>
        <v>2</v>
      </c>
      <c r="UG17" s="20" t="n">
        <f aca="false">IF(AND(C17=1,G17=1,QE17&gt;MAX(PR_Short1,TQ17*PR_Short2)),1,0)</f>
        <v>0</v>
      </c>
      <c r="UH17" s="20" t="n">
        <f aca="false">TR17*TV17</f>
        <v>0</v>
      </c>
      <c r="UI17" s="20" t="n">
        <f aca="false">IF(AND(V17=1,Slot1_PctLow=1),1,0)+IF(AND(AG17=1,Slot2_PctLow=1),1,0)+IF(AND(AQ17=1,Slot3_PctLow=1),1,0)+IF(AND(BA17=1,Slot4_PctLow=1),1,0)+IF(AND(BK17=1,Slot5_PctLow=1),1,0)+IF(AND(BU17=1,Slot6_PctLow=1),1,0)+IF(AND(CE17=1,Slot7_PctLow=1),1,0)+IF(AND(CO17=1,Slot8_PctLow=1),1,0)+IF(AND(CY17=1,Slot9_PctLow=1),1,0)+IF(AND(DI17=1,Slot10_PctLow=1),1,0)+IF(AND(DS17=1,Slot11_PctLow=1),1,0)+IF(AND(EC17=1,Slot12_PctLow=1),1,0)+IF(AND(EM17=1,Slot13_PctLow=1),1,0)+IF(AND(EW17=1,Slot14_PctLow=1),1,0)+IF(AND(FG17=1,Slot15_PctLow=1),1,0)+IF(AND(FQ17=1,Slot16_PctLow=1),1,0)+IF(AND(GA17=1,Slot17_PctLow=1),1,0)+IF(AND(GK17=1,Slot18_PctLow=1),1,0)+IF(AND(GU17=1,Slot19_PctLow=1),1,0)+IF(AND(HE17=1,Slot20_PctLow=1),1,0)</f>
        <v>0</v>
      </c>
      <c r="UJ17" s="20" t="n">
        <f aca="false">IF(C17=1,IF(OR(TV17=1,UI17&gt;0),1,0),0)</f>
        <v>0</v>
      </c>
    </row>
    <row r="18" customFormat="false" ht="15" hidden="false" customHeight="true" outlineLevel="0" collapsed="false">
      <c r="B18" s="20" t="n">
        <v>10</v>
      </c>
      <c r="C18" s="20" t="n">
        <f aca="false">IF(B18&lt;=F_N,1,0)</f>
        <v>1</v>
      </c>
      <c r="D18" s="20" t="n">
        <f aca="false">'Plan pay &amp; tax'!C244</f>
        <v>48</v>
      </c>
      <c r="E18" s="20" t="str">
        <f aca="false">IF($C18=1,"Income tax "&amp;TEXT(N('Plan pay &amp; tax'!BK244),"#,##0")&amp;"; USC "&amp;TEXT(N('Plan pay &amp; tax'!BM244)+N('Plan pay &amp; tax'!BO244),"#,##0")&amp;"; PRSI "&amp;TEXT(N('Plan pay &amp; tax'!BP244)+N('Plan pay &amp; tax'!BQ244),"#,##0")&amp;". DIRT and exit tax are inside the growth rates here.","")</f>
        <v>Income tax 12,253; USC 1,756; PRSI 4,145. DIRT and exit tax are inside the growth rates here.</v>
      </c>
      <c r="F18" s="44" t="n">
        <f aca="false">'Plan pay &amp; tax'!E244</f>
        <v>1.21899441999476</v>
      </c>
      <c r="G18" s="20" t="n">
        <f aca="false">'Plan pay &amp; tax'!G244</f>
        <v>1</v>
      </c>
      <c r="H18" s="20" t="n">
        <f aca="false">'Plan pay &amp; tax'!BT244-'Plan pay &amp; tax'!BS244-'Plan pay &amp; tax'!R244</f>
        <v>81190.7780058355</v>
      </c>
      <c r="I18" s="20" t="n">
        <f aca="false">IF(G18=1,F_CostsM*12,IF(RG_Exists=1,RG_Amount,F_CostsM*12*AS_RetireSpend))*F18+F_OneOffY*F18</f>
        <v>54854.7488997641</v>
      </c>
      <c r="J18" s="20" t="n">
        <f aca="false">HR17</f>
        <v>126788.522242771</v>
      </c>
      <c r="K18" s="20" t="n">
        <f aca="false">IF(J18&gt;1,'Plan debt months'!AC18,0)</f>
        <v>14160</v>
      </c>
      <c r="L18" s="20" t="n">
        <f aca="false">IF(J18&gt;1,'Plan debt months'!AB18,J18)</f>
        <v>117344.387280946</v>
      </c>
      <c r="M18" s="20" t="n">
        <f aca="false">O17</f>
        <v>0</v>
      </c>
      <c r="N18" s="20" t="n">
        <f aca="false">IF(M18&gt;1,'Plan debt months'!BD18,0)</f>
        <v>0</v>
      </c>
      <c r="O18" s="20" t="n">
        <f aca="false">IF(M18&gt;1,'Plan debt months'!BC18,M18)</f>
        <v>0</v>
      </c>
      <c r="P18" s="20" t="n">
        <f aca="false">R17</f>
        <v>0</v>
      </c>
      <c r="Q18" s="20" t="n">
        <f aca="false">IF(P18&gt;1,'Plan debt months'!CE18,0)</f>
        <v>0</v>
      </c>
      <c r="R18" s="20" t="n">
        <f aca="false">IF(P18&gt;1,'Plan debt months'!CD18,P18)</f>
        <v>0</v>
      </c>
      <c r="S18" s="20" t="n">
        <f aca="false">K18+N18+Q18</f>
        <v>14160</v>
      </c>
      <c r="T18" s="20" t="n">
        <f aca="false">QK17+'Plan pay &amp; tax'!Y244</f>
        <v>0</v>
      </c>
      <c r="U18" s="20" t="n">
        <f aca="false">QK17</f>
        <v>0</v>
      </c>
      <c r="V18" s="20" t="n">
        <f aca="false">IF(AND(Slot1_On=1,D18=Slot1_Age),1,0)</f>
        <v>0</v>
      </c>
      <c r="W18" s="20" t="n">
        <f aca="false">IF(AND(Slot1_On=1,Slot1_Age&gt;D18),1,0)</f>
        <v>0</v>
      </c>
      <c r="X18" s="20" t="n">
        <f aca="false">QM17</f>
        <v>0</v>
      </c>
      <c r="Y18" s="20" t="n">
        <f aca="false">V18*MIN(Slot1_Cost,X18)</f>
        <v>0</v>
      </c>
      <c r="Z18" s="20" t="n">
        <f aca="false">V18*Slot1_SpendLike*MIN(Slot1_Cost-Y18,T18)</f>
        <v>0</v>
      </c>
      <c r="AA18" s="20" t="n">
        <f aca="false">Y18+Z18</f>
        <v>0</v>
      </c>
      <c r="AB18" s="20" t="n">
        <f aca="false">T18-Z18+V18*IF(Slot1_SpendLike=1,X18-Y18,IF(Slot1_PotFree=1,X18,0))</f>
        <v>0</v>
      </c>
      <c r="AC18" s="20" t="n">
        <f aca="false">AF18+V18*Slot1_BufPot*X18</f>
        <v>16899.0617480318</v>
      </c>
      <c r="AD18" s="20" t="n">
        <f aca="false">IF(AND(V18=1,Slot1_IsMfree=1),IF(AA18&gt;=Slot1_Cost-1,0,MAX(0,L18-AA18)),L18)</f>
        <v>117344.387280946</v>
      </c>
      <c r="AE18" s="20" t="n">
        <f aca="false">V18*(Slot1_Cost-AA18)</f>
        <v>0</v>
      </c>
      <c r="AF18" s="20" t="n">
        <f aca="false">QL17</f>
        <v>16899.0617480318</v>
      </c>
      <c r="AG18" s="20" t="n">
        <f aca="false">IF(AND(Slot2_On=1,D18=Slot2_Age),1,0)</f>
        <v>0</v>
      </c>
      <c r="AH18" s="20" t="n">
        <f aca="false">IF(AND(Slot2_On=1,Slot2_Age&gt;D18),1,0)</f>
        <v>0</v>
      </c>
      <c r="AI18" s="20" t="n">
        <f aca="false">QQ17</f>
        <v>0</v>
      </c>
      <c r="AJ18" s="20" t="n">
        <f aca="false">AG18*MIN(Slot2_Cost,AI18)</f>
        <v>0</v>
      </c>
      <c r="AK18" s="20" t="n">
        <f aca="false">AG18*Slot2_SpendLike*MIN(Slot2_Cost-AJ18,AB18)</f>
        <v>0</v>
      </c>
      <c r="AL18" s="20" t="n">
        <f aca="false">AJ18+AK18</f>
        <v>0</v>
      </c>
      <c r="AM18" s="20" t="n">
        <f aca="false">AB18-AK18+AG18*IF(Slot2_SpendLike=1,AI18-AJ18,IF(Slot2_PotFree=1,AI18,0))</f>
        <v>0</v>
      </c>
      <c r="AN18" s="20" t="n">
        <f aca="false">AC18+AG18*Slot2_BufPot*AI18</f>
        <v>16899.0617480318</v>
      </c>
      <c r="AO18" s="20" t="n">
        <f aca="false">IF(AND(AG18=1,Slot2_IsMfree=1),IF(AL18&gt;=Slot2_Cost-1,0,MAX(0,AD18-AL18)),AD18)</f>
        <v>117344.387280946</v>
      </c>
      <c r="AP18" s="20" t="n">
        <f aca="false">AG18*(Slot2_Cost-AL18)</f>
        <v>0</v>
      </c>
      <c r="AQ18" s="20" t="n">
        <f aca="false">IF(AND(Slot3_On=1,D18=Slot3_Age),1,0)</f>
        <v>1</v>
      </c>
      <c r="AR18" s="20" t="n">
        <f aca="false">IF(AND(Slot3_On=1,Slot3_Age&gt;D18),1,0)</f>
        <v>0</v>
      </c>
      <c r="AS18" s="20" t="n">
        <f aca="false">QU17</f>
        <v>30927.1211760735</v>
      </c>
      <c r="AT18" s="20" t="n">
        <f aca="false">AQ18*MIN(Slot3_Cost,AS18)</f>
        <v>30927.1211760735</v>
      </c>
      <c r="AU18" s="20" t="n">
        <f aca="false">AQ18*Slot3_SpendLike*MIN(Slot3_Cost-AT18,AM18)</f>
        <v>0</v>
      </c>
      <c r="AV18" s="20" t="n">
        <f aca="false">AT18+AU18</f>
        <v>30927.1211760735</v>
      </c>
      <c r="AW18" s="20" t="n">
        <f aca="false">AM18-AU18+AQ18*IF(Slot3_SpendLike=1,AS18-AT18,IF(Slot3_PotFree=1,AS18,0))</f>
        <v>0</v>
      </c>
      <c r="AX18" s="20" t="n">
        <f aca="false">AN18+AQ18*Slot3_BufPot*AS18</f>
        <v>16899.0617480318</v>
      </c>
      <c r="AY18" s="20" t="n">
        <f aca="false">IF(AND(AQ18=1,Slot3_IsMfree=1),IF(AV18&gt;=Slot3_Cost-1,0,MAX(0,AO18-AV18)),AO18)</f>
        <v>117344.387280946</v>
      </c>
      <c r="AZ18" s="20" t="n">
        <f aca="false">AQ18*(Slot3_Cost-AV18)</f>
        <v>30022.5998236644</v>
      </c>
      <c r="BA18" s="20" t="n">
        <f aca="false">IF(AND(Slot4_On=1,D18=Slot4_Age),1,0)</f>
        <v>0</v>
      </c>
      <c r="BB18" s="20" t="n">
        <f aca="false">IF(AND(Slot4_On=1,Slot4_Age&gt;D18),1,0)</f>
        <v>1</v>
      </c>
      <c r="BC18" s="20" t="n">
        <f aca="false">QY17</f>
        <v>0</v>
      </c>
      <c r="BD18" s="20" t="n">
        <f aca="false">BA18*MIN(Slot4_Cost,BC18)</f>
        <v>0</v>
      </c>
      <c r="BE18" s="20" t="n">
        <f aca="false">BA18*Slot4_SpendLike*MIN(Slot4_Cost-BD18,AW18)</f>
        <v>0</v>
      </c>
      <c r="BF18" s="20" t="n">
        <f aca="false">BD18+BE18</f>
        <v>0</v>
      </c>
      <c r="BG18" s="20" t="n">
        <f aca="false">AW18-BE18+BA18*IF(Slot4_SpendLike=1,BC18-BD18,IF(Slot4_PotFree=1,BC18,0))</f>
        <v>0</v>
      </c>
      <c r="BH18" s="20" t="n">
        <f aca="false">AX18+BA18*Slot4_BufPot*BC18</f>
        <v>16899.0617480318</v>
      </c>
      <c r="BI18" s="20" t="n">
        <f aca="false">IF(AND(BA18=1,Slot4_IsMfree=1),IF(BF18&gt;=Slot4_Cost-1,0,MAX(0,AY18-BF18)),AY18)</f>
        <v>117344.387280946</v>
      </c>
      <c r="BJ18" s="20" t="n">
        <f aca="false">BA18*(Slot4_Cost-BF18)</f>
        <v>0</v>
      </c>
      <c r="BK18" s="20" t="n">
        <f aca="false">IF(AND(Slot5_On=1,D18=Slot5_Age),1,0)</f>
        <v>0</v>
      </c>
      <c r="BL18" s="20" t="n">
        <f aca="false">IF(AND(Slot5_On=1,Slot5_Age&gt;D18),1,0)</f>
        <v>0</v>
      </c>
      <c r="BM18" s="20" t="n">
        <f aca="false">RC17</f>
        <v>0</v>
      </c>
      <c r="BN18" s="20" t="n">
        <f aca="false">BK18*MIN(Slot5_Cost,BM18)</f>
        <v>0</v>
      </c>
      <c r="BO18" s="20" t="n">
        <f aca="false">BK18*Slot5_SpendLike*MIN(Slot5_Cost-BN18,BG18)</f>
        <v>0</v>
      </c>
      <c r="BP18" s="20" t="n">
        <f aca="false">BN18+BO18</f>
        <v>0</v>
      </c>
      <c r="BQ18" s="20" t="n">
        <f aca="false">BG18-BO18+BK18*IF(Slot5_SpendLike=1,BM18-BN18,IF(Slot5_PotFree=1,BM18,0))</f>
        <v>0</v>
      </c>
      <c r="BR18" s="20" t="n">
        <f aca="false">BH18+BK18*Slot5_BufPot*BM18</f>
        <v>16899.0617480318</v>
      </c>
      <c r="BS18" s="20" t="n">
        <f aca="false">IF(AND(BK18=1,Slot5_IsMfree=1),IF(BP18&gt;=Slot5_Cost-1,0,MAX(0,BI18-BP18)),BI18)</f>
        <v>117344.387280946</v>
      </c>
      <c r="BT18" s="20" t="n">
        <f aca="false">BK18*(Slot5_Cost-BP18)</f>
        <v>0</v>
      </c>
      <c r="BU18" s="20" t="n">
        <f aca="false">IF(AND(Slot6_On=1,D18=Slot6_Age),1,0)</f>
        <v>0</v>
      </c>
      <c r="BV18" s="20" t="n">
        <f aca="false">IF(AND(Slot6_On=1,Slot6_Age&gt;D18),1,0)</f>
        <v>0</v>
      </c>
      <c r="BW18" s="20" t="n">
        <f aca="false">RG17</f>
        <v>0</v>
      </c>
      <c r="BX18" s="20" t="n">
        <f aca="false">BU18*MIN(Slot6_Cost,BW18)</f>
        <v>0</v>
      </c>
      <c r="BY18" s="20" t="n">
        <f aca="false">BU18*Slot6_SpendLike*MIN(Slot6_Cost-BX18,BQ18)</f>
        <v>0</v>
      </c>
      <c r="BZ18" s="20" t="n">
        <f aca="false">BX18+BY18</f>
        <v>0</v>
      </c>
      <c r="CA18" s="20" t="n">
        <f aca="false">BQ18-BY18+BU18*IF(Slot6_SpendLike=1,BW18-BX18,IF(Slot6_PotFree=1,BW18,0))</f>
        <v>0</v>
      </c>
      <c r="CB18" s="20" t="n">
        <f aca="false">BR18+BU18*Slot6_BufPot*BW18</f>
        <v>16899.0617480318</v>
      </c>
      <c r="CC18" s="20" t="n">
        <f aca="false">IF(AND(BU18=1,Slot6_IsMfree=1),IF(BZ18&gt;=Slot6_Cost-1,0,MAX(0,BS18-BZ18)),BS18)</f>
        <v>117344.387280946</v>
      </c>
      <c r="CD18" s="20" t="n">
        <f aca="false">BU18*(Slot6_Cost-BZ18)</f>
        <v>0</v>
      </c>
      <c r="CE18" s="20" t="n">
        <f aca="false">IF(AND(Slot7_On=1,D18=Slot7_Age),1,0)</f>
        <v>0</v>
      </c>
      <c r="CF18" s="20" t="n">
        <f aca="false">IF(AND(Slot7_On=1,Slot7_Age&gt;D18),1,0)</f>
        <v>0</v>
      </c>
      <c r="CG18" s="20" t="n">
        <f aca="false">RK17</f>
        <v>0</v>
      </c>
      <c r="CH18" s="20" t="n">
        <f aca="false">CE18*MIN(Slot7_Cost,CG18)</f>
        <v>0</v>
      </c>
      <c r="CI18" s="20" t="n">
        <f aca="false">CE18*Slot7_SpendLike*MIN(Slot7_Cost-CH18,CA18)</f>
        <v>0</v>
      </c>
      <c r="CJ18" s="20" t="n">
        <f aca="false">CH18+CI18</f>
        <v>0</v>
      </c>
      <c r="CK18" s="20" t="n">
        <f aca="false">CA18-CI18+CE18*IF(Slot7_SpendLike=1,CG18-CH18,IF(Slot7_PotFree=1,CG18,0))</f>
        <v>0</v>
      </c>
      <c r="CL18" s="20" t="n">
        <f aca="false">CB18+CE18*Slot7_BufPot*CG18</f>
        <v>16899.0617480318</v>
      </c>
      <c r="CM18" s="20" t="n">
        <f aca="false">IF(AND(CE18=1,Slot7_IsMfree=1),IF(CJ18&gt;=Slot7_Cost-1,0,MAX(0,CC18-CJ18)),CC18)</f>
        <v>117344.387280946</v>
      </c>
      <c r="CN18" s="20" t="n">
        <f aca="false">CE18*(Slot7_Cost-CJ18)</f>
        <v>0</v>
      </c>
      <c r="CO18" s="20" t="n">
        <f aca="false">IF(AND(Slot8_On=1,D18=Slot8_Age),1,0)</f>
        <v>0</v>
      </c>
      <c r="CP18" s="20" t="n">
        <f aca="false">IF(AND(Slot8_On=1,Slot8_Age&gt;D18),1,0)</f>
        <v>0</v>
      </c>
      <c r="CQ18" s="20" t="n">
        <f aca="false">RO17</f>
        <v>0</v>
      </c>
      <c r="CR18" s="20" t="n">
        <f aca="false">CO18*MIN(Slot8_Cost,CQ18)</f>
        <v>0</v>
      </c>
      <c r="CS18" s="20" t="n">
        <f aca="false">CO18*Slot8_SpendLike*MIN(Slot8_Cost-CR18,CK18)</f>
        <v>0</v>
      </c>
      <c r="CT18" s="20" t="n">
        <f aca="false">CR18+CS18</f>
        <v>0</v>
      </c>
      <c r="CU18" s="20" t="n">
        <f aca="false">CK18-CS18+CO18*IF(Slot8_SpendLike=1,CQ18-CR18,IF(Slot8_PotFree=1,CQ18,0))</f>
        <v>0</v>
      </c>
      <c r="CV18" s="20" t="n">
        <f aca="false">CL18+CO18*Slot8_BufPot*CQ18</f>
        <v>16899.0617480318</v>
      </c>
      <c r="CW18" s="20" t="n">
        <f aca="false">IF(AND(CO18=1,Slot8_IsMfree=1),IF(CT18&gt;=Slot8_Cost-1,0,MAX(0,CM18-CT18)),CM18)</f>
        <v>117344.387280946</v>
      </c>
      <c r="CX18" s="20" t="n">
        <f aca="false">CO18*(Slot8_Cost-CT18)</f>
        <v>0</v>
      </c>
      <c r="CY18" s="20" t="n">
        <f aca="false">IF(AND(Slot9_On=1,D18=Slot9_Age),1,0)</f>
        <v>0</v>
      </c>
      <c r="CZ18" s="20" t="n">
        <f aca="false">IF(AND(Slot9_On=1,Slot9_Age&gt;D18),1,0)</f>
        <v>0</v>
      </c>
      <c r="DA18" s="20" t="n">
        <f aca="false">RS17</f>
        <v>0</v>
      </c>
      <c r="DB18" s="20" t="n">
        <f aca="false">CY18*MIN(Slot9_Cost,DA18)</f>
        <v>0</v>
      </c>
      <c r="DC18" s="20" t="n">
        <f aca="false">CY18*Slot9_SpendLike*MIN(Slot9_Cost-DB18,CU18)</f>
        <v>0</v>
      </c>
      <c r="DD18" s="20" t="n">
        <f aca="false">DB18+DC18</f>
        <v>0</v>
      </c>
      <c r="DE18" s="20" t="n">
        <f aca="false">CU18-DC18+CY18*IF(Slot9_SpendLike=1,DA18-DB18,IF(Slot9_PotFree=1,DA18,0))</f>
        <v>0</v>
      </c>
      <c r="DF18" s="20" t="n">
        <f aca="false">CV18+CY18*Slot9_BufPot*DA18</f>
        <v>16899.0617480318</v>
      </c>
      <c r="DG18" s="20" t="n">
        <f aca="false">IF(AND(CY18=1,Slot9_IsMfree=1),IF(DD18&gt;=Slot9_Cost-1,0,MAX(0,CW18-DD18)),CW18)</f>
        <v>117344.387280946</v>
      </c>
      <c r="DH18" s="20" t="n">
        <f aca="false">CY18*(Slot9_Cost-DD18)</f>
        <v>0</v>
      </c>
      <c r="DI18" s="20" t="n">
        <f aca="false">IF(AND(Slot10_On=1,D18=Slot10_Age),1,0)</f>
        <v>0</v>
      </c>
      <c r="DJ18" s="20" t="n">
        <f aca="false">IF(AND(Slot10_On=1,Slot10_Age&gt;D18),1,0)</f>
        <v>0</v>
      </c>
      <c r="DK18" s="20" t="n">
        <f aca="false">RW17</f>
        <v>0</v>
      </c>
      <c r="DL18" s="20" t="n">
        <f aca="false">DI18*MIN(Slot10_Cost,DK18)</f>
        <v>0</v>
      </c>
      <c r="DM18" s="20" t="n">
        <f aca="false">DI18*Slot10_SpendLike*MIN(Slot10_Cost-DL18,DE18)</f>
        <v>0</v>
      </c>
      <c r="DN18" s="20" t="n">
        <f aca="false">DL18+DM18</f>
        <v>0</v>
      </c>
      <c r="DO18" s="20" t="n">
        <f aca="false">DE18-DM18+DI18*IF(Slot10_SpendLike=1,DK18-DL18,IF(Slot10_PotFree=1,DK18,0))</f>
        <v>0</v>
      </c>
      <c r="DP18" s="20" t="n">
        <f aca="false">DF18+DI18*Slot10_BufPot*DK18</f>
        <v>16899.0617480318</v>
      </c>
      <c r="DQ18" s="20" t="n">
        <f aca="false">IF(AND(DI18=1,Slot10_IsMfree=1),IF(DN18&gt;=Slot10_Cost-1,0,MAX(0,DG18-DN18)),DG18)</f>
        <v>117344.387280946</v>
      </c>
      <c r="DR18" s="20" t="n">
        <f aca="false">DI18*(Slot10_Cost-DN18)</f>
        <v>0</v>
      </c>
      <c r="DS18" s="20" t="n">
        <f aca="false">IF(AND(Slot11_On=1,D18=Slot11_Age),1,0)</f>
        <v>0</v>
      </c>
      <c r="DT18" s="20" t="n">
        <f aca="false">IF(AND(Slot11_On=1,Slot11_Age&gt;D18),1,0)</f>
        <v>0</v>
      </c>
      <c r="DU18" s="20" t="n">
        <f aca="false">SA17</f>
        <v>0</v>
      </c>
      <c r="DV18" s="20" t="n">
        <f aca="false">DS18*MIN(Slot11_Cost,DU18)</f>
        <v>0</v>
      </c>
      <c r="DW18" s="20" t="n">
        <f aca="false">DS18*Slot11_SpendLike*MIN(Slot11_Cost-DV18,DO18)</f>
        <v>0</v>
      </c>
      <c r="DX18" s="20" t="n">
        <f aca="false">DV18+DW18</f>
        <v>0</v>
      </c>
      <c r="DY18" s="20" t="n">
        <f aca="false">DO18-DW18+DS18*IF(Slot11_SpendLike=1,DU18-DV18,IF(Slot11_PotFree=1,DU18,0))</f>
        <v>0</v>
      </c>
      <c r="DZ18" s="20" t="n">
        <f aca="false">DP18+DS18*Slot11_BufPot*DU18</f>
        <v>16899.0617480318</v>
      </c>
      <c r="EA18" s="20" t="n">
        <f aca="false">IF(AND(DS18=1,Slot11_IsMfree=1),IF(DX18&gt;=Slot11_Cost-1,0,MAX(0,DQ18-DX18)),DQ18)</f>
        <v>117344.387280946</v>
      </c>
      <c r="EB18" s="20" t="n">
        <f aca="false">DS18*(Slot11_Cost-DX18)</f>
        <v>0</v>
      </c>
      <c r="EC18" s="20" t="n">
        <f aca="false">IF(AND(Slot12_On=1,D18=Slot12_Age),1,0)</f>
        <v>0</v>
      </c>
      <c r="ED18" s="20" t="n">
        <f aca="false">IF(AND(Slot12_On=1,Slot12_Age&gt;D18),1,0)</f>
        <v>0</v>
      </c>
      <c r="EE18" s="20" t="n">
        <f aca="false">SE17</f>
        <v>0</v>
      </c>
      <c r="EF18" s="20" t="n">
        <f aca="false">EC18*MIN(Slot12_Cost,EE18)</f>
        <v>0</v>
      </c>
      <c r="EG18" s="20" t="n">
        <f aca="false">EC18*Slot12_SpendLike*MIN(Slot12_Cost-EF18,DY18)</f>
        <v>0</v>
      </c>
      <c r="EH18" s="20" t="n">
        <f aca="false">EF18+EG18</f>
        <v>0</v>
      </c>
      <c r="EI18" s="20" t="n">
        <f aca="false">DY18-EG18+EC18*IF(Slot12_SpendLike=1,EE18-EF18,IF(Slot12_PotFree=1,EE18,0))</f>
        <v>0</v>
      </c>
      <c r="EJ18" s="20" t="n">
        <f aca="false">DZ18+EC18*Slot12_BufPot*EE18</f>
        <v>16899.0617480318</v>
      </c>
      <c r="EK18" s="20" t="n">
        <f aca="false">IF(AND(EC18=1,Slot12_IsMfree=1),IF(EH18&gt;=Slot12_Cost-1,0,MAX(0,EA18-EH18)),EA18)</f>
        <v>117344.387280946</v>
      </c>
      <c r="EL18" s="20" t="n">
        <f aca="false">EC18*(Slot12_Cost-EH18)</f>
        <v>0</v>
      </c>
      <c r="EM18" s="20" t="n">
        <f aca="false">IF(AND(Slot13_On=1,D18=Slot13_Age),1,0)</f>
        <v>0</v>
      </c>
      <c r="EN18" s="20" t="n">
        <f aca="false">IF(AND(Slot13_On=1,Slot13_Age&gt;D18),1,0)</f>
        <v>0</v>
      </c>
      <c r="EO18" s="20" t="n">
        <f aca="false">SI17</f>
        <v>0</v>
      </c>
      <c r="EP18" s="20" t="n">
        <f aca="false">EM18*MIN(Slot13_Cost,EO18)</f>
        <v>0</v>
      </c>
      <c r="EQ18" s="20" t="n">
        <f aca="false">EM18*Slot13_SpendLike*MIN(Slot13_Cost-EP18,EI18)</f>
        <v>0</v>
      </c>
      <c r="ER18" s="20" t="n">
        <f aca="false">EP18+EQ18</f>
        <v>0</v>
      </c>
      <c r="ES18" s="20" t="n">
        <f aca="false">EI18-EQ18+EM18*IF(Slot13_SpendLike=1,EO18-EP18,IF(Slot13_PotFree=1,EO18,0))</f>
        <v>0</v>
      </c>
      <c r="ET18" s="20" t="n">
        <f aca="false">EJ18+EM18*Slot13_BufPot*EO18</f>
        <v>16899.0617480318</v>
      </c>
      <c r="EU18" s="20" t="n">
        <f aca="false">IF(AND(EM18=1,Slot13_IsMfree=1),IF(ER18&gt;=Slot13_Cost-1,0,MAX(0,EK18-ER18)),EK18)</f>
        <v>117344.387280946</v>
      </c>
      <c r="EV18" s="20" t="n">
        <f aca="false">EM18*(Slot13_Cost-ER18)</f>
        <v>0</v>
      </c>
      <c r="EW18" s="20" t="n">
        <f aca="false">IF(AND(Slot14_On=1,D18=Slot14_Age),1,0)</f>
        <v>0</v>
      </c>
      <c r="EX18" s="20" t="n">
        <f aca="false">IF(AND(Slot14_On=1,Slot14_Age&gt;D18),1,0)</f>
        <v>0</v>
      </c>
      <c r="EY18" s="20" t="n">
        <f aca="false">SM17</f>
        <v>0</v>
      </c>
      <c r="EZ18" s="20" t="n">
        <f aca="false">EW18*MIN(Slot14_Cost,EY18)</f>
        <v>0</v>
      </c>
      <c r="FA18" s="20" t="n">
        <f aca="false">EW18*Slot14_SpendLike*MIN(Slot14_Cost-EZ18,ES18)</f>
        <v>0</v>
      </c>
      <c r="FB18" s="20" t="n">
        <f aca="false">EZ18+FA18</f>
        <v>0</v>
      </c>
      <c r="FC18" s="20" t="n">
        <f aca="false">ES18-FA18+EW18*IF(Slot14_SpendLike=1,EY18-EZ18,IF(Slot14_PotFree=1,EY18,0))</f>
        <v>0</v>
      </c>
      <c r="FD18" s="20" t="n">
        <f aca="false">ET18+EW18*Slot14_BufPot*EY18</f>
        <v>16899.0617480318</v>
      </c>
      <c r="FE18" s="20" t="n">
        <f aca="false">IF(AND(EW18=1,Slot14_IsMfree=1),IF(FB18&gt;=Slot14_Cost-1,0,MAX(0,EU18-FB18)),EU18)</f>
        <v>117344.387280946</v>
      </c>
      <c r="FF18" s="20" t="n">
        <f aca="false">EW18*(Slot14_Cost-FB18)</f>
        <v>0</v>
      </c>
      <c r="FG18" s="20" t="n">
        <f aca="false">IF(AND(Slot15_On=1,D18=Slot15_Age),1,0)</f>
        <v>0</v>
      </c>
      <c r="FH18" s="20" t="n">
        <f aca="false">IF(AND(Slot15_On=1,Slot15_Age&gt;D18),1,0)</f>
        <v>0</v>
      </c>
      <c r="FI18" s="20" t="n">
        <f aca="false">SQ17</f>
        <v>0</v>
      </c>
      <c r="FJ18" s="20" t="n">
        <f aca="false">FG18*MIN(Slot15_Cost,FI18)</f>
        <v>0</v>
      </c>
      <c r="FK18" s="20" t="n">
        <f aca="false">FG18*Slot15_SpendLike*MIN(Slot15_Cost-FJ18,FC18)</f>
        <v>0</v>
      </c>
      <c r="FL18" s="20" t="n">
        <f aca="false">FJ18+FK18</f>
        <v>0</v>
      </c>
      <c r="FM18" s="20" t="n">
        <f aca="false">FC18-FK18+FG18*IF(Slot15_SpendLike=1,FI18-FJ18,IF(Slot15_PotFree=1,FI18,0))</f>
        <v>0</v>
      </c>
      <c r="FN18" s="20" t="n">
        <f aca="false">FD18+FG18*Slot15_BufPot*FI18</f>
        <v>16899.0617480318</v>
      </c>
      <c r="FO18" s="20" t="n">
        <f aca="false">IF(AND(FG18=1,Slot15_IsMfree=1),IF(FL18&gt;=Slot15_Cost-1,0,MAX(0,FE18-FL18)),FE18)</f>
        <v>117344.387280946</v>
      </c>
      <c r="FP18" s="20" t="n">
        <f aca="false">FG18*(Slot15_Cost-FL18)</f>
        <v>0</v>
      </c>
      <c r="FQ18" s="20" t="n">
        <f aca="false">IF(AND(Slot16_On=1,D18=Slot16_Age),1,0)</f>
        <v>0</v>
      </c>
      <c r="FR18" s="20" t="n">
        <f aca="false">IF(AND(Slot16_On=1,Slot16_Age&gt;D18),1,0)</f>
        <v>0</v>
      </c>
      <c r="FS18" s="20" t="n">
        <f aca="false">SU17</f>
        <v>0</v>
      </c>
      <c r="FT18" s="20" t="n">
        <f aca="false">FQ18*MIN(Slot16_Cost,FS18)</f>
        <v>0</v>
      </c>
      <c r="FU18" s="20" t="n">
        <f aca="false">FQ18*Slot16_SpendLike*MIN(Slot16_Cost-FT18,FM18)</f>
        <v>0</v>
      </c>
      <c r="FV18" s="20" t="n">
        <f aca="false">FT18+FU18</f>
        <v>0</v>
      </c>
      <c r="FW18" s="20" t="n">
        <f aca="false">FM18-FU18+FQ18*IF(Slot16_SpendLike=1,FS18-FT18,IF(Slot16_PotFree=1,FS18,0))</f>
        <v>0</v>
      </c>
      <c r="FX18" s="20" t="n">
        <f aca="false">FN18+FQ18*Slot16_BufPot*FS18</f>
        <v>16899.0617480318</v>
      </c>
      <c r="FY18" s="20" t="n">
        <f aca="false">IF(AND(FQ18=1,Slot16_IsMfree=1),IF(FV18&gt;=Slot16_Cost-1,0,MAX(0,FO18-FV18)),FO18)</f>
        <v>117344.387280946</v>
      </c>
      <c r="FZ18" s="20" t="n">
        <f aca="false">FQ18*(Slot16_Cost-FV18)</f>
        <v>0</v>
      </c>
      <c r="GA18" s="20" t="n">
        <f aca="false">IF(AND(Slot17_On=1,D18=Slot17_Age),1,0)</f>
        <v>0</v>
      </c>
      <c r="GB18" s="20" t="n">
        <f aca="false">IF(AND(Slot17_On=1,Slot17_Age&gt;D18),1,0)</f>
        <v>0</v>
      </c>
      <c r="GC18" s="20" t="n">
        <f aca="false">SY17</f>
        <v>0</v>
      </c>
      <c r="GD18" s="20" t="n">
        <f aca="false">GA18*MIN(Slot17_Cost,GC18)</f>
        <v>0</v>
      </c>
      <c r="GE18" s="20" t="n">
        <f aca="false">GA18*Slot17_SpendLike*MIN(Slot17_Cost-GD18,FW18)</f>
        <v>0</v>
      </c>
      <c r="GF18" s="20" t="n">
        <f aca="false">GD18+GE18</f>
        <v>0</v>
      </c>
      <c r="GG18" s="20" t="n">
        <f aca="false">FW18-GE18+GA18*IF(Slot17_SpendLike=1,GC18-GD18,IF(Slot17_PotFree=1,GC18,0))</f>
        <v>0</v>
      </c>
      <c r="GH18" s="20" t="n">
        <f aca="false">FX18+GA18*Slot17_BufPot*GC18</f>
        <v>16899.0617480318</v>
      </c>
      <c r="GI18" s="20" t="n">
        <f aca="false">IF(AND(GA18=1,Slot17_IsMfree=1),IF(GF18&gt;=Slot17_Cost-1,0,MAX(0,FY18-GF18)),FY18)</f>
        <v>117344.387280946</v>
      </c>
      <c r="GJ18" s="20" t="n">
        <f aca="false">GA18*(Slot17_Cost-GF18)</f>
        <v>0</v>
      </c>
      <c r="GK18" s="20" t="n">
        <f aca="false">IF(AND(Slot18_On=1,D18=Slot18_Age),1,0)</f>
        <v>0</v>
      </c>
      <c r="GL18" s="20" t="n">
        <f aca="false">IF(AND(Slot18_On=1,Slot18_Age&gt;D18),1,0)</f>
        <v>0</v>
      </c>
      <c r="GM18" s="20" t="n">
        <f aca="false">TC17</f>
        <v>0</v>
      </c>
      <c r="GN18" s="20" t="n">
        <f aca="false">GK18*MIN(Slot18_Cost,GM18)</f>
        <v>0</v>
      </c>
      <c r="GO18" s="20" t="n">
        <f aca="false">GK18*Slot18_SpendLike*MIN(Slot18_Cost-GN18,GG18)</f>
        <v>0</v>
      </c>
      <c r="GP18" s="20" t="n">
        <f aca="false">GN18+GO18</f>
        <v>0</v>
      </c>
      <c r="GQ18" s="20" t="n">
        <f aca="false">GG18-GO18+GK18*IF(Slot18_SpendLike=1,GM18-GN18,IF(Slot18_PotFree=1,GM18,0))</f>
        <v>0</v>
      </c>
      <c r="GR18" s="20" t="n">
        <f aca="false">GH18+GK18*Slot18_BufPot*GM18</f>
        <v>16899.0617480318</v>
      </c>
      <c r="GS18" s="20" t="n">
        <f aca="false">IF(AND(GK18=1,Slot18_IsMfree=1),IF(GP18&gt;=Slot18_Cost-1,0,MAX(0,GI18-GP18)),GI18)</f>
        <v>117344.387280946</v>
      </c>
      <c r="GT18" s="20" t="n">
        <f aca="false">GK18*(Slot18_Cost-GP18)</f>
        <v>0</v>
      </c>
      <c r="GU18" s="20" t="n">
        <f aca="false">IF(AND(Slot19_On=1,D18=Slot19_Age),1,0)</f>
        <v>0</v>
      </c>
      <c r="GV18" s="20" t="n">
        <f aca="false">IF(AND(Slot19_On=1,Slot19_Age&gt;D18),1,0)</f>
        <v>0</v>
      </c>
      <c r="GW18" s="20" t="n">
        <f aca="false">TG17</f>
        <v>0</v>
      </c>
      <c r="GX18" s="20" t="n">
        <f aca="false">GU18*MIN(Slot19_Cost,GW18)</f>
        <v>0</v>
      </c>
      <c r="GY18" s="20" t="n">
        <f aca="false">GU18*Slot19_SpendLike*MIN(Slot19_Cost-GX18,GQ18)</f>
        <v>0</v>
      </c>
      <c r="GZ18" s="20" t="n">
        <f aca="false">GX18+GY18</f>
        <v>0</v>
      </c>
      <c r="HA18" s="20" t="n">
        <f aca="false">GQ18-GY18+GU18*IF(Slot19_SpendLike=1,GW18-GX18,IF(Slot19_PotFree=1,GW18,0))</f>
        <v>0</v>
      </c>
      <c r="HB18" s="20" t="n">
        <f aca="false">GR18+GU18*Slot19_BufPot*GW18</f>
        <v>16899.0617480318</v>
      </c>
      <c r="HC18" s="20" t="n">
        <f aca="false">IF(AND(GU18=1,Slot19_IsMfree=1),IF(GZ18&gt;=Slot19_Cost-1,0,MAX(0,GS18-GZ18)),GS18)</f>
        <v>117344.387280946</v>
      </c>
      <c r="HD18" s="20" t="n">
        <f aca="false">GU18*(Slot19_Cost-GZ18)</f>
        <v>0</v>
      </c>
      <c r="HE18" s="20" t="n">
        <f aca="false">IF(AND(Slot20_On=1,D18=Slot20_Age),1,0)</f>
        <v>0</v>
      </c>
      <c r="HF18" s="20" t="n">
        <f aca="false">IF(AND(Slot20_On=1,Slot20_Age&gt;D18),1,0)</f>
        <v>0</v>
      </c>
      <c r="HG18" s="20" t="n">
        <f aca="false">TK17</f>
        <v>0</v>
      </c>
      <c r="HH18" s="20" t="n">
        <f aca="false">HE18*MIN(Slot20_Cost,HG18)</f>
        <v>0</v>
      </c>
      <c r="HI18" s="20" t="n">
        <f aca="false">HE18*Slot20_SpendLike*MIN(Slot20_Cost-HH18,HA18)</f>
        <v>0</v>
      </c>
      <c r="HJ18" s="20" t="n">
        <f aca="false">HH18+HI18</f>
        <v>0</v>
      </c>
      <c r="HK18" s="20" t="n">
        <f aca="false">HA18-HI18+HE18*IF(Slot20_SpendLike=1,HG18-HH18,IF(Slot20_PotFree=1,HG18,0))</f>
        <v>0</v>
      </c>
      <c r="HL18" s="20" t="n">
        <f aca="false">HB18+HE18*Slot20_BufPot*HG18</f>
        <v>16899.0617480318</v>
      </c>
      <c r="HM18" s="20" t="n">
        <f aca="false">IF(AND(HE18=1,Slot20_IsMfree=1),IF(HJ18&gt;=Slot20_Cost-1,0,MAX(0,HC18-HJ18)),HC18)</f>
        <v>117344.387280946</v>
      </c>
      <c r="HN18" s="20" t="n">
        <f aca="false">HE18*(Slot20_Cost-HJ18)</f>
        <v>0</v>
      </c>
      <c r="HO18" s="20" t="n">
        <f aca="false">V18*Slot1_SpendLike*AA18+AG18*Slot2_SpendLike*AL18+AQ18*Slot3_SpendLike*AV18+BA18*Slot4_SpendLike*BF18+BK18*Slot5_SpendLike*BP18+BU18*Slot6_SpendLike*BZ18+CE18*Slot7_SpendLike*CJ18+CO18*Slot8_SpendLike*CT18+CY18*Slot9_SpendLike*DD18+DI18*Slot10_SpendLike*DN18+DS18*Slot11_SpendLike*DX18+EC18*Slot12_SpendLike*EH18+EM18*Slot13_SpendLike*ER18+EW18*Slot14_SpendLike*FB18+FG18*Slot15_SpendLike*FL18+FQ18*Slot16_SpendLike*FV18+GA18*Slot17_SpendLike*GF18+GK18*Slot18_SpendLike*GP18+GU18*Slot19_SpendLike*GZ18+HE18*Slot20_SpendLike*HJ18</f>
        <v>30927.1211760735</v>
      </c>
      <c r="HP18" s="20" t="n">
        <f aca="false">AE18+AP18+AZ18+BJ18+BT18+CD18+CN18+CX18+DH18+DR18+EB18+EL18+EV18+FF18+FP18+FZ18+GJ18+GT18+HD18+HN18</f>
        <v>30022.5998236644</v>
      </c>
      <c r="HQ18" s="20" t="n">
        <f aca="false">V18*Slot1_Cost+AG18*Slot2_Cost+AQ18*Slot3_Cost+BA18*Slot4_Cost+BK18*Slot5_Cost+BU18*Slot6_Cost+CE18*Slot7_Cost+CO18*Slot8_Cost+CY18*Slot9_Cost+DI18*Slot10_Cost+DS18*Slot11_Cost+EC18*Slot12_Cost+EM18*Slot13_Cost+EW18*Slot14_Cost+FG18*Slot15_Cost+FQ18*Slot16_Cost+GA18*Slot17_Cost+GK18*Slot18_Cost+GU18*Slot19_Cost+HE18*Slot20_Cost</f>
        <v>60949.7209997379</v>
      </c>
      <c r="HR18" s="20" t="n">
        <f aca="false">HM18</f>
        <v>117344.387280946</v>
      </c>
      <c r="HS18" s="20" t="n">
        <f aca="false">H18-I18-S18</f>
        <v>12176.0291060714</v>
      </c>
      <c r="HT18" s="20" t="n">
        <f aca="false">IF(B18=0,IF(AND(Has_q6=1,In_q6=4),PR_ShareVaries*(MAX(0,HS18)/12),MIN(IF(Has_q6=1,CHOOSE(In_q6+1,PR_SaveB1,PR_SaveB2,PR_SaveB3,PR_SaveB4,0),AS_NoAnswer),AS_SaveShare*(MAX(0,HS18)/12))),HT17)</f>
        <v>62.3316893520437</v>
      </c>
      <c r="HU18" s="20" t="n">
        <f aca="false">IF(HS18&gt;=0,1,0)</f>
        <v>1</v>
      </c>
      <c r="HV18" s="20" t="n">
        <f aca="false">MAX(0,HS18/12/F18)</f>
        <v>832.382064699672</v>
      </c>
      <c r="HW18" s="20" t="n">
        <f aca="false">IF(AND(Has_q6=1,In_q6=4),PR_ShareVaries*(HV18),MIN(IF(Has_q6=1,CHOOSE(In_q6+1,PR_SaveB1,PR_SaveB2,PR_SaveB3,PR_SaveB4,0),AS_NoAnswer),AS_SaveShare*(HV18)))</f>
        <v>416.191032349836</v>
      </c>
      <c r="HX18" s="20" t="n">
        <f aca="false">IF(Has_saveM=1,IF(In_saveUp="Yes",1,IF(In_saveUp="No",0,IF(In_saveM&gt;=HT18-0.5,1,0))),0)</f>
        <v>0</v>
      </c>
      <c r="HY18" s="20" t="n">
        <f aca="false">IF(Has_saveM=1,MIN(HV18,IF(HX18=1,MAX(In_saveM,HW18),MIN(In_saveM,HW18))),HW18)</f>
        <v>416.191032349836</v>
      </c>
      <c r="HZ18" s="20" t="n">
        <f aca="false">IF(G18=1,HY18*12*F18,0)</f>
        <v>6088.01455303569</v>
      </c>
      <c r="IA18" s="20" t="n">
        <f aca="false">MAX(0,HZ18+IF(AND(WI_Retire=0,WI_M&lt;0,G18=1),WI_M*12*F18,0))</f>
        <v>6088.01455303569</v>
      </c>
      <c r="IB18" s="20" t="n">
        <f aca="false">Slot1_IsWG*W18+Slot2_IsWG*AH18+Slot3_IsWG*AR18+Slot4_IsWG*BB18+Slot5_IsWG*BL18+Slot6_IsWG*BV18+Slot7_IsWG*CF18+Slot8_IsWG*CP18+Slot9_IsWG*CZ18+Slot10_IsWG*DJ18+Slot11_IsWG*DT18+Slot12_IsWG*ED18+Slot13_IsWG*EN18+Slot14_IsWG*EX18+Slot15_IsWG*FH18+Slot16_IsWG*FR18+Slot17_IsWG*GB18+Slot18_IsWG*GL18+Slot19_IsWG*GV18+Slot20_IsWG*HF18</f>
        <v>0</v>
      </c>
      <c r="IC18" s="20" t="n">
        <f aca="false">IF(AND(WI_Retire=0,WI_M&gt;0,G18=1,IB18&gt;=1),WI_M*12*F18,0)</f>
        <v>0</v>
      </c>
      <c r="ID18" s="20" t="n">
        <f aca="false">IF(HU18=1,MIN(IA18,HS18),0)</f>
        <v>6088.01455303569</v>
      </c>
      <c r="IE18" s="20" t="n">
        <f aca="false">IF(HU18=1,MIN(IC18,HS18-ID18),0)</f>
        <v>0</v>
      </c>
      <c r="IF18" s="20" t="n">
        <f aca="false">IF(W18=1,IF(ABS((1+AS_Wage)/(1+Slot1_Rate)-1)&lt;0.000000000001,(Slot1_Age-D18)*(1+Slot1_Rate)^(Slot1_Age-D18),(1+Slot1_Rate)^(Slot1_Age-D18)*(1-((1+AS_Wage)/(1+Slot1_Rate))^(Slot1_Age-D18))/(1-(1+AS_Wage)/(1+Slot1_Rate))),1)</f>
        <v>1</v>
      </c>
      <c r="IG18" s="20" t="n">
        <f aca="false">IF(AND(HU18=1,IE18&gt;0,Slot1_IsWG=1,W18=1),MAX(0,(Slot1_Cost-X18*(1+Slot1_Rate)^(Slot1_Age-D18))/IF18),0)</f>
        <v>0</v>
      </c>
      <c r="IH18" s="20" t="n">
        <f aca="false">IF(AND(HU18=1,IE18&gt;0,Slot1_IsWG=1,W18=1),MIN(IE18,IG18),0)</f>
        <v>0</v>
      </c>
      <c r="II18" s="20" t="n">
        <f aca="false">X18+IH18</f>
        <v>0</v>
      </c>
      <c r="IJ18" s="20" t="n">
        <f aca="false">IF(W18=1,MAX(0,(Slot1_Cost-II18*(1+Slot1_Rate)^(Slot1_Age-D18))/IF18),0)</f>
        <v>0</v>
      </c>
      <c r="IK18" s="20" t="n">
        <f aca="false">IF(W18=1,MAX(0,(Slot1_Cost-X18*(1+Slot1_Rate)^(Slot1_Age-D18))/IF18),0)</f>
        <v>0</v>
      </c>
      <c r="IL18" s="20" t="n">
        <f aca="false">IF(AND(HU18=1,W18=1),MIN(ID18,IJ18),0)</f>
        <v>0</v>
      </c>
      <c r="IM18" s="20" t="n">
        <f aca="false">ID18-IL18</f>
        <v>6088.01455303569</v>
      </c>
      <c r="IN18" s="20" t="n">
        <f aca="false">IF(AH18=1,IF(ABS((1+AS_Wage)/(1+Slot2_Rate)-1)&lt;0.000000000001,(Slot2_Age-D18)*(1+Slot2_Rate)^(Slot2_Age-D18),(1+Slot2_Rate)^(Slot2_Age-D18)*(1-((1+AS_Wage)/(1+Slot2_Rate))^(Slot2_Age-D18))/(1-(1+AS_Wage)/(1+Slot2_Rate))),1)</f>
        <v>1</v>
      </c>
      <c r="IO18" s="20" t="n">
        <f aca="false">IF(AND(HU18=1,IE18&gt;0,Slot2_IsWG=1,AH18=1),MAX(0,(Slot2_Cost-AI18*(1+Slot2_Rate)^(Slot2_Age-D18))/IN18),0)</f>
        <v>0</v>
      </c>
      <c r="IP18" s="20" t="n">
        <f aca="false">IF(AND(HU18=1,IE18&gt;0,Slot2_IsWG=1,AH18=1),MIN(IE18,IO18),0)</f>
        <v>0</v>
      </c>
      <c r="IQ18" s="20" t="n">
        <f aca="false">AI18+IP18</f>
        <v>0</v>
      </c>
      <c r="IR18" s="20" t="n">
        <f aca="false">IF(AH18=1,MAX(0,(Slot2_Cost-IQ18*(1+Slot2_Rate)^(Slot2_Age-D18))/IN18),0)</f>
        <v>0</v>
      </c>
      <c r="IS18" s="20" t="n">
        <f aca="false">IF(AH18=1,MAX(0,(Slot2_Cost-AI18*(1+Slot2_Rate)^(Slot2_Age-D18))/IN18),0)</f>
        <v>0</v>
      </c>
      <c r="IT18" s="20" t="n">
        <f aca="false">IF(AND(HU18=1,AH18=1),MIN(IM18,IR18),0)</f>
        <v>0</v>
      </c>
      <c r="IU18" s="20" t="n">
        <f aca="false">IM18-IT18</f>
        <v>6088.01455303569</v>
      </c>
      <c r="IV18" s="20" t="n">
        <f aca="false">IF(AR18=1,IF(ABS((1+AS_Wage)/(1+Slot3_Rate)-1)&lt;0.000000000001,(Slot3_Age-D18)*(1+Slot3_Rate)^(Slot3_Age-D18),(1+Slot3_Rate)^(Slot3_Age-D18)*(1-((1+AS_Wage)/(1+Slot3_Rate))^(Slot3_Age-D18))/(1-(1+AS_Wage)/(1+Slot3_Rate))),1)</f>
        <v>1</v>
      </c>
      <c r="IW18" s="20" t="n">
        <f aca="false">IF(AND(HU18=1,IE18&gt;0,Slot3_IsWG=1,AR18=1),MAX(0,(Slot3_Cost-AS18*(1+Slot3_Rate)^(Slot3_Age-D18))/IV18),0)</f>
        <v>0</v>
      </c>
      <c r="IX18" s="20" t="n">
        <f aca="false">IF(AND(HU18=1,IE18&gt;0,Slot3_IsWG=1,AR18=1),MIN(IE18,IW18),0)</f>
        <v>0</v>
      </c>
      <c r="IY18" s="20" t="n">
        <f aca="false">AS18+IX18</f>
        <v>30927.1211760735</v>
      </c>
      <c r="IZ18" s="20" t="n">
        <f aca="false">IF(AR18=1,MAX(0,(Slot3_Cost-IY18*(1+Slot3_Rate)^(Slot3_Age-D18))/IV18),0)</f>
        <v>0</v>
      </c>
      <c r="JA18" s="20" t="n">
        <f aca="false">IF(AR18=1,MAX(0,(Slot3_Cost-AS18*(1+Slot3_Rate)^(Slot3_Age-D18))/IV18),0)</f>
        <v>0</v>
      </c>
      <c r="JB18" s="20" t="n">
        <f aca="false">IF(AND(HU18=1,AR18=1),MIN(IU18,IZ18),0)</f>
        <v>0</v>
      </c>
      <c r="JC18" s="20" t="n">
        <f aca="false">IU18-JB18</f>
        <v>6088.01455303569</v>
      </c>
      <c r="JD18" s="20" t="n">
        <f aca="false">IF(BB18=1,IF(ABS((1+AS_Wage)/(1+Slot4_Rate)-1)&lt;0.000000000001,(Slot4_Age-D18)*(1+Slot4_Rate)^(Slot4_Age-D18),(1+Slot4_Rate)^(Slot4_Age-D18)*(1-((1+AS_Wage)/(1+Slot4_Rate))^(Slot4_Age-D18))/(1-(1+AS_Wage)/(1+Slot4_Rate))),1)</f>
        <v>8.4764168836889</v>
      </c>
      <c r="JE18" s="20" t="n">
        <f aca="false">IF(AND(HU18=1,IE18&gt;0,Slot4_IsWG=1,BB18=1),MAX(0,(Slot4_Cost-BC18*(1+Slot4_Rate)^(Slot4_Age-D18))/JD18),0)</f>
        <v>0</v>
      </c>
      <c r="JF18" s="20" t="n">
        <f aca="false">IF(AND(HU18=1,IE18&gt;0,Slot4_IsWG=1,BB18=1),MIN(IE18,JE18),0)</f>
        <v>0</v>
      </c>
      <c r="JG18" s="20" t="n">
        <f aca="false">BC18+JF18</f>
        <v>0</v>
      </c>
      <c r="JH18" s="20" t="n">
        <f aca="false">IF(BB18=1,MAX(0,(Slot4_Cost-JG18*(1+Slot4_Rate)^(Slot4_Age-D18))/JD18),0)</f>
        <v>4721.32225231148</v>
      </c>
      <c r="JI18" s="20" t="n">
        <f aca="false">IF(BB18=1,MAX(0,(Slot4_Cost-BC18*(1+Slot4_Rate)^(Slot4_Age-D18))/JD18),0)</f>
        <v>4721.32225231148</v>
      </c>
      <c r="JJ18" s="20" t="n">
        <f aca="false">IF(AND(HU18=1,BB18=1),MIN(JC18,JH18),0)</f>
        <v>4721.32225231148</v>
      </c>
      <c r="JK18" s="20" t="n">
        <f aca="false">JC18-JJ18</f>
        <v>1366.69230072421</v>
      </c>
      <c r="JL18" s="20" t="n">
        <f aca="false">IF(BL18=1,IF(ABS((1+AS_Wage)/(1+Slot5_Rate)-1)&lt;0.000000000001,(Slot5_Age-D18)*(1+Slot5_Rate)^(Slot5_Age-D18),(1+Slot5_Rate)^(Slot5_Age-D18)*(1-((1+AS_Wage)/(1+Slot5_Rate))^(Slot5_Age-D18))/(1-(1+AS_Wage)/(1+Slot5_Rate))),1)</f>
        <v>1</v>
      </c>
      <c r="JM18" s="20" t="n">
        <f aca="false">IF(AND(HU18=1,IE18&gt;0,Slot5_IsWG=1,BL18=1),MAX(0,(Slot5_Cost-BM18*(1+Slot5_Rate)^(Slot5_Age-D18))/JL18),0)</f>
        <v>0</v>
      </c>
      <c r="JN18" s="20" t="n">
        <f aca="false">IF(AND(HU18=1,IE18&gt;0,Slot5_IsWG=1,BL18=1),MIN(IE18,JM18),0)</f>
        <v>0</v>
      </c>
      <c r="JO18" s="20" t="n">
        <f aca="false">BM18+JN18</f>
        <v>0</v>
      </c>
      <c r="JP18" s="20" t="n">
        <f aca="false">IF(BL18=1,MAX(0,(Slot5_Cost-JO18*(1+Slot5_Rate)^(Slot5_Age-D18))/JL18),0)</f>
        <v>0</v>
      </c>
      <c r="JQ18" s="20" t="n">
        <f aca="false">IF(BL18=1,MAX(0,(Slot5_Cost-BM18*(1+Slot5_Rate)^(Slot5_Age-D18))/JL18),0)</f>
        <v>0</v>
      </c>
      <c r="JR18" s="20" t="n">
        <f aca="false">IF(AND(HU18=1,BL18=1),MIN(JK18,JP18),0)</f>
        <v>0</v>
      </c>
      <c r="JS18" s="20" t="n">
        <f aca="false">JK18-JR18</f>
        <v>1366.69230072421</v>
      </c>
      <c r="JT18" s="20" t="n">
        <f aca="false">IF(BV18=1,IF(ABS((1+AS_Wage)/(1+Slot6_Rate)-1)&lt;0.000000000001,(Slot6_Age-D18)*(1+Slot6_Rate)^(Slot6_Age-D18),(1+Slot6_Rate)^(Slot6_Age-D18)*(1-((1+AS_Wage)/(1+Slot6_Rate))^(Slot6_Age-D18))/(1-(1+AS_Wage)/(1+Slot6_Rate))),1)</f>
        <v>1</v>
      </c>
      <c r="JU18" s="20" t="n">
        <f aca="false">IF(AND(HU18=1,IE18&gt;0,Slot6_IsWG=1,BV18=1),MAX(0,(Slot6_Cost-BW18*(1+Slot6_Rate)^(Slot6_Age-D18))/JT18),0)</f>
        <v>0</v>
      </c>
      <c r="JV18" s="20" t="n">
        <f aca="false">IF(AND(HU18=1,IE18&gt;0,Slot6_IsWG=1,BV18=1),MIN(IE18,JU18),0)</f>
        <v>0</v>
      </c>
      <c r="JW18" s="20" t="n">
        <f aca="false">BW18+JV18</f>
        <v>0</v>
      </c>
      <c r="JX18" s="20" t="n">
        <f aca="false">IF(BV18=1,MAX(0,(Slot6_Cost-JW18*(1+Slot6_Rate)^(Slot6_Age-D18))/JT18),0)</f>
        <v>0</v>
      </c>
      <c r="JY18" s="20" t="n">
        <f aca="false">IF(BV18=1,MAX(0,(Slot6_Cost-BW18*(1+Slot6_Rate)^(Slot6_Age-D18))/JT18),0)</f>
        <v>0</v>
      </c>
      <c r="JZ18" s="20" t="n">
        <f aca="false">IF(AND(HU18=1,BV18=1),MIN(JS18,JX18),0)</f>
        <v>0</v>
      </c>
      <c r="KA18" s="20" t="n">
        <f aca="false">JS18-JZ18</f>
        <v>1366.69230072421</v>
      </c>
      <c r="KB18" s="20" t="n">
        <f aca="false">IF(CF18=1,IF(ABS((1+AS_Wage)/(1+Slot7_Rate)-1)&lt;0.000000000001,(Slot7_Age-D18)*(1+Slot7_Rate)^(Slot7_Age-D18),(1+Slot7_Rate)^(Slot7_Age-D18)*(1-((1+AS_Wage)/(1+Slot7_Rate))^(Slot7_Age-D18))/(1-(1+AS_Wage)/(1+Slot7_Rate))),1)</f>
        <v>1</v>
      </c>
      <c r="KC18" s="20" t="n">
        <f aca="false">IF(AND(HU18=1,IE18&gt;0,Slot7_IsWG=1,CF18=1),MAX(0,(Slot7_Cost-CG18*(1+Slot7_Rate)^(Slot7_Age-D18))/KB18),0)</f>
        <v>0</v>
      </c>
      <c r="KD18" s="20" t="n">
        <f aca="false">IF(AND(HU18=1,IE18&gt;0,Slot7_IsWG=1,CF18=1),MIN(IE18,KC18),0)</f>
        <v>0</v>
      </c>
      <c r="KE18" s="20" t="n">
        <f aca="false">CG18+KD18</f>
        <v>0</v>
      </c>
      <c r="KF18" s="20" t="n">
        <f aca="false">IF(CF18=1,MAX(0,(Slot7_Cost-KE18*(1+Slot7_Rate)^(Slot7_Age-D18))/KB18),0)</f>
        <v>0</v>
      </c>
      <c r="KG18" s="20" t="n">
        <f aca="false">IF(CF18=1,MAX(0,(Slot7_Cost-CG18*(1+Slot7_Rate)^(Slot7_Age-D18))/KB18),0)</f>
        <v>0</v>
      </c>
      <c r="KH18" s="20" t="n">
        <f aca="false">IF(AND(HU18=1,CF18=1),MIN(KA18,KF18),0)</f>
        <v>0</v>
      </c>
      <c r="KI18" s="20" t="n">
        <f aca="false">KA18-KH18</f>
        <v>1366.69230072421</v>
      </c>
      <c r="KJ18" s="20" t="n">
        <f aca="false">IF(CP18=1,IF(ABS((1+AS_Wage)/(1+Slot8_Rate)-1)&lt;0.000000000001,(Slot8_Age-D18)*(1+Slot8_Rate)^(Slot8_Age-D18),(1+Slot8_Rate)^(Slot8_Age-D18)*(1-((1+AS_Wage)/(1+Slot8_Rate))^(Slot8_Age-D18))/(1-(1+AS_Wage)/(1+Slot8_Rate))),1)</f>
        <v>1</v>
      </c>
      <c r="KK18" s="20" t="n">
        <f aca="false">IF(AND(HU18=1,IE18&gt;0,Slot8_IsWG=1,CP18=1),MAX(0,(Slot8_Cost-CQ18*(1+Slot8_Rate)^(Slot8_Age-D18))/KJ18),0)</f>
        <v>0</v>
      </c>
      <c r="KL18" s="20" t="n">
        <f aca="false">IF(AND(HU18=1,IE18&gt;0,Slot8_IsWG=1,CP18=1),MIN(IE18,KK18),0)</f>
        <v>0</v>
      </c>
      <c r="KM18" s="20" t="n">
        <f aca="false">CQ18+KL18</f>
        <v>0</v>
      </c>
      <c r="KN18" s="20" t="n">
        <f aca="false">IF(CP18=1,MAX(0,(Slot8_Cost-KM18*(1+Slot8_Rate)^(Slot8_Age-D18))/KJ18),0)</f>
        <v>0</v>
      </c>
      <c r="KO18" s="20" t="n">
        <f aca="false">IF(CP18=1,MAX(0,(Slot8_Cost-CQ18*(1+Slot8_Rate)^(Slot8_Age-D18))/KJ18),0)</f>
        <v>0</v>
      </c>
      <c r="KP18" s="20" t="n">
        <f aca="false">IF(AND(HU18=1,CP18=1),MIN(KI18,KN18),0)</f>
        <v>0</v>
      </c>
      <c r="KQ18" s="20" t="n">
        <f aca="false">KI18-KP18</f>
        <v>1366.69230072421</v>
      </c>
      <c r="KR18" s="20" t="n">
        <f aca="false">IF(CZ18=1,IF(ABS((1+AS_Wage)/(1+Slot9_Rate)-1)&lt;0.000000000001,(Slot9_Age-D18)*(1+Slot9_Rate)^(Slot9_Age-D18),(1+Slot9_Rate)^(Slot9_Age-D18)*(1-((1+AS_Wage)/(1+Slot9_Rate))^(Slot9_Age-D18))/(1-(1+AS_Wage)/(1+Slot9_Rate))),1)</f>
        <v>1</v>
      </c>
      <c r="KS18" s="20" t="n">
        <f aca="false">IF(AND(HU18=1,IE18&gt;0,Slot9_IsWG=1,CZ18=1),MAX(0,(Slot9_Cost-DA18*(1+Slot9_Rate)^(Slot9_Age-D18))/KR18),0)</f>
        <v>0</v>
      </c>
      <c r="KT18" s="20" t="n">
        <f aca="false">IF(AND(HU18=1,IE18&gt;0,Slot9_IsWG=1,CZ18=1),MIN(IE18,KS18),0)</f>
        <v>0</v>
      </c>
      <c r="KU18" s="20" t="n">
        <f aca="false">DA18+KT18</f>
        <v>0</v>
      </c>
      <c r="KV18" s="20" t="n">
        <f aca="false">IF(CZ18=1,MAX(0,(Slot9_Cost-KU18*(1+Slot9_Rate)^(Slot9_Age-D18))/KR18),0)</f>
        <v>0</v>
      </c>
      <c r="KW18" s="20" t="n">
        <f aca="false">IF(CZ18=1,MAX(0,(Slot9_Cost-DA18*(1+Slot9_Rate)^(Slot9_Age-D18))/KR18),0)</f>
        <v>0</v>
      </c>
      <c r="KX18" s="20" t="n">
        <f aca="false">IF(AND(HU18=1,CZ18=1),MIN(KQ18,KV18),0)</f>
        <v>0</v>
      </c>
      <c r="KY18" s="20" t="n">
        <f aca="false">KQ18-KX18</f>
        <v>1366.69230072421</v>
      </c>
      <c r="KZ18" s="20" t="n">
        <f aca="false">IF(DJ18=1,IF(ABS((1+AS_Wage)/(1+Slot10_Rate)-1)&lt;0.000000000001,(Slot10_Age-D18)*(1+Slot10_Rate)^(Slot10_Age-D18),(1+Slot10_Rate)^(Slot10_Age-D18)*(1-((1+AS_Wage)/(1+Slot10_Rate))^(Slot10_Age-D18))/(1-(1+AS_Wage)/(1+Slot10_Rate))),1)</f>
        <v>1</v>
      </c>
      <c r="LA18" s="20" t="n">
        <f aca="false">IF(AND(HU18=1,IE18&gt;0,Slot10_IsWG=1,DJ18=1),MAX(0,(Slot10_Cost-DK18*(1+Slot10_Rate)^(Slot10_Age-D18))/KZ18),0)</f>
        <v>0</v>
      </c>
      <c r="LB18" s="20" t="n">
        <f aca="false">IF(AND(HU18=1,IE18&gt;0,Slot10_IsWG=1,DJ18=1),MIN(IE18,LA18),0)</f>
        <v>0</v>
      </c>
      <c r="LC18" s="20" t="n">
        <f aca="false">DK18+LB18</f>
        <v>0</v>
      </c>
      <c r="LD18" s="20" t="n">
        <f aca="false">IF(DJ18=1,MAX(0,(Slot10_Cost-LC18*(1+Slot10_Rate)^(Slot10_Age-D18))/KZ18),0)</f>
        <v>0</v>
      </c>
      <c r="LE18" s="20" t="n">
        <f aca="false">IF(DJ18=1,MAX(0,(Slot10_Cost-DK18*(1+Slot10_Rate)^(Slot10_Age-D18))/KZ18),0)</f>
        <v>0</v>
      </c>
      <c r="LF18" s="20" t="n">
        <f aca="false">IF(AND(HU18=1,DJ18=1),MIN(KY18,LD18),0)</f>
        <v>0</v>
      </c>
      <c r="LG18" s="20" t="n">
        <f aca="false">KY18-LF18</f>
        <v>1366.69230072421</v>
      </c>
      <c r="LH18" s="20" t="n">
        <f aca="false">IF(DT18=1,IF(ABS((1+AS_Wage)/(1+Slot11_Rate)-1)&lt;0.000000000001,(Slot11_Age-D18)*(1+Slot11_Rate)^(Slot11_Age-D18),(1+Slot11_Rate)^(Slot11_Age-D18)*(1-((1+AS_Wage)/(1+Slot11_Rate))^(Slot11_Age-D18))/(1-(1+AS_Wage)/(1+Slot11_Rate))),1)</f>
        <v>1</v>
      </c>
      <c r="LI18" s="20" t="n">
        <f aca="false">IF(AND(HU18=1,IE18&gt;0,Slot11_IsWG=1,DT18=1),MAX(0,(Slot11_Cost-DU18*(1+Slot11_Rate)^(Slot11_Age-D18))/LH18),0)</f>
        <v>0</v>
      </c>
      <c r="LJ18" s="20" t="n">
        <f aca="false">IF(AND(HU18=1,IE18&gt;0,Slot11_IsWG=1,DT18=1),MIN(IE18,LI18),0)</f>
        <v>0</v>
      </c>
      <c r="LK18" s="20" t="n">
        <f aca="false">DU18+LJ18</f>
        <v>0</v>
      </c>
      <c r="LL18" s="20" t="n">
        <f aca="false">IF(DT18=1,MAX(0,(Slot11_Cost-LK18*(1+Slot11_Rate)^(Slot11_Age-D18))/LH18),0)</f>
        <v>0</v>
      </c>
      <c r="LM18" s="20" t="n">
        <f aca="false">IF(DT18=1,MAX(0,(Slot11_Cost-DU18*(1+Slot11_Rate)^(Slot11_Age-D18))/LH18),0)</f>
        <v>0</v>
      </c>
      <c r="LN18" s="20" t="n">
        <f aca="false">IF(AND(HU18=1,DT18=1),MIN(LG18,LL18),0)</f>
        <v>0</v>
      </c>
      <c r="LO18" s="20" t="n">
        <f aca="false">LG18-LN18</f>
        <v>1366.69230072421</v>
      </c>
      <c r="LP18" s="20" t="n">
        <f aca="false">IF(ED18=1,IF(ABS((1+AS_Wage)/(1+Slot12_Rate)-1)&lt;0.000000000001,(Slot12_Age-D18)*(1+Slot12_Rate)^(Slot12_Age-D18),(1+Slot12_Rate)^(Slot12_Age-D18)*(1-((1+AS_Wage)/(1+Slot12_Rate))^(Slot12_Age-D18))/(1-(1+AS_Wage)/(1+Slot12_Rate))),1)</f>
        <v>1</v>
      </c>
      <c r="LQ18" s="20" t="n">
        <f aca="false">IF(AND(HU18=1,IE18&gt;0,Slot12_IsWG=1,ED18=1),MAX(0,(Slot12_Cost-EE18*(1+Slot12_Rate)^(Slot12_Age-D18))/LP18),0)</f>
        <v>0</v>
      </c>
      <c r="LR18" s="20" t="n">
        <f aca="false">IF(AND(HU18=1,IE18&gt;0,Slot12_IsWG=1,ED18=1),MIN(IE18,LQ18),0)</f>
        <v>0</v>
      </c>
      <c r="LS18" s="20" t="n">
        <f aca="false">EE18+LR18</f>
        <v>0</v>
      </c>
      <c r="LT18" s="20" t="n">
        <f aca="false">IF(ED18=1,MAX(0,(Slot12_Cost-LS18*(1+Slot12_Rate)^(Slot12_Age-D18))/LP18),0)</f>
        <v>0</v>
      </c>
      <c r="LU18" s="20" t="n">
        <f aca="false">IF(ED18=1,MAX(0,(Slot12_Cost-EE18*(1+Slot12_Rate)^(Slot12_Age-D18))/LP18),0)</f>
        <v>0</v>
      </c>
      <c r="LV18" s="20" t="n">
        <f aca="false">IF(AND(HU18=1,ED18=1),MIN(LO18,LT18),0)</f>
        <v>0</v>
      </c>
      <c r="LW18" s="20" t="n">
        <f aca="false">LO18-LV18</f>
        <v>1366.69230072421</v>
      </c>
      <c r="LX18" s="20" t="n">
        <f aca="false">IF(EN18=1,IF(ABS((1+AS_Wage)/(1+Slot13_Rate)-1)&lt;0.000000000001,(Slot13_Age-D18)*(1+Slot13_Rate)^(Slot13_Age-D18),(1+Slot13_Rate)^(Slot13_Age-D18)*(1-((1+AS_Wage)/(1+Slot13_Rate))^(Slot13_Age-D18))/(1-(1+AS_Wage)/(1+Slot13_Rate))),1)</f>
        <v>1</v>
      </c>
      <c r="LY18" s="20" t="n">
        <f aca="false">IF(AND(HU18=1,IE18&gt;0,Slot13_IsWG=1,EN18=1),MAX(0,(Slot13_Cost-EO18*(1+Slot13_Rate)^(Slot13_Age-D18))/LX18),0)</f>
        <v>0</v>
      </c>
      <c r="LZ18" s="20" t="n">
        <f aca="false">IF(AND(HU18=1,IE18&gt;0,Slot13_IsWG=1,EN18=1),MIN(IE18,LY18),0)</f>
        <v>0</v>
      </c>
      <c r="MA18" s="20" t="n">
        <f aca="false">EO18+LZ18</f>
        <v>0</v>
      </c>
      <c r="MB18" s="20" t="n">
        <f aca="false">IF(EN18=1,MAX(0,(Slot13_Cost-MA18*(1+Slot13_Rate)^(Slot13_Age-D18))/LX18),0)</f>
        <v>0</v>
      </c>
      <c r="MC18" s="20" t="n">
        <f aca="false">IF(EN18=1,MAX(0,(Slot13_Cost-EO18*(1+Slot13_Rate)^(Slot13_Age-D18))/LX18),0)</f>
        <v>0</v>
      </c>
      <c r="MD18" s="20" t="n">
        <f aca="false">IF(AND(HU18=1,EN18=1),MIN(LW18,MB18),0)</f>
        <v>0</v>
      </c>
      <c r="ME18" s="20" t="n">
        <f aca="false">LW18-MD18</f>
        <v>1366.69230072421</v>
      </c>
      <c r="MF18" s="20" t="n">
        <f aca="false">IF(EX18=1,IF(ABS((1+AS_Wage)/(1+Slot14_Rate)-1)&lt;0.000000000001,(Slot14_Age-D18)*(1+Slot14_Rate)^(Slot14_Age-D18),(1+Slot14_Rate)^(Slot14_Age-D18)*(1-((1+AS_Wage)/(1+Slot14_Rate))^(Slot14_Age-D18))/(1-(1+AS_Wage)/(1+Slot14_Rate))),1)</f>
        <v>1</v>
      </c>
      <c r="MG18" s="20" t="n">
        <f aca="false">IF(AND(HU18=1,IE18&gt;0,Slot14_IsWG=1,EX18=1),MAX(0,(Slot14_Cost-EY18*(1+Slot14_Rate)^(Slot14_Age-D18))/MF18),0)</f>
        <v>0</v>
      </c>
      <c r="MH18" s="20" t="n">
        <f aca="false">IF(AND(HU18=1,IE18&gt;0,Slot14_IsWG=1,EX18=1),MIN(IE18,MG18),0)</f>
        <v>0</v>
      </c>
      <c r="MI18" s="20" t="n">
        <f aca="false">EY18+MH18</f>
        <v>0</v>
      </c>
      <c r="MJ18" s="20" t="n">
        <f aca="false">IF(EX18=1,MAX(0,(Slot14_Cost-MI18*(1+Slot14_Rate)^(Slot14_Age-D18))/MF18),0)</f>
        <v>0</v>
      </c>
      <c r="MK18" s="20" t="n">
        <f aca="false">IF(EX18=1,MAX(0,(Slot14_Cost-EY18*(1+Slot14_Rate)^(Slot14_Age-D18))/MF18),0)</f>
        <v>0</v>
      </c>
      <c r="ML18" s="20" t="n">
        <f aca="false">IF(AND(HU18=1,EX18=1),MIN(ME18,MJ18),0)</f>
        <v>0</v>
      </c>
      <c r="MM18" s="20" t="n">
        <f aca="false">ME18-ML18</f>
        <v>1366.69230072421</v>
      </c>
      <c r="MN18" s="20" t="n">
        <f aca="false">IF(FH18=1,IF(ABS((1+AS_Wage)/(1+Slot15_Rate)-1)&lt;0.000000000001,(Slot15_Age-D18)*(1+Slot15_Rate)^(Slot15_Age-D18),(1+Slot15_Rate)^(Slot15_Age-D18)*(1-((1+AS_Wage)/(1+Slot15_Rate))^(Slot15_Age-D18))/(1-(1+AS_Wage)/(1+Slot15_Rate))),1)</f>
        <v>1</v>
      </c>
      <c r="MO18" s="20" t="n">
        <f aca="false">IF(AND(HU18=1,IE18&gt;0,Slot15_IsWG=1,FH18=1),MAX(0,(Slot15_Cost-FI18*(1+Slot15_Rate)^(Slot15_Age-D18))/MN18),0)</f>
        <v>0</v>
      </c>
      <c r="MP18" s="20" t="n">
        <f aca="false">IF(AND(HU18=1,IE18&gt;0,Slot15_IsWG=1,FH18=1),MIN(IE18,MO18),0)</f>
        <v>0</v>
      </c>
      <c r="MQ18" s="20" t="n">
        <f aca="false">FI18+MP18</f>
        <v>0</v>
      </c>
      <c r="MR18" s="20" t="n">
        <f aca="false">IF(FH18=1,MAX(0,(Slot15_Cost-MQ18*(1+Slot15_Rate)^(Slot15_Age-D18))/MN18),0)</f>
        <v>0</v>
      </c>
      <c r="MS18" s="20" t="n">
        <f aca="false">IF(FH18=1,MAX(0,(Slot15_Cost-FI18*(1+Slot15_Rate)^(Slot15_Age-D18))/MN18),0)</f>
        <v>0</v>
      </c>
      <c r="MT18" s="20" t="n">
        <f aca="false">IF(AND(HU18=1,FH18=1),MIN(MM18,MR18),0)</f>
        <v>0</v>
      </c>
      <c r="MU18" s="20" t="n">
        <f aca="false">MM18-MT18</f>
        <v>1366.69230072421</v>
      </c>
      <c r="MV18" s="20" t="n">
        <f aca="false">IF(FR18=1,IF(ABS((1+AS_Wage)/(1+Slot16_Rate)-1)&lt;0.000000000001,(Slot16_Age-D18)*(1+Slot16_Rate)^(Slot16_Age-D18),(1+Slot16_Rate)^(Slot16_Age-D18)*(1-((1+AS_Wage)/(1+Slot16_Rate))^(Slot16_Age-D18))/(1-(1+AS_Wage)/(1+Slot16_Rate))),1)</f>
        <v>1</v>
      </c>
      <c r="MW18" s="20" t="n">
        <f aca="false">IF(AND(HU18=1,IE18&gt;0,Slot16_IsWG=1,FR18=1),MAX(0,(Slot16_Cost-FS18*(1+Slot16_Rate)^(Slot16_Age-D18))/MV18),0)</f>
        <v>0</v>
      </c>
      <c r="MX18" s="20" t="n">
        <f aca="false">IF(AND(HU18=1,IE18&gt;0,Slot16_IsWG=1,FR18=1),MIN(IE18,MW18),0)</f>
        <v>0</v>
      </c>
      <c r="MY18" s="20" t="n">
        <f aca="false">FS18+MX18</f>
        <v>0</v>
      </c>
      <c r="MZ18" s="20" t="n">
        <f aca="false">IF(FR18=1,MAX(0,(Slot16_Cost-MY18*(1+Slot16_Rate)^(Slot16_Age-D18))/MV18),0)</f>
        <v>0</v>
      </c>
      <c r="NA18" s="20" t="n">
        <f aca="false">IF(FR18=1,MAX(0,(Slot16_Cost-FS18*(1+Slot16_Rate)^(Slot16_Age-D18))/MV18),0)</f>
        <v>0</v>
      </c>
      <c r="NB18" s="20" t="n">
        <f aca="false">IF(AND(HU18=1,FR18=1),MIN(MU18,MZ18),0)</f>
        <v>0</v>
      </c>
      <c r="NC18" s="20" t="n">
        <f aca="false">MU18-NB18</f>
        <v>1366.69230072421</v>
      </c>
      <c r="ND18" s="20" t="n">
        <f aca="false">IF(GB18=1,IF(ABS((1+AS_Wage)/(1+Slot17_Rate)-1)&lt;0.000000000001,(Slot17_Age-D18)*(1+Slot17_Rate)^(Slot17_Age-D18),(1+Slot17_Rate)^(Slot17_Age-D18)*(1-((1+AS_Wage)/(1+Slot17_Rate))^(Slot17_Age-D18))/(1-(1+AS_Wage)/(1+Slot17_Rate))),1)</f>
        <v>1</v>
      </c>
      <c r="NE18" s="20" t="n">
        <f aca="false">IF(AND(HU18=1,IE18&gt;0,Slot17_IsWG=1,GB18=1),MAX(0,(Slot17_Cost-GC18*(1+Slot17_Rate)^(Slot17_Age-D18))/ND18),0)</f>
        <v>0</v>
      </c>
      <c r="NF18" s="20" t="n">
        <f aca="false">IF(AND(HU18=1,IE18&gt;0,Slot17_IsWG=1,GB18=1),MIN(IE18,NE18),0)</f>
        <v>0</v>
      </c>
      <c r="NG18" s="20" t="n">
        <f aca="false">GC18+NF18</f>
        <v>0</v>
      </c>
      <c r="NH18" s="20" t="n">
        <f aca="false">IF(GB18=1,MAX(0,(Slot17_Cost-NG18*(1+Slot17_Rate)^(Slot17_Age-D18))/ND18),0)</f>
        <v>0</v>
      </c>
      <c r="NI18" s="20" t="n">
        <f aca="false">IF(GB18=1,MAX(0,(Slot17_Cost-GC18*(1+Slot17_Rate)^(Slot17_Age-D18))/ND18),0)</f>
        <v>0</v>
      </c>
      <c r="NJ18" s="20" t="n">
        <f aca="false">IF(AND(HU18=1,GB18=1),MIN(NC18,NH18),0)</f>
        <v>0</v>
      </c>
      <c r="NK18" s="20" t="n">
        <f aca="false">NC18-NJ18</f>
        <v>1366.69230072421</v>
      </c>
      <c r="NL18" s="20" t="n">
        <f aca="false">IF(GL18=1,IF(ABS((1+AS_Wage)/(1+Slot18_Rate)-1)&lt;0.000000000001,(Slot18_Age-D18)*(1+Slot18_Rate)^(Slot18_Age-D18),(1+Slot18_Rate)^(Slot18_Age-D18)*(1-((1+AS_Wage)/(1+Slot18_Rate))^(Slot18_Age-D18))/(1-(1+AS_Wage)/(1+Slot18_Rate))),1)</f>
        <v>1</v>
      </c>
      <c r="NM18" s="20" t="n">
        <f aca="false">IF(AND(HU18=1,IE18&gt;0,Slot18_IsWG=1,GL18=1),MAX(0,(Slot18_Cost-GM18*(1+Slot18_Rate)^(Slot18_Age-D18))/NL18),0)</f>
        <v>0</v>
      </c>
      <c r="NN18" s="20" t="n">
        <f aca="false">IF(AND(HU18=1,IE18&gt;0,Slot18_IsWG=1,GL18=1),MIN(IE18,NM18),0)</f>
        <v>0</v>
      </c>
      <c r="NO18" s="20" t="n">
        <f aca="false">GM18+NN18</f>
        <v>0</v>
      </c>
      <c r="NP18" s="20" t="n">
        <f aca="false">IF(GL18=1,MAX(0,(Slot18_Cost-NO18*(1+Slot18_Rate)^(Slot18_Age-D18))/NL18),0)</f>
        <v>0</v>
      </c>
      <c r="NQ18" s="20" t="n">
        <f aca="false">IF(GL18=1,MAX(0,(Slot18_Cost-GM18*(1+Slot18_Rate)^(Slot18_Age-D18))/NL18),0)</f>
        <v>0</v>
      </c>
      <c r="NR18" s="20" t="n">
        <f aca="false">IF(AND(HU18=1,GL18=1),MIN(NK18,NP18),0)</f>
        <v>0</v>
      </c>
      <c r="NS18" s="20" t="n">
        <f aca="false">NK18-NR18</f>
        <v>1366.69230072421</v>
      </c>
      <c r="NT18" s="20" t="n">
        <f aca="false">IF(GV18=1,IF(ABS((1+AS_Wage)/(1+Slot19_Rate)-1)&lt;0.000000000001,(Slot19_Age-D18)*(1+Slot19_Rate)^(Slot19_Age-D18),(1+Slot19_Rate)^(Slot19_Age-D18)*(1-((1+AS_Wage)/(1+Slot19_Rate))^(Slot19_Age-D18))/(1-(1+AS_Wage)/(1+Slot19_Rate))),1)</f>
        <v>1</v>
      </c>
      <c r="NU18" s="20" t="n">
        <f aca="false">IF(AND(HU18=1,IE18&gt;0,Slot19_IsWG=1,GV18=1),MAX(0,(Slot19_Cost-GW18*(1+Slot19_Rate)^(Slot19_Age-D18))/NT18),0)</f>
        <v>0</v>
      </c>
      <c r="NV18" s="20" t="n">
        <f aca="false">IF(AND(HU18=1,IE18&gt;0,Slot19_IsWG=1,GV18=1),MIN(IE18,NU18),0)</f>
        <v>0</v>
      </c>
      <c r="NW18" s="20" t="n">
        <f aca="false">GW18+NV18</f>
        <v>0</v>
      </c>
      <c r="NX18" s="20" t="n">
        <f aca="false">IF(GV18=1,MAX(0,(Slot19_Cost-NW18*(1+Slot19_Rate)^(Slot19_Age-D18))/NT18),0)</f>
        <v>0</v>
      </c>
      <c r="NY18" s="20" t="n">
        <f aca="false">IF(GV18=1,MAX(0,(Slot19_Cost-GW18*(1+Slot19_Rate)^(Slot19_Age-D18))/NT18),0)</f>
        <v>0</v>
      </c>
      <c r="NZ18" s="20" t="n">
        <f aca="false">IF(AND(HU18=1,GV18=1),MIN(NS18,NX18),0)</f>
        <v>0</v>
      </c>
      <c r="OA18" s="20" t="n">
        <f aca="false">NS18-NZ18</f>
        <v>1366.69230072421</v>
      </c>
      <c r="OB18" s="20" t="n">
        <f aca="false">IF(HF18=1,IF(ABS((1+AS_Wage)/(1+Slot20_Rate)-1)&lt;0.000000000001,(Slot20_Age-D18)*(1+Slot20_Rate)^(Slot20_Age-D18),(1+Slot20_Rate)^(Slot20_Age-D18)*(1-((1+AS_Wage)/(1+Slot20_Rate))^(Slot20_Age-D18))/(1-(1+AS_Wage)/(1+Slot20_Rate))),1)</f>
        <v>1</v>
      </c>
      <c r="OC18" s="20" t="n">
        <f aca="false">IF(AND(HU18=1,IE18&gt;0,Slot20_IsWG=1,HF18=1),MAX(0,(Slot20_Cost-HG18*(1+Slot20_Rate)^(Slot20_Age-D18))/OB18),0)</f>
        <v>0</v>
      </c>
      <c r="OD18" s="20" t="n">
        <f aca="false">IF(AND(HU18=1,IE18&gt;0,Slot20_IsWG=1,HF18=1),MIN(IE18,OC18),0)</f>
        <v>0</v>
      </c>
      <c r="OE18" s="20" t="n">
        <f aca="false">HG18+OD18</f>
        <v>0</v>
      </c>
      <c r="OF18" s="20" t="n">
        <f aca="false">IF(HF18=1,MAX(0,(Slot20_Cost-OE18*(1+Slot20_Rate)^(Slot20_Age-D18))/OB18),0)</f>
        <v>0</v>
      </c>
      <c r="OG18" s="20" t="n">
        <f aca="false">IF(HF18=1,MAX(0,(Slot20_Cost-HG18*(1+Slot20_Rate)^(Slot20_Age-D18))/OB18),0)</f>
        <v>0</v>
      </c>
      <c r="OH18" s="20" t="n">
        <f aca="false">IF(AND(HU18=1,HF18=1),MIN(OA18,OF18),0)</f>
        <v>0</v>
      </c>
      <c r="OI18" s="20" t="n">
        <f aca="false">OA18-OH18</f>
        <v>1366.69230072421</v>
      </c>
      <c r="OJ18" s="20" t="n">
        <f aca="false">IE18-(IH18+IP18+IX18+JF18+JN18+JV18+KD18+KL18+KT18+LB18+LJ18+LR18+LZ18+MH18+MP18+MX18+NF18+NN18+NV18+OD18)</f>
        <v>0</v>
      </c>
      <c r="OK18" s="20" t="n">
        <f aca="false">IF(HU18=1,HS18-ID18-IE18,0)</f>
        <v>6088.01455303569</v>
      </c>
      <c r="OL18" s="20" t="n">
        <f aca="false">IF(HU18=0,-HS18,0)</f>
        <v>0</v>
      </c>
      <c r="OM18" s="20" t="n">
        <f aca="false">MIN(OL18,HK18)</f>
        <v>0</v>
      </c>
      <c r="ON18" s="20" t="n">
        <f aca="false">OL18-OM18</f>
        <v>0</v>
      </c>
      <c r="OO18" s="20" t="n">
        <f aca="false">MIN(ON18,HL18)</f>
        <v>0</v>
      </c>
      <c r="OP18" s="20" t="n">
        <f aca="false">ON18-OO18</f>
        <v>0</v>
      </c>
      <c r="OQ18" s="20" t="n">
        <f aca="false">IF(AND(HU18=0,HF18=1,OP18&gt;0),MIN(OP18,HG18),0)</f>
        <v>0</v>
      </c>
      <c r="OR18" s="20" t="n">
        <f aca="false">OP18-OQ18</f>
        <v>0</v>
      </c>
      <c r="OS18" s="20" t="n">
        <f aca="false">IF(AND(HU18=0,GV18=1,OR18&gt;0),MIN(OR18,GW18),0)</f>
        <v>0</v>
      </c>
      <c r="OT18" s="20" t="n">
        <f aca="false">OR18-OS18</f>
        <v>0</v>
      </c>
      <c r="OU18" s="20" t="n">
        <f aca="false">IF(AND(HU18=0,GL18=1,OT18&gt;0),MIN(OT18,GM18),0)</f>
        <v>0</v>
      </c>
      <c r="OV18" s="20" t="n">
        <f aca="false">OT18-OU18</f>
        <v>0</v>
      </c>
      <c r="OW18" s="20" t="n">
        <f aca="false">IF(AND(HU18=0,GB18=1,OV18&gt;0),MIN(OV18,GC18),0)</f>
        <v>0</v>
      </c>
      <c r="OX18" s="20" t="n">
        <f aca="false">OV18-OW18</f>
        <v>0</v>
      </c>
      <c r="OY18" s="20" t="n">
        <f aca="false">IF(AND(HU18=0,FR18=1,OX18&gt;0),MIN(OX18,FS18),0)</f>
        <v>0</v>
      </c>
      <c r="OZ18" s="20" t="n">
        <f aca="false">OX18-OY18</f>
        <v>0</v>
      </c>
      <c r="PA18" s="20" t="n">
        <f aca="false">IF(AND(HU18=0,FH18=1,OZ18&gt;0),MIN(OZ18,FI18),0)</f>
        <v>0</v>
      </c>
      <c r="PB18" s="20" t="n">
        <f aca="false">OZ18-PA18</f>
        <v>0</v>
      </c>
      <c r="PC18" s="20" t="n">
        <f aca="false">IF(AND(HU18=0,EX18=1,PB18&gt;0),MIN(PB18,EY18),0)</f>
        <v>0</v>
      </c>
      <c r="PD18" s="20" t="n">
        <f aca="false">PB18-PC18</f>
        <v>0</v>
      </c>
      <c r="PE18" s="20" t="n">
        <f aca="false">IF(AND(HU18=0,EN18=1,PD18&gt;0),MIN(PD18,EO18),0)</f>
        <v>0</v>
      </c>
      <c r="PF18" s="20" t="n">
        <f aca="false">PD18-PE18</f>
        <v>0</v>
      </c>
      <c r="PG18" s="20" t="n">
        <f aca="false">IF(AND(HU18=0,ED18=1,PF18&gt;0),MIN(PF18,EE18),0)</f>
        <v>0</v>
      </c>
      <c r="PH18" s="20" t="n">
        <f aca="false">PF18-PG18</f>
        <v>0</v>
      </c>
      <c r="PI18" s="20" t="n">
        <f aca="false">IF(AND(HU18=0,DT18=1,PH18&gt;0),MIN(PH18,DU18),0)</f>
        <v>0</v>
      </c>
      <c r="PJ18" s="20" t="n">
        <f aca="false">PH18-PI18</f>
        <v>0</v>
      </c>
      <c r="PK18" s="20" t="n">
        <f aca="false">IF(AND(HU18=0,DJ18=1,PJ18&gt;0),MIN(PJ18,DK18),0)</f>
        <v>0</v>
      </c>
      <c r="PL18" s="20" t="n">
        <f aca="false">PJ18-PK18</f>
        <v>0</v>
      </c>
      <c r="PM18" s="20" t="n">
        <f aca="false">IF(AND(HU18=0,CZ18=1,PL18&gt;0),MIN(PL18,DA18),0)</f>
        <v>0</v>
      </c>
      <c r="PN18" s="20" t="n">
        <f aca="false">PL18-PM18</f>
        <v>0</v>
      </c>
      <c r="PO18" s="20" t="n">
        <f aca="false">IF(AND(HU18=0,CP18=1,PN18&gt;0),MIN(PN18,CQ18),0)</f>
        <v>0</v>
      </c>
      <c r="PP18" s="20" t="n">
        <f aca="false">PN18-PO18</f>
        <v>0</v>
      </c>
      <c r="PQ18" s="20" t="n">
        <f aca="false">IF(AND(HU18=0,CF18=1,PP18&gt;0),MIN(PP18,CG18),0)</f>
        <v>0</v>
      </c>
      <c r="PR18" s="20" t="n">
        <f aca="false">PP18-PQ18</f>
        <v>0</v>
      </c>
      <c r="PS18" s="20" t="n">
        <f aca="false">IF(AND(HU18=0,BV18=1,PR18&gt;0),MIN(PR18,BW18),0)</f>
        <v>0</v>
      </c>
      <c r="PT18" s="20" t="n">
        <f aca="false">PR18-PS18</f>
        <v>0</v>
      </c>
      <c r="PU18" s="20" t="n">
        <f aca="false">IF(AND(HU18=0,BL18=1,PT18&gt;0),MIN(PT18,BM18),0)</f>
        <v>0</v>
      </c>
      <c r="PV18" s="20" t="n">
        <f aca="false">PT18-PU18</f>
        <v>0</v>
      </c>
      <c r="PW18" s="20" t="n">
        <f aca="false">IF(AND(HU18=0,BB18=1,PV18&gt;0),MIN(PV18,BC18),0)</f>
        <v>0</v>
      </c>
      <c r="PX18" s="20" t="n">
        <f aca="false">PV18-PW18</f>
        <v>0</v>
      </c>
      <c r="PY18" s="20" t="n">
        <f aca="false">IF(AND(HU18=0,AR18=1,PX18&gt;0),MIN(PX18,AS18),0)</f>
        <v>0</v>
      </c>
      <c r="PZ18" s="20" t="n">
        <f aca="false">PX18-PY18</f>
        <v>0</v>
      </c>
      <c r="QA18" s="20" t="n">
        <f aca="false">IF(AND(HU18=0,AH18=1,PZ18&gt;0),MIN(PZ18,AI18),0)</f>
        <v>0</v>
      </c>
      <c r="QB18" s="20" t="n">
        <f aca="false">PZ18-QA18</f>
        <v>0</v>
      </c>
      <c r="QC18" s="20" t="n">
        <f aca="false">IF(AND(HU18=0,W18=1,QB18&gt;0),MIN(QB18,X18),0)</f>
        <v>0</v>
      </c>
      <c r="QD18" s="20" t="n">
        <f aca="false">QB18-QC18</f>
        <v>0</v>
      </c>
      <c r="QE18" s="20" t="n">
        <f aca="false">IF(HU18=0,QD18,0)</f>
        <v>0</v>
      </c>
      <c r="QF18" s="20" t="n">
        <f aca="false">OM18+OO18+QC18+QA18+PY18+PW18+PU18+PS18+PQ18+PO18+PM18+PK18+PI18+PG18+PE18+PC18+PA18+OY18+OW18+OU18+OS18+OQ18</f>
        <v>0</v>
      </c>
      <c r="QG18" s="20" t="n">
        <f aca="false">IF(HU18=1,HK18+OJ18+OI18+IF(G18=1,0,OK18),HK18-OM18)</f>
        <v>1366.69230072421</v>
      </c>
      <c r="QH18" s="20" t="n">
        <f aca="false">HL18-OO18</f>
        <v>16899.0617480318</v>
      </c>
      <c r="QI18" s="20" t="n">
        <f aca="false">IF(HU18=1,IF(G18=1,ID18+IE18,HS18),0)</f>
        <v>6088.01455303569</v>
      </c>
      <c r="QJ18" s="20" t="n">
        <f aca="false">IF(HU18=1,IF(G18=1,HS18-ID18-IE18,0),0)</f>
        <v>6088.01455303569</v>
      </c>
      <c r="QK18" s="20" t="n">
        <f aca="false">QG18*(1+GR)</f>
        <v>1389.10605445609</v>
      </c>
      <c r="QL18" s="20" t="n">
        <f aca="false">QH18*(1+AS_Cash)</f>
        <v>17068.0523655121</v>
      </c>
      <c r="QM18" s="20" t="n">
        <f aca="false">IF(W18=1,IF(HU18=1,II18+IL18,X18-QC18)*(1+Slot1_Rate),0)</f>
        <v>0</v>
      </c>
      <c r="QN18" s="20" t="n">
        <f aca="false">IF(AND(HU18=1,W18=1),(IH18+IL18)/F18,0)</f>
        <v>0</v>
      </c>
      <c r="QO18" s="20" t="n">
        <f aca="false">IF(B18=0,IH18+IL18,0)</f>
        <v>0</v>
      </c>
      <c r="QP18" s="20" t="n">
        <f aca="false">IF(B18=0,IF(HU18=1,IJ18,IK18),0)</f>
        <v>0</v>
      </c>
      <c r="QQ18" s="20" t="n">
        <f aca="false">IF(AH18=1,IF(HU18=1,IQ18+IT18,AI18-QA18)*(1+Slot2_Rate),0)</f>
        <v>0</v>
      </c>
      <c r="QR18" s="20" t="n">
        <f aca="false">IF(AND(HU18=1,AH18=1),(IP18+IT18)/F18,0)</f>
        <v>0</v>
      </c>
      <c r="QS18" s="20" t="n">
        <f aca="false">IF(B18=0,IP18+IT18,0)</f>
        <v>0</v>
      </c>
      <c r="QT18" s="20" t="n">
        <f aca="false">IF(B18=0,IF(HU18=1,IR18,IS18),0)</f>
        <v>0</v>
      </c>
      <c r="QU18" s="20" t="n">
        <f aca="false">IF(AR18=1,IF(HU18=1,IY18+JB18,AS18-PY18)*(1+Slot3_Rate),0)</f>
        <v>0</v>
      </c>
      <c r="QV18" s="20" t="n">
        <f aca="false">IF(AND(HU18=1,AR18=1),(IX18+JB18)/F18,0)</f>
        <v>0</v>
      </c>
      <c r="QW18" s="20" t="n">
        <f aca="false">IF(B18=0,IX18+JB18,0)</f>
        <v>0</v>
      </c>
      <c r="QX18" s="20" t="n">
        <f aca="false">IF(B18=0,IF(HU18=1,IZ18,JA18),0)</f>
        <v>0</v>
      </c>
      <c r="QY18" s="20" t="n">
        <f aca="false">IF(BB18=1,IF(HU18=1,JG18+JJ18,BC18-PW18)*(1+Slot4_Rate),0)</f>
        <v>4844.07663087158</v>
      </c>
      <c r="QZ18" s="20" t="n">
        <f aca="false">IF(AND(HU18=1,BB18=1),(JF18+JJ18)/F18,0)</f>
        <v>3873.12868284646</v>
      </c>
      <c r="RA18" s="20" t="n">
        <f aca="false">IF(B18=0,JF18+JJ18,0)</f>
        <v>0</v>
      </c>
      <c r="RB18" s="20" t="n">
        <f aca="false">IF(B18=0,IF(HU18=1,JH18,JI18),0)</f>
        <v>0</v>
      </c>
      <c r="RC18" s="20" t="n">
        <f aca="false">IF(BL18=1,IF(HU18=1,JO18+JR18,BM18-PU18)*(1+Slot5_Rate),0)</f>
        <v>0</v>
      </c>
      <c r="RD18" s="20" t="n">
        <f aca="false">IF(AND(HU18=1,BL18=1),(JN18+JR18)/F18,0)</f>
        <v>0</v>
      </c>
      <c r="RE18" s="20" t="n">
        <f aca="false">IF(B18=0,JN18+JR18,0)</f>
        <v>0</v>
      </c>
      <c r="RF18" s="20" t="n">
        <f aca="false">IF(B18=0,IF(HU18=1,JP18,JQ18),0)</f>
        <v>0</v>
      </c>
      <c r="RG18" s="20" t="n">
        <f aca="false">IF(BV18=1,IF(HU18=1,JW18+JZ18,BW18-PS18)*(1+Slot6_Rate),0)</f>
        <v>0</v>
      </c>
      <c r="RH18" s="20" t="n">
        <f aca="false">IF(AND(HU18=1,BV18=1),(JV18+JZ18)/F18,0)</f>
        <v>0</v>
      </c>
      <c r="RI18" s="20" t="n">
        <f aca="false">IF(B18=0,JV18+JZ18,0)</f>
        <v>0</v>
      </c>
      <c r="RJ18" s="20" t="n">
        <f aca="false">IF(B18=0,IF(HU18=1,JX18,JY18),0)</f>
        <v>0</v>
      </c>
      <c r="RK18" s="20" t="n">
        <f aca="false">IF(CF18=1,IF(HU18=1,KE18+KH18,CG18-PQ18)*(1+Slot7_Rate),0)</f>
        <v>0</v>
      </c>
      <c r="RL18" s="20" t="n">
        <f aca="false">IF(AND(HU18=1,CF18=1),(KD18+KH18)/F18,0)</f>
        <v>0</v>
      </c>
      <c r="RM18" s="20" t="n">
        <f aca="false">IF(B18=0,KD18+KH18,0)</f>
        <v>0</v>
      </c>
      <c r="RN18" s="20" t="n">
        <f aca="false">IF(B18=0,IF(HU18=1,KF18,KG18),0)</f>
        <v>0</v>
      </c>
      <c r="RO18" s="20" t="n">
        <f aca="false">IF(CP18=1,IF(HU18=1,KM18+KP18,CQ18-PO18)*(1+Slot8_Rate),0)</f>
        <v>0</v>
      </c>
      <c r="RP18" s="20" t="n">
        <f aca="false">IF(AND(HU18=1,CP18=1),(KL18+KP18)/F18,0)</f>
        <v>0</v>
      </c>
      <c r="RQ18" s="20" t="n">
        <f aca="false">IF(B18=0,KL18+KP18,0)</f>
        <v>0</v>
      </c>
      <c r="RR18" s="20" t="n">
        <f aca="false">IF(B18=0,IF(HU18=1,KN18,KO18),0)</f>
        <v>0</v>
      </c>
      <c r="RS18" s="20" t="n">
        <f aca="false">IF(CZ18=1,IF(HU18=1,KU18+KX18,DA18-PM18)*(1+Slot9_Rate),0)</f>
        <v>0</v>
      </c>
      <c r="RT18" s="20" t="n">
        <f aca="false">IF(AND(HU18=1,CZ18=1),(KT18+KX18)/F18,0)</f>
        <v>0</v>
      </c>
      <c r="RU18" s="20" t="n">
        <f aca="false">IF(B18=0,KT18+KX18,0)</f>
        <v>0</v>
      </c>
      <c r="RV18" s="20" t="n">
        <f aca="false">IF(B18=0,IF(HU18=1,KV18,KW18),0)</f>
        <v>0</v>
      </c>
      <c r="RW18" s="20" t="n">
        <f aca="false">IF(DJ18=1,IF(HU18=1,LC18+LF18,DK18-PK18)*(1+Slot10_Rate),0)</f>
        <v>0</v>
      </c>
      <c r="RX18" s="20" t="n">
        <f aca="false">IF(AND(HU18=1,DJ18=1),(LB18+LF18)/F18,0)</f>
        <v>0</v>
      </c>
      <c r="RY18" s="20" t="n">
        <f aca="false">IF(B18=0,LB18+LF18,0)</f>
        <v>0</v>
      </c>
      <c r="RZ18" s="20" t="n">
        <f aca="false">IF(B18=0,IF(HU18=1,LD18,LE18),0)</f>
        <v>0</v>
      </c>
      <c r="SA18" s="20" t="n">
        <f aca="false">IF(DT18=1,IF(HU18=1,LK18+LN18,DU18-PI18)*(1+Slot11_Rate),0)</f>
        <v>0</v>
      </c>
      <c r="SB18" s="20" t="n">
        <f aca="false">IF(AND(HU18=1,DT18=1),(LJ18+LN18)/F18,0)</f>
        <v>0</v>
      </c>
      <c r="SC18" s="20" t="n">
        <f aca="false">IF(B18=0,LJ18+LN18,0)</f>
        <v>0</v>
      </c>
      <c r="SD18" s="20" t="n">
        <f aca="false">IF(B18=0,IF(HU18=1,LL18,LM18),0)</f>
        <v>0</v>
      </c>
      <c r="SE18" s="20" t="n">
        <f aca="false">IF(ED18=1,IF(HU18=1,LS18+LV18,EE18-PG18)*(1+Slot12_Rate),0)</f>
        <v>0</v>
      </c>
      <c r="SF18" s="20" t="n">
        <f aca="false">IF(AND(HU18=1,ED18=1),(LR18+LV18)/F18,0)</f>
        <v>0</v>
      </c>
      <c r="SG18" s="20" t="n">
        <f aca="false">IF(B18=0,LR18+LV18,0)</f>
        <v>0</v>
      </c>
      <c r="SH18" s="20" t="n">
        <f aca="false">IF(B18=0,IF(HU18=1,LT18,LU18),0)</f>
        <v>0</v>
      </c>
      <c r="SI18" s="20" t="n">
        <f aca="false">IF(EN18=1,IF(HU18=1,MA18+MD18,EO18-PE18)*(1+Slot13_Rate),0)</f>
        <v>0</v>
      </c>
      <c r="SJ18" s="20" t="n">
        <f aca="false">IF(AND(HU18=1,EN18=1),(LZ18+MD18)/F18,0)</f>
        <v>0</v>
      </c>
      <c r="SK18" s="20" t="n">
        <f aca="false">IF(B18=0,LZ18+MD18,0)</f>
        <v>0</v>
      </c>
      <c r="SL18" s="20" t="n">
        <f aca="false">IF(B18=0,IF(HU18=1,MB18,MC18),0)</f>
        <v>0</v>
      </c>
      <c r="SM18" s="20" t="n">
        <f aca="false">IF(EX18=1,IF(HU18=1,MI18+ML18,EY18-PC18)*(1+Slot14_Rate),0)</f>
        <v>0</v>
      </c>
      <c r="SN18" s="20" t="n">
        <f aca="false">IF(AND(HU18=1,EX18=1),(MH18+ML18)/F18,0)</f>
        <v>0</v>
      </c>
      <c r="SO18" s="20" t="n">
        <f aca="false">IF(B18=0,MH18+ML18,0)</f>
        <v>0</v>
      </c>
      <c r="SP18" s="20" t="n">
        <f aca="false">IF(B18=0,IF(HU18=1,MJ18,MK18),0)</f>
        <v>0</v>
      </c>
      <c r="SQ18" s="20" t="n">
        <f aca="false">IF(FH18=1,IF(HU18=1,MQ18+MT18,FI18-PA18)*(1+Slot15_Rate),0)</f>
        <v>0</v>
      </c>
      <c r="SR18" s="20" t="n">
        <f aca="false">IF(AND(HU18=1,FH18=1),(MP18+MT18)/F18,0)</f>
        <v>0</v>
      </c>
      <c r="SS18" s="20" t="n">
        <f aca="false">IF(B18=0,MP18+MT18,0)</f>
        <v>0</v>
      </c>
      <c r="ST18" s="20" t="n">
        <f aca="false">IF(B18=0,IF(HU18=1,MR18,MS18),0)</f>
        <v>0</v>
      </c>
      <c r="SU18" s="20" t="n">
        <f aca="false">IF(FR18=1,IF(HU18=1,MY18+NB18,FS18-OY18)*(1+Slot16_Rate),0)</f>
        <v>0</v>
      </c>
      <c r="SV18" s="20" t="n">
        <f aca="false">IF(AND(HU18=1,FR18=1),(MX18+NB18)/F18,0)</f>
        <v>0</v>
      </c>
      <c r="SW18" s="20" t="n">
        <f aca="false">IF(B18=0,MX18+NB18,0)</f>
        <v>0</v>
      </c>
      <c r="SX18" s="20" t="n">
        <f aca="false">IF(B18=0,IF(HU18=1,MZ18,NA18),0)</f>
        <v>0</v>
      </c>
      <c r="SY18" s="20" t="n">
        <f aca="false">IF(GB18=1,IF(HU18=1,NG18+NJ18,GC18-OW18)*(1+Slot17_Rate),0)</f>
        <v>0</v>
      </c>
      <c r="SZ18" s="20" t="n">
        <f aca="false">IF(AND(HU18=1,GB18=1),(NF18+NJ18)/F18,0)</f>
        <v>0</v>
      </c>
      <c r="TA18" s="20" t="n">
        <f aca="false">IF(B18=0,NF18+NJ18,0)</f>
        <v>0</v>
      </c>
      <c r="TB18" s="20" t="n">
        <f aca="false">IF(B18=0,IF(HU18=1,NH18,NI18),0)</f>
        <v>0</v>
      </c>
      <c r="TC18" s="20" t="n">
        <f aca="false">IF(GL18=1,IF(HU18=1,NO18+NR18,GM18-OU18)*(1+Slot18_Rate),0)</f>
        <v>0</v>
      </c>
      <c r="TD18" s="20" t="n">
        <f aca="false">IF(AND(HU18=1,GL18=1),(NN18+NR18)/F18,0)</f>
        <v>0</v>
      </c>
      <c r="TE18" s="20" t="n">
        <f aca="false">IF(B18=0,NN18+NR18,0)</f>
        <v>0</v>
      </c>
      <c r="TF18" s="20" t="n">
        <f aca="false">IF(B18=0,IF(HU18=1,NP18,NQ18),0)</f>
        <v>0</v>
      </c>
      <c r="TG18" s="20" t="n">
        <f aca="false">IF(GV18=1,IF(HU18=1,NW18+NZ18,GW18-OS18)*(1+Slot19_Rate),0)</f>
        <v>0</v>
      </c>
      <c r="TH18" s="20" t="n">
        <f aca="false">IF(AND(HU18=1,GV18=1),(NV18+NZ18)/F18,0)</f>
        <v>0</v>
      </c>
      <c r="TI18" s="20" t="n">
        <f aca="false">IF(B18=0,NV18+NZ18,0)</f>
        <v>0</v>
      </c>
      <c r="TJ18" s="20" t="n">
        <f aca="false">IF(B18=0,IF(HU18=1,NX18,NY18),0)</f>
        <v>0</v>
      </c>
      <c r="TK18" s="20" t="n">
        <f aca="false">IF(HF18=1,IF(HU18=1,OE18+OH18,HG18-OQ18)*(1+Slot20_Rate),0)</f>
        <v>0</v>
      </c>
      <c r="TL18" s="20" t="n">
        <f aca="false">IF(AND(HU18=1,HF18=1),(OD18+OH18)/F18,0)</f>
        <v>0</v>
      </c>
      <c r="TM18" s="20" t="n">
        <f aca="false">IF(B18=0,OD18+OH18,0)</f>
        <v>0</v>
      </c>
      <c r="TN18" s="20" t="n">
        <f aca="false">IF(B18=0,IF(HU18=1,OF18,OG18),0)</f>
        <v>0</v>
      </c>
      <c r="TO18" s="20" t="n">
        <f aca="false">QK18+QL18+QM18+QQ18+QU18+QY18+RC18+RG18+RK18+RO18+RS18+RW18+SA18+SE18+SI18+SM18+SQ18+SU18+SY18+TC18+TG18+TK18</f>
        <v>23301.2350508398</v>
      </c>
      <c r="TP18" s="20" t="n">
        <f aca="false">QE18+HP18</f>
        <v>30022.5998236644</v>
      </c>
      <c r="TQ18" s="20" t="n">
        <f aca="false">I18+S18</f>
        <v>69014.7488997641</v>
      </c>
      <c r="TR18" s="20" t="n">
        <f aca="false">1-G18</f>
        <v>0</v>
      </c>
      <c r="TS18" s="20" t="n">
        <f aca="false">IF(AND(RG_Exists=1,G18=0,C18=1),I18,0)</f>
        <v>0</v>
      </c>
      <c r="TT18" s="20" t="n">
        <f aca="false">IF(AND(RG_Exists=1,G18=0,C18=1),I18-MIN(QE18,I18),0)</f>
        <v>0</v>
      </c>
      <c r="TU18" s="20" t="n">
        <f aca="false">'Plan pay &amp; tax'!AD244</f>
        <v>216110.996085539</v>
      </c>
      <c r="TV18" s="20" t="n">
        <f aca="false">IF(AND(C18=1,QE18&gt;MAX(PR_Short1,TQ18*PR_Short2)),1,0)</f>
        <v>0</v>
      </c>
      <c r="TW18" s="20" t="n">
        <f aca="false">MIN(H18,I18+S18)</f>
        <v>69014.7488997641</v>
      </c>
      <c r="TX18" s="20" t="n">
        <f aca="false">QF18+MAX(0,HQ18-HP18)</f>
        <v>30927.1211760735</v>
      </c>
      <c r="TY18" s="20" t="n">
        <f aca="false">QE18+HP18</f>
        <v>30022.5998236644</v>
      </c>
      <c r="TZ18" s="20" t="n">
        <f aca="false">IF(AND(C18=1,TY18&gt;PR_MinShort),1,0)</f>
        <v>1</v>
      </c>
      <c r="UA18" s="20" t="n">
        <f aca="false">IF(AND(C18=1,TZ18=0,TX18&gt;PR_MinShort),1,0)</f>
        <v>0</v>
      </c>
      <c r="UB18" s="20" t="n">
        <f aca="false">IF(AND(C18=1,QE18&gt;PR_MinShort),1,0)</f>
        <v>0</v>
      </c>
      <c r="UC18" s="20" t="n">
        <f aca="false">IF(AND(C18=1,QF18&gt;1,UJ18=0),1,0)</f>
        <v>0</v>
      </c>
      <c r="UD18" s="20" t="str">
        <f aca="false">IF(C18=0,"",IF(UJ18=1,"Gap to plan for: short "&amp;"€"&amp;TEXT(ROUND(TP18,0),"#,##0"),IF(QF18&gt;1,"Using savings","Comfortable")))</f>
        <v>Gap to plan for: short €30,023</v>
      </c>
      <c r="UE18" s="20" t="n">
        <f aca="false">IF(AND(INT(D18/10)*10=90,B18&gt;0),80,INT(D18/10)*10)</f>
        <v>40</v>
      </c>
      <c r="UF18" s="20" t="n">
        <f aca="false">IF(B18=0,1,IF(UE18&lt;&gt;UE17,UF17+1,UF17))</f>
        <v>2</v>
      </c>
      <c r="UG18" s="20" t="n">
        <f aca="false">IF(AND(C18=1,G18=1,QE18&gt;MAX(PR_Short1,TQ18*PR_Short2)),1,0)</f>
        <v>0</v>
      </c>
      <c r="UH18" s="20" t="n">
        <f aca="false">TR18*TV18</f>
        <v>0</v>
      </c>
      <c r="UI18" s="20" t="n">
        <f aca="false">IF(AND(V18=1,Slot1_PctLow=1),1,0)+IF(AND(AG18=1,Slot2_PctLow=1),1,0)+IF(AND(AQ18=1,Slot3_PctLow=1),1,0)+IF(AND(BA18=1,Slot4_PctLow=1),1,0)+IF(AND(BK18=1,Slot5_PctLow=1),1,0)+IF(AND(BU18=1,Slot6_PctLow=1),1,0)+IF(AND(CE18=1,Slot7_PctLow=1),1,0)+IF(AND(CO18=1,Slot8_PctLow=1),1,0)+IF(AND(CY18=1,Slot9_PctLow=1),1,0)+IF(AND(DI18=1,Slot10_PctLow=1),1,0)+IF(AND(DS18=1,Slot11_PctLow=1),1,0)+IF(AND(EC18=1,Slot12_PctLow=1),1,0)+IF(AND(EM18=1,Slot13_PctLow=1),1,0)+IF(AND(EW18=1,Slot14_PctLow=1),1,0)+IF(AND(FG18=1,Slot15_PctLow=1),1,0)+IF(AND(FQ18=1,Slot16_PctLow=1),1,0)+IF(AND(GA18=1,Slot17_PctLow=1),1,0)+IF(AND(GK18=1,Slot18_PctLow=1),1,0)+IF(AND(GU18=1,Slot19_PctLow=1),1,0)+IF(AND(HE18=1,Slot20_PctLow=1),1,0)</f>
        <v>1</v>
      </c>
      <c r="UJ18" s="20" t="n">
        <f aca="false">IF(C18=1,IF(OR(TV18=1,UI18&gt;0),1,0),0)</f>
        <v>1</v>
      </c>
    </row>
    <row r="19" customFormat="false" ht="15" hidden="false" customHeight="true" outlineLevel="0" collapsed="false">
      <c r="B19" s="20" t="n">
        <v>11</v>
      </c>
      <c r="C19" s="20" t="n">
        <f aca="false">IF(B19&lt;=F_N,1,0)</f>
        <v>1</v>
      </c>
      <c r="D19" s="20" t="n">
        <f aca="false">'Plan pay &amp; tax'!C245</f>
        <v>49</v>
      </c>
      <c r="E19" s="20" t="str">
        <f aca="false">IF($C19=1,"Income tax "&amp;TEXT(N('Plan pay &amp; tax'!BK245),"#,##0")&amp;"; USC "&amp;TEXT(N('Plan pay &amp; tax'!BM245)+N('Plan pay &amp; tax'!BO245),"#,##0")&amp;"; PRSI "&amp;TEXT(N('Plan pay &amp; tax'!BP245)+N('Plan pay &amp; tax'!BQ245),"#,##0")&amp;". DIRT and exit tax are inside the growth rates here.","")</f>
        <v>Income tax 12,537; USC 1,780; PRSI 4,186. DIRT and exit tax are inside the growth rates here.</v>
      </c>
      <c r="F19" s="44" t="n">
        <f aca="false">'Plan pay &amp; tax'!E245</f>
        <v>1.24337430839465</v>
      </c>
      <c r="G19" s="20" t="n">
        <f aca="false">'Plan pay &amp; tax'!G245</f>
        <v>1</v>
      </c>
      <c r="H19" s="20" t="n">
        <f aca="false">'Plan pay &amp; tax'!BT245-'Plan pay &amp; tax'!BS245-'Plan pay &amp; tax'!R245</f>
        <v>83413.8190011741</v>
      </c>
      <c r="I19" s="20" t="n">
        <f aca="false">IF(G19=1,F_CostsM*12,IF(RG_Exists=1,RG_Amount,F_CostsM*12*AS_RetireSpend))*F19+F_OneOffY*F19</f>
        <v>55951.8438777594</v>
      </c>
      <c r="J19" s="20" t="n">
        <f aca="false">HR18</f>
        <v>117344.387280946</v>
      </c>
      <c r="K19" s="20" t="n">
        <f aca="false">IF(J19&gt;1,'Plan debt months'!AC19,0)</f>
        <v>14160</v>
      </c>
      <c r="L19" s="20" t="n">
        <f aca="false">IF(J19&gt;1,'Plan debt months'!AB19,J19)</f>
        <v>107530.167998736</v>
      </c>
      <c r="M19" s="20" t="n">
        <f aca="false">O18</f>
        <v>0</v>
      </c>
      <c r="N19" s="20" t="n">
        <f aca="false">IF(M19&gt;1,'Plan debt months'!BD19,0)</f>
        <v>0</v>
      </c>
      <c r="O19" s="20" t="n">
        <f aca="false">IF(M19&gt;1,'Plan debt months'!BC19,M19)</f>
        <v>0</v>
      </c>
      <c r="P19" s="20" t="n">
        <f aca="false">R18</f>
        <v>0</v>
      </c>
      <c r="Q19" s="20" t="n">
        <f aca="false">IF(P19&gt;1,'Plan debt months'!CE19,0)</f>
        <v>0</v>
      </c>
      <c r="R19" s="20" t="n">
        <f aca="false">IF(P19&gt;1,'Plan debt months'!CD19,P19)</f>
        <v>0</v>
      </c>
      <c r="S19" s="20" t="n">
        <f aca="false">K19+N19+Q19</f>
        <v>14160</v>
      </c>
      <c r="T19" s="20" t="n">
        <f aca="false">QK18+'Plan pay &amp; tax'!Y245</f>
        <v>1389.10605445609</v>
      </c>
      <c r="U19" s="20" t="n">
        <f aca="false">QK18</f>
        <v>1389.10605445609</v>
      </c>
      <c r="V19" s="20" t="n">
        <f aca="false">IF(AND(Slot1_On=1,D19=Slot1_Age),1,0)</f>
        <v>0</v>
      </c>
      <c r="W19" s="20" t="n">
        <f aca="false">IF(AND(Slot1_On=1,Slot1_Age&gt;D19),1,0)</f>
        <v>0</v>
      </c>
      <c r="X19" s="20" t="n">
        <f aca="false">QM18</f>
        <v>0</v>
      </c>
      <c r="Y19" s="20" t="n">
        <f aca="false">V19*MIN(Slot1_Cost,X19)</f>
        <v>0</v>
      </c>
      <c r="Z19" s="20" t="n">
        <f aca="false">V19*Slot1_SpendLike*MIN(Slot1_Cost-Y19,T19)</f>
        <v>0</v>
      </c>
      <c r="AA19" s="20" t="n">
        <f aca="false">Y19+Z19</f>
        <v>0</v>
      </c>
      <c r="AB19" s="20" t="n">
        <f aca="false">T19-Z19+V19*IF(Slot1_SpendLike=1,X19-Y19,IF(Slot1_PotFree=1,X19,0))</f>
        <v>1389.10605445609</v>
      </c>
      <c r="AC19" s="20" t="n">
        <f aca="false">AF19+V19*Slot1_BufPot*X19</f>
        <v>17068.0523655121</v>
      </c>
      <c r="AD19" s="20" t="n">
        <f aca="false">IF(AND(V19=1,Slot1_IsMfree=1),IF(AA19&gt;=Slot1_Cost-1,0,MAX(0,L19-AA19)),L19)</f>
        <v>107530.167998736</v>
      </c>
      <c r="AE19" s="20" t="n">
        <f aca="false">V19*(Slot1_Cost-AA19)</f>
        <v>0</v>
      </c>
      <c r="AF19" s="20" t="n">
        <f aca="false">QL18</f>
        <v>17068.0523655121</v>
      </c>
      <c r="AG19" s="20" t="n">
        <f aca="false">IF(AND(Slot2_On=1,D19=Slot2_Age),1,0)</f>
        <v>0</v>
      </c>
      <c r="AH19" s="20" t="n">
        <f aca="false">IF(AND(Slot2_On=1,Slot2_Age&gt;D19),1,0)</f>
        <v>0</v>
      </c>
      <c r="AI19" s="20" t="n">
        <f aca="false">QQ18</f>
        <v>0</v>
      </c>
      <c r="AJ19" s="20" t="n">
        <f aca="false">AG19*MIN(Slot2_Cost,AI19)</f>
        <v>0</v>
      </c>
      <c r="AK19" s="20" t="n">
        <f aca="false">AG19*Slot2_SpendLike*MIN(Slot2_Cost-AJ19,AB19)</f>
        <v>0</v>
      </c>
      <c r="AL19" s="20" t="n">
        <f aca="false">AJ19+AK19</f>
        <v>0</v>
      </c>
      <c r="AM19" s="20" t="n">
        <f aca="false">AB19-AK19+AG19*IF(Slot2_SpendLike=1,AI19-AJ19,IF(Slot2_PotFree=1,AI19,0))</f>
        <v>1389.10605445609</v>
      </c>
      <c r="AN19" s="20" t="n">
        <f aca="false">AC19+AG19*Slot2_BufPot*AI19</f>
        <v>17068.0523655121</v>
      </c>
      <c r="AO19" s="20" t="n">
        <f aca="false">IF(AND(AG19=1,Slot2_IsMfree=1),IF(AL19&gt;=Slot2_Cost-1,0,MAX(0,AD19-AL19)),AD19)</f>
        <v>107530.167998736</v>
      </c>
      <c r="AP19" s="20" t="n">
        <f aca="false">AG19*(Slot2_Cost-AL19)</f>
        <v>0</v>
      </c>
      <c r="AQ19" s="20" t="n">
        <f aca="false">IF(AND(Slot3_On=1,D19=Slot3_Age),1,0)</f>
        <v>0</v>
      </c>
      <c r="AR19" s="20" t="n">
        <f aca="false">IF(AND(Slot3_On=1,Slot3_Age&gt;D19),1,0)</f>
        <v>0</v>
      </c>
      <c r="AS19" s="20" t="n">
        <f aca="false">QU18</f>
        <v>0</v>
      </c>
      <c r="AT19" s="20" t="n">
        <f aca="false">AQ19*MIN(Slot3_Cost,AS19)</f>
        <v>0</v>
      </c>
      <c r="AU19" s="20" t="n">
        <f aca="false">AQ19*Slot3_SpendLike*MIN(Slot3_Cost-AT19,AM19)</f>
        <v>0</v>
      </c>
      <c r="AV19" s="20" t="n">
        <f aca="false">AT19+AU19</f>
        <v>0</v>
      </c>
      <c r="AW19" s="20" t="n">
        <f aca="false">AM19-AU19+AQ19*IF(Slot3_SpendLike=1,AS19-AT19,IF(Slot3_PotFree=1,AS19,0))</f>
        <v>1389.10605445609</v>
      </c>
      <c r="AX19" s="20" t="n">
        <f aca="false">AN19+AQ19*Slot3_BufPot*AS19</f>
        <v>17068.0523655121</v>
      </c>
      <c r="AY19" s="20" t="n">
        <f aca="false">IF(AND(AQ19=1,Slot3_IsMfree=1),IF(AV19&gt;=Slot3_Cost-1,0,MAX(0,AO19-AV19)),AO19)</f>
        <v>107530.167998736</v>
      </c>
      <c r="AZ19" s="20" t="n">
        <f aca="false">AQ19*(Slot3_Cost-AV19)</f>
        <v>0</v>
      </c>
      <c r="BA19" s="20" t="n">
        <f aca="false">IF(AND(Slot4_On=1,D19=Slot4_Age),1,0)</f>
        <v>0</v>
      </c>
      <c r="BB19" s="20" t="n">
        <f aca="false">IF(AND(Slot4_On=1,Slot4_Age&gt;D19),1,0)</f>
        <v>1</v>
      </c>
      <c r="BC19" s="20" t="n">
        <f aca="false">QY18</f>
        <v>4844.07663087158</v>
      </c>
      <c r="BD19" s="20" t="n">
        <f aca="false">BA19*MIN(Slot4_Cost,BC19)</f>
        <v>0</v>
      </c>
      <c r="BE19" s="20" t="n">
        <f aca="false">BA19*Slot4_SpendLike*MIN(Slot4_Cost-BD19,AW19)</f>
        <v>0</v>
      </c>
      <c r="BF19" s="20" t="n">
        <f aca="false">BD19+BE19</f>
        <v>0</v>
      </c>
      <c r="BG19" s="20" t="n">
        <f aca="false">AW19-BE19+BA19*IF(Slot4_SpendLike=1,BC19-BD19,IF(Slot4_PotFree=1,BC19,0))</f>
        <v>1389.10605445609</v>
      </c>
      <c r="BH19" s="20" t="n">
        <f aca="false">AX19+BA19*Slot4_BufPot*BC19</f>
        <v>17068.0523655121</v>
      </c>
      <c r="BI19" s="20" t="n">
        <f aca="false">IF(AND(BA19=1,Slot4_IsMfree=1),IF(BF19&gt;=Slot4_Cost-1,0,MAX(0,AY19-BF19)),AY19)</f>
        <v>107530.167998736</v>
      </c>
      <c r="BJ19" s="20" t="n">
        <f aca="false">BA19*(Slot4_Cost-BF19)</f>
        <v>0</v>
      </c>
      <c r="BK19" s="20" t="n">
        <f aca="false">IF(AND(Slot5_On=1,D19=Slot5_Age),1,0)</f>
        <v>0</v>
      </c>
      <c r="BL19" s="20" t="n">
        <f aca="false">IF(AND(Slot5_On=1,Slot5_Age&gt;D19),1,0)</f>
        <v>0</v>
      </c>
      <c r="BM19" s="20" t="n">
        <f aca="false">RC18</f>
        <v>0</v>
      </c>
      <c r="BN19" s="20" t="n">
        <f aca="false">BK19*MIN(Slot5_Cost,BM19)</f>
        <v>0</v>
      </c>
      <c r="BO19" s="20" t="n">
        <f aca="false">BK19*Slot5_SpendLike*MIN(Slot5_Cost-BN19,BG19)</f>
        <v>0</v>
      </c>
      <c r="BP19" s="20" t="n">
        <f aca="false">BN19+BO19</f>
        <v>0</v>
      </c>
      <c r="BQ19" s="20" t="n">
        <f aca="false">BG19-BO19+BK19*IF(Slot5_SpendLike=1,BM19-BN19,IF(Slot5_PotFree=1,BM19,0))</f>
        <v>1389.10605445609</v>
      </c>
      <c r="BR19" s="20" t="n">
        <f aca="false">BH19+BK19*Slot5_BufPot*BM19</f>
        <v>17068.0523655121</v>
      </c>
      <c r="BS19" s="20" t="n">
        <f aca="false">IF(AND(BK19=1,Slot5_IsMfree=1),IF(BP19&gt;=Slot5_Cost-1,0,MAX(0,BI19-BP19)),BI19)</f>
        <v>107530.167998736</v>
      </c>
      <c r="BT19" s="20" t="n">
        <f aca="false">BK19*(Slot5_Cost-BP19)</f>
        <v>0</v>
      </c>
      <c r="BU19" s="20" t="n">
        <f aca="false">IF(AND(Slot6_On=1,D19=Slot6_Age),1,0)</f>
        <v>0</v>
      </c>
      <c r="BV19" s="20" t="n">
        <f aca="false">IF(AND(Slot6_On=1,Slot6_Age&gt;D19),1,0)</f>
        <v>0</v>
      </c>
      <c r="BW19" s="20" t="n">
        <f aca="false">RG18</f>
        <v>0</v>
      </c>
      <c r="BX19" s="20" t="n">
        <f aca="false">BU19*MIN(Slot6_Cost,BW19)</f>
        <v>0</v>
      </c>
      <c r="BY19" s="20" t="n">
        <f aca="false">BU19*Slot6_SpendLike*MIN(Slot6_Cost-BX19,BQ19)</f>
        <v>0</v>
      </c>
      <c r="BZ19" s="20" t="n">
        <f aca="false">BX19+BY19</f>
        <v>0</v>
      </c>
      <c r="CA19" s="20" t="n">
        <f aca="false">BQ19-BY19+BU19*IF(Slot6_SpendLike=1,BW19-BX19,IF(Slot6_PotFree=1,BW19,0))</f>
        <v>1389.10605445609</v>
      </c>
      <c r="CB19" s="20" t="n">
        <f aca="false">BR19+BU19*Slot6_BufPot*BW19</f>
        <v>17068.0523655121</v>
      </c>
      <c r="CC19" s="20" t="n">
        <f aca="false">IF(AND(BU19=1,Slot6_IsMfree=1),IF(BZ19&gt;=Slot6_Cost-1,0,MAX(0,BS19-BZ19)),BS19)</f>
        <v>107530.167998736</v>
      </c>
      <c r="CD19" s="20" t="n">
        <f aca="false">BU19*(Slot6_Cost-BZ19)</f>
        <v>0</v>
      </c>
      <c r="CE19" s="20" t="n">
        <f aca="false">IF(AND(Slot7_On=1,D19=Slot7_Age),1,0)</f>
        <v>0</v>
      </c>
      <c r="CF19" s="20" t="n">
        <f aca="false">IF(AND(Slot7_On=1,Slot7_Age&gt;D19),1,0)</f>
        <v>0</v>
      </c>
      <c r="CG19" s="20" t="n">
        <f aca="false">RK18</f>
        <v>0</v>
      </c>
      <c r="CH19" s="20" t="n">
        <f aca="false">CE19*MIN(Slot7_Cost,CG19)</f>
        <v>0</v>
      </c>
      <c r="CI19" s="20" t="n">
        <f aca="false">CE19*Slot7_SpendLike*MIN(Slot7_Cost-CH19,CA19)</f>
        <v>0</v>
      </c>
      <c r="CJ19" s="20" t="n">
        <f aca="false">CH19+CI19</f>
        <v>0</v>
      </c>
      <c r="CK19" s="20" t="n">
        <f aca="false">CA19-CI19+CE19*IF(Slot7_SpendLike=1,CG19-CH19,IF(Slot7_PotFree=1,CG19,0))</f>
        <v>1389.10605445609</v>
      </c>
      <c r="CL19" s="20" t="n">
        <f aca="false">CB19+CE19*Slot7_BufPot*CG19</f>
        <v>17068.0523655121</v>
      </c>
      <c r="CM19" s="20" t="n">
        <f aca="false">IF(AND(CE19=1,Slot7_IsMfree=1),IF(CJ19&gt;=Slot7_Cost-1,0,MAX(0,CC19-CJ19)),CC19)</f>
        <v>107530.167998736</v>
      </c>
      <c r="CN19" s="20" t="n">
        <f aca="false">CE19*(Slot7_Cost-CJ19)</f>
        <v>0</v>
      </c>
      <c r="CO19" s="20" t="n">
        <f aca="false">IF(AND(Slot8_On=1,D19=Slot8_Age),1,0)</f>
        <v>0</v>
      </c>
      <c r="CP19" s="20" t="n">
        <f aca="false">IF(AND(Slot8_On=1,Slot8_Age&gt;D19),1,0)</f>
        <v>0</v>
      </c>
      <c r="CQ19" s="20" t="n">
        <f aca="false">RO18</f>
        <v>0</v>
      </c>
      <c r="CR19" s="20" t="n">
        <f aca="false">CO19*MIN(Slot8_Cost,CQ19)</f>
        <v>0</v>
      </c>
      <c r="CS19" s="20" t="n">
        <f aca="false">CO19*Slot8_SpendLike*MIN(Slot8_Cost-CR19,CK19)</f>
        <v>0</v>
      </c>
      <c r="CT19" s="20" t="n">
        <f aca="false">CR19+CS19</f>
        <v>0</v>
      </c>
      <c r="CU19" s="20" t="n">
        <f aca="false">CK19-CS19+CO19*IF(Slot8_SpendLike=1,CQ19-CR19,IF(Slot8_PotFree=1,CQ19,0))</f>
        <v>1389.10605445609</v>
      </c>
      <c r="CV19" s="20" t="n">
        <f aca="false">CL19+CO19*Slot8_BufPot*CQ19</f>
        <v>17068.0523655121</v>
      </c>
      <c r="CW19" s="20" t="n">
        <f aca="false">IF(AND(CO19=1,Slot8_IsMfree=1),IF(CT19&gt;=Slot8_Cost-1,0,MAX(0,CM19-CT19)),CM19)</f>
        <v>107530.167998736</v>
      </c>
      <c r="CX19" s="20" t="n">
        <f aca="false">CO19*(Slot8_Cost-CT19)</f>
        <v>0</v>
      </c>
      <c r="CY19" s="20" t="n">
        <f aca="false">IF(AND(Slot9_On=1,D19=Slot9_Age),1,0)</f>
        <v>0</v>
      </c>
      <c r="CZ19" s="20" t="n">
        <f aca="false">IF(AND(Slot9_On=1,Slot9_Age&gt;D19),1,0)</f>
        <v>0</v>
      </c>
      <c r="DA19" s="20" t="n">
        <f aca="false">RS18</f>
        <v>0</v>
      </c>
      <c r="DB19" s="20" t="n">
        <f aca="false">CY19*MIN(Slot9_Cost,DA19)</f>
        <v>0</v>
      </c>
      <c r="DC19" s="20" t="n">
        <f aca="false">CY19*Slot9_SpendLike*MIN(Slot9_Cost-DB19,CU19)</f>
        <v>0</v>
      </c>
      <c r="DD19" s="20" t="n">
        <f aca="false">DB19+DC19</f>
        <v>0</v>
      </c>
      <c r="DE19" s="20" t="n">
        <f aca="false">CU19-DC19+CY19*IF(Slot9_SpendLike=1,DA19-DB19,IF(Slot9_PotFree=1,DA19,0))</f>
        <v>1389.10605445609</v>
      </c>
      <c r="DF19" s="20" t="n">
        <f aca="false">CV19+CY19*Slot9_BufPot*DA19</f>
        <v>17068.0523655121</v>
      </c>
      <c r="DG19" s="20" t="n">
        <f aca="false">IF(AND(CY19=1,Slot9_IsMfree=1),IF(DD19&gt;=Slot9_Cost-1,0,MAX(0,CW19-DD19)),CW19)</f>
        <v>107530.167998736</v>
      </c>
      <c r="DH19" s="20" t="n">
        <f aca="false">CY19*(Slot9_Cost-DD19)</f>
        <v>0</v>
      </c>
      <c r="DI19" s="20" t="n">
        <f aca="false">IF(AND(Slot10_On=1,D19=Slot10_Age),1,0)</f>
        <v>0</v>
      </c>
      <c r="DJ19" s="20" t="n">
        <f aca="false">IF(AND(Slot10_On=1,Slot10_Age&gt;D19),1,0)</f>
        <v>0</v>
      </c>
      <c r="DK19" s="20" t="n">
        <f aca="false">RW18</f>
        <v>0</v>
      </c>
      <c r="DL19" s="20" t="n">
        <f aca="false">DI19*MIN(Slot10_Cost,DK19)</f>
        <v>0</v>
      </c>
      <c r="DM19" s="20" t="n">
        <f aca="false">DI19*Slot10_SpendLike*MIN(Slot10_Cost-DL19,DE19)</f>
        <v>0</v>
      </c>
      <c r="DN19" s="20" t="n">
        <f aca="false">DL19+DM19</f>
        <v>0</v>
      </c>
      <c r="DO19" s="20" t="n">
        <f aca="false">DE19-DM19+DI19*IF(Slot10_SpendLike=1,DK19-DL19,IF(Slot10_PotFree=1,DK19,0))</f>
        <v>1389.10605445609</v>
      </c>
      <c r="DP19" s="20" t="n">
        <f aca="false">DF19+DI19*Slot10_BufPot*DK19</f>
        <v>17068.0523655121</v>
      </c>
      <c r="DQ19" s="20" t="n">
        <f aca="false">IF(AND(DI19=1,Slot10_IsMfree=1),IF(DN19&gt;=Slot10_Cost-1,0,MAX(0,DG19-DN19)),DG19)</f>
        <v>107530.167998736</v>
      </c>
      <c r="DR19" s="20" t="n">
        <f aca="false">DI19*(Slot10_Cost-DN19)</f>
        <v>0</v>
      </c>
      <c r="DS19" s="20" t="n">
        <f aca="false">IF(AND(Slot11_On=1,D19=Slot11_Age),1,0)</f>
        <v>0</v>
      </c>
      <c r="DT19" s="20" t="n">
        <f aca="false">IF(AND(Slot11_On=1,Slot11_Age&gt;D19),1,0)</f>
        <v>0</v>
      </c>
      <c r="DU19" s="20" t="n">
        <f aca="false">SA18</f>
        <v>0</v>
      </c>
      <c r="DV19" s="20" t="n">
        <f aca="false">DS19*MIN(Slot11_Cost,DU19)</f>
        <v>0</v>
      </c>
      <c r="DW19" s="20" t="n">
        <f aca="false">DS19*Slot11_SpendLike*MIN(Slot11_Cost-DV19,DO19)</f>
        <v>0</v>
      </c>
      <c r="DX19" s="20" t="n">
        <f aca="false">DV19+DW19</f>
        <v>0</v>
      </c>
      <c r="DY19" s="20" t="n">
        <f aca="false">DO19-DW19+DS19*IF(Slot11_SpendLike=1,DU19-DV19,IF(Slot11_PotFree=1,DU19,0))</f>
        <v>1389.10605445609</v>
      </c>
      <c r="DZ19" s="20" t="n">
        <f aca="false">DP19+DS19*Slot11_BufPot*DU19</f>
        <v>17068.0523655121</v>
      </c>
      <c r="EA19" s="20" t="n">
        <f aca="false">IF(AND(DS19=1,Slot11_IsMfree=1),IF(DX19&gt;=Slot11_Cost-1,0,MAX(0,DQ19-DX19)),DQ19)</f>
        <v>107530.167998736</v>
      </c>
      <c r="EB19" s="20" t="n">
        <f aca="false">DS19*(Slot11_Cost-DX19)</f>
        <v>0</v>
      </c>
      <c r="EC19" s="20" t="n">
        <f aca="false">IF(AND(Slot12_On=1,D19=Slot12_Age),1,0)</f>
        <v>0</v>
      </c>
      <c r="ED19" s="20" t="n">
        <f aca="false">IF(AND(Slot12_On=1,Slot12_Age&gt;D19),1,0)</f>
        <v>0</v>
      </c>
      <c r="EE19" s="20" t="n">
        <f aca="false">SE18</f>
        <v>0</v>
      </c>
      <c r="EF19" s="20" t="n">
        <f aca="false">EC19*MIN(Slot12_Cost,EE19)</f>
        <v>0</v>
      </c>
      <c r="EG19" s="20" t="n">
        <f aca="false">EC19*Slot12_SpendLike*MIN(Slot12_Cost-EF19,DY19)</f>
        <v>0</v>
      </c>
      <c r="EH19" s="20" t="n">
        <f aca="false">EF19+EG19</f>
        <v>0</v>
      </c>
      <c r="EI19" s="20" t="n">
        <f aca="false">DY19-EG19+EC19*IF(Slot12_SpendLike=1,EE19-EF19,IF(Slot12_PotFree=1,EE19,0))</f>
        <v>1389.10605445609</v>
      </c>
      <c r="EJ19" s="20" t="n">
        <f aca="false">DZ19+EC19*Slot12_BufPot*EE19</f>
        <v>17068.0523655121</v>
      </c>
      <c r="EK19" s="20" t="n">
        <f aca="false">IF(AND(EC19=1,Slot12_IsMfree=1),IF(EH19&gt;=Slot12_Cost-1,0,MAX(0,EA19-EH19)),EA19)</f>
        <v>107530.167998736</v>
      </c>
      <c r="EL19" s="20" t="n">
        <f aca="false">EC19*(Slot12_Cost-EH19)</f>
        <v>0</v>
      </c>
      <c r="EM19" s="20" t="n">
        <f aca="false">IF(AND(Slot13_On=1,D19=Slot13_Age),1,0)</f>
        <v>0</v>
      </c>
      <c r="EN19" s="20" t="n">
        <f aca="false">IF(AND(Slot13_On=1,Slot13_Age&gt;D19),1,0)</f>
        <v>0</v>
      </c>
      <c r="EO19" s="20" t="n">
        <f aca="false">SI18</f>
        <v>0</v>
      </c>
      <c r="EP19" s="20" t="n">
        <f aca="false">EM19*MIN(Slot13_Cost,EO19)</f>
        <v>0</v>
      </c>
      <c r="EQ19" s="20" t="n">
        <f aca="false">EM19*Slot13_SpendLike*MIN(Slot13_Cost-EP19,EI19)</f>
        <v>0</v>
      </c>
      <c r="ER19" s="20" t="n">
        <f aca="false">EP19+EQ19</f>
        <v>0</v>
      </c>
      <c r="ES19" s="20" t="n">
        <f aca="false">EI19-EQ19+EM19*IF(Slot13_SpendLike=1,EO19-EP19,IF(Slot13_PotFree=1,EO19,0))</f>
        <v>1389.10605445609</v>
      </c>
      <c r="ET19" s="20" t="n">
        <f aca="false">EJ19+EM19*Slot13_BufPot*EO19</f>
        <v>17068.0523655121</v>
      </c>
      <c r="EU19" s="20" t="n">
        <f aca="false">IF(AND(EM19=1,Slot13_IsMfree=1),IF(ER19&gt;=Slot13_Cost-1,0,MAX(0,EK19-ER19)),EK19)</f>
        <v>107530.167998736</v>
      </c>
      <c r="EV19" s="20" t="n">
        <f aca="false">EM19*(Slot13_Cost-ER19)</f>
        <v>0</v>
      </c>
      <c r="EW19" s="20" t="n">
        <f aca="false">IF(AND(Slot14_On=1,D19=Slot14_Age),1,0)</f>
        <v>0</v>
      </c>
      <c r="EX19" s="20" t="n">
        <f aca="false">IF(AND(Slot14_On=1,Slot14_Age&gt;D19),1,0)</f>
        <v>0</v>
      </c>
      <c r="EY19" s="20" t="n">
        <f aca="false">SM18</f>
        <v>0</v>
      </c>
      <c r="EZ19" s="20" t="n">
        <f aca="false">EW19*MIN(Slot14_Cost,EY19)</f>
        <v>0</v>
      </c>
      <c r="FA19" s="20" t="n">
        <f aca="false">EW19*Slot14_SpendLike*MIN(Slot14_Cost-EZ19,ES19)</f>
        <v>0</v>
      </c>
      <c r="FB19" s="20" t="n">
        <f aca="false">EZ19+FA19</f>
        <v>0</v>
      </c>
      <c r="FC19" s="20" t="n">
        <f aca="false">ES19-FA19+EW19*IF(Slot14_SpendLike=1,EY19-EZ19,IF(Slot14_PotFree=1,EY19,0))</f>
        <v>1389.10605445609</v>
      </c>
      <c r="FD19" s="20" t="n">
        <f aca="false">ET19+EW19*Slot14_BufPot*EY19</f>
        <v>17068.0523655121</v>
      </c>
      <c r="FE19" s="20" t="n">
        <f aca="false">IF(AND(EW19=1,Slot14_IsMfree=1),IF(FB19&gt;=Slot14_Cost-1,0,MAX(0,EU19-FB19)),EU19)</f>
        <v>107530.167998736</v>
      </c>
      <c r="FF19" s="20" t="n">
        <f aca="false">EW19*(Slot14_Cost-FB19)</f>
        <v>0</v>
      </c>
      <c r="FG19" s="20" t="n">
        <f aca="false">IF(AND(Slot15_On=1,D19=Slot15_Age),1,0)</f>
        <v>0</v>
      </c>
      <c r="FH19" s="20" t="n">
        <f aca="false">IF(AND(Slot15_On=1,Slot15_Age&gt;D19),1,0)</f>
        <v>0</v>
      </c>
      <c r="FI19" s="20" t="n">
        <f aca="false">SQ18</f>
        <v>0</v>
      </c>
      <c r="FJ19" s="20" t="n">
        <f aca="false">FG19*MIN(Slot15_Cost,FI19)</f>
        <v>0</v>
      </c>
      <c r="FK19" s="20" t="n">
        <f aca="false">FG19*Slot15_SpendLike*MIN(Slot15_Cost-FJ19,FC19)</f>
        <v>0</v>
      </c>
      <c r="FL19" s="20" t="n">
        <f aca="false">FJ19+FK19</f>
        <v>0</v>
      </c>
      <c r="FM19" s="20" t="n">
        <f aca="false">FC19-FK19+FG19*IF(Slot15_SpendLike=1,FI19-FJ19,IF(Slot15_PotFree=1,FI19,0))</f>
        <v>1389.10605445609</v>
      </c>
      <c r="FN19" s="20" t="n">
        <f aca="false">FD19+FG19*Slot15_BufPot*FI19</f>
        <v>17068.0523655121</v>
      </c>
      <c r="FO19" s="20" t="n">
        <f aca="false">IF(AND(FG19=1,Slot15_IsMfree=1),IF(FL19&gt;=Slot15_Cost-1,0,MAX(0,FE19-FL19)),FE19)</f>
        <v>107530.167998736</v>
      </c>
      <c r="FP19" s="20" t="n">
        <f aca="false">FG19*(Slot15_Cost-FL19)</f>
        <v>0</v>
      </c>
      <c r="FQ19" s="20" t="n">
        <f aca="false">IF(AND(Slot16_On=1,D19=Slot16_Age),1,0)</f>
        <v>0</v>
      </c>
      <c r="FR19" s="20" t="n">
        <f aca="false">IF(AND(Slot16_On=1,Slot16_Age&gt;D19),1,0)</f>
        <v>0</v>
      </c>
      <c r="FS19" s="20" t="n">
        <f aca="false">SU18</f>
        <v>0</v>
      </c>
      <c r="FT19" s="20" t="n">
        <f aca="false">FQ19*MIN(Slot16_Cost,FS19)</f>
        <v>0</v>
      </c>
      <c r="FU19" s="20" t="n">
        <f aca="false">FQ19*Slot16_SpendLike*MIN(Slot16_Cost-FT19,FM19)</f>
        <v>0</v>
      </c>
      <c r="FV19" s="20" t="n">
        <f aca="false">FT19+FU19</f>
        <v>0</v>
      </c>
      <c r="FW19" s="20" t="n">
        <f aca="false">FM19-FU19+FQ19*IF(Slot16_SpendLike=1,FS19-FT19,IF(Slot16_PotFree=1,FS19,0))</f>
        <v>1389.10605445609</v>
      </c>
      <c r="FX19" s="20" t="n">
        <f aca="false">FN19+FQ19*Slot16_BufPot*FS19</f>
        <v>17068.0523655121</v>
      </c>
      <c r="FY19" s="20" t="n">
        <f aca="false">IF(AND(FQ19=1,Slot16_IsMfree=1),IF(FV19&gt;=Slot16_Cost-1,0,MAX(0,FO19-FV19)),FO19)</f>
        <v>107530.167998736</v>
      </c>
      <c r="FZ19" s="20" t="n">
        <f aca="false">FQ19*(Slot16_Cost-FV19)</f>
        <v>0</v>
      </c>
      <c r="GA19" s="20" t="n">
        <f aca="false">IF(AND(Slot17_On=1,D19=Slot17_Age),1,0)</f>
        <v>0</v>
      </c>
      <c r="GB19" s="20" t="n">
        <f aca="false">IF(AND(Slot17_On=1,Slot17_Age&gt;D19),1,0)</f>
        <v>0</v>
      </c>
      <c r="GC19" s="20" t="n">
        <f aca="false">SY18</f>
        <v>0</v>
      </c>
      <c r="GD19" s="20" t="n">
        <f aca="false">GA19*MIN(Slot17_Cost,GC19)</f>
        <v>0</v>
      </c>
      <c r="GE19" s="20" t="n">
        <f aca="false">GA19*Slot17_SpendLike*MIN(Slot17_Cost-GD19,FW19)</f>
        <v>0</v>
      </c>
      <c r="GF19" s="20" t="n">
        <f aca="false">GD19+GE19</f>
        <v>0</v>
      </c>
      <c r="GG19" s="20" t="n">
        <f aca="false">FW19-GE19+GA19*IF(Slot17_SpendLike=1,GC19-GD19,IF(Slot17_PotFree=1,GC19,0))</f>
        <v>1389.10605445609</v>
      </c>
      <c r="GH19" s="20" t="n">
        <f aca="false">FX19+GA19*Slot17_BufPot*GC19</f>
        <v>17068.0523655121</v>
      </c>
      <c r="GI19" s="20" t="n">
        <f aca="false">IF(AND(GA19=1,Slot17_IsMfree=1),IF(GF19&gt;=Slot17_Cost-1,0,MAX(0,FY19-GF19)),FY19)</f>
        <v>107530.167998736</v>
      </c>
      <c r="GJ19" s="20" t="n">
        <f aca="false">GA19*(Slot17_Cost-GF19)</f>
        <v>0</v>
      </c>
      <c r="GK19" s="20" t="n">
        <f aca="false">IF(AND(Slot18_On=1,D19=Slot18_Age),1,0)</f>
        <v>0</v>
      </c>
      <c r="GL19" s="20" t="n">
        <f aca="false">IF(AND(Slot18_On=1,Slot18_Age&gt;D19),1,0)</f>
        <v>0</v>
      </c>
      <c r="GM19" s="20" t="n">
        <f aca="false">TC18</f>
        <v>0</v>
      </c>
      <c r="GN19" s="20" t="n">
        <f aca="false">GK19*MIN(Slot18_Cost,GM19)</f>
        <v>0</v>
      </c>
      <c r="GO19" s="20" t="n">
        <f aca="false">GK19*Slot18_SpendLike*MIN(Slot18_Cost-GN19,GG19)</f>
        <v>0</v>
      </c>
      <c r="GP19" s="20" t="n">
        <f aca="false">GN19+GO19</f>
        <v>0</v>
      </c>
      <c r="GQ19" s="20" t="n">
        <f aca="false">GG19-GO19+GK19*IF(Slot18_SpendLike=1,GM19-GN19,IF(Slot18_PotFree=1,GM19,0))</f>
        <v>1389.10605445609</v>
      </c>
      <c r="GR19" s="20" t="n">
        <f aca="false">GH19+GK19*Slot18_BufPot*GM19</f>
        <v>17068.0523655121</v>
      </c>
      <c r="GS19" s="20" t="n">
        <f aca="false">IF(AND(GK19=1,Slot18_IsMfree=1),IF(GP19&gt;=Slot18_Cost-1,0,MAX(0,GI19-GP19)),GI19)</f>
        <v>107530.167998736</v>
      </c>
      <c r="GT19" s="20" t="n">
        <f aca="false">GK19*(Slot18_Cost-GP19)</f>
        <v>0</v>
      </c>
      <c r="GU19" s="20" t="n">
        <f aca="false">IF(AND(Slot19_On=1,D19=Slot19_Age),1,0)</f>
        <v>0</v>
      </c>
      <c r="GV19" s="20" t="n">
        <f aca="false">IF(AND(Slot19_On=1,Slot19_Age&gt;D19),1,0)</f>
        <v>0</v>
      </c>
      <c r="GW19" s="20" t="n">
        <f aca="false">TG18</f>
        <v>0</v>
      </c>
      <c r="GX19" s="20" t="n">
        <f aca="false">GU19*MIN(Slot19_Cost,GW19)</f>
        <v>0</v>
      </c>
      <c r="GY19" s="20" t="n">
        <f aca="false">GU19*Slot19_SpendLike*MIN(Slot19_Cost-GX19,GQ19)</f>
        <v>0</v>
      </c>
      <c r="GZ19" s="20" t="n">
        <f aca="false">GX19+GY19</f>
        <v>0</v>
      </c>
      <c r="HA19" s="20" t="n">
        <f aca="false">GQ19-GY19+GU19*IF(Slot19_SpendLike=1,GW19-GX19,IF(Slot19_PotFree=1,GW19,0))</f>
        <v>1389.10605445609</v>
      </c>
      <c r="HB19" s="20" t="n">
        <f aca="false">GR19+GU19*Slot19_BufPot*GW19</f>
        <v>17068.0523655121</v>
      </c>
      <c r="HC19" s="20" t="n">
        <f aca="false">IF(AND(GU19=1,Slot19_IsMfree=1),IF(GZ19&gt;=Slot19_Cost-1,0,MAX(0,GS19-GZ19)),GS19)</f>
        <v>107530.167998736</v>
      </c>
      <c r="HD19" s="20" t="n">
        <f aca="false">GU19*(Slot19_Cost-GZ19)</f>
        <v>0</v>
      </c>
      <c r="HE19" s="20" t="n">
        <f aca="false">IF(AND(Slot20_On=1,D19=Slot20_Age),1,0)</f>
        <v>0</v>
      </c>
      <c r="HF19" s="20" t="n">
        <f aca="false">IF(AND(Slot20_On=1,Slot20_Age&gt;D19),1,0)</f>
        <v>0</v>
      </c>
      <c r="HG19" s="20" t="n">
        <f aca="false">TK18</f>
        <v>0</v>
      </c>
      <c r="HH19" s="20" t="n">
        <f aca="false">HE19*MIN(Slot20_Cost,HG19)</f>
        <v>0</v>
      </c>
      <c r="HI19" s="20" t="n">
        <f aca="false">HE19*Slot20_SpendLike*MIN(Slot20_Cost-HH19,HA19)</f>
        <v>0</v>
      </c>
      <c r="HJ19" s="20" t="n">
        <f aca="false">HH19+HI19</f>
        <v>0</v>
      </c>
      <c r="HK19" s="20" t="n">
        <f aca="false">HA19-HI19+HE19*IF(Slot20_SpendLike=1,HG19-HH19,IF(Slot20_PotFree=1,HG19,0))</f>
        <v>1389.10605445609</v>
      </c>
      <c r="HL19" s="20" t="n">
        <f aca="false">HB19+HE19*Slot20_BufPot*HG19</f>
        <v>17068.0523655121</v>
      </c>
      <c r="HM19" s="20" t="n">
        <f aca="false">IF(AND(HE19=1,Slot20_IsMfree=1),IF(HJ19&gt;=Slot20_Cost-1,0,MAX(0,HC19-HJ19)),HC19)</f>
        <v>107530.167998736</v>
      </c>
      <c r="HN19" s="20" t="n">
        <f aca="false">HE19*(Slot20_Cost-HJ19)</f>
        <v>0</v>
      </c>
      <c r="HO19" s="20" t="n">
        <f aca="false">V19*Slot1_SpendLike*AA19+AG19*Slot2_SpendLike*AL19+AQ19*Slot3_SpendLike*AV19+BA19*Slot4_SpendLike*BF19+BK19*Slot5_SpendLike*BP19+BU19*Slot6_SpendLike*BZ19+CE19*Slot7_SpendLike*CJ19+CO19*Slot8_SpendLike*CT19+CY19*Slot9_SpendLike*DD19+DI19*Slot10_SpendLike*DN19+DS19*Slot11_SpendLike*DX19+EC19*Slot12_SpendLike*EH19+EM19*Slot13_SpendLike*ER19+EW19*Slot14_SpendLike*FB19+FG19*Slot15_SpendLike*FL19+FQ19*Slot16_SpendLike*FV19+GA19*Slot17_SpendLike*GF19+GK19*Slot18_SpendLike*GP19+GU19*Slot19_SpendLike*GZ19+HE19*Slot20_SpendLike*HJ19</f>
        <v>0</v>
      </c>
      <c r="HP19" s="20" t="n">
        <f aca="false">AE19+AP19+AZ19+BJ19+BT19+CD19+CN19+CX19+DH19+DR19+EB19+EL19+EV19+FF19+FP19+FZ19+GJ19+GT19+HD19+HN19</f>
        <v>0</v>
      </c>
      <c r="HQ19" s="20" t="n">
        <f aca="false">V19*Slot1_Cost+AG19*Slot2_Cost+AQ19*Slot3_Cost+BA19*Slot4_Cost+BK19*Slot5_Cost+BU19*Slot6_Cost+CE19*Slot7_Cost+CO19*Slot8_Cost+CY19*Slot9_Cost+DI19*Slot10_Cost+DS19*Slot11_Cost+EC19*Slot12_Cost+EM19*Slot13_Cost+EW19*Slot14_Cost+FG19*Slot15_Cost+FQ19*Slot16_Cost+GA19*Slot17_Cost+GK19*Slot18_Cost+GU19*Slot19_Cost+HE19*Slot20_Cost</f>
        <v>0</v>
      </c>
      <c r="HR19" s="20" t="n">
        <f aca="false">HM19</f>
        <v>107530.167998736</v>
      </c>
      <c r="HS19" s="20" t="n">
        <f aca="false">H19-I19-S19</f>
        <v>13301.9751234148</v>
      </c>
      <c r="HT19" s="20" t="n">
        <f aca="false">IF(B19=0,IF(AND(Has_q6=1,In_q6=4),PR_ShareVaries*(MAX(0,HS19)/12),MIN(IF(Has_q6=1,CHOOSE(In_q6+1,PR_SaveB1,PR_SaveB2,PR_SaveB3,PR_SaveB4,0),AS_NoAnswer),AS_SaveShare*(MAX(0,HS19)/12))),HT18)</f>
        <v>62.3316893520437</v>
      </c>
      <c r="HU19" s="20" t="n">
        <f aca="false">IF(HS19&gt;=0,1,0)</f>
        <v>1</v>
      </c>
      <c r="HV19" s="20" t="n">
        <f aca="false">MAX(0,HS19/12/F19)</f>
        <v>891.523911558409</v>
      </c>
      <c r="HW19" s="20" t="n">
        <f aca="false">IF(AND(Has_q6=1,In_q6=4),PR_ShareVaries*(HV19),MIN(IF(Has_q6=1,CHOOSE(In_q6+1,PR_SaveB1,PR_SaveB2,PR_SaveB3,PR_SaveB4,0),AS_NoAnswer),AS_SaveShare*(HV19)))</f>
        <v>445.761955779204</v>
      </c>
      <c r="HX19" s="20" t="n">
        <f aca="false">IF(Has_saveM=1,IF(In_saveUp="Yes",1,IF(In_saveUp="No",0,IF(In_saveM&gt;=HT19-0.5,1,0))),0)</f>
        <v>0</v>
      </c>
      <c r="HY19" s="20" t="n">
        <f aca="false">IF(Has_saveM=1,MIN(HV19,IF(HX19=1,MAX(In_saveM,HW19),MIN(In_saveM,HW19))),HW19)</f>
        <v>445.761955779204</v>
      </c>
      <c r="HZ19" s="20" t="n">
        <f aca="false">IF(G19=1,HY19*12*F19,0)</f>
        <v>6650.98756170739</v>
      </c>
      <c r="IA19" s="20" t="n">
        <f aca="false">MAX(0,HZ19+IF(AND(WI_Retire=0,WI_M&lt;0,G19=1),WI_M*12*F19,0))</f>
        <v>6650.98756170739</v>
      </c>
      <c r="IB19" s="20" t="n">
        <f aca="false">Slot1_IsWG*W19+Slot2_IsWG*AH19+Slot3_IsWG*AR19+Slot4_IsWG*BB19+Slot5_IsWG*BL19+Slot6_IsWG*BV19+Slot7_IsWG*CF19+Slot8_IsWG*CP19+Slot9_IsWG*CZ19+Slot10_IsWG*DJ19+Slot11_IsWG*DT19+Slot12_IsWG*ED19+Slot13_IsWG*EN19+Slot14_IsWG*EX19+Slot15_IsWG*FH19+Slot16_IsWG*FR19+Slot17_IsWG*GB19+Slot18_IsWG*GL19+Slot19_IsWG*GV19+Slot20_IsWG*HF19</f>
        <v>0</v>
      </c>
      <c r="IC19" s="20" t="n">
        <f aca="false">IF(AND(WI_Retire=0,WI_M&gt;0,G19=1,IB19&gt;=1),WI_M*12*F19,0)</f>
        <v>0</v>
      </c>
      <c r="ID19" s="20" t="n">
        <f aca="false">IF(HU19=1,MIN(IA19,HS19),0)</f>
        <v>6650.98756170739</v>
      </c>
      <c r="IE19" s="20" t="n">
        <f aca="false">IF(HU19=1,MIN(IC19,HS19-ID19),0)</f>
        <v>0</v>
      </c>
      <c r="IF19" s="20" t="n">
        <f aca="false">IF(W19=1,IF(ABS((1+AS_Wage)/(1+Slot1_Rate)-1)&lt;0.000000000001,(Slot1_Age-D19)*(1+Slot1_Rate)^(Slot1_Age-D19),(1+Slot1_Rate)^(Slot1_Age-D19)*(1-((1+AS_Wage)/(1+Slot1_Rate))^(Slot1_Age-D19))/(1-(1+AS_Wage)/(1+Slot1_Rate))),1)</f>
        <v>1</v>
      </c>
      <c r="IG19" s="20" t="n">
        <f aca="false">IF(AND(HU19=1,IE19&gt;0,Slot1_IsWG=1,W19=1),MAX(0,(Slot1_Cost-X19*(1+Slot1_Rate)^(Slot1_Age-D19))/IF19),0)</f>
        <v>0</v>
      </c>
      <c r="IH19" s="20" t="n">
        <f aca="false">IF(AND(HU19=1,IE19&gt;0,Slot1_IsWG=1,W19=1),MIN(IE19,IG19),0)</f>
        <v>0</v>
      </c>
      <c r="II19" s="20" t="n">
        <f aca="false">X19+IH19</f>
        <v>0</v>
      </c>
      <c r="IJ19" s="20" t="n">
        <f aca="false">IF(W19=1,MAX(0,(Slot1_Cost-II19*(1+Slot1_Rate)^(Slot1_Age-D19))/IF19),0)</f>
        <v>0</v>
      </c>
      <c r="IK19" s="20" t="n">
        <f aca="false">IF(W19=1,MAX(0,(Slot1_Cost-X19*(1+Slot1_Rate)^(Slot1_Age-D19))/IF19),0)</f>
        <v>0</v>
      </c>
      <c r="IL19" s="20" t="n">
        <f aca="false">IF(AND(HU19=1,W19=1),MIN(ID19,IJ19),0)</f>
        <v>0</v>
      </c>
      <c r="IM19" s="20" t="n">
        <f aca="false">ID19-IL19</f>
        <v>6650.98756170739</v>
      </c>
      <c r="IN19" s="20" t="n">
        <f aca="false">IF(AH19=1,IF(ABS((1+AS_Wage)/(1+Slot2_Rate)-1)&lt;0.000000000001,(Slot2_Age-D19)*(1+Slot2_Rate)^(Slot2_Age-D19),(1+Slot2_Rate)^(Slot2_Age-D19)*(1-((1+AS_Wage)/(1+Slot2_Rate))^(Slot2_Age-D19))/(1-(1+AS_Wage)/(1+Slot2_Rate))),1)</f>
        <v>1</v>
      </c>
      <c r="IO19" s="20" t="n">
        <f aca="false">IF(AND(HU19=1,IE19&gt;0,Slot2_IsWG=1,AH19=1),MAX(0,(Slot2_Cost-AI19*(1+Slot2_Rate)^(Slot2_Age-D19))/IN19),0)</f>
        <v>0</v>
      </c>
      <c r="IP19" s="20" t="n">
        <f aca="false">IF(AND(HU19=1,IE19&gt;0,Slot2_IsWG=1,AH19=1),MIN(IE19,IO19),0)</f>
        <v>0</v>
      </c>
      <c r="IQ19" s="20" t="n">
        <f aca="false">AI19+IP19</f>
        <v>0</v>
      </c>
      <c r="IR19" s="20" t="n">
        <f aca="false">IF(AH19=1,MAX(0,(Slot2_Cost-IQ19*(1+Slot2_Rate)^(Slot2_Age-D19))/IN19),0)</f>
        <v>0</v>
      </c>
      <c r="IS19" s="20" t="n">
        <f aca="false">IF(AH19=1,MAX(0,(Slot2_Cost-AI19*(1+Slot2_Rate)^(Slot2_Age-D19))/IN19),0)</f>
        <v>0</v>
      </c>
      <c r="IT19" s="20" t="n">
        <f aca="false">IF(AND(HU19=1,AH19=1),MIN(IM19,IR19),0)</f>
        <v>0</v>
      </c>
      <c r="IU19" s="20" t="n">
        <f aca="false">IM19-IT19</f>
        <v>6650.98756170739</v>
      </c>
      <c r="IV19" s="20" t="n">
        <f aca="false">IF(AR19=1,IF(ABS((1+AS_Wage)/(1+Slot3_Rate)-1)&lt;0.000000000001,(Slot3_Age-D19)*(1+Slot3_Rate)^(Slot3_Age-D19),(1+Slot3_Rate)^(Slot3_Age-D19)*(1-((1+AS_Wage)/(1+Slot3_Rate))^(Slot3_Age-D19))/(1-(1+AS_Wage)/(1+Slot3_Rate))),1)</f>
        <v>1</v>
      </c>
      <c r="IW19" s="20" t="n">
        <f aca="false">IF(AND(HU19=1,IE19&gt;0,Slot3_IsWG=1,AR19=1),MAX(0,(Slot3_Cost-AS19*(1+Slot3_Rate)^(Slot3_Age-D19))/IV19),0)</f>
        <v>0</v>
      </c>
      <c r="IX19" s="20" t="n">
        <f aca="false">IF(AND(HU19=1,IE19&gt;0,Slot3_IsWG=1,AR19=1),MIN(IE19,IW19),0)</f>
        <v>0</v>
      </c>
      <c r="IY19" s="20" t="n">
        <f aca="false">AS19+IX19</f>
        <v>0</v>
      </c>
      <c r="IZ19" s="20" t="n">
        <f aca="false">IF(AR19=1,MAX(0,(Slot3_Cost-IY19*(1+Slot3_Rate)^(Slot3_Age-D19))/IV19),0)</f>
        <v>0</v>
      </c>
      <c r="JA19" s="20" t="n">
        <f aca="false">IF(AR19=1,MAX(0,(Slot3_Cost-AS19*(1+Slot3_Rate)^(Slot3_Age-D19))/IV19),0)</f>
        <v>0</v>
      </c>
      <c r="JB19" s="20" t="n">
        <f aca="false">IF(AND(HU19=1,AR19=1),MIN(IU19,IZ19),0)</f>
        <v>0</v>
      </c>
      <c r="JC19" s="20" t="n">
        <f aca="false">IU19-JB19</f>
        <v>6650.98756170739</v>
      </c>
      <c r="JD19" s="20" t="n">
        <f aca="false">IF(BB19=1,IF(ABS((1+AS_Wage)/(1+Slot4_Rate)-1)&lt;0.000000000001,(Slot4_Age-D19)*(1+Slot4_Rate)^(Slot4_Age-D19),(1+Slot4_Rate)^(Slot4_Age-D19)*(1-((1+AS_Wage)/(1+Slot4_Rate))^(Slot4_Age-D19))/(1-(1+AS_Wage)/(1+Slot4_Rate))),1)</f>
        <v>7.06756259985395</v>
      </c>
      <c r="JE19" s="20" t="n">
        <f aca="false">IF(AND(HU19=1,IE19&gt;0,Slot4_IsWG=1,BB19=1),MAX(0,(Slot4_Cost-BC19*(1+Slot4_Rate)^(Slot4_Age-D19))/JD19),0)</f>
        <v>0</v>
      </c>
      <c r="JF19" s="20" t="n">
        <f aca="false">IF(AND(HU19=1,IE19&gt;0,Slot4_IsWG=1,BB19=1),MIN(IE19,JE19),0)</f>
        <v>0</v>
      </c>
      <c r="JG19" s="20" t="n">
        <f aca="false">BC19+JF19</f>
        <v>4844.07663087158</v>
      </c>
      <c r="JH19" s="20" t="n">
        <f aca="false">IF(BB19=1,MAX(0,(Slot4_Cost-JG19*(1+Slot4_Rate)^(Slot4_Age-D19))/JD19),0)</f>
        <v>4862.96191988082</v>
      </c>
      <c r="JI19" s="20" t="n">
        <f aca="false">IF(BB19=1,MAX(0,(Slot4_Cost-BC19*(1+Slot4_Rate)^(Slot4_Age-D19))/JD19),0)</f>
        <v>4862.96191988082</v>
      </c>
      <c r="JJ19" s="20" t="n">
        <f aca="false">IF(AND(HU19=1,BB19=1),MIN(JC19,JH19),0)</f>
        <v>4862.96191988082</v>
      </c>
      <c r="JK19" s="20" t="n">
        <f aca="false">JC19-JJ19</f>
        <v>1788.02564182657</v>
      </c>
      <c r="JL19" s="20" t="n">
        <f aca="false">IF(BL19=1,IF(ABS((1+AS_Wage)/(1+Slot5_Rate)-1)&lt;0.000000000001,(Slot5_Age-D19)*(1+Slot5_Rate)^(Slot5_Age-D19),(1+Slot5_Rate)^(Slot5_Age-D19)*(1-((1+AS_Wage)/(1+Slot5_Rate))^(Slot5_Age-D19))/(1-(1+AS_Wage)/(1+Slot5_Rate))),1)</f>
        <v>1</v>
      </c>
      <c r="JM19" s="20" t="n">
        <f aca="false">IF(AND(HU19=1,IE19&gt;0,Slot5_IsWG=1,BL19=1),MAX(0,(Slot5_Cost-BM19*(1+Slot5_Rate)^(Slot5_Age-D19))/JL19),0)</f>
        <v>0</v>
      </c>
      <c r="JN19" s="20" t="n">
        <f aca="false">IF(AND(HU19=1,IE19&gt;0,Slot5_IsWG=1,BL19=1),MIN(IE19,JM19),0)</f>
        <v>0</v>
      </c>
      <c r="JO19" s="20" t="n">
        <f aca="false">BM19+JN19</f>
        <v>0</v>
      </c>
      <c r="JP19" s="20" t="n">
        <f aca="false">IF(BL19=1,MAX(0,(Slot5_Cost-JO19*(1+Slot5_Rate)^(Slot5_Age-D19))/JL19),0)</f>
        <v>0</v>
      </c>
      <c r="JQ19" s="20" t="n">
        <f aca="false">IF(BL19=1,MAX(0,(Slot5_Cost-BM19*(1+Slot5_Rate)^(Slot5_Age-D19))/JL19),0)</f>
        <v>0</v>
      </c>
      <c r="JR19" s="20" t="n">
        <f aca="false">IF(AND(HU19=1,BL19=1),MIN(JK19,JP19),0)</f>
        <v>0</v>
      </c>
      <c r="JS19" s="20" t="n">
        <f aca="false">JK19-JR19</f>
        <v>1788.02564182657</v>
      </c>
      <c r="JT19" s="20" t="n">
        <f aca="false">IF(BV19=1,IF(ABS((1+AS_Wage)/(1+Slot6_Rate)-1)&lt;0.000000000001,(Slot6_Age-D19)*(1+Slot6_Rate)^(Slot6_Age-D19),(1+Slot6_Rate)^(Slot6_Age-D19)*(1-((1+AS_Wage)/(1+Slot6_Rate))^(Slot6_Age-D19))/(1-(1+AS_Wage)/(1+Slot6_Rate))),1)</f>
        <v>1</v>
      </c>
      <c r="JU19" s="20" t="n">
        <f aca="false">IF(AND(HU19=1,IE19&gt;0,Slot6_IsWG=1,BV19=1),MAX(0,(Slot6_Cost-BW19*(1+Slot6_Rate)^(Slot6_Age-D19))/JT19),0)</f>
        <v>0</v>
      </c>
      <c r="JV19" s="20" t="n">
        <f aca="false">IF(AND(HU19=1,IE19&gt;0,Slot6_IsWG=1,BV19=1),MIN(IE19,JU19),0)</f>
        <v>0</v>
      </c>
      <c r="JW19" s="20" t="n">
        <f aca="false">BW19+JV19</f>
        <v>0</v>
      </c>
      <c r="JX19" s="20" t="n">
        <f aca="false">IF(BV19=1,MAX(0,(Slot6_Cost-JW19*(1+Slot6_Rate)^(Slot6_Age-D19))/JT19),0)</f>
        <v>0</v>
      </c>
      <c r="JY19" s="20" t="n">
        <f aca="false">IF(BV19=1,MAX(0,(Slot6_Cost-BW19*(1+Slot6_Rate)^(Slot6_Age-D19))/JT19),0)</f>
        <v>0</v>
      </c>
      <c r="JZ19" s="20" t="n">
        <f aca="false">IF(AND(HU19=1,BV19=1),MIN(JS19,JX19),0)</f>
        <v>0</v>
      </c>
      <c r="KA19" s="20" t="n">
        <f aca="false">JS19-JZ19</f>
        <v>1788.02564182657</v>
      </c>
      <c r="KB19" s="20" t="n">
        <f aca="false">IF(CF19=1,IF(ABS((1+AS_Wage)/(1+Slot7_Rate)-1)&lt;0.000000000001,(Slot7_Age-D19)*(1+Slot7_Rate)^(Slot7_Age-D19),(1+Slot7_Rate)^(Slot7_Age-D19)*(1-((1+AS_Wage)/(1+Slot7_Rate))^(Slot7_Age-D19))/(1-(1+AS_Wage)/(1+Slot7_Rate))),1)</f>
        <v>1</v>
      </c>
      <c r="KC19" s="20" t="n">
        <f aca="false">IF(AND(HU19=1,IE19&gt;0,Slot7_IsWG=1,CF19=1),MAX(0,(Slot7_Cost-CG19*(1+Slot7_Rate)^(Slot7_Age-D19))/KB19),0)</f>
        <v>0</v>
      </c>
      <c r="KD19" s="20" t="n">
        <f aca="false">IF(AND(HU19=1,IE19&gt;0,Slot7_IsWG=1,CF19=1),MIN(IE19,KC19),0)</f>
        <v>0</v>
      </c>
      <c r="KE19" s="20" t="n">
        <f aca="false">CG19+KD19</f>
        <v>0</v>
      </c>
      <c r="KF19" s="20" t="n">
        <f aca="false">IF(CF19=1,MAX(0,(Slot7_Cost-KE19*(1+Slot7_Rate)^(Slot7_Age-D19))/KB19),0)</f>
        <v>0</v>
      </c>
      <c r="KG19" s="20" t="n">
        <f aca="false">IF(CF19=1,MAX(0,(Slot7_Cost-CG19*(1+Slot7_Rate)^(Slot7_Age-D19))/KB19),0)</f>
        <v>0</v>
      </c>
      <c r="KH19" s="20" t="n">
        <f aca="false">IF(AND(HU19=1,CF19=1),MIN(KA19,KF19),0)</f>
        <v>0</v>
      </c>
      <c r="KI19" s="20" t="n">
        <f aca="false">KA19-KH19</f>
        <v>1788.02564182657</v>
      </c>
      <c r="KJ19" s="20" t="n">
        <f aca="false">IF(CP19=1,IF(ABS((1+AS_Wage)/(1+Slot8_Rate)-1)&lt;0.000000000001,(Slot8_Age-D19)*(1+Slot8_Rate)^(Slot8_Age-D19),(1+Slot8_Rate)^(Slot8_Age-D19)*(1-((1+AS_Wage)/(1+Slot8_Rate))^(Slot8_Age-D19))/(1-(1+AS_Wage)/(1+Slot8_Rate))),1)</f>
        <v>1</v>
      </c>
      <c r="KK19" s="20" t="n">
        <f aca="false">IF(AND(HU19=1,IE19&gt;0,Slot8_IsWG=1,CP19=1),MAX(0,(Slot8_Cost-CQ19*(1+Slot8_Rate)^(Slot8_Age-D19))/KJ19),0)</f>
        <v>0</v>
      </c>
      <c r="KL19" s="20" t="n">
        <f aca="false">IF(AND(HU19=1,IE19&gt;0,Slot8_IsWG=1,CP19=1),MIN(IE19,KK19),0)</f>
        <v>0</v>
      </c>
      <c r="KM19" s="20" t="n">
        <f aca="false">CQ19+KL19</f>
        <v>0</v>
      </c>
      <c r="KN19" s="20" t="n">
        <f aca="false">IF(CP19=1,MAX(0,(Slot8_Cost-KM19*(1+Slot8_Rate)^(Slot8_Age-D19))/KJ19),0)</f>
        <v>0</v>
      </c>
      <c r="KO19" s="20" t="n">
        <f aca="false">IF(CP19=1,MAX(0,(Slot8_Cost-CQ19*(1+Slot8_Rate)^(Slot8_Age-D19))/KJ19),0)</f>
        <v>0</v>
      </c>
      <c r="KP19" s="20" t="n">
        <f aca="false">IF(AND(HU19=1,CP19=1),MIN(KI19,KN19),0)</f>
        <v>0</v>
      </c>
      <c r="KQ19" s="20" t="n">
        <f aca="false">KI19-KP19</f>
        <v>1788.02564182657</v>
      </c>
      <c r="KR19" s="20" t="n">
        <f aca="false">IF(CZ19=1,IF(ABS((1+AS_Wage)/(1+Slot9_Rate)-1)&lt;0.000000000001,(Slot9_Age-D19)*(1+Slot9_Rate)^(Slot9_Age-D19),(1+Slot9_Rate)^(Slot9_Age-D19)*(1-((1+AS_Wage)/(1+Slot9_Rate))^(Slot9_Age-D19))/(1-(1+AS_Wage)/(1+Slot9_Rate))),1)</f>
        <v>1</v>
      </c>
      <c r="KS19" s="20" t="n">
        <f aca="false">IF(AND(HU19=1,IE19&gt;0,Slot9_IsWG=1,CZ19=1),MAX(0,(Slot9_Cost-DA19*(1+Slot9_Rate)^(Slot9_Age-D19))/KR19),0)</f>
        <v>0</v>
      </c>
      <c r="KT19" s="20" t="n">
        <f aca="false">IF(AND(HU19=1,IE19&gt;0,Slot9_IsWG=1,CZ19=1),MIN(IE19,KS19),0)</f>
        <v>0</v>
      </c>
      <c r="KU19" s="20" t="n">
        <f aca="false">DA19+KT19</f>
        <v>0</v>
      </c>
      <c r="KV19" s="20" t="n">
        <f aca="false">IF(CZ19=1,MAX(0,(Slot9_Cost-KU19*(1+Slot9_Rate)^(Slot9_Age-D19))/KR19),0)</f>
        <v>0</v>
      </c>
      <c r="KW19" s="20" t="n">
        <f aca="false">IF(CZ19=1,MAX(0,(Slot9_Cost-DA19*(1+Slot9_Rate)^(Slot9_Age-D19))/KR19),0)</f>
        <v>0</v>
      </c>
      <c r="KX19" s="20" t="n">
        <f aca="false">IF(AND(HU19=1,CZ19=1),MIN(KQ19,KV19),0)</f>
        <v>0</v>
      </c>
      <c r="KY19" s="20" t="n">
        <f aca="false">KQ19-KX19</f>
        <v>1788.02564182657</v>
      </c>
      <c r="KZ19" s="20" t="n">
        <f aca="false">IF(DJ19=1,IF(ABS((1+AS_Wage)/(1+Slot10_Rate)-1)&lt;0.000000000001,(Slot10_Age-D19)*(1+Slot10_Rate)^(Slot10_Age-D19),(1+Slot10_Rate)^(Slot10_Age-D19)*(1-((1+AS_Wage)/(1+Slot10_Rate))^(Slot10_Age-D19))/(1-(1+AS_Wage)/(1+Slot10_Rate))),1)</f>
        <v>1</v>
      </c>
      <c r="LA19" s="20" t="n">
        <f aca="false">IF(AND(HU19=1,IE19&gt;0,Slot10_IsWG=1,DJ19=1),MAX(0,(Slot10_Cost-DK19*(1+Slot10_Rate)^(Slot10_Age-D19))/KZ19),0)</f>
        <v>0</v>
      </c>
      <c r="LB19" s="20" t="n">
        <f aca="false">IF(AND(HU19=1,IE19&gt;0,Slot10_IsWG=1,DJ19=1),MIN(IE19,LA19),0)</f>
        <v>0</v>
      </c>
      <c r="LC19" s="20" t="n">
        <f aca="false">DK19+LB19</f>
        <v>0</v>
      </c>
      <c r="LD19" s="20" t="n">
        <f aca="false">IF(DJ19=1,MAX(0,(Slot10_Cost-LC19*(1+Slot10_Rate)^(Slot10_Age-D19))/KZ19),0)</f>
        <v>0</v>
      </c>
      <c r="LE19" s="20" t="n">
        <f aca="false">IF(DJ19=1,MAX(0,(Slot10_Cost-DK19*(1+Slot10_Rate)^(Slot10_Age-D19))/KZ19),0)</f>
        <v>0</v>
      </c>
      <c r="LF19" s="20" t="n">
        <f aca="false">IF(AND(HU19=1,DJ19=1),MIN(KY19,LD19),0)</f>
        <v>0</v>
      </c>
      <c r="LG19" s="20" t="n">
        <f aca="false">KY19-LF19</f>
        <v>1788.02564182657</v>
      </c>
      <c r="LH19" s="20" t="n">
        <f aca="false">IF(DT19=1,IF(ABS((1+AS_Wage)/(1+Slot11_Rate)-1)&lt;0.000000000001,(Slot11_Age-D19)*(1+Slot11_Rate)^(Slot11_Age-D19),(1+Slot11_Rate)^(Slot11_Age-D19)*(1-((1+AS_Wage)/(1+Slot11_Rate))^(Slot11_Age-D19))/(1-(1+AS_Wage)/(1+Slot11_Rate))),1)</f>
        <v>1</v>
      </c>
      <c r="LI19" s="20" t="n">
        <f aca="false">IF(AND(HU19=1,IE19&gt;0,Slot11_IsWG=1,DT19=1),MAX(0,(Slot11_Cost-DU19*(1+Slot11_Rate)^(Slot11_Age-D19))/LH19),0)</f>
        <v>0</v>
      </c>
      <c r="LJ19" s="20" t="n">
        <f aca="false">IF(AND(HU19=1,IE19&gt;0,Slot11_IsWG=1,DT19=1),MIN(IE19,LI19),0)</f>
        <v>0</v>
      </c>
      <c r="LK19" s="20" t="n">
        <f aca="false">DU19+LJ19</f>
        <v>0</v>
      </c>
      <c r="LL19" s="20" t="n">
        <f aca="false">IF(DT19=1,MAX(0,(Slot11_Cost-LK19*(1+Slot11_Rate)^(Slot11_Age-D19))/LH19),0)</f>
        <v>0</v>
      </c>
      <c r="LM19" s="20" t="n">
        <f aca="false">IF(DT19=1,MAX(0,(Slot11_Cost-DU19*(1+Slot11_Rate)^(Slot11_Age-D19))/LH19),0)</f>
        <v>0</v>
      </c>
      <c r="LN19" s="20" t="n">
        <f aca="false">IF(AND(HU19=1,DT19=1),MIN(LG19,LL19),0)</f>
        <v>0</v>
      </c>
      <c r="LO19" s="20" t="n">
        <f aca="false">LG19-LN19</f>
        <v>1788.02564182657</v>
      </c>
      <c r="LP19" s="20" t="n">
        <f aca="false">IF(ED19=1,IF(ABS((1+AS_Wage)/(1+Slot12_Rate)-1)&lt;0.000000000001,(Slot12_Age-D19)*(1+Slot12_Rate)^(Slot12_Age-D19),(1+Slot12_Rate)^(Slot12_Age-D19)*(1-((1+AS_Wage)/(1+Slot12_Rate))^(Slot12_Age-D19))/(1-(1+AS_Wage)/(1+Slot12_Rate))),1)</f>
        <v>1</v>
      </c>
      <c r="LQ19" s="20" t="n">
        <f aca="false">IF(AND(HU19=1,IE19&gt;0,Slot12_IsWG=1,ED19=1),MAX(0,(Slot12_Cost-EE19*(1+Slot12_Rate)^(Slot12_Age-D19))/LP19),0)</f>
        <v>0</v>
      </c>
      <c r="LR19" s="20" t="n">
        <f aca="false">IF(AND(HU19=1,IE19&gt;0,Slot12_IsWG=1,ED19=1),MIN(IE19,LQ19),0)</f>
        <v>0</v>
      </c>
      <c r="LS19" s="20" t="n">
        <f aca="false">EE19+LR19</f>
        <v>0</v>
      </c>
      <c r="LT19" s="20" t="n">
        <f aca="false">IF(ED19=1,MAX(0,(Slot12_Cost-LS19*(1+Slot12_Rate)^(Slot12_Age-D19))/LP19),0)</f>
        <v>0</v>
      </c>
      <c r="LU19" s="20" t="n">
        <f aca="false">IF(ED19=1,MAX(0,(Slot12_Cost-EE19*(1+Slot12_Rate)^(Slot12_Age-D19))/LP19),0)</f>
        <v>0</v>
      </c>
      <c r="LV19" s="20" t="n">
        <f aca="false">IF(AND(HU19=1,ED19=1),MIN(LO19,LT19),0)</f>
        <v>0</v>
      </c>
      <c r="LW19" s="20" t="n">
        <f aca="false">LO19-LV19</f>
        <v>1788.02564182657</v>
      </c>
      <c r="LX19" s="20" t="n">
        <f aca="false">IF(EN19=1,IF(ABS((1+AS_Wage)/(1+Slot13_Rate)-1)&lt;0.000000000001,(Slot13_Age-D19)*(1+Slot13_Rate)^(Slot13_Age-D19),(1+Slot13_Rate)^(Slot13_Age-D19)*(1-((1+AS_Wage)/(1+Slot13_Rate))^(Slot13_Age-D19))/(1-(1+AS_Wage)/(1+Slot13_Rate))),1)</f>
        <v>1</v>
      </c>
      <c r="LY19" s="20" t="n">
        <f aca="false">IF(AND(HU19=1,IE19&gt;0,Slot13_IsWG=1,EN19=1),MAX(0,(Slot13_Cost-EO19*(1+Slot13_Rate)^(Slot13_Age-D19))/LX19),0)</f>
        <v>0</v>
      </c>
      <c r="LZ19" s="20" t="n">
        <f aca="false">IF(AND(HU19=1,IE19&gt;0,Slot13_IsWG=1,EN19=1),MIN(IE19,LY19),0)</f>
        <v>0</v>
      </c>
      <c r="MA19" s="20" t="n">
        <f aca="false">EO19+LZ19</f>
        <v>0</v>
      </c>
      <c r="MB19" s="20" t="n">
        <f aca="false">IF(EN19=1,MAX(0,(Slot13_Cost-MA19*(1+Slot13_Rate)^(Slot13_Age-D19))/LX19),0)</f>
        <v>0</v>
      </c>
      <c r="MC19" s="20" t="n">
        <f aca="false">IF(EN19=1,MAX(0,(Slot13_Cost-EO19*(1+Slot13_Rate)^(Slot13_Age-D19))/LX19),0)</f>
        <v>0</v>
      </c>
      <c r="MD19" s="20" t="n">
        <f aca="false">IF(AND(HU19=1,EN19=1),MIN(LW19,MB19),0)</f>
        <v>0</v>
      </c>
      <c r="ME19" s="20" t="n">
        <f aca="false">LW19-MD19</f>
        <v>1788.02564182657</v>
      </c>
      <c r="MF19" s="20" t="n">
        <f aca="false">IF(EX19=1,IF(ABS((1+AS_Wage)/(1+Slot14_Rate)-1)&lt;0.000000000001,(Slot14_Age-D19)*(1+Slot14_Rate)^(Slot14_Age-D19),(1+Slot14_Rate)^(Slot14_Age-D19)*(1-((1+AS_Wage)/(1+Slot14_Rate))^(Slot14_Age-D19))/(1-(1+AS_Wage)/(1+Slot14_Rate))),1)</f>
        <v>1</v>
      </c>
      <c r="MG19" s="20" t="n">
        <f aca="false">IF(AND(HU19=1,IE19&gt;0,Slot14_IsWG=1,EX19=1),MAX(0,(Slot14_Cost-EY19*(1+Slot14_Rate)^(Slot14_Age-D19))/MF19),0)</f>
        <v>0</v>
      </c>
      <c r="MH19" s="20" t="n">
        <f aca="false">IF(AND(HU19=1,IE19&gt;0,Slot14_IsWG=1,EX19=1),MIN(IE19,MG19),0)</f>
        <v>0</v>
      </c>
      <c r="MI19" s="20" t="n">
        <f aca="false">EY19+MH19</f>
        <v>0</v>
      </c>
      <c r="MJ19" s="20" t="n">
        <f aca="false">IF(EX19=1,MAX(0,(Slot14_Cost-MI19*(1+Slot14_Rate)^(Slot14_Age-D19))/MF19),0)</f>
        <v>0</v>
      </c>
      <c r="MK19" s="20" t="n">
        <f aca="false">IF(EX19=1,MAX(0,(Slot14_Cost-EY19*(1+Slot14_Rate)^(Slot14_Age-D19))/MF19),0)</f>
        <v>0</v>
      </c>
      <c r="ML19" s="20" t="n">
        <f aca="false">IF(AND(HU19=1,EX19=1),MIN(ME19,MJ19),0)</f>
        <v>0</v>
      </c>
      <c r="MM19" s="20" t="n">
        <f aca="false">ME19-ML19</f>
        <v>1788.02564182657</v>
      </c>
      <c r="MN19" s="20" t="n">
        <f aca="false">IF(FH19=1,IF(ABS((1+AS_Wage)/(1+Slot15_Rate)-1)&lt;0.000000000001,(Slot15_Age-D19)*(1+Slot15_Rate)^(Slot15_Age-D19),(1+Slot15_Rate)^(Slot15_Age-D19)*(1-((1+AS_Wage)/(1+Slot15_Rate))^(Slot15_Age-D19))/(1-(1+AS_Wage)/(1+Slot15_Rate))),1)</f>
        <v>1</v>
      </c>
      <c r="MO19" s="20" t="n">
        <f aca="false">IF(AND(HU19=1,IE19&gt;0,Slot15_IsWG=1,FH19=1),MAX(0,(Slot15_Cost-FI19*(1+Slot15_Rate)^(Slot15_Age-D19))/MN19),0)</f>
        <v>0</v>
      </c>
      <c r="MP19" s="20" t="n">
        <f aca="false">IF(AND(HU19=1,IE19&gt;0,Slot15_IsWG=1,FH19=1),MIN(IE19,MO19),0)</f>
        <v>0</v>
      </c>
      <c r="MQ19" s="20" t="n">
        <f aca="false">FI19+MP19</f>
        <v>0</v>
      </c>
      <c r="MR19" s="20" t="n">
        <f aca="false">IF(FH19=1,MAX(0,(Slot15_Cost-MQ19*(1+Slot15_Rate)^(Slot15_Age-D19))/MN19),0)</f>
        <v>0</v>
      </c>
      <c r="MS19" s="20" t="n">
        <f aca="false">IF(FH19=1,MAX(0,(Slot15_Cost-FI19*(1+Slot15_Rate)^(Slot15_Age-D19))/MN19),0)</f>
        <v>0</v>
      </c>
      <c r="MT19" s="20" t="n">
        <f aca="false">IF(AND(HU19=1,FH19=1),MIN(MM19,MR19),0)</f>
        <v>0</v>
      </c>
      <c r="MU19" s="20" t="n">
        <f aca="false">MM19-MT19</f>
        <v>1788.02564182657</v>
      </c>
      <c r="MV19" s="20" t="n">
        <f aca="false">IF(FR19=1,IF(ABS((1+AS_Wage)/(1+Slot16_Rate)-1)&lt;0.000000000001,(Slot16_Age-D19)*(1+Slot16_Rate)^(Slot16_Age-D19),(1+Slot16_Rate)^(Slot16_Age-D19)*(1-((1+AS_Wage)/(1+Slot16_Rate))^(Slot16_Age-D19))/(1-(1+AS_Wage)/(1+Slot16_Rate))),1)</f>
        <v>1</v>
      </c>
      <c r="MW19" s="20" t="n">
        <f aca="false">IF(AND(HU19=1,IE19&gt;0,Slot16_IsWG=1,FR19=1),MAX(0,(Slot16_Cost-FS19*(1+Slot16_Rate)^(Slot16_Age-D19))/MV19),0)</f>
        <v>0</v>
      </c>
      <c r="MX19" s="20" t="n">
        <f aca="false">IF(AND(HU19=1,IE19&gt;0,Slot16_IsWG=1,FR19=1),MIN(IE19,MW19),0)</f>
        <v>0</v>
      </c>
      <c r="MY19" s="20" t="n">
        <f aca="false">FS19+MX19</f>
        <v>0</v>
      </c>
      <c r="MZ19" s="20" t="n">
        <f aca="false">IF(FR19=1,MAX(0,(Slot16_Cost-MY19*(1+Slot16_Rate)^(Slot16_Age-D19))/MV19),0)</f>
        <v>0</v>
      </c>
      <c r="NA19" s="20" t="n">
        <f aca="false">IF(FR19=1,MAX(0,(Slot16_Cost-FS19*(1+Slot16_Rate)^(Slot16_Age-D19))/MV19),0)</f>
        <v>0</v>
      </c>
      <c r="NB19" s="20" t="n">
        <f aca="false">IF(AND(HU19=1,FR19=1),MIN(MU19,MZ19),0)</f>
        <v>0</v>
      </c>
      <c r="NC19" s="20" t="n">
        <f aca="false">MU19-NB19</f>
        <v>1788.02564182657</v>
      </c>
      <c r="ND19" s="20" t="n">
        <f aca="false">IF(GB19=1,IF(ABS((1+AS_Wage)/(1+Slot17_Rate)-1)&lt;0.000000000001,(Slot17_Age-D19)*(1+Slot17_Rate)^(Slot17_Age-D19),(1+Slot17_Rate)^(Slot17_Age-D19)*(1-((1+AS_Wage)/(1+Slot17_Rate))^(Slot17_Age-D19))/(1-(1+AS_Wage)/(1+Slot17_Rate))),1)</f>
        <v>1</v>
      </c>
      <c r="NE19" s="20" t="n">
        <f aca="false">IF(AND(HU19=1,IE19&gt;0,Slot17_IsWG=1,GB19=1),MAX(0,(Slot17_Cost-GC19*(1+Slot17_Rate)^(Slot17_Age-D19))/ND19),0)</f>
        <v>0</v>
      </c>
      <c r="NF19" s="20" t="n">
        <f aca="false">IF(AND(HU19=1,IE19&gt;0,Slot17_IsWG=1,GB19=1),MIN(IE19,NE19),0)</f>
        <v>0</v>
      </c>
      <c r="NG19" s="20" t="n">
        <f aca="false">GC19+NF19</f>
        <v>0</v>
      </c>
      <c r="NH19" s="20" t="n">
        <f aca="false">IF(GB19=1,MAX(0,(Slot17_Cost-NG19*(1+Slot17_Rate)^(Slot17_Age-D19))/ND19),0)</f>
        <v>0</v>
      </c>
      <c r="NI19" s="20" t="n">
        <f aca="false">IF(GB19=1,MAX(0,(Slot17_Cost-GC19*(1+Slot17_Rate)^(Slot17_Age-D19))/ND19),0)</f>
        <v>0</v>
      </c>
      <c r="NJ19" s="20" t="n">
        <f aca="false">IF(AND(HU19=1,GB19=1),MIN(NC19,NH19),0)</f>
        <v>0</v>
      </c>
      <c r="NK19" s="20" t="n">
        <f aca="false">NC19-NJ19</f>
        <v>1788.02564182657</v>
      </c>
      <c r="NL19" s="20" t="n">
        <f aca="false">IF(GL19=1,IF(ABS((1+AS_Wage)/(1+Slot18_Rate)-1)&lt;0.000000000001,(Slot18_Age-D19)*(1+Slot18_Rate)^(Slot18_Age-D19),(1+Slot18_Rate)^(Slot18_Age-D19)*(1-((1+AS_Wage)/(1+Slot18_Rate))^(Slot18_Age-D19))/(1-(1+AS_Wage)/(1+Slot18_Rate))),1)</f>
        <v>1</v>
      </c>
      <c r="NM19" s="20" t="n">
        <f aca="false">IF(AND(HU19=1,IE19&gt;0,Slot18_IsWG=1,GL19=1),MAX(0,(Slot18_Cost-GM19*(1+Slot18_Rate)^(Slot18_Age-D19))/NL19),0)</f>
        <v>0</v>
      </c>
      <c r="NN19" s="20" t="n">
        <f aca="false">IF(AND(HU19=1,IE19&gt;0,Slot18_IsWG=1,GL19=1),MIN(IE19,NM19),0)</f>
        <v>0</v>
      </c>
      <c r="NO19" s="20" t="n">
        <f aca="false">GM19+NN19</f>
        <v>0</v>
      </c>
      <c r="NP19" s="20" t="n">
        <f aca="false">IF(GL19=1,MAX(0,(Slot18_Cost-NO19*(1+Slot18_Rate)^(Slot18_Age-D19))/NL19),0)</f>
        <v>0</v>
      </c>
      <c r="NQ19" s="20" t="n">
        <f aca="false">IF(GL19=1,MAX(0,(Slot18_Cost-GM19*(1+Slot18_Rate)^(Slot18_Age-D19))/NL19),0)</f>
        <v>0</v>
      </c>
      <c r="NR19" s="20" t="n">
        <f aca="false">IF(AND(HU19=1,GL19=1),MIN(NK19,NP19),0)</f>
        <v>0</v>
      </c>
      <c r="NS19" s="20" t="n">
        <f aca="false">NK19-NR19</f>
        <v>1788.02564182657</v>
      </c>
      <c r="NT19" s="20" t="n">
        <f aca="false">IF(GV19=1,IF(ABS((1+AS_Wage)/(1+Slot19_Rate)-1)&lt;0.000000000001,(Slot19_Age-D19)*(1+Slot19_Rate)^(Slot19_Age-D19),(1+Slot19_Rate)^(Slot19_Age-D19)*(1-((1+AS_Wage)/(1+Slot19_Rate))^(Slot19_Age-D19))/(1-(1+AS_Wage)/(1+Slot19_Rate))),1)</f>
        <v>1</v>
      </c>
      <c r="NU19" s="20" t="n">
        <f aca="false">IF(AND(HU19=1,IE19&gt;0,Slot19_IsWG=1,GV19=1),MAX(0,(Slot19_Cost-GW19*(1+Slot19_Rate)^(Slot19_Age-D19))/NT19),0)</f>
        <v>0</v>
      </c>
      <c r="NV19" s="20" t="n">
        <f aca="false">IF(AND(HU19=1,IE19&gt;0,Slot19_IsWG=1,GV19=1),MIN(IE19,NU19),0)</f>
        <v>0</v>
      </c>
      <c r="NW19" s="20" t="n">
        <f aca="false">GW19+NV19</f>
        <v>0</v>
      </c>
      <c r="NX19" s="20" t="n">
        <f aca="false">IF(GV19=1,MAX(0,(Slot19_Cost-NW19*(1+Slot19_Rate)^(Slot19_Age-D19))/NT19),0)</f>
        <v>0</v>
      </c>
      <c r="NY19" s="20" t="n">
        <f aca="false">IF(GV19=1,MAX(0,(Slot19_Cost-GW19*(1+Slot19_Rate)^(Slot19_Age-D19))/NT19),0)</f>
        <v>0</v>
      </c>
      <c r="NZ19" s="20" t="n">
        <f aca="false">IF(AND(HU19=1,GV19=1),MIN(NS19,NX19),0)</f>
        <v>0</v>
      </c>
      <c r="OA19" s="20" t="n">
        <f aca="false">NS19-NZ19</f>
        <v>1788.02564182657</v>
      </c>
      <c r="OB19" s="20" t="n">
        <f aca="false">IF(HF19=1,IF(ABS((1+AS_Wage)/(1+Slot20_Rate)-1)&lt;0.000000000001,(Slot20_Age-D19)*(1+Slot20_Rate)^(Slot20_Age-D19),(1+Slot20_Rate)^(Slot20_Age-D19)*(1-((1+AS_Wage)/(1+Slot20_Rate))^(Slot20_Age-D19))/(1-(1+AS_Wage)/(1+Slot20_Rate))),1)</f>
        <v>1</v>
      </c>
      <c r="OC19" s="20" t="n">
        <f aca="false">IF(AND(HU19=1,IE19&gt;0,Slot20_IsWG=1,HF19=1),MAX(0,(Slot20_Cost-HG19*(1+Slot20_Rate)^(Slot20_Age-D19))/OB19),0)</f>
        <v>0</v>
      </c>
      <c r="OD19" s="20" t="n">
        <f aca="false">IF(AND(HU19=1,IE19&gt;0,Slot20_IsWG=1,HF19=1),MIN(IE19,OC19),0)</f>
        <v>0</v>
      </c>
      <c r="OE19" s="20" t="n">
        <f aca="false">HG19+OD19</f>
        <v>0</v>
      </c>
      <c r="OF19" s="20" t="n">
        <f aca="false">IF(HF19=1,MAX(0,(Slot20_Cost-OE19*(1+Slot20_Rate)^(Slot20_Age-D19))/OB19),0)</f>
        <v>0</v>
      </c>
      <c r="OG19" s="20" t="n">
        <f aca="false">IF(HF19=1,MAX(0,(Slot20_Cost-HG19*(1+Slot20_Rate)^(Slot20_Age-D19))/OB19),0)</f>
        <v>0</v>
      </c>
      <c r="OH19" s="20" t="n">
        <f aca="false">IF(AND(HU19=1,HF19=1),MIN(OA19,OF19),0)</f>
        <v>0</v>
      </c>
      <c r="OI19" s="20" t="n">
        <f aca="false">OA19-OH19</f>
        <v>1788.02564182657</v>
      </c>
      <c r="OJ19" s="20" t="n">
        <f aca="false">IE19-(IH19+IP19+IX19+JF19+JN19+JV19+KD19+KL19+KT19+LB19+LJ19+LR19+LZ19+MH19+MP19+MX19+NF19+NN19+NV19+OD19)</f>
        <v>0</v>
      </c>
      <c r="OK19" s="20" t="n">
        <f aca="false">IF(HU19=1,HS19-ID19-IE19,0)</f>
        <v>6650.98756170739</v>
      </c>
      <c r="OL19" s="20" t="n">
        <f aca="false">IF(HU19=0,-HS19,0)</f>
        <v>0</v>
      </c>
      <c r="OM19" s="20" t="n">
        <f aca="false">MIN(OL19,HK19)</f>
        <v>0</v>
      </c>
      <c r="ON19" s="20" t="n">
        <f aca="false">OL19-OM19</f>
        <v>0</v>
      </c>
      <c r="OO19" s="20" t="n">
        <f aca="false">MIN(ON19,HL19)</f>
        <v>0</v>
      </c>
      <c r="OP19" s="20" t="n">
        <f aca="false">ON19-OO19</f>
        <v>0</v>
      </c>
      <c r="OQ19" s="20" t="n">
        <f aca="false">IF(AND(HU19=0,HF19=1,OP19&gt;0),MIN(OP19,HG19),0)</f>
        <v>0</v>
      </c>
      <c r="OR19" s="20" t="n">
        <f aca="false">OP19-OQ19</f>
        <v>0</v>
      </c>
      <c r="OS19" s="20" t="n">
        <f aca="false">IF(AND(HU19=0,GV19=1,OR19&gt;0),MIN(OR19,GW19),0)</f>
        <v>0</v>
      </c>
      <c r="OT19" s="20" t="n">
        <f aca="false">OR19-OS19</f>
        <v>0</v>
      </c>
      <c r="OU19" s="20" t="n">
        <f aca="false">IF(AND(HU19=0,GL19=1,OT19&gt;0),MIN(OT19,GM19),0)</f>
        <v>0</v>
      </c>
      <c r="OV19" s="20" t="n">
        <f aca="false">OT19-OU19</f>
        <v>0</v>
      </c>
      <c r="OW19" s="20" t="n">
        <f aca="false">IF(AND(HU19=0,GB19=1,OV19&gt;0),MIN(OV19,GC19),0)</f>
        <v>0</v>
      </c>
      <c r="OX19" s="20" t="n">
        <f aca="false">OV19-OW19</f>
        <v>0</v>
      </c>
      <c r="OY19" s="20" t="n">
        <f aca="false">IF(AND(HU19=0,FR19=1,OX19&gt;0),MIN(OX19,FS19),0)</f>
        <v>0</v>
      </c>
      <c r="OZ19" s="20" t="n">
        <f aca="false">OX19-OY19</f>
        <v>0</v>
      </c>
      <c r="PA19" s="20" t="n">
        <f aca="false">IF(AND(HU19=0,FH19=1,OZ19&gt;0),MIN(OZ19,FI19),0)</f>
        <v>0</v>
      </c>
      <c r="PB19" s="20" t="n">
        <f aca="false">OZ19-PA19</f>
        <v>0</v>
      </c>
      <c r="PC19" s="20" t="n">
        <f aca="false">IF(AND(HU19=0,EX19=1,PB19&gt;0),MIN(PB19,EY19),0)</f>
        <v>0</v>
      </c>
      <c r="PD19" s="20" t="n">
        <f aca="false">PB19-PC19</f>
        <v>0</v>
      </c>
      <c r="PE19" s="20" t="n">
        <f aca="false">IF(AND(HU19=0,EN19=1,PD19&gt;0),MIN(PD19,EO19),0)</f>
        <v>0</v>
      </c>
      <c r="PF19" s="20" t="n">
        <f aca="false">PD19-PE19</f>
        <v>0</v>
      </c>
      <c r="PG19" s="20" t="n">
        <f aca="false">IF(AND(HU19=0,ED19=1,PF19&gt;0),MIN(PF19,EE19),0)</f>
        <v>0</v>
      </c>
      <c r="PH19" s="20" t="n">
        <f aca="false">PF19-PG19</f>
        <v>0</v>
      </c>
      <c r="PI19" s="20" t="n">
        <f aca="false">IF(AND(HU19=0,DT19=1,PH19&gt;0),MIN(PH19,DU19),0)</f>
        <v>0</v>
      </c>
      <c r="PJ19" s="20" t="n">
        <f aca="false">PH19-PI19</f>
        <v>0</v>
      </c>
      <c r="PK19" s="20" t="n">
        <f aca="false">IF(AND(HU19=0,DJ19=1,PJ19&gt;0),MIN(PJ19,DK19),0)</f>
        <v>0</v>
      </c>
      <c r="PL19" s="20" t="n">
        <f aca="false">PJ19-PK19</f>
        <v>0</v>
      </c>
      <c r="PM19" s="20" t="n">
        <f aca="false">IF(AND(HU19=0,CZ19=1,PL19&gt;0),MIN(PL19,DA19),0)</f>
        <v>0</v>
      </c>
      <c r="PN19" s="20" t="n">
        <f aca="false">PL19-PM19</f>
        <v>0</v>
      </c>
      <c r="PO19" s="20" t="n">
        <f aca="false">IF(AND(HU19=0,CP19=1,PN19&gt;0),MIN(PN19,CQ19),0)</f>
        <v>0</v>
      </c>
      <c r="PP19" s="20" t="n">
        <f aca="false">PN19-PO19</f>
        <v>0</v>
      </c>
      <c r="PQ19" s="20" t="n">
        <f aca="false">IF(AND(HU19=0,CF19=1,PP19&gt;0),MIN(PP19,CG19),0)</f>
        <v>0</v>
      </c>
      <c r="PR19" s="20" t="n">
        <f aca="false">PP19-PQ19</f>
        <v>0</v>
      </c>
      <c r="PS19" s="20" t="n">
        <f aca="false">IF(AND(HU19=0,BV19=1,PR19&gt;0),MIN(PR19,BW19),0)</f>
        <v>0</v>
      </c>
      <c r="PT19" s="20" t="n">
        <f aca="false">PR19-PS19</f>
        <v>0</v>
      </c>
      <c r="PU19" s="20" t="n">
        <f aca="false">IF(AND(HU19=0,BL19=1,PT19&gt;0),MIN(PT19,BM19),0)</f>
        <v>0</v>
      </c>
      <c r="PV19" s="20" t="n">
        <f aca="false">PT19-PU19</f>
        <v>0</v>
      </c>
      <c r="PW19" s="20" t="n">
        <f aca="false">IF(AND(HU19=0,BB19=1,PV19&gt;0),MIN(PV19,BC19),0)</f>
        <v>0</v>
      </c>
      <c r="PX19" s="20" t="n">
        <f aca="false">PV19-PW19</f>
        <v>0</v>
      </c>
      <c r="PY19" s="20" t="n">
        <f aca="false">IF(AND(HU19=0,AR19=1,PX19&gt;0),MIN(PX19,AS19),0)</f>
        <v>0</v>
      </c>
      <c r="PZ19" s="20" t="n">
        <f aca="false">PX19-PY19</f>
        <v>0</v>
      </c>
      <c r="QA19" s="20" t="n">
        <f aca="false">IF(AND(HU19=0,AH19=1,PZ19&gt;0),MIN(PZ19,AI19),0)</f>
        <v>0</v>
      </c>
      <c r="QB19" s="20" t="n">
        <f aca="false">PZ19-QA19</f>
        <v>0</v>
      </c>
      <c r="QC19" s="20" t="n">
        <f aca="false">IF(AND(HU19=0,W19=1,QB19&gt;0),MIN(QB19,X19),0)</f>
        <v>0</v>
      </c>
      <c r="QD19" s="20" t="n">
        <f aca="false">QB19-QC19</f>
        <v>0</v>
      </c>
      <c r="QE19" s="20" t="n">
        <f aca="false">IF(HU19=0,QD19,0)</f>
        <v>0</v>
      </c>
      <c r="QF19" s="20" t="n">
        <f aca="false">OM19+OO19+QC19+QA19+PY19+PW19+PU19+PS19+PQ19+PO19+PM19+PK19+PI19+PG19+PE19+PC19+PA19+OY19+OW19+OU19+OS19+OQ19</f>
        <v>0</v>
      </c>
      <c r="QG19" s="20" t="n">
        <f aca="false">IF(HU19=1,HK19+OJ19+OI19+IF(G19=1,0,OK19),HK19-OM19)</f>
        <v>3177.13169628265</v>
      </c>
      <c r="QH19" s="20" t="n">
        <f aca="false">HL19-OO19</f>
        <v>17068.0523655121</v>
      </c>
      <c r="QI19" s="20" t="n">
        <f aca="false">IF(HU19=1,IF(G19=1,ID19+IE19,HS19),0)</f>
        <v>6650.98756170739</v>
      </c>
      <c r="QJ19" s="20" t="n">
        <f aca="false">IF(HU19=1,IF(G19=1,HS19-ID19-IE19,0),0)</f>
        <v>6650.98756170739</v>
      </c>
      <c r="QK19" s="20" t="n">
        <f aca="false">QG19*(1+GR)</f>
        <v>3229.23665610169</v>
      </c>
      <c r="QL19" s="20" t="n">
        <f aca="false">QH19*(1+AS_Cash)</f>
        <v>17238.7328891673</v>
      </c>
      <c r="QM19" s="20" t="n">
        <f aca="false">IF(W19=1,IF(HU19=1,II19+IL19,X19-QC19)*(1+Slot1_Rate),0)</f>
        <v>0</v>
      </c>
      <c r="QN19" s="20" t="n">
        <f aca="false">IF(AND(HU19=1,W19=1),(IH19+IL19)/F19,0)</f>
        <v>0</v>
      </c>
      <c r="QO19" s="20" t="n">
        <f aca="false">IF(B19=0,IH19+IL19,0)</f>
        <v>0</v>
      </c>
      <c r="QP19" s="20" t="n">
        <f aca="false">IF(B19=0,IF(HU19=1,IJ19,IK19),0)</f>
        <v>0</v>
      </c>
      <c r="QQ19" s="20" t="n">
        <f aca="false">IF(AH19=1,IF(HU19=1,IQ19+IT19,AI19-QA19)*(1+Slot2_Rate),0)</f>
        <v>0</v>
      </c>
      <c r="QR19" s="20" t="n">
        <f aca="false">IF(AND(HU19=1,AH19=1),(IP19+IT19)/F19,0)</f>
        <v>0</v>
      </c>
      <c r="QS19" s="20" t="n">
        <f aca="false">IF(B19=0,IP19+IT19,0)</f>
        <v>0</v>
      </c>
      <c r="QT19" s="20" t="n">
        <f aca="false">IF(B19=0,IF(HU19=1,IR19,IS19),0)</f>
        <v>0</v>
      </c>
      <c r="QU19" s="20" t="n">
        <f aca="false">IF(AR19=1,IF(HU19=1,IY19+JB19,AS19-PY19)*(1+Slot3_Rate),0)</f>
        <v>0</v>
      </c>
      <c r="QV19" s="20" t="n">
        <f aca="false">IF(AND(HU19=1,AR19=1),(IX19+JB19)/F19,0)</f>
        <v>0</v>
      </c>
      <c r="QW19" s="20" t="n">
        <f aca="false">IF(B19=0,IX19+JB19,0)</f>
        <v>0</v>
      </c>
      <c r="QX19" s="20" t="n">
        <f aca="false">IF(B19=0,IF(HU19=1,IZ19,JA19),0)</f>
        <v>0</v>
      </c>
      <c r="QY19" s="20" t="n">
        <f aca="false">IF(BB19=1,IF(HU19=1,JG19+JJ19,BC19-PW19)*(1+Slot4_Rate),0)</f>
        <v>9959.42155307197</v>
      </c>
      <c r="QZ19" s="20" t="n">
        <f aca="false">IF(AND(HU19=1,BB19=1),(JF19+JJ19)/F19,0)</f>
        <v>3911.10053267829</v>
      </c>
      <c r="RA19" s="20" t="n">
        <f aca="false">IF(B19=0,JF19+JJ19,0)</f>
        <v>0</v>
      </c>
      <c r="RB19" s="20" t="n">
        <f aca="false">IF(B19=0,IF(HU19=1,JH19,JI19),0)</f>
        <v>0</v>
      </c>
      <c r="RC19" s="20" t="n">
        <f aca="false">IF(BL19=1,IF(HU19=1,JO19+JR19,BM19-PU19)*(1+Slot5_Rate),0)</f>
        <v>0</v>
      </c>
      <c r="RD19" s="20" t="n">
        <f aca="false">IF(AND(HU19=1,BL19=1),(JN19+JR19)/F19,0)</f>
        <v>0</v>
      </c>
      <c r="RE19" s="20" t="n">
        <f aca="false">IF(B19=0,JN19+JR19,0)</f>
        <v>0</v>
      </c>
      <c r="RF19" s="20" t="n">
        <f aca="false">IF(B19=0,IF(HU19=1,JP19,JQ19),0)</f>
        <v>0</v>
      </c>
      <c r="RG19" s="20" t="n">
        <f aca="false">IF(BV19=1,IF(HU19=1,JW19+JZ19,BW19-PS19)*(1+Slot6_Rate),0)</f>
        <v>0</v>
      </c>
      <c r="RH19" s="20" t="n">
        <f aca="false">IF(AND(HU19=1,BV19=1),(JV19+JZ19)/F19,0)</f>
        <v>0</v>
      </c>
      <c r="RI19" s="20" t="n">
        <f aca="false">IF(B19=0,JV19+JZ19,0)</f>
        <v>0</v>
      </c>
      <c r="RJ19" s="20" t="n">
        <f aca="false">IF(B19=0,IF(HU19=1,JX19,JY19),0)</f>
        <v>0</v>
      </c>
      <c r="RK19" s="20" t="n">
        <f aca="false">IF(CF19=1,IF(HU19=1,KE19+KH19,CG19-PQ19)*(1+Slot7_Rate),0)</f>
        <v>0</v>
      </c>
      <c r="RL19" s="20" t="n">
        <f aca="false">IF(AND(HU19=1,CF19=1),(KD19+KH19)/F19,0)</f>
        <v>0</v>
      </c>
      <c r="RM19" s="20" t="n">
        <f aca="false">IF(B19=0,KD19+KH19,0)</f>
        <v>0</v>
      </c>
      <c r="RN19" s="20" t="n">
        <f aca="false">IF(B19=0,IF(HU19=1,KF19,KG19),0)</f>
        <v>0</v>
      </c>
      <c r="RO19" s="20" t="n">
        <f aca="false">IF(CP19=1,IF(HU19=1,KM19+KP19,CQ19-PO19)*(1+Slot8_Rate),0)</f>
        <v>0</v>
      </c>
      <c r="RP19" s="20" t="n">
        <f aca="false">IF(AND(HU19=1,CP19=1),(KL19+KP19)/F19,0)</f>
        <v>0</v>
      </c>
      <c r="RQ19" s="20" t="n">
        <f aca="false">IF(B19=0,KL19+KP19,0)</f>
        <v>0</v>
      </c>
      <c r="RR19" s="20" t="n">
        <f aca="false">IF(B19=0,IF(HU19=1,KN19,KO19),0)</f>
        <v>0</v>
      </c>
      <c r="RS19" s="20" t="n">
        <f aca="false">IF(CZ19=1,IF(HU19=1,KU19+KX19,DA19-PM19)*(1+Slot9_Rate),0)</f>
        <v>0</v>
      </c>
      <c r="RT19" s="20" t="n">
        <f aca="false">IF(AND(HU19=1,CZ19=1),(KT19+KX19)/F19,0)</f>
        <v>0</v>
      </c>
      <c r="RU19" s="20" t="n">
        <f aca="false">IF(B19=0,KT19+KX19,0)</f>
        <v>0</v>
      </c>
      <c r="RV19" s="20" t="n">
        <f aca="false">IF(B19=0,IF(HU19=1,KV19,KW19),0)</f>
        <v>0</v>
      </c>
      <c r="RW19" s="20" t="n">
        <f aca="false">IF(DJ19=1,IF(HU19=1,LC19+LF19,DK19-PK19)*(1+Slot10_Rate),0)</f>
        <v>0</v>
      </c>
      <c r="RX19" s="20" t="n">
        <f aca="false">IF(AND(HU19=1,DJ19=1),(LB19+LF19)/F19,0)</f>
        <v>0</v>
      </c>
      <c r="RY19" s="20" t="n">
        <f aca="false">IF(B19=0,LB19+LF19,0)</f>
        <v>0</v>
      </c>
      <c r="RZ19" s="20" t="n">
        <f aca="false">IF(B19=0,IF(HU19=1,LD19,LE19),0)</f>
        <v>0</v>
      </c>
      <c r="SA19" s="20" t="n">
        <f aca="false">IF(DT19=1,IF(HU19=1,LK19+LN19,DU19-PI19)*(1+Slot11_Rate),0)</f>
        <v>0</v>
      </c>
      <c r="SB19" s="20" t="n">
        <f aca="false">IF(AND(HU19=1,DT19=1),(LJ19+LN19)/F19,0)</f>
        <v>0</v>
      </c>
      <c r="SC19" s="20" t="n">
        <f aca="false">IF(B19=0,LJ19+LN19,0)</f>
        <v>0</v>
      </c>
      <c r="SD19" s="20" t="n">
        <f aca="false">IF(B19=0,IF(HU19=1,LL19,LM19),0)</f>
        <v>0</v>
      </c>
      <c r="SE19" s="20" t="n">
        <f aca="false">IF(ED19=1,IF(HU19=1,LS19+LV19,EE19-PG19)*(1+Slot12_Rate),0)</f>
        <v>0</v>
      </c>
      <c r="SF19" s="20" t="n">
        <f aca="false">IF(AND(HU19=1,ED19=1),(LR19+LV19)/F19,0)</f>
        <v>0</v>
      </c>
      <c r="SG19" s="20" t="n">
        <f aca="false">IF(B19=0,LR19+LV19,0)</f>
        <v>0</v>
      </c>
      <c r="SH19" s="20" t="n">
        <f aca="false">IF(B19=0,IF(HU19=1,LT19,LU19),0)</f>
        <v>0</v>
      </c>
      <c r="SI19" s="20" t="n">
        <f aca="false">IF(EN19=1,IF(HU19=1,MA19+MD19,EO19-PE19)*(1+Slot13_Rate),0)</f>
        <v>0</v>
      </c>
      <c r="SJ19" s="20" t="n">
        <f aca="false">IF(AND(HU19=1,EN19=1),(LZ19+MD19)/F19,0)</f>
        <v>0</v>
      </c>
      <c r="SK19" s="20" t="n">
        <f aca="false">IF(B19=0,LZ19+MD19,0)</f>
        <v>0</v>
      </c>
      <c r="SL19" s="20" t="n">
        <f aca="false">IF(B19=0,IF(HU19=1,MB19,MC19),0)</f>
        <v>0</v>
      </c>
      <c r="SM19" s="20" t="n">
        <f aca="false">IF(EX19=1,IF(HU19=1,MI19+ML19,EY19-PC19)*(1+Slot14_Rate),0)</f>
        <v>0</v>
      </c>
      <c r="SN19" s="20" t="n">
        <f aca="false">IF(AND(HU19=1,EX19=1),(MH19+ML19)/F19,0)</f>
        <v>0</v>
      </c>
      <c r="SO19" s="20" t="n">
        <f aca="false">IF(B19=0,MH19+ML19,0)</f>
        <v>0</v>
      </c>
      <c r="SP19" s="20" t="n">
        <f aca="false">IF(B19=0,IF(HU19=1,MJ19,MK19),0)</f>
        <v>0</v>
      </c>
      <c r="SQ19" s="20" t="n">
        <f aca="false">IF(FH19=1,IF(HU19=1,MQ19+MT19,FI19-PA19)*(1+Slot15_Rate),0)</f>
        <v>0</v>
      </c>
      <c r="SR19" s="20" t="n">
        <f aca="false">IF(AND(HU19=1,FH19=1),(MP19+MT19)/F19,0)</f>
        <v>0</v>
      </c>
      <c r="SS19" s="20" t="n">
        <f aca="false">IF(B19=0,MP19+MT19,0)</f>
        <v>0</v>
      </c>
      <c r="ST19" s="20" t="n">
        <f aca="false">IF(B19=0,IF(HU19=1,MR19,MS19),0)</f>
        <v>0</v>
      </c>
      <c r="SU19" s="20" t="n">
        <f aca="false">IF(FR19=1,IF(HU19=1,MY19+NB19,FS19-OY19)*(1+Slot16_Rate),0)</f>
        <v>0</v>
      </c>
      <c r="SV19" s="20" t="n">
        <f aca="false">IF(AND(HU19=1,FR19=1),(MX19+NB19)/F19,0)</f>
        <v>0</v>
      </c>
      <c r="SW19" s="20" t="n">
        <f aca="false">IF(B19=0,MX19+NB19,0)</f>
        <v>0</v>
      </c>
      <c r="SX19" s="20" t="n">
        <f aca="false">IF(B19=0,IF(HU19=1,MZ19,NA19),0)</f>
        <v>0</v>
      </c>
      <c r="SY19" s="20" t="n">
        <f aca="false">IF(GB19=1,IF(HU19=1,NG19+NJ19,GC19-OW19)*(1+Slot17_Rate),0)</f>
        <v>0</v>
      </c>
      <c r="SZ19" s="20" t="n">
        <f aca="false">IF(AND(HU19=1,GB19=1),(NF19+NJ19)/F19,0)</f>
        <v>0</v>
      </c>
      <c r="TA19" s="20" t="n">
        <f aca="false">IF(B19=0,NF19+NJ19,0)</f>
        <v>0</v>
      </c>
      <c r="TB19" s="20" t="n">
        <f aca="false">IF(B19=0,IF(HU19=1,NH19,NI19),0)</f>
        <v>0</v>
      </c>
      <c r="TC19" s="20" t="n">
        <f aca="false">IF(GL19=1,IF(HU19=1,NO19+NR19,GM19-OU19)*(1+Slot18_Rate),0)</f>
        <v>0</v>
      </c>
      <c r="TD19" s="20" t="n">
        <f aca="false">IF(AND(HU19=1,GL19=1),(NN19+NR19)/F19,0)</f>
        <v>0</v>
      </c>
      <c r="TE19" s="20" t="n">
        <f aca="false">IF(B19=0,NN19+NR19,0)</f>
        <v>0</v>
      </c>
      <c r="TF19" s="20" t="n">
        <f aca="false">IF(B19=0,IF(HU19=1,NP19,NQ19),0)</f>
        <v>0</v>
      </c>
      <c r="TG19" s="20" t="n">
        <f aca="false">IF(GV19=1,IF(HU19=1,NW19+NZ19,GW19-OS19)*(1+Slot19_Rate),0)</f>
        <v>0</v>
      </c>
      <c r="TH19" s="20" t="n">
        <f aca="false">IF(AND(HU19=1,GV19=1),(NV19+NZ19)/F19,0)</f>
        <v>0</v>
      </c>
      <c r="TI19" s="20" t="n">
        <f aca="false">IF(B19=0,NV19+NZ19,0)</f>
        <v>0</v>
      </c>
      <c r="TJ19" s="20" t="n">
        <f aca="false">IF(B19=0,IF(HU19=1,NX19,NY19),0)</f>
        <v>0</v>
      </c>
      <c r="TK19" s="20" t="n">
        <f aca="false">IF(HF19=1,IF(HU19=1,OE19+OH19,HG19-OQ19)*(1+Slot20_Rate),0)</f>
        <v>0</v>
      </c>
      <c r="TL19" s="20" t="n">
        <f aca="false">IF(AND(HU19=1,HF19=1),(OD19+OH19)/F19,0)</f>
        <v>0</v>
      </c>
      <c r="TM19" s="20" t="n">
        <f aca="false">IF(B19=0,OD19+OH19,0)</f>
        <v>0</v>
      </c>
      <c r="TN19" s="20" t="n">
        <f aca="false">IF(B19=0,IF(HU19=1,OF19,OG19),0)</f>
        <v>0</v>
      </c>
      <c r="TO19" s="20" t="n">
        <f aca="false">QK19+QL19+QM19+QQ19+QU19+QY19+RC19+RG19+RK19+RO19+RS19+RW19+SA19+SE19+SI19+SM19+SQ19+SU19+SY19+TC19+TG19+TK19</f>
        <v>30427.3910983409</v>
      </c>
      <c r="TP19" s="20" t="n">
        <f aca="false">QE19+HP19</f>
        <v>0</v>
      </c>
      <c r="TQ19" s="20" t="n">
        <f aca="false">I19+S19</f>
        <v>70111.8438777594</v>
      </c>
      <c r="TR19" s="20" t="n">
        <f aca="false">1-G19</f>
        <v>0</v>
      </c>
      <c r="TS19" s="20" t="n">
        <f aca="false">IF(AND(RG_Exists=1,G19=0,C19=1),I19,0)</f>
        <v>0</v>
      </c>
      <c r="TT19" s="20" t="n">
        <f aca="false">IF(AND(RG_Exists=1,G19=0,C19=1),I19-MIN(QE19,I19),0)</f>
        <v>0</v>
      </c>
      <c r="TU19" s="20" t="n">
        <f aca="false">'Plan pay &amp; tax'!AD245</f>
        <v>234473.610262709</v>
      </c>
      <c r="TV19" s="20" t="n">
        <f aca="false">IF(AND(C19=1,QE19&gt;MAX(PR_Short1,TQ19*PR_Short2)),1,0)</f>
        <v>0</v>
      </c>
      <c r="TW19" s="20" t="n">
        <f aca="false">MIN(H19,I19+S19)</f>
        <v>70111.8438777594</v>
      </c>
      <c r="TX19" s="20" t="n">
        <f aca="false">QF19+MAX(0,HQ19-HP19)</f>
        <v>0</v>
      </c>
      <c r="TY19" s="20" t="n">
        <f aca="false">QE19+HP19</f>
        <v>0</v>
      </c>
      <c r="TZ19" s="20" t="n">
        <f aca="false">IF(AND(C19=1,TY19&gt;PR_MinShort),1,0)</f>
        <v>0</v>
      </c>
      <c r="UA19" s="20" t="n">
        <f aca="false">IF(AND(C19=1,TZ19=0,TX19&gt;PR_MinShort),1,0)</f>
        <v>0</v>
      </c>
      <c r="UB19" s="20" t="n">
        <f aca="false">IF(AND(C19=1,QE19&gt;PR_MinShort),1,0)</f>
        <v>0</v>
      </c>
      <c r="UC19" s="20" t="n">
        <f aca="false">IF(AND(C19=1,QF19&gt;1,UJ19=0),1,0)</f>
        <v>0</v>
      </c>
      <c r="UD19" s="20" t="str">
        <f aca="false">IF(C19=0,"",IF(UJ19=1,"Gap to plan for: short "&amp;"€"&amp;TEXT(ROUND(TP19,0),"#,##0"),IF(QF19&gt;1,"Using savings","Comfortable")))</f>
        <v>Comfortable</v>
      </c>
      <c r="UE19" s="20" t="n">
        <f aca="false">IF(AND(INT(D19/10)*10=90,B19&gt;0),80,INT(D19/10)*10)</f>
        <v>40</v>
      </c>
      <c r="UF19" s="20" t="n">
        <f aca="false">IF(B19=0,1,IF(UE19&lt;&gt;UE18,UF18+1,UF18))</f>
        <v>2</v>
      </c>
      <c r="UG19" s="20" t="n">
        <f aca="false">IF(AND(C19=1,G19=1,QE19&gt;MAX(PR_Short1,TQ19*PR_Short2)),1,0)</f>
        <v>0</v>
      </c>
      <c r="UH19" s="20" t="n">
        <f aca="false">TR19*TV19</f>
        <v>0</v>
      </c>
      <c r="UI19" s="20" t="n">
        <f aca="false">IF(AND(V19=1,Slot1_PctLow=1),1,0)+IF(AND(AG19=1,Slot2_PctLow=1),1,0)+IF(AND(AQ19=1,Slot3_PctLow=1),1,0)+IF(AND(BA19=1,Slot4_PctLow=1),1,0)+IF(AND(BK19=1,Slot5_PctLow=1),1,0)+IF(AND(BU19=1,Slot6_PctLow=1),1,0)+IF(AND(CE19=1,Slot7_PctLow=1),1,0)+IF(AND(CO19=1,Slot8_PctLow=1),1,0)+IF(AND(CY19=1,Slot9_PctLow=1),1,0)+IF(AND(DI19=1,Slot10_PctLow=1),1,0)+IF(AND(DS19=1,Slot11_PctLow=1),1,0)+IF(AND(EC19=1,Slot12_PctLow=1),1,0)+IF(AND(EM19=1,Slot13_PctLow=1),1,0)+IF(AND(EW19=1,Slot14_PctLow=1),1,0)+IF(AND(FG19=1,Slot15_PctLow=1),1,0)+IF(AND(FQ19=1,Slot16_PctLow=1),1,0)+IF(AND(GA19=1,Slot17_PctLow=1),1,0)+IF(AND(GK19=1,Slot18_PctLow=1),1,0)+IF(AND(GU19=1,Slot19_PctLow=1),1,0)+IF(AND(HE19=1,Slot20_PctLow=1),1,0)</f>
        <v>0</v>
      </c>
      <c r="UJ19" s="20" t="n">
        <f aca="false">IF(C19=1,IF(OR(TV19=1,UI19&gt;0),1,0),0)</f>
        <v>0</v>
      </c>
    </row>
    <row r="20" customFormat="false" ht="15" hidden="false" customHeight="true" outlineLevel="0" collapsed="false">
      <c r="B20" s="20" t="n">
        <v>12</v>
      </c>
      <c r="C20" s="20" t="n">
        <f aca="false">IF(B20&lt;=F_N,1,0)</f>
        <v>1</v>
      </c>
      <c r="D20" s="20" t="n">
        <f aca="false">'Plan pay &amp; tax'!C246</f>
        <v>50</v>
      </c>
      <c r="E20" s="20" t="str">
        <f aca="false">IF($C20=1,"Income tax "&amp;TEXT(N('Plan pay &amp; tax'!BK246),"#,##0")&amp;"; USC "&amp;TEXT(N('Plan pay &amp; tax'!BM246)+N('Plan pay &amp; tax'!BO246),"#,##0")&amp;"; PRSI "&amp;TEXT(N('Plan pay &amp; tax'!BP246)+N('Plan pay &amp; tax'!BQ246),"#,##0")&amp;". DIRT and exit tax are inside the growth rates here.","")</f>
        <v>Income tax 12,825; USC 1,803; PRSI 4,227. DIRT and exit tax are inside the growth rates here.</v>
      </c>
      <c r="F20" s="44" t="n">
        <f aca="false">'Plan pay &amp; tax'!E246</f>
        <v>1.26824179456255</v>
      </c>
      <c r="G20" s="20" t="n">
        <f aca="false">'Plan pay &amp; tax'!G246</f>
        <v>1</v>
      </c>
      <c r="H20" s="20" t="n">
        <f aca="false">'Plan pay &amp; tax'!BT246-'Plan pay &amp; tax'!BS246-'Plan pay &amp; tax'!R246</f>
        <v>85699.2975794762</v>
      </c>
      <c r="I20" s="20" t="n">
        <f aca="false">IF(G20=1,F_CostsM*12,IF(RG_Exists=1,RG_Amount,F_CostsM*12*AS_RetireSpend))*F20+F_OneOffY*F20</f>
        <v>57070.8807553145</v>
      </c>
      <c r="J20" s="20" t="n">
        <f aca="false">HR19</f>
        <v>107530.167998736</v>
      </c>
      <c r="K20" s="20" t="n">
        <f aca="false">IF(J20&gt;1,'Plan debt months'!AC20,0)</f>
        <v>14160</v>
      </c>
      <c r="L20" s="20" t="n">
        <f aca="false">IF(J20&gt;1,'Plan debt months'!AB20,J20)</f>
        <v>97331.3620192935</v>
      </c>
      <c r="M20" s="20" t="n">
        <f aca="false">O19</f>
        <v>0</v>
      </c>
      <c r="N20" s="20" t="n">
        <f aca="false">IF(M20&gt;1,'Plan debt months'!BD20,0)</f>
        <v>0</v>
      </c>
      <c r="O20" s="20" t="n">
        <f aca="false">IF(M20&gt;1,'Plan debt months'!BC20,M20)</f>
        <v>0</v>
      </c>
      <c r="P20" s="20" t="n">
        <f aca="false">R19</f>
        <v>0</v>
      </c>
      <c r="Q20" s="20" t="n">
        <f aca="false">IF(P20&gt;1,'Plan debt months'!CE20,0)</f>
        <v>0</v>
      </c>
      <c r="R20" s="20" t="n">
        <f aca="false">IF(P20&gt;1,'Plan debt months'!CD20,P20)</f>
        <v>0</v>
      </c>
      <c r="S20" s="20" t="n">
        <f aca="false">K20+N20+Q20</f>
        <v>14160</v>
      </c>
      <c r="T20" s="20" t="n">
        <f aca="false">QK19+'Plan pay &amp; tax'!Y246</f>
        <v>3229.23665610169</v>
      </c>
      <c r="U20" s="20" t="n">
        <f aca="false">QK19</f>
        <v>3229.23665610169</v>
      </c>
      <c r="V20" s="20" t="n">
        <f aca="false">IF(AND(Slot1_On=1,D20=Slot1_Age),1,0)</f>
        <v>0</v>
      </c>
      <c r="W20" s="20" t="n">
        <f aca="false">IF(AND(Slot1_On=1,Slot1_Age&gt;D20),1,0)</f>
        <v>0</v>
      </c>
      <c r="X20" s="20" t="n">
        <f aca="false">QM19</f>
        <v>0</v>
      </c>
      <c r="Y20" s="20" t="n">
        <f aca="false">V20*MIN(Slot1_Cost,X20)</f>
        <v>0</v>
      </c>
      <c r="Z20" s="20" t="n">
        <f aca="false">V20*Slot1_SpendLike*MIN(Slot1_Cost-Y20,T20)</f>
        <v>0</v>
      </c>
      <c r="AA20" s="20" t="n">
        <f aca="false">Y20+Z20</f>
        <v>0</v>
      </c>
      <c r="AB20" s="20" t="n">
        <f aca="false">T20-Z20+V20*IF(Slot1_SpendLike=1,X20-Y20,IF(Slot1_PotFree=1,X20,0))</f>
        <v>3229.23665610169</v>
      </c>
      <c r="AC20" s="20" t="n">
        <f aca="false">AF20+V20*Slot1_BufPot*X20</f>
        <v>17238.7328891673</v>
      </c>
      <c r="AD20" s="20" t="n">
        <f aca="false">IF(AND(V20=1,Slot1_IsMfree=1),IF(AA20&gt;=Slot1_Cost-1,0,MAX(0,L20-AA20)),L20)</f>
        <v>97331.3620192935</v>
      </c>
      <c r="AE20" s="20" t="n">
        <f aca="false">V20*(Slot1_Cost-AA20)</f>
        <v>0</v>
      </c>
      <c r="AF20" s="20" t="n">
        <f aca="false">QL19</f>
        <v>17238.7328891673</v>
      </c>
      <c r="AG20" s="20" t="n">
        <f aca="false">IF(AND(Slot2_On=1,D20=Slot2_Age),1,0)</f>
        <v>0</v>
      </c>
      <c r="AH20" s="20" t="n">
        <f aca="false">IF(AND(Slot2_On=1,Slot2_Age&gt;D20),1,0)</f>
        <v>0</v>
      </c>
      <c r="AI20" s="20" t="n">
        <f aca="false">QQ19</f>
        <v>0</v>
      </c>
      <c r="AJ20" s="20" t="n">
        <f aca="false">AG20*MIN(Slot2_Cost,AI20)</f>
        <v>0</v>
      </c>
      <c r="AK20" s="20" t="n">
        <f aca="false">AG20*Slot2_SpendLike*MIN(Slot2_Cost-AJ20,AB20)</f>
        <v>0</v>
      </c>
      <c r="AL20" s="20" t="n">
        <f aca="false">AJ20+AK20</f>
        <v>0</v>
      </c>
      <c r="AM20" s="20" t="n">
        <f aca="false">AB20-AK20+AG20*IF(Slot2_SpendLike=1,AI20-AJ20,IF(Slot2_PotFree=1,AI20,0))</f>
        <v>3229.23665610169</v>
      </c>
      <c r="AN20" s="20" t="n">
        <f aca="false">AC20+AG20*Slot2_BufPot*AI20</f>
        <v>17238.7328891673</v>
      </c>
      <c r="AO20" s="20" t="n">
        <f aca="false">IF(AND(AG20=1,Slot2_IsMfree=1),IF(AL20&gt;=Slot2_Cost-1,0,MAX(0,AD20-AL20)),AD20)</f>
        <v>97331.3620192935</v>
      </c>
      <c r="AP20" s="20" t="n">
        <f aca="false">AG20*(Slot2_Cost-AL20)</f>
        <v>0</v>
      </c>
      <c r="AQ20" s="20" t="n">
        <f aca="false">IF(AND(Slot3_On=1,D20=Slot3_Age),1,0)</f>
        <v>0</v>
      </c>
      <c r="AR20" s="20" t="n">
        <f aca="false">IF(AND(Slot3_On=1,Slot3_Age&gt;D20),1,0)</f>
        <v>0</v>
      </c>
      <c r="AS20" s="20" t="n">
        <f aca="false">QU19</f>
        <v>0</v>
      </c>
      <c r="AT20" s="20" t="n">
        <f aca="false">AQ20*MIN(Slot3_Cost,AS20)</f>
        <v>0</v>
      </c>
      <c r="AU20" s="20" t="n">
        <f aca="false">AQ20*Slot3_SpendLike*MIN(Slot3_Cost-AT20,AM20)</f>
        <v>0</v>
      </c>
      <c r="AV20" s="20" t="n">
        <f aca="false">AT20+AU20</f>
        <v>0</v>
      </c>
      <c r="AW20" s="20" t="n">
        <f aca="false">AM20-AU20+AQ20*IF(Slot3_SpendLike=1,AS20-AT20,IF(Slot3_PotFree=1,AS20,0))</f>
        <v>3229.23665610169</v>
      </c>
      <c r="AX20" s="20" t="n">
        <f aca="false">AN20+AQ20*Slot3_BufPot*AS20</f>
        <v>17238.7328891673</v>
      </c>
      <c r="AY20" s="20" t="n">
        <f aca="false">IF(AND(AQ20=1,Slot3_IsMfree=1),IF(AV20&gt;=Slot3_Cost-1,0,MAX(0,AO20-AV20)),AO20)</f>
        <v>97331.3620192935</v>
      </c>
      <c r="AZ20" s="20" t="n">
        <f aca="false">AQ20*(Slot3_Cost-AV20)</f>
        <v>0</v>
      </c>
      <c r="BA20" s="20" t="n">
        <f aca="false">IF(AND(Slot4_On=1,D20=Slot4_Age),1,0)</f>
        <v>0</v>
      </c>
      <c r="BB20" s="20" t="n">
        <f aca="false">IF(AND(Slot4_On=1,Slot4_Age&gt;D20),1,0)</f>
        <v>1</v>
      </c>
      <c r="BC20" s="20" t="n">
        <f aca="false">QY19</f>
        <v>9959.42155307197</v>
      </c>
      <c r="BD20" s="20" t="n">
        <f aca="false">BA20*MIN(Slot4_Cost,BC20)</f>
        <v>0</v>
      </c>
      <c r="BE20" s="20" t="n">
        <f aca="false">BA20*Slot4_SpendLike*MIN(Slot4_Cost-BD20,AW20)</f>
        <v>0</v>
      </c>
      <c r="BF20" s="20" t="n">
        <f aca="false">BD20+BE20</f>
        <v>0</v>
      </c>
      <c r="BG20" s="20" t="n">
        <f aca="false">AW20-BE20+BA20*IF(Slot4_SpendLike=1,BC20-BD20,IF(Slot4_PotFree=1,BC20,0))</f>
        <v>3229.23665610169</v>
      </c>
      <c r="BH20" s="20" t="n">
        <f aca="false">AX20+BA20*Slot4_BufPot*BC20</f>
        <v>17238.7328891673</v>
      </c>
      <c r="BI20" s="20" t="n">
        <f aca="false">IF(AND(BA20=1,Slot4_IsMfree=1),IF(BF20&gt;=Slot4_Cost-1,0,MAX(0,AY20-BF20)),AY20)</f>
        <v>97331.3620192935</v>
      </c>
      <c r="BJ20" s="20" t="n">
        <f aca="false">BA20*(Slot4_Cost-BF20)</f>
        <v>0</v>
      </c>
      <c r="BK20" s="20" t="n">
        <f aca="false">IF(AND(Slot5_On=1,D20=Slot5_Age),1,0)</f>
        <v>0</v>
      </c>
      <c r="BL20" s="20" t="n">
        <f aca="false">IF(AND(Slot5_On=1,Slot5_Age&gt;D20),1,0)</f>
        <v>0</v>
      </c>
      <c r="BM20" s="20" t="n">
        <f aca="false">RC19</f>
        <v>0</v>
      </c>
      <c r="BN20" s="20" t="n">
        <f aca="false">BK20*MIN(Slot5_Cost,BM20)</f>
        <v>0</v>
      </c>
      <c r="BO20" s="20" t="n">
        <f aca="false">BK20*Slot5_SpendLike*MIN(Slot5_Cost-BN20,BG20)</f>
        <v>0</v>
      </c>
      <c r="BP20" s="20" t="n">
        <f aca="false">BN20+BO20</f>
        <v>0</v>
      </c>
      <c r="BQ20" s="20" t="n">
        <f aca="false">BG20-BO20+BK20*IF(Slot5_SpendLike=1,BM20-BN20,IF(Slot5_PotFree=1,BM20,0))</f>
        <v>3229.23665610169</v>
      </c>
      <c r="BR20" s="20" t="n">
        <f aca="false">BH20+BK20*Slot5_BufPot*BM20</f>
        <v>17238.7328891673</v>
      </c>
      <c r="BS20" s="20" t="n">
        <f aca="false">IF(AND(BK20=1,Slot5_IsMfree=1),IF(BP20&gt;=Slot5_Cost-1,0,MAX(0,BI20-BP20)),BI20)</f>
        <v>97331.3620192935</v>
      </c>
      <c r="BT20" s="20" t="n">
        <f aca="false">BK20*(Slot5_Cost-BP20)</f>
        <v>0</v>
      </c>
      <c r="BU20" s="20" t="n">
        <f aca="false">IF(AND(Slot6_On=1,D20=Slot6_Age),1,0)</f>
        <v>0</v>
      </c>
      <c r="BV20" s="20" t="n">
        <f aca="false">IF(AND(Slot6_On=1,Slot6_Age&gt;D20),1,0)</f>
        <v>0</v>
      </c>
      <c r="BW20" s="20" t="n">
        <f aca="false">RG19</f>
        <v>0</v>
      </c>
      <c r="BX20" s="20" t="n">
        <f aca="false">BU20*MIN(Slot6_Cost,BW20)</f>
        <v>0</v>
      </c>
      <c r="BY20" s="20" t="n">
        <f aca="false">BU20*Slot6_SpendLike*MIN(Slot6_Cost-BX20,BQ20)</f>
        <v>0</v>
      </c>
      <c r="BZ20" s="20" t="n">
        <f aca="false">BX20+BY20</f>
        <v>0</v>
      </c>
      <c r="CA20" s="20" t="n">
        <f aca="false">BQ20-BY20+BU20*IF(Slot6_SpendLike=1,BW20-BX20,IF(Slot6_PotFree=1,BW20,0))</f>
        <v>3229.23665610169</v>
      </c>
      <c r="CB20" s="20" t="n">
        <f aca="false">BR20+BU20*Slot6_BufPot*BW20</f>
        <v>17238.7328891673</v>
      </c>
      <c r="CC20" s="20" t="n">
        <f aca="false">IF(AND(BU20=1,Slot6_IsMfree=1),IF(BZ20&gt;=Slot6_Cost-1,0,MAX(0,BS20-BZ20)),BS20)</f>
        <v>97331.3620192935</v>
      </c>
      <c r="CD20" s="20" t="n">
        <f aca="false">BU20*(Slot6_Cost-BZ20)</f>
        <v>0</v>
      </c>
      <c r="CE20" s="20" t="n">
        <f aca="false">IF(AND(Slot7_On=1,D20=Slot7_Age),1,0)</f>
        <v>0</v>
      </c>
      <c r="CF20" s="20" t="n">
        <f aca="false">IF(AND(Slot7_On=1,Slot7_Age&gt;D20),1,0)</f>
        <v>0</v>
      </c>
      <c r="CG20" s="20" t="n">
        <f aca="false">RK19</f>
        <v>0</v>
      </c>
      <c r="CH20" s="20" t="n">
        <f aca="false">CE20*MIN(Slot7_Cost,CG20)</f>
        <v>0</v>
      </c>
      <c r="CI20" s="20" t="n">
        <f aca="false">CE20*Slot7_SpendLike*MIN(Slot7_Cost-CH20,CA20)</f>
        <v>0</v>
      </c>
      <c r="CJ20" s="20" t="n">
        <f aca="false">CH20+CI20</f>
        <v>0</v>
      </c>
      <c r="CK20" s="20" t="n">
        <f aca="false">CA20-CI20+CE20*IF(Slot7_SpendLike=1,CG20-CH20,IF(Slot7_PotFree=1,CG20,0))</f>
        <v>3229.23665610169</v>
      </c>
      <c r="CL20" s="20" t="n">
        <f aca="false">CB20+CE20*Slot7_BufPot*CG20</f>
        <v>17238.7328891673</v>
      </c>
      <c r="CM20" s="20" t="n">
        <f aca="false">IF(AND(CE20=1,Slot7_IsMfree=1),IF(CJ20&gt;=Slot7_Cost-1,0,MAX(0,CC20-CJ20)),CC20)</f>
        <v>97331.3620192935</v>
      </c>
      <c r="CN20" s="20" t="n">
        <f aca="false">CE20*(Slot7_Cost-CJ20)</f>
        <v>0</v>
      </c>
      <c r="CO20" s="20" t="n">
        <f aca="false">IF(AND(Slot8_On=1,D20=Slot8_Age),1,0)</f>
        <v>0</v>
      </c>
      <c r="CP20" s="20" t="n">
        <f aca="false">IF(AND(Slot8_On=1,Slot8_Age&gt;D20),1,0)</f>
        <v>0</v>
      </c>
      <c r="CQ20" s="20" t="n">
        <f aca="false">RO19</f>
        <v>0</v>
      </c>
      <c r="CR20" s="20" t="n">
        <f aca="false">CO20*MIN(Slot8_Cost,CQ20)</f>
        <v>0</v>
      </c>
      <c r="CS20" s="20" t="n">
        <f aca="false">CO20*Slot8_SpendLike*MIN(Slot8_Cost-CR20,CK20)</f>
        <v>0</v>
      </c>
      <c r="CT20" s="20" t="n">
        <f aca="false">CR20+CS20</f>
        <v>0</v>
      </c>
      <c r="CU20" s="20" t="n">
        <f aca="false">CK20-CS20+CO20*IF(Slot8_SpendLike=1,CQ20-CR20,IF(Slot8_PotFree=1,CQ20,0))</f>
        <v>3229.23665610169</v>
      </c>
      <c r="CV20" s="20" t="n">
        <f aca="false">CL20+CO20*Slot8_BufPot*CQ20</f>
        <v>17238.7328891673</v>
      </c>
      <c r="CW20" s="20" t="n">
        <f aca="false">IF(AND(CO20=1,Slot8_IsMfree=1),IF(CT20&gt;=Slot8_Cost-1,0,MAX(0,CM20-CT20)),CM20)</f>
        <v>97331.3620192935</v>
      </c>
      <c r="CX20" s="20" t="n">
        <f aca="false">CO20*(Slot8_Cost-CT20)</f>
        <v>0</v>
      </c>
      <c r="CY20" s="20" t="n">
        <f aca="false">IF(AND(Slot9_On=1,D20=Slot9_Age),1,0)</f>
        <v>0</v>
      </c>
      <c r="CZ20" s="20" t="n">
        <f aca="false">IF(AND(Slot9_On=1,Slot9_Age&gt;D20),1,0)</f>
        <v>0</v>
      </c>
      <c r="DA20" s="20" t="n">
        <f aca="false">RS19</f>
        <v>0</v>
      </c>
      <c r="DB20" s="20" t="n">
        <f aca="false">CY20*MIN(Slot9_Cost,DA20)</f>
        <v>0</v>
      </c>
      <c r="DC20" s="20" t="n">
        <f aca="false">CY20*Slot9_SpendLike*MIN(Slot9_Cost-DB20,CU20)</f>
        <v>0</v>
      </c>
      <c r="DD20" s="20" t="n">
        <f aca="false">DB20+DC20</f>
        <v>0</v>
      </c>
      <c r="DE20" s="20" t="n">
        <f aca="false">CU20-DC20+CY20*IF(Slot9_SpendLike=1,DA20-DB20,IF(Slot9_PotFree=1,DA20,0))</f>
        <v>3229.23665610169</v>
      </c>
      <c r="DF20" s="20" t="n">
        <f aca="false">CV20+CY20*Slot9_BufPot*DA20</f>
        <v>17238.7328891673</v>
      </c>
      <c r="DG20" s="20" t="n">
        <f aca="false">IF(AND(CY20=1,Slot9_IsMfree=1),IF(DD20&gt;=Slot9_Cost-1,0,MAX(0,CW20-DD20)),CW20)</f>
        <v>97331.3620192935</v>
      </c>
      <c r="DH20" s="20" t="n">
        <f aca="false">CY20*(Slot9_Cost-DD20)</f>
        <v>0</v>
      </c>
      <c r="DI20" s="20" t="n">
        <f aca="false">IF(AND(Slot10_On=1,D20=Slot10_Age),1,0)</f>
        <v>0</v>
      </c>
      <c r="DJ20" s="20" t="n">
        <f aca="false">IF(AND(Slot10_On=1,Slot10_Age&gt;D20),1,0)</f>
        <v>0</v>
      </c>
      <c r="DK20" s="20" t="n">
        <f aca="false">RW19</f>
        <v>0</v>
      </c>
      <c r="DL20" s="20" t="n">
        <f aca="false">DI20*MIN(Slot10_Cost,DK20)</f>
        <v>0</v>
      </c>
      <c r="DM20" s="20" t="n">
        <f aca="false">DI20*Slot10_SpendLike*MIN(Slot10_Cost-DL20,DE20)</f>
        <v>0</v>
      </c>
      <c r="DN20" s="20" t="n">
        <f aca="false">DL20+DM20</f>
        <v>0</v>
      </c>
      <c r="DO20" s="20" t="n">
        <f aca="false">DE20-DM20+DI20*IF(Slot10_SpendLike=1,DK20-DL20,IF(Slot10_PotFree=1,DK20,0))</f>
        <v>3229.23665610169</v>
      </c>
      <c r="DP20" s="20" t="n">
        <f aca="false">DF20+DI20*Slot10_BufPot*DK20</f>
        <v>17238.7328891673</v>
      </c>
      <c r="DQ20" s="20" t="n">
        <f aca="false">IF(AND(DI20=1,Slot10_IsMfree=1),IF(DN20&gt;=Slot10_Cost-1,0,MAX(0,DG20-DN20)),DG20)</f>
        <v>97331.3620192935</v>
      </c>
      <c r="DR20" s="20" t="n">
        <f aca="false">DI20*(Slot10_Cost-DN20)</f>
        <v>0</v>
      </c>
      <c r="DS20" s="20" t="n">
        <f aca="false">IF(AND(Slot11_On=1,D20=Slot11_Age),1,0)</f>
        <v>0</v>
      </c>
      <c r="DT20" s="20" t="n">
        <f aca="false">IF(AND(Slot11_On=1,Slot11_Age&gt;D20),1,0)</f>
        <v>0</v>
      </c>
      <c r="DU20" s="20" t="n">
        <f aca="false">SA19</f>
        <v>0</v>
      </c>
      <c r="DV20" s="20" t="n">
        <f aca="false">DS20*MIN(Slot11_Cost,DU20)</f>
        <v>0</v>
      </c>
      <c r="DW20" s="20" t="n">
        <f aca="false">DS20*Slot11_SpendLike*MIN(Slot11_Cost-DV20,DO20)</f>
        <v>0</v>
      </c>
      <c r="DX20" s="20" t="n">
        <f aca="false">DV20+DW20</f>
        <v>0</v>
      </c>
      <c r="DY20" s="20" t="n">
        <f aca="false">DO20-DW20+DS20*IF(Slot11_SpendLike=1,DU20-DV20,IF(Slot11_PotFree=1,DU20,0))</f>
        <v>3229.23665610169</v>
      </c>
      <c r="DZ20" s="20" t="n">
        <f aca="false">DP20+DS20*Slot11_BufPot*DU20</f>
        <v>17238.7328891673</v>
      </c>
      <c r="EA20" s="20" t="n">
        <f aca="false">IF(AND(DS20=1,Slot11_IsMfree=1),IF(DX20&gt;=Slot11_Cost-1,0,MAX(0,DQ20-DX20)),DQ20)</f>
        <v>97331.3620192935</v>
      </c>
      <c r="EB20" s="20" t="n">
        <f aca="false">DS20*(Slot11_Cost-DX20)</f>
        <v>0</v>
      </c>
      <c r="EC20" s="20" t="n">
        <f aca="false">IF(AND(Slot12_On=1,D20=Slot12_Age),1,0)</f>
        <v>0</v>
      </c>
      <c r="ED20" s="20" t="n">
        <f aca="false">IF(AND(Slot12_On=1,Slot12_Age&gt;D20),1,0)</f>
        <v>0</v>
      </c>
      <c r="EE20" s="20" t="n">
        <f aca="false">SE19</f>
        <v>0</v>
      </c>
      <c r="EF20" s="20" t="n">
        <f aca="false">EC20*MIN(Slot12_Cost,EE20)</f>
        <v>0</v>
      </c>
      <c r="EG20" s="20" t="n">
        <f aca="false">EC20*Slot12_SpendLike*MIN(Slot12_Cost-EF20,DY20)</f>
        <v>0</v>
      </c>
      <c r="EH20" s="20" t="n">
        <f aca="false">EF20+EG20</f>
        <v>0</v>
      </c>
      <c r="EI20" s="20" t="n">
        <f aca="false">DY20-EG20+EC20*IF(Slot12_SpendLike=1,EE20-EF20,IF(Slot12_PotFree=1,EE20,0))</f>
        <v>3229.23665610169</v>
      </c>
      <c r="EJ20" s="20" t="n">
        <f aca="false">DZ20+EC20*Slot12_BufPot*EE20</f>
        <v>17238.7328891673</v>
      </c>
      <c r="EK20" s="20" t="n">
        <f aca="false">IF(AND(EC20=1,Slot12_IsMfree=1),IF(EH20&gt;=Slot12_Cost-1,0,MAX(0,EA20-EH20)),EA20)</f>
        <v>97331.3620192935</v>
      </c>
      <c r="EL20" s="20" t="n">
        <f aca="false">EC20*(Slot12_Cost-EH20)</f>
        <v>0</v>
      </c>
      <c r="EM20" s="20" t="n">
        <f aca="false">IF(AND(Slot13_On=1,D20=Slot13_Age),1,0)</f>
        <v>0</v>
      </c>
      <c r="EN20" s="20" t="n">
        <f aca="false">IF(AND(Slot13_On=1,Slot13_Age&gt;D20),1,0)</f>
        <v>0</v>
      </c>
      <c r="EO20" s="20" t="n">
        <f aca="false">SI19</f>
        <v>0</v>
      </c>
      <c r="EP20" s="20" t="n">
        <f aca="false">EM20*MIN(Slot13_Cost,EO20)</f>
        <v>0</v>
      </c>
      <c r="EQ20" s="20" t="n">
        <f aca="false">EM20*Slot13_SpendLike*MIN(Slot13_Cost-EP20,EI20)</f>
        <v>0</v>
      </c>
      <c r="ER20" s="20" t="n">
        <f aca="false">EP20+EQ20</f>
        <v>0</v>
      </c>
      <c r="ES20" s="20" t="n">
        <f aca="false">EI20-EQ20+EM20*IF(Slot13_SpendLike=1,EO20-EP20,IF(Slot13_PotFree=1,EO20,0))</f>
        <v>3229.23665610169</v>
      </c>
      <c r="ET20" s="20" t="n">
        <f aca="false">EJ20+EM20*Slot13_BufPot*EO20</f>
        <v>17238.7328891673</v>
      </c>
      <c r="EU20" s="20" t="n">
        <f aca="false">IF(AND(EM20=1,Slot13_IsMfree=1),IF(ER20&gt;=Slot13_Cost-1,0,MAX(0,EK20-ER20)),EK20)</f>
        <v>97331.3620192935</v>
      </c>
      <c r="EV20" s="20" t="n">
        <f aca="false">EM20*(Slot13_Cost-ER20)</f>
        <v>0</v>
      </c>
      <c r="EW20" s="20" t="n">
        <f aca="false">IF(AND(Slot14_On=1,D20=Slot14_Age),1,0)</f>
        <v>0</v>
      </c>
      <c r="EX20" s="20" t="n">
        <f aca="false">IF(AND(Slot14_On=1,Slot14_Age&gt;D20),1,0)</f>
        <v>0</v>
      </c>
      <c r="EY20" s="20" t="n">
        <f aca="false">SM19</f>
        <v>0</v>
      </c>
      <c r="EZ20" s="20" t="n">
        <f aca="false">EW20*MIN(Slot14_Cost,EY20)</f>
        <v>0</v>
      </c>
      <c r="FA20" s="20" t="n">
        <f aca="false">EW20*Slot14_SpendLike*MIN(Slot14_Cost-EZ20,ES20)</f>
        <v>0</v>
      </c>
      <c r="FB20" s="20" t="n">
        <f aca="false">EZ20+FA20</f>
        <v>0</v>
      </c>
      <c r="FC20" s="20" t="n">
        <f aca="false">ES20-FA20+EW20*IF(Slot14_SpendLike=1,EY20-EZ20,IF(Slot14_PotFree=1,EY20,0))</f>
        <v>3229.23665610169</v>
      </c>
      <c r="FD20" s="20" t="n">
        <f aca="false">ET20+EW20*Slot14_BufPot*EY20</f>
        <v>17238.7328891673</v>
      </c>
      <c r="FE20" s="20" t="n">
        <f aca="false">IF(AND(EW20=1,Slot14_IsMfree=1),IF(FB20&gt;=Slot14_Cost-1,0,MAX(0,EU20-FB20)),EU20)</f>
        <v>97331.3620192935</v>
      </c>
      <c r="FF20" s="20" t="n">
        <f aca="false">EW20*(Slot14_Cost-FB20)</f>
        <v>0</v>
      </c>
      <c r="FG20" s="20" t="n">
        <f aca="false">IF(AND(Slot15_On=1,D20=Slot15_Age),1,0)</f>
        <v>0</v>
      </c>
      <c r="FH20" s="20" t="n">
        <f aca="false">IF(AND(Slot15_On=1,Slot15_Age&gt;D20),1,0)</f>
        <v>0</v>
      </c>
      <c r="FI20" s="20" t="n">
        <f aca="false">SQ19</f>
        <v>0</v>
      </c>
      <c r="FJ20" s="20" t="n">
        <f aca="false">FG20*MIN(Slot15_Cost,FI20)</f>
        <v>0</v>
      </c>
      <c r="FK20" s="20" t="n">
        <f aca="false">FG20*Slot15_SpendLike*MIN(Slot15_Cost-FJ20,FC20)</f>
        <v>0</v>
      </c>
      <c r="FL20" s="20" t="n">
        <f aca="false">FJ20+FK20</f>
        <v>0</v>
      </c>
      <c r="FM20" s="20" t="n">
        <f aca="false">FC20-FK20+FG20*IF(Slot15_SpendLike=1,FI20-FJ20,IF(Slot15_PotFree=1,FI20,0))</f>
        <v>3229.23665610169</v>
      </c>
      <c r="FN20" s="20" t="n">
        <f aca="false">FD20+FG20*Slot15_BufPot*FI20</f>
        <v>17238.7328891673</v>
      </c>
      <c r="FO20" s="20" t="n">
        <f aca="false">IF(AND(FG20=1,Slot15_IsMfree=1),IF(FL20&gt;=Slot15_Cost-1,0,MAX(0,FE20-FL20)),FE20)</f>
        <v>97331.3620192935</v>
      </c>
      <c r="FP20" s="20" t="n">
        <f aca="false">FG20*(Slot15_Cost-FL20)</f>
        <v>0</v>
      </c>
      <c r="FQ20" s="20" t="n">
        <f aca="false">IF(AND(Slot16_On=1,D20=Slot16_Age),1,0)</f>
        <v>0</v>
      </c>
      <c r="FR20" s="20" t="n">
        <f aca="false">IF(AND(Slot16_On=1,Slot16_Age&gt;D20),1,0)</f>
        <v>0</v>
      </c>
      <c r="FS20" s="20" t="n">
        <f aca="false">SU19</f>
        <v>0</v>
      </c>
      <c r="FT20" s="20" t="n">
        <f aca="false">FQ20*MIN(Slot16_Cost,FS20)</f>
        <v>0</v>
      </c>
      <c r="FU20" s="20" t="n">
        <f aca="false">FQ20*Slot16_SpendLike*MIN(Slot16_Cost-FT20,FM20)</f>
        <v>0</v>
      </c>
      <c r="FV20" s="20" t="n">
        <f aca="false">FT20+FU20</f>
        <v>0</v>
      </c>
      <c r="FW20" s="20" t="n">
        <f aca="false">FM20-FU20+FQ20*IF(Slot16_SpendLike=1,FS20-FT20,IF(Slot16_PotFree=1,FS20,0))</f>
        <v>3229.23665610169</v>
      </c>
      <c r="FX20" s="20" t="n">
        <f aca="false">FN20+FQ20*Slot16_BufPot*FS20</f>
        <v>17238.7328891673</v>
      </c>
      <c r="FY20" s="20" t="n">
        <f aca="false">IF(AND(FQ20=1,Slot16_IsMfree=1),IF(FV20&gt;=Slot16_Cost-1,0,MAX(0,FO20-FV20)),FO20)</f>
        <v>97331.3620192935</v>
      </c>
      <c r="FZ20" s="20" t="n">
        <f aca="false">FQ20*(Slot16_Cost-FV20)</f>
        <v>0</v>
      </c>
      <c r="GA20" s="20" t="n">
        <f aca="false">IF(AND(Slot17_On=1,D20=Slot17_Age),1,0)</f>
        <v>0</v>
      </c>
      <c r="GB20" s="20" t="n">
        <f aca="false">IF(AND(Slot17_On=1,Slot17_Age&gt;D20),1,0)</f>
        <v>0</v>
      </c>
      <c r="GC20" s="20" t="n">
        <f aca="false">SY19</f>
        <v>0</v>
      </c>
      <c r="GD20" s="20" t="n">
        <f aca="false">GA20*MIN(Slot17_Cost,GC20)</f>
        <v>0</v>
      </c>
      <c r="GE20" s="20" t="n">
        <f aca="false">GA20*Slot17_SpendLike*MIN(Slot17_Cost-GD20,FW20)</f>
        <v>0</v>
      </c>
      <c r="GF20" s="20" t="n">
        <f aca="false">GD20+GE20</f>
        <v>0</v>
      </c>
      <c r="GG20" s="20" t="n">
        <f aca="false">FW20-GE20+GA20*IF(Slot17_SpendLike=1,GC20-GD20,IF(Slot17_PotFree=1,GC20,0))</f>
        <v>3229.23665610169</v>
      </c>
      <c r="GH20" s="20" t="n">
        <f aca="false">FX20+GA20*Slot17_BufPot*GC20</f>
        <v>17238.7328891673</v>
      </c>
      <c r="GI20" s="20" t="n">
        <f aca="false">IF(AND(GA20=1,Slot17_IsMfree=1),IF(GF20&gt;=Slot17_Cost-1,0,MAX(0,FY20-GF20)),FY20)</f>
        <v>97331.3620192935</v>
      </c>
      <c r="GJ20" s="20" t="n">
        <f aca="false">GA20*(Slot17_Cost-GF20)</f>
        <v>0</v>
      </c>
      <c r="GK20" s="20" t="n">
        <f aca="false">IF(AND(Slot18_On=1,D20=Slot18_Age),1,0)</f>
        <v>0</v>
      </c>
      <c r="GL20" s="20" t="n">
        <f aca="false">IF(AND(Slot18_On=1,Slot18_Age&gt;D20),1,0)</f>
        <v>0</v>
      </c>
      <c r="GM20" s="20" t="n">
        <f aca="false">TC19</f>
        <v>0</v>
      </c>
      <c r="GN20" s="20" t="n">
        <f aca="false">GK20*MIN(Slot18_Cost,GM20)</f>
        <v>0</v>
      </c>
      <c r="GO20" s="20" t="n">
        <f aca="false">GK20*Slot18_SpendLike*MIN(Slot18_Cost-GN20,GG20)</f>
        <v>0</v>
      </c>
      <c r="GP20" s="20" t="n">
        <f aca="false">GN20+GO20</f>
        <v>0</v>
      </c>
      <c r="GQ20" s="20" t="n">
        <f aca="false">GG20-GO20+GK20*IF(Slot18_SpendLike=1,GM20-GN20,IF(Slot18_PotFree=1,GM20,0))</f>
        <v>3229.23665610169</v>
      </c>
      <c r="GR20" s="20" t="n">
        <f aca="false">GH20+GK20*Slot18_BufPot*GM20</f>
        <v>17238.7328891673</v>
      </c>
      <c r="GS20" s="20" t="n">
        <f aca="false">IF(AND(GK20=1,Slot18_IsMfree=1),IF(GP20&gt;=Slot18_Cost-1,0,MAX(0,GI20-GP20)),GI20)</f>
        <v>97331.3620192935</v>
      </c>
      <c r="GT20" s="20" t="n">
        <f aca="false">GK20*(Slot18_Cost-GP20)</f>
        <v>0</v>
      </c>
      <c r="GU20" s="20" t="n">
        <f aca="false">IF(AND(Slot19_On=1,D20=Slot19_Age),1,0)</f>
        <v>0</v>
      </c>
      <c r="GV20" s="20" t="n">
        <f aca="false">IF(AND(Slot19_On=1,Slot19_Age&gt;D20),1,0)</f>
        <v>0</v>
      </c>
      <c r="GW20" s="20" t="n">
        <f aca="false">TG19</f>
        <v>0</v>
      </c>
      <c r="GX20" s="20" t="n">
        <f aca="false">GU20*MIN(Slot19_Cost,GW20)</f>
        <v>0</v>
      </c>
      <c r="GY20" s="20" t="n">
        <f aca="false">GU20*Slot19_SpendLike*MIN(Slot19_Cost-GX20,GQ20)</f>
        <v>0</v>
      </c>
      <c r="GZ20" s="20" t="n">
        <f aca="false">GX20+GY20</f>
        <v>0</v>
      </c>
      <c r="HA20" s="20" t="n">
        <f aca="false">GQ20-GY20+GU20*IF(Slot19_SpendLike=1,GW20-GX20,IF(Slot19_PotFree=1,GW20,0))</f>
        <v>3229.23665610169</v>
      </c>
      <c r="HB20" s="20" t="n">
        <f aca="false">GR20+GU20*Slot19_BufPot*GW20</f>
        <v>17238.7328891673</v>
      </c>
      <c r="HC20" s="20" t="n">
        <f aca="false">IF(AND(GU20=1,Slot19_IsMfree=1),IF(GZ20&gt;=Slot19_Cost-1,0,MAX(0,GS20-GZ20)),GS20)</f>
        <v>97331.3620192935</v>
      </c>
      <c r="HD20" s="20" t="n">
        <f aca="false">GU20*(Slot19_Cost-GZ20)</f>
        <v>0</v>
      </c>
      <c r="HE20" s="20" t="n">
        <f aca="false">IF(AND(Slot20_On=1,D20=Slot20_Age),1,0)</f>
        <v>0</v>
      </c>
      <c r="HF20" s="20" t="n">
        <f aca="false">IF(AND(Slot20_On=1,Slot20_Age&gt;D20),1,0)</f>
        <v>0</v>
      </c>
      <c r="HG20" s="20" t="n">
        <f aca="false">TK19</f>
        <v>0</v>
      </c>
      <c r="HH20" s="20" t="n">
        <f aca="false">HE20*MIN(Slot20_Cost,HG20)</f>
        <v>0</v>
      </c>
      <c r="HI20" s="20" t="n">
        <f aca="false">HE20*Slot20_SpendLike*MIN(Slot20_Cost-HH20,HA20)</f>
        <v>0</v>
      </c>
      <c r="HJ20" s="20" t="n">
        <f aca="false">HH20+HI20</f>
        <v>0</v>
      </c>
      <c r="HK20" s="20" t="n">
        <f aca="false">HA20-HI20+HE20*IF(Slot20_SpendLike=1,HG20-HH20,IF(Slot20_PotFree=1,HG20,0))</f>
        <v>3229.23665610169</v>
      </c>
      <c r="HL20" s="20" t="n">
        <f aca="false">HB20+HE20*Slot20_BufPot*HG20</f>
        <v>17238.7328891673</v>
      </c>
      <c r="HM20" s="20" t="n">
        <f aca="false">IF(AND(HE20=1,Slot20_IsMfree=1),IF(HJ20&gt;=Slot20_Cost-1,0,MAX(0,HC20-HJ20)),HC20)</f>
        <v>97331.3620192935</v>
      </c>
      <c r="HN20" s="20" t="n">
        <f aca="false">HE20*(Slot20_Cost-HJ20)</f>
        <v>0</v>
      </c>
      <c r="HO20" s="20" t="n">
        <f aca="false">V20*Slot1_SpendLike*AA20+AG20*Slot2_SpendLike*AL20+AQ20*Slot3_SpendLike*AV20+BA20*Slot4_SpendLike*BF20+BK20*Slot5_SpendLike*BP20+BU20*Slot6_SpendLike*BZ20+CE20*Slot7_SpendLike*CJ20+CO20*Slot8_SpendLike*CT20+CY20*Slot9_SpendLike*DD20+DI20*Slot10_SpendLike*DN20+DS20*Slot11_SpendLike*DX20+EC20*Slot12_SpendLike*EH20+EM20*Slot13_SpendLike*ER20+EW20*Slot14_SpendLike*FB20+FG20*Slot15_SpendLike*FL20+FQ20*Slot16_SpendLike*FV20+GA20*Slot17_SpendLike*GF20+GK20*Slot18_SpendLike*GP20+GU20*Slot19_SpendLike*GZ20+HE20*Slot20_SpendLike*HJ20</f>
        <v>0</v>
      </c>
      <c r="HP20" s="20" t="n">
        <f aca="false">AE20+AP20+AZ20+BJ20+BT20+CD20+CN20+CX20+DH20+DR20+EB20+EL20+EV20+FF20+FP20+FZ20+GJ20+GT20+HD20+HN20</f>
        <v>0</v>
      </c>
      <c r="HQ20" s="20" t="n">
        <f aca="false">V20*Slot1_Cost+AG20*Slot2_Cost+AQ20*Slot3_Cost+BA20*Slot4_Cost+BK20*Slot5_Cost+BU20*Slot6_Cost+CE20*Slot7_Cost+CO20*Slot8_Cost+CY20*Slot9_Cost+DI20*Slot10_Cost+DS20*Slot11_Cost+EC20*Slot12_Cost+EM20*Slot13_Cost+EW20*Slot14_Cost+FG20*Slot15_Cost+FQ20*Slot16_Cost+GA20*Slot17_Cost+GK20*Slot18_Cost+GU20*Slot19_Cost+HE20*Slot20_Cost</f>
        <v>0</v>
      </c>
      <c r="HR20" s="20" t="n">
        <f aca="false">HM20</f>
        <v>97331.3620192935</v>
      </c>
      <c r="HS20" s="20" t="n">
        <f aca="false">H20-I20-S20</f>
        <v>14468.4168241617</v>
      </c>
      <c r="HT20" s="20" t="n">
        <f aca="false">IF(B20=0,IF(AND(Has_q6=1,In_q6=4),PR_ShareVaries*(MAX(0,HS20)/12),MIN(IF(Has_q6=1,CHOOSE(In_q6+1,PR_SaveB1,PR_SaveB2,PR_SaveB3,PR_SaveB4,0),AS_NoAnswer),AS_SaveShare*(MAX(0,HS20)/12))),HT19)</f>
        <v>62.3316893520437</v>
      </c>
      <c r="HU20" s="20" t="n">
        <f aca="false">IF(HS20&gt;=0,1,0)</f>
        <v>1</v>
      </c>
      <c r="HV20" s="20" t="n">
        <f aca="false">MAX(0,HS20/12/F20)</f>
        <v>950.687327276859</v>
      </c>
      <c r="HW20" s="20" t="n">
        <f aca="false">IF(AND(Has_q6=1,In_q6=4),PR_ShareVaries*(HV20),MIN(IF(Has_q6=1,CHOOSE(In_q6+1,PR_SaveB1,PR_SaveB2,PR_SaveB3,PR_SaveB4,0),AS_NoAnswer),AS_SaveShare*(HV20)))</f>
        <v>475.34366363843</v>
      </c>
      <c r="HX20" s="20" t="n">
        <f aca="false">IF(Has_saveM=1,IF(In_saveUp="Yes",1,IF(In_saveUp="No",0,IF(In_saveM&gt;=HT20-0.5,1,0))),0)</f>
        <v>0</v>
      </c>
      <c r="HY20" s="20" t="n">
        <f aca="false">IF(Has_saveM=1,MIN(HV20,IF(HX20=1,MAX(In_saveM,HW20),MIN(In_saveM,HW20))),HW20)</f>
        <v>475.34366363843</v>
      </c>
      <c r="HZ20" s="20" t="n">
        <f aca="false">IF(G20=1,HY20*12*F20,0)</f>
        <v>7234.20841208084</v>
      </c>
      <c r="IA20" s="20" t="n">
        <f aca="false">MAX(0,HZ20+IF(AND(WI_Retire=0,WI_M&lt;0,G20=1),WI_M*12*F20,0))</f>
        <v>7234.20841208084</v>
      </c>
      <c r="IB20" s="20" t="n">
        <f aca="false">Slot1_IsWG*W20+Slot2_IsWG*AH20+Slot3_IsWG*AR20+Slot4_IsWG*BB20+Slot5_IsWG*BL20+Slot6_IsWG*BV20+Slot7_IsWG*CF20+Slot8_IsWG*CP20+Slot9_IsWG*CZ20+Slot10_IsWG*DJ20+Slot11_IsWG*DT20+Slot12_IsWG*ED20+Slot13_IsWG*EN20+Slot14_IsWG*EX20+Slot15_IsWG*FH20+Slot16_IsWG*FR20+Slot17_IsWG*GB20+Slot18_IsWG*GL20+Slot19_IsWG*GV20+Slot20_IsWG*HF20</f>
        <v>0</v>
      </c>
      <c r="IC20" s="20" t="n">
        <f aca="false">IF(AND(WI_Retire=0,WI_M&gt;0,G20=1,IB20&gt;=1),WI_M*12*F20,0)</f>
        <v>0</v>
      </c>
      <c r="ID20" s="20" t="n">
        <f aca="false">IF(HU20=1,MIN(IA20,HS20),0)</f>
        <v>7234.20841208084</v>
      </c>
      <c r="IE20" s="20" t="n">
        <f aca="false">IF(HU20=1,MIN(IC20,HS20-ID20),0)</f>
        <v>0</v>
      </c>
      <c r="IF20" s="20" t="n">
        <f aca="false">IF(W20=1,IF(ABS((1+AS_Wage)/(1+Slot1_Rate)-1)&lt;0.000000000001,(Slot1_Age-D20)*(1+Slot1_Rate)^(Slot1_Age-D20),(1+Slot1_Rate)^(Slot1_Age-D20)*(1-((1+AS_Wage)/(1+Slot1_Rate))^(Slot1_Age-D20))/(1-(1+AS_Wage)/(1+Slot1_Rate))),1)</f>
        <v>1</v>
      </c>
      <c r="IG20" s="20" t="n">
        <f aca="false">IF(AND(HU20=1,IE20&gt;0,Slot1_IsWG=1,W20=1),MAX(0,(Slot1_Cost-X20*(1+Slot1_Rate)^(Slot1_Age-D20))/IF20),0)</f>
        <v>0</v>
      </c>
      <c r="IH20" s="20" t="n">
        <f aca="false">IF(AND(HU20=1,IE20&gt;0,Slot1_IsWG=1,W20=1),MIN(IE20,IG20),0)</f>
        <v>0</v>
      </c>
      <c r="II20" s="20" t="n">
        <f aca="false">X20+IH20</f>
        <v>0</v>
      </c>
      <c r="IJ20" s="20" t="n">
        <f aca="false">IF(W20=1,MAX(0,(Slot1_Cost-II20*(1+Slot1_Rate)^(Slot1_Age-D20))/IF20),0)</f>
        <v>0</v>
      </c>
      <c r="IK20" s="20" t="n">
        <f aca="false">IF(W20=1,MAX(0,(Slot1_Cost-X20*(1+Slot1_Rate)^(Slot1_Age-D20))/IF20),0)</f>
        <v>0</v>
      </c>
      <c r="IL20" s="20" t="n">
        <f aca="false">IF(AND(HU20=1,W20=1),MIN(ID20,IJ20),0)</f>
        <v>0</v>
      </c>
      <c r="IM20" s="20" t="n">
        <f aca="false">ID20-IL20</f>
        <v>7234.20841208084</v>
      </c>
      <c r="IN20" s="20" t="n">
        <f aca="false">IF(AH20=1,IF(ABS((1+AS_Wage)/(1+Slot2_Rate)-1)&lt;0.000000000001,(Slot2_Age-D20)*(1+Slot2_Rate)^(Slot2_Age-D20),(1+Slot2_Rate)^(Slot2_Age-D20)*(1-((1+AS_Wage)/(1+Slot2_Rate))^(Slot2_Age-D20))/(1-(1+AS_Wage)/(1+Slot2_Rate))),1)</f>
        <v>1</v>
      </c>
      <c r="IO20" s="20" t="n">
        <f aca="false">IF(AND(HU20=1,IE20&gt;0,Slot2_IsWG=1,AH20=1),MAX(0,(Slot2_Cost-AI20*(1+Slot2_Rate)^(Slot2_Age-D20))/IN20),0)</f>
        <v>0</v>
      </c>
      <c r="IP20" s="20" t="n">
        <f aca="false">IF(AND(HU20=1,IE20&gt;0,Slot2_IsWG=1,AH20=1),MIN(IE20,IO20),0)</f>
        <v>0</v>
      </c>
      <c r="IQ20" s="20" t="n">
        <f aca="false">AI20+IP20</f>
        <v>0</v>
      </c>
      <c r="IR20" s="20" t="n">
        <f aca="false">IF(AH20=1,MAX(0,(Slot2_Cost-IQ20*(1+Slot2_Rate)^(Slot2_Age-D20))/IN20),0)</f>
        <v>0</v>
      </c>
      <c r="IS20" s="20" t="n">
        <f aca="false">IF(AH20=1,MAX(0,(Slot2_Cost-AI20*(1+Slot2_Rate)^(Slot2_Age-D20))/IN20),0)</f>
        <v>0</v>
      </c>
      <c r="IT20" s="20" t="n">
        <f aca="false">IF(AND(HU20=1,AH20=1),MIN(IM20,IR20),0)</f>
        <v>0</v>
      </c>
      <c r="IU20" s="20" t="n">
        <f aca="false">IM20-IT20</f>
        <v>7234.20841208084</v>
      </c>
      <c r="IV20" s="20" t="n">
        <f aca="false">IF(AR20=1,IF(ABS((1+AS_Wage)/(1+Slot3_Rate)-1)&lt;0.000000000001,(Slot3_Age-D20)*(1+Slot3_Rate)^(Slot3_Age-D20),(1+Slot3_Rate)^(Slot3_Age-D20)*(1-((1+AS_Wage)/(1+Slot3_Rate))^(Slot3_Age-D20))/(1-(1+AS_Wage)/(1+Slot3_Rate))),1)</f>
        <v>1</v>
      </c>
      <c r="IW20" s="20" t="n">
        <f aca="false">IF(AND(HU20=1,IE20&gt;0,Slot3_IsWG=1,AR20=1),MAX(0,(Slot3_Cost-AS20*(1+Slot3_Rate)^(Slot3_Age-D20))/IV20),0)</f>
        <v>0</v>
      </c>
      <c r="IX20" s="20" t="n">
        <f aca="false">IF(AND(HU20=1,IE20&gt;0,Slot3_IsWG=1,AR20=1),MIN(IE20,IW20),0)</f>
        <v>0</v>
      </c>
      <c r="IY20" s="20" t="n">
        <f aca="false">AS20+IX20</f>
        <v>0</v>
      </c>
      <c r="IZ20" s="20" t="n">
        <f aca="false">IF(AR20=1,MAX(0,(Slot3_Cost-IY20*(1+Slot3_Rate)^(Slot3_Age-D20))/IV20),0)</f>
        <v>0</v>
      </c>
      <c r="JA20" s="20" t="n">
        <f aca="false">IF(AR20=1,MAX(0,(Slot3_Cost-AS20*(1+Slot3_Rate)^(Slot3_Age-D20))/IV20),0)</f>
        <v>0</v>
      </c>
      <c r="JB20" s="20" t="n">
        <f aca="false">IF(AND(HU20=1,AR20=1),MIN(IU20,IZ20),0)</f>
        <v>0</v>
      </c>
      <c r="JC20" s="20" t="n">
        <f aca="false">IU20-JB20</f>
        <v>7234.20841208084</v>
      </c>
      <c r="JD20" s="20" t="n">
        <f aca="false">IF(BB20=1,IF(ABS((1+AS_Wage)/(1+Slot4_Rate)-1)&lt;0.000000000001,(Slot4_Age-D20)*(1+Slot4_Rate)^(Slot4_Age-D20),(1+Slot4_Rate)^(Slot4_Age-D20)*(1-((1+AS_Wage)/(1+Slot4_Rate))^(Slot4_Age-D20))/(1-(1+AS_Wage)/(1+Slot4_Rate))),1)</f>
        <v>5.72918849865706</v>
      </c>
      <c r="JE20" s="20" t="n">
        <f aca="false">IF(AND(HU20=1,IE20&gt;0,Slot4_IsWG=1,BB20=1),MAX(0,(Slot4_Cost-BC20*(1+Slot4_Rate)^(Slot4_Age-D20))/JD20),0)</f>
        <v>0</v>
      </c>
      <c r="JF20" s="20" t="n">
        <f aca="false">IF(AND(HU20=1,IE20&gt;0,Slot4_IsWG=1,BB20=1),MIN(IE20,JE20),0)</f>
        <v>0</v>
      </c>
      <c r="JG20" s="20" t="n">
        <f aca="false">BC20+JF20</f>
        <v>9959.42155307197</v>
      </c>
      <c r="JH20" s="20" t="n">
        <f aca="false">IF(BB20=1,MAX(0,(Slot4_Cost-JG20*(1+Slot4_Rate)^(Slot4_Age-D20))/JD20),0)</f>
        <v>5008.85077747725</v>
      </c>
      <c r="JI20" s="20" t="n">
        <f aca="false">IF(BB20=1,MAX(0,(Slot4_Cost-BC20*(1+Slot4_Rate)^(Slot4_Age-D20))/JD20),0)</f>
        <v>5008.85077747725</v>
      </c>
      <c r="JJ20" s="20" t="n">
        <f aca="false">IF(AND(HU20=1,BB20=1),MIN(JC20,JH20),0)</f>
        <v>5008.85077747725</v>
      </c>
      <c r="JK20" s="20" t="n">
        <f aca="false">JC20-JJ20</f>
        <v>2225.35763460359</v>
      </c>
      <c r="JL20" s="20" t="n">
        <f aca="false">IF(BL20=1,IF(ABS((1+AS_Wage)/(1+Slot5_Rate)-1)&lt;0.000000000001,(Slot5_Age-D20)*(1+Slot5_Rate)^(Slot5_Age-D20),(1+Slot5_Rate)^(Slot5_Age-D20)*(1-((1+AS_Wage)/(1+Slot5_Rate))^(Slot5_Age-D20))/(1-(1+AS_Wage)/(1+Slot5_Rate))),1)</f>
        <v>1</v>
      </c>
      <c r="JM20" s="20" t="n">
        <f aca="false">IF(AND(HU20=1,IE20&gt;0,Slot5_IsWG=1,BL20=1),MAX(0,(Slot5_Cost-BM20*(1+Slot5_Rate)^(Slot5_Age-D20))/JL20),0)</f>
        <v>0</v>
      </c>
      <c r="JN20" s="20" t="n">
        <f aca="false">IF(AND(HU20=1,IE20&gt;0,Slot5_IsWG=1,BL20=1),MIN(IE20,JM20),0)</f>
        <v>0</v>
      </c>
      <c r="JO20" s="20" t="n">
        <f aca="false">BM20+JN20</f>
        <v>0</v>
      </c>
      <c r="JP20" s="20" t="n">
        <f aca="false">IF(BL20=1,MAX(0,(Slot5_Cost-JO20*(1+Slot5_Rate)^(Slot5_Age-D20))/JL20),0)</f>
        <v>0</v>
      </c>
      <c r="JQ20" s="20" t="n">
        <f aca="false">IF(BL20=1,MAX(0,(Slot5_Cost-BM20*(1+Slot5_Rate)^(Slot5_Age-D20))/JL20),0)</f>
        <v>0</v>
      </c>
      <c r="JR20" s="20" t="n">
        <f aca="false">IF(AND(HU20=1,BL20=1),MIN(JK20,JP20),0)</f>
        <v>0</v>
      </c>
      <c r="JS20" s="20" t="n">
        <f aca="false">JK20-JR20</f>
        <v>2225.35763460359</v>
      </c>
      <c r="JT20" s="20" t="n">
        <f aca="false">IF(BV20=1,IF(ABS((1+AS_Wage)/(1+Slot6_Rate)-1)&lt;0.000000000001,(Slot6_Age-D20)*(1+Slot6_Rate)^(Slot6_Age-D20),(1+Slot6_Rate)^(Slot6_Age-D20)*(1-((1+AS_Wage)/(1+Slot6_Rate))^(Slot6_Age-D20))/(1-(1+AS_Wage)/(1+Slot6_Rate))),1)</f>
        <v>1</v>
      </c>
      <c r="JU20" s="20" t="n">
        <f aca="false">IF(AND(HU20=1,IE20&gt;0,Slot6_IsWG=1,BV20=1),MAX(0,(Slot6_Cost-BW20*(1+Slot6_Rate)^(Slot6_Age-D20))/JT20),0)</f>
        <v>0</v>
      </c>
      <c r="JV20" s="20" t="n">
        <f aca="false">IF(AND(HU20=1,IE20&gt;0,Slot6_IsWG=1,BV20=1),MIN(IE20,JU20),0)</f>
        <v>0</v>
      </c>
      <c r="JW20" s="20" t="n">
        <f aca="false">BW20+JV20</f>
        <v>0</v>
      </c>
      <c r="JX20" s="20" t="n">
        <f aca="false">IF(BV20=1,MAX(0,(Slot6_Cost-JW20*(1+Slot6_Rate)^(Slot6_Age-D20))/JT20),0)</f>
        <v>0</v>
      </c>
      <c r="JY20" s="20" t="n">
        <f aca="false">IF(BV20=1,MAX(0,(Slot6_Cost-BW20*(1+Slot6_Rate)^(Slot6_Age-D20))/JT20),0)</f>
        <v>0</v>
      </c>
      <c r="JZ20" s="20" t="n">
        <f aca="false">IF(AND(HU20=1,BV20=1),MIN(JS20,JX20),0)</f>
        <v>0</v>
      </c>
      <c r="KA20" s="20" t="n">
        <f aca="false">JS20-JZ20</f>
        <v>2225.35763460359</v>
      </c>
      <c r="KB20" s="20" t="n">
        <f aca="false">IF(CF20=1,IF(ABS((1+AS_Wage)/(1+Slot7_Rate)-1)&lt;0.000000000001,(Slot7_Age-D20)*(1+Slot7_Rate)^(Slot7_Age-D20),(1+Slot7_Rate)^(Slot7_Age-D20)*(1-((1+AS_Wage)/(1+Slot7_Rate))^(Slot7_Age-D20))/(1-(1+AS_Wage)/(1+Slot7_Rate))),1)</f>
        <v>1</v>
      </c>
      <c r="KC20" s="20" t="n">
        <f aca="false">IF(AND(HU20=1,IE20&gt;0,Slot7_IsWG=1,CF20=1),MAX(0,(Slot7_Cost-CG20*(1+Slot7_Rate)^(Slot7_Age-D20))/KB20),0)</f>
        <v>0</v>
      </c>
      <c r="KD20" s="20" t="n">
        <f aca="false">IF(AND(HU20=1,IE20&gt;0,Slot7_IsWG=1,CF20=1),MIN(IE20,KC20),0)</f>
        <v>0</v>
      </c>
      <c r="KE20" s="20" t="n">
        <f aca="false">CG20+KD20</f>
        <v>0</v>
      </c>
      <c r="KF20" s="20" t="n">
        <f aca="false">IF(CF20=1,MAX(0,(Slot7_Cost-KE20*(1+Slot7_Rate)^(Slot7_Age-D20))/KB20),0)</f>
        <v>0</v>
      </c>
      <c r="KG20" s="20" t="n">
        <f aca="false">IF(CF20=1,MAX(0,(Slot7_Cost-CG20*(1+Slot7_Rate)^(Slot7_Age-D20))/KB20),0)</f>
        <v>0</v>
      </c>
      <c r="KH20" s="20" t="n">
        <f aca="false">IF(AND(HU20=1,CF20=1),MIN(KA20,KF20),0)</f>
        <v>0</v>
      </c>
      <c r="KI20" s="20" t="n">
        <f aca="false">KA20-KH20</f>
        <v>2225.35763460359</v>
      </c>
      <c r="KJ20" s="20" t="n">
        <f aca="false">IF(CP20=1,IF(ABS((1+AS_Wage)/(1+Slot8_Rate)-1)&lt;0.000000000001,(Slot8_Age-D20)*(1+Slot8_Rate)^(Slot8_Age-D20),(1+Slot8_Rate)^(Slot8_Age-D20)*(1-((1+AS_Wage)/(1+Slot8_Rate))^(Slot8_Age-D20))/(1-(1+AS_Wage)/(1+Slot8_Rate))),1)</f>
        <v>1</v>
      </c>
      <c r="KK20" s="20" t="n">
        <f aca="false">IF(AND(HU20=1,IE20&gt;0,Slot8_IsWG=1,CP20=1),MAX(0,(Slot8_Cost-CQ20*(1+Slot8_Rate)^(Slot8_Age-D20))/KJ20),0)</f>
        <v>0</v>
      </c>
      <c r="KL20" s="20" t="n">
        <f aca="false">IF(AND(HU20=1,IE20&gt;0,Slot8_IsWG=1,CP20=1),MIN(IE20,KK20),0)</f>
        <v>0</v>
      </c>
      <c r="KM20" s="20" t="n">
        <f aca="false">CQ20+KL20</f>
        <v>0</v>
      </c>
      <c r="KN20" s="20" t="n">
        <f aca="false">IF(CP20=1,MAX(0,(Slot8_Cost-KM20*(1+Slot8_Rate)^(Slot8_Age-D20))/KJ20),0)</f>
        <v>0</v>
      </c>
      <c r="KO20" s="20" t="n">
        <f aca="false">IF(CP20=1,MAX(0,(Slot8_Cost-CQ20*(1+Slot8_Rate)^(Slot8_Age-D20))/KJ20),0)</f>
        <v>0</v>
      </c>
      <c r="KP20" s="20" t="n">
        <f aca="false">IF(AND(HU20=1,CP20=1),MIN(KI20,KN20),0)</f>
        <v>0</v>
      </c>
      <c r="KQ20" s="20" t="n">
        <f aca="false">KI20-KP20</f>
        <v>2225.35763460359</v>
      </c>
      <c r="KR20" s="20" t="n">
        <f aca="false">IF(CZ20=1,IF(ABS((1+AS_Wage)/(1+Slot9_Rate)-1)&lt;0.000000000001,(Slot9_Age-D20)*(1+Slot9_Rate)^(Slot9_Age-D20),(1+Slot9_Rate)^(Slot9_Age-D20)*(1-((1+AS_Wage)/(1+Slot9_Rate))^(Slot9_Age-D20))/(1-(1+AS_Wage)/(1+Slot9_Rate))),1)</f>
        <v>1</v>
      </c>
      <c r="KS20" s="20" t="n">
        <f aca="false">IF(AND(HU20=1,IE20&gt;0,Slot9_IsWG=1,CZ20=1),MAX(0,(Slot9_Cost-DA20*(1+Slot9_Rate)^(Slot9_Age-D20))/KR20),0)</f>
        <v>0</v>
      </c>
      <c r="KT20" s="20" t="n">
        <f aca="false">IF(AND(HU20=1,IE20&gt;0,Slot9_IsWG=1,CZ20=1),MIN(IE20,KS20),0)</f>
        <v>0</v>
      </c>
      <c r="KU20" s="20" t="n">
        <f aca="false">DA20+KT20</f>
        <v>0</v>
      </c>
      <c r="KV20" s="20" t="n">
        <f aca="false">IF(CZ20=1,MAX(0,(Slot9_Cost-KU20*(1+Slot9_Rate)^(Slot9_Age-D20))/KR20),0)</f>
        <v>0</v>
      </c>
      <c r="KW20" s="20" t="n">
        <f aca="false">IF(CZ20=1,MAX(0,(Slot9_Cost-DA20*(1+Slot9_Rate)^(Slot9_Age-D20))/KR20),0)</f>
        <v>0</v>
      </c>
      <c r="KX20" s="20" t="n">
        <f aca="false">IF(AND(HU20=1,CZ20=1),MIN(KQ20,KV20),0)</f>
        <v>0</v>
      </c>
      <c r="KY20" s="20" t="n">
        <f aca="false">KQ20-KX20</f>
        <v>2225.35763460359</v>
      </c>
      <c r="KZ20" s="20" t="n">
        <f aca="false">IF(DJ20=1,IF(ABS((1+AS_Wage)/(1+Slot10_Rate)-1)&lt;0.000000000001,(Slot10_Age-D20)*(1+Slot10_Rate)^(Slot10_Age-D20),(1+Slot10_Rate)^(Slot10_Age-D20)*(1-((1+AS_Wage)/(1+Slot10_Rate))^(Slot10_Age-D20))/(1-(1+AS_Wage)/(1+Slot10_Rate))),1)</f>
        <v>1</v>
      </c>
      <c r="LA20" s="20" t="n">
        <f aca="false">IF(AND(HU20=1,IE20&gt;0,Slot10_IsWG=1,DJ20=1),MAX(0,(Slot10_Cost-DK20*(1+Slot10_Rate)^(Slot10_Age-D20))/KZ20),0)</f>
        <v>0</v>
      </c>
      <c r="LB20" s="20" t="n">
        <f aca="false">IF(AND(HU20=1,IE20&gt;0,Slot10_IsWG=1,DJ20=1),MIN(IE20,LA20),0)</f>
        <v>0</v>
      </c>
      <c r="LC20" s="20" t="n">
        <f aca="false">DK20+LB20</f>
        <v>0</v>
      </c>
      <c r="LD20" s="20" t="n">
        <f aca="false">IF(DJ20=1,MAX(0,(Slot10_Cost-LC20*(1+Slot10_Rate)^(Slot10_Age-D20))/KZ20),0)</f>
        <v>0</v>
      </c>
      <c r="LE20" s="20" t="n">
        <f aca="false">IF(DJ20=1,MAX(0,(Slot10_Cost-DK20*(1+Slot10_Rate)^(Slot10_Age-D20))/KZ20),0)</f>
        <v>0</v>
      </c>
      <c r="LF20" s="20" t="n">
        <f aca="false">IF(AND(HU20=1,DJ20=1),MIN(KY20,LD20),0)</f>
        <v>0</v>
      </c>
      <c r="LG20" s="20" t="n">
        <f aca="false">KY20-LF20</f>
        <v>2225.35763460359</v>
      </c>
      <c r="LH20" s="20" t="n">
        <f aca="false">IF(DT20=1,IF(ABS((1+AS_Wage)/(1+Slot11_Rate)-1)&lt;0.000000000001,(Slot11_Age-D20)*(1+Slot11_Rate)^(Slot11_Age-D20),(1+Slot11_Rate)^(Slot11_Age-D20)*(1-((1+AS_Wage)/(1+Slot11_Rate))^(Slot11_Age-D20))/(1-(1+AS_Wage)/(1+Slot11_Rate))),1)</f>
        <v>1</v>
      </c>
      <c r="LI20" s="20" t="n">
        <f aca="false">IF(AND(HU20=1,IE20&gt;0,Slot11_IsWG=1,DT20=1),MAX(0,(Slot11_Cost-DU20*(1+Slot11_Rate)^(Slot11_Age-D20))/LH20),0)</f>
        <v>0</v>
      </c>
      <c r="LJ20" s="20" t="n">
        <f aca="false">IF(AND(HU20=1,IE20&gt;0,Slot11_IsWG=1,DT20=1),MIN(IE20,LI20),0)</f>
        <v>0</v>
      </c>
      <c r="LK20" s="20" t="n">
        <f aca="false">DU20+LJ20</f>
        <v>0</v>
      </c>
      <c r="LL20" s="20" t="n">
        <f aca="false">IF(DT20=1,MAX(0,(Slot11_Cost-LK20*(1+Slot11_Rate)^(Slot11_Age-D20))/LH20),0)</f>
        <v>0</v>
      </c>
      <c r="LM20" s="20" t="n">
        <f aca="false">IF(DT20=1,MAX(0,(Slot11_Cost-DU20*(1+Slot11_Rate)^(Slot11_Age-D20))/LH20),0)</f>
        <v>0</v>
      </c>
      <c r="LN20" s="20" t="n">
        <f aca="false">IF(AND(HU20=1,DT20=1),MIN(LG20,LL20),0)</f>
        <v>0</v>
      </c>
      <c r="LO20" s="20" t="n">
        <f aca="false">LG20-LN20</f>
        <v>2225.35763460359</v>
      </c>
      <c r="LP20" s="20" t="n">
        <f aca="false">IF(ED20=1,IF(ABS((1+AS_Wage)/(1+Slot12_Rate)-1)&lt;0.000000000001,(Slot12_Age-D20)*(1+Slot12_Rate)^(Slot12_Age-D20),(1+Slot12_Rate)^(Slot12_Age-D20)*(1-((1+AS_Wage)/(1+Slot12_Rate))^(Slot12_Age-D20))/(1-(1+AS_Wage)/(1+Slot12_Rate))),1)</f>
        <v>1</v>
      </c>
      <c r="LQ20" s="20" t="n">
        <f aca="false">IF(AND(HU20=1,IE20&gt;0,Slot12_IsWG=1,ED20=1),MAX(0,(Slot12_Cost-EE20*(1+Slot12_Rate)^(Slot12_Age-D20))/LP20),0)</f>
        <v>0</v>
      </c>
      <c r="LR20" s="20" t="n">
        <f aca="false">IF(AND(HU20=1,IE20&gt;0,Slot12_IsWG=1,ED20=1),MIN(IE20,LQ20),0)</f>
        <v>0</v>
      </c>
      <c r="LS20" s="20" t="n">
        <f aca="false">EE20+LR20</f>
        <v>0</v>
      </c>
      <c r="LT20" s="20" t="n">
        <f aca="false">IF(ED20=1,MAX(0,(Slot12_Cost-LS20*(1+Slot12_Rate)^(Slot12_Age-D20))/LP20),0)</f>
        <v>0</v>
      </c>
      <c r="LU20" s="20" t="n">
        <f aca="false">IF(ED20=1,MAX(0,(Slot12_Cost-EE20*(1+Slot12_Rate)^(Slot12_Age-D20))/LP20),0)</f>
        <v>0</v>
      </c>
      <c r="LV20" s="20" t="n">
        <f aca="false">IF(AND(HU20=1,ED20=1),MIN(LO20,LT20),0)</f>
        <v>0</v>
      </c>
      <c r="LW20" s="20" t="n">
        <f aca="false">LO20-LV20</f>
        <v>2225.35763460359</v>
      </c>
      <c r="LX20" s="20" t="n">
        <f aca="false">IF(EN20=1,IF(ABS((1+AS_Wage)/(1+Slot13_Rate)-1)&lt;0.000000000001,(Slot13_Age-D20)*(1+Slot13_Rate)^(Slot13_Age-D20),(1+Slot13_Rate)^(Slot13_Age-D20)*(1-((1+AS_Wage)/(1+Slot13_Rate))^(Slot13_Age-D20))/(1-(1+AS_Wage)/(1+Slot13_Rate))),1)</f>
        <v>1</v>
      </c>
      <c r="LY20" s="20" t="n">
        <f aca="false">IF(AND(HU20=1,IE20&gt;0,Slot13_IsWG=1,EN20=1),MAX(0,(Slot13_Cost-EO20*(1+Slot13_Rate)^(Slot13_Age-D20))/LX20),0)</f>
        <v>0</v>
      </c>
      <c r="LZ20" s="20" t="n">
        <f aca="false">IF(AND(HU20=1,IE20&gt;0,Slot13_IsWG=1,EN20=1),MIN(IE20,LY20),0)</f>
        <v>0</v>
      </c>
      <c r="MA20" s="20" t="n">
        <f aca="false">EO20+LZ20</f>
        <v>0</v>
      </c>
      <c r="MB20" s="20" t="n">
        <f aca="false">IF(EN20=1,MAX(0,(Slot13_Cost-MA20*(1+Slot13_Rate)^(Slot13_Age-D20))/LX20),0)</f>
        <v>0</v>
      </c>
      <c r="MC20" s="20" t="n">
        <f aca="false">IF(EN20=1,MAX(0,(Slot13_Cost-EO20*(1+Slot13_Rate)^(Slot13_Age-D20))/LX20),0)</f>
        <v>0</v>
      </c>
      <c r="MD20" s="20" t="n">
        <f aca="false">IF(AND(HU20=1,EN20=1),MIN(LW20,MB20),0)</f>
        <v>0</v>
      </c>
      <c r="ME20" s="20" t="n">
        <f aca="false">LW20-MD20</f>
        <v>2225.35763460359</v>
      </c>
      <c r="MF20" s="20" t="n">
        <f aca="false">IF(EX20=1,IF(ABS((1+AS_Wage)/(1+Slot14_Rate)-1)&lt;0.000000000001,(Slot14_Age-D20)*(1+Slot14_Rate)^(Slot14_Age-D20),(1+Slot14_Rate)^(Slot14_Age-D20)*(1-((1+AS_Wage)/(1+Slot14_Rate))^(Slot14_Age-D20))/(1-(1+AS_Wage)/(1+Slot14_Rate))),1)</f>
        <v>1</v>
      </c>
      <c r="MG20" s="20" t="n">
        <f aca="false">IF(AND(HU20=1,IE20&gt;0,Slot14_IsWG=1,EX20=1),MAX(0,(Slot14_Cost-EY20*(1+Slot14_Rate)^(Slot14_Age-D20))/MF20),0)</f>
        <v>0</v>
      </c>
      <c r="MH20" s="20" t="n">
        <f aca="false">IF(AND(HU20=1,IE20&gt;0,Slot14_IsWG=1,EX20=1),MIN(IE20,MG20),0)</f>
        <v>0</v>
      </c>
      <c r="MI20" s="20" t="n">
        <f aca="false">EY20+MH20</f>
        <v>0</v>
      </c>
      <c r="MJ20" s="20" t="n">
        <f aca="false">IF(EX20=1,MAX(0,(Slot14_Cost-MI20*(1+Slot14_Rate)^(Slot14_Age-D20))/MF20),0)</f>
        <v>0</v>
      </c>
      <c r="MK20" s="20" t="n">
        <f aca="false">IF(EX20=1,MAX(0,(Slot14_Cost-EY20*(1+Slot14_Rate)^(Slot14_Age-D20))/MF20),0)</f>
        <v>0</v>
      </c>
      <c r="ML20" s="20" t="n">
        <f aca="false">IF(AND(HU20=1,EX20=1),MIN(ME20,MJ20),0)</f>
        <v>0</v>
      </c>
      <c r="MM20" s="20" t="n">
        <f aca="false">ME20-ML20</f>
        <v>2225.35763460359</v>
      </c>
      <c r="MN20" s="20" t="n">
        <f aca="false">IF(FH20=1,IF(ABS((1+AS_Wage)/(1+Slot15_Rate)-1)&lt;0.000000000001,(Slot15_Age-D20)*(1+Slot15_Rate)^(Slot15_Age-D20),(1+Slot15_Rate)^(Slot15_Age-D20)*(1-((1+AS_Wage)/(1+Slot15_Rate))^(Slot15_Age-D20))/(1-(1+AS_Wage)/(1+Slot15_Rate))),1)</f>
        <v>1</v>
      </c>
      <c r="MO20" s="20" t="n">
        <f aca="false">IF(AND(HU20=1,IE20&gt;0,Slot15_IsWG=1,FH20=1),MAX(0,(Slot15_Cost-FI20*(1+Slot15_Rate)^(Slot15_Age-D20))/MN20),0)</f>
        <v>0</v>
      </c>
      <c r="MP20" s="20" t="n">
        <f aca="false">IF(AND(HU20=1,IE20&gt;0,Slot15_IsWG=1,FH20=1),MIN(IE20,MO20),0)</f>
        <v>0</v>
      </c>
      <c r="MQ20" s="20" t="n">
        <f aca="false">FI20+MP20</f>
        <v>0</v>
      </c>
      <c r="MR20" s="20" t="n">
        <f aca="false">IF(FH20=1,MAX(0,(Slot15_Cost-MQ20*(1+Slot15_Rate)^(Slot15_Age-D20))/MN20),0)</f>
        <v>0</v>
      </c>
      <c r="MS20" s="20" t="n">
        <f aca="false">IF(FH20=1,MAX(0,(Slot15_Cost-FI20*(1+Slot15_Rate)^(Slot15_Age-D20))/MN20),0)</f>
        <v>0</v>
      </c>
      <c r="MT20" s="20" t="n">
        <f aca="false">IF(AND(HU20=1,FH20=1),MIN(MM20,MR20),0)</f>
        <v>0</v>
      </c>
      <c r="MU20" s="20" t="n">
        <f aca="false">MM20-MT20</f>
        <v>2225.35763460359</v>
      </c>
      <c r="MV20" s="20" t="n">
        <f aca="false">IF(FR20=1,IF(ABS((1+AS_Wage)/(1+Slot16_Rate)-1)&lt;0.000000000001,(Slot16_Age-D20)*(1+Slot16_Rate)^(Slot16_Age-D20),(1+Slot16_Rate)^(Slot16_Age-D20)*(1-((1+AS_Wage)/(1+Slot16_Rate))^(Slot16_Age-D20))/(1-(1+AS_Wage)/(1+Slot16_Rate))),1)</f>
        <v>1</v>
      </c>
      <c r="MW20" s="20" t="n">
        <f aca="false">IF(AND(HU20=1,IE20&gt;0,Slot16_IsWG=1,FR20=1),MAX(0,(Slot16_Cost-FS20*(1+Slot16_Rate)^(Slot16_Age-D20))/MV20),0)</f>
        <v>0</v>
      </c>
      <c r="MX20" s="20" t="n">
        <f aca="false">IF(AND(HU20=1,IE20&gt;0,Slot16_IsWG=1,FR20=1),MIN(IE20,MW20),0)</f>
        <v>0</v>
      </c>
      <c r="MY20" s="20" t="n">
        <f aca="false">FS20+MX20</f>
        <v>0</v>
      </c>
      <c r="MZ20" s="20" t="n">
        <f aca="false">IF(FR20=1,MAX(0,(Slot16_Cost-MY20*(1+Slot16_Rate)^(Slot16_Age-D20))/MV20),0)</f>
        <v>0</v>
      </c>
      <c r="NA20" s="20" t="n">
        <f aca="false">IF(FR20=1,MAX(0,(Slot16_Cost-FS20*(1+Slot16_Rate)^(Slot16_Age-D20))/MV20),0)</f>
        <v>0</v>
      </c>
      <c r="NB20" s="20" t="n">
        <f aca="false">IF(AND(HU20=1,FR20=1),MIN(MU20,MZ20),0)</f>
        <v>0</v>
      </c>
      <c r="NC20" s="20" t="n">
        <f aca="false">MU20-NB20</f>
        <v>2225.35763460359</v>
      </c>
      <c r="ND20" s="20" t="n">
        <f aca="false">IF(GB20=1,IF(ABS((1+AS_Wage)/(1+Slot17_Rate)-1)&lt;0.000000000001,(Slot17_Age-D20)*(1+Slot17_Rate)^(Slot17_Age-D20),(1+Slot17_Rate)^(Slot17_Age-D20)*(1-((1+AS_Wage)/(1+Slot17_Rate))^(Slot17_Age-D20))/(1-(1+AS_Wage)/(1+Slot17_Rate))),1)</f>
        <v>1</v>
      </c>
      <c r="NE20" s="20" t="n">
        <f aca="false">IF(AND(HU20=1,IE20&gt;0,Slot17_IsWG=1,GB20=1),MAX(0,(Slot17_Cost-GC20*(1+Slot17_Rate)^(Slot17_Age-D20))/ND20),0)</f>
        <v>0</v>
      </c>
      <c r="NF20" s="20" t="n">
        <f aca="false">IF(AND(HU20=1,IE20&gt;0,Slot17_IsWG=1,GB20=1),MIN(IE20,NE20),0)</f>
        <v>0</v>
      </c>
      <c r="NG20" s="20" t="n">
        <f aca="false">GC20+NF20</f>
        <v>0</v>
      </c>
      <c r="NH20" s="20" t="n">
        <f aca="false">IF(GB20=1,MAX(0,(Slot17_Cost-NG20*(1+Slot17_Rate)^(Slot17_Age-D20))/ND20),0)</f>
        <v>0</v>
      </c>
      <c r="NI20" s="20" t="n">
        <f aca="false">IF(GB20=1,MAX(0,(Slot17_Cost-GC20*(1+Slot17_Rate)^(Slot17_Age-D20))/ND20),0)</f>
        <v>0</v>
      </c>
      <c r="NJ20" s="20" t="n">
        <f aca="false">IF(AND(HU20=1,GB20=1),MIN(NC20,NH20),0)</f>
        <v>0</v>
      </c>
      <c r="NK20" s="20" t="n">
        <f aca="false">NC20-NJ20</f>
        <v>2225.35763460359</v>
      </c>
      <c r="NL20" s="20" t="n">
        <f aca="false">IF(GL20=1,IF(ABS((1+AS_Wage)/(1+Slot18_Rate)-1)&lt;0.000000000001,(Slot18_Age-D20)*(1+Slot18_Rate)^(Slot18_Age-D20),(1+Slot18_Rate)^(Slot18_Age-D20)*(1-((1+AS_Wage)/(1+Slot18_Rate))^(Slot18_Age-D20))/(1-(1+AS_Wage)/(1+Slot18_Rate))),1)</f>
        <v>1</v>
      </c>
      <c r="NM20" s="20" t="n">
        <f aca="false">IF(AND(HU20=1,IE20&gt;0,Slot18_IsWG=1,GL20=1),MAX(0,(Slot18_Cost-GM20*(1+Slot18_Rate)^(Slot18_Age-D20))/NL20),0)</f>
        <v>0</v>
      </c>
      <c r="NN20" s="20" t="n">
        <f aca="false">IF(AND(HU20=1,IE20&gt;0,Slot18_IsWG=1,GL20=1),MIN(IE20,NM20),0)</f>
        <v>0</v>
      </c>
      <c r="NO20" s="20" t="n">
        <f aca="false">GM20+NN20</f>
        <v>0</v>
      </c>
      <c r="NP20" s="20" t="n">
        <f aca="false">IF(GL20=1,MAX(0,(Slot18_Cost-NO20*(1+Slot18_Rate)^(Slot18_Age-D20))/NL20),0)</f>
        <v>0</v>
      </c>
      <c r="NQ20" s="20" t="n">
        <f aca="false">IF(GL20=1,MAX(0,(Slot18_Cost-GM20*(1+Slot18_Rate)^(Slot18_Age-D20))/NL20),0)</f>
        <v>0</v>
      </c>
      <c r="NR20" s="20" t="n">
        <f aca="false">IF(AND(HU20=1,GL20=1),MIN(NK20,NP20),0)</f>
        <v>0</v>
      </c>
      <c r="NS20" s="20" t="n">
        <f aca="false">NK20-NR20</f>
        <v>2225.35763460359</v>
      </c>
      <c r="NT20" s="20" t="n">
        <f aca="false">IF(GV20=1,IF(ABS((1+AS_Wage)/(1+Slot19_Rate)-1)&lt;0.000000000001,(Slot19_Age-D20)*(1+Slot19_Rate)^(Slot19_Age-D20),(1+Slot19_Rate)^(Slot19_Age-D20)*(1-((1+AS_Wage)/(1+Slot19_Rate))^(Slot19_Age-D20))/(1-(1+AS_Wage)/(1+Slot19_Rate))),1)</f>
        <v>1</v>
      </c>
      <c r="NU20" s="20" t="n">
        <f aca="false">IF(AND(HU20=1,IE20&gt;0,Slot19_IsWG=1,GV20=1),MAX(0,(Slot19_Cost-GW20*(1+Slot19_Rate)^(Slot19_Age-D20))/NT20),0)</f>
        <v>0</v>
      </c>
      <c r="NV20" s="20" t="n">
        <f aca="false">IF(AND(HU20=1,IE20&gt;0,Slot19_IsWG=1,GV20=1),MIN(IE20,NU20),0)</f>
        <v>0</v>
      </c>
      <c r="NW20" s="20" t="n">
        <f aca="false">GW20+NV20</f>
        <v>0</v>
      </c>
      <c r="NX20" s="20" t="n">
        <f aca="false">IF(GV20=1,MAX(0,(Slot19_Cost-NW20*(1+Slot19_Rate)^(Slot19_Age-D20))/NT20),0)</f>
        <v>0</v>
      </c>
      <c r="NY20" s="20" t="n">
        <f aca="false">IF(GV20=1,MAX(0,(Slot19_Cost-GW20*(1+Slot19_Rate)^(Slot19_Age-D20))/NT20),0)</f>
        <v>0</v>
      </c>
      <c r="NZ20" s="20" t="n">
        <f aca="false">IF(AND(HU20=1,GV20=1),MIN(NS20,NX20),0)</f>
        <v>0</v>
      </c>
      <c r="OA20" s="20" t="n">
        <f aca="false">NS20-NZ20</f>
        <v>2225.35763460359</v>
      </c>
      <c r="OB20" s="20" t="n">
        <f aca="false">IF(HF20=1,IF(ABS((1+AS_Wage)/(1+Slot20_Rate)-1)&lt;0.000000000001,(Slot20_Age-D20)*(1+Slot20_Rate)^(Slot20_Age-D20),(1+Slot20_Rate)^(Slot20_Age-D20)*(1-((1+AS_Wage)/(1+Slot20_Rate))^(Slot20_Age-D20))/(1-(1+AS_Wage)/(1+Slot20_Rate))),1)</f>
        <v>1</v>
      </c>
      <c r="OC20" s="20" t="n">
        <f aca="false">IF(AND(HU20=1,IE20&gt;0,Slot20_IsWG=1,HF20=1),MAX(0,(Slot20_Cost-HG20*(1+Slot20_Rate)^(Slot20_Age-D20))/OB20),0)</f>
        <v>0</v>
      </c>
      <c r="OD20" s="20" t="n">
        <f aca="false">IF(AND(HU20=1,IE20&gt;0,Slot20_IsWG=1,HF20=1),MIN(IE20,OC20),0)</f>
        <v>0</v>
      </c>
      <c r="OE20" s="20" t="n">
        <f aca="false">HG20+OD20</f>
        <v>0</v>
      </c>
      <c r="OF20" s="20" t="n">
        <f aca="false">IF(HF20=1,MAX(0,(Slot20_Cost-OE20*(1+Slot20_Rate)^(Slot20_Age-D20))/OB20),0)</f>
        <v>0</v>
      </c>
      <c r="OG20" s="20" t="n">
        <f aca="false">IF(HF20=1,MAX(0,(Slot20_Cost-HG20*(1+Slot20_Rate)^(Slot20_Age-D20))/OB20),0)</f>
        <v>0</v>
      </c>
      <c r="OH20" s="20" t="n">
        <f aca="false">IF(AND(HU20=1,HF20=1),MIN(OA20,OF20),0)</f>
        <v>0</v>
      </c>
      <c r="OI20" s="20" t="n">
        <f aca="false">OA20-OH20</f>
        <v>2225.35763460359</v>
      </c>
      <c r="OJ20" s="20" t="n">
        <f aca="false">IE20-(IH20+IP20+IX20+JF20+JN20+JV20+KD20+KL20+KT20+LB20+LJ20+LR20+LZ20+MH20+MP20+MX20+NF20+NN20+NV20+OD20)</f>
        <v>0</v>
      </c>
      <c r="OK20" s="20" t="n">
        <f aca="false">IF(HU20=1,HS20-ID20-IE20,0)</f>
        <v>7234.20841208084</v>
      </c>
      <c r="OL20" s="20" t="n">
        <f aca="false">IF(HU20=0,-HS20,0)</f>
        <v>0</v>
      </c>
      <c r="OM20" s="20" t="n">
        <f aca="false">MIN(OL20,HK20)</f>
        <v>0</v>
      </c>
      <c r="ON20" s="20" t="n">
        <f aca="false">OL20-OM20</f>
        <v>0</v>
      </c>
      <c r="OO20" s="20" t="n">
        <f aca="false">MIN(ON20,HL20)</f>
        <v>0</v>
      </c>
      <c r="OP20" s="20" t="n">
        <f aca="false">ON20-OO20</f>
        <v>0</v>
      </c>
      <c r="OQ20" s="20" t="n">
        <f aca="false">IF(AND(HU20=0,HF20=1,OP20&gt;0),MIN(OP20,HG20),0)</f>
        <v>0</v>
      </c>
      <c r="OR20" s="20" t="n">
        <f aca="false">OP20-OQ20</f>
        <v>0</v>
      </c>
      <c r="OS20" s="20" t="n">
        <f aca="false">IF(AND(HU20=0,GV20=1,OR20&gt;0),MIN(OR20,GW20),0)</f>
        <v>0</v>
      </c>
      <c r="OT20" s="20" t="n">
        <f aca="false">OR20-OS20</f>
        <v>0</v>
      </c>
      <c r="OU20" s="20" t="n">
        <f aca="false">IF(AND(HU20=0,GL20=1,OT20&gt;0),MIN(OT20,GM20),0)</f>
        <v>0</v>
      </c>
      <c r="OV20" s="20" t="n">
        <f aca="false">OT20-OU20</f>
        <v>0</v>
      </c>
      <c r="OW20" s="20" t="n">
        <f aca="false">IF(AND(HU20=0,GB20=1,OV20&gt;0),MIN(OV20,GC20),0)</f>
        <v>0</v>
      </c>
      <c r="OX20" s="20" t="n">
        <f aca="false">OV20-OW20</f>
        <v>0</v>
      </c>
      <c r="OY20" s="20" t="n">
        <f aca="false">IF(AND(HU20=0,FR20=1,OX20&gt;0),MIN(OX20,FS20),0)</f>
        <v>0</v>
      </c>
      <c r="OZ20" s="20" t="n">
        <f aca="false">OX20-OY20</f>
        <v>0</v>
      </c>
      <c r="PA20" s="20" t="n">
        <f aca="false">IF(AND(HU20=0,FH20=1,OZ20&gt;0),MIN(OZ20,FI20),0)</f>
        <v>0</v>
      </c>
      <c r="PB20" s="20" t="n">
        <f aca="false">OZ20-PA20</f>
        <v>0</v>
      </c>
      <c r="PC20" s="20" t="n">
        <f aca="false">IF(AND(HU20=0,EX20=1,PB20&gt;0),MIN(PB20,EY20),0)</f>
        <v>0</v>
      </c>
      <c r="PD20" s="20" t="n">
        <f aca="false">PB20-PC20</f>
        <v>0</v>
      </c>
      <c r="PE20" s="20" t="n">
        <f aca="false">IF(AND(HU20=0,EN20=1,PD20&gt;0),MIN(PD20,EO20),0)</f>
        <v>0</v>
      </c>
      <c r="PF20" s="20" t="n">
        <f aca="false">PD20-PE20</f>
        <v>0</v>
      </c>
      <c r="PG20" s="20" t="n">
        <f aca="false">IF(AND(HU20=0,ED20=1,PF20&gt;0),MIN(PF20,EE20),0)</f>
        <v>0</v>
      </c>
      <c r="PH20" s="20" t="n">
        <f aca="false">PF20-PG20</f>
        <v>0</v>
      </c>
      <c r="PI20" s="20" t="n">
        <f aca="false">IF(AND(HU20=0,DT20=1,PH20&gt;0),MIN(PH20,DU20),0)</f>
        <v>0</v>
      </c>
      <c r="PJ20" s="20" t="n">
        <f aca="false">PH20-PI20</f>
        <v>0</v>
      </c>
      <c r="PK20" s="20" t="n">
        <f aca="false">IF(AND(HU20=0,DJ20=1,PJ20&gt;0),MIN(PJ20,DK20),0)</f>
        <v>0</v>
      </c>
      <c r="PL20" s="20" t="n">
        <f aca="false">PJ20-PK20</f>
        <v>0</v>
      </c>
      <c r="PM20" s="20" t="n">
        <f aca="false">IF(AND(HU20=0,CZ20=1,PL20&gt;0),MIN(PL20,DA20),0)</f>
        <v>0</v>
      </c>
      <c r="PN20" s="20" t="n">
        <f aca="false">PL20-PM20</f>
        <v>0</v>
      </c>
      <c r="PO20" s="20" t="n">
        <f aca="false">IF(AND(HU20=0,CP20=1,PN20&gt;0),MIN(PN20,CQ20),0)</f>
        <v>0</v>
      </c>
      <c r="PP20" s="20" t="n">
        <f aca="false">PN20-PO20</f>
        <v>0</v>
      </c>
      <c r="PQ20" s="20" t="n">
        <f aca="false">IF(AND(HU20=0,CF20=1,PP20&gt;0),MIN(PP20,CG20),0)</f>
        <v>0</v>
      </c>
      <c r="PR20" s="20" t="n">
        <f aca="false">PP20-PQ20</f>
        <v>0</v>
      </c>
      <c r="PS20" s="20" t="n">
        <f aca="false">IF(AND(HU20=0,BV20=1,PR20&gt;0),MIN(PR20,BW20),0)</f>
        <v>0</v>
      </c>
      <c r="PT20" s="20" t="n">
        <f aca="false">PR20-PS20</f>
        <v>0</v>
      </c>
      <c r="PU20" s="20" t="n">
        <f aca="false">IF(AND(HU20=0,BL20=1,PT20&gt;0),MIN(PT20,BM20),0)</f>
        <v>0</v>
      </c>
      <c r="PV20" s="20" t="n">
        <f aca="false">PT20-PU20</f>
        <v>0</v>
      </c>
      <c r="PW20" s="20" t="n">
        <f aca="false">IF(AND(HU20=0,BB20=1,PV20&gt;0),MIN(PV20,BC20),0)</f>
        <v>0</v>
      </c>
      <c r="PX20" s="20" t="n">
        <f aca="false">PV20-PW20</f>
        <v>0</v>
      </c>
      <c r="PY20" s="20" t="n">
        <f aca="false">IF(AND(HU20=0,AR20=1,PX20&gt;0),MIN(PX20,AS20),0)</f>
        <v>0</v>
      </c>
      <c r="PZ20" s="20" t="n">
        <f aca="false">PX20-PY20</f>
        <v>0</v>
      </c>
      <c r="QA20" s="20" t="n">
        <f aca="false">IF(AND(HU20=0,AH20=1,PZ20&gt;0),MIN(PZ20,AI20),0)</f>
        <v>0</v>
      </c>
      <c r="QB20" s="20" t="n">
        <f aca="false">PZ20-QA20</f>
        <v>0</v>
      </c>
      <c r="QC20" s="20" t="n">
        <f aca="false">IF(AND(HU20=0,W20=1,QB20&gt;0),MIN(QB20,X20),0)</f>
        <v>0</v>
      </c>
      <c r="QD20" s="20" t="n">
        <f aca="false">QB20-QC20</f>
        <v>0</v>
      </c>
      <c r="QE20" s="20" t="n">
        <f aca="false">IF(HU20=0,QD20,0)</f>
        <v>0</v>
      </c>
      <c r="QF20" s="20" t="n">
        <f aca="false">OM20+OO20+QC20+QA20+PY20+PW20+PU20+PS20+PQ20+PO20+PM20+PK20+PI20+PG20+PE20+PC20+PA20+OY20+OW20+OU20+OS20+OQ20</f>
        <v>0</v>
      </c>
      <c r="QG20" s="20" t="n">
        <f aca="false">IF(HU20=1,HK20+OJ20+OI20+IF(G20=1,0,OK20),HK20-OM20)</f>
        <v>5454.59429070528</v>
      </c>
      <c r="QH20" s="20" t="n">
        <f aca="false">HL20-OO20</f>
        <v>17238.7328891673</v>
      </c>
      <c r="QI20" s="20" t="n">
        <f aca="false">IF(HU20=1,IF(G20=1,ID20+IE20,HS20),0)</f>
        <v>7234.20841208084</v>
      </c>
      <c r="QJ20" s="20" t="n">
        <f aca="false">IF(HU20=1,IF(G20=1,HS20-ID20-IE20,0),0)</f>
        <v>7234.20841208084</v>
      </c>
      <c r="QK20" s="20" t="n">
        <f aca="false">QG20*(1+GR)</f>
        <v>5544.04963707285</v>
      </c>
      <c r="QL20" s="20" t="n">
        <f aca="false">QH20*(1+AS_Cash)</f>
        <v>17411.1202180589</v>
      </c>
      <c r="QM20" s="20" t="n">
        <f aca="false">IF(W20=1,IF(HU20=1,II20+IL20,X20-QC20)*(1+Slot1_Rate),0)</f>
        <v>0</v>
      </c>
      <c r="QN20" s="20" t="n">
        <f aca="false">IF(AND(HU20=1,W20=1),(IH20+IL20)/F20,0)</f>
        <v>0</v>
      </c>
      <c r="QO20" s="20" t="n">
        <f aca="false">IF(B20=0,IH20+IL20,0)</f>
        <v>0</v>
      </c>
      <c r="QP20" s="20" t="n">
        <f aca="false">IF(B20=0,IF(HU20=1,IJ20,IK20),0)</f>
        <v>0</v>
      </c>
      <c r="QQ20" s="20" t="n">
        <f aca="false">IF(AH20=1,IF(HU20=1,IQ20+IT20,AI20-QA20)*(1+Slot2_Rate),0)</f>
        <v>0</v>
      </c>
      <c r="QR20" s="20" t="n">
        <f aca="false">IF(AND(HU20=1,AH20=1),(IP20+IT20)/F20,0)</f>
        <v>0</v>
      </c>
      <c r="QS20" s="20" t="n">
        <f aca="false">IF(B20=0,IP20+IT20,0)</f>
        <v>0</v>
      </c>
      <c r="QT20" s="20" t="n">
        <f aca="false">IF(B20=0,IF(HU20=1,IR20,IS20),0)</f>
        <v>0</v>
      </c>
      <c r="QU20" s="20" t="n">
        <f aca="false">IF(AR20=1,IF(HU20=1,IY20+JB20,AS20-PY20)*(1+Slot3_Rate),0)</f>
        <v>0</v>
      </c>
      <c r="QV20" s="20" t="n">
        <f aca="false">IF(AND(HU20=1,AR20=1),(IX20+JB20)/F20,0)</f>
        <v>0</v>
      </c>
      <c r="QW20" s="20" t="n">
        <f aca="false">IF(B20=0,IX20+JB20,0)</f>
        <v>0</v>
      </c>
      <c r="QX20" s="20" t="n">
        <f aca="false">IF(B20=0,IF(HU20=1,IZ20,JA20),0)</f>
        <v>0</v>
      </c>
      <c r="QY20" s="20" t="n">
        <f aca="false">IF(BB20=1,IF(HU20=1,JG20+JJ20,BC20-PW20)*(1+Slot4_Rate),0)</f>
        <v>15357.4474111435</v>
      </c>
      <c r="QZ20" s="20" t="n">
        <f aca="false">IF(AND(HU20=1,BB20=1),(JF20+JJ20)/F20,0)</f>
        <v>3949.44465554768</v>
      </c>
      <c r="RA20" s="20" t="n">
        <f aca="false">IF(B20=0,JF20+JJ20,0)</f>
        <v>0</v>
      </c>
      <c r="RB20" s="20" t="n">
        <f aca="false">IF(B20=0,IF(HU20=1,JH20,JI20),0)</f>
        <v>0</v>
      </c>
      <c r="RC20" s="20" t="n">
        <f aca="false">IF(BL20=1,IF(HU20=1,JO20+JR20,BM20-PU20)*(1+Slot5_Rate),0)</f>
        <v>0</v>
      </c>
      <c r="RD20" s="20" t="n">
        <f aca="false">IF(AND(HU20=1,BL20=1),(JN20+JR20)/F20,0)</f>
        <v>0</v>
      </c>
      <c r="RE20" s="20" t="n">
        <f aca="false">IF(B20=0,JN20+JR20,0)</f>
        <v>0</v>
      </c>
      <c r="RF20" s="20" t="n">
        <f aca="false">IF(B20=0,IF(HU20=1,JP20,JQ20),0)</f>
        <v>0</v>
      </c>
      <c r="RG20" s="20" t="n">
        <f aca="false">IF(BV20=1,IF(HU20=1,JW20+JZ20,BW20-PS20)*(1+Slot6_Rate),0)</f>
        <v>0</v>
      </c>
      <c r="RH20" s="20" t="n">
        <f aca="false">IF(AND(HU20=1,BV20=1),(JV20+JZ20)/F20,0)</f>
        <v>0</v>
      </c>
      <c r="RI20" s="20" t="n">
        <f aca="false">IF(B20=0,JV20+JZ20,0)</f>
        <v>0</v>
      </c>
      <c r="RJ20" s="20" t="n">
        <f aca="false">IF(B20=0,IF(HU20=1,JX20,JY20),0)</f>
        <v>0</v>
      </c>
      <c r="RK20" s="20" t="n">
        <f aca="false">IF(CF20=1,IF(HU20=1,KE20+KH20,CG20-PQ20)*(1+Slot7_Rate),0)</f>
        <v>0</v>
      </c>
      <c r="RL20" s="20" t="n">
        <f aca="false">IF(AND(HU20=1,CF20=1),(KD20+KH20)/F20,0)</f>
        <v>0</v>
      </c>
      <c r="RM20" s="20" t="n">
        <f aca="false">IF(B20=0,KD20+KH20,0)</f>
        <v>0</v>
      </c>
      <c r="RN20" s="20" t="n">
        <f aca="false">IF(B20=0,IF(HU20=1,KF20,KG20),0)</f>
        <v>0</v>
      </c>
      <c r="RO20" s="20" t="n">
        <f aca="false">IF(CP20=1,IF(HU20=1,KM20+KP20,CQ20-PO20)*(1+Slot8_Rate),0)</f>
        <v>0</v>
      </c>
      <c r="RP20" s="20" t="n">
        <f aca="false">IF(AND(HU20=1,CP20=1),(KL20+KP20)/F20,0)</f>
        <v>0</v>
      </c>
      <c r="RQ20" s="20" t="n">
        <f aca="false">IF(B20=0,KL20+KP20,0)</f>
        <v>0</v>
      </c>
      <c r="RR20" s="20" t="n">
        <f aca="false">IF(B20=0,IF(HU20=1,KN20,KO20),0)</f>
        <v>0</v>
      </c>
      <c r="RS20" s="20" t="n">
        <f aca="false">IF(CZ20=1,IF(HU20=1,KU20+KX20,DA20-PM20)*(1+Slot9_Rate),0)</f>
        <v>0</v>
      </c>
      <c r="RT20" s="20" t="n">
        <f aca="false">IF(AND(HU20=1,CZ20=1),(KT20+KX20)/F20,0)</f>
        <v>0</v>
      </c>
      <c r="RU20" s="20" t="n">
        <f aca="false">IF(B20=0,KT20+KX20,0)</f>
        <v>0</v>
      </c>
      <c r="RV20" s="20" t="n">
        <f aca="false">IF(B20=0,IF(HU20=1,KV20,KW20),0)</f>
        <v>0</v>
      </c>
      <c r="RW20" s="20" t="n">
        <f aca="false">IF(DJ20=1,IF(HU20=1,LC20+LF20,DK20-PK20)*(1+Slot10_Rate),0)</f>
        <v>0</v>
      </c>
      <c r="RX20" s="20" t="n">
        <f aca="false">IF(AND(HU20=1,DJ20=1),(LB20+LF20)/F20,0)</f>
        <v>0</v>
      </c>
      <c r="RY20" s="20" t="n">
        <f aca="false">IF(B20=0,LB20+LF20,0)</f>
        <v>0</v>
      </c>
      <c r="RZ20" s="20" t="n">
        <f aca="false">IF(B20=0,IF(HU20=1,LD20,LE20),0)</f>
        <v>0</v>
      </c>
      <c r="SA20" s="20" t="n">
        <f aca="false">IF(DT20=1,IF(HU20=1,LK20+LN20,DU20-PI20)*(1+Slot11_Rate),0)</f>
        <v>0</v>
      </c>
      <c r="SB20" s="20" t="n">
        <f aca="false">IF(AND(HU20=1,DT20=1),(LJ20+LN20)/F20,0)</f>
        <v>0</v>
      </c>
      <c r="SC20" s="20" t="n">
        <f aca="false">IF(B20=0,LJ20+LN20,0)</f>
        <v>0</v>
      </c>
      <c r="SD20" s="20" t="n">
        <f aca="false">IF(B20=0,IF(HU20=1,LL20,LM20),0)</f>
        <v>0</v>
      </c>
      <c r="SE20" s="20" t="n">
        <f aca="false">IF(ED20=1,IF(HU20=1,LS20+LV20,EE20-PG20)*(1+Slot12_Rate),0)</f>
        <v>0</v>
      </c>
      <c r="SF20" s="20" t="n">
        <f aca="false">IF(AND(HU20=1,ED20=1),(LR20+LV20)/F20,0)</f>
        <v>0</v>
      </c>
      <c r="SG20" s="20" t="n">
        <f aca="false">IF(B20=0,LR20+LV20,0)</f>
        <v>0</v>
      </c>
      <c r="SH20" s="20" t="n">
        <f aca="false">IF(B20=0,IF(HU20=1,LT20,LU20),0)</f>
        <v>0</v>
      </c>
      <c r="SI20" s="20" t="n">
        <f aca="false">IF(EN20=1,IF(HU20=1,MA20+MD20,EO20-PE20)*(1+Slot13_Rate),0)</f>
        <v>0</v>
      </c>
      <c r="SJ20" s="20" t="n">
        <f aca="false">IF(AND(HU20=1,EN20=1),(LZ20+MD20)/F20,0)</f>
        <v>0</v>
      </c>
      <c r="SK20" s="20" t="n">
        <f aca="false">IF(B20=0,LZ20+MD20,0)</f>
        <v>0</v>
      </c>
      <c r="SL20" s="20" t="n">
        <f aca="false">IF(B20=0,IF(HU20=1,MB20,MC20),0)</f>
        <v>0</v>
      </c>
      <c r="SM20" s="20" t="n">
        <f aca="false">IF(EX20=1,IF(HU20=1,MI20+ML20,EY20-PC20)*(1+Slot14_Rate),0)</f>
        <v>0</v>
      </c>
      <c r="SN20" s="20" t="n">
        <f aca="false">IF(AND(HU20=1,EX20=1),(MH20+ML20)/F20,0)</f>
        <v>0</v>
      </c>
      <c r="SO20" s="20" t="n">
        <f aca="false">IF(B20=0,MH20+ML20,0)</f>
        <v>0</v>
      </c>
      <c r="SP20" s="20" t="n">
        <f aca="false">IF(B20=0,IF(HU20=1,MJ20,MK20),0)</f>
        <v>0</v>
      </c>
      <c r="SQ20" s="20" t="n">
        <f aca="false">IF(FH20=1,IF(HU20=1,MQ20+MT20,FI20-PA20)*(1+Slot15_Rate),0)</f>
        <v>0</v>
      </c>
      <c r="SR20" s="20" t="n">
        <f aca="false">IF(AND(HU20=1,FH20=1),(MP20+MT20)/F20,0)</f>
        <v>0</v>
      </c>
      <c r="SS20" s="20" t="n">
        <f aca="false">IF(B20=0,MP20+MT20,0)</f>
        <v>0</v>
      </c>
      <c r="ST20" s="20" t="n">
        <f aca="false">IF(B20=0,IF(HU20=1,MR20,MS20),0)</f>
        <v>0</v>
      </c>
      <c r="SU20" s="20" t="n">
        <f aca="false">IF(FR20=1,IF(HU20=1,MY20+NB20,FS20-OY20)*(1+Slot16_Rate),0)</f>
        <v>0</v>
      </c>
      <c r="SV20" s="20" t="n">
        <f aca="false">IF(AND(HU20=1,FR20=1),(MX20+NB20)/F20,0)</f>
        <v>0</v>
      </c>
      <c r="SW20" s="20" t="n">
        <f aca="false">IF(B20=0,MX20+NB20,0)</f>
        <v>0</v>
      </c>
      <c r="SX20" s="20" t="n">
        <f aca="false">IF(B20=0,IF(HU20=1,MZ20,NA20),0)</f>
        <v>0</v>
      </c>
      <c r="SY20" s="20" t="n">
        <f aca="false">IF(GB20=1,IF(HU20=1,NG20+NJ20,GC20-OW20)*(1+Slot17_Rate),0)</f>
        <v>0</v>
      </c>
      <c r="SZ20" s="20" t="n">
        <f aca="false">IF(AND(HU20=1,GB20=1),(NF20+NJ20)/F20,0)</f>
        <v>0</v>
      </c>
      <c r="TA20" s="20" t="n">
        <f aca="false">IF(B20=0,NF20+NJ20,0)</f>
        <v>0</v>
      </c>
      <c r="TB20" s="20" t="n">
        <f aca="false">IF(B20=0,IF(HU20=1,NH20,NI20),0)</f>
        <v>0</v>
      </c>
      <c r="TC20" s="20" t="n">
        <f aca="false">IF(GL20=1,IF(HU20=1,NO20+NR20,GM20-OU20)*(1+Slot18_Rate),0)</f>
        <v>0</v>
      </c>
      <c r="TD20" s="20" t="n">
        <f aca="false">IF(AND(HU20=1,GL20=1),(NN20+NR20)/F20,0)</f>
        <v>0</v>
      </c>
      <c r="TE20" s="20" t="n">
        <f aca="false">IF(B20=0,NN20+NR20,0)</f>
        <v>0</v>
      </c>
      <c r="TF20" s="20" t="n">
        <f aca="false">IF(B20=0,IF(HU20=1,NP20,NQ20),0)</f>
        <v>0</v>
      </c>
      <c r="TG20" s="20" t="n">
        <f aca="false">IF(GV20=1,IF(HU20=1,NW20+NZ20,GW20-OS20)*(1+Slot19_Rate),0)</f>
        <v>0</v>
      </c>
      <c r="TH20" s="20" t="n">
        <f aca="false">IF(AND(HU20=1,GV20=1),(NV20+NZ20)/F20,0)</f>
        <v>0</v>
      </c>
      <c r="TI20" s="20" t="n">
        <f aca="false">IF(B20=0,NV20+NZ20,0)</f>
        <v>0</v>
      </c>
      <c r="TJ20" s="20" t="n">
        <f aca="false">IF(B20=0,IF(HU20=1,NX20,NY20),0)</f>
        <v>0</v>
      </c>
      <c r="TK20" s="20" t="n">
        <f aca="false">IF(HF20=1,IF(HU20=1,OE20+OH20,HG20-OQ20)*(1+Slot20_Rate),0)</f>
        <v>0</v>
      </c>
      <c r="TL20" s="20" t="n">
        <f aca="false">IF(AND(HU20=1,HF20=1),(OD20+OH20)/F20,0)</f>
        <v>0</v>
      </c>
      <c r="TM20" s="20" t="n">
        <f aca="false">IF(B20=0,OD20+OH20,0)</f>
        <v>0</v>
      </c>
      <c r="TN20" s="20" t="n">
        <f aca="false">IF(B20=0,IF(HU20=1,OF20,OG20),0)</f>
        <v>0</v>
      </c>
      <c r="TO20" s="20" t="n">
        <f aca="false">QK20+QL20+QM20+QQ20+QU20+QY20+RC20+RG20+RK20+RO20+RS20+RW20+SA20+SE20+SI20+SM20+SQ20+SU20+SY20+TC20+TG20+TK20</f>
        <v>38312.6172662753</v>
      </c>
      <c r="TP20" s="20" t="n">
        <f aca="false">QE20+HP20</f>
        <v>0</v>
      </c>
      <c r="TQ20" s="20" t="n">
        <f aca="false">I20+S20</f>
        <v>71230.8807553146</v>
      </c>
      <c r="TR20" s="20" t="n">
        <f aca="false">1-G20</f>
        <v>0</v>
      </c>
      <c r="TS20" s="20" t="n">
        <f aca="false">IF(AND(RG_Exists=1,G20=0,C20=1),I20,0)</f>
        <v>0</v>
      </c>
      <c r="TT20" s="20" t="n">
        <f aca="false">IF(AND(RG_Exists=1,G20=0,C20=1),I20-MIN(QE20,I20),0)</f>
        <v>0</v>
      </c>
      <c r="TU20" s="20" t="n">
        <f aca="false">'Plan pay &amp; tax'!AD246</f>
        <v>253921.670658451</v>
      </c>
      <c r="TV20" s="20" t="n">
        <f aca="false">IF(AND(C20=1,QE20&gt;MAX(PR_Short1,TQ20*PR_Short2)),1,0)</f>
        <v>0</v>
      </c>
      <c r="TW20" s="20" t="n">
        <f aca="false">MIN(H20,I20+S20)</f>
        <v>71230.8807553146</v>
      </c>
      <c r="TX20" s="20" t="n">
        <f aca="false">QF20+MAX(0,HQ20-HP20)</f>
        <v>0</v>
      </c>
      <c r="TY20" s="20" t="n">
        <f aca="false">QE20+HP20</f>
        <v>0</v>
      </c>
      <c r="TZ20" s="20" t="n">
        <f aca="false">IF(AND(C20=1,TY20&gt;PR_MinShort),1,0)</f>
        <v>0</v>
      </c>
      <c r="UA20" s="20" t="n">
        <f aca="false">IF(AND(C20=1,TZ20=0,TX20&gt;PR_MinShort),1,0)</f>
        <v>0</v>
      </c>
      <c r="UB20" s="20" t="n">
        <f aca="false">IF(AND(C20=1,QE20&gt;PR_MinShort),1,0)</f>
        <v>0</v>
      </c>
      <c r="UC20" s="20" t="n">
        <f aca="false">IF(AND(C20=1,QF20&gt;1,UJ20=0),1,0)</f>
        <v>0</v>
      </c>
      <c r="UD20" s="20" t="str">
        <f aca="false">IF(C20=0,"",IF(UJ20=1,"Gap to plan for: short "&amp;"€"&amp;TEXT(ROUND(TP20,0),"#,##0"),IF(QF20&gt;1,"Using savings","Comfortable")))</f>
        <v>Comfortable</v>
      </c>
      <c r="UE20" s="20" t="n">
        <f aca="false">IF(AND(INT(D20/10)*10=90,B20&gt;0),80,INT(D20/10)*10)</f>
        <v>50</v>
      </c>
      <c r="UF20" s="20" t="n">
        <f aca="false">IF(B20=0,1,IF(UE20&lt;&gt;UE19,UF19+1,UF19))</f>
        <v>3</v>
      </c>
      <c r="UG20" s="20" t="n">
        <f aca="false">IF(AND(C20=1,G20=1,QE20&gt;MAX(PR_Short1,TQ20*PR_Short2)),1,0)</f>
        <v>0</v>
      </c>
      <c r="UH20" s="20" t="n">
        <f aca="false">TR20*TV20</f>
        <v>0</v>
      </c>
      <c r="UI20" s="20" t="n">
        <f aca="false">IF(AND(V20=1,Slot1_PctLow=1),1,0)+IF(AND(AG20=1,Slot2_PctLow=1),1,0)+IF(AND(AQ20=1,Slot3_PctLow=1),1,0)+IF(AND(BA20=1,Slot4_PctLow=1),1,0)+IF(AND(BK20=1,Slot5_PctLow=1),1,0)+IF(AND(BU20=1,Slot6_PctLow=1),1,0)+IF(AND(CE20=1,Slot7_PctLow=1),1,0)+IF(AND(CO20=1,Slot8_PctLow=1),1,0)+IF(AND(CY20=1,Slot9_PctLow=1),1,0)+IF(AND(DI20=1,Slot10_PctLow=1),1,0)+IF(AND(DS20=1,Slot11_PctLow=1),1,0)+IF(AND(EC20=1,Slot12_PctLow=1),1,0)+IF(AND(EM20=1,Slot13_PctLow=1),1,0)+IF(AND(EW20=1,Slot14_PctLow=1),1,0)+IF(AND(FG20=1,Slot15_PctLow=1),1,0)+IF(AND(FQ20=1,Slot16_PctLow=1),1,0)+IF(AND(GA20=1,Slot17_PctLow=1),1,0)+IF(AND(GK20=1,Slot18_PctLow=1),1,0)+IF(AND(GU20=1,Slot19_PctLow=1),1,0)+IF(AND(HE20=1,Slot20_PctLow=1),1,0)</f>
        <v>0</v>
      </c>
      <c r="UJ20" s="20" t="n">
        <f aca="false">IF(C20=1,IF(OR(TV20=1,UI20&gt;0),1,0),0)</f>
        <v>0</v>
      </c>
    </row>
    <row r="21" customFormat="false" ht="15" hidden="false" customHeight="true" outlineLevel="0" collapsed="false">
      <c r="B21" s="20" t="n">
        <v>13</v>
      </c>
      <c r="C21" s="20" t="n">
        <f aca="false">IF(B21&lt;=F_N,1,0)</f>
        <v>1</v>
      </c>
      <c r="D21" s="20" t="n">
        <f aca="false">'Plan pay &amp; tax'!C247</f>
        <v>51</v>
      </c>
      <c r="E21" s="20" t="str">
        <f aca="false">IF($C21=1,"Income tax "&amp;TEXT(N('Plan pay &amp; tax'!BK247),"#,##0")&amp;"; USC "&amp;TEXT(N('Plan pay &amp; tax'!BM247)+N('Plan pay &amp; tax'!BO247),"#,##0")&amp;"; PRSI "&amp;TEXT(N('Plan pay &amp; tax'!BP247)+N('Plan pay &amp; tax'!BQ247),"#,##0")&amp;". DIRT and exit tax are inside the growth rates here.","")</f>
        <v>Income tax 13,115; USC 1,827; PRSI 4,268. DIRT and exit tax are inside the growth rates here.</v>
      </c>
      <c r="F21" s="44" t="n">
        <f aca="false">'Plan pay &amp; tax'!E247</f>
        <v>1.2936066304538</v>
      </c>
      <c r="G21" s="20" t="n">
        <f aca="false">'Plan pay &amp; tax'!G247</f>
        <v>1</v>
      </c>
      <c r="H21" s="20" t="n">
        <f aca="false">'Plan pay &amp; tax'!BT247-'Plan pay &amp; tax'!BS247-'Plan pay &amp; tax'!R247</f>
        <v>88049.0017952927</v>
      </c>
      <c r="I21" s="20" t="n">
        <f aca="false">IF(G21=1,F_CostsM*12,IF(RG_Exists=1,RG_Amount,F_CostsM*12*AS_RetireSpend))*F21+F_OneOffY*F21</f>
        <v>58212.2983704208</v>
      </c>
      <c r="J21" s="20" t="n">
        <f aca="false">HR20</f>
        <v>97331.3620192935</v>
      </c>
      <c r="K21" s="20" t="n">
        <f aca="false">IF(J21&gt;1,'Plan debt months'!AC21,0)</f>
        <v>14160</v>
      </c>
      <c r="L21" s="20" t="n">
        <f aca="false">IF(J21&gt;1,'Plan debt months'!AB21,J21)</f>
        <v>86732.8986657339</v>
      </c>
      <c r="M21" s="20" t="n">
        <f aca="false">O20</f>
        <v>0</v>
      </c>
      <c r="N21" s="20" t="n">
        <f aca="false">IF(M21&gt;1,'Plan debt months'!BD21,0)</f>
        <v>0</v>
      </c>
      <c r="O21" s="20" t="n">
        <f aca="false">IF(M21&gt;1,'Plan debt months'!BC21,M21)</f>
        <v>0</v>
      </c>
      <c r="P21" s="20" t="n">
        <f aca="false">R20</f>
        <v>0</v>
      </c>
      <c r="Q21" s="20" t="n">
        <f aca="false">IF(P21&gt;1,'Plan debt months'!CE21,0)</f>
        <v>0</v>
      </c>
      <c r="R21" s="20" t="n">
        <f aca="false">IF(P21&gt;1,'Plan debt months'!CD21,P21)</f>
        <v>0</v>
      </c>
      <c r="S21" s="20" t="n">
        <f aca="false">K21+N21+Q21</f>
        <v>14160</v>
      </c>
      <c r="T21" s="20" t="n">
        <f aca="false">QK20+'Plan pay &amp; tax'!Y247</f>
        <v>5544.04963707285</v>
      </c>
      <c r="U21" s="20" t="n">
        <f aca="false">QK20</f>
        <v>5544.04963707285</v>
      </c>
      <c r="V21" s="20" t="n">
        <f aca="false">IF(AND(Slot1_On=1,D21=Slot1_Age),1,0)</f>
        <v>0</v>
      </c>
      <c r="W21" s="20" t="n">
        <f aca="false">IF(AND(Slot1_On=1,Slot1_Age&gt;D21),1,0)</f>
        <v>0</v>
      </c>
      <c r="X21" s="20" t="n">
        <f aca="false">QM20</f>
        <v>0</v>
      </c>
      <c r="Y21" s="20" t="n">
        <f aca="false">V21*MIN(Slot1_Cost,X21)</f>
        <v>0</v>
      </c>
      <c r="Z21" s="20" t="n">
        <f aca="false">V21*Slot1_SpendLike*MIN(Slot1_Cost-Y21,T21)</f>
        <v>0</v>
      </c>
      <c r="AA21" s="20" t="n">
        <f aca="false">Y21+Z21</f>
        <v>0</v>
      </c>
      <c r="AB21" s="20" t="n">
        <f aca="false">T21-Z21+V21*IF(Slot1_SpendLike=1,X21-Y21,IF(Slot1_PotFree=1,X21,0))</f>
        <v>5544.04963707285</v>
      </c>
      <c r="AC21" s="20" t="n">
        <f aca="false">AF21+V21*Slot1_BufPot*X21</f>
        <v>17411.1202180589</v>
      </c>
      <c r="AD21" s="20" t="n">
        <f aca="false">IF(AND(V21=1,Slot1_IsMfree=1),IF(AA21&gt;=Slot1_Cost-1,0,MAX(0,L21-AA21)),L21)</f>
        <v>86732.8986657339</v>
      </c>
      <c r="AE21" s="20" t="n">
        <f aca="false">V21*(Slot1_Cost-AA21)</f>
        <v>0</v>
      </c>
      <c r="AF21" s="20" t="n">
        <f aca="false">QL20</f>
        <v>17411.1202180589</v>
      </c>
      <c r="AG21" s="20" t="n">
        <f aca="false">IF(AND(Slot2_On=1,D21=Slot2_Age),1,0)</f>
        <v>0</v>
      </c>
      <c r="AH21" s="20" t="n">
        <f aca="false">IF(AND(Slot2_On=1,Slot2_Age&gt;D21),1,0)</f>
        <v>0</v>
      </c>
      <c r="AI21" s="20" t="n">
        <f aca="false">QQ20</f>
        <v>0</v>
      </c>
      <c r="AJ21" s="20" t="n">
        <f aca="false">AG21*MIN(Slot2_Cost,AI21)</f>
        <v>0</v>
      </c>
      <c r="AK21" s="20" t="n">
        <f aca="false">AG21*Slot2_SpendLike*MIN(Slot2_Cost-AJ21,AB21)</f>
        <v>0</v>
      </c>
      <c r="AL21" s="20" t="n">
        <f aca="false">AJ21+AK21</f>
        <v>0</v>
      </c>
      <c r="AM21" s="20" t="n">
        <f aca="false">AB21-AK21+AG21*IF(Slot2_SpendLike=1,AI21-AJ21,IF(Slot2_PotFree=1,AI21,0))</f>
        <v>5544.04963707285</v>
      </c>
      <c r="AN21" s="20" t="n">
        <f aca="false">AC21+AG21*Slot2_BufPot*AI21</f>
        <v>17411.1202180589</v>
      </c>
      <c r="AO21" s="20" t="n">
        <f aca="false">IF(AND(AG21=1,Slot2_IsMfree=1),IF(AL21&gt;=Slot2_Cost-1,0,MAX(0,AD21-AL21)),AD21)</f>
        <v>86732.8986657339</v>
      </c>
      <c r="AP21" s="20" t="n">
        <f aca="false">AG21*(Slot2_Cost-AL21)</f>
        <v>0</v>
      </c>
      <c r="AQ21" s="20" t="n">
        <f aca="false">IF(AND(Slot3_On=1,D21=Slot3_Age),1,0)</f>
        <v>0</v>
      </c>
      <c r="AR21" s="20" t="n">
        <f aca="false">IF(AND(Slot3_On=1,Slot3_Age&gt;D21),1,0)</f>
        <v>0</v>
      </c>
      <c r="AS21" s="20" t="n">
        <f aca="false">QU20</f>
        <v>0</v>
      </c>
      <c r="AT21" s="20" t="n">
        <f aca="false">AQ21*MIN(Slot3_Cost,AS21)</f>
        <v>0</v>
      </c>
      <c r="AU21" s="20" t="n">
        <f aca="false">AQ21*Slot3_SpendLike*MIN(Slot3_Cost-AT21,AM21)</f>
        <v>0</v>
      </c>
      <c r="AV21" s="20" t="n">
        <f aca="false">AT21+AU21</f>
        <v>0</v>
      </c>
      <c r="AW21" s="20" t="n">
        <f aca="false">AM21-AU21+AQ21*IF(Slot3_SpendLike=1,AS21-AT21,IF(Slot3_PotFree=1,AS21,0))</f>
        <v>5544.04963707285</v>
      </c>
      <c r="AX21" s="20" t="n">
        <f aca="false">AN21+AQ21*Slot3_BufPot*AS21</f>
        <v>17411.1202180589</v>
      </c>
      <c r="AY21" s="20" t="n">
        <f aca="false">IF(AND(AQ21=1,Slot3_IsMfree=1),IF(AV21&gt;=Slot3_Cost-1,0,MAX(0,AO21-AV21)),AO21)</f>
        <v>86732.8986657339</v>
      </c>
      <c r="AZ21" s="20" t="n">
        <f aca="false">AQ21*(Slot3_Cost-AV21)</f>
        <v>0</v>
      </c>
      <c r="BA21" s="20" t="n">
        <f aca="false">IF(AND(Slot4_On=1,D21=Slot4_Age),1,0)</f>
        <v>0</v>
      </c>
      <c r="BB21" s="20" t="n">
        <f aca="false">IF(AND(Slot4_On=1,Slot4_Age&gt;D21),1,0)</f>
        <v>1</v>
      </c>
      <c r="BC21" s="20" t="n">
        <f aca="false">QY20</f>
        <v>15357.4474111435</v>
      </c>
      <c r="BD21" s="20" t="n">
        <f aca="false">BA21*MIN(Slot4_Cost,BC21)</f>
        <v>0</v>
      </c>
      <c r="BE21" s="20" t="n">
        <f aca="false">BA21*Slot4_SpendLike*MIN(Slot4_Cost-BD21,AW21)</f>
        <v>0</v>
      </c>
      <c r="BF21" s="20" t="n">
        <f aca="false">BD21+BE21</f>
        <v>0</v>
      </c>
      <c r="BG21" s="20" t="n">
        <f aca="false">AW21-BE21+BA21*IF(Slot4_SpendLike=1,BC21-BD21,IF(Slot4_PotFree=1,BC21,0))</f>
        <v>5544.04963707285</v>
      </c>
      <c r="BH21" s="20" t="n">
        <f aca="false">AX21+BA21*Slot4_BufPot*BC21</f>
        <v>17411.1202180589</v>
      </c>
      <c r="BI21" s="20" t="n">
        <f aca="false">IF(AND(BA21=1,Slot4_IsMfree=1),IF(BF21&gt;=Slot4_Cost-1,0,MAX(0,AY21-BF21)),AY21)</f>
        <v>86732.8986657339</v>
      </c>
      <c r="BJ21" s="20" t="n">
        <f aca="false">BA21*(Slot4_Cost-BF21)</f>
        <v>0</v>
      </c>
      <c r="BK21" s="20" t="n">
        <f aca="false">IF(AND(Slot5_On=1,D21=Slot5_Age),1,0)</f>
        <v>0</v>
      </c>
      <c r="BL21" s="20" t="n">
        <f aca="false">IF(AND(Slot5_On=1,Slot5_Age&gt;D21),1,0)</f>
        <v>0</v>
      </c>
      <c r="BM21" s="20" t="n">
        <f aca="false">RC20</f>
        <v>0</v>
      </c>
      <c r="BN21" s="20" t="n">
        <f aca="false">BK21*MIN(Slot5_Cost,BM21)</f>
        <v>0</v>
      </c>
      <c r="BO21" s="20" t="n">
        <f aca="false">BK21*Slot5_SpendLike*MIN(Slot5_Cost-BN21,BG21)</f>
        <v>0</v>
      </c>
      <c r="BP21" s="20" t="n">
        <f aca="false">BN21+BO21</f>
        <v>0</v>
      </c>
      <c r="BQ21" s="20" t="n">
        <f aca="false">BG21-BO21+BK21*IF(Slot5_SpendLike=1,BM21-BN21,IF(Slot5_PotFree=1,BM21,0))</f>
        <v>5544.04963707285</v>
      </c>
      <c r="BR21" s="20" t="n">
        <f aca="false">BH21+BK21*Slot5_BufPot*BM21</f>
        <v>17411.1202180589</v>
      </c>
      <c r="BS21" s="20" t="n">
        <f aca="false">IF(AND(BK21=1,Slot5_IsMfree=1),IF(BP21&gt;=Slot5_Cost-1,0,MAX(0,BI21-BP21)),BI21)</f>
        <v>86732.8986657339</v>
      </c>
      <c r="BT21" s="20" t="n">
        <f aca="false">BK21*(Slot5_Cost-BP21)</f>
        <v>0</v>
      </c>
      <c r="BU21" s="20" t="n">
        <f aca="false">IF(AND(Slot6_On=1,D21=Slot6_Age),1,0)</f>
        <v>0</v>
      </c>
      <c r="BV21" s="20" t="n">
        <f aca="false">IF(AND(Slot6_On=1,Slot6_Age&gt;D21),1,0)</f>
        <v>0</v>
      </c>
      <c r="BW21" s="20" t="n">
        <f aca="false">RG20</f>
        <v>0</v>
      </c>
      <c r="BX21" s="20" t="n">
        <f aca="false">BU21*MIN(Slot6_Cost,BW21)</f>
        <v>0</v>
      </c>
      <c r="BY21" s="20" t="n">
        <f aca="false">BU21*Slot6_SpendLike*MIN(Slot6_Cost-BX21,BQ21)</f>
        <v>0</v>
      </c>
      <c r="BZ21" s="20" t="n">
        <f aca="false">BX21+BY21</f>
        <v>0</v>
      </c>
      <c r="CA21" s="20" t="n">
        <f aca="false">BQ21-BY21+BU21*IF(Slot6_SpendLike=1,BW21-BX21,IF(Slot6_PotFree=1,BW21,0))</f>
        <v>5544.04963707285</v>
      </c>
      <c r="CB21" s="20" t="n">
        <f aca="false">BR21+BU21*Slot6_BufPot*BW21</f>
        <v>17411.1202180589</v>
      </c>
      <c r="CC21" s="20" t="n">
        <f aca="false">IF(AND(BU21=1,Slot6_IsMfree=1),IF(BZ21&gt;=Slot6_Cost-1,0,MAX(0,BS21-BZ21)),BS21)</f>
        <v>86732.8986657339</v>
      </c>
      <c r="CD21" s="20" t="n">
        <f aca="false">BU21*(Slot6_Cost-BZ21)</f>
        <v>0</v>
      </c>
      <c r="CE21" s="20" t="n">
        <f aca="false">IF(AND(Slot7_On=1,D21=Slot7_Age),1,0)</f>
        <v>0</v>
      </c>
      <c r="CF21" s="20" t="n">
        <f aca="false">IF(AND(Slot7_On=1,Slot7_Age&gt;D21),1,0)</f>
        <v>0</v>
      </c>
      <c r="CG21" s="20" t="n">
        <f aca="false">RK20</f>
        <v>0</v>
      </c>
      <c r="CH21" s="20" t="n">
        <f aca="false">CE21*MIN(Slot7_Cost,CG21)</f>
        <v>0</v>
      </c>
      <c r="CI21" s="20" t="n">
        <f aca="false">CE21*Slot7_SpendLike*MIN(Slot7_Cost-CH21,CA21)</f>
        <v>0</v>
      </c>
      <c r="CJ21" s="20" t="n">
        <f aca="false">CH21+CI21</f>
        <v>0</v>
      </c>
      <c r="CK21" s="20" t="n">
        <f aca="false">CA21-CI21+CE21*IF(Slot7_SpendLike=1,CG21-CH21,IF(Slot7_PotFree=1,CG21,0))</f>
        <v>5544.04963707285</v>
      </c>
      <c r="CL21" s="20" t="n">
        <f aca="false">CB21+CE21*Slot7_BufPot*CG21</f>
        <v>17411.1202180589</v>
      </c>
      <c r="CM21" s="20" t="n">
        <f aca="false">IF(AND(CE21=1,Slot7_IsMfree=1),IF(CJ21&gt;=Slot7_Cost-1,0,MAX(0,CC21-CJ21)),CC21)</f>
        <v>86732.8986657339</v>
      </c>
      <c r="CN21" s="20" t="n">
        <f aca="false">CE21*(Slot7_Cost-CJ21)</f>
        <v>0</v>
      </c>
      <c r="CO21" s="20" t="n">
        <f aca="false">IF(AND(Slot8_On=1,D21=Slot8_Age),1,0)</f>
        <v>0</v>
      </c>
      <c r="CP21" s="20" t="n">
        <f aca="false">IF(AND(Slot8_On=1,Slot8_Age&gt;D21),1,0)</f>
        <v>0</v>
      </c>
      <c r="CQ21" s="20" t="n">
        <f aca="false">RO20</f>
        <v>0</v>
      </c>
      <c r="CR21" s="20" t="n">
        <f aca="false">CO21*MIN(Slot8_Cost,CQ21)</f>
        <v>0</v>
      </c>
      <c r="CS21" s="20" t="n">
        <f aca="false">CO21*Slot8_SpendLike*MIN(Slot8_Cost-CR21,CK21)</f>
        <v>0</v>
      </c>
      <c r="CT21" s="20" t="n">
        <f aca="false">CR21+CS21</f>
        <v>0</v>
      </c>
      <c r="CU21" s="20" t="n">
        <f aca="false">CK21-CS21+CO21*IF(Slot8_SpendLike=1,CQ21-CR21,IF(Slot8_PotFree=1,CQ21,0))</f>
        <v>5544.04963707285</v>
      </c>
      <c r="CV21" s="20" t="n">
        <f aca="false">CL21+CO21*Slot8_BufPot*CQ21</f>
        <v>17411.1202180589</v>
      </c>
      <c r="CW21" s="20" t="n">
        <f aca="false">IF(AND(CO21=1,Slot8_IsMfree=1),IF(CT21&gt;=Slot8_Cost-1,0,MAX(0,CM21-CT21)),CM21)</f>
        <v>86732.8986657339</v>
      </c>
      <c r="CX21" s="20" t="n">
        <f aca="false">CO21*(Slot8_Cost-CT21)</f>
        <v>0</v>
      </c>
      <c r="CY21" s="20" t="n">
        <f aca="false">IF(AND(Slot9_On=1,D21=Slot9_Age),1,0)</f>
        <v>0</v>
      </c>
      <c r="CZ21" s="20" t="n">
        <f aca="false">IF(AND(Slot9_On=1,Slot9_Age&gt;D21),1,0)</f>
        <v>0</v>
      </c>
      <c r="DA21" s="20" t="n">
        <f aca="false">RS20</f>
        <v>0</v>
      </c>
      <c r="DB21" s="20" t="n">
        <f aca="false">CY21*MIN(Slot9_Cost,DA21)</f>
        <v>0</v>
      </c>
      <c r="DC21" s="20" t="n">
        <f aca="false">CY21*Slot9_SpendLike*MIN(Slot9_Cost-DB21,CU21)</f>
        <v>0</v>
      </c>
      <c r="DD21" s="20" t="n">
        <f aca="false">DB21+DC21</f>
        <v>0</v>
      </c>
      <c r="DE21" s="20" t="n">
        <f aca="false">CU21-DC21+CY21*IF(Slot9_SpendLike=1,DA21-DB21,IF(Slot9_PotFree=1,DA21,0))</f>
        <v>5544.04963707285</v>
      </c>
      <c r="DF21" s="20" t="n">
        <f aca="false">CV21+CY21*Slot9_BufPot*DA21</f>
        <v>17411.1202180589</v>
      </c>
      <c r="DG21" s="20" t="n">
        <f aca="false">IF(AND(CY21=1,Slot9_IsMfree=1),IF(DD21&gt;=Slot9_Cost-1,0,MAX(0,CW21-DD21)),CW21)</f>
        <v>86732.8986657339</v>
      </c>
      <c r="DH21" s="20" t="n">
        <f aca="false">CY21*(Slot9_Cost-DD21)</f>
        <v>0</v>
      </c>
      <c r="DI21" s="20" t="n">
        <f aca="false">IF(AND(Slot10_On=1,D21=Slot10_Age),1,0)</f>
        <v>0</v>
      </c>
      <c r="DJ21" s="20" t="n">
        <f aca="false">IF(AND(Slot10_On=1,Slot10_Age&gt;D21),1,0)</f>
        <v>0</v>
      </c>
      <c r="DK21" s="20" t="n">
        <f aca="false">RW20</f>
        <v>0</v>
      </c>
      <c r="DL21" s="20" t="n">
        <f aca="false">DI21*MIN(Slot10_Cost,DK21)</f>
        <v>0</v>
      </c>
      <c r="DM21" s="20" t="n">
        <f aca="false">DI21*Slot10_SpendLike*MIN(Slot10_Cost-DL21,DE21)</f>
        <v>0</v>
      </c>
      <c r="DN21" s="20" t="n">
        <f aca="false">DL21+DM21</f>
        <v>0</v>
      </c>
      <c r="DO21" s="20" t="n">
        <f aca="false">DE21-DM21+DI21*IF(Slot10_SpendLike=1,DK21-DL21,IF(Slot10_PotFree=1,DK21,0))</f>
        <v>5544.04963707285</v>
      </c>
      <c r="DP21" s="20" t="n">
        <f aca="false">DF21+DI21*Slot10_BufPot*DK21</f>
        <v>17411.1202180589</v>
      </c>
      <c r="DQ21" s="20" t="n">
        <f aca="false">IF(AND(DI21=1,Slot10_IsMfree=1),IF(DN21&gt;=Slot10_Cost-1,0,MAX(0,DG21-DN21)),DG21)</f>
        <v>86732.8986657339</v>
      </c>
      <c r="DR21" s="20" t="n">
        <f aca="false">DI21*(Slot10_Cost-DN21)</f>
        <v>0</v>
      </c>
      <c r="DS21" s="20" t="n">
        <f aca="false">IF(AND(Slot11_On=1,D21=Slot11_Age),1,0)</f>
        <v>0</v>
      </c>
      <c r="DT21" s="20" t="n">
        <f aca="false">IF(AND(Slot11_On=1,Slot11_Age&gt;D21),1,0)</f>
        <v>0</v>
      </c>
      <c r="DU21" s="20" t="n">
        <f aca="false">SA20</f>
        <v>0</v>
      </c>
      <c r="DV21" s="20" t="n">
        <f aca="false">DS21*MIN(Slot11_Cost,DU21)</f>
        <v>0</v>
      </c>
      <c r="DW21" s="20" t="n">
        <f aca="false">DS21*Slot11_SpendLike*MIN(Slot11_Cost-DV21,DO21)</f>
        <v>0</v>
      </c>
      <c r="DX21" s="20" t="n">
        <f aca="false">DV21+DW21</f>
        <v>0</v>
      </c>
      <c r="DY21" s="20" t="n">
        <f aca="false">DO21-DW21+DS21*IF(Slot11_SpendLike=1,DU21-DV21,IF(Slot11_PotFree=1,DU21,0))</f>
        <v>5544.04963707285</v>
      </c>
      <c r="DZ21" s="20" t="n">
        <f aca="false">DP21+DS21*Slot11_BufPot*DU21</f>
        <v>17411.1202180589</v>
      </c>
      <c r="EA21" s="20" t="n">
        <f aca="false">IF(AND(DS21=1,Slot11_IsMfree=1),IF(DX21&gt;=Slot11_Cost-1,0,MAX(0,DQ21-DX21)),DQ21)</f>
        <v>86732.8986657339</v>
      </c>
      <c r="EB21" s="20" t="n">
        <f aca="false">DS21*(Slot11_Cost-DX21)</f>
        <v>0</v>
      </c>
      <c r="EC21" s="20" t="n">
        <f aca="false">IF(AND(Slot12_On=1,D21=Slot12_Age),1,0)</f>
        <v>0</v>
      </c>
      <c r="ED21" s="20" t="n">
        <f aca="false">IF(AND(Slot12_On=1,Slot12_Age&gt;D21),1,0)</f>
        <v>0</v>
      </c>
      <c r="EE21" s="20" t="n">
        <f aca="false">SE20</f>
        <v>0</v>
      </c>
      <c r="EF21" s="20" t="n">
        <f aca="false">EC21*MIN(Slot12_Cost,EE21)</f>
        <v>0</v>
      </c>
      <c r="EG21" s="20" t="n">
        <f aca="false">EC21*Slot12_SpendLike*MIN(Slot12_Cost-EF21,DY21)</f>
        <v>0</v>
      </c>
      <c r="EH21" s="20" t="n">
        <f aca="false">EF21+EG21</f>
        <v>0</v>
      </c>
      <c r="EI21" s="20" t="n">
        <f aca="false">DY21-EG21+EC21*IF(Slot12_SpendLike=1,EE21-EF21,IF(Slot12_PotFree=1,EE21,0))</f>
        <v>5544.04963707285</v>
      </c>
      <c r="EJ21" s="20" t="n">
        <f aca="false">DZ21+EC21*Slot12_BufPot*EE21</f>
        <v>17411.1202180589</v>
      </c>
      <c r="EK21" s="20" t="n">
        <f aca="false">IF(AND(EC21=1,Slot12_IsMfree=1),IF(EH21&gt;=Slot12_Cost-1,0,MAX(0,EA21-EH21)),EA21)</f>
        <v>86732.8986657339</v>
      </c>
      <c r="EL21" s="20" t="n">
        <f aca="false">EC21*(Slot12_Cost-EH21)</f>
        <v>0</v>
      </c>
      <c r="EM21" s="20" t="n">
        <f aca="false">IF(AND(Slot13_On=1,D21=Slot13_Age),1,0)</f>
        <v>0</v>
      </c>
      <c r="EN21" s="20" t="n">
        <f aca="false">IF(AND(Slot13_On=1,Slot13_Age&gt;D21),1,0)</f>
        <v>0</v>
      </c>
      <c r="EO21" s="20" t="n">
        <f aca="false">SI20</f>
        <v>0</v>
      </c>
      <c r="EP21" s="20" t="n">
        <f aca="false">EM21*MIN(Slot13_Cost,EO21)</f>
        <v>0</v>
      </c>
      <c r="EQ21" s="20" t="n">
        <f aca="false">EM21*Slot13_SpendLike*MIN(Slot13_Cost-EP21,EI21)</f>
        <v>0</v>
      </c>
      <c r="ER21" s="20" t="n">
        <f aca="false">EP21+EQ21</f>
        <v>0</v>
      </c>
      <c r="ES21" s="20" t="n">
        <f aca="false">EI21-EQ21+EM21*IF(Slot13_SpendLike=1,EO21-EP21,IF(Slot13_PotFree=1,EO21,0))</f>
        <v>5544.04963707285</v>
      </c>
      <c r="ET21" s="20" t="n">
        <f aca="false">EJ21+EM21*Slot13_BufPot*EO21</f>
        <v>17411.1202180589</v>
      </c>
      <c r="EU21" s="20" t="n">
        <f aca="false">IF(AND(EM21=1,Slot13_IsMfree=1),IF(ER21&gt;=Slot13_Cost-1,0,MAX(0,EK21-ER21)),EK21)</f>
        <v>86732.8986657339</v>
      </c>
      <c r="EV21" s="20" t="n">
        <f aca="false">EM21*(Slot13_Cost-ER21)</f>
        <v>0</v>
      </c>
      <c r="EW21" s="20" t="n">
        <f aca="false">IF(AND(Slot14_On=1,D21=Slot14_Age),1,0)</f>
        <v>0</v>
      </c>
      <c r="EX21" s="20" t="n">
        <f aca="false">IF(AND(Slot14_On=1,Slot14_Age&gt;D21),1,0)</f>
        <v>0</v>
      </c>
      <c r="EY21" s="20" t="n">
        <f aca="false">SM20</f>
        <v>0</v>
      </c>
      <c r="EZ21" s="20" t="n">
        <f aca="false">EW21*MIN(Slot14_Cost,EY21)</f>
        <v>0</v>
      </c>
      <c r="FA21" s="20" t="n">
        <f aca="false">EW21*Slot14_SpendLike*MIN(Slot14_Cost-EZ21,ES21)</f>
        <v>0</v>
      </c>
      <c r="FB21" s="20" t="n">
        <f aca="false">EZ21+FA21</f>
        <v>0</v>
      </c>
      <c r="FC21" s="20" t="n">
        <f aca="false">ES21-FA21+EW21*IF(Slot14_SpendLike=1,EY21-EZ21,IF(Slot14_PotFree=1,EY21,0))</f>
        <v>5544.04963707285</v>
      </c>
      <c r="FD21" s="20" t="n">
        <f aca="false">ET21+EW21*Slot14_BufPot*EY21</f>
        <v>17411.1202180589</v>
      </c>
      <c r="FE21" s="20" t="n">
        <f aca="false">IF(AND(EW21=1,Slot14_IsMfree=1),IF(FB21&gt;=Slot14_Cost-1,0,MAX(0,EU21-FB21)),EU21)</f>
        <v>86732.8986657339</v>
      </c>
      <c r="FF21" s="20" t="n">
        <f aca="false">EW21*(Slot14_Cost-FB21)</f>
        <v>0</v>
      </c>
      <c r="FG21" s="20" t="n">
        <f aca="false">IF(AND(Slot15_On=1,D21=Slot15_Age),1,0)</f>
        <v>0</v>
      </c>
      <c r="FH21" s="20" t="n">
        <f aca="false">IF(AND(Slot15_On=1,Slot15_Age&gt;D21),1,0)</f>
        <v>0</v>
      </c>
      <c r="FI21" s="20" t="n">
        <f aca="false">SQ20</f>
        <v>0</v>
      </c>
      <c r="FJ21" s="20" t="n">
        <f aca="false">FG21*MIN(Slot15_Cost,FI21)</f>
        <v>0</v>
      </c>
      <c r="FK21" s="20" t="n">
        <f aca="false">FG21*Slot15_SpendLike*MIN(Slot15_Cost-FJ21,FC21)</f>
        <v>0</v>
      </c>
      <c r="FL21" s="20" t="n">
        <f aca="false">FJ21+FK21</f>
        <v>0</v>
      </c>
      <c r="FM21" s="20" t="n">
        <f aca="false">FC21-FK21+FG21*IF(Slot15_SpendLike=1,FI21-FJ21,IF(Slot15_PotFree=1,FI21,0))</f>
        <v>5544.04963707285</v>
      </c>
      <c r="FN21" s="20" t="n">
        <f aca="false">FD21+FG21*Slot15_BufPot*FI21</f>
        <v>17411.1202180589</v>
      </c>
      <c r="FO21" s="20" t="n">
        <f aca="false">IF(AND(FG21=1,Slot15_IsMfree=1),IF(FL21&gt;=Slot15_Cost-1,0,MAX(0,FE21-FL21)),FE21)</f>
        <v>86732.8986657339</v>
      </c>
      <c r="FP21" s="20" t="n">
        <f aca="false">FG21*(Slot15_Cost-FL21)</f>
        <v>0</v>
      </c>
      <c r="FQ21" s="20" t="n">
        <f aca="false">IF(AND(Slot16_On=1,D21=Slot16_Age),1,0)</f>
        <v>0</v>
      </c>
      <c r="FR21" s="20" t="n">
        <f aca="false">IF(AND(Slot16_On=1,Slot16_Age&gt;D21),1,0)</f>
        <v>0</v>
      </c>
      <c r="FS21" s="20" t="n">
        <f aca="false">SU20</f>
        <v>0</v>
      </c>
      <c r="FT21" s="20" t="n">
        <f aca="false">FQ21*MIN(Slot16_Cost,FS21)</f>
        <v>0</v>
      </c>
      <c r="FU21" s="20" t="n">
        <f aca="false">FQ21*Slot16_SpendLike*MIN(Slot16_Cost-FT21,FM21)</f>
        <v>0</v>
      </c>
      <c r="FV21" s="20" t="n">
        <f aca="false">FT21+FU21</f>
        <v>0</v>
      </c>
      <c r="FW21" s="20" t="n">
        <f aca="false">FM21-FU21+FQ21*IF(Slot16_SpendLike=1,FS21-FT21,IF(Slot16_PotFree=1,FS21,0))</f>
        <v>5544.04963707285</v>
      </c>
      <c r="FX21" s="20" t="n">
        <f aca="false">FN21+FQ21*Slot16_BufPot*FS21</f>
        <v>17411.1202180589</v>
      </c>
      <c r="FY21" s="20" t="n">
        <f aca="false">IF(AND(FQ21=1,Slot16_IsMfree=1),IF(FV21&gt;=Slot16_Cost-1,0,MAX(0,FO21-FV21)),FO21)</f>
        <v>86732.8986657339</v>
      </c>
      <c r="FZ21" s="20" t="n">
        <f aca="false">FQ21*(Slot16_Cost-FV21)</f>
        <v>0</v>
      </c>
      <c r="GA21" s="20" t="n">
        <f aca="false">IF(AND(Slot17_On=1,D21=Slot17_Age),1,0)</f>
        <v>0</v>
      </c>
      <c r="GB21" s="20" t="n">
        <f aca="false">IF(AND(Slot17_On=1,Slot17_Age&gt;D21),1,0)</f>
        <v>0</v>
      </c>
      <c r="GC21" s="20" t="n">
        <f aca="false">SY20</f>
        <v>0</v>
      </c>
      <c r="GD21" s="20" t="n">
        <f aca="false">GA21*MIN(Slot17_Cost,GC21)</f>
        <v>0</v>
      </c>
      <c r="GE21" s="20" t="n">
        <f aca="false">GA21*Slot17_SpendLike*MIN(Slot17_Cost-GD21,FW21)</f>
        <v>0</v>
      </c>
      <c r="GF21" s="20" t="n">
        <f aca="false">GD21+GE21</f>
        <v>0</v>
      </c>
      <c r="GG21" s="20" t="n">
        <f aca="false">FW21-GE21+GA21*IF(Slot17_SpendLike=1,GC21-GD21,IF(Slot17_PotFree=1,GC21,0))</f>
        <v>5544.04963707285</v>
      </c>
      <c r="GH21" s="20" t="n">
        <f aca="false">FX21+GA21*Slot17_BufPot*GC21</f>
        <v>17411.1202180589</v>
      </c>
      <c r="GI21" s="20" t="n">
        <f aca="false">IF(AND(GA21=1,Slot17_IsMfree=1),IF(GF21&gt;=Slot17_Cost-1,0,MAX(0,FY21-GF21)),FY21)</f>
        <v>86732.8986657339</v>
      </c>
      <c r="GJ21" s="20" t="n">
        <f aca="false">GA21*(Slot17_Cost-GF21)</f>
        <v>0</v>
      </c>
      <c r="GK21" s="20" t="n">
        <f aca="false">IF(AND(Slot18_On=1,D21=Slot18_Age),1,0)</f>
        <v>0</v>
      </c>
      <c r="GL21" s="20" t="n">
        <f aca="false">IF(AND(Slot18_On=1,Slot18_Age&gt;D21),1,0)</f>
        <v>0</v>
      </c>
      <c r="GM21" s="20" t="n">
        <f aca="false">TC20</f>
        <v>0</v>
      </c>
      <c r="GN21" s="20" t="n">
        <f aca="false">GK21*MIN(Slot18_Cost,GM21)</f>
        <v>0</v>
      </c>
      <c r="GO21" s="20" t="n">
        <f aca="false">GK21*Slot18_SpendLike*MIN(Slot18_Cost-GN21,GG21)</f>
        <v>0</v>
      </c>
      <c r="GP21" s="20" t="n">
        <f aca="false">GN21+GO21</f>
        <v>0</v>
      </c>
      <c r="GQ21" s="20" t="n">
        <f aca="false">GG21-GO21+GK21*IF(Slot18_SpendLike=1,GM21-GN21,IF(Slot18_PotFree=1,GM21,0))</f>
        <v>5544.04963707285</v>
      </c>
      <c r="GR21" s="20" t="n">
        <f aca="false">GH21+GK21*Slot18_BufPot*GM21</f>
        <v>17411.1202180589</v>
      </c>
      <c r="GS21" s="20" t="n">
        <f aca="false">IF(AND(GK21=1,Slot18_IsMfree=1),IF(GP21&gt;=Slot18_Cost-1,0,MAX(0,GI21-GP21)),GI21)</f>
        <v>86732.8986657339</v>
      </c>
      <c r="GT21" s="20" t="n">
        <f aca="false">GK21*(Slot18_Cost-GP21)</f>
        <v>0</v>
      </c>
      <c r="GU21" s="20" t="n">
        <f aca="false">IF(AND(Slot19_On=1,D21=Slot19_Age),1,0)</f>
        <v>0</v>
      </c>
      <c r="GV21" s="20" t="n">
        <f aca="false">IF(AND(Slot19_On=1,Slot19_Age&gt;D21),1,0)</f>
        <v>0</v>
      </c>
      <c r="GW21" s="20" t="n">
        <f aca="false">TG20</f>
        <v>0</v>
      </c>
      <c r="GX21" s="20" t="n">
        <f aca="false">GU21*MIN(Slot19_Cost,GW21)</f>
        <v>0</v>
      </c>
      <c r="GY21" s="20" t="n">
        <f aca="false">GU21*Slot19_SpendLike*MIN(Slot19_Cost-GX21,GQ21)</f>
        <v>0</v>
      </c>
      <c r="GZ21" s="20" t="n">
        <f aca="false">GX21+GY21</f>
        <v>0</v>
      </c>
      <c r="HA21" s="20" t="n">
        <f aca="false">GQ21-GY21+GU21*IF(Slot19_SpendLike=1,GW21-GX21,IF(Slot19_PotFree=1,GW21,0))</f>
        <v>5544.04963707285</v>
      </c>
      <c r="HB21" s="20" t="n">
        <f aca="false">GR21+GU21*Slot19_BufPot*GW21</f>
        <v>17411.1202180589</v>
      </c>
      <c r="HC21" s="20" t="n">
        <f aca="false">IF(AND(GU21=1,Slot19_IsMfree=1),IF(GZ21&gt;=Slot19_Cost-1,0,MAX(0,GS21-GZ21)),GS21)</f>
        <v>86732.8986657339</v>
      </c>
      <c r="HD21" s="20" t="n">
        <f aca="false">GU21*(Slot19_Cost-GZ21)</f>
        <v>0</v>
      </c>
      <c r="HE21" s="20" t="n">
        <f aca="false">IF(AND(Slot20_On=1,D21=Slot20_Age),1,0)</f>
        <v>0</v>
      </c>
      <c r="HF21" s="20" t="n">
        <f aca="false">IF(AND(Slot20_On=1,Slot20_Age&gt;D21),1,0)</f>
        <v>0</v>
      </c>
      <c r="HG21" s="20" t="n">
        <f aca="false">TK20</f>
        <v>0</v>
      </c>
      <c r="HH21" s="20" t="n">
        <f aca="false">HE21*MIN(Slot20_Cost,HG21)</f>
        <v>0</v>
      </c>
      <c r="HI21" s="20" t="n">
        <f aca="false">HE21*Slot20_SpendLike*MIN(Slot20_Cost-HH21,HA21)</f>
        <v>0</v>
      </c>
      <c r="HJ21" s="20" t="n">
        <f aca="false">HH21+HI21</f>
        <v>0</v>
      </c>
      <c r="HK21" s="20" t="n">
        <f aca="false">HA21-HI21+HE21*IF(Slot20_SpendLike=1,HG21-HH21,IF(Slot20_PotFree=1,HG21,0))</f>
        <v>5544.04963707285</v>
      </c>
      <c r="HL21" s="20" t="n">
        <f aca="false">HB21+HE21*Slot20_BufPot*HG21</f>
        <v>17411.1202180589</v>
      </c>
      <c r="HM21" s="20" t="n">
        <f aca="false">IF(AND(HE21=1,Slot20_IsMfree=1),IF(HJ21&gt;=Slot20_Cost-1,0,MAX(0,HC21-HJ21)),HC21)</f>
        <v>86732.8986657339</v>
      </c>
      <c r="HN21" s="20" t="n">
        <f aca="false">HE21*(Slot20_Cost-HJ21)</f>
        <v>0</v>
      </c>
      <c r="HO21" s="20" t="n">
        <f aca="false">V21*Slot1_SpendLike*AA21+AG21*Slot2_SpendLike*AL21+AQ21*Slot3_SpendLike*AV21+BA21*Slot4_SpendLike*BF21+BK21*Slot5_SpendLike*BP21+BU21*Slot6_SpendLike*BZ21+CE21*Slot7_SpendLike*CJ21+CO21*Slot8_SpendLike*CT21+CY21*Slot9_SpendLike*DD21+DI21*Slot10_SpendLike*DN21+DS21*Slot11_SpendLike*DX21+EC21*Slot12_SpendLike*EH21+EM21*Slot13_SpendLike*ER21+EW21*Slot14_SpendLike*FB21+FG21*Slot15_SpendLike*FL21+FQ21*Slot16_SpendLike*FV21+GA21*Slot17_SpendLike*GF21+GK21*Slot18_SpendLike*GP21+GU21*Slot19_SpendLike*GZ21+HE21*Slot20_SpendLike*HJ21</f>
        <v>0</v>
      </c>
      <c r="HP21" s="20" t="n">
        <f aca="false">AE21+AP21+AZ21+BJ21+BT21+CD21+CN21+CX21+DH21+DR21+EB21+EL21+EV21+FF21+FP21+FZ21+GJ21+GT21+HD21+HN21</f>
        <v>0</v>
      </c>
      <c r="HQ21" s="20" t="n">
        <f aca="false">V21*Slot1_Cost+AG21*Slot2_Cost+AQ21*Slot3_Cost+BA21*Slot4_Cost+BK21*Slot5_Cost+BU21*Slot6_Cost+CE21*Slot7_Cost+CO21*Slot8_Cost+CY21*Slot9_Cost+DI21*Slot10_Cost+DS21*Slot11_Cost+EC21*Slot12_Cost+EM21*Slot13_Cost+EW21*Slot14_Cost+FG21*Slot15_Cost+FQ21*Slot16_Cost+GA21*Slot17_Cost+GK21*Slot18_Cost+GU21*Slot19_Cost+HE21*Slot20_Cost</f>
        <v>0</v>
      </c>
      <c r="HR21" s="20" t="n">
        <f aca="false">HM21</f>
        <v>86732.8986657339</v>
      </c>
      <c r="HS21" s="20" t="n">
        <f aca="false">H21-I21-S21</f>
        <v>15676.7034248719</v>
      </c>
      <c r="HT21" s="20" t="n">
        <f aca="false">IF(B21=0,IF(AND(Has_q6=1,In_q6=4),PR_ShareVaries*(MAX(0,HS21)/12),MIN(IF(Has_q6=1,CHOOSE(In_q6+1,PR_SaveB1,PR_SaveB2,PR_SaveB3,PR_SaveB4,0),AS_NoAnswer),AS_SaveShare*(MAX(0,HS21)/12))),HT20)</f>
        <v>62.3316893520437</v>
      </c>
      <c r="HU21" s="20" t="n">
        <f aca="false">IF(HS21&gt;=0,1,0)</f>
        <v>1</v>
      </c>
      <c r="HV21" s="20" t="n">
        <f aca="false">MAX(0,HS21/12/F21)</f>
        <v>1009.88346945499</v>
      </c>
      <c r="HW21" s="20" t="n">
        <f aca="false">IF(AND(Has_q6=1,In_q6=4),PR_ShareVaries*(HV21),MIN(IF(Has_q6=1,CHOOSE(In_q6+1,PR_SaveB1,PR_SaveB2,PR_SaveB3,PR_SaveB4,0),AS_NoAnswer),AS_SaveShare*(HV21)))</f>
        <v>500</v>
      </c>
      <c r="HX21" s="20" t="n">
        <f aca="false">IF(Has_saveM=1,IF(In_saveUp="Yes",1,IF(In_saveUp="No",0,IF(In_saveM&gt;=HT21-0.5,1,0))),0)</f>
        <v>0</v>
      </c>
      <c r="HY21" s="20" t="n">
        <f aca="false">IF(Has_saveM=1,MIN(HV21,IF(HX21=1,MAX(In_saveM,HW21),MIN(In_saveM,HW21))),HW21)</f>
        <v>500</v>
      </c>
      <c r="HZ21" s="20" t="n">
        <f aca="false">IF(G21=1,HY21*12*F21,0)</f>
        <v>7761.63978272278</v>
      </c>
      <c r="IA21" s="20" t="n">
        <f aca="false">MAX(0,HZ21+IF(AND(WI_Retire=0,WI_M&lt;0,G21=1),WI_M*12*F21,0))</f>
        <v>7761.63978272278</v>
      </c>
      <c r="IB21" s="20" t="n">
        <f aca="false">Slot1_IsWG*W21+Slot2_IsWG*AH21+Slot3_IsWG*AR21+Slot4_IsWG*BB21+Slot5_IsWG*BL21+Slot6_IsWG*BV21+Slot7_IsWG*CF21+Slot8_IsWG*CP21+Slot9_IsWG*CZ21+Slot10_IsWG*DJ21+Slot11_IsWG*DT21+Slot12_IsWG*ED21+Slot13_IsWG*EN21+Slot14_IsWG*EX21+Slot15_IsWG*FH21+Slot16_IsWG*FR21+Slot17_IsWG*GB21+Slot18_IsWG*GL21+Slot19_IsWG*GV21+Slot20_IsWG*HF21</f>
        <v>0</v>
      </c>
      <c r="IC21" s="20" t="n">
        <f aca="false">IF(AND(WI_Retire=0,WI_M&gt;0,G21=1,IB21&gt;=1),WI_M*12*F21,0)</f>
        <v>0</v>
      </c>
      <c r="ID21" s="20" t="n">
        <f aca="false">IF(HU21=1,MIN(IA21,HS21),0)</f>
        <v>7761.63978272278</v>
      </c>
      <c r="IE21" s="20" t="n">
        <f aca="false">IF(HU21=1,MIN(IC21,HS21-ID21),0)</f>
        <v>0</v>
      </c>
      <c r="IF21" s="20" t="n">
        <f aca="false">IF(W21=1,IF(ABS((1+AS_Wage)/(1+Slot1_Rate)-1)&lt;0.000000000001,(Slot1_Age-D21)*(1+Slot1_Rate)^(Slot1_Age-D21),(1+Slot1_Rate)^(Slot1_Age-D21)*(1-((1+AS_Wage)/(1+Slot1_Rate))^(Slot1_Age-D21))/(1-(1+AS_Wage)/(1+Slot1_Rate))),1)</f>
        <v>1</v>
      </c>
      <c r="IG21" s="20" t="n">
        <f aca="false">IF(AND(HU21=1,IE21&gt;0,Slot1_IsWG=1,W21=1),MAX(0,(Slot1_Cost-X21*(1+Slot1_Rate)^(Slot1_Age-D21))/IF21),0)</f>
        <v>0</v>
      </c>
      <c r="IH21" s="20" t="n">
        <f aca="false">IF(AND(HU21=1,IE21&gt;0,Slot1_IsWG=1,W21=1),MIN(IE21,IG21),0)</f>
        <v>0</v>
      </c>
      <c r="II21" s="20" t="n">
        <f aca="false">X21+IH21</f>
        <v>0</v>
      </c>
      <c r="IJ21" s="20" t="n">
        <f aca="false">IF(W21=1,MAX(0,(Slot1_Cost-II21*(1+Slot1_Rate)^(Slot1_Age-D21))/IF21),0)</f>
        <v>0</v>
      </c>
      <c r="IK21" s="20" t="n">
        <f aca="false">IF(W21=1,MAX(0,(Slot1_Cost-X21*(1+Slot1_Rate)^(Slot1_Age-D21))/IF21),0)</f>
        <v>0</v>
      </c>
      <c r="IL21" s="20" t="n">
        <f aca="false">IF(AND(HU21=1,W21=1),MIN(ID21,IJ21),0)</f>
        <v>0</v>
      </c>
      <c r="IM21" s="20" t="n">
        <f aca="false">ID21-IL21</f>
        <v>7761.63978272278</v>
      </c>
      <c r="IN21" s="20" t="n">
        <f aca="false">IF(AH21=1,IF(ABS((1+AS_Wage)/(1+Slot2_Rate)-1)&lt;0.000000000001,(Slot2_Age-D21)*(1+Slot2_Rate)^(Slot2_Age-D21),(1+Slot2_Rate)^(Slot2_Age-D21)*(1-((1+AS_Wage)/(1+Slot2_Rate))^(Slot2_Age-D21))/(1-(1+AS_Wage)/(1+Slot2_Rate))),1)</f>
        <v>1</v>
      </c>
      <c r="IO21" s="20" t="n">
        <f aca="false">IF(AND(HU21=1,IE21&gt;0,Slot2_IsWG=1,AH21=1),MAX(0,(Slot2_Cost-AI21*(1+Slot2_Rate)^(Slot2_Age-D21))/IN21),0)</f>
        <v>0</v>
      </c>
      <c r="IP21" s="20" t="n">
        <f aca="false">IF(AND(HU21=1,IE21&gt;0,Slot2_IsWG=1,AH21=1),MIN(IE21,IO21),0)</f>
        <v>0</v>
      </c>
      <c r="IQ21" s="20" t="n">
        <f aca="false">AI21+IP21</f>
        <v>0</v>
      </c>
      <c r="IR21" s="20" t="n">
        <f aca="false">IF(AH21=1,MAX(0,(Slot2_Cost-IQ21*(1+Slot2_Rate)^(Slot2_Age-D21))/IN21),0)</f>
        <v>0</v>
      </c>
      <c r="IS21" s="20" t="n">
        <f aca="false">IF(AH21=1,MAX(0,(Slot2_Cost-AI21*(1+Slot2_Rate)^(Slot2_Age-D21))/IN21),0)</f>
        <v>0</v>
      </c>
      <c r="IT21" s="20" t="n">
        <f aca="false">IF(AND(HU21=1,AH21=1),MIN(IM21,IR21),0)</f>
        <v>0</v>
      </c>
      <c r="IU21" s="20" t="n">
        <f aca="false">IM21-IT21</f>
        <v>7761.63978272278</v>
      </c>
      <c r="IV21" s="20" t="n">
        <f aca="false">IF(AR21=1,IF(ABS((1+AS_Wage)/(1+Slot3_Rate)-1)&lt;0.000000000001,(Slot3_Age-D21)*(1+Slot3_Rate)^(Slot3_Age-D21),(1+Slot3_Rate)^(Slot3_Age-D21)*(1-((1+AS_Wage)/(1+Slot3_Rate))^(Slot3_Age-D21))/(1-(1+AS_Wage)/(1+Slot3_Rate))),1)</f>
        <v>1</v>
      </c>
      <c r="IW21" s="20" t="n">
        <f aca="false">IF(AND(HU21=1,IE21&gt;0,Slot3_IsWG=1,AR21=1),MAX(0,(Slot3_Cost-AS21*(1+Slot3_Rate)^(Slot3_Age-D21))/IV21),0)</f>
        <v>0</v>
      </c>
      <c r="IX21" s="20" t="n">
        <f aca="false">IF(AND(HU21=1,IE21&gt;0,Slot3_IsWG=1,AR21=1),MIN(IE21,IW21),0)</f>
        <v>0</v>
      </c>
      <c r="IY21" s="20" t="n">
        <f aca="false">AS21+IX21</f>
        <v>0</v>
      </c>
      <c r="IZ21" s="20" t="n">
        <f aca="false">IF(AR21=1,MAX(0,(Slot3_Cost-IY21*(1+Slot3_Rate)^(Slot3_Age-D21))/IV21),0)</f>
        <v>0</v>
      </c>
      <c r="JA21" s="20" t="n">
        <f aca="false">IF(AR21=1,MAX(0,(Slot3_Cost-AS21*(1+Slot3_Rate)^(Slot3_Age-D21))/IV21),0)</f>
        <v>0</v>
      </c>
      <c r="JB21" s="20" t="n">
        <f aca="false">IF(AND(HU21=1,AR21=1),MIN(IU21,IZ21),0)</f>
        <v>0</v>
      </c>
      <c r="JC21" s="20" t="n">
        <f aca="false">IU21-JB21</f>
        <v>7761.63978272278</v>
      </c>
      <c r="JD21" s="20" t="n">
        <f aca="false">IF(BB21=1,IF(ABS((1+AS_Wage)/(1+Slot4_Rate)-1)&lt;0.000000000001,(Slot4_Age-D21)*(1+Slot4_Rate)^(Slot4_Age-D21),(1+Slot4_Rate)^(Slot4_Age-D21)*(1-((1+AS_Wage)/(1+Slot4_Rate))^(Slot4_Age-D21))/(1-(1+AS_Wage)/(1+Slot4_Rate))),1)</f>
        <v>4.458495574656</v>
      </c>
      <c r="JE21" s="20" t="n">
        <f aca="false">IF(AND(HU21=1,IE21&gt;0,Slot4_IsWG=1,BB21=1),MAX(0,(Slot4_Cost-BC21*(1+Slot4_Rate)^(Slot4_Age-D21))/JD21),0)</f>
        <v>0</v>
      </c>
      <c r="JF21" s="20" t="n">
        <f aca="false">IF(AND(HU21=1,IE21&gt;0,Slot4_IsWG=1,BB21=1),MIN(IE21,JE21),0)</f>
        <v>0</v>
      </c>
      <c r="JG21" s="20" t="n">
        <f aca="false">BC21+JF21</f>
        <v>15357.4474111435</v>
      </c>
      <c r="JH21" s="20" t="n">
        <f aca="false">IF(BB21=1,MAX(0,(Slot4_Cost-JG21*(1+Slot4_Rate)^(Slot4_Age-D21))/JD21),0)</f>
        <v>5159.11630080157</v>
      </c>
      <c r="JI21" s="20" t="n">
        <f aca="false">IF(BB21=1,MAX(0,(Slot4_Cost-BC21*(1+Slot4_Rate)^(Slot4_Age-D21))/JD21),0)</f>
        <v>5159.11630080157</v>
      </c>
      <c r="JJ21" s="20" t="n">
        <f aca="false">IF(AND(HU21=1,BB21=1),MIN(JC21,JH21),0)</f>
        <v>5159.11630080157</v>
      </c>
      <c r="JK21" s="20" t="n">
        <f aca="false">JC21-JJ21</f>
        <v>2602.52348192121</v>
      </c>
      <c r="JL21" s="20" t="n">
        <f aca="false">IF(BL21=1,IF(ABS((1+AS_Wage)/(1+Slot5_Rate)-1)&lt;0.000000000001,(Slot5_Age-D21)*(1+Slot5_Rate)^(Slot5_Age-D21),(1+Slot5_Rate)^(Slot5_Age-D21)*(1-((1+AS_Wage)/(1+Slot5_Rate))^(Slot5_Age-D21))/(1-(1+AS_Wage)/(1+Slot5_Rate))),1)</f>
        <v>1</v>
      </c>
      <c r="JM21" s="20" t="n">
        <f aca="false">IF(AND(HU21=1,IE21&gt;0,Slot5_IsWG=1,BL21=1),MAX(0,(Slot5_Cost-BM21*(1+Slot5_Rate)^(Slot5_Age-D21))/JL21),0)</f>
        <v>0</v>
      </c>
      <c r="JN21" s="20" t="n">
        <f aca="false">IF(AND(HU21=1,IE21&gt;0,Slot5_IsWG=1,BL21=1),MIN(IE21,JM21),0)</f>
        <v>0</v>
      </c>
      <c r="JO21" s="20" t="n">
        <f aca="false">BM21+JN21</f>
        <v>0</v>
      </c>
      <c r="JP21" s="20" t="n">
        <f aca="false">IF(BL21=1,MAX(0,(Slot5_Cost-JO21*(1+Slot5_Rate)^(Slot5_Age-D21))/JL21),0)</f>
        <v>0</v>
      </c>
      <c r="JQ21" s="20" t="n">
        <f aca="false">IF(BL21=1,MAX(0,(Slot5_Cost-BM21*(1+Slot5_Rate)^(Slot5_Age-D21))/JL21),0)</f>
        <v>0</v>
      </c>
      <c r="JR21" s="20" t="n">
        <f aca="false">IF(AND(HU21=1,BL21=1),MIN(JK21,JP21),0)</f>
        <v>0</v>
      </c>
      <c r="JS21" s="20" t="n">
        <f aca="false">JK21-JR21</f>
        <v>2602.52348192121</v>
      </c>
      <c r="JT21" s="20" t="n">
        <f aca="false">IF(BV21=1,IF(ABS((1+AS_Wage)/(1+Slot6_Rate)-1)&lt;0.000000000001,(Slot6_Age-D21)*(1+Slot6_Rate)^(Slot6_Age-D21),(1+Slot6_Rate)^(Slot6_Age-D21)*(1-((1+AS_Wage)/(1+Slot6_Rate))^(Slot6_Age-D21))/(1-(1+AS_Wage)/(1+Slot6_Rate))),1)</f>
        <v>1</v>
      </c>
      <c r="JU21" s="20" t="n">
        <f aca="false">IF(AND(HU21=1,IE21&gt;0,Slot6_IsWG=1,BV21=1),MAX(0,(Slot6_Cost-BW21*(1+Slot6_Rate)^(Slot6_Age-D21))/JT21),0)</f>
        <v>0</v>
      </c>
      <c r="JV21" s="20" t="n">
        <f aca="false">IF(AND(HU21=1,IE21&gt;0,Slot6_IsWG=1,BV21=1),MIN(IE21,JU21),0)</f>
        <v>0</v>
      </c>
      <c r="JW21" s="20" t="n">
        <f aca="false">BW21+JV21</f>
        <v>0</v>
      </c>
      <c r="JX21" s="20" t="n">
        <f aca="false">IF(BV21=1,MAX(0,(Slot6_Cost-JW21*(1+Slot6_Rate)^(Slot6_Age-D21))/JT21),0)</f>
        <v>0</v>
      </c>
      <c r="JY21" s="20" t="n">
        <f aca="false">IF(BV21=1,MAX(0,(Slot6_Cost-BW21*(1+Slot6_Rate)^(Slot6_Age-D21))/JT21),0)</f>
        <v>0</v>
      </c>
      <c r="JZ21" s="20" t="n">
        <f aca="false">IF(AND(HU21=1,BV21=1),MIN(JS21,JX21),0)</f>
        <v>0</v>
      </c>
      <c r="KA21" s="20" t="n">
        <f aca="false">JS21-JZ21</f>
        <v>2602.52348192121</v>
      </c>
      <c r="KB21" s="20" t="n">
        <f aca="false">IF(CF21=1,IF(ABS((1+AS_Wage)/(1+Slot7_Rate)-1)&lt;0.000000000001,(Slot7_Age-D21)*(1+Slot7_Rate)^(Slot7_Age-D21),(1+Slot7_Rate)^(Slot7_Age-D21)*(1-((1+AS_Wage)/(1+Slot7_Rate))^(Slot7_Age-D21))/(1-(1+AS_Wage)/(1+Slot7_Rate))),1)</f>
        <v>1</v>
      </c>
      <c r="KC21" s="20" t="n">
        <f aca="false">IF(AND(HU21=1,IE21&gt;0,Slot7_IsWG=1,CF21=1),MAX(0,(Slot7_Cost-CG21*(1+Slot7_Rate)^(Slot7_Age-D21))/KB21),0)</f>
        <v>0</v>
      </c>
      <c r="KD21" s="20" t="n">
        <f aca="false">IF(AND(HU21=1,IE21&gt;0,Slot7_IsWG=1,CF21=1),MIN(IE21,KC21),0)</f>
        <v>0</v>
      </c>
      <c r="KE21" s="20" t="n">
        <f aca="false">CG21+KD21</f>
        <v>0</v>
      </c>
      <c r="KF21" s="20" t="n">
        <f aca="false">IF(CF21=1,MAX(0,(Slot7_Cost-KE21*(1+Slot7_Rate)^(Slot7_Age-D21))/KB21),0)</f>
        <v>0</v>
      </c>
      <c r="KG21" s="20" t="n">
        <f aca="false">IF(CF21=1,MAX(0,(Slot7_Cost-CG21*(1+Slot7_Rate)^(Slot7_Age-D21))/KB21),0)</f>
        <v>0</v>
      </c>
      <c r="KH21" s="20" t="n">
        <f aca="false">IF(AND(HU21=1,CF21=1),MIN(KA21,KF21),0)</f>
        <v>0</v>
      </c>
      <c r="KI21" s="20" t="n">
        <f aca="false">KA21-KH21</f>
        <v>2602.52348192121</v>
      </c>
      <c r="KJ21" s="20" t="n">
        <f aca="false">IF(CP21=1,IF(ABS((1+AS_Wage)/(1+Slot8_Rate)-1)&lt;0.000000000001,(Slot8_Age-D21)*(1+Slot8_Rate)^(Slot8_Age-D21),(1+Slot8_Rate)^(Slot8_Age-D21)*(1-((1+AS_Wage)/(1+Slot8_Rate))^(Slot8_Age-D21))/(1-(1+AS_Wage)/(1+Slot8_Rate))),1)</f>
        <v>1</v>
      </c>
      <c r="KK21" s="20" t="n">
        <f aca="false">IF(AND(HU21=1,IE21&gt;0,Slot8_IsWG=1,CP21=1),MAX(0,(Slot8_Cost-CQ21*(1+Slot8_Rate)^(Slot8_Age-D21))/KJ21),0)</f>
        <v>0</v>
      </c>
      <c r="KL21" s="20" t="n">
        <f aca="false">IF(AND(HU21=1,IE21&gt;0,Slot8_IsWG=1,CP21=1),MIN(IE21,KK21),0)</f>
        <v>0</v>
      </c>
      <c r="KM21" s="20" t="n">
        <f aca="false">CQ21+KL21</f>
        <v>0</v>
      </c>
      <c r="KN21" s="20" t="n">
        <f aca="false">IF(CP21=1,MAX(0,(Slot8_Cost-KM21*(1+Slot8_Rate)^(Slot8_Age-D21))/KJ21),0)</f>
        <v>0</v>
      </c>
      <c r="KO21" s="20" t="n">
        <f aca="false">IF(CP21=1,MAX(0,(Slot8_Cost-CQ21*(1+Slot8_Rate)^(Slot8_Age-D21))/KJ21),0)</f>
        <v>0</v>
      </c>
      <c r="KP21" s="20" t="n">
        <f aca="false">IF(AND(HU21=1,CP21=1),MIN(KI21,KN21),0)</f>
        <v>0</v>
      </c>
      <c r="KQ21" s="20" t="n">
        <f aca="false">KI21-KP21</f>
        <v>2602.52348192121</v>
      </c>
      <c r="KR21" s="20" t="n">
        <f aca="false">IF(CZ21=1,IF(ABS((1+AS_Wage)/(1+Slot9_Rate)-1)&lt;0.000000000001,(Slot9_Age-D21)*(1+Slot9_Rate)^(Slot9_Age-D21),(1+Slot9_Rate)^(Slot9_Age-D21)*(1-((1+AS_Wage)/(1+Slot9_Rate))^(Slot9_Age-D21))/(1-(1+AS_Wage)/(1+Slot9_Rate))),1)</f>
        <v>1</v>
      </c>
      <c r="KS21" s="20" t="n">
        <f aca="false">IF(AND(HU21=1,IE21&gt;0,Slot9_IsWG=1,CZ21=1),MAX(0,(Slot9_Cost-DA21*(1+Slot9_Rate)^(Slot9_Age-D21))/KR21),0)</f>
        <v>0</v>
      </c>
      <c r="KT21" s="20" t="n">
        <f aca="false">IF(AND(HU21=1,IE21&gt;0,Slot9_IsWG=1,CZ21=1),MIN(IE21,KS21),0)</f>
        <v>0</v>
      </c>
      <c r="KU21" s="20" t="n">
        <f aca="false">DA21+KT21</f>
        <v>0</v>
      </c>
      <c r="KV21" s="20" t="n">
        <f aca="false">IF(CZ21=1,MAX(0,(Slot9_Cost-KU21*(1+Slot9_Rate)^(Slot9_Age-D21))/KR21),0)</f>
        <v>0</v>
      </c>
      <c r="KW21" s="20" t="n">
        <f aca="false">IF(CZ21=1,MAX(0,(Slot9_Cost-DA21*(1+Slot9_Rate)^(Slot9_Age-D21))/KR21),0)</f>
        <v>0</v>
      </c>
      <c r="KX21" s="20" t="n">
        <f aca="false">IF(AND(HU21=1,CZ21=1),MIN(KQ21,KV21),0)</f>
        <v>0</v>
      </c>
      <c r="KY21" s="20" t="n">
        <f aca="false">KQ21-KX21</f>
        <v>2602.52348192121</v>
      </c>
      <c r="KZ21" s="20" t="n">
        <f aca="false">IF(DJ21=1,IF(ABS((1+AS_Wage)/(1+Slot10_Rate)-1)&lt;0.000000000001,(Slot10_Age-D21)*(1+Slot10_Rate)^(Slot10_Age-D21),(1+Slot10_Rate)^(Slot10_Age-D21)*(1-((1+AS_Wage)/(1+Slot10_Rate))^(Slot10_Age-D21))/(1-(1+AS_Wage)/(1+Slot10_Rate))),1)</f>
        <v>1</v>
      </c>
      <c r="LA21" s="20" t="n">
        <f aca="false">IF(AND(HU21=1,IE21&gt;0,Slot10_IsWG=1,DJ21=1),MAX(0,(Slot10_Cost-DK21*(1+Slot10_Rate)^(Slot10_Age-D21))/KZ21),0)</f>
        <v>0</v>
      </c>
      <c r="LB21" s="20" t="n">
        <f aca="false">IF(AND(HU21=1,IE21&gt;0,Slot10_IsWG=1,DJ21=1),MIN(IE21,LA21),0)</f>
        <v>0</v>
      </c>
      <c r="LC21" s="20" t="n">
        <f aca="false">DK21+LB21</f>
        <v>0</v>
      </c>
      <c r="LD21" s="20" t="n">
        <f aca="false">IF(DJ21=1,MAX(0,(Slot10_Cost-LC21*(1+Slot10_Rate)^(Slot10_Age-D21))/KZ21),0)</f>
        <v>0</v>
      </c>
      <c r="LE21" s="20" t="n">
        <f aca="false">IF(DJ21=1,MAX(0,(Slot10_Cost-DK21*(1+Slot10_Rate)^(Slot10_Age-D21))/KZ21),0)</f>
        <v>0</v>
      </c>
      <c r="LF21" s="20" t="n">
        <f aca="false">IF(AND(HU21=1,DJ21=1),MIN(KY21,LD21),0)</f>
        <v>0</v>
      </c>
      <c r="LG21" s="20" t="n">
        <f aca="false">KY21-LF21</f>
        <v>2602.52348192121</v>
      </c>
      <c r="LH21" s="20" t="n">
        <f aca="false">IF(DT21=1,IF(ABS((1+AS_Wage)/(1+Slot11_Rate)-1)&lt;0.000000000001,(Slot11_Age-D21)*(1+Slot11_Rate)^(Slot11_Age-D21),(1+Slot11_Rate)^(Slot11_Age-D21)*(1-((1+AS_Wage)/(1+Slot11_Rate))^(Slot11_Age-D21))/(1-(1+AS_Wage)/(1+Slot11_Rate))),1)</f>
        <v>1</v>
      </c>
      <c r="LI21" s="20" t="n">
        <f aca="false">IF(AND(HU21=1,IE21&gt;0,Slot11_IsWG=1,DT21=1),MAX(0,(Slot11_Cost-DU21*(1+Slot11_Rate)^(Slot11_Age-D21))/LH21),0)</f>
        <v>0</v>
      </c>
      <c r="LJ21" s="20" t="n">
        <f aca="false">IF(AND(HU21=1,IE21&gt;0,Slot11_IsWG=1,DT21=1),MIN(IE21,LI21),0)</f>
        <v>0</v>
      </c>
      <c r="LK21" s="20" t="n">
        <f aca="false">DU21+LJ21</f>
        <v>0</v>
      </c>
      <c r="LL21" s="20" t="n">
        <f aca="false">IF(DT21=1,MAX(0,(Slot11_Cost-LK21*(1+Slot11_Rate)^(Slot11_Age-D21))/LH21),0)</f>
        <v>0</v>
      </c>
      <c r="LM21" s="20" t="n">
        <f aca="false">IF(DT21=1,MAX(0,(Slot11_Cost-DU21*(1+Slot11_Rate)^(Slot11_Age-D21))/LH21),0)</f>
        <v>0</v>
      </c>
      <c r="LN21" s="20" t="n">
        <f aca="false">IF(AND(HU21=1,DT21=1),MIN(LG21,LL21),0)</f>
        <v>0</v>
      </c>
      <c r="LO21" s="20" t="n">
        <f aca="false">LG21-LN21</f>
        <v>2602.52348192121</v>
      </c>
      <c r="LP21" s="20" t="n">
        <f aca="false">IF(ED21=1,IF(ABS((1+AS_Wage)/(1+Slot12_Rate)-1)&lt;0.000000000001,(Slot12_Age-D21)*(1+Slot12_Rate)^(Slot12_Age-D21),(1+Slot12_Rate)^(Slot12_Age-D21)*(1-((1+AS_Wage)/(1+Slot12_Rate))^(Slot12_Age-D21))/(1-(1+AS_Wage)/(1+Slot12_Rate))),1)</f>
        <v>1</v>
      </c>
      <c r="LQ21" s="20" t="n">
        <f aca="false">IF(AND(HU21=1,IE21&gt;0,Slot12_IsWG=1,ED21=1),MAX(0,(Slot12_Cost-EE21*(1+Slot12_Rate)^(Slot12_Age-D21))/LP21),0)</f>
        <v>0</v>
      </c>
      <c r="LR21" s="20" t="n">
        <f aca="false">IF(AND(HU21=1,IE21&gt;0,Slot12_IsWG=1,ED21=1),MIN(IE21,LQ21),0)</f>
        <v>0</v>
      </c>
      <c r="LS21" s="20" t="n">
        <f aca="false">EE21+LR21</f>
        <v>0</v>
      </c>
      <c r="LT21" s="20" t="n">
        <f aca="false">IF(ED21=1,MAX(0,(Slot12_Cost-LS21*(1+Slot12_Rate)^(Slot12_Age-D21))/LP21),0)</f>
        <v>0</v>
      </c>
      <c r="LU21" s="20" t="n">
        <f aca="false">IF(ED21=1,MAX(0,(Slot12_Cost-EE21*(1+Slot12_Rate)^(Slot12_Age-D21))/LP21),0)</f>
        <v>0</v>
      </c>
      <c r="LV21" s="20" t="n">
        <f aca="false">IF(AND(HU21=1,ED21=1),MIN(LO21,LT21),0)</f>
        <v>0</v>
      </c>
      <c r="LW21" s="20" t="n">
        <f aca="false">LO21-LV21</f>
        <v>2602.52348192121</v>
      </c>
      <c r="LX21" s="20" t="n">
        <f aca="false">IF(EN21=1,IF(ABS((1+AS_Wage)/(1+Slot13_Rate)-1)&lt;0.000000000001,(Slot13_Age-D21)*(1+Slot13_Rate)^(Slot13_Age-D21),(1+Slot13_Rate)^(Slot13_Age-D21)*(1-((1+AS_Wage)/(1+Slot13_Rate))^(Slot13_Age-D21))/(1-(1+AS_Wage)/(1+Slot13_Rate))),1)</f>
        <v>1</v>
      </c>
      <c r="LY21" s="20" t="n">
        <f aca="false">IF(AND(HU21=1,IE21&gt;0,Slot13_IsWG=1,EN21=1),MAX(0,(Slot13_Cost-EO21*(1+Slot13_Rate)^(Slot13_Age-D21))/LX21),0)</f>
        <v>0</v>
      </c>
      <c r="LZ21" s="20" t="n">
        <f aca="false">IF(AND(HU21=1,IE21&gt;0,Slot13_IsWG=1,EN21=1),MIN(IE21,LY21),0)</f>
        <v>0</v>
      </c>
      <c r="MA21" s="20" t="n">
        <f aca="false">EO21+LZ21</f>
        <v>0</v>
      </c>
      <c r="MB21" s="20" t="n">
        <f aca="false">IF(EN21=1,MAX(0,(Slot13_Cost-MA21*(1+Slot13_Rate)^(Slot13_Age-D21))/LX21),0)</f>
        <v>0</v>
      </c>
      <c r="MC21" s="20" t="n">
        <f aca="false">IF(EN21=1,MAX(0,(Slot13_Cost-EO21*(1+Slot13_Rate)^(Slot13_Age-D21))/LX21),0)</f>
        <v>0</v>
      </c>
      <c r="MD21" s="20" t="n">
        <f aca="false">IF(AND(HU21=1,EN21=1),MIN(LW21,MB21),0)</f>
        <v>0</v>
      </c>
      <c r="ME21" s="20" t="n">
        <f aca="false">LW21-MD21</f>
        <v>2602.52348192121</v>
      </c>
      <c r="MF21" s="20" t="n">
        <f aca="false">IF(EX21=1,IF(ABS((1+AS_Wage)/(1+Slot14_Rate)-1)&lt;0.000000000001,(Slot14_Age-D21)*(1+Slot14_Rate)^(Slot14_Age-D21),(1+Slot14_Rate)^(Slot14_Age-D21)*(1-((1+AS_Wage)/(1+Slot14_Rate))^(Slot14_Age-D21))/(1-(1+AS_Wage)/(1+Slot14_Rate))),1)</f>
        <v>1</v>
      </c>
      <c r="MG21" s="20" t="n">
        <f aca="false">IF(AND(HU21=1,IE21&gt;0,Slot14_IsWG=1,EX21=1),MAX(0,(Slot14_Cost-EY21*(1+Slot14_Rate)^(Slot14_Age-D21))/MF21),0)</f>
        <v>0</v>
      </c>
      <c r="MH21" s="20" t="n">
        <f aca="false">IF(AND(HU21=1,IE21&gt;0,Slot14_IsWG=1,EX21=1),MIN(IE21,MG21),0)</f>
        <v>0</v>
      </c>
      <c r="MI21" s="20" t="n">
        <f aca="false">EY21+MH21</f>
        <v>0</v>
      </c>
      <c r="MJ21" s="20" t="n">
        <f aca="false">IF(EX21=1,MAX(0,(Slot14_Cost-MI21*(1+Slot14_Rate)^(Slot14_Age-D21))/MF21),0)</f>
        <v>0</v>
      </c>
      <c r="MK21" s="20" t="n">
        <f aca="false">IF(EX21=1,MAX(0,(Slot14_Cost-EY21*(1+Slot14_Rate)^(Slot14_Age-D21))/MF21),0)</f>
        <v>0</v>
      </c>
      <c r="ML21" s="20" t="n">
        <f aca="false">IF(AND(HU21=1,EX21=1),MIN(ME21,MJ21),0)</f>
        <v>0</v>
      </c>
      <c r="MM21" s="20" t="n">
        <f aca="false">ME21-ML21</f>
        <v>2602.52348192121</v>
      </c>
      <c r="MN21" s="20" t="n">
        <f aca="false">IF(FH21=1,IF(ABS((1+AS_Wage)/(1+Slot15_Rate)-1)&lt;0.000000000001,(Slot15_Age-D21)*(1+Slot15_Rate)^(Slot15_Age-D21),(1+Slot15_Rate)^(Slot15_Age-D21)*(1-((1+AS_Wage)/(1+Slot15_Rate))^(Slot15_Age-D21))/(1-(1+AS_Wage)/(1+Slot15_Rate))),1)</f>
        <v>1</v>
      </c>
      <c r="MO21" s="20" t="n">
        <f aca="false">IF(AND(HU21=1,IE21&gt;0,Slot15_IsWG=1,FH21=1),MAX(0,(Slot15_Cost-FI21*(1+Slot15_Rate)^(Slot15_Age-D21))/MN21),0)</f>
        <v>0</v>
      </c>
      <c r="MP21" s="20" t="n">
        <f aca="false">IF(AND(HU21=1,IE21&gt;0,Slot15_IsWG=1,FH21=1),MIN(IE21,MO21),0)</f>
        <v>0</v>
      </c>
      <c r="MQ21" s="20" t="n">
        <f aca="false">FI21+MP21</f>
        <v>0</v>
      </c>
      <c r="MR21" s="20" t="n">
        <f aca="false">IF(FH21=1,MAX(0,(Slot15_Cost-MQ21*(1+Slot15_Rate)^(Slot15_Age-D21))/MN21),0)</f>
        <v>0</v>
      </c>
      <c r="MS21" s="20" t="n">
        <f aca="false">IF(FH21=1,MAX(0,(Slot15_Cost-FI21*(1+Slot15_Rate)^(Slot15_Age-D21))/MN21),0)</f>
        <v>0</v>
      </c>
      <c r="MT21" s="20" t="n">
        <f aca="false">IF(AND(HU21=1,FH21=1),MIN(MM21,MR21),0)</f>
        <v>0</v>
      </c>
      <c r="MU21" s="20" t="n">
        <f aca="false">MM21-MT21</f>
        <v>2602.52348192121</v>
      </c>
      <c r="MV21" s="20" t="n">
        <f aca="false">IF(FR21=1,IF(ABS((1+AS_Wage)/(1+Slot16_Rate)-1)&lt;0.000000000001,(Slot16_Age-D21)*(1+Slot16_Rate)^(Slot16_Age-D21),(1+Slot16_Rate)^(Slot16_Age-D21)*(1-((1+AS_Wage)/(1+Slot16_Rate))^(Slot16_Age-D21))/(1-(1+AS_Wage)/(1+Slot16_Rate))),1)</f>
        <v>1</v>
      </c>
      <c r="MW21" s="20" t="n">
        <f aca="false">IF(AND(HU21=1,IE21&gt;0,Slot16_IsWG=1,FR21=1),MAX(0,(Slot16_Cost-FS21*(1+Slot16_Rate)^(Slot16_Age-D21))/MV21),0)</f>
        <v>0</v>
      </c>
      <c r="MX21" s="20" t="n">
        <f aca="false">IF(AND(HU21=1,IE21&gt;0,Slot16_IsWG=1,FR21=1),MIN(IE21,MW21),0)</f>
        <v>0</v>
      </c>
      <c r="MY21" s="20" t="n">
        <f aca="false">FS21+MX21</f>
        <v>0</v>
      </c>
      <c r="MZ21" s="20" t="n">
        <f aca="false">IF(FR21=1,MAX(0,(Slot16_Cost-MY21*(1+Slot16_Rate)^(Slot16_Age-D21))/MV21),0)</f>
        <v>0</v>
      </c>
      <c r="NA21" s="20" t="n">
        <f aca="false">IF(FR21=1,MAX(0,(Slot16_Cost-FS21*(1+Slot16_Rate)^(Slot16_Age-D21))/MV21),0)</f>
        <v>0</v>
      </c>
      <c r="NB21" s="20" t="n">
        <f aca="false">IF(AND(HU21=1,FR21=1),MIN(MU21,MZ21),0)</f>
        <v>0</v>
      </c>
      <c r="NC21" s="20" t="n">
        <f aca="false">MU21-NB21</f>
        <v>2602.52348192121</v>
      </c>
      <c r="ND21" s="20" t="n">
        <f aca="false">IF(GB21=1,IF(ABS((1+AS_Wage)/(1+Slot17_Rate)-1)&lt;0.000000000001,(Slot17_Age-D21)*(1+Slot17_Rate)^(Slot17_Age-D21),(1+Slot17_Rate)^(Slot17_Age-D21)*(1-((1+AS_Wage)/(1+Slot17_Rate))^(Slot17_Age-D21))/(1-(1+AS_Wage)/(1+Slot17_Rate))),1)</f>
        <v>1</v>
      </c>
      <c r="NE21" s="20" t="n">
        <f aca="false">IF(AND(HU21=1,IE21&gt;0,Slot17_IsWG=1,GB21=1),MAX(0,(Slot17_Cost-GC21*(1+Slot17_Rate)^(Slot17_Age-D21))/ND21),0)</f>
        <v>0</v>
      </c>
      <c r="NF21" s="20" t="n">
        <f aca="false">IF(AND(HU21=1,IE21&gt;0,Slot17_IsWG=1,GB21=1),MIN(IE21,NE21),0)</f>
        <v>0</v>
      </c>
      <c r="NG21" s="20" t="n">
        <f aca="false">GC21+NF21</f>
        <v>0</v>
      </c>
      <c r="NH21" s="20" t="n">
        <f aca="false">IF(GB21=1,MAX(0,(Slot17_Cost-NG21*(1+Slot17_Rate)^(Slot17_Age-D21))/ND21),0)</f>
        <v>0</v>
      </c>
      <c r="NI21" s="20" t="n">
        <f aca="false">IF(GB21=1,MAX(0,(Slot17_Cost-GC21*(1+Slot17_Rate)^(Slot17_Age-D21))/ND21),0)</f>
        <v>0</v>
      </c>
      <c r="NJ21" s="20" t="n">
        <f aca="false">IF(AND(HU21=1,GB21=1),MIN(NC21,NH21),0)</f>
        <v>0</v>
      </c>
      <c r="NK21" s="20" t="n">
        <f aca="false">NC21-NJ21</f>
        <v>2602.52348192121</v>
      </c>
      <c r="NL21" s="20" t="n">
        <f aca="false">IF(GL21=1,IF(ABS((1+AS_Wage)/(1+Slot18_Rate)-1)&lt;0.000000000001,(Slot18_Age-D21)*(1+Slot18_Rate)^(Slot18_Age-D21),(1+Slot18_Rate)^(Slot18_Age-D21)*(1-((1+AS_Wage)/(1+Slot18_Rate))^(Slot18_Age-D21))/(1-(1+AS_Wage)/(1+Slot18_Rate))),1)</f>
        <v>1</v>
      </c>
      <c r="NM21" s="20" t="n">
        <f aca="false">IF(AND(HU21=1,IE21&gt;0,Slot18_IsWG=1,GL21=1),MAX(0,(Slot18_Cost-GM21*(1+Slot18_Rate)^(Slot18_Age-D21))/NL21),0)</f>
        <v>0</v>
      </c>
      <c r="NN21" s="20" t="n">
        <f aca="false">IF(AND(HU21=1,IE21&gt;0,Slot18_IsWG=1,GL21=1),MIN(IE21,NM21),0)</f>
        <v>0</v>
      </c>
      <c r="NO21" s="20" t="n">
        <f aca="false">GM21+NN21</f>
        <v>0</v>
      </c>
      <c r="NP21" s="20" t="n">
        <f aca="false">IF(GL21=1,MAX(0,(Slot18_Cost-NO21*(1+Slot18_Rate)^(Slot18_Age-D21))/NL21),0)</f>
        <v>0</v>
      </c>
      <c r="NQ21" s="20" t="n">
        <f aca="false">IF(GL21=1,MAX(0,(Slot18_Cost-GM21*(1+Slot18_Rate)^(Slot18_Age-D21))/NL21),0)</f>
        <v>0</v>
      </c>
      <c r="NR21" s="20" t="n">
        <f aca="false">IF(AND(HU21=1,GL21=1),MIN(NK21,NP21),0)</f>
        <v>0</v>
      </c>
      <c r="NS21" s="20" t="n">
        <f aca="false">NK21-NR21</f>
        <v>2602.52348192121</v>
      </c>
      <c r="NT21" s="20" t="n">
        <f aca="false">IF(GV21=1,IF(ABS((1+AS_Wage)/(1+Slot19_Rate)-1)&lt;0.000000000001,(Slot19_Age-D21)*(1+Slot19_Rate)^(Slot19_Age-D21),(1+Slot19_Rate)^(Slot19_Age-D21)*(1-((1+AS_Wage)/(1+Slot19_Rate))^(Slot19_Age-D21))/(1-(1+AS_Wage)/(1+Slot19_Rate))),1)</f>
        <v>1</v>
      </c>
      <c r="NU21" s="20" t="n">
        <f aca="false">IF(AND(HU21=1,IE21&gt;0,Slot19_IsWG=1,GV21=1),MAX(0,(Slot19_Cost-GW21*(1+Slot19_Rate)^(Slot19_Age-D21))/NT21),0)</f>
        <v>0</v>
      </c>
      <c r="NV21" s="20" t="n">
        <f aca="false">IF(AND(HU21=1,IE21&gt;0,Slot19_IsWG=1,GV21=1),MIN(IE21,NU21),0)</f>
        <v>0</v>
      </c>
      <c r="NW21" s="20" t="n">
        <f aca="false">GW21+NV21</f>
        <v>0</v>
      </c>
      <c r="NX21" s="20" t="n">
        <f aca="false">IF(GV21=1,MAX(0,(Slot19_Cost-NW21*(1+Slot19_Rate)^(Slot19_Age-D21))/NT21),0)</f>
        <v>0</v>
      </c>
      <c r="NY21" s="20" t="n">
        <f aca="false">IF(GV21=1,MAX(0,(Slot19_Cost-GW21*(1+Slot19_Rate)^(Slot19_Age-D21))/NT21),0)</f>
        <v>0</v>
      </c>
      <c r="NZ21" s="20" t="n">
        <f aca="false">IF(AND(HU21=1,GV21=1),MIN(NS21,NX21),0)</f>
        <v>0</v>
      </c>
      <c r="OA21" s="20" t="n">
        <f aca="false">NS21-NZ21</f>
        <v>2602.52348192121</v>
      </c>
      <c r="OB21" s="20" t="n">
        <f aca="false">IF(HF21=1,IF(ABS((1+AS_Wage)/(1+Slot20_Rate)-1)&lt;0.000000000001,(Slot20_Age-D21)*(1+Slot20_Rate)^(Slot20_Age-D21),(1+Slot20_Rate)^(Slot20_Age-D21)*(1-((1+AS_Wage)/(1+Slot20_Rate))^(Slot20_Age-D21))/(1-(1+AS_Wage)/(1+Slot20_Rate))),1)</f>
        <v>1</v>
      </c>
      <c r="OC21" s="20" t="n">
        <f aca="false">IF(AND(HU21=1,IE21&gt;0,Slot20_IsWG=1,HF21=1),MAX(0,(Slot20_Cost-HG21*(1+Slot20_Rate)^(Slot20_Age-D21))/OB21),0)</f>
        <v>0</v>
      </c>
      <c r="OD21" s="20" t="n">
        <f aca="false">IF(AND(HU21=1,IE21&gt;0,Slot20_IsWG=1,HF21=1),MIN(IE21,OC21),0)</f>
        <v>0</v>
      </c>
      <c r="OE21" s="20" t="n">
        <f aca="false">HG21+OD21</f>
        <v>0</v>
      </c>
      <c r="OF21" s="20" t="n">
        <f aca="false">IF(HF21=1,MAX(0,(Slot20_Cost-OE21*(1+Slot20_Rate)^(Slot20_Age-D21))/OB21),0)</f>
        <v>0</v>
      </c>
      <c r="OG21" s="20" t="n">
        <f aca="false">IF(HF21=1,MAX(0,(Slot20_Cost-HG21*(1+Slot20_Rate)^(Slot20_Age-D21))/OB21),0)</f>
        <v>0</v>
      </c>
      <c r="OH21" s="20" t="n">
        <f aca="false">IF(AND(HU21=1,HF21=1),MIN(OA21,OF21),0)</f>
        <v>0</v>
      </c>
      <c r="OI21" s="20" t="n">
        <f aca="false">OA21-OH21</f>
        <v>2602.52348192121</v>
      </c>
      <c r="OJ21" s="20" t="n">
        <f aca="false">IE21-(IH21+IP21+IX21+JF21+JN21+JV21+KD21+KL21+KT21+LB21+LJ21+LR21+LZ21+MH21+MP21+MX21+NF21+NN21+NV21+OD21)</f>
        <v>0</v>
      </c>
      <c r="OK21" s="20" t="n">
        <f aca="false">IF(HU21=1,HS21-ID21-IE21,0)</f>
        <v>7915.06364214909</v>
      </c>
      <c r="OL21" s="20" t="n">
        <f aca="false">IF(HU21=0,-HS21,0)</f>
        <v>0</v>
      </c>
      <c r="OM21" s="20" t="n">
        <f aca="false">MIN(OL21,HK21)</f>
        <v>0</v>
      </c>
      <c r="ON21" s="20" t="n">
        <f aca="false">OL21-OM21</f>
        <v>0</v>
      </c>
      <c r="OO21" s="20" t="n">
        <f aca="false">MIN(ON21,HL21)</f>
        <v>0</v>
      </c>
      <c r="OP21" s="20" t="n">
        <f aca="false">ON21-OO21</f>
        <v>0</v>
      </c>
      <c r="OQ21" s="20" t="n">
        <f aca="false">IF(AND(HU21=0,HF21=1,OP21&gt;0),MIN(OP21,HG21),0)</f>
        <v>0</v>
      </c>
      <c r="OR21" s="20" t="n">
        <f aca="false">OP21-OQ21</f>
        <v>0</v>
      </c>
      <c r="OS21" s="20" t="n">
        <f aca="false">IF(AND(HU21=0,GV21=1,OR21&gt;0),MIN(OR21,GW21),0)</f>
        <v>0</v>
      </c>
      <c r="OT21" s="20" t="n">
        <f aca="false">OR21-OS21</f>
        <v>0</v>
      </c>
      <c r="OU21" s="20" t="n">
        <f aca="false">IF(AND(HU21=0,GL21=1,OT21&gt;0),MIN(OT21,GM21),0)</f>
        <v>0</v>
      </c>
      <c r="OV21" s="20" t="n">
        <f aca="false">OT21-OU21</f>
        <v>0</v>
      </c>
      <c r="OW21" s="20" t="n">
        <f aca="false">IF(AND(HU21=0,GB21=1,OV21&gt;0),MIN(OV21,GC21),0)</f>
        <v>0</v>
      </c>
      <c r="OX21" s="20" t="n">
        <f aca="false">OV21-OW21</f>
        <v>0</v>
      </c>
      <c r="OY21" s="20" t="n">
        <f aca="false">IF(AND(HU21=0,FR21=1,OX21&gt;0),MIN(OX21,FS21),0)</f>
        <v>0</v>
      </c>
      <c r="OZ21" s="20" t="n">
        <f aca="false">OX21-OY21</f>
        <v>0</v>
      </c>
      <c r="PA21" s="20" t="n">
        <f aca="false">IF(AND(HU21=0,FH21=1,OZ21&gt;0),MIN(OZ21,FI21),0)</f>
        <v>0</v>
      </c>
      <c r="PB21" s="20" t="n">
        <f aca="false">OZ21-PA21</f>
        <v>0</v>
      </c>
      <c r="PC21" s="20" t="n">
        <f aca="false">IF(AND(HU21=0,EX21=1,PB21&gt;0),MIN(PB21,EY21),0)</f>
        <v>0</v>
      </c>
      <c r="PD21" s="20" t="n">
        <f aca="false">PB21-PC21</f>
        <v>0</v>
      </c>
      <c r="PE21" s="20" t="n">
        <f aca="false">IF(AND(HU21=0,EN21=1,PD21&gt;0),MIN(PD21,EO21),0)</f>
        <v>0</v>
      </c>
      <c r="PF21" s="20" t="n">
        <f aca="false">PD21-PE21</f>
        <v>0</v>
      </c>
      <c r="PG21" s="20" t="n">
        <f aca="false">IF(AND(HU21=0,ED21=1,PF21&gt;0),MIN(PF21,EE21),0)</f>
        <v>0</v>
      </c>
      <c r="PH21" s="20" t="n">
        <f aca="false">PF21-PG21</f>
        <v>0</v>
      </c>
      <c r="PI21" s="20" t="n">
        <f aca="false">IF(AND(HU21=0,DT21=1,PH21&gt;0),MIN(PH21,DU21),0)</f>
        <v>0</v>
      </c>
      <c r="PJ21" s="20" t="n">
        <f aca="false">PH21-PI21</f>
        <v>0</v>
      </c>
      <c r="PK21" s="20" t="n">
        <f aca="false">IF(AND(HU21=0,DJ21=1,PJ21&gt;0),MIN(PJ21,DK21),0)</f>
        <v>0</v>
      </c>
      <c r="PL21" s="20" t="n">
        <f aca="false">PJ21-PK21</f>
        <v>0</v>
      </c>
      <c r="PM21" s="20" t="n">
        <f aca="false">IF(AND(HU21=0,CZ21=1,PL21&gt;0),MIN(PL21,DA21),0)</f>
        <v>0</v>
      </c>
      <c r="PN21" s="20" t="n">
        <f aca="false">PL21-PM21</f>
        <v>0</v>
      </c>
      <c r="PO21" s="20" t="n">
        <f aca="false">IF(AND(HU21=0,CP21=1,PN21&gt;0),MIN(PN21,CQ21),0)</f>
        <v>0</v>
      </c>
      <c r="PP21" s="20" t="n">
        <f aca="false">PN21-PO21</f>
        <v>0</v>
      </c>
      <c r="PQ21" s="20" t="n">
        <f aca="false">IF(AND(HU21=0,CF21=1,PP21&gt;0),MIN(PP21,CG21),0)</f>
        <v>0</v>
      </c>
      <c r="PR21" s="20" t="n">
        <f aca="false">PP21-PQ21</f>
        <v>0</v>
      </c>
      <c r="PS21" s="20" t="n">
        <f aca="false">IF(AND(HU21=0,BV21=1,PR21&gt;0),MIN(PR21,BW21),0)</f>
        <v>0</v>
      </c>
      <c r="PT21" s="20" t="n">
        <f aca="false">PR21-PS21</f>
        <v>0</v>
      </c>
      <c r="PU21" s="20" t="n">
        <f aca="false">IF(AND(HU21=0,BL21=1,PT21&gt;0),MIN(PT21,BM21),0)</f>
        <v>0</v>
      </c>
      <c r="PV21" s="20" t="n">
        <f aca="false">PT21-PU21</f>
        <v>0</v>
      </c>
      <c r="PW21" s="20" t="n">
        <f aca="false">IF(AND(HU21=0,BB21=1,PV21&gt;0),MIN(PV21,BC21),0)</f>
        <v>0</v>
      </c>
      <c r="PX21" s="20" t="n">
        <f aca="false">PV21-PW21</f>
        <v>0</v>
      </c>
      <c r="PY21" s="20" t="n">
        <f aca="false">IF(AND(HU21=0,AR21=1,PX21&gt;0),MIN(PX21,AS21),0)</f>
        <v>0</v>
      </c>
      <c r="PZ21" s="20" t="n">
        <f aca="false">PX21-PY21</f>
        <v>0</v>
      </c>
      <c r="QA21" s="20" t="n">
        <f aca="false">IF(AND(HU21=0,AH21=1,PZ21&gt;0),MIN(PZ21,AI21),0)</f>
        <v>0</v>
      </c>
      <c r="QB21" s="20" t="n">
        <f aca="false">PZ21-QA21</f>
        <v>0</v>
      </c>
      <c r="QC21" s="20" t="n">
        <f aca="false">IF(AND(HU21=0,W21=1,QB21&gt;0),MIN(QB21,X21),0)</f>
        <v>0</v>
      </c>
      <c r="QD21" s="20" t="n">
        <f aca="false">QB21-QC21</f>
        <v>0</v>
      </c>
      <c r="QE21" s="20" t="n">
        <f aca="false">IF(HU21=0,QD21,0)</f>
        <v>0</v>
      </c>
      <c r="QF21" s="20" t="n">
        <f aca="false">OM21+OO21+QC21+QA21+PY21+PW21+PU21+PS21+PQ21+PO21+PM21+PK21+PI21+PG21+PE21+PC21+PA21+OY21+OW21+OU21+OS21+OQ21</f>
        <v>0</v>
      </c>
      <c r="QG21" s="20" t="n">
        <f aca="false">IF(HU21=1,HK21+OJ21+OI21+IF(G21=1,0,OK21),HK21-OM21)</f>
        <v>8146.57311899406</v>
      </c>
      <c r="QH21" s="20" t="n">
        <f aca="false">HL21-OO21</f>
        <v>17411.1202180589</v>
      </c>
      <c r="QI21" s="20" t="n">
        <f aca="false">IF(HU21=1,IF(G21=1,ID21+IE21,HS21),0)</f>
        <v>7761.63978272278</v>
      </c>
      <c r="QJ21" s="20" t="n">
        <f aca="false">IF(HU21=1,IF(G21=1,HS21-ID21-IE21,0),0)</f>
        <v>7915.06364214909</v>
      </c>
      <c r="QK21" s="20" t="n">
        <f aca="false">QG21*(1+GR)</f>
        <v>8280.17691814556</v>
      </c>
      <c r="QL21" s="20" t="n">
        <f aca="false">QH21*(1+AS_Cash)</f>
        <v>17585.2314202395</v>
      </c>
      <c r="QM21" s="20" t="n">
        <f aca="false">IF(W21=1,IF(HU21=1,II21+IL21,X21-QC21)*(1+Slot1_Rate),0)</f>
        <v>0</v>
      </c>
      <c r="QN21" s="20" t="n">
        <f aca="false">IF(AND(HU21=1,W21=1),(IH21+IL21)/F21,0)</f>
        <v>0</v>
      </c>
      <c r="QO21" s="20" t="n">
        <f aca="false">IF(B21=0,IH21+IL21,0)</f>
        <v>0</v>
      </c>
      <c r="QP21" s="20" t="n">
        <f aca="false">IF(B21=0,IF(HU21=1,IJ21,IK21),0)</f>
        <v>0</v>
      </c>
      <c r="QQ21" s="20" t="n">
        <f aca="false">IF(AH21=1,IF(HU21=1,IQ21+IT21,AI21-QA21)*(1+Slot2_Rate),0)</f>
        <v>0</v>
      </c>
      <c r="QR21" s="20" t="n">
        <f aca="false">IF(AND(HU21=1,AH21=1),(IP21+IT21)/F21,0)</f>
        <v>0</v>
      </c>
      <c r="QS21" s="20" t="n">
        <f aca="false">IF(B21=0,IP21+IT21,0)</f>
        <v>0</v>
      </c>
      <c r="QT21" s="20" t="n">
        <f aca="false">IF(B21=0,IF(HU21=1,IR21,IS21),0)</f>
        <v>0</v>
      </c>
      <c r="QU21" s="20" t="n">
        <f aca="false">IF(AR21=1,IF(HU21=1,IY21+JB21,AS21-PY21)*(1+Slot3_Rate),0)</f>
        <v>0</v>
      </c>
      <c r="QV21" s="20" t="n">
        <f aca="false">IF(AND(HU21=1,AR21=1),(IX21+JB21)/F21,0)</f>
        <v>0</v>
      </c>
      <c r="QW21" s="20" t="n">
        <f aca="false">IF(B21=0,IX21+JB21,0)</f>
        <v>0</v>
      </c>
      <c r="QX21" s="20" t="n">
        <f aca="false">IF(B21=0,IF(HU21=1,IZ21,JA21),0)</f>
        <v>0</v>
      </c>
      <c r="QY21" s="20" t="n">
        <f aca="false">IF(BB21=1,IF(HU21=1,JG21+JJ21,BC21-PW21)*(1+Slot4_Rate),0)</f>
        <v>21049.9943684556</v>
      </c>
      <c r="QZ21" s="20" t="n">
        <f aca="false">IF(AND(HU21=1,BB21=1),(JF21+JJ21)/F21,0)</f>
        <v>3988.16470119031</v>
      </c>
      <c r="RA21" s="20" t="n">
        <f aca="false">IF(B21=0,JF21+JJ21,0)</f>
        <v>0</v>
      </c>
      <c r="RB21" s="20" t="n">
        <f aca="false">IF(B21=0,IF(HU21=1,JH21,JI21),0)</f>
        <v>0</v>
      </c>
      <c r="RC21" s="20" t="n">
        <f aca="false">IF(BL21=1,IF(HU21=1,JO21+JR21,BM21-PU21)*(1+Slot5_Rate),0)</f>
        <v>0</v>
      </c>
      <c r="RD21" s="20" t="n">
        <f aca="false">IF(AND(HU21=1,BL21=1),(JN21+JR21)/F21,0)</f>
        <v>0</v>
      </c>
      <c r="RE21" s="20" t="n">
        <f aca="false">IF(B21=0,JN21+JR21,0)</f>
        <v>0</v>
      </c>
      <c r="RF21" s="20" t="n">
        <f aca="false">IF(B21=0,IF(HU21=1,JP21,JQ21),0)</f>
        <v>0</v>
      </c>
      <c r="RG21" s="20" t="n">
        <f aca="false">IF(BV21=1,IF(HU21=1,JW21+JZ21,BW21-PS21)*(1+Slot6_Rate),0)</f>
        <v>0</v>
      </c>
      <c r="RH21" s="20" t="n">
        <f aca="false">IF(AND(HU21=1,BV21=1),(JV21+JZ21)/F21,0)</f>
        <v>0</v>
      </c>
      <c r="RI21" s="20" t="n">
        <f aca="false">IF(B21=0,JV21+JZ21,0)</f>
        <v>0</v>
      </c>
      <c r="RJ21" s="20" t="n">
        <f aca="false">IF(B21=0,IF(HU21=1,JX21,JY21),0)</f>
        <v>0</v>
      </c>
      <c r="RK21" s="20" t="n">
        <f aca="false">IF(CF21=1,IF(HU21=1,KE21+KH21,CG21-PQ21)*(1+Slot7_Rate),0)</f>
        <v>0</v>
      </c>
      <c r="RL21" s="20" t="n">
        <f aca="false">IF(AND(HU21=1,CF21=1),(KD21+KH21)/F21,0)</f>
        <v>0</v>
      </c>
      <c r="RM21" s="20" t="n">
        <f aca="false">IF(B21=0,KD21+KH21,0)</f>
        <v>0</v>
      </c>
      <c r="RN21" s="20" t="n">
        <f aca="false">IF(B21=0,IF(HU21=1,KF21,KG21),0)</f>
        <v>0</v>
      </c>
      <c r="RO21" s="20" t="n">
        <f aca="false">IF(CP21=1,IF(HU21=1,KM21+KP21,CQ21-PO21)*(1+Slot8_Rate),0)</f>
        <v>0</v>
      </c>
      <c r="RP21" s="20" t="n">
        <f aca="false">IF(AND(HU21=1,CP21=1),(KL21+KP21)/F21,0)</f>
        <v>0</v>
      </c>
      <c r="RQ21" s="20" t="n">
        <f aca="false">IF(B21=0,KL21+KP21,0)</f>
        <v>0</v>
      </c>
      <c r="RR21" s="20" t="n">
        <f aca="false">IF(B21=0,IF(HU21=1,KN21,KO21),0)</f>
        <v>0</v>
      </c>
      <c r="RS21" s="20" t="n">
        <f aca="false">IF(CZ21=1,IF(HU21=1,KU21+KX21,DA21-PM21)*(1+Slot9_Rate),0)</f>
        <v>0</v>
      </c>
      <c r="RT21" s="20" t="n">
        <f aca="false">IF(AND(HU21=1,CZ21=1),(KT21+KX21)/F21,0)</f>
        <v>0</v>
      </c>
      <c r="RU21" s="20" t="n">
        <f aca="false">IF(B21=0,KT21+KX21,0)</f>
        <v>0</v>
      </c>
      <c r="RV21" s="20" t="n">
        <f aca="false">IF(B21=0,IF(HU21=1,KV21,KW21),0)</f>
        <v>0</v>
      </c>
      <c r="RW21" s="20" t="n">
        <f aca="false">IF(DJ21=1,IF(HU21=1,LC21+LF21,DK21-PK21)*(1+Slot10_Rate),0)</f>
        <v>0</v>
      </c>
      <c r="RX21" s="20" t="n">
        <f aca="false">IF(AND(HU21=1,DJ21=1),(LB21+LF21)/F21,0)</f>
        <v>0</v>
      </c>
      <c r="RY21" s="20" t="n">
        <f aca="false">IF(B21=0,LB21+LF21,0)</f>
        <v>0</v>
      </c>
      <c r="RZ21" s="20" t="n">
        <f aca="false">IF(B21=0,IF(HU21=1,LD21,LE21),0)</f>
        <v>0</v>
      </c>
      <c r="SA21" s="20" t="n">
        <f aca="false">IF(DT21=1,IF(HU21=1,LK21+LN21,DU21-PI21)*(1+Slot11_Rate),0)</f>
        <v>0</v>
      </c>
      <c r="SB21" s="20" t="n">
        <f aca="false">IF(AND(HU21=1,DT21=1),(LJ21+LN21)/F21,0)</f>
        <v>0</v>
      </c>
      <c r="SC21" s="20" t="n">
        <f aca="false">IF(B21=0,LJ21+LN21,0)</f>
        <v>0</v>
      </c>
      <c r="SD21" s="20" t="n">
        <f aca="false">IF(B21=0,IF(HU21=1,LL21,LM21),0)</f>
        <v>0</v>
      </c>
      <c r="SE21" s="20" t="n">
        <f aca="false">IF(ED21=1,IF(HU21=1,LS21+LV21,EE21-PG21)*(1+Slot12_Rate),0)</f>
        <v>0</v>
      </c>
      <c r="SF21" s="20" t="n">
        <f aca="false">IF(AND(HU21=1,ED21=1),(LR21+LV21)/F21,0)</f>
        <v>0</v>
      </c>
      <c r="SG21" s="20" t="n">
        <f aca="false">IF(B21=0,LR21+LV21,0)</f>
        <v>0</v>
      </c>
      <c r="SH21" s="20" t="n">
        <f aca="false">IF(B21=0,IF(HU21=1,LT21,LU21),0)</f>
        <v>0</v>
      </c>
      <c r="SI21" s="20" t="n">
        <f aca="false">IF(EN21=1,IF(HU21=1,MA21+MD21,EO21-PE21)*(1+Slot13_Rate),0)</f>
        <v>0</v>
      </c>
      <c r="SJ21" s="20" t="n">
        <f aca="false">IF(AND(HU21=1,EN21=1),(LZ21+MD21)/F21,0)</f>
        <v>0</v>
      </c>
      <c r="SK21" s="20" t="n">
        <f aca="false">IF(B21=0,LZ21+MD21,0)</f>
        <v>0</v>
      </c>
      <c r="SL21" s="20" t="n">
        <f aca="false">IF(B21=0,IF(HU21=1,MB21,MC21),0)</f>
        <v>0</v>
      </c>
      <c r="SM21" s="20" t="n">
        <f aca="false">IF(EX21=1,IF(HU21=1,MI21+ML21,EY21-PC21)*(1+Slot14_Rate),0)</f>
        <v>0</v>
      </c>
      <c r="SN21" s="20" t="n">
        <f aca="false">IF(AND(HU21=1,EX21=1),(MH21+ML21)/F21,0)</f>
        <v>0</v>
      </c>
      <c r="SO21" s="20" t="n">
        <f aca="false">IF(B21=0,MH21+ML21,0)</f>
        <v>0</v>
      </c>
      <c r="SP21" s="20" t="n">
        <f aca="false">IF(B21=0,IF(HU21=1,MJ21,MK21),0)</f>
        <v>0</v>
      </c>
      <c r="SQ21" s="20" t="n">
        <f aca="false">IF(FH21=1,IF(HU21=1,MQ21+MT21,FI21-PA21)*(1+Slot15_Rate),0)</f>
        <v>0</v>
      </c>
      <c r="SR21" s="20" t="n">
        <f aca="false">IF(AND(HU21=1,FH21=1),(MP21+MT21)/F21,0)</f>
        <v>0</v>
      </c>
      <c r="SS21" s="20" t="n">
        <f aca="false">IF(B21=0,MP21+MT21,0)</f>
        <v>0</v>
      </c>
      <c r="ST21" s="20" t="n">
        <f aca="false">IF(B21=0,IF(HU21=1,MR21,MS21),0)</f>
        <v>0</v>
      </c>
      <c r="SU21" s="20" t="n">
        <f aca="false">IF(FR21=1,IF(HU21=1,MY21+NB21,FS21-OY21)*(1+Slot16_Rate),0)</f>
        <v>0</v>
      </c>
      <c r="SV21" s="20" t="n">
        <f aca="false">IF(AND(HU21=1,FR21=1),(MX21+NB21)/F21,0)</f>
        <v>0</v>
      </c>
      <c r="SW21" s="20" t="n">
        <f aca="false">IF(B21=0,MX21+NB21,0)</f>
        <v>0</v>
      </c>
      <c r="SX21" s="20" t="n">
        <f aca="false">IF(B21=0,IF(HU21=1,MZ21,NA21),0)</f>
        <v>0</v>
      </c>
      <c r="SY21" s="20" t="n">
        <f aca="false">IF(GB21=1,IF(HU21=1,NG21+NJ21,GC21-OW21)*(1+Slot17_Rate),0)</f>
        <v>0</v>
      </c>
      <c r="SZ21" s="20" t="n">
        <f aca="false">IF(AND(HU21=1,GB21=1),(NF21+NJ21)/F21,0)</f>
        <v>0</v>
      </c>
      <c r="TA21" s="20" t="n">
        <f aca="false">IF(B21=0,NF21+NJ21,0)</f>
        <v>0</v>
      </c>
      <c r="TB21" s="20" t="n">
        <f aca="false">IF(B21=0,IF(HU21=1,NH21,NI21),0)</f>
        <v>0</v>
      </c>
      <c r="TC21" s="20" t="n">
        <f aca="false">IF(GL21=1,IF(HU21=1,NO21+NR21,GM21-OU21)*(1+Slot18_Rate),0)</f>
        <v>0</v>
      </c>
      <c r="TD21" s="20" t="n">
        <f aca="false">IF(AND(HU21=1,GL21=1),(NN21+NR21)/F21,0)</f>
        <v>0</v>
      </c>
      <c r="TE21" s="20" t="n">
        <f aca="false">IF(B21=0,NN21+NR21,0)</f>
        <v>0</v>
      </c>
      <c r="TF21" s="20" t="n">
        <f aca="false">IF(B21=0,IF(HU21=1,NP21,NQ21),0)</f>
        <v>0</v>
      </c>
      <c r="TG21" s="20" t="n">
        <f aca="false">IF(GV21=1,IF(HU21=1,NW21+NZ21,GW21-OS21)*(1+Slot19_Rate),0)</f>
        <v>0</v>
      </c>
      <c r="TH21" s="20" t="n">
        <f aca="false">IF(AND(HU21=1,GV21=1),(NV21+NZ21)/F21,0)</f>
        <v>0</v>
      </c>
      <c r="TI21" s="20" t="n">
        <f aca="false">IF(B21=0,NV21+NZ21,0)</f>
        <v>0</v>
      </c>
      <c r="TJ21" s="20" t="n">
        <f aca="false">IF(B21=0,IF(HU21=1,NX21,NY21),0)</f>
        <v>0</v>
      </c>
      <c r="TK21" s="20" t="n">
        <f aca="false">IF(HF21=1,IF(HU21=1,OE21+OH21,HG21-OQ21)*(1+Slot20_Rate),0)</f>
        <v>0</v>
      </c>
      <c r="TL21" s="20" t="n">
        <f aca="false">IF(AND(HU21=1,HF21=1),(OD21+OH21)/F21,0)</f>
        <v>0</v>
      </c>
      <c r="TM21" s="20" t="n">
        <f aca="false">IF(B21=0,OD21+OH21,0)</f>
        <v>0</v>
      </c>
      <c r="TN21" s="20" t="n">
        <f aca="false">IF(B21=0,IF(HU21=1,OF21,OG21),0)</f>
        <v>0</v>
      </c>
      <c r="TO21" s="20" t="n">
        <f aca="false">QK21+QL21+QM21+QQ21+QU21+QY21+RC21+RG21+RK21+RO21+RS21+RW21+SA21+SE21+SI21+SM21+SQ21+SU21+SY21+TC21+TG21+TK21</f>
        <v>46915.4027068407</v>
      </c>
      <c r="TP21" s="20" t="n">
        <f aca="false">QE21+HP21</f>
        <v>0</v>
      </c>
      <c r="TQ21" s="20" t="n">
        <f aca="false">I21+S21</f>
        <v>72372.2983704209</v>
      </c>
      <c r="TR21" s="20" t="n">
        <f aca="false">1-G21</f>
        <v>0</v>
      </c>
      <c r="TS21" s="20" t="n">
        <f aca="false">IF(AND(RG_Exists=1,G21=0,C21=1),I21,0)</f>
        <v>0</v>
      </c>
      <c r="TT21" s="20" t="n">
        <f aca="false">IF(AND(RG_Exists=1,G21=0,C21=1),I21-MIN(QE21,I21),0)</f>
        <v>0</v>
      </c>
      <c r="TU21" s="20" t="n">
        <f aca="false">'Plan pay &amp; tax'!AD247</f>
        <v>274511.796210019</v>
      </c>
      <c r="TV21" s="20" t="n">
        <f aca="false">IF(AND(C21=1,QE21&gt;MAX(PR_Short1,TQ21*PR_Short2)),1,0)</f>
        <v>0</v>
      </c>
      <c r="TW21" s="20" t="n">
        <f aca="false">MIN(H21,I21+S21)</f>
        <v>72372.2983704209</v>
      </c>
      <c r="TX21" s="20" t="n">
        <f aca="false">QF21+MAX(0,HQ21-HP21)</f>
        <v>0</v>
      </c>
      <c r="TY21" s="20" t="n">
        <f aca="false">QE21+HP21</f>
        <v>0</v>
      </c>
      <c r="TZ21" s="20" t="n">
        <f aca="false">IF(AND(C21=1,TY21&gt;PR_MinShort),1,0)</f>
        <v>0</v>
      </c>
      <c r="UA21" s="20" t="n">
        <f aca="false">IF(AND(C21=1,TZ21=0,TX21&gt;PR_MinShort),1,0)</f>
        <v>0</v>
      </c>
      <c r="UB21" s="20" t="n">
        <f aca="false">IF(AND(C21=1,QE21&gt;PR_MinShort),1,0)</f>
        <v>0</v>
      </c>
      <c r="UC21" s="20" t="n">
        <f aca="false">IF(AND(C21=1,QF21&gt;1,UJ21=0),1,0)</f>
        <v>0</v>
      </c>
      <c r="UD21" s="20" t="str">
        <f aca="false">IF(C21=0,"",IF(UJ21=1,"Gap to plan for: short "&amp;"€"&amp;TEXT(ROUND(TP21,0),"#,##0"),IF(QF21&gt;1,"Using savings","Comfortable")))</f>
        <v>Comfortable</v>
      </c>
      <c r="UE21" s="20" t="n">
        <f aca="false">IF(AND(INT(D21/10)*10=90,B21&gt;0),80,INT(D21/10)*10)</f>
        <v>50</v>
      </c>
      <c r="UF21" s="20" t="n">
        <f aca="false">IF(B21=0,1,IF(UE21&lt;&gt;UE20,UF20+1,UF20))</f>
        <v>3</v>
      </c>
      <c r="UG21" s="20" t="n">
        <f aca="false">IF(AND(C21=1,G21=1,QE21&gt;MAX(PR_Short1,TQ21*PR_Short2)),1,0)</f>
        <v>0</v>
      </c>
      <c r="UH21" s="20" t="n">
        <f aca="false">TR21*TV21</f>
        <v>0</v>
      </c>
      <c r="UI21" s="20" t="n">
        <f aca="false">IF(AND(V21=1,Slot1_PctLow=1),1,0)+IF(AND(AG21=1,Slot2_PctLow=1),1,0)+IF(AND(AQ21=1,Slot3_PctLow=1),1,0)+IF(AND(BA21=1,Slot4_PctLow=1),1,0)+IF(AND(BK21=1,Slot5_PctLow=1),1,0)+IF(AND(BU21=1,Slot6_PctLow=1),1,0)+IF(AND(CE21=1,Slot7_PctLow=1),1,0)+IF(AND(CO21=1,Slot8_PctLow=1),1,0)+IF(AND(CY21=1,Slot9_PctLow=1),1,0)+IF(AND(DI21=1,Slot10_PctLow=1),1,0)+IF(AND(DS21=1,Slot11_PctLow=1),1,0)+IF(AND(EC21=1,Slot12_PctLow=1),1,0)+IF(AND(EM21=1,Slot13_PctLow=1),1,0)+IF(AND(EW21=1,Slot14_PctLow=1),1,0)+IF(AND(FG21=1,Slot15_PctLow=1),1,0)+IF(AND(FQ21=1,Slot16_PctLow=1),1,0)+IF(AND(GA21=1,Slot17_PctLow=1),1,0)+IF(AND(GK21=1,Slot18_PctLow=1),1,0)+IF(AND(GU21=1,Slot19_PctLow=1),1,0)+IF(AND(HE21=1,Slot20_PctLow=1),1,0)</f>
        <v>0</v>
      </c>
      <c r="UJ21" s="20" t="n">
        <f aca="false">IF(C21=1,IF(OR(TV21=1,UI21&gt;0),1,0),0)</f>
        <v>0</v>
      </c>
    </row>
    <row r="22" customFormat="false" ht="15" hidden="false" customHeight="true" outlineLevel="0" collapsed="false">
      <c r="B22" s="20" t="n">
        <v>14</v>
      </c>
      <c r="C22" s="20" t="n">
        <f aca="false">IF(B22&lt;=F_N,1,0)</f>
        <v>1</v>
      </c>
      <c r="D22" s="20" t="n">
        <f aca="false">'Plan pay &amp; tax'!C248</f>
        <v>52</v>
      </c>
      <c r="E22" s="20" t="str">
        <f aca="false">IF($C22=1,"Income tax "&amp;TEXT(N('Plan pay &amp; tax'!BK248),"#,##0")&amp;"; USC "&amp;TEXT(N('Plan pay &amp; tax'!BM248)+N('Plan pay &amp; tax'!BO248),"#,##0")&amp;"; PRSI "&amp;TEXT(N('Plan pay &amp; tax'!BP248)+N('Plan pay &amp; tax'!BQ248),"#,##0")&amp;". DIRT and exit tax are inside the growth rates here.","")</f>
        <v>Income tax 13,409; USC 1,852; PRSI 4,310. DIRT and exit tax are inside the growth rates here.</v>
      </c>
      <c r="F22" s="44" t="n">
        <f aca="false">'Plan pay &amp; tax'!E248</f>
        <v>1.31947876306287</v>
      </c>
      <c r="G22" s="20" t="n">
        <f aca="false">'Plan pay &amp; tax'!G248</f>
        <v>1</v>
      </c>
      <c r="H22" s="20" t="n">
        <f aca="false">'Plan pay &amp; tax'!BT248-'Plan pay &amp; tax'!BS248-'Plan pay &amp; tax'!R248</f>
        <v>90464.7716433524</v>
      </c>
      <c r="I22" s="20" t="n">
        <f aca="false">IF(G22=1,F_CostsM*12,IF(RG_Exists=1,RG_Amount,F_CostsM*12*AS_RetireSpend))*F22+F_OneOffY*F22</f>
        <v>59376.5443378293</v>
      </c>
      <c r="J22" s="20" t="n">
        <f aca="false">HR21</f>
        <v>86732.8986657339</v>
      </c>
      <c r="K22" s="20" t="n">
        <f aca="false">IF(J22&gt;1,'Plan debt months'!AC22,0)</f>
        <v>14160</v>
      </c>
      <c r="L22" s="20" t="n">
        <f aca="false">IF(J22&gt;1,'Plan debt months'!AB22,J22)</f>
        <v>75719.1166913375</v>
      </c>
      <c r="M22" s="20" t="n">
        <f aca="false">O21</f>
        <v>0</v>
      </c>
      <c r="N22" s="20" t="n">
        <f aca="false">IF(M22&gt;1,'Plan debt months'!BD22,0)</f>
        <v>0</v>
      </c>
      <c r="O22" s="20" t="n">
        <f aca="false">IF(M22&gt;1,'Plan debt months'!BC22,M22)</f>
        <v>0</v>
      </c>
      <c r="P22" s="20" t="n">
        <f aca="false">R21</f>
        <v>0</v>
      </c>
      <c r="Q22" s="20" t="n">
        <f aca="false">IF(P22&gt;1,'Plan debt months'!CE22,0)</f>
        <v>0</v>
      </c>
      <c r="R22" s="20" t="n">
        <f aca="false">IF(P22&gt;1,'Plan debt months'!CD22,P22)</f>
        <v>0</v>
      </c>
      <c r="S22" s="20" t="n">
        <f aca="false">K22+N22+Q22</f>
        <v>14160</v>
      </c>
      <c r="T22" s="20" t="n">
        <f aca="false">QK21+'Plan pay &amp; tax'!Y248</f>
        <v>8280.17691814556</v>
      </c>
      <c r="U22" s="20" t="n">
        <f aca="false">QK21</f>
        <v>8280.17691814556</v>
      </c>
      <c r="V22" s="20" t="n">
        <f aca="false">IF(AND(Slot1_On=1,D22=Slot1_Age),1,0)</f>
        <v>0</v>
      </c>
      <c r="W22" s="20" t="n">
        <f aca="false">IF(AND(Slot1_On=1,Slot1_Age&gt;D22),1,0)</f>
        <v>0</v>
      </c>
      <c r="X22" s="20" t="n">
        <f aca="false">QM21</f>
        <v>0</v>
      </c>
      <c r="Y22" s="20" t="n">
        <f aca="false">V22*MIN(Slot1_Cost,X22)</f>
        <v>0</v>
      </c>
      <c r="Z22" s="20" t="n">
        <f aca="false">V22*Slot1_SpendLike*MIN(Slot1_Cost-Y22,T22)</f>
        <v>0</v>
      </c>
      <c r="AA22" s="20" t="n">
        <f aca="false">Y22+Z22</f>
        <v>0</v>
      </c>
      <c r="AB22" s="20" t="n">
        <f aca="false">T22-Z22+V22*IF(Slot1_SpendLike=1,X22-Y22,IF(Slot1_PotFree=1,X22,0))</f>
        <v>8280.17691814556</v>
      </c>
      <c r="AC22" s="20" t="n">
        <f aca="false">AF22+V22*Slot1_BufPot*X22</f>
        <v>17585.2314202395</v>
      </c>
      <c r="AD22" s="20" t="n">
        <f aca="false">IF(AND(V22=1,Slot1_IsMfree=1),IF(AA22&gt;=Slot1_Cost-1,0,MAX(0,L22-AA22)),L22)</f>
        <v>75719.1166913375</v>
      </c>
      <c r="AE22" s="20" t="n">
        <f aca="false">V22*(Slot1_Cost-AA22)</f>
        <v>0</v>
      </c>
      <c r="AF22" s="20" t="n">
        <f aca="false">QL21</f>
        <v>17585.2314202395</v>
      </c>
      <c r="AG22" s="20" t="n">
        <f aca="false">IF(AND(Slot2_On=1,D22=Slot2_Age),1,0)</f>
        <v>0</v>
      </c>
      <c r="AH22" s="20" t="n">
        <f aca="false">IF(AND(Slot2_On=1,Slot2_Age&gt;D22),1,0)</f>
        <v>0</v>
      </c>
      <c r="AI22" s="20" t="n">
        <f aca="false">QQ21</f>
        <v>0</v>
      </c>
      <c r="AJ22" s="20" t="n">
        <f aca="false">AG22*MIN(Slot2_Cost,AI22)</f>
        <v>0</v>
      </c>
      <c r="AK22" s="20" t="n">
        <f aca="false">AG22*Slot2_SpendLike*MIN(Slot2_Cost-AJ22,AB22)</f>
        <v>0</v>
      </c>
      <c r="AL22" s="20" t="n">
        <f aca="false">AJ22+AK22</f>
        <v>0</v>
      </c>
      <c r="AM22" s="20" t="n">
        <f aca="false">AB22-AK22+AG22*IF(Slot2_SpendLike=1,AI22-AJ22,IF(Slot2_PotFree=1,AI22,0))</f>
        <v>8280.17691814556</v>
      </c>
      <c r="AN22" s="20" t="n">
        <f aca="false">AC22+AG22*Slot2_BufPot*AI22</f>
        <v>17585.2314202395</v>
      </c>
      <c r="AO22" s="20" t="n">
        <f aca="false">IF(AND(AG22=1,Slot2_IsMfree=1),IF(AL22&gt;=Slot2_Cost-1,0,MAX(0,AD22-AL22)),AD22)</f>
        <v>75719.1166913375</v>
      </c>
      <c r="AP22" s="20" t="n">
        <f aca="false">AG22*(Slot2_Cost-AL22)</f>
        <v>0</v>
      </c>
      <c r="AQ22" s="20" t="n">
        <f aca="false">IF(AND(Slot3_On=1,D22=Slot3_Age),1,0)</f>
        <v>0</v>
      </c>
      <c r="AR22" s="20" t="n">
        <f aca="false">IF(AND(Slot3_On=1,Slot3_Age&gt;D22),1,0)</f>
        <v>0</v>
      </c>
      <c r="AS22" s="20" t="n">
        <f aca="false">QU21</f>
        <v>0</v>
      </c>
      <c r="AT22" s="20" t="n">
        <f aca="false">AQ22*MIN(Slot3_Cost,AS22)</f>
        <v>0</v>
      </c>
      <c r="AU22" s="20" t="n">
        <f aca="false">AQ22*Slot3_SpendLike*MIN(Slot3_Cost-AT22,AM22)</f>
        <v>0</v>
      </c>
      <c r="AV22" s="20" t="n">
        <f aca="false">AT22+AU22</f>
        <v>0</v>
      </c>
      <c r="AW22" s="20" t="n">
        <f aca="false">AM22-AU22+AQ22*IF(Slot3_SpendLike=1,AS22-AT22,IF(Slot3_PotFree=1,AS22,0))</f>
        <v>8280.17691814556</v>
      </c>
      <c r="AX22" s="20" t="n">
        <f aca="false">AN22+AQ22*Slot3_BufPot*AS22</f>
        <v>17585.2314202395</v>
      </c>
      <c r="AY22" s="20" t="n">
        <f aca="false">IF(AND(AQ22=1,Slot3_IsMfree=1),IF(AV22&gt;=Slot3_Cost-1,0,MAX(0,AO22-AV22)),AO22)</f>
        <v>75719.1166913375</v>
      </c>
      <c r="AZ22" s="20" t="n">
        <f aca="false">AQ22*(Slot3_Cost-AV22)</f>
        <v>0</v>
      </c>
      <c r="BA22" s="20" t="n">
        <f aca="false">IF(AND(Slot4_On=1,D22=Slot4_Age),1,0)</f>
        <v>0</v>
      </c>
      <c r="BB22" s="20" t="n">
        <f aca="false">IF(AND(Slot4_On=1,Slot4_Age&gt;D22),1,0)</f>
        <v>1</v>
      </c>
      <c r="BC22" s="20" t="n">
        <f aca="false">QY21</f>
        <v>21049.9943684556</v>
      </c>
      <c r="BD22" s="20" t="n">
        <f aca="false">BA22*MIN(Slot4_Cost,BC22)</f>
        <v>0</v>
      </c>
      <c r="BE22" s="20" t="n">
        <f aca="false">BA22*Slot4_SpendLike*MIN(Slot4_Cost-BD22,AW22)</f>
        <v>0</v>
      </c>
      <c r="BF22" s="20" t="n">
        <f aca="false">BD22+BE22</f>
        <v>0</v>
      </c>
      <c r="BG22" s="20" t="n">
        <f aca="false">AW22-BE22+BA22*IF(Slot4_SpendLike=1,BC22-BD22,IF(Slot4_PotFree=1,BC22,0))</f>
        <v>8280.17691814556</v>
      </c>
      <c r="BH22" s="20" t="n">
        <f aca="false">AX22+BA22*Slot4_BufPot*BC22</f>
        <v>17585.2314202395</v>
      </c>
      <c r="BI22" s="20" t="n">
        <f aca="false">IF(AND(BA22=1,Slot4_IsMfree=1),IF(BF22&gt;=Slot4_Cost-1,0,MAX(0,AY22-BF22)),AY22)</f>
        <v>75719.1166913375</v>
      </c>
      <c r="BJ22" s="20" t="n">
        <f aca="false">BA22*(Slot4_Cost-BF22)</f>
        <v>0</v>
      </c>
      <c r="BK22" s="20" t="n">
        <f aca="false">IF(AND(Slot5_On=1,D22=Slot5_Age),1,0)</f>
        <v>0</v>
      </c>
      <c r="BL22" s="20" t="n">
        <f aca="false">IF(AND(Slot5_On=1,Slot5_Age&gt;D22),1,0)</f>
        <v>0</v>
      </c>
      <c r="BM22" s="20" t="n">
        <f aca="false">RC21</f>
        <v>0</v>
      </c>
      <c r="BN22" s="20" t="n">
        <f aca="false">BK22*MIN(Slot5_Cost,BM22)</f>
        <v>0</v>
      </c>
      <c r="BO22" s="20" t="n">
        <f aca="false">BK22*Slot5_SpendLike*MIN(Slot5_Cost-BN22,BG22)</f>
        <v>0</v>
      </c>
      <c r="BP22" s="20" t="n">
        <f aca="false">BN22+BO22</f>
        <v>0</v>
      </c>
      <c r="BQ22" s="20" t="n">
        <f aca="false">BG22-BO22+BK22*IF(Slot5_SpendLike=1,BM22-BN22,IF(Slot5_PotFree=1,BM22,0))</f>
        <v>8280.17691814556</v>
      </c>
      <c r="BR22" s="20" t="n">
        <f aca="false">BH22+BK22*Slot5_BufPot*BM22</f>
        <v>17585.2314202395</v>
      </c>
      <c r="BS22" s="20" t="n">
        <f aca="false">IF(AND(BK22=1,Slot5_IsMfree=1),IF(BP22&gt;=Slot5_Cost-1,0,MAX(0,BI22-BP22)),BI22)</f>
        <v>75719.1166913375</v>
      </c>
      <c r="BT22" s="20" t="n">
        <f aca="false">BK22*(Slot5_Cost-BP22)</f>
        <v>0</v>
      </c>
      <c r="BU22" s="20" t="n">
        <f aca="false">IF(AND(Slot6_On=1,D22=Slot6_Age),1,0)</f>
        <v>0</v>
      </c>
      <c r="BV22" s="20" t="n">
        <f aca="false">IF(AND(Slot6_On=1,Slot6_Age&gt;D22),1,0)</f>
        <v>0</v>
      </c>
      <c r="BW22" s="20" t="n">
        <f aca="false">RG21</f>
        <v>0</v>
      </c>
      <c r="BX22" s="20" t="n">
        <f aca="false">BU22*MIN(Slot6_Cost,BW22)</f>
        <v>0</v>
      </c>
      <c r="BY22" s="20" t="n">
        <f aca="false">BU22*Slot6_SpendLike*MIN(Slot6_Cost-BX22,BQ22)</f>
        <v>0</v>
      </c>
      <c r="BZ22" s="20" t="n">
        <f aca="false">BX22+BY22</f>
        <v>0</v>
      </c>
      <c r="CA22" s="20" t="n">
        <f aca="false">BQ22-BY22+BU22*IF(Slot6_SpendLike=1,BW22-BX22,IF(Slot6_PotFree=1,BW22,0))</f>
        <v>8280.17691814556</v>
      </c>
      <c r="CB22" s="20" t="n">
        <f aca="false">BR22+BU22*Slot6_BufPot*BW22</f>
        <v>17585.2314202395</v>
      </c>
      <c r="CC22" s="20" t="n">
        <f aca="false">IF(AND(BU22=1,Slot6_IsMfree=1),IF(BZ22&gt;=Slot6_Cost-1,0,MAX(0,BS22-BZ22)),BS22)</f>
        <v>75719.1166913375</v>
      </c>
      <c r="CD22" s="20" t="n">
        <f aca="false">BU22*(Slot6_Cost-BZ22)</f>
        <v>0</v>
      </c>
      <c r="CE22" s="20" t="n">
        <f aca="false">IF(AND(Slot7_On=1,D22=Slot7_Age),1,0)</f>
        <v>0</v>
      </c>
      <c r="CF22" s="20" t="n">
        <f aca="false">IF(AND(Slot7_On=1,Slot7_Age&gt;D22),1,0)</f>
        <v>0</v>
      </c>
      <c r="CG22" s="20" t="n">
        <f aca="false">RK21</f>
        <v>0</v>
      </c>
      <c r="CH22" s="20" t="n">
        <f aca="false">CE22*MIN(Slot7_Cost,CG22)</f>
        <v>0</v>
      </c>
      <c r="CI22" s="20" t="n">
        <f aca="false">CE22*Slot7_SpendLike*MIN(Slot7_Cost-CH22,CA22)</f>
        <v>0</v>
      </c>
      <c r="CJ22" s="20" t="n">
        <f aca="false">CH22+CI22</f>
        <v>0</v>
      </c>
      <c r="CK22" s="20" t="n">
        <f aca="false">CA22-CI22+CE22*IF(Slot7_SpendLike=1,CG22-CH22,IF(Slot7_PotFree=1,CG22,0))</f>
        <v>8280.17691814556</v>
      </c>
      <c r="CL22" s="20" t="n">
        <f aca="false">CB22+CE22*Slot7_BufPot*CG22</f>
        <v>17585.2314202395</v>
      </c>
      <c r="CM22" s="20" t="n">
        <f aca="false">IF(AND(CE22=1,Slot7_IsMfree=1),IF(CJ22&gt;=Slot7_Cost-1,0,MAX(0,CC22-CJ22)),CC22)</f>
        <v>75719.1166913375</v>
      </c>
      <c r="CN22" s="20" t="n">
        <f aca="false">CE22*(Slot7_Cost-CJ22)</f>
        <v>0</v>
      </c>
      <c r="CO22" s="20" t="n">
        <f aca="false">IF(AND(Slot8_On=1,D22=Slot8_Age),1,0)</f>
        <v>0</v>
      </c>
      <c r="CP22" s="20" t="n">
        <f aca="false">IF(AND(Slot8_On=1,Slot8_Age&gt;D22),1,0)</f>
        <v>0</v>
      </c>
      <c r="CQ22" s="20" t="n">
        <f aca="false">RO21</f>
        <v>0</v>
      </c>
      <c r="CR22" s="20" t="n">
        <f aca="false">CO22*MIN(Slot8_Cost,CQ22)</f>
        <v>0</v>
      </c>
      <c r="CS22" s="20" t="n">
        <f aca="false">CO22*Slot8_SpendLike*MIN(Slot8_Cost-CR22,CK22)</f>
        <v>0</v>
      </c>
      <c r="CT22" s="20" t="n">
        <f aca="false">CR22+CS22</f>
        <v>0</v>
      </c>
      <c r="CU22" s="20" t="n">
        <f aca="false">CK22-CS22+CO22*IF(Slot8_SpendLike=1,CQ22-CR22,IF(Slot8_PotFree=1,CQ22,0))</f>
        <v>8280.17691814556</v>
      </c>
      <c r="CV22" s="20" t="n">
        <f aca="false">CL22+CO22*Slot8_BufPot*CQ22</f>
        <v>17585.2314202395</v>
      </c>
      <c r="CW22" s="20" t="n">
        <f aca="false">IF(AND(CO22=1,Slot8_IsMfree=1),IF(CT22&gt;=Slot8_Cost-1,0,MAX(0,CM22-CT22)),CM22)</f>
        <v>75719.1166913375</v>
      </c>
      <c r="CX22" s="20" t="n">
        <f aca="false">CO22*(Slot8_Cost-CT22)</f>
        <v>0</v>
      </c>
      <c r="CY22" s="20" t="n">
        <f aca="false">IF(AND(Slot9_On=1,D22=Slot9_Age),1,0)</f>
        <v>0</v>
      </c>
      <c r="CZ22" s="20" t="n">
        <f aca="false">IF(AND(Slot9_On=1,Slot9_Age&gt;D22),1,0)</f>
        <v>0</v>
      </c>
      <c r="DA22" s="20" t="n">
        <f aca="false">RS21</f>
        <v>0</v>
      </c>
      <c r="DB22" s="20" t="n">
        <f aca="false">CY22*MIN(Slot9_Cost,DA22)</f>
        <v>0</v>
      </c>
      <c r="DC22" s="20" t="n">
        <f aca="false">CY22*Slot9_SpendLike*MIN(Slot9_Cost-DB22,CU22)</f>
        <v>0</v>
      </c>
      <c r="DD22" s="20" t="n">
        <f aca="false">DB22+DC22</f>
        <v>0</v>
      </c>
      <c r="DE22" s="20" t="n">
        <f aca="false">CU22-DC22+CY22*IF(Slot9_SpendLike=1,DA22-DB22,IF(Slot9_PotFree=1,DA22,0))</f>
        <v>8280.17691814556</v>
      </c>
      <c r="DF22" s="20" t="n">
        <f aca="false">CV22+CY22*Slot9_BufPot*DA22</f>
        <v>17585.2314202395</v>
      </c>
      <c r="DG22" s="20" t="n">
        <f aca="false">IF(AND(CY22=1,Slot9_IsMfree=1),IF(DD22&gt;=Slot9_Cost-1,0,MAX(0,CW22-DD22)),CW22)</f>
        <v>75719.1166913375</v>
      </c>
      <c r="DH22" s="20" t="n">
        <f aca="false">CY22*(Slot9_Cost-DD22)</f>
        <v>0</v>
      </c>
      <c r="DI22" s="20" t="n">
        <f aca="false">IF(AND(Slot10_On=1,D22=Slot10_Age),1,0)</f>
        <v>0</v>
      </c>
      <c r="DJ22" s="20" t="n">
        <f aca="false">IF(AND(Slot10_On=1,Slot10_Age&gt;D22),1,0)</f>
        <v>0</v>
      </c>
      <c r="DK22" s="20" t="n">
        <f aca="false">RW21</f>
        <v>0</v>
      </c>
      <c r="DL22" s="20" t="n">
        <f aca="false">DI22*MIN(Slot10_Cost,DK22)</f>
        <v>0</v>
      </c>
      <c r="DM22" s="20" t="n">
        <f aca="false">DI22*Slot10_SpendLike*MIN(Slot10_Cost-DL22,DE22)</f>
        <v>0</v>
      </c>
      <c r="DN22" s="20" t="n">
        <f aca="false">DL22+DM22</f>
        <v>0</v>
      </c>
      <c r="DO22" s="20" t="n">
        <f aca="false">DE22-DM22+DI22*IF(Slot10_SpendLike=1,DK22-DL22,IF(Slot10_PotFree=1,DK22,0))</f>
        <v>8280.17691814556</v>
      </c>
      <c r="DP22" s="20" t="n">
        <f aca="false">DF22+DI22*Slot10_BufPot*DK22</f>
        <v>17585.2314202395</v>
      </c>
      <c r="DQ22" s="20" t="n">
        <f aca="false">IF(AND(DI22=1,Slot10_IsMfree=1),IF(DN22&gt;=Slot10_Cost-1,0,MAX(0,DG22-DN22)),DG22)</f>
        <v>75719.1166913375</v>
      </c>
      <c r="DR22" s="20" t="n">
        <f aca="false">DI22*(Slot10_Cost-DN22)</f>
        <v>0</v>
      </c>
      <c r="DS22" s="20" t="n">
        <f aca="false">IF(AND(Slot11_On=1,D22=Slot11_Age),1,0)</f>
        <v>0</v>
      </c>
      <c r="DT22" s="20" t="n">
        <f aca="false">IF(AND(Slot11_On=1,Slot11_Age&gt;D22),1,0)</f>
        <v>0</v>
      </c>
      <c r="DU22" s="20" t="n">
        <f aca="false">SA21</f>
        <v>0</v>
      </c>
      <c r="DV22" s="20" t="n">
        <f aca="false">DS22*MIN(Slot11_Cost,DU22)</f>
        <v>0</v>
      </c>
      <c r="DW22" s="20" t="n">
        <f aca="false">DS22*Slot11_SpendLike*MIN(Slot11_Cost-DV22,DO22)</f>
        <v>0</v>
      </c>
      <c r="DX22" s="20" t="n">
        <f aca="false">DV22+DW22</f>
        <v>0</v>
      </c>
      <c r="DY22" s="20" t="n">
        <f aca="false">DO22-DW22+DS22*IF(Slot11_SpendLike=1,DU22-DV22,IF(Slot11_PotFree=1,DU22,0))</f>
        <v>8280.17691814556</v>
      </c>
      <c r="DZ22" s="20" t="n">
        <f aca="false">DP22+DS22*Slot11_BufPot*DU22</f>
        <v>17585.2314202395</v>
      </c>
      <c r="EA22" s="20" t="n">
        <f aca="false">IF(AND(DS22=1,Slot11_IsMfree=1),IF(DX22&gt;=Slot11_Cost-1,0,MAX(0,DQ22-DX22)),DQ22)</f>
        <v>75719.1166913375</v>
      </c>
      <c r="EB22" s="20" t="n">
        <f aca="false">DS22*(Slot11_Cost-DX22)</f>
        <v>0</v>
      </c>
      <c r="EC22" s="20" t="n">
        <f aca="false">IF(AND(Slot12_On=1,D22=Slot12_Age),1,0)</f>
        <v>0</v>
      </c>
      <c r="ED22" s="20" t="n">
        <f aca="false">IF(AND(Slot12_On=1,Slot12_Age&gt;D22),1,0)</f>
        <v>0</v>
      </c>
      <c r="EE22" s="20" t="n">
        <f aca="false">SE21</f>
        <v>0</v>
      </c>
      <c r="EF22" s="20" t="n">
        <f aca="false">EC22*MIN(Slot12_Cost,EE22)</f>
        <v>0</v>
      </c>
      <c r="EG22" s="20" t="n">
        <f aca="false">EC22*Slot12_SpendLike*MIN(Slot12_Cost-EF22,DY22)</f>
        <v>0</v>
      </c>
      <c r="EH22" s="20" t="n">
        <f aca="false">EF22+EG22</f>
        <v>0</v>
      </c>
      <c r="EI22" s="20" t="n">
        <f aca="false">DY22-EG22+EC22*IF(Slot12_SpendLike=1,EE22-EF22,IF(Slot12_PotFree=1,EE22,0))</f>
        <v>8280.17691814556</v>
      </c>
      <c r="EJ22" s="20" t="n">
        <f aca="false">DZ22+EC22*Slot12_BufPot*EE22</f>
        <v>17585.2314202395</v>
      </c>
      <c r="EK22" s="20" t="n">
        <f aca="false">IF(AND(EC22=1,Slot12_IsMfree=1),IF(EH22&gt;=Slot12_Cost-1,0,MAX(0,EA22-EH22)),EA22)</f>
        <v>75719.1166913375</v>
      </c>
      <c r="EL22" s="20" t="n">
        <f aca="false">EC22*(Slot12_Cost-EH22)</f>
        <v>0</v>
      </c>
      <c r="EM22" s="20" t="n">
        <f aca="false">IF(AND(Slot13_On=1,D22=Slot13_Age),1,0)</f>
        <v>0</v>
      </c>
      <c r="EN22" s="20" t="n">
        <f aca="false">IF(AND(Slot13_On=1,Slot13_Age&gt;D22),1,0)</f>
        <v>0</v>
      </c>
      <c r="EO22" s="20" t="n">
        <f aca="false">SI21</f>
        <v>0</v>
      </c>
      <c r="EP22" s="20" t="n">
        <f aca="false">EM22*MIN(Slot13_Cost,EO22)</f>
        <v>0</v>
      </c>
      <c r="EQ22" s="20" t="n">
        <f aca="false">EM22*Slot13_SpendLike*MIN(Slot13_Cost-EP22,EI22)</f>
        <v>0</v>
      </c>
      <c r="ER22" s="20" t="n">
        <f aca="false">EP22+EQ22</f>
        <v>0</v>
      </c>
      <c r="ES22" s="20" t="n">
        <f aca="false">EI22-EQ22+EM22*IF(Slot13_SpendLike=1,EO22-EP22,IF(Slot13_PotFree=1,EO22,0))</f>
        <v>8280.17691814556</v>
      </c>
      <c r="ET22" s="20" t="n">
        <f aca="false">EJ22+EM22*Slot13_BufPot*EO22</f>
        <v>17585.2314202395</v>
      </c>
      <c r="EU22" s="20" t="n">
        <f aca="false">IF(AND(EM22=1,Slot13_IsMfree=1),IF(ER22&gt;=Slot13_Cost-1,0,MAX(0,EK22-ER22)),EK22)</f>
        <v>75719.1166913375</v>
      </c>
      <c r="EV22" s="20" t="n">
        <f aca="false">EM22*(Slot13_Cost-ER22)</f>
        <v>0</v>
      </c>
      <c r="EW22" s="20" t="n">
        <f aca="false">IF(AND(Slot14_On=1,D22=Slot14_Age),1,0)</f>
        <v>0</v>
      </c>
      <c r="EX22" s="20" t="n">
        <f aca="false">IF(AND(Slot14_On=1,Slot14_Age&gt;D22),1,0)</f>
        <v>0</v>
      </c>
      <c r="EY22" s="20" t="n">
        <f aca="false">SM21</f>
        <v>0</v>
      </c>
      <c r="EZ22" s="20" t="n">
        <f aca="false">EW22*MIN(Slot14_Cost,EY22)</f>
        <v>0</v>
      </c>
      <c r="FA22" s="20" t="n">
        <f aca="false">EW22*Slot14_SpendLike*MIN(Slot14_Cost-EZ22,ES22)</f>
        <v>0</v>
      </c>
      <c r="FB22" s="20" t="n">
        <f aca="false">EZ22+FA22</f>
        <v>0</v>
      </c>
      <c r="FC22" s="20" t="n">
        <f aca="false">ES22-FA22+EW22*IF(Slot14_SpendLike=1,EY22-EZ22,IF(Slot14_PotFree=1,EY22,0))</f>
        <v>8280.17691814556</v>
      </c>
      <c r="FD22" s="20" t="n">
        <f aca="false">ET22+EW22*Slot14_BufPot*EY22</f>
        <v>17585.2314202395</v>
      </c>
      <c r="FE22" s="20" t="n">
        <f aca="false">IF(AND(EW22=1,Slot14_IsMfree=1),IF(FB22&gt;=Slot14_Cost-1,0,MAX(0,EU22-FB22)),EU22)</f>
        <v>75719.1166913375</v>
      </c>
      <c r="FF22" s="20" t="n">
        <f aca="false">EW22*(Slot14_Cost-FB22)</f>
        <v>0</v>
      </c>
      <c r="FG22" s="20" t="n">
        <f aca="false">IF(AND(Slot15_On=1,D22=Slot15_Age),1,0)</f>
        <v>0</v>
      </c>
      <c r="FH22" s="20" t="n">
        <f aca="false">IF(AND(Slot15_On=1,Slot15_Age&gt;D22),1,0)</f>
        <v>0</v>
      </c>
      <c r="FI22" s="20" t="n">
        <f aca="false">SQ21</f>
        <v>0</v>
      </c>
      <c r="FJ22" s="20" t="n">
        <f aca="false">FG22*MIN(Slot15_Cost,FI22)</f>
        <v>0</v>
      </c>
      <c r="FK22" s="20" t="n">
        <f aca="false">FG22*Slot15_SpendLike*MIN(Slot15_Cost-FJ22,FC22)</f>
        <v>0</v>
      </c>
      <c r="FL22" s="20" t="n">
        <f aca="false">FJ22+FK22</f>
        <v>0</v>
      </c>
      <c r="FM22" s="20" t="n">
        <f aca="false">FC22-FK22+FG22*IF(Slot15_SpendLike=1,FI22-FJ22,IF(Slot15_PotFree=1,FI22,0))</f>
        <v>8280.17691814556</v>
      </c>
      <c r="FN22" s="20" t="n">
        <f aca="false">FD22+FG22*Slot15_BufPot*FI22</f>
        <v>17585.2314202395</v>
      </c>
      <c r="FO22" s="20" t="n">
        <f aca="false">IF(AND(FG22=1,Slot15_IsMfree=1),IF(FL22&gt;=Slot15_Cost-1,0,MAX(0,FE22-FL22)),FE22)</f>
        <v>75719.1166913375</v>
      </c>
      <c r="FP22" s="20" t="n">
        <f aca="false">FG22*(Slot15_Cost-FL22)</f>
        <v>0</v>
      </c>
      <c r="FQ22" s="20" t="n">
        <f aca="false">IF(AND(Slot16_On=1,D22=Slot16_Age),1,0)</f>
        <v>0</v>
      </c>
      <c r="FR22" s="20" t="n">
        <f aca="false">IF(AND(Slot16_On=1,Slot16_Age&gt;D22),1,0)</f>
        <v>0</v>
      </c>
      <c r="FS22" s="20" t="n">
        <f aca="false">SU21</f>
        <v>0</v>
      </c>
      <c r="FT22" s="20" t="n">
        <f aca="false">FQ22*MIN(Slot16_Cost,FS22)</f>
        <v>0</v>
      </c>
      <c r="FU22" s="20" t="n">
        <f aca="false">FQ22*Slot16_SpendLike*MIN(Slot16_Cost-FT22,FM22)</f>
        <v>0</v>
      </c>
      <c r="FV22" s="20" t="n">
        <f aca="false">FT22+FU22</f>
        <v>0</v>
      </c>
      <c r="FW22" s="20" t="n">
        <f aca="false">FM22-FU22+FQ22*IF(Slot16_SpendLike=1,FS22-FT22,IF(Slot16_PotFree=1,FS22,0))</f>
        <v>8280.17691814556</v>
      </c>
      <c r="FX22" s="20" t="n">
        <f aca="false">FN22+FQ22*Slot16_BufPot*FS22</f>
        <v>17585.2314202395</v>
      </c>
      <c r="FY22" s="20" t="n">
        <f aca="false">IF(AND(FQ22=1,Slot16_IsMfree=1),IF(FV22&gt;=Slot16_Cost-1,0,MAX(0,FO22-FV22)),FO22)</f>
        <v>75719.1166913375</v>
      </c>
      <c r="FZ22" s="20" t="n">
        <f aca="false">FQ22*(Slot16_Cost-FV22)</f>
        <v>0</v>
      </c>
      <c r="GA22" s="20" t="n">
        <f aca="false">IF(AND(Slot17_On=1,D22=Slot17_Age),1,0)</f>
        <v>0</v>
      </c>
      <c r="GB22" s="20" t="n">
        <f aca="false">IF(AND(Slot17_On=1,Slot17_Age&gt;D22),1,0)</f>
        <v>0</v>
      </c>
      <c r="GC22" s="20" t="n">
        <f aca="false">SY21</f>
        <v>0</v>
      </c>
      <c r="GD22" s="20" t="n">
        <f aca="false">GA22*MIN(Slot17_Cost,GC22)</f>
        <v>0</v>
      </c>
      <c r="GE22" s="20" t="n">
        <f aca="false">GA22*Slot17_SpendLike*MIN(Slot17_Cost-GD22,FW22)</f>
        <v>0</v>
      </c>
      <c r="GF22" s="20" t="n">
        <f aca="false">GD22+GE22</f>
        <v>0</v>
      </c>
      <c r="GG22" s="20" t="n">
        <f aca="false">FW22-GE22+GA22*IF(Slot17_SpendLike=1,GC22-GD22,IF(Slot17_PotFree=1,GC22,0))</f>
        <v>8280.17691814556</v>
      </c>
      <c r="GH22" s="20" t="n">
        <f aca="false">FX22+GA22*Slot17_BufPot*GC22</f>
        <v>17585.2314202395</v>
      </c>
      <c r="GI22" s="20" t="n">
        <f aca="false">IF(AND(GA22=1,Slot17_IsMfree=1),IF(GF22&gt;=Slot17_Cost-1,0,MAX(0,FY22-GF22)),FY22)</f>
        <v>75719.1166913375</v>
      </c>
      <c r="GJ22" s="20" t="n">
        <f aca="false">GA22*(Slot17_Cost-GF22)</f>
        <v>0</v>
      </c>
      <c r="GK22" s="20" t="n">
        <f aca="false">IF(AND(Slot18_On=1,D22=Slot18_Age),1,0)</f>
        <v>0</v>
      </c>
      <c r="GL22" s="20" t="n">
        <f aca="false">IF(AND(Slot18_On=1,Slot18_Age&gt;D22),1,0)</f>
        <v>0</v>
      </c>
      <c r="GM22" s="20" t="n">
        <f aca="false">TC21</f>
        <v>0</v>
      </c>
      <c r="GN22" s="20" t="n">
        <f aca="false">GK22*MIN(Slot18_Cost,GM22)</f>
        <v>0</v>
      </c>
      <c r="GO22" s="20" t="n">
        <f aca="false">GK22*Slot18_SpendLike*MIN(Slot18_Cost-GN22,GG22)</f>
        <v>0</v>
      </c>
      <c r="GP22" s="20" t="n">
        <f aca="false">GN22+GO22</f>
        <v>0</v>
      </c>
      <c r="GQ22" s="20" t="n">
        <f aca="false">GG22-GO22+GK22*IF(Slot18_SpendLike=1,GM22-GN22,IF(Slot18_PotFree=1,GM22,0))</f>
        <v>8280.17691814556</v>
      </c>
      <c r="GR22" s="20" t="n">
        <f aca="false">GH22+GK22*Slot18_BufPot*GM22</f>
        <v>17585.2314202395</v>
      </c>
      <c r="GS22" s="20" t="n">
        <f aca="false">IF(AND(GK22=1,Slot18_IsMfree=1),IF(GP22&gt;=Slot18_Cost-1,0,MAX(0,GI22-GP22)),GI22)</f>
        <v>75719.1166913375</v>
      </c>
      <c r="GT22" s="20" t="n">
        <f aca="false">GK22*(Slot18_Cost-GP22)</f>
        <v>0</v>
      </c>
      <c r="GU22" s="20" t="n">
        <f aca="false">IF(AND(Slot19_On=1,D22=Slot19_Age),1,0)</f>
        <v>0</v>
      </c>
      <c r="GV22" s="20" t="n">
        <f aca="false">IF(AND(Slot19_On=1,Slot19_Age&gt;D22),1,0)</f>
        <v>0</v>
      </c>
      <c r="GW22" s="20" t="n">
        <f aca="false">TG21</f>
        <v>0</v>
      </c>
      <c r="GX22" s="20" t="n">
        <f aca="false">GU22*MIN(Slot19_Cost,GW22)</f>
        <v>0</v>
      </c>
      <c r="GY22" s="20" t="n">
        <f aca="false">GU22*Slot19_SpendLike*MIN(Slot19_Cost-GX22,GQ22)</f>
        <v>0</v>
      </c>
      <c r="GZ22" s="20" t="n">
        <f aca="false">GX22+GY22</f>
        <v>0</v>
      </c>
      <c r="HA22" s="20" t="n">
        <f aca="false">GQ22-GY22+GU22*IF(Slot19_SpendLike=1,GW22-GX22,IF(Slot19_PotFree=1,GW22,0))</f>
        <v>8280.17691814556</v>
      </c>
      <c r="HB22" s="20" t="n">
        <f aca="false">GR22+GU22*Slot19_BufPot*GW22</f>
        <v>17585.2314202395</v>
      </c>
      <c r="HC22" s="20" t="n">
        <f aca="false">IF(AND(GU22=1,Slot19_IsMfree=1),IF(GZ22&gt;=Slot19_Cost-1,0,MAX(0,GS22-GZ22)),GS22)</f>
        <v>75719.1166913375</v>
      </c>
      <c r="HD22" s="20" t="n">
        <f aca="false">GU22*(Slot19_Cost-GZ22)</f>
        <v>0</v>
      </c>
      <c r="HE22" s="20" t="n">
        <f aca="false">IF(AND(Slot20_On=1,D22=Slot20_Age),1,0)</f>
        <v>0</v>
      </c>
      <c r="HF22" s="20" t="n">
        <f aca="false">IF(AND(Slot20_On=1,Slot20_Age&gt;D22),1,0)</f>
        <v>0</v>
      </c>
      <c r="HG22" s="20" t="n">
        <f aca="false">TK21</f>
        <v>0</v>
      </c>
      <c r="HH22" s="20" t="n">
        <f aca="false">HE22*MIN(Slot20_Cost,HG22)</f>
        <v>0</v>
      </c>
      <c r="HI22" s="20" t="n">
        <f aca="false">HE22*Slot20_SpendLike*MIN(Slot20_Cost-HH22,HA22)</f>
        <v>0</v>
      </c>
      <c r="HJ22" s="20" t="n">
        <f aca="false">HH22+HI22</f>
        <v>0</v>
      </c>
      <c r="HK22" s="20" t="n">
        <f aca="false">HA22-HI22+HE22*IF(Slot20_SpendLike=1,HG22-HH22,IF(Slot20_PotFree=1,HG22,0))</f>
        <v>8280.17691814556</v>
      </c>
      <c r="HL22" s="20" t="n">
        <f aca="false">HB22+HE22*Slot20_BufPot*HG22</f>
        <v>17585.2314202395</v>
      </c>
      <c r="HM22" s="20" t="n">
        <f aca="false">IF(AND(HE22=1,Slot20_IsMfree=1),IF(HJ22&gt;=Slot20_Cost-1,0,MAX(0,HC22-HJ22)),HC22)</f>
        <v>75719.1166913375</v>
      </c>
      <c r="HN22" s="20" t="n">
        <f aca="false">HE22*(Slot20_Cost-HJ22)</f>
        <v>0</v>
      </c>
      <c r="HO22" s="20" t="n">
        <f aca="false">V22*Slot1_SpendLike*AA22+AG22*Slot2_SpendLike*AL22+AQ22*Slot3_SpendLike*AV22+BA22*Slot4_SpendLike*BF22+BK22*Slot5_SpendLike*BP22+BU22*Slot6_SpendLike*BZ22+CE22*Slot7_SpendLike*CJ22+CO22*Slot8_SpendLike*CT22+CY22*Slot9_SpendLike*DD22+DI22*Slot10_SpendLike*DN22+DS22*Slot11_SpendLike*DX22+EC22*Slot12_SpendLike*EH22+EM22*Slot13_SpendLike*ER22+EW22*Slot14_SpendLike*FB22+FG22*Slot15_SpendLike*FL22+FQ22*Slot16_SpendLike*FV22+GA22*Slot17_SpendLike*GF22+GK22*Slot18_SpendLike*GP22+GU22*Slot19_SpendLike*GZ22+HE22*Slot20_SpendLike*HJ22</f>
        <v>0</v>
      </c>
      <c r="HP22" s="20" t="n">
        <f aca="false">AE22+AP22+AZ22+BJ22+BT22+CD22+CN22+CX22+DH22+DR22+EB22+EL22+EV22+FF22+FP22+FZ22+GJ22+GT22+HD22+HN22</f>
        <v>0</v>
      </c>
      <c r="HQ22" s="20" t="n">
        <f aca="false">V22*Slot1_Cost+AG22*Slot2_Cost+AQ22*Slot3_Cost+BA22*Slot4_Cost+BK22*Slot5_Cost+BU22*Slot6_Cost+CE22*Slot7_Cost+CO22*Slot8_Cost+CY22*Slot9_Cost+DI22*Slot10_Cost+DS22*Slot11_Cost+EC22*Slot12_Cost+EM22*Slot13_Cost+EW22*Slot14_Cost+FG22*Slot15_Cost+FQ22*Slot16_Cost+GA22*Slot17_Cost+GK22*Slot18_Cost+GU22*Slot19_Cost+HE22*Slot20_Cost</f>
        <v>0</v>
      </c>
      <c r="HR22" s="20" t="n">
        <f aca="false">HM22</f>
        <v>75719.1166913375</v>
      </c>
      <c r="HS22" s="20" t="n">
        <f aca="false">H22-I22-S22</f>
        <v>16928.2273055231</v>
      </c>
      <c r="HT22" s="20" t="n">
        <f aca="false">IF(B22=0,IF(AND(Has_q6=1,In_q6=4),PR_ShareVaries*(MAX(0,HS22)/12),MIN(IF(Has_q6=1,CHOOSE(In_q6+1,PR_SaveB1,PR_SaveB2,PR_SaveB3,PR_SaveB4,0),AS_NoAnswer),AS_SaveShare*(MAX(0,HS22)/12))),HT21)</f>
        <v>62.3316893520437</v>
      </c>
      <c r="HU22" s="20" t="n">
        <f aca="false">IF(HS22&gt;=0,1,0)</f>
        <v>1</v>
      </c>
      <c r="HV22" s="20" t="n">
        <f aca="false">MAX(0,HS22/12/F22)</f>
        <v>1069.12339045079</v>
      </c>
      <c r="HW22" s="20" t="n">
        <f aca="false">IF(AND(Has_q6=1,In_q6=4),PR_ShareVaries*(HV22),MIN(IF(Has_q6=1,CHOOSE(In_q6+1,PR_SaveB1,PR_SaveB2,PR_SaveB3,PR_SaveB4,0),AS_NoAnswer),AS_SaveShare*(HV22)))</f>
        <v>500</v>
      </c>
      <c r="HX22" s="20" t="n">
        <f aca="false">IF(Has_saveM=1,IF(In_saveUp="Yes",1,IF(In_saveUp="No",0,IF(In_saveM&gt;=HT22-0.5,1,0))),0)</f>
        <v>0</v>
      </c>
      <c r="HY22" s="20" t="n">
        <f aca="false">IF(Has_saveM=1,MIN(HV22,IF(HX22=1,MAX(In_saveM,HW22),MIN(In_saveM,HW22))),HW22)</f>
        <v>500</v>
      </c>
      <c r="HZ22" s="20" t="n">
        <f aca="false">IF(G22=1,HY22*12*F22,0)</f>
        <v>7916.87257837723</v>
      </c>
      <c r="IA22" s="20" t="n">
        <f aca="false">MAX(0,HZ22+IF(AND(WI_Retire=0,WI_M&lt;0,G22=1),WI_M*12*F22,0))</f>
        <v>7916.87257837723</v>
      </c>
      <c r="IB22" s="20" t="n">
        <f aca="false">Slot1_IsWG*W22+Slot2_IsWG*AH22+Slot3_IsWG*AR22+Slot4_IsWG*BB22+Slot5_IsWG*BL22+Slot6_IsWG*BV22+Slot7_IsWG*CF22+Slot8_IsWG*CP22+Slot9_IsWG*CZ22+Slot10_IsWG*DJ22+Slot11_IsWG*DT22+Slot12_IsWG*ED22+Slot13_IsWG*EN22+Slot14_IsWG*EX22+Slot15_IsWG*FH22+Slot16_IsWG*FR22+Slot17_IsWG*GB22+Slot18_IsWG*GL22+Slot19_IsWG*GV22+Slot20_IsWG*HF22</f>
        <v>0</v>
      </c>
      <c r="IC22" s="20" t="n">
        <f aca="false">IF(AND(WI_Retire=0,WI_M&gt;0,G22=1,IB22&gt;=1),WI_M*12*F22,0)</f>
        <v>0</v>
      </c>
      <c r="ID22" s="20" t="n">
        <f aca="false">IF(HU22=1,MIN(IA22,HS22),0)</f>
        <v>7916.87257837723</v>
      </c>
      <c r="IE22" s="20" t="n">
        <f aca="false">IF(HU22=1,MIN(IC22,HS22-ID22),0)</f>
        <v>0</v>
      </c>
      <c r="IF22" s="20" t="n">
        <f aca="false">IF(W22=1,IF(ABS((1+AS_Wage)/(1+Slot1_Rate)-1)&lt;0.000000000001,(Slot1_Age-D22)*(1+Slot1_Rate)^(Slot1_Age-D22),(1+Slot1_Rate)^(Slot1_Age-D22)*(1-((1+AS_Wage)/(1+Slot1_Rate))^(Slot1_Age-D22))/(1-(1+AS_Wage)/(1+Slot1_Rate))),1)</f>
        <v>1</v>
      </c>
      <c r="IG22" s="20" t="n">
        <f aca="false">IF(AND(HU22=1,IE22&gt;0,Slot1_IsWG=1,W22=1),MAX(0,(Slot1_Cost-X22*(1+Slot1_Rate)^(Slot1_Age-D22))/IF22),0)</f>
        <v>0</v>
      </c>
      <c r="IH22" s="20" t="n">
        <f aca="false">IF(AND(HU22=1,IE22&gt;0,Slot1_IsWG=1,W22=1),MIN(IE22,IG22),0)</f>
        <v>0</v>
      </c>
      <c r="II22" s="20" t="n">
        <f aca="false">X22+IH22</f>
        <v>0</v>
      </c>
      <c r="IJ22" s="20" t="n">
        <f aca="false">IF(W22=1,MAX(0,(Slot1_Cost-II22*(1+Slot1_Rate)^(Slot1_Age-D22))/IF22),0)</f>
        <v>0</v>
      </c>
      <c r="IK22" s="20" t="n">
        <f aca="false">IF(W22=1,MAX(0,(Slot1_Cost-X22*(1+Slot1_Rate)^(Slot1_Age-D22))/IF22),0)</f>
        <v>0</v>
      </c>
      <c r="IL22" s="20" t="n">
        <f aca="false">IF(AND(HU22=1,W22=1),MIN(ID22,IJ22),0)</f>
        <v>0</v>
      </c>
      <c r="IM22" s="20" t="n">
        <f aca="false">ID22-IL22</f>
        <v>7916.87257837723</v>
      </c>
      <c r="IN22" s="20" t="n">
        <f aca="false">IF(AH22=1,IF(ABS((1+AS_Wage)/(1+Slot2_Rate)-1)&lt;0.000000000001,(Slot2_Age-D22)*(1+Slot2_Rate)^(Slot2_Age-D22),(1+Slot2_Rate)^(Slot2_Age-D22)*(1-((1+AS_Wage)/(1+Slot2_Rate))^(Slot2_Age-D22))/(1-(1+AS_Wage)/(1+Slot2_Rate))),1)</f>
        <v>1</v>
      </c>
      <c r="IO22" s="20" t="n">
        <f aca="false">IF(AND(HU22=1,IE22&gt;0,Slot2_IsWG=1,AH22=1),MAX(0,(Slot2_Cost-AI22*(1+Slot2_Rate)^(Slot2_Age-D22))/IN22),0)</f>
        <v>0</v>
      </c>
      <c r="IP22" s="20" t="n">
        <f aca="false">IF(AND(HU22=1,IE22&gt;0,Slot2_IsWG=1,AH22=1),MIN(IE22,IO22),0)</f>
        <v>0</v>
      </c>
      <c r="IQ22" s="20" t="n">
        <f aca="false">AI22+IP22</f>
        <v>0</v>
      </c>
      <c r="IR22" s="20" t="n">
        <f aca="false">IF(AH22=1,MAX(0,(Slot2_Cost-IQ22*(1+Slot2_Rate)^(Slot2_Age-D22))/IN22),0)</f>
        <v>0</v>
      </c>
      <c r="IS22" s="20" t="n">
        <f aca="false">IF(AH22=1,MAX(0,(Slot2_Cost-AI22*(1+Slot2_Rate)^(Slot2_Age-D22))/IN22),0)</f>
        <v>0</v>
      </c>
      <c r="IT22" s="20" t="n">
        <f aca="false">IF(AND(HU22=1,AH22=1),MIN(IM22,IR22),0)</f>
        <v>0</v>
      </c>
      <c r="IU22" s="20" t="n">
        <f aca="false">IM22-IT22</f>
        <v>7916.87257837723</v>
      </c>
      <c r="IV22" s="20" t="n">
        <f aca="false">IF(AR22=1,IF(ABS((1+AS_Wage)/(1+Slot3_Rate)-1)&lt;0.000000000001,(Slot3_Age-D22)*(1+Slot3_Rate)^(Slot3_Age-D22),(1+Slot3_Rate)^(Slot3_Age-D22)*(1-((1+AS_Wage)/(1+Slot3_Rate))^(Slot3_Age-D22))/(1-(1+AS_Wage)/(1+Slot3_Rate))),1)</f>
        <v>1</v>
      </c>
      <c r="IW22" s="20" t="n">
        <f aca="false">IF(AND(HU22=1,IE22&gt;0,Slot3_IsWG=1,AR22=1),MAX(0,(Slot3_Cost-AS22*(1+Slot3_Rate)^(Slot3_Age-D22))/IV22),0)</f>
        <v>0</v>
      </c>
      <c r="IX22" s="20" t="n">
        <f aca="false">IF(AND(HU22=1,IE22&gt;0,Slot3_IsWG=1,AR22=1),MIN(IE22,IW22),0)</f>
        <v>0</v>
      </c>
      <c r="IY22" s="20" t="n">
        <f aca="false">AS22+IX22</f>
        <v>0</v>
      </c>
      <c r="IZ22" s="20" t="n">
        <f aca="false">IF(AR22=1,MAX(0,(Slot3_Cost-IY22*(1+Slot3_Rate)^(Slot3_Age-D22))/IV22),0)</f>
        <v>0</v>
      </c>
      <c r="JA22" s="20" t="n">
        <f aca="false">IF(AR22=1,MAX(0,(Slot3_Cost-AS22*(1+Slot3_Rate)^(Slot3_Age-D22))/IV22),0)</f>
        <v>0</v>
      </c>
      <c r="JB22" s="20" t="n">
        <f aca="false">IF(AND(HU22=1,AR22=1),MIN(IU22,IZ22),0)</f>
        <v>0</v>
      </c>
      <c r="JC22" s="20" t="n">
        <f aca="false">IU22-JB22</f>
        <v>7916.87257837723</v>
      </c>
      <c r="JD22" s="20" t="n">
        <f aca="false">IF(BB22=1,IF(ABS((1+AS_Wage)/(1+Slot4_Rate)-1)&lt;0.000000000001,(Slot4_Age-D22)*(1+Slot4_Rate)^(Slot4_Age-D22),(1+Slot4_Rate)^(Slot4_Age-D22)*(1-((1+AS_Wage)/(1+Slot4_Rate))^(Slot4_Age-D22))/(1-(1+AS_Wage)/(1+Slot4_Rate))),1)</f>
        <v>3.252785256</v>
      </c>
      <c r="JE22" s="20" t="n">
        <f aca="false">IF(AND(HU22=1,IE22&gt;0,Slot4_IsWG=1,BB22=1),MAX(0,(Slot4_Cost-BC22*(1+Slot4_Rate)^(Slot4_Age-D22))/JD22),0)</f>
        <v>0</v>
      </c>
      <c r="JF22" s="20" t="n">
        <f aca="false">IF(AND(HU22=1,IE22&gt;0,Slot4_IsWG=1,BB22=1),MIN(IE22,JE22),0)</f>
        <v>0</v>
      </c>
      <c r="JG22" s="20" t="n">
        <f aca="false">BC22+JF22</f>
        <v>21049.9943684556</v>
      </c>
      <c r="JH22" s="20" t="n">
        <f aca="false">IF(BB22=1,MAX(0,(Slot4_Cost-JG22*(1+Slot4_Rate)^(Slot4_Age-D22))/JD22),0)</f>
        <v>5313.88978982562</v>
      </c>
      <c r="JI22" s="20" t="n">
        <f aca="false">IF(BB22=1,MAX(0,(Slot4_Cost-BC22*(1+Slot4_Rate)^(Slot4_Age-D22))/JD22),0)</f>
        <v>5313.88978982562</v>
      </c>
      <c r="JJ22" s="20" t="n">
        <f aca="false">IF(AND(HU22=1,BB22=1),MIN(JC22,JH22),0)</f>
        <v>5313.88978982562</v>
      </c>
      <c r="JK22" s="20" t="n">
        <f aca="false">JC22-JJ22</f>
        <v>2602.98278855161</v>
      </c>
      <c r="JL22" s="20" t="n">
        <f aca="false">IF(BL22=1,IF(ABS((1+AS_Wage)/(1+Slot5_Rate)-1)&lt;0.000000000001,(Slot5_Age-D22)*(1+Slot5_Rate)^(Slot5_Age-D22),(1+Slot5_Rate)^(Slot5_Age-D22)*(1-((1+AS_Wage)/(1+Slot5_Rate))^(Slot5_Age-D22))/(1-(1+AS_Wage)/(1+Slot5_Rate))),1)</f>
        <v>1</v>
      </c>
      <c r="JM22" s="20" t="n">
        <f aca="false">IF(AND(HU22=1,IE22&gt;0,Slot5_IsWG=1,BL22=1),MAX(0,(Slot5_Cost-BM22*(1+Slot5_Rate)^(Slot5_Age-D22))/JL22),0)</f>
        <v>0</v>
      </c>
      <c r="JN22" s="20" t="n">
        <f aca="false">IF(AND(HU22=1,IE22&gt;0,Slot5_IsWG=1,BL22=1),MIN(IE22,JM22),0)</f>
        <v>0</v>
      </c>
      <c r="JO22" s="20" t="n">
        <f aca="false">BM22+JN22</f>
        <v>0</v>
      </c>
      <c r="JP22" s="20" t="n">
        <f aca="false">IF(BL22=1,MAX(0,(Slot5_Cost-JO22*(1+Slot5_Rate)^(Slot5_Age-D22))/JL22),0)</f>
        <v>0</v>
      </c>
      <c r="JQ22" s="20" t="n">
        <f aca="false">IF(BL22=1,MAX(0,(Slot5_Cost-BM22*(1+Slot5_Rate)^(Slot5_Age-D22))/JL22),0)</f>
        <v>0</v>
      </c>
      <c r="JR22" s="20" t="n">
        <f aca="false">IF(AND(HU22=1,BL22=1),MIN(JK22,JP22),0)</f>
        <v>0</v>
      </c>
      <c r="JS22" s="20" t="n">
        <f aca="false">JK22-JR22</f>
        <v>2602.98278855161</v>
      </c>
      <c r="JT22" s="20" t="n">
        <f aca="false">IF(BV22=1,IF(ABS((1+AS_Wage)/(1+Slot6_Rate)-1)&lt;0.000000000001,(Slot6_Age-D22)*(1+Slot6_Rate)^(Slot6_Age-D22),(1+Slot6_Rate)^(Slot6_Age-D22)*(1-((1+AS_Wage)/(1+Slot6_Rate))^(Slot6_Age-D22))/(1-(1+AS_Wage)/(1+Slot6_Rate))),1)</f>
        <v>1</v>
      </c>
      <c r="JU22" s="20" t="n">
        <f aca="false">IF(AND(HU22=1,IE22&gt;0,Slot6_IsWG=1,BV22=1),MAX(0,(Slot6_Cost-BW22*(1+Slot6_Rate)^(Slot6_Age-D22))/JT22),0)</f>
        <v>0</v>
      </c>
      <c r="JV22" s="20" t="n">
        <f aca="false">IF(AND(HU22=1,IE22&gt;0,Slot6_IsWG=1,BV22=1),MIN(IE22,JU22),0)</f>
        <v>0</v>
      </c>
      <c r="JW22" s="20" t="n">
        <f aca="false">BW22+JV22</f>
        <v>0</v>
      </c>
      <c r="JX22" s="20" t="n">
        <f aca="false">IF(BV22=1,MAX(0,(Slot6_Cost-JW22*(1+Slot6_Rate)^(Slot6_Age-D22))/JT22),0)</f>
        <v>0</v>
      </c>
      <c r="JY22" s="20" t="n">
        <f aca="false">IF(BV22=1,MAX(0,(Slot6_Cost-BW22*(1+Slot6_Rate)^(Slot6_Age-D22))/JT22),0)</f>
        <v>0</v>
      </c>
      <c r="JZ22" s="20" t="n">
        <f aca="false">IF(AND(HU22=1,BV22=1),MIN(JS22,JX22),0)</f>
        <v>0</v>
      </c>
      <c r="KA22" s="20" t="n">
        <f aca="false">JS22-JZ22</f>
        <v>2602.98278855161</v>
      </c>
      <c r="KB22" s="20" t="n">
        <f aca="false">IF(CF22=1,IF(ABS((1+AS_Wage)/(1+Slot7_Rate)-1)&lt;0.000000000001,(Slot7_Age-D22)*(1+Slot7_Rate)^(Slot7_Age-D22),(1+Slot7_Rate)^(Slot7_Age-D22)*(1-((1+AS_Wage)/(1+Slot7_Rate))^(Slot7_Age-D22))/(1-(1+AS_Wage)/(1+Slot7_Rate))),1)</f>
        <v>1</v>
      </c>
      <c r="KC22" s="20" t="n">
        <f aca="false">IF(AND(HU22=1,IE22&gt;0,Slot7_IsWG=1,CF22=1),MAX(0,(Slot7_Cost-CG22*(1+Slot7_Rate)^(Slot7_Age-D22))/KB22),0)</f>
        <v>0</v>
      </c>
      <c r="KD22" s="20" t="n">
        <f aca="false">IF(AND(HU22=1,IE22&gt;0,Slot7_IsWG=1,CF22=1),MIN(IE22,KC22),0)</f>
        <v>0</v>
      </c>
      <c r="KE22" s="20" t="n">
        <f aca="false">CG22+KD22</f>
        <v>0</v>
      </c>
      <c r="KF22" s="20" t="n">
        <f aca="false">IF(CF22=1,MAX(0,(Slot7_Cost-KE22*(1+Slot7_Rate)^(Slot7_Age-D22))/KB22),0)</f>
        <v>0</v>
      </c>
      <c r="KG22" s="20" t="n">
        <f aca="false">IF(CF22=1,MAX(0,(Slot7_Cost-CG22*(1+Slot7_Rate)^(Slot7_Age-D22))/KB22),0)</f>
        <v>0</v>
      </c>
      <c r="KH22" s="20" t="n">
        <f aca="false">IF(AND(HU22=1,CF22=1),MIN(KA22,KF22),0)</f>
        <v>0</v>
      </c>
      <c r="KI22" s="20" t="n">
        <f aca="false">KA22-KH22</f>
        <v>2602.98278855161</v>
      </c>
      <c r="KJ22" s="20" t="n">
        <f aca="false">IF(CP22=1,IF(ABS((1+AS_Wage)/(1+Slot8_Rate)-1)&lt;0.000000000001,(Slot8_Age-D22)*(1+Slot8_Rate)^(Slot8_Age-D22),(1+Slot8_Rate)^(Slot8_Age-D22)*(1-((1+AS_Wage)/(1+Slot8_Rate))^(Slot8_Age-D22))/(1-(1+AS_Wage)/(1+Slot8_Rate))),1)</f>
        <v>1</v>
      </c>
      <c r="KK22" s="20" t="n">
        <f aca="false">IF(AND(HU22=1,IE22&gt;0,Slot8_IsWG=1,CP22=1),MAX(0,(Slot8_Cost-CQ22*(1+Slot8_Rate)^(Slot8_Age-D22))/KJ22),0)</f>
        <v>0</v>
      </c>
      <c r="KL22" s="20" t="n">
        <f aca="false">IF(AND(HU22=1,IE22&gt;0,Slot8_IsWG=1,CP22=1),MIN(IE22,KK22),0)</f>
        <v>0</v>
      </c>
      <c r="KM22" s="20" t="n">
        <f aca="false">CQ22+KL22</f>
        <v>0</v>
      </c>
      <c r="KN22" s="20" t="n">
        <f aca="false">IF(CP22=1,MAX(0,(Slot8_Cost-KM22*(1+Slot8_Rate)^(Slot8_Age-D22))/KJ22),0)</f>
        <v>0</v>
      </c>
      <c r="KO22" s="20" t="n">
        <f aca="false">IF(CP22=1,MAX(0,(Slot8_Cost-CQ22*(1+Slot8_Rate)^(Slot8_Age-D22))/KJ22),0)</f>
        <v>0</v>
      </c>
      <c r="KP22" s="20" t="n">
        <f aca="false">IF(AND(HU22=1,CP22=1),MIN(KI22,KN22),0)</f>
        <v>0</v>
      </c>
      <c r="KQ22" s="20" t="n">
        <f aca="false">KI22-KP22</f>
        <v>2602.98278855161</v>
      </c>
      <c r="KR22" s="20" t="n">
        <f aca="false">IF(CZ22=1,IF(ABS((1+AS_Wage)/(1+Slot9_Rate)-1)&lt;0.000000000001,(Slot9_Age-D22)*(1+Slot9_Rate)^(Slot9_Age-D22),(1+Slot9_Rate)^(Slot9_Age-D22)*(1-((1+AS_Wage)/(1+Slot9_Rate))^(Slot9_Age-D22))/(1-(1+AS_Wage)/(1+Slot9_Rate))),1)</f>
        <v>1</v>
      </c>
      <c r="KS22" s="20" t="n">
        <f aca="false">IF(AND(HU22=1,IE22&gt;0,Slot9_IsWG=1,CZ22=1),MAX(0,(Slot9_Cost-DA22*(1+Slot9_Rate)^(Slot9_Age-D22))/KR22),0)</f>
        <v>0</v>
      </c>
      <c r="KT22" s="20" t="n">
        <f aca="false">IF(AND(HU22=1,IE22&gt;0,Slot9_IsWG=1,CZ22=1),MIN(IE22,KS22),0)</f>
        <v>0</v>
      </c>
      <c r="KU22" s="20" t="n">
        <f aca="false">DA22+KT22</f>
        <v>0</v>
      </c>
      <c r="KV22" s="20" t="n">
        <f aca="false">IF(CZ22=1,MAX(0,(Slot9_Cost-KU22*(1+Slot9_Rate)^(Slot9_Age-D22))/KR22),0)</f>
        <v>0</v>
      </c>
      <c r="KW22" s="20" t="n">
        <f aca="false">IF(CZ22=1,MAX(0,(Slot9_Cost-DA22*(1+Slot9_Rate)^(Slot9_Age-D22))/KR22),0)</f>
        <v>0</v>
      </c>
      <c r="KX22" s="20" t="n">
        <f aca="false">IF(AND(HU22=1,CZ22=1),MIN(KQ22,KV22),0)</f>
        <v>0</v>
      </c>
      <c r="KY22" s="20" t="n">
        <f aca="false">KQ22-KX22</f>
        <v>2602.98278855161</v>
      </c>
      <c r="KZ22" s="20" t="n">
        <f aca="false">IF(DJ22=1,IF(ABS((1+AS_Wage)/(1+Slot10_Rate)-1)&lt;0.000000000001,(Slot10_Age-D22)*(1+Slot10_Rate)^(Slot10_Age-D22),(1+Slot10_Rate)^(Slot10_Age-D22)*(1-((1+AS_Wage)/(1+Slot10_Rate))^(Slot10_Age-D22))/(1-(1+AS_Wage)/(1+Slot10_Rate))),1)</f>
        <v>1</v>
      </c>
      <c r="LA22" s="20" t="n">
        <f aca="false">IF(AND(HU22=1,IE22&gt;0,Slot10_IsWG=1,DJ22=1),MAX(0,(Slot10_Cost-DK22*(1+Slot10_Rate)^(Slot10_Age-D22))/KZ22),0)</f>
        <v>0</v>
      </c>
      <c r="LB22" s="20" t="n">
        <f aca="false">IF(AND(HU22=1,IE22&gt;0,Slot10_IsWG=1,DJ22=1),MIN(IE22,LA22),0)</f>
        <v>0</v>
      </c>
      <c r="LC22" s="20" t="n">
        <f aca="false">DK22+LB22</f>
        <v>0</v>
      </c>
      <c r="LD22" s="20" t="n">
        <f aca="false">IF(DJ22=1,MAX(0,(Slot10_Cost-LC22*(1+Slot10_Rate)^(Slot10_Age-D22))/KZ22),0)</f>
        <v>0</v>
      </c>
      <c r="LE22" s="20" t="n">
        <f aca="false">IF(DJ22=1,MAX(0,(Slot10_Cost-DK22*(1+Slot10_Rate)^(Slot10_Age-D22))/KZ22),0)</f>
        <v>0</v>
      </c>
      <c r="LF22" s="20" t="n">
        <f aca="false">IF(AND(HU22=1,DJ22=1),MIN(KY22,LD22),0)</f>
        <v>0</v>
      </c>
      <c r="LG22" s="20" t="n">
        <f aca="false">KY22-LF22</f>
        <v>2602.98278855161</v>
      </c>
      <c r="LH22" s="20" t="n">
        <f aca="false">IF(DT22=1,IF(ABS((1+AS_Wage)/(1+Slot11_Rate)-1)&lt;0.000000000001,(Slot11_Age-D22)*(1+Slot11_Rate)^(Slot11_Age-D22),(1+Slot11_Rate)^(Slot11_Age-D22)*(1-((1+AS_Wage)/(1+Slot11_Rate))^(Slot11_Age-D22))/(1-(1+AS_Wage)/(1+Slot11_Rate))),1)</f>
        <v>1</v>
      </c>
      <c r="LI22" s="20" t="n">
        <f aca="false">IF(AND(HU22=1,IE22&gt;0,Slot11_IsWG=1,DT22=1),MAX(0,(Slot11_Cost-DU22*(1+Slot11_Rate)^(Slot11_Age-D22))/LH22),0)</f>
        <v>0</v>
      </c>
      <c r="LJ22" s="20" t="n">
        <f aca="false">IF(AND(HU22=1,IE22&gt;0,Slot11_IsWG=1,DT22=1),MIN(IE22,LI22),0)</f>
        <v>0</v>
      </c>
      <c r="LK22" s="20" t="n">
        <f aca="false">DU22+LJ22</f>
        <v>0</v>
      </c>
      <c r="LL22" s="20" t="n">
        <f aca="false">IF(DT22=1,MAX(0,(Slot11_Cost-LK22*(1+Slot11_Rate)^(Slot11_Age-D22))/LH22),0)</f>
        <v>0</v>
      </c>
      <c r="LM22" s="20" t="n">
        <f aca="false">IF(DT22=1,MAX(0,(Slot11_Cost-DU22*(1+Slot11_Rate)^(Slot11_Age-D22))/LH22),0)</f>
        <v>0</v>
      </c>
      <c r="LN22" s="20" t="n">
        <f aca="false">IF(AND(HU22=1,DT22=1),MIN(LG22,LL22),0)</f>
        <v>0</v>
      </c>
      <c r="LO22" s="20" t="n">
        <f aca="false">LG22-LN22</f>
        <v>2602.98278855161</v>
      </c>
      <c r="LP22" s="20" t="n">
        <f aca="false">IF(ED22=1,IF(ABS((1+AS_Wage)/(1+Slot12_Rate)-1)&lt;0.000000000001,(Slot12_Age-D22)*(1+Slot12_Rate)^(Slot12_Age-D22),(1+Slot12_Rate)^(Slot12_Age-D22)*(1-((1+AS_Wage)/(1+Slot12_Rate))^(Slot12_Age-D22))/(1-(1+AS_Wage)/(1+Slot12_Rate))),1)</f>
        <v>1</v>
      </c>
      <c r="LQ22" s="20" t="n">
        <f aca="false">IF(AND(HU22=1,IE22&gt;0,Slot12_IsWG=1,ED22=1),MAX(0,(Slot12_Cost-EE22*(1+Slot12_Rate)^(Slot12_Age-D22))/LP22),0)</f>
        <v>0</v>
      </c>
      <c r="LR22" s="20" t="n">
        <f aca="false">IF(AND(HU22=1,IE22&gt;0,Slot12_IsWG=1,ED22=1),MIN(IE22,LQ22),0)</f>
        <v>0</v>
      </c>
      <c r="LS22" s="20" t="n">
        <f aca="false">EE22+LR22</f>
        <v>0</v>
      </c>
      <c r="LT22" s="20" t="n">
        <f aca="false">IF(ED22=1,MAX(0,(Slot12_Cost-LS22*(1+Slot12_Rate)^(Slot12_Age-D22))/LP22),0)</f>
        <v>0</v>
      </c>
      <c r="LU22" s="20" t="n">
        <f aca="false">IF(ED22=1,MAX(0,(Slot12_Cost-EE22*(1+Slot12_Rate)^(Slot12_Age-D22))/LP22),0)</f>
        <v>0</v>
      </c>
      <c r="LV22" s="20" t="n">
        <f aca="false">IF(AND(HU22=1,ED22=1),MIN(LO22,LT22),0)</f>
        <v>0</v>
      </c>
      <c r="LW22" s="20" t="n">
        <f aca="false">LO22-LV22</f>
        <v>2602.98278855161</v>
      </c>
      <c r="LX22" s="20" t="n">
        <f aca="false">IF(EN22=1,IF(ABS((1+AS_Wage)/(1+Slot13_Rate)-1)&lt;0.000000000001,(Slot13_Age-D22)*(1+Slot13_Rate)^(Slot13_Age-D22),(1+Slot13_Rate)^(Slot13_Age-D22)*(1-((1+AS_Wage)/(1+Slot13_Rate))^(Slot13_Age-D22))/(1-(1+AS_Wage)/(1+Slot13_Rate))),1)</f>
        <v>1</v>
      </c>
      <c r="LY22" s="20" t="n">
        <f aca="false">IF(AND(HU22=1,IE22&gt;0,Slot13_IsWG=1,EN22=1),MAX(0,(Slot13_Cost-EO22*(1+Slot13_Rate)^(Slot13_Age-D22))/LX22),0)</f>
        <v>0</v>
      </c>
      <c r="LZ22" s="20" t="n">
        <f aca="false">IF(AND(HU22=1,IE22&gt;0,Slot13_IsWG=1,EN22=1),MIN(IE22,LY22),0)</f>
        <v>0</v>
      </c>
      <c r="MA22" s="20" t="n">
        <f aca="false">EO22+LZ22</f>
        <v>0</v>
      </c>
      <c r="MB22" s="20" t="n">
        <f aca="false">IF(EN22=1,MAX(0,(Slot13_Cost-MA22*(1+Slot13_Rate)^(Slot13_Age-D22))/LX22),0)</f>
        <v>0</v>
      </c>
      <c r="MC22" s="20" t="n">
        <f aca="false">IF(EN22=1,MAX(0,(Slot13_Cost-EO22*(1+Slot13_Rate)^(Slot13_Age-D22))/LX22),0)</f>
        <v>0</v>
      </c>
      <c r="MD22" s="20" t="n">
        <f aca="false">IF(AND(HU22=1,EN22=1),MIN(LW22,MB22),0)</f>
        <v>0</v>
      </c>
      <c r="ME22" s="20" t="n">
        <f aca="false">LW22-MD22</f>
        <v>2602.98278855161</v>
      </c>
      <c r="MF22" s="20" t="n">
        <f aca="false">IF(EX22=1,IF(ABS((1+AS_Wage)/(1+Slot14_Rate)-1)&lt;0.000000000001,(Slot14_Age-D22)*(1+Slot14_Rate)^(Slot14_Age-D22),(1+Slot14_Rate)^(Slot14_Age-D22)*(1-((1+AS_Wage)/(1+Slot14_Rate))^(Slot14_Age-D22))/(1-(1+AS_Wage)/(1+Slot14_Rate))),1)</f>
        <v>1</v>
      </c>
      <c r="MG22" s="20" t="n">
        <f aca="false">IF(AND(HU22=1,IE22&gt;0,Slot14_IsWG=1,EX22=1),MAX(0,(Slot14_Cost-EY22*(1+Slot14_Rate)^(Slot14_Age-D22))/MF22),0)</f>
        <v>0</v>
      </c>
      <c r="MH22" s="20" t="n">
        <f aca="false">IF(AND(HU22=1,IE22&gt;0,Slot14_IsWG=1,EX22=1),MIN(IE22,MG22),0)</f>
        <v>0</v>
      </c>
      <c r="MI22" s="20" t="n">
        <f aca="false">EY22+MH22</f>
        <v>0</v>
      </c>
      <c r="MJ22" s="20" t="n">
        <f aca="false">IF(EX22=1,MAX(0,(Slot14_Cost-MI22*(1+Slot14_Rate)^(Slot14_Age-D22))/MF22),0)</f>
        <v>0</v>
      </c>
      <c r="MK22" s="20" t="n">
        <f aca="false">IF(EX22=1,MAX(0,(Slot14_Cost-EY22*(1+Slot14_Rate)^(Slot14_Age-D22))/MF22),0)</f>
        <v>0</v>
      </c>
      <c r="ML22" s="20" t="n">
        <f aca="false">IF(AND(HU22=1,EX22=1),MIN(ME22,MJ22),0)</f>
        <v>0</v>
      </c>
      <c r="MM22" s="20" t="n">
        <f aca="false">ME22-ML22</f>
        <v>2602.98278855161</v>
      </c>
      <c r="MN22" s="20" t="n">
        <f aca="false">IF(FH22=1,IF(ABS((1+AS_Wage)/(1+Slot15_Rate)-1)&lt;0.000000000001,(Slot15_Age-D22)*(1+Slot15_Rate)^(Slot15_Age-D22),(1+Slot15_Rate)^(Slot15_Age-D22)*(1-((1+AS_Wage)/(1+Slot15_Rate))^(Slot15_Age-D22))/(1-(1+AS_Wage)/(1+Slot15_Rate))),1)</f>
        <v>1</v>
      </c>
      <c r="MO22" s="20" t="n">
        <f aca="false">IF(AND(HU22=1,IE22&gt;0,Slot15_IsWG=1,FH22=1),MAX(0,(Slot15_Cost-FI22*(1+Slot15_Rate)^(Slot15_Age-D22))/MN22),0)</f>
        <v>0</v>
      </c>
      <c r="MP22" s="20" t="n">
        <f aca="false">IF(AND(HU22=1,IE22&gt;0,Slot15_IsWG=1,FH22=1),MIN(IE22,MO22),0)</f>
        <v>0</v>
      </c>
      <c r="MQ22" s="20" t="n">
        <f aca="false">FI22+MP22</f>
        <v>0</v>
      </c>
      <c r="MR22" s="20" t="n">
        <f aca="false">IF(FH22=1,MAX(0,(Slot15_Cost-MQ22*(1+Slot15_Rate)^(Slot15_Age-D22))/MN22),0)</f>
        <v>0</v>
      </c>
      <c r="MS22" s="20" t="n">
        <f aca="false">IF(FH22=1,MAX(0,(Slot15_Cost-FI22*(1+Slot15_Rate)^(Slot15_Age-D22))/MN22),0)</f>
        <v>0</v>
      </c>
      <c r="MT22" s="20" t="n">
        <f aca="false">IF(AND(HU22=1,FH22=1),MIN(MM22,MR22),0)</f>
        <v>0</v>
      </c>
      <c r="MU22" s="20" t="n">
        <f aca="false">MM22-MT22</f>
        <v>2602.98278855161</v>
      </c>
      <c r="MV22" s="20" t="n">
        <f aca="false">IF(FR22=1,IF(ABS((1+AS_Wage)/(1+Slot16_Rate)-1)&lt;0.000000000001,(Slot16_Age-D22)*(1+Slot16_Rate)^(Slot16_Age-D22),(1+Slot16_Rate)^(Slot16_Age-D22)*(1-((1+AS_Wage)/(1+Slot16_Rate))^(Slot16_Age-D22))/(1-(1+AS_Wage)/(1+Slot16_Rate))),1)</f>
        <v>1</v>
      </c>
      <c r="MW22" s="20" t="n">
        <f aca="false">IF(AND(HU22=1,IE22&gt;0,Slot16_IsWG=1,FR22=1),MAX(0,(Slot16_Cost-FS22*(1+Slot16_Rate)^(Slot16_Age-D22))/MV22),0)</f>
        <v>0</v>
      </c>
      <c r="MX22" s="20" t="n">
        <f aca="false">IF(AND(HU22=1,IE22&gt;0,Slot16_IsWG=1,FR22=1),MIN(IE22,MW22),0)</f>
        <v>0</v>
      </c>
      <c r="MY22" s="20" t="n">
        <f aca="false">FS22+MX22</f>
        <v>0</v>
      </c>
      <c r="MZ22" s="20" t="n">
        <f aca="false">IF(FR22=1,MAX(0,(Slot16_Cost-MY22*(1+Slot16_Rate)^(Slot16_Age-D22))/MV22),0)</f>
        <v>0</v>
      </c>
      <c r="NA22" s="20" t="n">
        <f aca="false">IF(FR22=1,MAX(0,(Slot16_Cost-FS22*(1+Slot16_Rate)^(Slot16_Age-D22))/MV22),0)</f>
        <v>0</v>
      </c>
      <c r="NB22" s="20" t="n">
        <f aca="false">IF(AND(HU22=1,FR22=1),MIN(MU22,MZ22),0)</f>
        <v>0</v>
      </c>
      <c r="NC22" s="20" t="n">
        <f aca="false">MU22-NB22</f>
        <v>2602.98278855161</v>
      </c>
      <c r="ND22" s="20" t="n">
        <f aca="false">IF(GB22=1,IF(ABS((1+AS_Wage)/(1+Slot17_Rate)-1)&lt;0.000000000001,(Slot17_Age-D22)*(1+Slot17_Rate)^(Slot17_Age-D22),(1+Slot17_Rate)^(Slot17_Age-D22)*(1-((1+AS_Wage)/(1+Slot17_Rate))^(Slot17_Age-D22))/(1-(1+AS_Wage)/(1+Slot17_Rate))),1)</f>
        <v>1</v>
      </c>
      <c r="NE22" s="20" t="n">
        <f aca="false">IF(AND(HU22=1,IE22&gt;0,Slot17_IsWG=1,GB22=1),MAX(0,(Slot17_Cost-GC22*(1+Slot17_Rate)^(Slot17_Age-D22))/ND22),0)</f>
        <v>0</v>
      </c>
      <c r="NF22" s="20" t="n">
        <f aca="false">IF(AND(HU22=1,IE22&gt;0,Slot17_IsWG=1,GB22=1),MIN(IE22,NE22),0)</f>
        <v>0</v>
      </c>
      <c r="NG22" s="20" t="n">
        <f aca="false">GC22+NF22</f>
        <v>0</v>
      </c>
      <c r="NH22" s="20" t="n">
        <f aca="false">IF(GB22=1,MAX(0,(Slot17_Cost-NG22*(1+Slot17_Rate)^(Slot17_Age-D22))/ND22),0)</f>
        <v>0</v>
      </c>
      <c r="NI22" s="20" t="n">
        <f aca="false">IF(GB22=1,MAX(0,(Slot17_Cost-GC22*(1+Slot17_Rate)^(Slot17_Age-D22))/ND22),0)</f>
        <v>0</v>
      </c>
      <c r="NJ22" s="20" t="n">
        <f aca="false">IF(AND(HU22=1,GB22=1),MIN(NC22,NH22),0)</f>
        <v>0</v>
      </c>
      <c r="NK22" s="20" t="n">
        <f aca="false">NC22-NJ22</f>
        <v>2602.98278855161</v>
      </c>
      <c r="NL22" s="20" t="n">
        <f aca="false">IF(GL22=1,IF(ABS((1+AS_Wage)/(1+Slot18_Rate)-1)&lt;0.000000000001,(Slot18_Age-D22)*(1+Slot18_Rate)^(Slot18_Age-D22),(1+Slot18_Rate)^(Slot18_Age-D22)*(1-((1+AS_Wage)/(1+Slot18_Rate))^(Slot18_Age-D22))/(1-(1+AS_Wage)/(1+Slot18_Rate))),1)</f>
        <v>1</v>
      </c>
      <c r="NM22" s="20" t="n">
        <f aca="false">IF(AND(HU22=1,IE22&gt;0,Slot18_IsWG=1,GL22=1),MAX(0,(Slot18_Cost-GM22*(1+Slot18_Rate)^(Slot18_Age-D22))/NL22),0)</f>
        <v>0</v>
      </c>
      <c r="NN22" s="20" t="n">
        <f aca="false">IF(AND(HU22=1,IE22&gt;0,Slot18_IsWG=1,GL22=1),MIN(IE22,NM22),0)</f>
        <v>0</v>
      </c>
      <c r="NO22" s="20" t="n">
        <f aca="false">GM22+NN22</f>
        <v>0</v>
      </c>
      <c r="NP22" s="20" t="n">
        <f aca="false">IF(GL22=1,MAX(0,(Slot18_Cost-NO22*(1+Slot18_Rate)^(Slot18_Age-D22))/NL22),0)</f>
        <v>0</v>
      </c>
      <c r="NQ22" s="20" t="n">
        <f aca="false">IF(GL22=1,MAX(0,(Slot18_Cost-GM22*(1+Slot18_Rate)^(Slot18_Age-D22))/NL22),0)</f>
        <v>0</v>
      </c>
      <c r="NR22" s="20" t="n">
        <f aca="false">IF(AND(HU22=1,GL22=1),MIN(NK22,NP22),0)</f>
        <v>0</v>
      </c>
      <c r="NS22" s="20" t="n">
        <f aca="false">NK22-NR22</f>
        <v>2602.98278855161</v>
      </c>
      <c r="NT22" s="20" t="n">
        <f aca="false">IF(GV22=1,IF(ABS((1+AS_Wage)/(1+Slot19_Rate)-1)&lt;0.000000000001,(Slot19_Age-D22)*(1+Slot19_Rate)^(Slot19_Age-D22),(1+Slot19_Rate)^(Slot19_Age-D22)*(1-((1+AS_Wage)/(1+Slot19_Rate))^(Slot19_Age-D22))/(1-(1+AS_Wage)/(1+Slot19_Rate))),1)</f>
        <v>1</v>
      </c>
      <c r="NU22" s="20" t="n">
        <f aca="false">IF(AND(HU22=1,IE22&gt;0,Slot19_IsWG=1,GV22=1),MAX(0,(Slot19_Cost-GW22*(1+Slot19_Rate)^(Slot19_Age-D22))/NT22),0)</f>
        <v>0</v>
      </c>
      <c r="NV22" s="20" t="n">
        <f aca="false">IF(AND(HU22=1,IE22&gt;0,Slot19_IsWG=1,GV22=1),MIN(IE22,NU22),0)</f>
        <v>0</v>
      </c>
      <c r="NW22" s="20" t="n">
        <f aca="false">GW22+NV22</f>
        <v>0</v>
      </c>
      <c r="NX22" s="20" t="n">
        <f aca="false">IF(GV22=1,MAX(0,(Slot19_Cost-NW22*(1+Slot19_Rate)^(Slot19_Age-D22))/NT22),0)</f>
        <v>0</v>
      </c>
      <c r="NY22" s="20" t="n">
        <f aca="false">IF(GV22=1,MAX(0,(Slot19_Cost-GW22*(1+Slot19_Rate)^(Slot19_Age-D22))/NT22),0)</f>
        <v>0</v>
      </c>
      <c r="NZ22" s="20" t="n">
        <f aca="false">IF(AND(HU22=1,GV22=1),MIN(NS22,NX22),0)</f>
        <v>0</v>
      </c>
      <c r="OA22" s="20" t="n">
        <f aca="false">NS22-NZ22</f>
        <v>2602.98278855161</v>
      </c>
      <c r="OB22" s="20" t="n">
        <f aca="false">IF(HF22=1,IF(ABS((1+AS_Wage)/(1+Slot20_Rate)-1)&lt;0.000000000001,(Slot20_Age-D22)*(1+Slot20_Rate)^(Slot20_Age-D22),(1+Slot20_Rate)^(Slot20_Age-D22)*(1-((1+AS_Wage)/(1+Slot20_Rate))^(Slot20_Age-D22))/(1-(1+AS_Wage)/(1+Slot20_Rate))),1)</f>
        <v>1</v>
      </c>
      <c r="OC22" s="20" t="n">
        <f aca="false">IF(AND(HU22=1,IE22&gt;0,Slot20_IsWG=1,HF22=1),MAX(0,(Slot20_Cost-HG22*(1+Slot20_Rate)^(Slot20_Age-D22))/OB22),0)</f>
        <v>0</v>
      </c>
      <c r="OD22" s="20" t="n">
        <f aca="false">IF(AND(HU22=1,IE22&gt;0,Slot20_IsWG=1,HF22=1),MIN(IE22,OC22),0)</f>
        <v>0</v>
      </c>
      <c r="OE22" s="20" t="n">
        <f aca="false">HG22+OD22</f>
        <v>0</v>
      </c>
      <c r="OF22" s="20" t="n">
        <f aca="false">IF(HF22=1,MAX(0,(Slot20_Cost-OE22*(1+Slot20_Rate)^(Slot20_Age-D22))/OB22),0)</f>
        <v>0</v>
      </c>
      <c r="OG22" s="20" t="n">
        <f aca="false">IF(HF22=1,MAX(0,(Slot20_Cost-HG22*(1+Slot20_Rate)^(Slot20_Age-D22))/OB22),0)</f>
        <v>0</v>
      </c>
      <c r="OH22" s="20" t="n">
        <f aca="false">IF(AND(HU22=1,HF22=1),MIN(OA22,OF22),0)</f>
        <v>0</v>
      </c>
      <c r="OI22" s="20" t="n">
        <f aca="false">OA22-OH22</f>
        <v>2602.98278855161</v>
      </c>
      <c r="OJ22" s="20" t="n">
        <f aca="false">IE22-(IH22+IP22+IX22+JF22+JN22+JV22+KD22+KL22+KT22+LB22+LJ22+LR22+LZ22+MH22+MP22+MX22+NF22+NN22+NV22+OD22)</f>
        <v>0</v>
      </c>
      <c r="OK22" s="20" t="n">
        <f aca="false">IF(HU22=1,HS22-ID22-IE22,0)</f>
        <v>9011.35472714587</v>
      </c>
      <c r="OL22" s="20" t="n">
        <f aca="false">IF(HU22=0,-HS22,0)</f>
        <v>0</v>
      </c>
      <c r="OM22" s="20" t="n">
        <f aca="false">MIN(OL22,HK22)</f>
        <v>0</v>
      </c>
      <c r="ON22" s="20" t="n">
        <f aca="false">OL22-OM22</f>
        <v>0</v>
      </c>
      <c r="OO22" s="20" t="n">
        <f aca="false">MIN(ON22,HL22)</f>
        <v>0</v>
      </c>
      <c r="OP22" s="20" t="n">
        <f aca="false">ON22-OO22</f>
        <v>0</v>
      </c>
      <c r="OQ22" s="20" t="n">
        <f aca="false">IF(AND(HU22=0,HF22=1,OP22&gt;0),MIN(OP22,HG22),0)</f>
        <v>0</v>
      </c>
      <c r="OR22" s="20" t="n">
        <f aca="false">OP22-OQ22</f>
        <v>0</v>
      </c>
      <c r="OS22" s="20" t="n">
        <f aca="false">IF(AND(HU22=0,GV22=1,OR22&gt;0),MIN(OR22,GW22),0)</f>
        <v>0</v>
      </c>
      <c r="OT22" s="20" t="n">
        <f aca="false">OR22-OS22</f>
        <v>0</v>
      </c>
      <c r="OU22" s="20" t="n">
        <f aca="false">IF(AND(HU22=0,GL22=1,OT22&gt;0),MIN(OT22,GM22),0)</f>
        <v>0</v>
      </c>
      <c r="OV22" s="20" t="n">
        <f aca="false">OT22-OU22</f>
        <v>0</v>
      </c>
      <c r="OW22" s="20" t="n">
        <f aca="false">IF(AND(HU22=0,GB22=1,OV22&gt;0),MIN(OV22,GC22),0)</f>
        <v>0</v>
      </c>
      <c r="OX22" s="20" t="n">
        <f aca="false">OV22-OW22</f>
        <v>0</v>
      </c>
      <c r="OY22" s="20" t="n">
        <f aca="false">IF(AND(HU22=0,FR22=1,OX22&gt;0),MIN(OX22,FS22),0)</f>
        <v>0</v>
      </c>
      <c r="OZ22" s="20" t="n">
        <f aca="false">OX22-OY22</f>
        <v>0</v>
      </c>
      <c r="PA22" s="20" t="n">
        <f aca="false">IF(AND(HU22=0,FH22=1,OZ22&gt;0),MIN(OZ22,FI22),0)</f>
        <v>0</v>
      </c>
      <c r="PB22" s="20" t="n">
        <f aca="false">OZ22-PA22</f>
        <v>0</v>
      </c>
      <c r="PC22" s="20" t="n">
        <f aca="false">IF(AND(HU22=0,EX22=1,PB22&gt;0),MIN(PB22,EY22),0)</f>
        <v>0</v>
      </c>
      <c r="PD22" s="20" t="n">
        <f aca="false">PB22-PC22</f>
        <v>0</v>
      </c>
      <c r="PE22" s="20" t="n">
        <f aca="false">IF(AND(HU22=0,EN22=1,PD22&gt;0),MIN(PD22,EO22),0)</f>
        <v>0</v>
      </c>
      <c r="PF22" s="20" t="n">
        <f aca="false">PD22-PE22</f>
        <v>0</v>
      </c>
      <c r="PG22" s="20" t="n">
        <f aca="false">IF(AND(HU22=0,ED22=1,PF22&gt;0),MIN(PF22,EE22),0)</f>
        <v>0</v>
      </c>
      <c r="PH22" s="20" t="n">
        <f aca="false">PF22-PG22</f>
        <v>0</v>
      </c>
      <c r="PI22" s="20" t="n">
        <f aca="false">IF(AND(HU22=0,DT22=1,PH22&gt;0),MIN(PH22,DU22),0)</f>
        <v>0</v>
      </c>
      <c r="PJ22" s="20" t="n">
        <f aca="false">PH22-PI22</f>
        <v>0</v>
      </c>
      <c r="PK22" s="20" t="n">
        <f aca="false">IF(AND(HU22=0,DJ22=1,PJ22&gt;0),MIN(PJ22,DK22),0)</f>
        <v>0</v>
      </c>
      <c r="PL22" s="20" t="n">
        <f aca="false">PJ22-PK22</f>
        <v>0</v>
      </c>
      <c r="PM22" s="20" t="n">
        <f aca="false">IF(AND(HU22=0,CZ22=1,PL22&gt;0),MIN(PL22,DA22),0)</f>
        <v>0</v>
      </c>
      <c r="PN22" s="20" t="n">
        <f aca="false">PL22-PM22</f>
        <v>0</v>
      </c>
      <c r="PO22" s="20" t="n">
        <f aca="false">IF(AND(HU22=0,CP22=1,PN22&gt;0),MIN(PN22,CQ22),0)</f>
        <v>0</v>
      </c>
      <c r="PP22" s="20" t="n">
        <f aca="false">PN22-PO22</f>
        <v>0</v>
      </c>
      <c r="PQ22" s="20" t="n">
        <f aca="false">IF(AND(HU22=0,CF22=1,PP22&gt;0),MIN(PP22,CG22),0)</f>
        <v>0</v>
      </c>
      <c r="PR22" s="20" t="n">
        <f aca="false">PP22-PQ22</f>
        <v>0</v>
      </c>
      <c r="PS22" s="20" t="n">
        <f aca="false">IF(AND(HU22=0,BV22=1,PR22&gt;0),MIN(PR22,BW22),0)</f>
        <v>0</v>
      </c>
      <c r="PT22" s="20" t="n">
        <f aca="false">PR22-PS22</f>
        <v>0</v>
      </c>
      <c r="PU22" s="20" t="n">
        <f aca="false">IF(AND(HU22=0,BL22=1,PT22&gt;0),MIN(PT22,BM22),0)</f>
        <v>0</v>
      </c>
      <c r="PV22" s="20" t="n">
        <f aca="false">PT22-PU22</f>
        <v>0</v>
      </c>
      <c r="PW22" s="20" t="n">
        <f aca="false">IF(AND(HU22=0,BB22=1,PV22&gt;0),MIN(PV22,BC22),0)</f>
        <v>0</v>
      </c>
      <c r="PX22" s="20" t="n">
        <f aca="false">PV22-PW22</f>
        <v>0</v>
      </c>
      <c r="PY22" s="20" t="n">
        <f aca="false">IF(AND(HU22=0,AR22=1,PX22&gt;0),MIN(PX22,AS22),0)</f>
        <v>0</v>
      </c>
      <c r="PZ22" s="20" t="n">
        <f aca="false">PX22-PY22</f>
        <v>0</v>
      </c>
      <c r="QA22" s="20" t="n">
        <f aca="false">IF(AND(HU22=0,AH22=1,PZ22&gt;0),MIN(PZ22,AI22),0)</f>
        <v>0</v>
      </c>
      <c r="QB22" s="20" t="n">
        <f aca="false">PZ22-QA22</f>
        <v>0</v>
      </c>
      <c r="QC22" s="20" t="n">
        <f aca="false">IF(AND(HU22=0,W22=1,QB22&gt;0),MIN(QB22,X22),0)</f>
        <v>0</v>
      </c>
      <c r="QD22" s="20" t="n">
        <f aca="false">QB22-QC22</f>
        <v>0</v>
      </c>
      <c r="QE22" s="20" t="n">
        <f aca="false">IF(HU22=0,QD22,0)</f>
        <v>0</v>
      </c>
      <c r="QF22" s="20" t="n">
        <f aca="false">OM22+OO22+QC22+QA22+PY22+PW22+PU22+PS22+PQ22+PO22+PM22+PK22+PI22+PG22+PE22+PC22+PA22+OY22+OW22+OU22+OS22+OQ22</f>
        <v>0</v>
      </c>
      <c r="QG22" s="20" t="n">
        <f aca="false">IF(HU22=1,HK22+OJ22+OI22+IF(G22=1,0,OK22),HK22-OM22)</f>
        <v>10883.1597066972</v>
      </c>
      <c r="QH22" s="20" t="n">
        <f aca="false">HL22-OO22</f>
        <v>17585.2314202395</v>
      </c>
      <c r="QI22" s="20" t="n">
        <f aca="false">IF(HU22=1,IF(G22=1,ID22+IE22,HS22),0)</f>
        <v>7916.87257837723</v>
      </c>
      <c r="QJ22" s="20" t="n">
        <f aca="false">IF(HU22=1,IF(G22=1,HS22-ID22-IE22,0),0)</f>
        <v>9011.35472714587</v>
      </c>
      <c r="QK22" s="20" t="n">
        <f aca="false">QG22*(1+GR)</f>
        <v>11061.643525887</v>
      </c>
      <c r="QL22" s="20" t="n">
        <f aca="false">QH22*(1+AS_Cash)</f>
        <v>17761.0837344419</v>
      </c>
      <c r="QM22" s="20" t="n">
        <f aca="false">IF(W22=1,IF(HU22=1,II22+IL22,X22-QC22)*(1+Slot1_Rate),0)</f>
        <v>0</v>
      </c>
      <c r="QN22" s="20" t="n">
        <f aca="false">IF(AND(HU22=1,W22=1),(IH22+IL22)/F22,0)</f>
        <v>0</v>
      </c>
      <c r="QO22" s="20" t="n">
        <f aca="false">IF(B22=0,IH22+IL22,0)</f>
        <v>0</v>
      </c>
      <c r="QP22" s="20" t="n">
        <f aca="false">IF(B22=0,IF(HU22=1,IJ22,IK22),0)</f>
        <v>0</v>
      </c>
      <c r="QQ22" s="20" t="n">
        <f aca="false">IF(AH22=1,IF(HU22=1,IQ22+IT22,AI22-QA22)*(1+Slot2_Rate),0)</f>
        <v>0</v>
      </c>
      <c r="QR22" s="20" t="n">
        <f aca="false">IF(AND(HU22=1,AH22=1),(IP22+IT22)/F22,0)</f>
        <v>0</v>
      </c>
      <c r="QS22" s="20" t="n">
        <f aca="false">IF(B22=0,IP22+IT22,0)</f>
        <v>0</v>
      </c>
      <c r="QT22" s="20" t="n">
        <f aca="false">IF(B22=0,IF(HU22=1,IR22,IS22),0)</f>
        <v>0</v>
      </c>
      <c r="QU22" s="20" t="n">
        <f aca="false">IF(AR22=1,IF(HU22=1,IY22+JB22,AS22-PY22)*(1+Slot3_Rate),0)</f>
        <v>0</v>
      </c>
      <c r="QV22" s="20" t="n">
        <f aca="false">IF(AND(HU22=1,AR22=1),(IX22+JB22)/F22,0)</f>
        <v>0</v>
      </c>
      <c r="QW22" s="20" t="n">
        <f aca="false">IF(B22=0,IX22+JB22,0)</f>
        <v>0</v>
      </c>
      <c r="QX22" s="20" t="n">
        <f aca="false">IF(B22=0,IF(HU22=1,IZ22,JA22),0)</f>
        <v>0</v>
      </c>
      <c r="QY22" s="20" t="n">
        <f aca="false">IF(BB22=1,IF(HU22=1,JG22+JJ22,BC22-PW22)*(1+Slot4_Rate),0)</f>
        <v>27049.3451463966</v>
      </c>
      <c r="QZ22" s="20" t="n">
        <f aca="false">IF(AND(HU22=1,BB22=1),(JF22+JJ22)/F22,0)</f>
        <v>4027.26435512355</v>
      </c>
      <c r="RA22" s="20" t="n">
        <f aca="false">IF(B22=0,JF22+JJ22,0)</f>
        <v>0</v>
      </c>
      <c r="RB22" s="20" t="n">
        <f aca="false">IF(B22=0,IF(HU22=1,JH22,JI22),0)</f>
        <v>0</v>
      </c>
      <c r="RC22" s="20" t="n">
        <f aca="false">IF(BL22=1,IF(HU22=1,JO22+JR22,BM22-PU22)*(1+Slot5_Rate),0)</f>
        <v>0</v>
      </c>
      <c r="RD22" s="20" t="n">
        <f aca="false">IF(AND(HU22=1,BL22=1),(JN22+JR22)/F22,0)</f>
        <v>0</v>
      </c>
      <c r="RE22" s="20" t="n">
        <f aca="false">IF(B22=0,JN22+JR22,0)</f>
        <v>0</v>
      </c>
      <c r="RF22" s="20" t="n">
        <f aca="false">IF(B22=0,IF(HU22=1,JP22,JQ22),0)</f>
        <v>0</v>
      </c>
      <c r="RG22" s="20" t="n">
        <f aca="false">IF(BV22=1,IF(HU22=1,JW22+JZ22,BW22-PS22)*(1+Slot6_Rate),0)</f>
        <v>0</v>
      </c>
      <c r="RH22" s="20" t="n">
        <f aca="false">IF(AND(HU22=1,BV22=1),(JV22+JZ22)/F22,0)</f>
        <v>0</v>
      </c>
      <c r="RI22" s="20" t="n">
        <f aca="false">IF(B22=0,JV22+JZ22,0)</f>
        <v>0</v>
      </c>
      <c r="RJ22" s="20" t="n">
        <f aca="false">IF(B22=0,IF(HU22=1,JX22,JY22),0)</f>
        <v>0</v>
      </c>
      <c r="RK22" s="20" t="n">
        <f aca="false">IF(CF22=1,IF(HU22=1,KE22+KH22,CG22-PQ22)*(1+Slot7_Rate),0)</f>
        <v>0</v>
      </c>
      <c r="RL22" s="20" t="n">
        <f aca="false">IF(AND(HU22=1,CF22=1),(KD22+KH22)/F22,0)</f>
        <v>0</v>
      </c>
      <c r="RM22" s="20" t="n">
        <f aca="false">IF(B22=0,KD22+KH22,0)</f>
        <v>0</v>
      </c>
      <c r="RN22" s="20" t="n">
        <f aca="false">IF(B22=0,IF(HU22=1,KF22,KG22),0)</f>
        <v>0</v>
      </c>
      <c r="RO22" s="20" t="n">
        <f aca="false">IF(CP22=1,IF(HU22=1,KM22+KP22,CQ22-PO22)*(1+Slot8_Rate),0)</f>
        <v>0</v>
      </c>
      <c r="RP22" s="20" t="n">
        <f aca="false">IF(AND(HU22=1,CP22=1),(KL22+KP22)/F22,0)</f>
        <v>0</v>
      </c>
      <c r="RQ22" s="20" t="n">
        <f aca="false">IF(B22=0,KL22+KP22,0)</f>
        <v>0</v>
      </c>
      <c r="RR22" s="20" t="n">
        <f aca="false">IF(B22=0,IF(HU22=1,KN22,KO22),0)</f>
        <v>0</v>
      </c>
      <c r="RS22" s="20" t="n">
        <f aca="false">IF(CZ22=1,IF(HU22=1,KU22+KX22,DA22-PM22)*(1+Slot9_Rate),0)</f>
        <v>0</v>
      </c>
      <c r="RT22" s="20" t="n">
        <f aca="false">IF(AND(HU22=1,CZ22=1),(KT22+KX22)/F22,0)</f>
        <v>0</v>
      </c>
      <c r="RU22" s="20" t="n">
        <f aca="false">IF(B22=0,KT22+KX22,0)</f>
        <v>0</v>
      </c>
      <c r="RV22" s="20" t="n">
        <f aca="false">IF(B22=0,IF(HU22=1,KV22,KW22),0)</f>
        <v>0</v>
      </c>
      <c r="RW22" s="20" t="n">
        <f aca="false">IF(DJ22=1,IF(HU22=1,LC22+LF22,DK22-PK22)*(1+Slot10_Rate),0)</f>
        <v>0</v>
      </c>
      <c r="RX22" s="20" t="n">
        <f aca="false">IF(AND(HU22=1,DJ22=1),(LB22+LF22)/F22,0)</f>
        <v>0</v>
      </c>
      <c r="RY22" s="20" t="n">
        <f aca="false">IF(B22=0,LB22+LF22,0)</f>
        <v>0</v>
      </c>
      <c r="RZ22" s="20" t="n">
        <f aca="false">IF(B22=0,IF(HU22=1,LD22,LE22),0)</f>
        <v>0</v>
      </c>
      <c r="SA22" s="20" t="n">
        <f aca="false">IF(DT22=1,IF(HU22=1,LK22+LN22,DU22-PI22)*(1+Slot11_Rate),0)</f>
        <v>0</v>
      </c>
      <c r="SB22" s="20" t="n">
        <f aca="false">IF(AND(HU22=1,DT22=1),(LJ22+LN22)/F22,0)</f>
        <v>0</v>
      </c>
      <c r="SC22" s="20" t="n">
        <f aca="false">IF(B22=0,LJ22+LN22,0)</f>
        <v>0</v>
      </c>
      <c r="SD22" s="20" t="n">
        <f aca="false">IF(B22=0,IF(HU22=1,LL22,LM22),0)</f>
        <v>0</v>
      </c>
      <c r="SE22" s="20" t="n">
        <f aca="false">IF(ED22=1,IF(HU22=1,LS22+LV22,EE22-PG22)*(1+Slot12_Rate),0)</f>
        <v>0</v>
      </c>
      <c r="SF22" s="20" t="n">
        <f aca="false">IF(AND(HU22=1,ED22=1),(LR22+LV22)/F22,0)</f>
        <v>0</v>
      </c>
      <c r="SG22" s="20" t="n">
        <f aca="false">IF(B22=0,LR22+LV22,0)</f>
        <v>0</v>
      </c>
      <c r="SH22" s="20" t="n">
        <f aca="false">IF(B22=0,IF(HU22=1,LT22,LU22),0)</f>
        <v>0</v>
      </c>
      <c r="SI22" s="20" t="n">
        <f aca="false">IF(EN22=1,IF(HU22=1,MA22+MD22,EO22-PE22)*(1+Slot13_Rate),0)</f>
        <v>0</v>
      </c>
      <c r="SJ22" s="20" t="n">
        <f aca="false">IF(AND(HU22=1,EN22=1),(LZ22+MD22)/F22,0)</f>
        <v>0</v>
      </c>
      <c r="SK22" s="20" t="n">
        <f aca="false">IF(B22=0,LZ22+MD22,0)</f>
        <v>0</v>
      </c>
      <c r="SL22" s="20" t="n">
        <f aca="false">IF(B22=0,IF(HU22=1,MB22,MC22),0)</f>
        <v>0</v>
      </c>
      <c r="SM22" s="20" t="n">
        <f aca="false">IF(EX22=1,IF(HU22=1,MI22+ML22,EY22-PC22)*(1+Slot14_Rate),0)</f>
        <v>0</v>
      </c>
      <c r="SN22" s="20" t="n">
        <f aca="false">IF(AND(HU22=1,EX22=1),(MH22+ML22)/F22,0)</f>
        <v>0</v>
      </c>
      <c r="SO22" s="20" t="n">
        <f aca="false">IF(B22=0,MH22+ML22,0)</f>
        <v>0</v>
      </c>
      <c r="SP22" s="20" t="n">
        <f aca="false">IF(B22=0,IF(HU22=1,MJ22,MK22),0)</f>
        <v>0</v>
      </c>
      <c r="SQ22" s="20" t="n">
        <f aca="false">IF(FH22=1,IF(HU22=1,MQ22+MT22,FI22-PA22)*(1+Slot15_Rate),0)</f>
        <v>0</v>
      </c>
      <c r="SR22" s="20" t="n">
        <f aca="false">IF(AND(HU22=1,FH22=1),(MP22+MT22)/F22,0)</f>
        <v>0</v>
      </c>
      <c r="SS22" s="20" t="n">
        <f aca="false">IF(B22=0,MP22+MT22,0)</f>
        <v>0</v>
      </c>
      <c r="ST22" s="20" t="n">
        <f aca="false">IF(B22=0,IF(HU22=1,MR22,MS22),0)</f>
        <v>0</v>
      </c>
      <c r="SU22" s="20" t="n">
        <f aca="false">IF(FR22=1,IF(HU22=1,MY22+NB22,FS22-OY22)*(1+Slot16_Rate),0)</f>
        <v>0</v>
      </c>
      <c r="SV22" s="20" t="n">
        <f aca="false">IF(AND(HU22=1,FR22=1),(MX22+NB22)/F22,0)</f>
        <v>0</v>
      </c>
      <c r="SW22" s="20" t="n">
        <f aca="false">IF(B22=0,MX22+NB22,0)</f>
        <v>0</v>
      </c>
      <c r="SX22" s="20" t="n">
        <f aca="false">IF(B22=0,IF(HU22=1,MZ22,NA22),0)</f>
        <v>0</v>
      </c>
      <c r="SY22" s="20" t="n">
        <f aca="false">IF(GB22=1,IF(HU22=1,NG22+NJ22,GC22-OW22)*(1+Slot17_Rate),0)</f>
        <v>0</v>
      </c>
      <c r="SZ22" s="20" t="n">
        <f aca="false">IF(AND(HU22=1,GB22=1),(NF22+NJ22)/F22,0)</f>
        <v>0</v>
      </c>
      <c r="TA22" s="20" t="n">
        <f aca="false">IF(B22=0,NF22+NJ22,0)</f>
        <v>0</v>
      </c>
      <c r="TB22" s="20" t="n">
        <f aca="false">IF(B22=0,IF(HU22=1,NH22,NI22),0)</f>
        <v>0</v>
      </c>
      <c r="TC22" s="20" t="n">
        <f aca="false">IF(GL22=1,IF(HU22=1,NO22+NR22,GM22-OU22)*(1+Slot18_Rate),0)</f>
        <v>0</v>
      </c>
      <c r="TD22" s="20" t="n">
        <f aca="false">IF(AND(HU22=1,GL22=1),(NN22+NR22)/F22,0)</f>
        <v>0</v>
      </c>
      <c r="TE22" s="20" t="n">
        <f aca="false">IF(B22=0,NN22+NR22,0)</f>
        <v>0</v>
      </c>
      <c r="TF22" s="20" t="n">
        <f aca="false">IF(B22=0,IF(HU22=1,NP22,NQ22),0)</f>
        <v>0</v>
      </c>
      <c r="TG22" s="20" t="n">
        <f aca="false">IF(GV22=1,IF(HU22=1,NW22+NZ22,GW22-OS22)*(1+Slot19_Rate),0)</f>
        <v>0</v>
      </c>
      <c r="TH22" s="20" t="n">
        <f aca="false">IF(AND(HU22=1,GV22=1),(NV22+NZ22)/F22,0)</f>
        <v>0</v>
      </c>
      <c r="TI22" s="20" t="n">
        <f aca="false">IF(B22=0,NV22+NZ22,0)</f>
        <v>0</v>
      </c>
      <c r="TJ22" s="20" t="n">
        <f aca="false">IF(B22=0,IF(HU22=1,NX22,NY22),0)</f>
        <v>0</v>
      </c>
      <c r="TK22" s="20" t="n">
        <f aca="false">IF(HF22=1,IF(HU22=1,OE22+OH22,HG22-OQ22)*(1+Slot20_Rate),0)</f>
        <v>0</v>
      </c>
      <c r="TL22" s="20" t="n">
        <f aca="false">IF(AND(HU22=1,HF22=1),(OD22+OH22)/F22,0)</f>
        <v>0</v>
      </c>
      <c r="TM22" s="20" t="n">
        <f aca="false">IF(B22=0,OD22+OH22,0)</f>
        <v>0</v>
      </c>
      <c r="TN22" s="20" t="n">
        <f aca="false">IF(B22=0,IF(HU22=1,OF22,OG22),0)</f>
        <v>0</v>
      </c>
      <c r="TO22" s="20" t="n">
        <f aca="false">QK22+QL22+QM22+QQ22+QU22+QY22+RC22+RG22+RK22+RO22+RS22+RW22+SA22+SE22+SI22+SM22+SQ22+SU22+SY22+TC22+TG22+TK22</f>
        <v>55872.0724067255</v>
      </c>
      <c r="TP22" s="20" t="n">
        <f aca="false">QE22+HP22</f>
        <v>0</v>
      </c>
      <c r="TQ22" s="20" t="n">
        <f aca="false">I22+S22</f>
        <v>73536.5443378293</v>
      </c>
      <c r="TR22" s="20" t="n">
        <f aca="false">1-G22</f>
        <v>0</v>
      </c>
      <c r="TS22" s="20" t="n">
        <f aca="false">IF(AND(RG_Exists=1,G22=0,C22=1),I22,0)</f>
        <v>0</v>
      </c>
      <c r="TT22" s="20" t="n">
        <f aca="false">IF(AND(RG_Exists=1,G22=0,C22=1),I22-MIN(QE22,I22),0)</f>
        <v>0</v>
      </c>
      <c r="TU22" s="20" t="n">
        <f aca="false">'Plan pay &amp; tax'!AD248</f>
        <v>296303.386922565</v>
      </c>
      <c r="TV22" s="20" t="n">
        <f aca="false">IF(AND(C22=1,QE22&gt;MAX(PR_Short1,TQ22*PR_Short2)),1,0)</f>
        <v>0</v>
      </c>
      <c r="TW22" s="20" t="n">
        <f aca="false">MIN(H22,I22+S22)</f>
        <v>73536.5443378293</v>
      </c>
      <c r="TX22" s="20" t="n">
        <f aca="false">QF22+MAX(0,HQ22-HP22)</f>
        <v>0</v>
      </c>
      <c r="TY22" s="20" t="n">
        <f aca="false">QE22+HP22</f>
        <v>0</v>
      </c>
      <c r="TZ22" s="20" t="n">
        <f aca="false">IF(AND(C22=1,TY22&gt;PR_MinShort),1,0)</f>
        <v>0</v>
      </c>
      <c r="UA22" s="20" t="n">
        <f aca="false">IF(AND(C22=1,TZ22=0,TX22&gt;PR_MinShort),1,0)</f>
        <v>0</v>
      </c>
      <c r="UB22" s="20" t="n">
        <f aca="false">IF(AND(C22=1,QE22&gt;PR_MinShort),1,0)</f>
        <v>0</v>
      </c>
      <c r="UC22" s="20" t="n">
        <f aca="false">IF(AND(C22=1,QF22&gt;1,UJ22=0),1,0)</f>
        <v>0</v>
      </c>
      <c r="UD22" s="20" t="str">
        <f aca="false">IF(C22=0,"",IF(UJ22=1,"Gap to plan for: short "&amp;"€"&amp;TEXT(ROUND(TP22,0),"#,##0"),IF(QF22&gt;1,"Using savings","Comfortable")))</f>
        <v>Comfortable</v>
      </c>
      <c r="UE22" s="20" t="n">
        <f aca="false">IF(AND(INT(D22/10)*10=90,B22&gt;0),80,INT(D22/10)*10)</f>
        <v>50</v>
      </c>
      <c r="UF22" s="20" t="n">
        <f aca="false">IF(B22=0,1,IF(UE22&lt;&gt;UE21,UF21+1,UF21))</f>
        <v>3</v>
      </c>
      <c r="UG22" s="20" t="n">
        <f aca="false">IF(AND(C22=1,G22=1,QE22&gt;MAX(PR_Short1,TQ22*PR_Short2)),1,0)</f>
        <v>0</v>
      </c>
      <c r="UH22" s="20" t="n">
        <f aca="false">TR22*TV22</f>
        <v>0</v>
      </c>
      <c r="UI22" s="20" t="n">
        <f aca="false">IF(AND(V22=1,Slot1_PctLow=1),1,0)+IF(AND(AG22=1,Slot2_PctLow=1),1,0)+IF(AND(AQ22=1,Slot3_PctLow=1),1,0)+IF(AND(BA22=1,Slot4_PctLow=1),1,0)+IF(AND(BK22=1,Slot5_PctLow=1),1,0)+IF(AND(BU22=1,Slot6_PctLow=1),1,0)+IF(AND(CE22=1,Slot7_PctLow=1),1,0)+IF(AND(CO22=1,Slot8_PctLow=1),1,0)+IF(AND(CY22=1,Slot9_PctLow=1),1,0)+IF(AND(DI22=1,Slot10_PctLow=1),1,0)+IF(AND(DS22=1,Slot11_PctLow=1),1,0)+IF(AND(EC22=1,Slot12_PctLow=1),1,0)+IF(AND(EM22=1,Slot13_PctLow=1),1,0)+IF(AND(EW22=1,Slot14_PctLow=1),1,0)+IF(AND(FG22=1,Slot15_PctLow=1),1,0)+IF(AND(FQ22=1,Slot16_PctLow=1),1,0)+IF(AND(GA22=1,Slot17_PctLow=1),1,0)+IF(AND(GK22=1,Slot18_PctLow=1),1,0)+IF(AND(GU22=1,Slot19_PctLow=1),1,0)+IF(AND(HE22=1,Slot20_PctLow=1),1,0)</f>
        <v>0</v>
      </c>
      <c r="UJ22" s="20" t="n">
        <f aca="false">IF(C22=1,IF(OR(TV22=1,UI22&gt;0),1,0),0)</f>
        <v>0</v>
      </c>
    </row>
    <row r="23" customFormat="false" ht="15" hidden="false" customHeight="true" outlineLevel="0" collapsed="false">
      <c r="B23" s="20" t="n">
        <v>15</v>
      </c>
      <c r="C23" s="20" t="n">
        <f aca="false">IF(B23&lt;=F_N,1,0)</f>
        <v>1</v>
      </c>
      <c r="D23" s="20" t="n">
        <f aca="false">'Plan pay &amp; tax'!C249</f>
        <v>53</v>
      </c>
      <c r="E23" s="20" t="str">
        <f aca="false">IF($C23=1,"Income tax "&amp;TEXT(N('Plan pay &amp; tax'!BK249),"#,##0")&amp;"; USC "&amp;TEXT(N('Plan pay &amp; tax'!BM249)+N('Plan pay &amp; tax'!BO249),"#,##0")&amp;"; PRSI "&amp;TEXT(N('Plan pay &amp; tax'!BP249)+N('Plan pay &amp; tax'!BQ249),"#,##0")&amp;". DIRT and exit tax are inside the growth rates here.","")</f>
        <v>Income tax 13,705; USC 1,876; PRSI 4,353. DIRT and exit tax are inside the growth rates here.</v>
      </c>
      <c r="F23" s="44" t="n">
        <f aca="false">'Plan pay &amp; tax'!E249</f>
        <v>1.34586833832413</v>
      </c>
      <c r="G23" s="20" t="n">
        <f aca="false">'Plan pay &amp; tax'!G249</f>
        <v>1</v>
      </c>
      <c r="H23" s="20" t="n">
        <f aca="false">'Plan pay &amp; tax'!BT249-'Plan pay &amp; tax'!BS249-'Plan pay &amp; tax'!R249</f>
        <v>92948.5005827378</v>
      </c>
      <c r="I23" s="20" t="n">
        <f aca="false">IF(G23=1,F_CostsM*12,IF(RG_Exists=1,RG_Amount,F_CostsM*12*AS_RetireSpend))*F23+F_OneOffY*F23</f>
        <v>60564.0752245858</v>
      </c>
      <c r="J23" s="20" t="n">
        <f aca="false">HR22</f>
        <v>75719.1166913375</v>
      </c>
      <c r="K23" s="20" t="n">
        <f aca="false">IF(J23&gt;1,'Plan debt months'!AC23,0)</f>
        <v>14160</v>
      </c>
      <c r="L23" s="20" t="n">
        <f aca="false">IF(J23&gt;1,'Plan debt months'!AB23,J23)</f>
        <v>64273.7411370787</v>
      </c>
      <c r="M23" s="20" t="n">
        <f aca="false">O22</f>
        <v>0</v>
      </c>
      <c r="N23" s="20" t="n">
        <f aca="false">IF(M23&gt;1,'Plan debt months'!BD23,0)</f>
        <v>0</v>
      </c>
      <c r="O23" s="20" t="n">
        <f aca="false">IF(M23&gt;1,'Plan debt months'!BC23,M23)</f>
        <v>0</v>
      </c>
      <c r="P23" s="20" t="n">
        <f aca="false">R22</f>
        <v>0</v>
      </c>
      <c r="Q23" s="20" t="n">
        <f aca="false">IF(P23&gt;1,'Plan debt months'!CE23,0)</f>
        <v>0</v>
      </c>
      <c r="R23" s="20" t="n">
        <f aca="false">IF(P23&gt;1,'Plan debt months'!CD23,P23)</f>
        <v>0</v>
      </c>
      <c r="S23" s="20" t="n">
        <f aca="false">K23+N23+Q23</f>
        <v>14160</v>
      </c>
      <c r="T23" s="20" t="n">
        <f aca="false">QK22+'Plan pay &amp; tax'!Y249</f>
        <v>11061.643525887</v>
      </c>
      <c r="U23" s="20" t="n">
        <f aca="false">QK22</f>
        <v>11061.643525887</v>
      </c>
      <c r="V23" s="20" t="n">
        <f aca="false">IF(AND(Slot1_On=1,D23=Slot1_Age),1,0)</f>
        <v>0</v>
      </c>
      <c r="W23" s="20" t="n">
        <f aca="false">IF(AND(Slot1_On=1,Slot1_Age&gt;D23),1,0)</f>
        <v>0</v>
      </c>
      <c r="X23" s="20" t="n">
        <f aca="false">QM22</f>
        <v>0</v>
      </c>
      <c r="Y23" s="20" t="n">
        <f aca="false">V23*MIN(Slot1_Cost,X23)</f>
        <v>0</v>
      </c>
      <c r="Z23" s="20" t="n">
        <f aca="false">V23*Slot1_SpendLike*MIN(Slot1_Cost-Y23,T23)</f>
        <v>0</v>
      </c>
      <c r="AA23" s="20" t="n">
        <f aca="false">Y23+Z23</f>
        <v>0</v>
      </c>
      <c r="AB23" s="20" t="n">
        <f aca="false">T23-Z23+V23*IF(Slot1_SpendLike=1,X23-Y23,IF(Slot1_PotFree=1,X23,0))</f>
        <v>11061.643525887</v>
      </c>
      <c r="AC23" s="20" t="n">
        <f aca="false">AF23+V23*Slot1_BufPot*X23</f>
        <v>17761.0837344419</v>
      </c>
      <c r="AD23" s="20" t="n">
        <f aca="false">IF(AND(V23=1,Slot1_IsMfree=1),IF(AA23&gt;=Slot1_Cost-1,0,MAX(0,L23-AA23)),L23)</f>
        <v>64273.7411370787</v>
      </c>
      <c r="AE23" s="20" t="n">
        <f aca="false">V23*(Slot1_Cost-AA23)</f>
        <v>0</v>
      </c>
      <c r="AF23" s="20" t="n">
        <f aca="false">QL22</f>
        <v>17761.0837344419</v>
      </c>
      <c r="AG23" s="20" t="n">
        <f aca="false">IF(AND(Slot2_On=1,D23=Slot2_Age),1,0)</f>
        <v>0</v>
      </c>
      <c r="AH23" s="20" t="n">
        <f aca="false">IF(AND(Slot2_On=1,Slot2_Age&gt;D23),1,0)</f>
        <v>0</v>
      </c>
      <c r="AI23" s="20" t="n">
        <f aca="false">QQ22</f>
        <v>0</v>
      </c>
      <c r="AJ23" s="20" t="n">
        <f aca="false">AG23*MIN(Slot2_Cost,AI23)</f>
        <v>0</v>
      </c>
      <c r="AK23" s="20" t="n">
        <f aca="false">AG23*Slot2_SpendLike*MIN(Slot2_Cost-AJ23,AB23)</f>
        <v>0</v>
      </c>
      <c r="AL23" s="20" t="n">
        <f aca="false">AJ23+AK23</f>
        <v>0</v>
      </c>
      <c r="AM23" s="20" t="n">
        <f aca="false">AB23-AK23+AG23*IF(Slot2_SpendLike=1,AI23-AJ23,IF(Slot2_PotFree=1,AI23,0))</f>
        <v>11061.643525887</v>
      </c>
      <c r="AN23" s="20" t="n">
        <f aca="false">AC23+AG23*Slot2_BufPot*AI23</f>
        <v>17761.0837344419</v>
      </c>
      <c r="AO23" s="20" t="n">
        <f aca="false">IF(AND(AG23=1,Slot2_IsMfree=1),IF(AL23&gt;=Slot2_Cost-1,0,MAX(0,AD23-AL23)),AD23)</f>
        <v>64273.7411370787</v>
      </c>
      <c r="AP23" s="20" t="n">
        <f aca="false">AG23*(Slot2_Cost-AL23)</f>
        <v>0</v>
      </c>
      <c r="AQ23" s="20" t="n">
        <f aca="false">IF(AND(Slot3_On=1,D23=Slot3_Age),1,0)</f>
        <v>0</v>
      </c>
      <c r="AR23" s="20" t="n">
        <f aca="false">IF(AND(Slot3_On=1,Slot3_Age&gt;D23),1,0)</f>
        <v>0</v>
      </c>
      <c r="AS23" s="20" t="n">
        <f aca="false">QU22</f>
        <v>0</v>
      </c>
      <c r="AT23" s="20" t="n">
        <f aca="false">AQ23*MIN(Slot3_Cost,AS23)</f>
        <v>0</v>
      </c>
      <c r="AU23" s="20" t="n">
        <f aca="false">AQ23*Slot3_SpendLike*MIN(Slot3_Cost-AT23,AM23)</f>
        <v>0</v>
      </c>
      <c r="AV23" s="20" t="n">
        <f aca="false">AT23+AU23</f>
        <v>0</v>
      </c>
      <c r="AW23" s="20" t="n">
        <f aca="false">AM23-AU23+AQ23*IF(Slot3_SpendLike=1,AS23-AT23,IF(Slot3_PotFree=1,AS23,0))</f>
        <v>11061.643525887</v>
      </c>
      <c r="AX23" s="20" t="n">
        <f aca="false">AN23+AQ23*Slot3_BufPot*AS23</f>
        <v>17761.0837344419</v>
      </c>
      <c r="AY23" s="20" t="n">
        <f aca="false">IF(AND(AQ23=1,Slot3_IsMfree=1),IF(AV23&gt;=Slot3_Cost-1,0,MAX(0,AO23-AV23)),AO23)</f>
        <v>64273.7411370787</v>
      </c>
      <c r="AZ23" s="20" t="n">
        <f aca="false">AQ23*(Slot3_Cost-AV23)</f>
        <v>0</v>
      </c>
      <c r="BA23" s="20" t="n">
        <f aca="false">IF(AND(Slot4_On=1,D23=Slot4_Age),1,0)</f>
        <v>0</v>
      </c>
      <c r="BB23" s="20" t="n">
        <f aca="false">IF(AND(Slot4_On=1,Slot4_Age&gt;D23),1,0)</f>
        <v>1</v>
      </c>
      <c r="BC23" s="20" t="n">
        <f aca="false">QY22</f>
        <v>27049.3451463966</v>
      </c>
      <c r="BD23" s="20" t="n">
        <f aca="false">BA23*MIN(Slot4_Cost,BC23)</f>
        <v>0</v>
      </c>
      <c r="BE23" s="20" t="n">
        <f aca="false">BA23*Slot4_SpendLike*MIN(Slot4_Cost-BD23,AW23)</f>
        <v>0</v>
      </c>
      <c r="BF23" s="20" t="n">
        <f aca="false">BD23+BE23</f>
        <v>0</v>
      </c>
      <c r="BG23" s="20" t="n">
        <f aca="false">AW23-BE23+BA23*IF(Slot4_SpendLike=1,BC23-BD23,IF(Slot4_PotFree=1,BC23,0))</f>
        <v>11061.643525887</v>
      </c>
      <c r="BH23" s="20" t="n">
        <f aca="false">AX23+BA23*Slot4_BufPot*BC23</f>
        <v>17761.0837344419</v>
      </c>
      <c r="BI23" s="20" t="n">
        <f aca="false">IF(AND(BA23=1,Slot4_IsMfree=1),IF(BF23&gt;=Slot4_Cost-1,0,MAX(0,AY23-BF23)),AY23)</f>
        <v>64273.7411370787</v>
      </c>
      <c r="BJ23" s="20" t="n">
        <f aca="false">BA23*(Slot4_Cost-BF23)</f>
        <v>0</v>
      </c>
      <c r="BK23" s="20" t="n">
        <f aca="false">IF(AND(Slot5_On=1,D23=Slot5_Age),1,0)</f>
        <v>0</v>
      </c>
      <c r="BL23" s="20" t="n">
        <f aca="false">IF(AND(Slot5_On=1,Slot5_Age&gt;D23),1,0)</f>
        <v>0</v>
      </c>
      <c r="BM23" s="20" t="n">
        <f aca="false">RC22</f>
        <v>0</v>
      </c>
      <c r="BN23" s="20" t="n">
        <f aca="false">BK23*MIN(Slot5_Cost,BM23)</f>
        <v>0</v>
      </c>
      <c r="BO23" s="20" t="n">
        <f aca="false">BK23*Slot5_SpendLike*MIN(Slot5_Cost-BN23,BG23)</f>
        <v>0</v>
      </c>
      <c r="BP23" s="20" t="n">
        <f aca="false">BN23+BO23</f>
        <v>0</v>
      </c>
      <c r="BQ23" s="20" t="n">
        <f aca="false">BG23-BO23+BK23*IF(Slot5_SpendLike=1,BM23-BN23,IF(Slot5_PotFree=1,BM23,0))</f>
        <v>11061.643525887</v>
      </c>
      <c r="BR23" s="20" t="n">
        <f aca="false">BH23+BK23*Slot5_BufPot*BM23</f>
        <v>17761.0837344419</v>
      </c>
      <c r="BS23" s="20" t="n">
        <f aca="false">IF(AND(BK23=1,Slot5_IsMfree=1),IF(BP23&gt;=Slot5_Cost-1,0,MAX(0,BI23-BP23)),BI23)</f>
        <v>64273.7411370787</v>
      </c>
      <c r="BT23" s="20" t="n">
        <f aca="false">BK23*(Slot5_Cost-BP23)</f>
        <v>0</v>
      </c>
      <c r="BU23" s="20" t="n">
        <f aca="false">IF(AND(Slot6_On=1,D23=Slot6_Age),1,0)</f>
        <v>0</v>
      </c>
      <c r="BV23" s="20" t="n">
        <f aca="false">IF(AND(Slot6_On=1,Slot6_Age&gt;D23),1,0)</f>
        <v>0</v>
      </c>
      <c r="BW23" s="20" t="n">
        <f aca="false">RG22</f>
        <v>0</v>
      </c>
      <c r="BX23" s="20" t="n">
        <f aca="false">BU23*MIN(Slot6_Cost,BW23)</f>
        <v>0</v>
      </c>
      <c r="BY23" s="20" t="n">
        <f aca="false">BU23*Slot6_SpendLike*MIN(Slot6_Cost-BX23,BQ23)</f>
        <v>0</v>
      </c>
      <c r="BZ23" s="20" t="n">
        <f aca="false">BX23+BY23</f>
        <v>0</v>
      </c>
      <c r="CA23" s="20" t="n">
        <f aca="false">BQ23-BY23+BU23*IF(Slot6_SpendLike=1,BW23-BX23,IF(Slot6_PotFree=1,BW23,0))</f>
        <v>11061.643525887</v>
      </c>
      <c r="CB23" s="20" t="n">
        <f aca="false">BR23+BU23*Slot6_BufPot*BW23</f>
        <v>17761.0837344419</v>
      </c>
      <c r="CC23" s="20" t="n">
        <f aca="false">IF(AND(BU23=1,Slot6_IsMfree=1),IF(BZ23&gt;=Slot6_Cost-1,0,MAX(0,BS23-BZ23)),BS23)</f>
        <v>64273.7411370787</v>
      </c>
      <c r="CD23" s="20" t="n">
        <f aca="false">BU23*(Slot6_Cost-BZ23)</f>
        <v>0</v>
      </c>
      <c r="CE23" s="20" t="n">
        <f aca="false">IF(AND(Slot7_On=1,D23=Slot7_Age),1,0)</f>
        <v>0</v>
      </c>
      <c r="CF23" s="20" t="n">
        <f aca="false">IF(AND(Slot7_On=1,Slot7_Age&gt;D23),1,0)</f>
        <v>0</v>
      </c>
      <c r="CG23" s="20" t="n">
        <f aca="false">RK22</f>
        <v>0</v>
      </c>
      <c r="CH23" s="20" t="n">
        <f aca="false">CE23*MIN(Slot7_Cost,CG23)</f>
        <v>0</v>
      </c>
      <c r="CI23" s="20" t="n">
        <f aca="false">CE23*Slot7_SpendLike*MIN(Slot7_Cost-CH23,CA23)</f>
        <v>0</v>
      </c>
      <c r="CJ23" s="20" t="n">
        <f aca="false">CH23+CI23</f>
        <v>0</v>
      </c>
      <c r="CK23" s="20" t="n">
        <f aca="false">CA23-CI23+CE23*IF(Slot7_SpendLike=1,CG23-CH23,IF(Slot7_PotFree=1,CG23,0))</f>
        <v>11061.643525887</v>
      </c>
      <c r="CL23" s="20" t="n">
        <f aca="false">CB23+CE23*Slot7_BufPot*CG23</f>
        <v>17761.0837344419</v>
      </c>
      <c r="CM23" s="20" t="n">
        <f aca="false">IF(AND(CE23=1,Slot7_IsMfree=1),IF(CJ23&gt;=Slot7_Cost-1,0,MAX(0,CC23-CJ23)),CC23)</f>
        <v>64273.7411370787</v>
      </c>
      <c r="CN23" s="20" t="n">
        <f aca="false">CE23*(Slot7_Cost-CJ23)</f>
        <v>0</v>
      </c>
      <c r="CO23" s="20" t="n">
        <f aca="false">IF(AND(Slot8_On=1,D23=Slot8_Age),1,0)</f>
        <v>0</v>
      </c>
      <c r="CP23" s="20" t="n">
        <f aca="false">IF(AND(Slot8_On=1,Slot8_Age&gt;D23),1,0)</f>
        <v>0</v>
      </c>
      <c r="CQ23" s="20" t="n">
        <f aca="false">RO22</f>
        <v>0</v>
      </c>
      <c r="CR23" s="20" t="n">
        <f aca="false">CO23*MIN(Slot8_Cost,CQ23)</f>
        <v>0</v>
      </c>
      <c r="CS23" s="20" t="n">
        <f aca="false">CO23*Slot8_SpendLike*MIN(Slot8_Cost-CR23,CK23)</f>
        <v>0</v>
      </c>
      <c r="CT23" s="20" t="n">
        <f aca="false">CR23+CS23</f>
        <v>0</v>
      </c>
      <c r="CU23" s="20" t="n">
        <f aca="false">CK23-CS23+CO23*IF(Slot8_SpendLike=1,CQ23-CR23,IF(Slot8_PotFree=1,CQ23,0))</f>
        <v>11061.643525887</v>
      </c>
      <c r="CV23" s="20" t="n">
        <f aca="false">CL23+CO23*Slot8_BufPot*CQ23</f>
        <v>17761.0837344419</v>
      </c>
      <c r="CW23" s="20" t="n">
        <f aca="false">IF(AND(CO23=1,Slot8_IsMfree=1),IF(CT23&gt;=Slot8_Cost-1,0,MAX(0,CM23-CT23)),CM23)</f>
        <v>64273.7411370787</v>
      </c>
      <c r="CX23" s="20" t="n">
        <f aca="false">CO23*(Slot8_Cost-CT23)</f>
        <v>0</v>
      </c>
      <c r="CY23" s="20" t="n">
        <f aca="false">IF(AND(Slot9_On=1,D23=Slot9_Age),1,0)</f>
        <v>0</v>
      </c>
      <c r="CZ23" s="20" t="n">
        <f aca="false">IF(AND(Slot9_On=1,Slot9_Age&gt;D23),1,0)</f>
        <v>0</v>
      </c>
      <c r="DA23" s="20" t="n">
        <f aca="false">RS22</f>
        <v>0</v>
      </c>
      <c r="DB23" s="20" t="n">
        <f aca="false">CY23*MIN(Slot9_Cost,DA23)</f>
        <v>0</v>
      </c>
      <c r="DC23" s="20" t="n">
        <f aca="false">CY23*Slot9_SpendLike*MIN(Slot9_Cost-DB23,CU23)</f>
        <v>0</v>
      </c>
      <c r="DD23" s="20" t="n">
        <f aca="false">DB23+DC23</f>
        <v>0</v>
      </c>
      <c r="DE23" s="20" t="n">
        <f aca="false">CU23-DC23+CY23*IF(Slot9_SpendLike=1,DA23-DB23,IF(Slot9_PotFree=1,DA23,0))</f>
        <v>11061.643525887</v>
      </c>
      <c r="DF23" s="20" t="n">
        <f aca="false">CV23+CY23*Slot9_BufPot*DA23</f>
        <v>17761.0837344419</v>
      </c>
      <c r="DG23" s="20" t="n">
        <f aca="false">IF(AND(CY23=1,Slot9_IsMfree=1),IF(DD23&gt;=Slot9_Cost-1,0,MAX(0,CW23-DD23)),CW23)</f>
        <v>64273.7411370787</v>
      </c>
      <c r="DH23" s="20" t="n">
        <f aca="false">CY23*(Slot9_Cost-DD23)</f>
        <v>0</v>
      </c>
      <c r="DI23" s="20" t="n">
        <f aca="false">IF(AND(Slot10_On=1,D23=Slot10_Age),1,0)</f>
        <v>0</v>
      </c>
      <c r="DJ23" s="20" t="n">
        <f aca="false">IF(AND(Slot10_On=1,Slot10_Age&gt;D23),1,0)</f>
        <v>0</v>
      </c>
      <c r="DK23" s="20" t="n">
        <f aca="false">RW22</f>
        <v>0</v>
      </c>
      <c r="DL23" s="20" t="n">
        <f aca="false">DI23*MIN(Slot10_Cost,DK23)</f>
        <v>0</v>
      </c>
      <c r="DM23" s="20" t="n">
        <f aca="false">DI23*Slot10_SpendLike*MIN(Slot10_Cost-DL23,DE23)</f>
        <v>0</v>
      </c>
      <c r="DN23" s="20" t="n">
        <f aca="false">DL23+DM23</f>
        <v>0</v>
      </c>
      <c r="DO23" s="20" t="n">
        <f aca="false">DE23-DM23+DI23*IF(Slot10_SpendLike=1,DK23-DL23,IF(Slot10_PotFree=1,DK23,0))</f>
        <v>11061.643525887</v>
      </c>
      <c r="DP23" s="20" t="n">
        <f aca="false">DF23+DI23*Slot10_BufPot*DK23</f>
        <v>17761.0837344419</v>
      </c>
      <c r="DQ23" s="20" t="n">
        <f aca="false">IF(AND(DI23=1,Slot10_IsMfree=1),IF(DN23&gt;=Slot10_Cost-1,0,MAX(0,DG23-DN23)),DG23)</f>
        <v>64273.7411370787</v>
      </c>
      <c r="DR23" s="20" t="n">
        <f aca="false">DI23*(Slot10_Cost-DN23)</f>
        <v>0</v>
      </c>
      <c r="DS23" s="20" t="n">
        <f aca="false">IF(AND(Slot11_On=1,D23=Slot11_Age),1,0)</f>
        <v>0</v>
      </c>
      <c r="DT23" s="20" t="n">
        <f aca="false">IF(AND(Slot11_On=1,Slot11_Age&gt;D23),1,0)</f>
        <v>0</v>
      </c>
      <c r="DU23" s="20" t="n">
        <f aca="false">SA22</f>
        <v>0</v>
      </c>
      <c r="DV23" s="20" t="n">
        <f aca="false">DS23*MIN(Slot11_Cost,DU23)</f>
        <v>0</v>
      </c>
      <c r="DW23" s="20" t="n">
        <f aca="false">DS23*Slot11_SpendLike*MIN(Slot11_Cost-DV23,DO23)</f>
        <v>0</v>
      </c>
      <c r="DX23" s="20" t="n">
        <f aca="false">DV23+DW23</f>
        <v>0</v>
      </c>
      <c r="DY23" s="20" t="n">
        <f aca="false">DO23-DW23+DS23*IF(Slot11_SpendLike=1,DU23-DV23,IF(Slot11_PotFree=1,DU23,0))</f>
        <v>11061.643525887</v>
      </c>
      <c r="DZ23" s="20" t="n">
        <f aca="false">DP23+DS23*Slot11_BufPot*DU23</f>
        <v>17761.0837344419</v>
      </c>
      <c r="EA23" s="20" t="n">
        <f aca="false">IF(AND(DS23=1,Slot11_IsMfree=1),IF(DX23&gt;=Slot11_Cost-1,0,MAX(0,DQ23-DX23)),DQ23)</f>
        <v>64273.7411370787</v>
      </c>
      <c r="EB23" s="20" t="n">
        <f aca="false">DS23*(Slot11_Cost-DX23)</f>
        <v>0</v>
      </c>
      <c r="EC23" s="20" t="n">
        <f aca="false">IF(AND(Slot12_On=1,D23=Slot12_Age),1,0)</f>
        <v>0</v>
      </c>
      <c r="ED23" s="20" t="n">
        <f aca="false">IF(AND(Slot12_On=1,Slot12_Age&gt;D23),1,0)</f>
        <v>0</v>
      </c>
      <c r="EE23" s="20" t="n">
        <f aca="false">SE22</f>
        <v>0</v>
      </c>
      <c r="EF23" s="20" t="n">
        <f aca="false">EC23*MIN(Slot12_Cost,EE23)</f>
        <v>0</v>
      </c>
      <c r="EG23" s="20" t="n">
        <f aca="false">EC23*Slot12_SpendLike*MIN(Slot12_Cost-EF23,DY23)</f>
        <v>0</v>
      </c>
      <c r="EH23" s="20" t="n">
        <f aca="false">EF23+EG23</f>
        <v>0</v>
      </c>
      <c r="EI23" s="20" t="n">
        <f aca="false">DY23-EG23+EC23*IF(Slot12_SpendLike=1,EE23-EF23,IF(Slot12_PotFree=1,EE23,0))</f>
        <v>11061.643525887</v>
      </c>
      <c r="EJ23" s="20" t="n">
        <f aca="false">DZ23+EC23*Slot12_BufPot*EE23</f>
        <v>17761.0837344419</v>
      </c>
      <c r="EK23" s="20" t="n">
        <f aca="false">IF(AND(EC23=1,Slot12_IsMfree=1),IF(EH23&gt;=Slot12_Cost-1,0,MAX(0,EA23-EH23)),EA23)</f>
        <v>64273.7411370787</v>
      </c>
      <c r="EL23" s="20" t="n">
        <f aca="false">EC23*(Slot12_Cost-EH23)</f>
        <v>0</v>
      </c>
      <c r="EM23" s="20" t="n">
        <f aca="false">IF(AND(Slot13_On=1,D23=Slot13_Age),1,0)</f>
        <v>0</v>
      </c>
      <c r="EN23" s="20" t="n">
        <f aca="false">IF(AND(Slot13_On=1,Slot13_Age&gt;D23),1,0)</f>
        <v>0</v>
      </c>
      <c r="EO23" s="20" t="n">
        <f aca="false">SI22</f>
        <v>0</v>
      </c>
      <c r="EP23" s="20" t="n">
        <f aca="false">EM23*MIN(Slot13_Cost,EO23)</f>
        <v>0</v>
      </c>
      <c r="EQ23" s="20" t="n">
        <f aca="false">EM23*Slot13_SpendLike*MIN(Slot13_Cost-EP23,EI23)</f>
        <v>0</v>
      </c>
      <c r="ER23" s="20" t="n">
        <f aca="false">EP23+EQ23</f>
        <v>0</v>
      </c>
      <c r="ES23" s="20" t="n">
        <f aca="false">EI23-EQ23+EM23*IF(Slot13_SpendLike=1,EO23-EP23,IF(Slot13_PotFree=1,EO23,0))</f>
        <v>11061.643525887</v>
      </c>
      <c r="ET23" s="20" t="n">
        <f aca="false">EJ23+EM23*Slot13_BufPot*EO23</f>
        <v>17761.0837344419</v>
      </c>
      <c r="EU23" s="20" t="n">
        <f aca="false">IF(AND(EM23=1,Slot13_IsMfree=1),IF(ER23&gt;=Slot13_Cost-1,0,MAX(0,EK23-ER23)),EK23)</f>
        <v>64273.7411370787</v>
      </c>
      <c r="EV23" s="20" t="n">
        <f aca="false">EM23*(Slot13_Cost-ER23)</f>
        <v>0</v>
      </c>
      <c r="EW23" s="20" t="n">
        <f aca="false">IF(AND(Slot14_On=1,D23=Slot14_Age),1,0)</f>
        <v>0</v>
      </c>
      <c r="EX23" s="20" t="n">
        <f aca="false">IF(AND(Slot14_On=1,Slot14_Age&gt;D23),1,0)</f>
        <v>0</v>
      </c>
      <c r="EY23" s="20" t="n">
        <f aca="false">SM22</f>
        <v>0</v>
      </c>
      <c r="EZ23" s="20" t="n">
        <f aca="false">EW23*MIN(Slot14_Cost,EY23)</f>
        <v>0</v>
      </c>
      <c r="FA23" s="20" t="n">
        <f aca="false">EW23*Slot14_SpendLike*MIN(Slot14_Cost-EZ23,ES23)</f>
        <v>0</v>
      </c>
      <c r="FB23" s="20" t="n">
        <f aca="false">EZ23+FA23</f>
        <v>0</v>
      </c>
      <c r="FC23" s="20" t="n">
        <f aca="false">ES23-FA23+EW23*IF(Slot14_SpendLike=1,EY23-EZ23,IF(Slot14_PotFree=1,EY23,0))</f>
        <v>11061.643525887</v>
      </c>
      <c r="FD23" s="20" t="n">
        <f aca="false">ET23+EW23*Slot14_BufPot*EY23</f>
        <v>17761.0837344419</v>
      </c>
      <c r="FE23" s="20" t="n">
        <f aca="false">IF(AND(EW23=1,Slot14_IsMfree=1),IF(FB23&gt;=Slot14_Cost-1,0,MAX(0,EU23-FB23)),EU23)</f>
        <v>64273.7411370787</v>
      </c>
      <c r="FF23" s="20" t="n">
        <f aca="false">EW23*(Slot14_Cost-FB23)</f>
        <v>0</v>
      </c>
      <c r="FG23" s="20" t="n">
        <f aca="false">IF(AND(Slot15_On=1,D23=Slot15_Age),1,0)</f>
        <v>0</v>
      </c>
      <c r="FH23" s="20" t="n">
        <f aca="false">IF(AND(Slot15_On=1,Slot15_Age&gt;D23),1,0)</f>
        <v>0</v>
      </c>
      <c r="FI23" s="20" t="n">
        <f aca="false">SQ22</f>
        <v>0</v>
      </c>
      <c r="FJ23" s="20" t="n">
        <f aca="false">FG23*MIN(Slot15_Cost,FI23)</f>
        <v>0</v>
      </c>
      <c r="FK23" s="20" t="n">
        <f aca="false">FG23*Slot15_SpendLike*MIN(Slot15_Cost-FJ23,FC23)</f>
        <v>0</v>
      </c>
      <c r="FL23" s="20" t="n">
        <f aca="false">FJ23+FK23</f>
        <v>0</v>
      </c>
      <c r="FM23" s="20" t="n">
        <f aca="false">FC23-FK23+FG23*IF(Slot15_SpendLike=1,FI23-FJ23,IF(Slot15_PotFree=1,FI23,0))</f>
        <v>11061.643525887</v>
      </c>
      <c r="FN23" s="20" t="n">
        <f aca="false">FD23+FG23*Slot15_BufPot*FI23</f>
        <v>17761.0837344419</v>
      </c>
      <c r="FO23" s="20" t="n">
        <f aca="false">IF(AND(FG23=1,Slot15_IsMfree=1),IF(FL23&gt;=Slot15_Cost-1,0,MAX(0,FE23-FL23)),FE23)</f>
        <v>64273.7411370787</v>
      </c>
      <c r="FP23" s="20" t="n">
        <f aca="false">FG23*(Slot15_Cost-FL23)</f>
        <v>0</v>
      </c>
      <c r="FQ23" s="20" t="n">
        <f aca="false">IF(AND(Slot16_On=1,D23=Slot16_Age),1,0)</f>
        <v>0</v>
      </c>
      <c r="FR23" s="20" t="n">
        <f aca="false">IF(AND(Slot16_On=1,Slot16_Age&gt;D23),1,0)</f>
        <v>0</v>
      </c>
      <c r="FS23" s="20" t="n">
        <f aca="false">SU22</f>
        <v>0</v>
      </c>
      <c r="FT23" s="20" t="n">
        <f aca="false">FQ23*MIN(Slot16_Cost,FS23)</f>
        <v>0</v>
      </c>
      <c r="FU23" s="20" t="n">
        <f aca="false">FQ23*Slot16_SpendLike*MIN(Slot16_Cost-FT23,FM23)</f>
        <v>0</v>
      </c>
      <c r="FV23" s="20" t="n">
        <f aca="false">FT23+FU23</f>
        <v>0</v>
      </c>
      <c r="FW23" s="20" t="n">
        <f aca="false">FM23-FU23+FQ23*IF(Slot16_SpendLike=1,FS23-FT23,IF(Slot16_PotFree=1,FS23,0))</f>
        <v>11061.643525887</v>
      </c>
      <c r="FX23" s="20" t="n">
        <f aca="false">FN23+FQ23*Slot16_BufPot*FS23</f>
        <v>17761.0837344419</v>
      </c>
      <c r="FY23" s="20" t="n">
        <f aca="false">IF(AND(FQ23=1,Slot16_IsMfree=1),IF(FV23&gt;=Slot16_Cost-1,0,MAX(0,FO23-FV23)),FO23)</f>
        <v>64273.7411370787</v>
      </c>
      <c r="FZ23" s="20" t="n">
        <f aca="false">FQ23*(Slot16_Cost-FV23)</f>
        <v>0</v>
      </c>
      <c r="GA23" s="20" t="n">
        <f aca="false">IF(AND(Slot17_On=1,D23=Slot17_Age),1,0)</f>
        <v>0</v>
      </c>
      <c r="GB23" s="20" t="n">
        <f aca="false">IF(AND(Slot17_On=1,Slot17_Age&gt;D23),1,0)</f>
        <v>0</v>
      </c>
      <c r="GC23" s="20" t="n">
        <f aca="false">SY22</f>
        <v>0</v>
      </c>
      <c r="GD23" s="20" t="n">
        <f aca="false">GA23*MIN(Slot17_Cost,GC23)</f>
        <v>0</v>
      </c>
      <c r="GE23" s="20" t="n">
        <f aca="false">GA23*Slot17_SpendLike*MIN(Slot17_Cost-GD23,FW23)</f>
        <v>0</v>
      </c>
      <c r="GF23" s="20" t="n">
        <f aca="false">GD23+GE23</f>
        <v>0</v>
      </c>
      <c r="GG23" s="20" t="n">
        <f aca="false">FW23-GE23+GA23*IF(Slot17_SpendLike=1,GC23-GD23,IF(Slot17_PotFree=1,GC23,0))</f>
        <v>11061.643525887</v>
      </c>
      <c r="GH23" s="20" t="n">
        <f aca="false">FX23+GA23*Slot17_BufPot*GC23</f>
        <v>17761.0837344419</v>
      </c>
      <c r="GI23" s="20" t="n">
        <f aca="false">IF(AND(GA23=1,Slot17_IsMfree=1),IF(GF23&gt;=Slot17_Cost-1,0,MAX(0,FY23-GF23)),FY23)</f>
        <v>64273.7411370787</v>
      </c>
      <c r="GJ23" s="20" t="n">
        <f aca="false">GA23*(Slot17_Cost-GF23)</f>
        <v>0</v>
      </c>
      <c r="GK23" s="20" t="n">
        <f aca="false">IF(AND(Slot18_On=1,D23=Slot18_Age),1,0)</f>
        <v>0</v>
      </c>
      <c r="GL23" s="20" t="n">
        <f aca="false">IF(AND(Slot18_On=1,Slot18_Age&gt;D23),1,0)</f>
        <v>0</v>
      </c>
      <c r="GM23" s="20" t="n">
        <f aca="false">TC22</f>
        <v>0</v>
      </c>
      <c r="GN23" s="20" t="n">
        <f aca="false">GK23*MIN(Slot18_Cost,GM23)</f>
        <v>0</v>
      </c>
      <c r="GO23" s="20" t="n">
        <f aca="false">GK23*Slot18_SpendLike*MIN(Slot18_Cost-GN23,GG23)</f>
        <v>0</v>
      </c>
      <c r="GP23" s="20" t="n">
        <f aca="false">GN23+GO23</f>
        <v>0</v>
      </c>
      <c r="GQ23" s="20" t="n">
        <f aca="false">GG23-GO23+GK23*IF(Slot18_SpendLike=1,GM23-GN23,IF(Slot18_PotFree=1,GM23,0))</f>
        <v>11061.643525887</v>
      </c>
      <c r="GR23" s="20" t="n">
        <f aca="false">GH23+GK23*Slot18_BufPot*GM23</f>
        <v>17761.0837344419</v>
      </c>
      <c r="GS23" s="20" t="n">
        <f aca="false">IF(AND(GK23=1,Slot18_IsMfree=1),IF(GP23&gt;=Slot18_Cost-1,0,MAX(0,GI23-GP23)),GI23)</f>
        <v>64273.7411370787</v>
      </c>
      <c r="GT23" s="20" t="n">
        <f aca="false">GK23*(Slot18_Cost-GP23)</f>
        <v>0</v>
      </c>
      <c r="GU23" s="20" t="n">
        <f aca="false">IF(AND(Slot19_On=1,D23=Slot19_Age),1,0)</f>
        <v>0</v>
      </c>
      <c r="GV23" s="20" t="n">
        <f aca="false">IF(AND(Slot19_On=1,Slot19_Age&gt;D23),1,0)</f>
        <v>0</v>
      </c>
      <c r="GW23" s="20" t="n">
        <f aca="false">TG22</f>
        <v>0</v>
      </c>
      <c r="GX23" s="20" t="n">
        <f aca="false">GU23*MIN(Slot19_Cost,GW23)</f>
        <v>0</v>
      </c>
      <c r="GY23" s="20" t="n">
        <f aca="false">GU23*Slot19_SpendLike*MIN(Slot19_Cost-GX23,GQ23)</f>
        <v>0</v>
      </c>
      <c r="GZ23" s="20" t="n">
        <f aca="false">GX23+GY23</f>
        <v>0</v>
      </c>
      <c r="HA23" s="20" t="n">
        <f aca="false">GQ23-GY23+GU23*IF(Slot19_SpendLike=1,GW23-GX23,IF(Slot19_PotFree=1,GW23,0))</f>
        <v>11061.643525887</v>
      </c>
      <c r="HB23" s="20" t="n">
        <f aca="false">GR23+GU23*Slot19_BufPot*GW23</f>
        <v>17761.0837344419</v>
      </c>
      <c r="HC23" s="20" t="n">
        <f aca="false">IF(AND(GU23=1,Slot19_IsMfree=1),IF(GZ23&gt;=Slot19_Cost-1,0,MAX(0,GS23-GZ23)),GS23)</f>
        <v>64273.7411370787</v>
      </c>
      <c r="HD23" s="20" t="n">
        <f aca="false">GU23*(Slot19_Cost-GZ23)</f>
        <v>0</v>
      </c>
      <c r="HE23" s="20" t="n">
        <f aca="false">IF(AND(Slot20_On=1,D23=Slot20_Age),1,0)</f>
        <v>0</v>
      </c>
      <c r="HF23" s="20" t="n">
        <f aca="false">IF(AND(Slot20_On=1,Slot20_Age&gt;D23),1,0)</f>
        <v>0</v>
      </c>
      <c r="HG23" s="20" t="n">
        <f aca="false">TK22</f>
        <v>0</v>
      </c>
      <c r="HH23" s="20" t="n">
        <f aca="false">HE23*MIN(Slot20_Cost,HG23)</f>
        <v>0</v>
      </c>
      <c r="HI23" s="20" t="n">
        <f aca="false">HE23*Slot20_SpendLike*MIN(Slot20_Cost-HH23,HA23)</f>
        <v>0</v>
      </c>
      <c r="HJ23" s="20" t="n">
        <f aca="false">HH23+HI23</f>
        <v>0</v>
      </c>
      <c r="HK23" s="20" t="n">
        <f aca="false">HA23-HI23+HE23*IF(Slot20_SpendLike=1,HG23-HH23,IF(Slot20_PotFree=1,HG23,0))</f>
        <v>11061.643525887</v>
      </c>
      <c r="HL23" s="20" t="n">
        <f aca="false">HB23+HE23*Slot20_BufPot*HG23</f>
        <v>17761.0837344419</v>
      </c>
      <c r="HM23" s="20" t="n">
        <f aca="false">IF(AND(HE23=1,Slot20_IsMfree=1),IF(HJ23&gt;=Slot20_Cost-1,0,MAX(0,HC23-HJ23)),HC23)</f>
        <v>64273.7411370787</v>
      </c>
      <c r="HN23" s="20" t="n">
        <f aca="false">HE23*(Slot20_Cost-HJ23)</f>
        <v>0</v>
      </c>
      <c r="HO23" s="20" t="n">
        <f aca="false">V23*Slot1_SpendLike*AA23+AG23*Slot2_SpendLike*AL23+AQ23*Slot3_SpendLike*AV23+BA23*Slot4_SpendLike*BF23+BK23*Slot5_SpendLike*BP23+BU23*Slot6_SpendLike*BZ23+CE23*Slot7_SpendLike*CJ23+CO23*Slot8_SpendLike*CT23+CY23*Slot9_SpendLike*DD23+DI23*Slot10_SpendLike*DN23+DS23*Slot11_SpendLike*DX23+EC23*Slot12_SpendLike*EH23+EM23*Slot13_SpendLike*ER23+EW23*Slot14_SpendLike*FB23+FG23*Slot15_SpendLike*FL23+FQ23*Slot16_SpendLike*FV23+GA23*Slot17_SpendLike*GF23+GK23*Slot18_SpendLike*GP23+GU23*Slot19_SpendLike*GZ23+HE23*Slot20_SpendLike*HJ23</f>
        <v>0</v>
      </c>
      <c r="HP23" s="20" t="n">
        <f aca="false">AE23+AP23+AZ23+BJ23+BT23+CD23+CN23+CX23+DH23+DR23+EB23+EL23+EV23+FF23+FP23+FZ23+GJ23+GT23+HD23+HN23</f>
        <v>0</v>
      </c>
      <c r="HQ23" s="20" t="n">
        <f aca="false">V23*Slot1_Cost+AG23*Slot2_Cost+AQ23*Slot3_Cost+BA23*Slot4_Cost+BK23*Slot5_Cost+BU23*Slot6_Cost+CE23*Slot7_Cost+CO23*Slot8_Cost+CY23*Slot9_Cost+DI23*Slot10_Cost+DS23*Slot11_Cost+EC23*Slot12_Cost+EM23*Slot13_Cost+EW23*Slot14_Cost+FG23*Slot15_Cost+FQ23*Slot16_Cost+GA23*Slot17_Cost+GK23*Slot18_Cost+GU23*Slot19_Cost+HE23*Slot20_Cost</f>
        <v>0</v>
      </c>
      <c r="HR23" s="20" t="n">
        <f aca="false">HM23</f>
        <v>64273.7411370787</v>
      </c>
      <c r="HS23" s="20" t="n">
        <f aca="false">H23-I23-S23</f>
        <v>18224.425358152</v>
      </c>
      <c r="HT23" s="20" t="n">
        <f aca="false">IF(B23=0,IF(AND(Has_q6=1,In_q6=4),PR_ShareVaries*(MAX(0,HS23)/12),MIN(IF(Has_q6=1,CHOOSE(In_q6+1,PR_SaveB1,PR_SaveB2,PR_SaveB3,PR_SaveB4,0),AS_NoAnswer),AS_SaveShare*(MAX(0,HS23)/12))),HT22)</f>
        <v>62.3316893520437</v>
      </c>
      <c r="HU23" s="20" t="n">
        <f aca="false">IF(HS23&gt;=0,1,0)</f>
        <v>1</v>
      </c>
      <c r="HV23" s="20" t="n">
        <f aca="false">MAX(0,HS23/12/F23)</f>
        <v>1128.41804055693</v>
      </c>
      <c r="HW23" s="20" t="n">
        <f aca="false">IF(AND(Has_q6=1,In_q6=4),PR_ShareVaries*(HV23),MIN(IF(Has_q6=1,CHOOSE(In_q6+1,PR_SaveB1,PR_SaveB2,PR_SaveB3,PR_SaveB4,0),AS_NoAnswer),AS_SaveShare*(HV23)))</f>
        <v>500</v>
      </c>
      <c r="HX23" s="20" t="n">
        <f aca="false">IF(Has_saveM=1,IF(In_saveUp="Yes",1,IF(In_saveUp="No",0,IF(In_saveM&gt;=HT23-0.5,1,0))),0)</f>
        <v>0</v>
      </c>
      <c r="HY23" s="20" t="n">
        <f aca="false">IF(Has_saveM=1,MIN(HV23,IF(HX23=1,MAX(In_saveM,HW23),MIN(In_saveM,HW23))),HW23)</f>
        <v>500</v>
      </c>
      <c r="HZ23" s="20" t="n">
        <f aca="false">IF(G23=1,HY23*12*F23,0)</f>
        <v>8075.21002994478</v>
      </c>
      <c r="IA23" s="20" t="n">
        <f aca="false">MAX(0,HZ23+IF(AND(WI_Retire=0,WI_M&lt;0,G23=1),WI_M*12*F23,0))</f>
        <v>8075.21002994478</v>
      </c>
      <c r="IB23" s="20" t="n">
        <f aca="false">Slot1_IsWG*W23+Slot2_IsWG*AH23+Slot3_IsWG*AR23+Slot4_IsWG*BB23+Slot5_IsWG*BL23+Slot6_IsWG*BV23+Slot7_IsWG*CF23+Slot8_IsWG*CP23+Slot9_IsWG*CZ23+Slot10_IsWG*DJ23+Slot11_IsWG*DT23+Slot12_IsWG*ED23+Slot13_IsWG*EN23+Slot14_IsWG*EX23+Slot15_IsWG*FH23+Slot16_IsWG*FR23+Slot17_IsWG*GB23+Slot18_IsWG*GL23+Slot19_IsWG*GV23+Slot20_IsWG*HF23</f>
        <v>0</v>
      </c>
      <c r="IC23" s="20" t="n">
        <f aca="false">IF(AND(WI_Retire=0,WI_M&gt;0,G23=1,IB23&gt;=1),WI_M*12*F23,0)</f>
        <v>0</v>
      </c>
      <c r="ID23" s="20" t="n">
        <f aca="false">IF(HU23=1,MIN(IA23,HS23),0)</f>
        <v>8075.21002994478</v>
      </c>
      <c r="IE23" s="20" t="n">
        <f aca="false">IF(HU23=1,MIN(IC23,HS23-ID23),0)</f>
        <v>0</v>
      </c>
      <c r="IF23" s="20" t="n">
        <f aca="false">IF(W23=1,IF(ABS((1+AS_Wage)/(1+Slot1_Rate)-1)&lt;0.000000000001,(Slot1_Age-D23)*(1+Slot1_Rate)^(Slot1_Age-D23),(1+Slot1_Rate)^(Slot1_Age-D23)*(1-((1+AS_Wage)/(1+Slot1_Rate))^(Slot1_Age-D23))/(1-(1+AS_Wage)/(1+Slot1_Rate))),1)</f>
        <v>1</v>
      </c>
      <c r="IG23" s="20" t="n">
        <f aca="false">IF(AND(HU23=1,IE23&gt;0,Slot1_IsWG=1,W23=1),MAX(0,(Slot1_Cost-X23*(1+Slot1_Rate)^(Slot1_Age-D23))/IF23),0)</f>
        <v>0</v>
      </c>
      <c r="IH23" s="20" t="n">
        <f aca="false">IF(AND(HU23=1,IE23&gt;0,Slot1_IsWG=1,W23=1),MIN(IE23,IG23),0)</f>
        <v>0</v>
      </c>
      <c r="II23" s="20" t="n">
        <f aca="false">X23+IH23</f>
        <v>0</v>
      </c>
      <c r="IJ23" s="20" t="n">
        <f aca="false">IF(W23=1,MAX(0,(Slot1_Cost-II23*(1+Slot1_Rate)^(Slot1_Age-D23))/IF23),0)</f>
        <v>0</v>
      </c>
      <c r="IK23" s="20" t="n">
        <f aca="false">IF(W23=1,MAX(0,(Slot1_Cost-X23*(1+Slot1_Rate)^(Slot1_Age-D23))/IF23),0)</f>
        <v>0</v>
      </c>
      <c r="IL23" s="20" t="n">
        <f aca="false">IF(AND(HU23=1,W23=1),MIN(ID23,IJ23),0)</f>
        <v>0</v>
      </c>
      <c r="IM23" s="20" t="n">
        <f aca="false">ID23-IL23</f>
        <v>8075.21002994478</v>
      </c>
      <c r="IN23" s="20" t="n">
        <f aca="false">IF(AH23=1,IF(ABS((1+AS_Wage)/(1+Slot2_Rate)-1)&lt;0.000000000001,(Slot2_Age-D23)*(1+Slot2_Rate)^(Slot2_Age-D23),(1+Slot2_Rate)^(Slot2_Age-D23)*(1-((1+AS_Wage)/(1+Slot2_Rate))^(Slot2_Age-D23))/(1-(1+AS_Wage)/(1+Slot2_Rate))),1)</f>
        <v>1</v>
      </c>
      <c r="IO23" s="20" t="n">
        <f aca="false">IF(AND(HU23=1,IE23&gt;0,Slot2_IsWG=1,AH23=1),MAX(0,(Slot2_Cost-AI23*(1+Slot2_Rate)^(Slot2_Age-D23))/IN23),0)</f>
        <v>0</v>
      </c>
      <c r="IP23" s="20" t="n">
        <f aca="false">IF(AND(HU23=1,IE23&gt;0,Slot2_IsWG=1,AH23=1),MIN(IE23,IO23),0)</f>
        <v>0</v>
      </c>
      <c r="IQ23" s="20" t="n">
        <f aca="false">AI23+IP23</f>
        <v>0</v>
      </c>
      <c r="IR23" s="20" t="n">
        <f aca="false">IF(AH23=1,MAX(0,(Slot2_Cost-IQ23*(1+Slot2_Rate)^(Slot2_Age-D23))/IN23),0)</f>
        <v>0</v>
      </c>
      <c r="IS23" s="20" t="n">
        <f aca="false">IF(AH23=1,MAX(0,(Slot2_Cost-AI23*(1+Slot2_Rate)^(Slot2_Age-D23))/IN23),0)</f>
        <v>0</v>
      </c>
      <c r="IT23" s="20" t="n">
        <f aca="false">IF(AND(HU23=1,AH23=1),MIN(IM23,IR23),0)</f>
        <v>0</v>
      </c>
      <c r="IU23" s="20" t="n">
        <f aca="false">IM23-IT23</f>
        <v>8075.21002994478</v>
      </c>
      <c r="IV23" s="20" t="n">
        <f aca="false">IF(AR23=1,IF(ABS((1+AS_Wage)/(1+Slot3_Rate)-1)&lt;0.000000000001,(Slot3_Age-D23)*(1+Slot3_Rate)^(Slot3_Age-D23),(1+Slot3_Rate)^(Slot3_Age-D23)*(1-((1+AS_Wage)/(1+Slot3_Rate))^(Slot3_Age-D23))/(1-(1+AS_Wage)/(1+Slot3_Rate))),1)</f>
        <v>1</v>
      </c>
      <c r="IW23" s="20" t="n">
        <f aca="false">IF(AND(HU23=1,IE23&gt;0,Slot3_IsWG=1,AR23=1),MAX(0,(Slot3_Cost-AS23*(1+Slot3_Rate)^(Slot3_Age-D23))/IV23),0)</f>
        <v>0</v>
      </c>
      <c r="IX23" s="20" t="n">
        <f aca="false">IF(AND(HU23=1,IE23&gt;0,Slot3_IsWG=1,AR23=1),MIN(IE23,IW23),0)</f>
        <v>0</v>
      </c>
      <c r="IY23" s="20" t="n">
        <f aca="false">AS23+IX23</f>
        <v>0</v>
      </c>
      <c r="IZ23" s="20" t="n">
        <f aca="false">IF(AR23=1,MAX(0,(Slot3_Cost-IY23*(1+Slot3_Rate)^(Slot3_Age-D23))/IV23),0)</f>
        <v>0</v>
      </c>
      <c r="JA23" s="20" t="n">
        <f aca="false">IF(AR23=1,MAX(0,(Slot3_Cost-AS23*(1+Slot3_Rate)^(Slot3_Age-D23))/IV23),0)</f>
        <v>0</v>
      </c>
      <c r="JB23" s="20" t="n">
        <f aca="false">IF(AND(HU23=1,AR23=1),MIN(IU23,IZ23),0)</f>
        <v>0</v>
      </c>
      <c r="JC23" s="20" t="n">
        <f aca="false">IU23-JB23</f>
        <v>8075.21002994478</v>
      </c>
      <c r="JD23" s="20" t="n">
        <f aca="false">IF(BB23=1,IF(ABS((1+AS_Wage)/(1+Slot4_Rate)-1)&lt;0.000000000001,(Slot4_Age-D23)*(1+Slot4_Rate)^(Slot4_Age-D23),(1+Slot4_Rate)^(Slot4_Age-D23)*(1-((1+AS_Wage)/(1+Slot4_Rate))^(Slot4_Age-D23))/(1-(1+AS_Wage)/(1+Slot4_Rate))),1)</f>
        <v>2.109456</v>
      </c>
      <c r="JE23" s="20" t="n">
        <f aca="false">IF(AND(HU23=1,IE23&gt;0,Slot4_IsWG=1,BB23=1),MAX(0,(Slot4_Cost-BC23*(1+Slot4_Rate)^(Slot4_Age-D23))/JD23),0)</f>
        <v>0</v>
      </c>
      <c r="JF23" s="20" t="n">
        <f aca="false">IF(AND(HU23=1,IE23&gt;0,Slot4_IsWG=1,BB23=1),MIN(IE23,JE23),0)</f>
        <v>0</v>
      </c>
      <c r="JG23" s="20" t="n">
        <f aca="false">BC23+JF23</f>
        <v>27049.3451463966</v>
      </c>
      <c r="JH23" s="20" t="n">
        <f aca="false">IF(BB23=1,MAX(0,(Slot4_Cost-JG23*(1+Slot4_Rate)^(Slot4_Age-D23))/JD23),0)</f>
        <v>5473.30648352039</v>
      </c>
      <c r="JI23" s="20" t="n">
        <f aca="false">IF(BB23=1,MAX(0,(Slot4_Cost-BC23*(1+Slot4_Rate)^(Slot4_Age-D23))/JD23),0)</f>
        <v>5473.30648352039</v>
      </c>
      <c r="JJ23" s="20" t="n">
        <f aca="false">IF(AND(HU23=1,BB23=1),MIN(JC23,JH23),0)</f>
        <v>5473.30648352039</v>
      </c>
      <c r="JK23" s="20" t="n">
        <f aca="false">JC23-JJ23</f>
        <v>2601.90354642439</v>
      </c>
      <c r="JL23" s="20" t="n">
        <f aca="false">IF(BL23=1,IF(ABS((1+AS_Wage)/(1+Slot5_Rate)-1)&lt;0.000000000001,(Slot5_Age-D23)*(1+Slot5_Rate)^(Slot5_Age-D23),(1+Slot5_Rate)^(Slot5_Age-D23)*(1-((1+AS_Wage)/(1+Slot5_Rate))^(Slot5_Age-D23))/(1-(1+AS_Wage)/(1+Slot5_Rate))),1)</f>
        <v>1</v>
      </c>
      <c r="JM23" s="20" t="n">
        <f aca="false">IF(AND(HU23=1,IE23&gt;0,Slot5_IsWG=1,BL23=1),MAX(0,(Slot5_Cost-BM23*(1+Slot5_Rate)^(Slot5_Age-D23))/JL23),0)</f>
        <v>0</v>
      </c>
      <c r="JN23" s="20" t="n">
        <f aca="false">IF(AND(HU23=1,IE23&gt;0,Slot5_IsWG=1,BL23=1),MIN(IE23,JM23),0)</f>
        <v>0</v>
      </c>
      <c r="JO23" s="20" t="n">
        <f aca="false">BM23+JN23</f>
        <v>0</v>
      </c>
      <c r="JP23" s="20" t="n">
        <f aca="false">IF(BL23=1,MAX(0,(Slot5_Cost-JO23*(1+Slot5_Rate)^(Slot5_Age-D23))/JL23),0)</f>
        <v>0</v>
      </c>
      <c r="JQ23" s="20" t="n">
        <f aca="false">IF(BL23=1,MAX(0,(Slot5_Cost-BM23*(1+Slot5_Rate)^(Slot5_Age-D23))/JL23),0)</f>
        <v>0</v>
      </c>
      <c r="JR23" s="20" t="n">
        <f aca="false">IF(AND(HU23=1,BL23=1),MIN(JK23,JP23),0)</f>
        <v>0</v>
      </c>
      <c r="JS23" s="20" t="n">
        <f aca="false">JK23-JR23</f>
        <v>2601.90354642439</v>
      </c>
      <c r="JT23" s="20" t="n">
        <f aca="false">IF(BV23=1,IF(ABS((1+AS_Wage)/(1+Slot6_Rate)-1)&lt;0.000000000001,(Slot6_Age-D23)*(1+Slot6_Rate)^(Slot6_Age-D23),(1+Slot6_Rate)^(Slot6_Age-D23)*(1-((1+AS_Wage)/(1+Slot6_Rate))^(Slot6_Age-D23))/(1-(1+AS_Wage)/(1+Slot6_Rate))),1)</f>
        <v>1</v>
      </c>
      <c r="JU23" s="20" t="n">
        <f aca="false">IF(AND(HU23=1,IE23&gt;0,Slot6_IsWG=1,BV23=1),MAX(0,(Slot6_Cost-BW23*(1+Slot6_Rate)^(Slot6_Age-D23))/JT23),0)</f>
        <v>0</v>
      </c>
      <c r="JV23" s="20" t="n">
        <f aca="false">IF(AND(HU23=1,IE23&gt;0,Slot6_IsWG=1,BV23=1),MIN(IE23,JU23),0)</f>
        <v>0</v>
      </c>
      <c r="JW23" s="20" t="n">
        <f aca="false">BW23+JV23</f>
        <v>0</v>
      </c>
      <c r="JX23" s="20" t="n">
        <f aca="false">IF(BV23=1,MAX(0,(Slot6_Cost-JW23*(1+Slot6_Rate)^(Slot6_Age-D23))/JT23),0)</f>
        <v>0</v>
      </c>
      <c r="JY23" s="20" t="n">
        <f aca="false">IF(BV23=1,MAX(0,(Slot6_Cost-BW23*(1+Slot6_Rate)^(Slot6_Age-D23))/JT23),0)</f>
        <v>0</v>
      </c>
      <c r="JZ23" s="20" t="n">
        <f aca="false">IF(AND(HU23=1,BV23=1),MIN(JS23,JX23),0)</f>
        <v>0</v>
      </c>
      <c r="KA23" s="20" t="n">
        <f aca="false">JS23-JZ23</f>
        <v>2601.90354642439</v>
      </c>
      <c r="KB23" s="20" t="n">
        <f aca="false">IF(CF23=1,IF(ABS((1+AS_Wage)/(1+Slot7_Rate)-1)&lt;0.000000000001,(Slot7_Age-D23)*(1+Slot7_Rate)^(Slot7_Age-D23),(1+Slot7_Rate)^(Slot7_Age-D23)*(1-((1+AS_Wage)/(1+Slot7_Rate))^(Slot7_Age-D23))/(1-(1+AS_Wage)/(1+Slot7_Rate))),1)</f>
        <v>1</v>
      </c>
      <c r="KC23" s="20" t="n">
        <f aca="false">IF(AND(HU23=1,IE23&gt;0,Slot7_IsWG=1,CF23=1),MAX(0,(Slot7_Cost-CG23*(1+Slot7_Rate)^(Slot7_Age-D23))/KB23),0)</f>
        <v>0</v>
      </c>
      <c r="KD23" s="20" t="n">
        <f aca="false">IF(AND(HU23=1,IE23&gt;0,Slot7_IsWG=1,CF23=1),MIN(IE23,KC23),0)</f>
        <v>0</v>
      </c>
      <c r="KE23" s="20" t="n">
        <f aca="false">CG23+KD23</f>
        <v>0</v>
      </c>
      <c r="KF23" s="20" t="n">
        <f aca="false">IF(CF23=1,MAX(0,(Slot7_Cost-KE23*(1+Slot7_Rate)^(Slot7_Age-D23))/KB23),0)</f>
        <v>0</v>
      </c>
      <c r="KG23" s="20" t="n">
        <f aca="false">IF(CF23=1,MAX(0,(Slot7_Cost-CG23*(1+Slot7_Rate)^(Slot7_Age-D23))/KB23),0)</f>
        <v>0</v>
      </c>
      <c r="KH23" s="20" t="n">
        <f aca="false">IF(AND(HU23=1,CF23=1),MIN(KA23,KF23),0)</f>
        <v>0</v>
      </c>
      <c r="KI23" s="20" t="n">
        <f aca="false">KA23-KH23</f>
        <v>2601.90354642439</v>
      </c>
      <c r="KJ23" s="20" t="n">
        <f aca="false">IF(CP23=1,IF(ABS((1+AS_Wage)/(1+Slot8_Rate)-1)&lt;0.000000000001,(Slot8_Age-D23)*(1+Slot8_Rate)^(Slot8_Age-D23),(1+Slot8_Rate)^(Slot8_Age-D23)*(1-((1+AS_Wage)/(1+Slot8_Rate))^(Slot8_Age-D23))/(1-(1+AS_Wage)/(1+Slot8_Rate))),1)</f>
        <v>1</v>
      </c>
      <c r="KK23" s="20" t="n">
        <f aca="false">IF(AND(HU23=1,IE23&gt;0,Slot8_IsWG=1,CP23=1),MAX(0,(Slot8_Cost-CQ23*(1+Slot8_Rate)^(Slot8_Age-D23))/KJ23),0)</f>
        <v>0</v>
      </c>
      <c r="KL23" s="20" t="n">
        <f aca="false">IF(AND(HU23=1,IE23&gt;0,Slot8_IsWG=1,CP23=1),MIN(IE23,KK23),0)</f>
        <v>0</v>
      </c>
      <c r="KM23" s="20" t="n">
        <f aca="false">CQ23+KL23</f>
        <v>0</v>
      </c>
      <c r="KN23" s="20" t="n">
        <f aca="false">IF(CP23=1,MAX(0,(Slot8_Cost-KM23*(1+Slot8_Rate)^(Slot8_Age-D23))/KJ23),0)</f>
        <v>0</v>
      </c>
      <c r="KO23" s="20" t="n">
        <f aca="false">IF(CP23=1,MAX(0,(Slot8_Cost-CQ23*(1+Slot8_Rate)^(Slot8_Age-D23))/KJ23),0)</f>
        <v>0</v>
      </c>
      <c r="KP23" s="20" t="n">
        <f aca="false">IF(AND(HU23=1,CP23=1),MIN(KI23,KN23),0)</f>
        <v>0</v>
      </c>
      <c r="KQ23" s="20" t="n">
        <f aca="false">KI23-KP23</f>
        <v>2601.90354642439</v>
      </c>
      <c r="KR23" s="20" t="n">
        <f aca="false">IF(CZ23=1,IF(ABS((1+AS_Wage)/(1+Slot9_Rate)-1)&lt;0.000000000001,(Slot9_Age-D23)*(1+Slot9_Rate)^(Slot9_Age-D23),(1+Slot9_Rate)^(Slot9_Age-D23)*(1-((1+AS_Wage)/(1+Slot9_Rate))^(Slot9_Age-D23))/(1-(1+AS_Wage)/(1+Slot9_Rate))),1)</f>
        <v>1</v>
      </c>
      <c r="KS23" s="20" t="n">
        <f aca="false">IF(AND(HU23=1,IE23&gt;0,Slot9_IsWG=1,CZ23=1),MAX(0,(Slot9_Cost-DA23*(1+Slot9_Rate)^(Slot9_Age-D23))/KR23),0)</f>
        <v>0</v>
      </c>
      <c r="KT23" s="20" t="n">
        <f aca="false">IF(AND(HU23=1,IE23&gt;0,Slot9_IsWG=1,CZ23=1),MIN(IE23,KS23),0)</f>
        <v>0</v>
      </c>
      <c r="KU23" s="20" t="n">
        <f aca="false">DA23+KT23</f>
        <v>0</v>
      </c>
      <c r="KV23" s="20" t="n">
        <f aca="false">IF(CZ23=1,MAX(0,(Slot9_Cost-KU23*(1+Slot9_Rate)^(Slot9_Age-D23))/KR23),0)</f>
        <v>0</v>
      </c>
      <c r="KW23" s="20" t="n">
        <f aca="false">IF(CZ23=1,MAX(0,(Slot9_Cost-DA23*(1+Slot9_Rate)^(Slot9_Age-D23))/KR23),0)</f>
        <v>0</v>
      </c>
      <c r="KX23" s="20" t="n">
        <f aca="false">IF(AND(HU23=1,CZ23=1),MIN(KQ23,KV23),0)</f>
        <v>0</v>
      </c>
      <c r="KY23" s="20" t="n">
        <f aca="false">KQ23-KX23</f>
        <v>2601.90354642439</v>
      </c>
      <c r="KZ23" s="20" t="n">
        <f aca="false">IF(DJ23=1,IF(ABS((1+AS_Wage)/(1+Slot10_Rate)-1)&lt;0.000000000001,(Slot10_Age-D23)*(1+Slot10_Rate)^(Slot10_Age-D23),(1+Slot10_Rate)^(Slot10_Age-D23)*(1-((1+AS_Wage)/(1+Slot10_Rate))^(Slot10_Age-D23))/(1-(1+AS_Wage)/(1+Slot10_Rate))),1)</f>
        <v>1</v>
      </c>
      <c r="LA23" s="20" t="n">
        <f aca="false">IF(AND(HU23=1,IE23&gt;0,Slot10_IsWG=1,DJ23=1),MAX(0,(Slot10_Cost-DK23*(1+Slot10_Rate)^(Slot10_Age-D23))/KZ23),0)</f>
        <v>0</v>
      </c>
      <c r="LB23" s="20" t="n">
        <f aca="false">IF(AND(HU23=1,IE23&gt;0,Slot10_IsWG=1,DJ23=1),MIN(IE23,LA23),0)</f>
        <v>0</v>
      </c>
      <c r="LC23" s="20" t="n">
        <f aca="false">DK23+LB23</f>
        <v>0</v>
      </c>
      <c r="LD23" s="20" t="n">
        <f aca="false">IF(DJ23=1,MAX(0,(Slot10_Cost-LC23*(1+Slot10_Rate)^(Slot10_Age-D23))/KZ23),0)</f>
        <v>0</v>
      </c>
      <c r="LE23" s="20" t="n">
        <f aca="false">IF(DJ23=1,MAX(0,(Slot10_Cost-DK23*(1+Slot10_Rate)^(Slot10_Age-D23))/KZ23),0)</f>
        <v>0</v>
      </c>
      <c r="LF23" s="20" t="n">
        <f aca="false">IF(AND(HU23=1,DJ23=1),MIN(KY23,LD23),0)</f>
        <v>0</v>
      </c>
      <c r="LG23" s="20" t="n">
        <f aca="false">KY23-LF23</f>
        <v>2601.90354642439</v>
      </c>
      <c r="LH23" s="20" t="n">
        <f aca="false">IF(DT23=1,IF(ABS((1+AS_Wage)/(1+Slot11_Rate)-1)&lt;0.000000000001,(Slot11_Age-D23)*(1+Slot11_Rate)^(Slot11_Age-D23),(1+Slot11_Rate)^(Slot11_Age-D23)*(1-((1+AS_Wage)/(1+Slot11_Rate))^(Slot11_Age-D23))/(1-(1+AS_Wage)/(1+Slot11_Rate))),1)</f>
        <v>1</v>
      </c>
      <c r="LI23" s="20" t="n">
        <f aca="false">IF(AND(HU23=1,IE23&gt;0,Slot11_IsWG=1,DT23=1),MAX(0,(Slot11_Cost-DU23*(1+Slot11_Rate)^(Slot11_Age-D23))/LH23),0)</f>
        <v>0</v>
      </c>
      <c r="LJ23" s="20" t="n">
        <f aca="false">IF(AND(HU23=1,IE23&gt;0,Slot11_IsWG=1,DT23=1),MIN(IE23,LI23),0)</f>
        <v>0</v>
      </c>
      <c r="LK23" s="20" t="n">
        <f aca="false">DU23+LJ23</f>
        <v>0</v>
      </c>
      <c r="LL23" s="20" t="n">
        <f aca="false">IF(DT23=1,MAX(0,(Slot11_Cost-LK23*(1+Slot11_Rate)^(Slot11_Age-D23))/LH23),0)</f>
        <v>0</v>
      </c>
      <c r="LM23" s="20" t="n">
        <f aca="false">IF(DT23=1,MAX(0,(Slot11_Cost-DU23*(1+Slot11_Rate)^(Slot11_Age-D23))/LH23),0)</f>
        <v>0</v>
      </c>
      <c r="LN23" s="20" t="n">
        <f aca="false">IF(AND(HU23=1,DT23=1),MIN(LG23,LL23),0)</f>
        <v>0</v>
      </c>
      <c r="LO23" s="20" t="n">
        <f aca="false">LG23-LN23</f>
        <v>2601.90354642439</v>
      </c>
      <c r="LP23" s="20" t="n">
        <f aca="false">IF(ED23=1,IF(ABS((1+AS_Wage)/(1+Slot12_Rate)-1)&lt;0.000000000001,(Slot12_Age-D23)*(1+Slot12_Rate)^(Slot12_Age-D23),(1+Slot12_Rate)^(Slot12_Age-D23)*(1-((1+AS_Wage)/(1+Slot12_Rate))^(Slot12_Age-D23))/(1-(1+AS_Wage)/(1+Slot12_Rate))),1)</f>
        <v>1</v>
      </c>
      <c r="LQ23" s="20" t="n">
        <f aca="false">IF(AND(HU23=1,IE23&gt;0,Slot12_IsWG=1,ED23=1),MAX(0,(Slot12_Cost-EE23*(1+Slot12_Rate)^(Slot12_Age-D23))/LP23),0)</f>
        <v>0</v>
      </c>
      <c r="LR23" s="20" t="n">
        <f aca="false">IF(AND(HU23=1,IE23&gt;0,Slot12_IsWG=1,ED23=1),MIN(IE23,LQ23),0)</f>
        <v>0</v>
      </c>
      <c r="LS23" s="20" t="n">
        <f aca="false">EE23+LR23</f>
        <v>0</v>
      </c>
      <c r="LT23" s="20" t="n">
        <f aca="false">IF(ED23=1,MAX(0,(Slot12_Cost-LS23*(1+Slot12_Rate)^(Slot12_Age-D23))/LP23),0)</f>
        <v>0</v>
      </c>
      <c r="LU23" s="20" t="n">
        <f aca="false">IF(ED23=1,MAX(0,(Slot12_Cost-EE23*(1+Slot12_Rate)^(Slot12_Age-D23))/LP23),0)</f>
        <v>0</v>
      </c>
      <c r="LV23" s="20" t="n">
        <f aca="false">IF(AND(HU23=1,ED23=1),MIN(LO23,LT23),0)</f>
        <v>0</v>
      </c>
      <c r="LW23" s="20" t="n">
        <f aca="false">LO23-LV23</f>
        <v>2601.90354642439</v>
      </c>
      <c r="LX23" s="20" t="n">
        <f aca="false">IF(EN23=1,IF(ABS((1+AS_Wage)/(1+Slot13_Rate)-1)&lt;0.000000000001,(Slot13_Age-D23)*(1+Slot13_Rate)^(Slot13_Age-D23),(1+Slot13_Rate)^(Slot13_Age-D23)*(1-((1+AS_Wage)/(1+Slot13_Rate))^(Slot13_Age-D23))/(1-(1+AS_Wage)/(1+Slot13_Rate))),1)</f>
        <v>1</v>
      </c>
      <c r="LY23" s="20" t="n">
        <f aca="false">IF(AND(HU23=1,IE23&gt;0,Slot13_IsWG=1,EN23=1),MAX(0,(Slot13_Cost-EO23*(1+Slot13_Rate)^(Slot13_Age-D23))/LX23),0)</f>
        <v>0</v>
      </c>
      <c r="LZ23" s="20" t="n">
        <f aca="false">IF(AND(HU23=1,IE23&gt;0,Slot13_IsWG=1,EN23=1),MIN(IE23,LY23),0)</f>
        <v>0</v>
      </c>
      <c r="MA23" s="20" t="n">
        <f aca="false">EO23+LZ23</f>
        <v>0</v>
      </c>
      <c r="MB23" s="20" t="n">
        <f aca="false">IF(EN23=1,MAX(0,(Slot13_Cost-MA23*(1+Slot13_Rate)^(Slot13_Age-D23))/LX23),0)</f>
        <v>0</v>
      </c>
      <c r="MC23" s="20" t="n">
        <f aca="false">IF(EN23=1,MAX(0,(Slot13_Cost-EO23*(1+Slot13_Rate)^(Slot13_Age-D23))/LX23),0)</f>
        <v>0</v>
      </c>
      <c r="MD23" s="20" t="n">
        <f aca="false">IF(AND(HU23=1,EN23=1),MIN(LW23,MB23),0)</f>
        <v>0</v>
      </c>
      <c r="ME23" s="20" t="n">
        <f aca="false">LW23-MD23</f>
        <v>2601.90354642439</v>
      </c>
      <c r="MF23" s="20" t="n">
        <f aca="false">IF(EX23=1,IF(ABS((1+AS_Wage)/(1+Slot14_Rate)-1)&lt;0.000000000001,(Slot14_Age-D23)*(1+Slot14_Rate)^(Slot14_Age-D23),(1+Slot14_Rate)^(Slot14_Age-D23)*(1-((1+AS_Wage)/(1+Slot14_Rate))^(Slot14_Age-D23))/(1-(1+AS_Wage)/(1+Slot14_Rate))),1)</f>
        <v>1</v>
      </c>
      <c r="MG23" s="20" t="n">
        <f aca="false">IF(AND(HU23=1,IE23&gt;0,Slot14_IsWG=1,EX23=1),MAX(0,(Slot14_Cost-EY23*(1+Slot14_Rate)^(Slot14_Age-D23))/MF23),0)</f>
        <v>0</v>
      </c>
      <c r="MH23" s="20" t="n">
        <f aca="false">IF(AND(HU23=1,IE23&gt;0,Slot14_IsWG=1,EX23=1),MIN(IE23,MG23),0)</f>
        <v>0</v>
      </c>
      <c r="MI23" s="20" t="n">
        <f aca="false">EY23+MH23</f>
        <v>0</v>
      </c>
      <c r="MJ23" s="20" t="n">
        <f aca="false">IF(EX23=1,MAX(0,(Slot14_Cost-MI23*(1+Slot14_Rate)^(Slot14_Age-D23))/MF23),0)</f>
        <v>0</v>
      </c>
      <c r="MK23" s="20" t="n">
        <f aca="false">IF(EX23=1,MAX(0,(Slot14_Cost-EY23*(1+Slot14_Rate)^(Slot14_Age-D23))/MF23),0)</f>
        <v>0</v>
      </c>
      <c r="ML23" s="20" t="n">
        <f aca="false">IF(AND(HU23=1,EX23=1),MIN(ME23,MJ23),0)</f>
        <v>0</v>
      </c>
      <c r="MM23" s="20" t="n">
        <f aca="false">ME23-ML23</f>
        <v>2601.90354642439</v>
      </c>
      <c r="MN23" s="20" t="n">
        <f aca="false">IF(FH23=1,IF(ABS((1+AS_Wage)/(1+Slot15_Rate)-1)&lt;0.000000000001,(Slot15_Age-D23)*(1+Slot15_Rate)^(Slot15_Age-D23),(1+Slot15_Rate)^(Slot15_Age-D23)*(1-((1+AS_Wage)/(1+Slot15_Rate))^(Slot15_Age-D23))/(1-(1+AS_Wage)/(1+Slot15_Rate))),1)</f>
        <v>1</v>
      </c>
      <c r="MO23" s="20" t="n">
        <f aca="false">IF(AND(HU23=1,IE23&gt;0,Slot15_IsWG=1,FH23=1),MAX(0,(Slot15_Cost-FI23*(1+Slot15_Rate)^(Slot15_Age-D23))/MN23),0)</f>
        <v>0</v>
      </c>
      <c r="MP23" s="20" t="n">
        <f aca="false">IF(AND(HU23=1,IE23&gt;0,Slot15_IsWG=1,FH23=1),MIN(IE23,MO23),0)</f>
        <v>0</v>
      </c>
      <c r="MQ23" s="20" t="n">
        <f aca="false">FI23+MP23</f>
        <v>0</v>
      </c>
      <c r="MR23" s="20" t="n">
        <f aca="false">IF(FH23=1,MAX(0,(Slot15_Cost-MQ23*(1+Slot15_Rate)^(Slot15_Age-D23))/MN23),0)</f>
        <v>0</v>
      </c>
      <c r="MS23" s="20" t="n">
        <f aca="false">IF(FH23=1,MAX(0,(Slot15_Cost-FI23*(1+Slot15_Rate)^(Slot15_Age-D23))/MN23),0)</f>
        <v>0</v>
      </c>
      <c r="MT23" s="20" t="n">
        <f aca="false">IF(AND(HU23=1,FH23=1),MIN(MM23,MR23),0)</f>
        <v>0</v>
      </c>
      <c r="MU23" s="20" t="n">
        <f aca="false">MM23-MT23</f>
        <v>2601.90354642439</v>
      </c>
      <c r="MV23" s="20" t="n">
        <f aca="false">IF(FR23=1,IF(ABS((1+AS_Wage)/(1+Slot16_Rate)-1)&lt;0.000000000001,(Slot16_Age-D23)*(1+Slot16_Rate)^(Slot16_Age-D23),(1+Slot16_Rate)^(Slot16_Age-D23)*(1-((1+AS_Wage)/(1+Slot16_Rate))^(Slot16_Age-D23))/(1-(1+AS_Wage)/(1+Slot16_Rate))),1)</f>
        <v>1</v>
      </c>
      <c r="MW23" s="20" t="n">
        <f aca="false">IF(AND(HU23=1,IE23&gt;0,Slot16_IsWG=1,FR23=1),MAX(0,(Slot16_Cost-FS23*(1+Slot16_Rate)^(Slot16_Age-D23))/MV23),0)</f>
        <v>0</v>
      </c>
      <c r="MX23" s="20" t="n">
        <f aca="false">IF(AND(HU23=1,IE23&gt;0,Slot16_IsWG=1,FR23=1),MIN(IE23,MW23),0)</f>
        <v>0</v>
      </c>
      <c r="MY23" s="20" t="n">
        <f aca="false">FS23+MX23</f>
        <v>0</v>
      </c>
      <c r="MZ23" s="20" t="n">
        <f aca="false">IF(FR23=1,MAX(0,(Slot16_Cost-MY23*(1+Slot16_Rate)^(Slot16_Age-D23))/MV23),0)</f>
        <v>0</v>
      </c>
      <c r="NA23" s="20" t="n">
        <f aca="false">IF(FR23=1,MAX(0,(Slot16_Cost-FS23*(1+Slot16_Rate)^(Slot16_Age-D23))/MV23),0)</f>
        <v>0</v>
      </c>
      <c r="NB23" s="20" t="n">
        <f aca="false">IF(AND(HU23=1,FR23=1),MIN(MU23,MZ23),0)</f>
        <v>0</v>
      </c>
      <c r="NC23" s="20" t="n">
        <f aca="false">MU23-NB23</f>
        <v>2601.90354642439</v>
      </c>
      <c r="ND23" s="20" t="n">
        <f aca="false">IF(GB23=1,IF(ABS((1+AS_Wage)/(1+Slot17_Rate)-1)&lt;0.000000000001,(Slot17_Age-D23)*(1+Slot17_Rate)^(Slot17_Age-D23),(1+Slot17_Rate)^(Slot17_Age-D23)*(1-((1+AS_Wage)/(1+Slot17_Rate))^(Slot17_Age-D23))/(1-(1+AS_Wage)/(1+Slot17_Rate))),1)</f>
        <v>1</v>
      </c>
      <c r="NE23" s="20" t="n">
        <f aca="false">IF(AND(HU23=1,IE23&gt;0,Slot17_IsWG=1,GB23=1),MAX(0,(Slot17_Cost-GC23*(1+Slot17_Rate)^(Slot17_Age-D23))/ND23),0)</f>
        <v>0</v>
      </c>
      <c r="NF23" s="20" t="n">
        <f aca="false">IF(AND(HU23=1,IE23&gt;0,Slot17_IsWG=1,GB23=1),MIN(IE23,NE23),0)</f>
        <v>0</v>
      </c>
      <c r="NG23" s="20" t="n">
        <f aca="false">GC23+NF23</f>
        <v>0</v>
      </c>
      <c r="NH23" s="20" t="n">
        <f aca="false">IF(GB23=1,MAX(0,(Slot17_Cost-NG23*(1+Slot17_Rate)^(Slot17_Age-D23))/ND23),0)</f>
        <v>0</v>
      </c>
      <c r="NI23" s="20" t="n">
        <f aca="false">IF(GB23=1,MAX(0,(Slot17_Cost-GC23*(1+Slot17_Rate)^(Slot17_Age-D23))/ND23),0)</f>
        <v>0</v>
      </c>
      <c r="NJ23" s="20" t="n">
        <f aca="false">IF(AND(HU23=1,GB23=1),MIN(NC23,NH23),0)</f>
        <v>0</v>
      </c>
      <c r="NK23" s="20" t="n">
        <f aca="false">NC23-NJ23</f>
        <v>2601.90354642439</v>
      </c>
      <c r="NL23" s="20" t="n">
        <f aca="false">IF(GL23=1,IF(ABS((1+AS_Wage)/(1+Slot18_Rate)-1)&lt;0.000000000001,(Slot18_Age-D23)*(1+Slot18_Rate)^(Slot18_Age-D23),(1+Slot18_Rate)^(Slot18_Age-D23)*(1-((1+AS_Wage)/(1+Slot18_Rate))^(Slot18_Age-D23))/(1-(1+AS_Wage)/(1+Slot18_Rate))),1)</f>
        <v>1</v>
      </c>
      <c r="NM23" s="20" t="n">
        <f aca="false">IF(AND(HU23=1,IE23&gt;0,Slot18_IsWG=1,GL23=1),MAX(0,(Slot18_Cost-GM23*(1+Slot18_Rate)^(Slot18_Age-D23))/NL23),0)</f>
        <v>0</v>
      </c>
      <c r="NN23" s="20" t="n">
        <f aca="false">IF(AND(HU23=1,IE23&gt;0,Slot18_IsWG=1,GL23=1),MIN(IE23,NM23),0)</f>
        <v>0</v>
      </c>
      <c r="NO23" s="20" t="n">
        <f aca="false">GM23+NN23</f>
        <v>0</v>
      </c>
      <c r="NP23" s="20" t="n">
        <f aca="false">IF(GL23=1,MAX(0,(Slot18_Cost-NO23*(1+Slot18_Rate)^(Slot18_Age-D23))/NL23),0)</f>
        <v>0</v>
      </c>
      <c r="NQ23" s="20" t="n">
        <f aca="false">IF(GL23=1,MAX(0,(Slot18_Cost-GM23*(1+Slot18_Rate)^(Slot18_Age-D23))/NL23),0)</f>
        <v>0</v>
      </c>
      <c r="NR23" s="20" t="n">
        <f aca="false">IF(AND(HU23=1,GL23=1),MIN(NK23,NP23),0)</f>
        <v>0</v>
      </c>
      <c r="NS23" s="20" t="n">
        <f aca="false">NK23-NR23</f>
        <v>2601.90354642439</v>
      </c>
      <c r="NT23" s="20" t="n">
        <f aca="false">IF(GV23=1,IF(ABS((1+AS_Wage)/(1+Slot19_Rate)-1)&lt;0.000000000001,(Slot19_Age-D23)*(1+Slot19_Rate)^(Slot19_Age-D23),(1+Slot19_Rate)^(Slot19_Age-D23)*(1-((1+AS_Wage)/(1+Slot19_Rate))^(Slot19_Age-D23))/(1-(1+AS_Wage)/(1+Slot19_Rate))),1)</f>
        <v>1</v>
      </c>
      <c r="NU23" s="20" t="n">
        <f aca="false">IF(AND(HU23=1,IE23&gt;0,Slot19_IsWG=1,GV23=1),MAX(0,(Slot19_Cost-GW23*(1+Slot19_Rate)^(Slot19_Age-D23))/NT23),0)</f>
        <v>0</v>
      </c>
      <c r="NV23" s="20" t="n">
        <f aca="false">IF(AND(HU23=1,IE23&gt;0,Slot19_IsWG=1,GV23=1),MIN(IE23,NU23),0)</f>
        <v>0</v>
      </c>
      <c r="NW23" s="20" t="n">
        <f aca="false">GW23+NV23</f>
        <v>0</v>
      </c>
      <c r="NX23" s="20" t="n">
        <f aca="false">IF(GV23=1,MAX(0,(Slot19_Cost-NW23*(1+Slot19_Rate)^(Slot19_Age-D23))/NT23),0)</f>
        <v>0</v>
      </c>
      <c r="NY23" s="20" t="n">
        <f aca="false">IF(GV23=1,MAX(0,(Slot19_Cost-GW23*(1+Slot19_Rate)^(Slot19_Age-D23))/NT23),0)</f>
        <v>0</v>
      </c>
      <c r="NZ23" s="20" t="n">
        <f aca="false">IF(AND(HU23=1,GV23=1),MIN(NS23,NX23),0)</f>
        <v>0</v>
      </c>
      <c r="OA23" s="20" t="n">
        <f aca="false">NS23-NZ23</f>
        <v>2601.90354642439</v>
      </c>
      <c r="OB23" s="20" t="n">
        <f aca="false">IF(HF23=1,IF(ABS((1+AS_Wage)/(1+Slot20_Rate)-1)&lt;0.000000000001,(Slot20_Age-D23)*(1+Slot20_Rate)^(Slot20_Age-D23),(1+Slot20_Rate)^(Slot20_Age-D23)*(1-((1+AS_Wage)/(1+Slot20_Rate))^(Slot20_Age-D23))/(1-(1+AS_Wage)/(1+Slot20_Rate))),1)</f>
        <v>1</v>
      </c>
      <c r="OC23" s="20" t="n">
        <f aca="false">IF(AND(HU23=1,IE23&gt;0,Slot20_IsWG=1,HF23=1),MAX(0,(Slot20_Cost-HG23*(1+Slot20_Rate)^(Slot20_Age-D23))/OB23),0)</f>
        <v>0</v>
      </c>
      <c r="OD23" s="20" t="n">
        <f aca="false">IF(AND(HU23=1,IE23&gt;0,Slot20_IsWG=1,HF23=1),MIN(IE23,OC23),0)</f>
        <v>0</v>
      </c>
      <c r="OE23" s="20" t="n">
        <f aca="false">HG23+OD23</f>
        <v>0</v>
      </c>
      <c r="OF23" s="20" t="n">
        <f aca="false">IF(HF23=1,MAX(0,(Slot20_Cost-OE23*(1+Slot20_Rate)^(Slot20_Age-D23))/OB23),0)</f>
        <v>0</v>
      </c>
      <c r="OG23" s="20" t="n">
        <f aca="false">IF(HF23=1,MAX(0,(Slot20_Cost-HG23*(1+Slot20_Rate)^(Slot20_Age-D23))/OB23),0)</f>
        <v>0</v>
      </c>
      <c r="OH23" s="20" t="n">
        <f aca="false">IF(AND(HU23=1,HF23=1),MIN(OA23,OF23),0)</f>
        <v>0</v>
      </c>
      <c r="OI23" s="20" t="n">
        <f aca="false">OA23-OH23</f>
        <v>2601.90354642439</v>
      </c>
      <c r="OJ23" s="20" t="n">
        <f aca="false">IE23-(IH23+IP23+IX23+JF23+JN23+JV23+KD23+KL23+KT23+LB23+LJ23+LR23+LZ23+MH23+MP23+MX23+NF23+NN23+NV23+OD23)</f>
        <v>0</v>
      </c>
      <c r="OK23" s="20" t="n">
        <f aca="false">IF(HU23=1,HS23-ID23-IE23,0)</f>
        <v>10149.2153282072</v>
      </c>
      <c r="OL23" s="20" t="n">
        <f aca="false">IF(HU23=0,-HS23,0)</f>
        <v>0</v>
      </c>
      <c r="OM23" s="20" t="n">
        <f aca="false">MIN(OL23,HK23)</f>
        <v>0</v>
      </c>
      <c r="ON23" s="20" t="n">
        <f aca="false">OL23-OM23</f>
        <v>0</v>
      </c>
      <c r="OO23" s="20" t="n">
        <f aca="false">MIN(ON23,HL23)</f>
        <v>0</v>
      </c>
      <c r="OP23" s="20" t="n">
        <f aca="false">ON23-OO23</f>
        <v>0</v>
      </c>
      <c r="OQ23" s="20" t="n">
        <f aca="false">IF(AND(HU23=0,HF23=1,OP23&gt;0),MIN(OP23,HG23),0)</f>
        <v>0</v>
      </c>
      <c r="OR23" s="20" t="n">
        <f aca="false">OP23-OQ23</f>
        <v>0</v>
      </c>
      <c r="OS23" s="20" t="n">
        <f aca="false">IF(AND(HU23=0,GV23=1,OR23&gt;0),MIN(OR23,GW23),0)</f>
        <v>0</v>
      </c>
      <c r="OT23" s="20" t="n">
        <f aca="false">OR23-OS23</f>
        <v>0</v>
      </c>
      <c r="OU23" s="20" t="n">
        <f aca="false">IF(AND(HU23=0,GL23=1,OT23&gt;0),MIN(OT23,GM23),0)</f>
        <v>0</v>
      </c>
      <c r="OV23" s="20" t="n">
        <f aca="false">OT23-OU23</f>
        <v>0</v>
      </c>
      <c r="OW23" s="20" t="n">
        <f aca="false">IF(AND(HU23=0,GB23=1,OV23&gt;0),MIN(OV23,GC23),0)</f>
        <v>0</v>
      </c>
      <c r="OX23" s="20" t="n">
        <f aca="false">OV23-OW23</f>
        <v>0</v>
      </c>
      <c r="OY23" s="20" t="n">
        <f aca="false">IF(AND(HU23=0,FR23=1,OX23&gt;0),MIN(OX23,FS23),0)</f>
        <v>0</v>
      </c>
      <c r="OZ23" s="20" t="n">
        <f aca="false">OX23-OY23</f>
        <v>0</v>
      </c>
      <c r="PA23" s="20" t="n">
        <f aca="false">IF(AND(HU23=0,FH23=1,OZ23&gt;0),MIN(OZ23,FI23),0)</f>
        <v>0</v>
      </c>
      <c r="PB23" s="20" t="n">
        <f aca="false">OZ23-PA23</f>
        <v>0</v>
      </c>
      <c r="PC23" s="20" t="n">
        <f aca="false">IF(AND(HU23=0,EX23=1,PB23&gt;0),MIN(PB23,EY23),0)</f>
        <v>0</v>
      </c>
      <c r="PD23" s="20" t="n">
        <f aca="false">PB23-PC23</f>
        <v>0</v>
      </c>
      <c r="PE23" s="20" t="n">
        <f aca="false">IF(AND(HU23=0,EN23=1,PD23&gt;0),MIN(PD23,EO23),0)</f>
        <v>0</v>
      </c>
      <c r="PF23" s="20" t="n">
        <f aca="false">PD23-PE23</f>
        <v>0</v>
      </c>
      <c r="PG23" s="20" t="n">
        <f aca="false">IF(AND(HU23=0,ED23=1,PF23&gt;0),MIN(PF23,EE23),0)</f>
        <v>0</v>
      </c>
      <c r="PH23" s="20" t="n">
        <f aca="false">PF23-PG23</f>
        <v>0</v>
      </c>
      <c r="PI23" s="20" t="n">
        <f aca="false">IF(AND(HU23=0,DT23=1,PH23&gt;0),MIN(PH23,DU23),0)</f>
        <v>0</v>
      </c>
      <c r="PJ23" s="20" t="n">
        <f aca="false">PH23-PI23</f>
        <v>0</v>
      </c>
      <c r="PK23" s="20" t="n">
        <f aca="false">IF(AND(HU23=0,DJ23=1,PJ23&gt;0),MIN(PJ23,DK23),0)</f>
        <v>0</v>
      </c>
      <c r="PL23" s="20" t="n">
        <f aca="false">PJ23-PK23</f>
        <v>0</v>
      </c>
      <c r="PM23" s="20" t="n">
        <f aca="false">IF(AND(HU23=0,CZ23=1,PL23&gt;0),MIN(PL23,DA23),0)</f>
        <v>0</v>
      </c>
      <c r="PN23" s="20" t="n">
        <f aca="false">PL23-PM23</f>
        <v>0</v>
      </c>
      <c r="PO23" s="20" t="n">
        <f aca="false">IF(AND(HU23=0,CP23=1,PN23&gt;0),MIN(PN23,CQ23),0)</f>
        <v>0</v>
      </c>
      <c r="PP23" s="20" t="n">
        <f aca="false">PN23-PO23</f>
        <v>0</v>
      </c>
      <c r="PQ23" s="20" t="n">
        <f aca="false">IF(AND(HU23=0,CF23=1,PP23&gt;0),MIN(PP23,CG23),0)</f>
        <v>0</v>
      </c>
      <c r="PR23" s="20" t="n">
        <f aca="false">PP23-PQ23</f>
        <v>0</v>
      </c>
      <c r="PS23" s="20" t="n">
        <f aca="false">IF(AND(HU23=0,BV23=1,PR23&gt;0),MIN(PR23,BW23),0)</f>
        <v>0</v>
      </c>
      <c r="PT23" s="20" t="n">
        <f aca="false">PR23-PS23</f>
        <v>0</v>
      </c>
      <c r="PU23" s="20" t="n">
        <f aca="false">IF(AND(HU23=0,BL23=1,PT23&gt;0),MIN(PT23,BM23),0)</f>
        <v>0</v>
      </c>
      <c r="PV23" s="20" t="n">
        <f aca="false">PT23-PU23</f>
        <v>0</v>
      </c>
      <c r="PW23" s="20" t="n">
        <f aca="false">IF(AND(HU23=0,BB23=1,PV23&gt;0),MIN(PV23,BC23),0)</f>
        <v>0</v>
      </c>
      <c r="PX23" s="20" t="n">
        <f aca="false">PV23-PW23</f>
        <v>0</v>
      </c>
      <c r="PY23" s="20" t="n">
        <f aca="false">IF(AND(HU23=0,AR23=1,PX23&gt;0),MIN(PX23,AS23),0)</f>
        <v>0</v>
      </c>
      <c r="PZ23" s="20" t="n">
        <f aca="false">PX23-PY23</f>
        <v>0</v>
      </c>
      <c r="QA23" s="20" t="n">
        <f aca="false">IF(AND(HU23=0,AH23=1,PZ23&gt;0),MIN(PZ23,AI23),0)</f>
        <v>0</v>
      </c>
      <c r="QB23" s="20" t="n">
        <f aca="false">PZ23-QA23</f>
        <v>0</v>
      </c>
      <c r="QC23" s="20" t="n">
        <f aca="false">IF(AND(HU23=0,W23=1,QB23&gt;0),MIN(QB23,X23),0)</f>
        <v>0</v>
      </c>
      <c r="QD23" s="20" t="n">
        <f aca="false">QB23-QC23</f>
        <v>0</v>
      </c>
      <c r="QE23" s="20" t="n">
        <f aca="false">IF(HU23=0,QD23,0)</f>
        <v>0</v>
      </c>
      <c r="QF23" s="20" t="n">
        <f aca="false">OM23+OO23+QC23+QA23+PY23+PW23+PU23+PS23+PQ23+PO23+PM23+PK23+PI23+PG23+PE23+PC23+PA23+OY23+OW23+OU23+OS23+OQ23</f>
        <v>0</v>
      </c>
      <c r="QG23" s="20" t="n">
        <f aca="false">IF(HU23=1,HK23+OJ23+OI23+IF(G23=1,0,OK23),HK23-OM23)</f>
        <v>13663.5470723114</v>
      </c>
      <c r="QH23" s="20" t="n">
        <f aca="false">HL23-OO23</f>
        <v>17761.0837344419</v>
      </c>
      <c r="QI23" s="20" t="n">
        <f aca="false">IF(HU23=1,IF(G23=1,ID23+IE23,HS23),0)</f>
        <v>8075.21002994478</v>
      </c>
      <c r="QJ23" s="20" t="n">
        <f aca="false">IF(HU23=1,IF(G23=1,HS23-ID23-IE23,0),0)</f>
        <v>10149.2153282072</v>
      </c>
      <c r="QK23" s="20" t="n">
        <f aca="false">QG23*(1+GR)</f>
        <v>13887.6292442973</v>
      </c>
      <c r="QL23" s="20" t="n">
        <f aca="false">QH23*(1+AS_Cash)</f>
        <v>17938.6945717863</v>
      </c>
      <c r="QM23" s="20" t="n">
        <f aca="false">IF(W23=1,IF(HU23=1,II23+IL23,X23-QC23)*(1+Slot1_Rate),0)</f>
        <v>0</v>
      </c>
      <c r="QN23" s="20" t="n">
        <f aca="false">IF(AND(HU23=1,W23=1),(IH23+IL23)/F23,0)</f>
        <v>0</v>
      </c>
      <c r="QO23" s="20" t="n">
        <f aca="false">IF(B23=0,IH23+IL23,0)</f>
        <v>0</v>
      </c>
      <c r="QP23" s="20" t="n">
        <f aca="false">IF(B23=0,IF(HU23=1,IJ23,IK23),0)</f>
        <v>0</v>
      </c>
      <c r="QQ23" s="20" t="n">
        <f aca="false">IF(AH23=1,IF(HU23=1,IQ23+IT23,AI23-QA23)*(1+Slot2_Rate),0)</f>
        <v>0</v>
      </c>
      <c r="QR23" s="20" t="n">
        <f aca="false">IF(AND(HU23=1,AH23=1),(IP23+IT23)/F23,0)</f>
        <v>0</v>
      </c>
      <c r="QS23" s="20" t="n">
        <f aca="false">IF(B23=0,IP23+IT23,0)</f>
        <v>0</v>
      </c>
      <c r="QT23" s="20" t="n">
        <f aca="false">IF(B23=0,IF(HU23=1,IR23,IS23),0)</f>
        <v>0</v>
      </c>
      <c r="QU23" s="20" t="n">
        <f aca="false">IF(AR23=1,IF(HU23=1,IY23+JB23,AS23-PY23)*(1+Slot3_Rate),0)</f>
        <v>0</v>
      </c>
      <c r="QV23" s="20" t="n">
        <f aca="false">IF(AND(HU23=1,AR23=1),(IX23+JB23)/F23,0)</f>
        <v>0</v>
      </c>
      <c r="QW23" s="20" t="n">
        <f aca="false">IF(B23=0,IX23+JB23,0)</f>
        <v>0</v>
      </c>
      <c r="QX23" s="20" t="n">
        <f aca="false">IF(B23=0,IF(HU23=1,IZ23,JA23),0)</f>
        <v>0</v>
      </c>
      <c r="QY23" s="20" t="n">
        <f aca="false">IF(BB23=1,IF(HU23=1,JG23+JJ23,BC23-PW23)*(1+Slot4_Rate),0)</f>
        <v>33368.2405722948</v>
      </c>
      <c r="QZ23" s="20" t="n">
        <f aca="false">IF(AND(HU23=1,BB23=1),(JF23+JJ23)/F23,0)</f>
        <v>4066.74733899731</v>
      </c>
      <c r="RA23" s="20" t="n">
        <f aca="false">IF(B23=0,JF23+JJ23,0)</f>
        <v>0</v>
      </c>
      <c r="RB23" s="20" t="n">
        <f aca="false">IF(B23=0,IF(HU23=1,JH23,JI23),0)</f>
        <v>0</v>
      </c>
      <c r="RC23" s="20" t="n">
        <f aca="false">IF(BL23=1,IF(HU23=1,JO23+JR23,BM23-PU23)*(1+Slot5_Rate),0)</f>
        <v>0</v>
      </c>
      <c r="RD23" s="20" t="n">
        <f aca="false">IF(AND(HU23=1,BL23=1),(JN23+JR23)/F23,0)</f>
        <v>0</v>
      </c>
      <c r="RE23" s="20" t="n">
        <f aca="false">IF(B23=0,JN23+JR23,0)</f>
        <v>0</v>
      </c>
      <c r="RF23" s="20" t="n">
        <f aca="false">IF(B23=0,IF(HU23=1,JP23,JQ23),0)</f>
        <v>0</v>
      </c>
      <c r="RG23" s="20" t="n">
        <f aca="false">IF(BV23=1,IF(HU23=1,JW23+JZ23,BW23-PS23)*(1+Slot6_Rate),0)</f>
        <v>0</v>
      </c>
      <c r="RH23" s="20" t="n">
        <f aca="false">IF(AND(HU23=1,BV23=1),(JV23+JZ23)/F23,0)</f>
        <v>0</v>
      </c>
      <c r="RI23" s="20" t="n">
        <f aca="false">IF(B23=0,JV23+JZ23,0)</f>
        <v>0</v>
      </c>
      <c r="RJ23" s="20" t="n">
        <f aca="false">IF(B23=0,IF(HU23=1,JX23,JY23),0)</f>
        <v>0</v>
      </c>
      <c r="RK23" s="20" t="n">
        <f aca="false">IF(CF23=1,IF(HU23=1,KE23+KH23,CG23-PQ23)*(1+Slot7_Rate),0)</f>
        <v>0</v>
      </c>
      <c r="RL23" s="20" t="n">
        <f aca="false">IF(AND(HU23=1,CF23=1),(KD23+KH23)/F23,0)</f>
        <v>0</v>
      </c>
      <c r="RM23" s="20" t="n">
        <f aca="false">IF(B23=0,KD23+KH23,0)</f>
        <v>0</v>
      </c>
      <c r="RN23" s="20" t="n">
        <f aca="false">IF(B23=0,IF(HU23=1,KF23,KG23),0)</f>
        <v>0</v>
      </c>
      <c r="RO23" s="20" t="n">
        <f aca="false">IF(CP23=1,IF(HU23=1,KM23+KP23,CQ23-PO23)*(1+Slot8_Rate),0)</f>
        <v>0</v>
      </c>
      <c r="RP23" s="20" t="n">
        <f aca="false">IF(AND(HU23=1,CP23=1),(KL23+KP23)/F23,0)</f>
        <v>0</v>
      </c>
      <c r="RQ23" s="20" t="n">
        <f aca="false">IF(B23=0,KL23+KP23,0)</f>
        <v>0</v>
      </c>
      <c r="RR23" s="20" t="n">
        <f aca="false">IF(B23=0,IF(HU23=1,KN23,KO23),0)</f>
        <v>0</v>
      </c>
      <c r="RS23" s="20" t="n">
        <f aca="false">IF(CZ23=1,IF(HU23=1,KU23+KX23,DA23-PM23)*(1+Slot9_Rate),0)</f>
        <v>0</v>
      </c>
      <c r="RT23" s="20" t="n">
        <f aca="false">IF(AND(HU23=1,CZ23=1),(KT23+KX23)/F23,0)</f>
        <v>0</v>
      </c>
      <c r="RU23" s="20" t="n">
        <f aca="false">IF(B23=0,KT23+KX23,0)</f>
        <v>0</v>
      </c>
      <c r="RV23" s="20" t="n">
        <f aca="false">IF(B23=0,IF(HU23=1,KV23,KW23),0)</f>
        <v>0</v>
      </c>
      <c r="RW23" s="20" t="n">
        <f aca="false">IF(DJ23=1,IF(HU23=1,LC23+LF23,DK23-PK23)*(1+Slot10_Rate),0)</f>
        <v>0</v>
      </c>
      <c r="RX23" s="20" t="n">
        <f aca="false">IF(AND(HU23=1,DJ23=1),(LB23+LF23)/F23,0)</f>
        <v>0</v>
      </c>
      <c r="RY23" s="20" t="n">
        <f aca="false">IF(B23=0,LB23+LF23,0)</f>
        <v>0</v>
      </c>
      <c r="RZ23" s="20" t="n">
        <f aca="false">IF(B23=0,IF(HU23=1,LD23,LE23),0)</f>
        <v>0</v>
      </c>
      <c r="SA23" s="20" t="n">
        <f aca="false">IF(DT23=1,IF(HU23=1,LK23+LN23,DU23-PI23)*(1+Slot11_Rate),0)</f>
        <v>0</v>
      </c>
      <c r="SB23" s="20" t="n">
        <f aca="false">IF(AND(HU23=1,DT23=1),(LJ23+LN23)/F23,0)</f>
        <v>0</v>
      </c>
      <c r="SC23" s="20" t="n">
        <f aca="false">IF(B23=0,LJ23+LN23,0)</f>
        <v>0</v>
      </c>
      <c r="SD23" s="20" t="n">
        <f aca="false">IF(B23=0,IF(HU23=1,LL23,LM23),0)</f>
        <v>0</v>
      </c>
      <c r="SE23" s="20" t="n">
        <f aca="false">IF(ED23=1,IF(HU23=1,LS23+LV23,EE23-PG23)*(1+Slot12_Rate),0)</f>
        <v>0</v>
      </c>
      <c r="SF23" s="20" t="n">
        <f aca="false">IF(AND(HU23=1,ED23=1),(LR23+LV23)/F23,0)</f>
        <v>0</v>
      </c>
      <c r="SG23" s="20" t="n">
        <f aca="false">IF(B23=0,LR23+LV23,0)</f>
        <v>0</v>
      </c>
      <c r="SH23" s="20" t="n">
        <f aca="false">IF(B23=0,IF(HU23=1,LT23,LU23),0)</f>
        <v>0</v>
      </c>
      <c r="SI23" s="20" t="n">
        <f aca="false">IF(EN23=1,IF(HU23=1,MA23+MD23,EO23-PE23)*(1+Slot13_Rate),0)</f>
        <v>0</v>
      </c>
      <c r="SJ23" s="20" t="n">
        <f aca="false">IF(AND(HU23=1,EN23=1),(LZ23+MD23)/F23,0)</f>
        <v>0</v>
      </c>
      <c r="SK23" s="20" t="n">
        <f aca="false">IF(B23=0,LZ23+MD23,0)</f>
        <v>0</v>
      </c>
      <c r="SL23" s="20" t="n">
        <f aca="false">IF(B23=0,IF(HU23=1,MB23,MC23),0)</f>
        <v>0</v>
      </c>
      <c r="SM23" s="20" t="n">
        <f aca="false">IF(EX23=1,IF(HU23=1,MI23+ML23,EY23-PC23)*(1+Slot14_Rate),0)</f>
        <v>0</v>
      </c>
      <c r="SN23" s="20" t="n">
        <f aca="false">IF(AND(HU23=1,EX23=1),(MH23+ML23)/F23,0)</f>
        <v>0</v>
      </c>
      <c r="SO23" s="20" t="n">
        <f aca="false">IF(B23=0,MH23+ML23,0)</f>
        <v>0</v>
      </c>
      <c r="SP23" s="20" t="n">
        <f aca="false">IF(B23=0,IF(HU23=1,MJ23,MK23),0)</f>
        <v>0</v>
      </c>
      <c r="SQ23" s="20" t="n">
        <f aca="false">IF(FH23=1,IF(HU23=1,MQ23+MT23,FI23-PA23)*(1+Slot15_Rate),0)</f>
        <v>0</v>
      </c>
      <c r="SR23" s="20" t="n">
        <f aca="false">IF(AND(HU23=1,FH23=1),(MP23+MT23)/F23,0)</f>
        <v>0</v>
      </c>
      <c r="SS23" s="20" t="n">
        <f aca="false">IF(B23=0,MP23+MT23,0)</f>
        <v>0</v>
      </c>
      <c r="ST23" s="20" t="n">
        <f aca="false">IF(B23=0,IF(HU23=1,MR23,MS23),0)</f>
        <v>0</v>
      </c>
      <c r="SU23" s="20" t="n">
        <f aca="false">IF(FR23=1,IF(HU23=1,MY23+NB23,FS23-OY23)*(1+Slot16_Rate),0)</f>
        <v>0</v>
      </c>
      <c r="SV23" s="20" t="n">
        <f aca="false">IF(AND(HU23=1,FR23=1),(MX23+NB23)/F23,0)</f>
        <v>0</v>
      </c>
      <c r="SW23" s="20" t="n">
        <f aca="false">IF(B23=0,MX23+NB23,0)</f>
        <v>0</v>
      </c>
      <c r="SX23" s="20" t="n">
        <f aca="false">IF(B23=0,IF(HU23=1,MZ23,NA23),0)</f>
        <v>0</v>
      </c>
      <c r="SY23" s="20" t="n">
        <f aca="false">IF(GB23=1,IF(HU23=1,NG23+NJ23,GC23-OW23)*(1+Slot17_Rate),0)</f>
        <v>0</v>
      </c>
      <c r="SZ23" s="20" t="n">
        <f aca="false">IF(AND(HU23=1,GB23=1),(NF23+NJ23)/F23,0)</f>
        <v>0</v>
      </c>
      <c r="TA23" s="20" t="n">
        <f aca="false">IF(B23=0,NF23+NJ23,0)</f>
        <v>0</v>
      </c>
      <c r="TB23" s="20" t="n">
        <f aca="false">IF(B23=0,IF(HU23=1,NH23,NI23),0)</f>
        <v>0</v>
      </c>
      <c r="TC23" s="20" t="n">
        <f aca="false">IF(GL23=1,IF(HU23=1,NO23+NR23,GM23-OU23)*(1+Slot18_Rate),0)</f>
        <v>0</v>
      </c>
      <c r="TD23" s="20" t="n">
        <f aca="false">IF(AND(HU23=1,GL23=1),(NN23+NR23)/F23,0)</f>
        <v>0</v>
      </c>
      <c r="TE23" s="20" t="n">
        <f aca="false">IF(B23=0,NN23+NR23,0)</f>
        <v>0</v>
      </c>
      <c r="TF23" s="20" t="n">
        <f aca="false">IF(B23=0,IF(HU23=1,NP23,NQ23),0)</f>
        <v>0</v>
      </c>
      <c r="TG23" s="20" t="n">
        <f aca="false">IF(GV23=1,IF(HU23=1,NW23+NZ23,GW23-OS23)*(1+Slot19_Rate),0)</f>
        <v>0</v>
      </c>
      <c r="TH23" s="20" t="n">
        <f aca="false">IF(AND(HU23=1,GV23=1),(NV23+NZ23)/F23,0)</f>
        <v>0</v>
      </c>
      <c r="TI23" s="20" t="n">
        <f aca="false">IF(B23=0,NV23+NZ23,0)</f>
        <v>0</v>
      </c>
      <c r="TJ23" s="20" t="n">
        <f aca="false">IF(B23=0,IF(HU23=1,NX23,NY23),0)</f>
        <v>0</v>
      </c>
      <c r="TK23" s="20" t="n">
        <f aca="false">IF(HF23=1,IF(HU23=1,OE23+OH23,HG23-OQ23)*(1+Slot20_Rate),0)</f>
        <v>0</v>
      </c>
      <c r="TL23" s="20" t="n">
        <f aca="false">IF(AND(HU23=1,HF23=1),(OD23+OH23)/F23,0)</f>
        <v>0</v>
      </c>
      <c r="TM23" s="20" t="n">
        <f aca="false">IF(B23=0,OD23+OH23,0)</f>
        <v>0</v>
      </c>
      <c r="TN23" s="20" t="n">
        <f aca="false">IF(B23=0,IF(HU23=1,OF23,OG23),0)</f>
        <v>0</v>
      </c>
      <c r="TO23" s="20" t="n">
        <f aca="false">QK23+QL23+QM23+QQ23+QU23+QY23+RC23+RG23+RK23+RO23+RS23+RW23+SA23+SE23+SI23+SM23+SQ23+SU23+SY23+TC23+TG23+TK23</f>
        <v>65194.5643883784</v>
      </c>
      <c r="TP23" s="20" t="n">
        <f aca="false">QE23+HP23</f>
        <v>0</v>
      </c>
      <c r="TQ23" s="20" t="n">
        <f aca="false">I23+S23</f>
        <v>74724.0752245859</v>
      </c>
      <c r="TR23" s="20" t="n">
        <f aca="false">1-G23</f>
        <v>0</v>
      </c>
      <c r="TS23" s="20" t="n">
        <f aca="false">IF(AND(RG_Exists=1,G23=0,C23=1),I23,0)</f>
        <v>0</v>
      </c>
      <c r="TT23" s="20" t="n">
        <f aca="false">IF(AND(RG_Exists=1,G23=0,C23=1),I23-MIN(QE23,I23),0)</f>
        <v>0</v>
      </c>
      <c r="TU23" s="20" t="n">
        <f aca="false">'Plan pay &amp; tax'!AD249</f>
        <v>319358.75601367</v>
      </c>
      <c r="TV23" s="20" t="n">
        <f aca="false">IF(AND(C23=1,QE23&gt;MAX(PR_Short1,TQ23*PR_Short2)),1,0)</f>
        <v>0</v>
      </c>
      <c r="TW23" s="20" t="n">
        <f aca="false">MIN(H23,I23+S23)</f>
        <v>74724.0752245859</v>
      </c>
      <c r="TX23" s="20" t="n">
        <f aca="false">QF23+MAX(0,HQ23-HP23)</f>
        <v>0</v>
      </c>
      <c r="TY23" s="20" t="n">
        <f aca="false">QE23+HP23</f>
        <v>0</v>
      </c>
      <c r="TZ23" s="20" t="n">
        <f aca="false">IF(AND(C23=1,TY23&gt;PR_MinShort),1,0)</f>
        <v>0</v>
      </c>
      <c r="UA23" s="20" t="n">
        <f aca="false">IF(AND(C23=1,TZ23=0,TX23&gt;PR_MinShort),1,0)</f>
        <v>0</v>
      </c>
      <c r="UB23" s="20" t="n">
        <f aca="false">IF(AND(C23=1,QE23&gt;PR_MinShort),1,0)</f>
        <v>0</v>
      </c>
      <c r="UC23" s="20" t="n">
        <f aca="false">IF(AND(C23=1,QF23&gt;1,UJ23=0),1,0)</f>
        <v>0</v>
      </c>
      <c r="UD23" s="20" t="str">
        <f aca="false">IF(C23=0,"",IF(UJ23=1,"Gap to plan for: short "&amp;"€"&amp;TEXT(ROUND(TP23,0),"#,##0"),IF(QF23&gt;1,"Using savings","Comfortable")))</f>
        <v>Comfortable</v>
      </c>
      <c r="UE23" s="20" t="n">
        <f aca="false">IF(AND(INT(D23/10)*10=90,B23&gt;0),80,INT(D23/10)*10)</f>
        <v>50</v>
      </c>
      <c r="UF23" s="20" t="n">
        <f aca="false">IF(B23=0,1,IF(UE23&lt;&gt;UE22,UF22+1,UF22))</f>
        <v>3</v>
      </c>
      <c r="UG23" s="20" t="n">
        <f aca="false">IF(AND(C23=1,G23=1,QE23&gt;MAX(PR_Short1,TQ23*PR_Short2)),1,0)</f>
        <v>0</v>
      </c>
      <c r="UH23" s="20" t="n">
        <f aca="false">TR23*TV23</f>
        <v>0</v>
      </c>
      <c r="UI23" s="20" t="n">
        <f aca="false">IF(AND(V23=1,Slot1_PctLow=1),1,0)+IF(AND(AG23=1,Slot2_PctLow=1),1,0)+IF(AND(AQ23=1,Slot3_PctLow=1),1,0)+IF(AND(BA23=1,Slot4_PctLow=1),1,0)+IF(AND(BK23=1,Slot5_PctLow=1),1,0)+IF(AND(BU23=1,Slot6_PctLow=1),1,0)+IF(AND(CE23=1,Slot7_PctLow=1),1,0)+IF(AND(CO23=1,Slot8_PctLow=1),1,0)+IF(AND(CY23=1,Slot9_PctLow=1),1,0)+IF(AND(DI23=1,Slot10_PctLow=1),1,0)+IF(AND(DS23=1,Slot11_PctLow=1),1,0)+IF(AND(EC23=1,Slot12_PctLow=1),1,0)+IF(AND(EM23=1,Slot13_PctLow=1),1,0)+IF(AND(EW23=1,Slot14_PctLow=1),1,0)+IF(AND(FG23=1,Slot15_PctLow=1),1,0)+IF(AND(FQ23=1,Slot16_PctLow=1),1,0)+IF(AND(GA23=1,Slot17_PctLow=1),1,0)+IF(AND(GK23=1,Slot18_PctLow=1),1,0)+IF(AND(GU23=1,Slot19_PctLow=1),1,0)+IF(AND(HE23=1,Slot20_PctLow=1),1,0)</f>
        <v>0</v>
      </c>
      <c r="UJ23" s="20" t="n">
        <f aca="false">IF(C23=1,IF(OR(TV23=1,UI23&gt;0),1,0),0)</f>
        <v>0</v>
      </c>
    </row>
    <row r="24" customFormat="false" ht="15" hidden="false" customHeight="true" outlineLevel="0" collapsed="false">
      <c r="B24" s="20" t="n">
        <v>16</v>
      </c>
      <c r="C24" s="20" t="n">
        <f aca="false">IF(B24&lt;=F_N,1,0)</f>
        <v>1</v>
      </c>
      <c r="D24" s="20" t="n">
        <f aca="false">'Plan pay &amp; tax'!C250</f>
        <v>54</v>
      </c>
      <c r="E24" s="20" t="str">
        <f aca="false">IF($C24=1,"Income tax "&amp;TEXT(N('Plan pay &amp; tax'!BK250),"#,##0")&amp;"; USC "&amp;TEXT(N('Plan pay &amp; tax'!BM250)+N('Plan pay &amp; tax'!BO250),"#,##0")&amp;"; PRSI "&amp;TEXT(N('Plan pay &amp; tax'!BP250)+N('Plan pay &amp; tax'!BQ250),"#,##0")&amp;". DIRT and exit tax are inside the growth rates here.","")</f>
        <v>Income tax 14,004; USC 1,901; PRSI 4,395. DIRT and exit tax are inside the growth rates here.</v>
      </c>
      <c r="F24" s="44" t="n">
        <f aca="false">'Plan pay &amp; tax'!E250</f>
        <v>1.37278570509061</v>
      </c>
      <c r="G24" s="20" t="n">
        <f aca="false">'Plan pay &amp; tax'!G250</f>
        <v>1</v>
      </c>
      <c r="H24" s="20" t="n">
        <f aca="false">'Plan pay &amp; tax'!BT250-'Plan pay &amp; tax'!BS250-'Plan pay &amp; tax'!R250</f>
        <v>95502.1371061065</v>
      </c>
      <c r="I24" s="20" t="n">
        <f aca="false">IF(G24=1,F_CostsM*12,IF(RG_Exists=1,RG_Amount,F_CostsM*12*AS_RetireSpend))*F24+F_OneOffY*F24</f>
        <v>61775.3567290776</v>
      </c>
      <c r="J24" s="20" t="n">
        <f aca="false">HR23</f>
        <v>64273.7411370787</v>
      </c>
      <c r="K24" s="20" t="n">
        <f aca="false">IF(J24&gt;1,'Plan debt months'!AC24,0)</f>
        <v>14160</v>
      </c>
      <c r="L24" s="20" t="n">
        <f aca="false">IF(J24&gt;1,'Plan debt months'!AB24,J24)</f>
        <v>52379.8592822762</v>
      </c>
      <c r="M24" s="20" t="n">
        <f aca="false">O23</f>
        <v>0</v>
      </c>
      <c r="N24" s="20" t="n">
        <f aca="false">IF(M24&gt;1,'Plan debt months'!BD24,0)</f>
        <v>0</v>
      </c>
      <c r="O24" s="20" t="n">
        <f aca="false">IF(M24&gt;1,'Plan debt months'!BC24,M24)</f>
        <v>0</v>
      </c>
      <c r="P24" s="20" t="n">
        <f aca="false">R23</f>
        <v>0</v>
      </c>
      <c r="Q24" s="20" t="n">
        <f aca="false">IF(P24&gt;1,'Plan debt months'!CE24,0)</f>
        <v>0</v>
      </c>
      <c r="R24" s="20" t="n">
        <f aca="false">IF(P24&gt;1,'Plan debt months'!CD24,P24)</f>
        <v>0</v>
      </c>
      <c r="S24" s="20" t="n">
        <f aca="false">K24+N24+Q24</f>
        <v>14160</v>
      </c>
      <c r="T24" s="20" t="n">
        <f aca="false">QK23+'Plan pay &amp; tax'!Y250</f>
        <v>13887.6292442973</v>
      </c>
      <c r="U24" s="20" t="n">
        <f aca="false">QK23</f>
        <v>13887.6292442973</v>
      </c>
      <c r="V24" s="20" t="n">
        <f aca="false">IF(AND(Slot1_On=1,D24=Slot1_Age),1,0)</f>
        <v>0</v>
      </c>
      <c r="W24" s="20" t="n">
        <f aca="false">IF(AND(Slot1_On=1,Slot1_Age&gt;D24),1,0)</f>
        <v>0</v>
      </c>
      <c r="X24" s="20" t="n">
        <f aca="false">QM23</f>
        <v>0</v>
      </c>
      <c r="Y24" s="20" t="n">
        <f aca="false">V24*MIN(Slot1_Cost,X24)</f>
        <v>0</v>
      </c>
      <c r="Z24" s="20" t="n">
        <f aca="false">V24*Slot1_SpendLike*MIN(Slot1_Cost-Y24,T24)</f>
        <v>0</v>
      </c>
      <c r="AA24" s="20" t="n">
        <f aca="false">Y24+Z24</f>
        <v>0</v>
      </c>
      <c r="AB24" s="20" t="n">
        <f aca="false">T24-Z24+V24*IF(Slot1_SpendLike=1,X24-Y24,IF(Slot1_PotFree=1,X24,0))</f>
        <v>13887.6292442973</v>
      </c>
      <c r="AC24" s="20" t="n">
        <f aca="false">AF24+V24*Slot1_BufPot*X24</f>
        <v>17938.6945717863</v>
      </c>
      <c r="AD24" s="20" t="n">
        <f aca="false">IF(AND(V24=1,Slot1_IsMfree=1),IF(AA24&gt;=Slot1_Cost-1,0,MAX(0,L24-AA24)),L24)</f>
        <v>52379.8592822762</v>
      </c>
      <c r="AE24" s="20" t="n">
        <f aca="false">V24*(Slot1_Cost-AA24)</f>
        <v>0</v>
      </c>
      <c r="AF24" s="20" t="n">
        <f aca="false">QL23</f>
        <v>17938.6945717863</v>
      </c>
      <c r="AG24" s="20" t="n">
        <f aca="false">IF(AND(Slot2_On=1,D24=Slot2_Age),1,0)</f>
        <v>0</v>
      </c>
      <c r="AH24" s="20" t="n">
        <f aca="false">IF(AND(Slot2_On=1,Slot2_Age&gt;D24),1,0)</f>
        <v>0</v>
      </c>
      <c r="AI24" s="20" t="n">
        <f aca="false">QQ23</f>
        <v>0</v>
      </c>
      <c r="AJ24" s="20" t="n">
        <f aca="false">AG24*MIN(Slot2_Cost,AI24)</f>
        <v>0</v>
      </c>
      <c r="AK24" s="20" t="n">
        <f aca="false">AG24*Slot2_SpendLike*MIN(Slot2_Cost-AJ24,AB24)</f>
        <v>0</v>
      </c>
      <c r="AL24" s="20" t="n">
        <f aca="false">AJ24+AK24</f>
        <v>0</v>
      </c>
      <c r="AM24" s="20" t="n">
        <f aca="false">AB24-AK24+AG24*IF(Slot2_SpendLike=1,AI24-AJ24,IF(Slot2_PotFree=1,AI24,0))</f>
        <v>13887.6292442973</v>
      </c>
      <c r="AN24" s="20" t="n">
        <f aca="false">AC24+AG24*Slot2_BufPot*AI24</f>
        <v>17938.6945717863</v>
      </c>
      <c r="AO24" s="20" t="n">
        <f aca="false">IF(AND(AG24=1,Slot2_IsMfree=1),IF(AL24&gt;=Slot2_Cost-1,0,MAX(0,AD24-AL24)),AD24)</f>
        <v>52379.8592822762</v>
      </c>
      <c r="AP24" s="20" t="n">
        <f aca="false">AG24*(Slot2_Cost-AL24)</f>
        <v>0</v>
      </c>
      <c r="AQ24" s="20" t="n">
        <f aca="false">IF(AND(Slot3_On=1,D24=Slot3_Age),1,0)</f>
        <v>0</v>
      </c>
      <c r="AR24" s="20" t="n">
        <f aca="false">IF(AND(Slot3_On=1,Slot3_Age&gt;D24),1,0)</f>
        <v>0</v>
      </c>
      <c r="AS24" s="20" t="n">
        <f aca="false">QU23</f>
        <v>0</v>
      </c>
      <c r="AT24" s="20" t="n">
        <f aca="false">AQ24*MIN(Slot3_Cost,AS24)</f>
        <v>0</v>
      </c>
      <c r="AU24" s="20" t="n">
        <f aca="false">AQ24*Slot3_SpendLike*MIN(Slot3_Cost-AT24,AM24)</f>
        <v>0</v>
      </c>
      <c r="AV24" s="20" t="n">
        <f aca="false">AT24+AU24</f>
        <v>0</v>
      </c>
      <c r="AW24" s="20" t="n">
        <f aca="false">AM24-AU24+AQ24*IF(Slot3_SpendLike=1,AS24-AT24,IF(Slot3_PotFree=1,AS24,0))</f>
        <v>13887.6292442973</v>
      </c>
      <c r="AX24" s="20" t="n">
        <f aca="false">AN24+AQ24*Slot3_BufPot*AS24</f>
        <v>17938.6945717863</v>
      </c>
      <c r="AY24" s="20" t="n">
        <f aca="false">IF(AND(AQ24=1,Slot3_IsMfree=1),IF(AV24&gt;=Slot3_Cost-1,0,MAX(0,AO24-AV24)),AO24)</f>
        <v>52379.8592822762</v>
      </c>
      <c r="AZ24" s="20" t="n">
        <f aca="false">AQ24*(Slot3_Cost-AV24)</f>
        <v>0</v>
      </c>
      <c r="BA24" s="20" t="n">
        <f aca="false">IF(AND(Slot4_On=1,D24=Slot4_Age),1,0)</f>
        <v>0</v>
      </c>
      <c r="BB24" s="20" t="n">
        <f aca="false">IF(AND(Slot4_On=1,Slot4_Age&gt;D24),1,0)</f>
        <v>1</v>
      </c>
      <c r="BC24" s="20" t="n">
        <f aca="false">QY23</f>
        <v>33368.2405722948</v>
      </c>
      <c r="BD24" s="20" t="n">
        <f aca="false">BA24*MIN(Slot4_Cost,BC24)</f>
        <v>0</v>
      </c>
      <c r="BE24" s="20" t="n">
        <f aca="false">BA24*Slot4_SpendLike*MIN(Slot4_Cost-BD24,AW24)</f>
        <v>0</v>
      </c>
      <c r="BF24" s="20" t="n">
        <f aca="false">BD24+BE24</f>
        <v>0</v>
      </c>
      <c r="BG24" s="20" t="n">
        <f aca="false">AW24-BE24+BA24*IF(Slot4_SpendLike=1,BC24-BD24,IF(Slot4_PotFree=1,BC24,0))</f>
        <v>13887.6292442973</v>
      </c>
      <c r="BH24" s="20" t="n">
        <f aca="false">AX24+BA24*Slot4_BufPot*BC24</f>
        <v>17938.6945717863</v>
      </c>
      <c r="BI24" s="20" t="n">
        <f aca="false">IF(AND(BA24=1,Slot4_IsMfree=1),IF(BF24&gt;=Slot4_Cost-1,0,MAX(0,AY24-BF24)),AY24)</f>
        <v>52379.8592822762</v>
      </c>
      <c r="BJ24" s="20" t="n">
        <f aca="false">BA24*(Slot4_Cost-BF24)</f>
        <v>0</v>
      </c>
      <c r="BK24" s="20" t="n">
        <f aca="false">IF(AND(Slot5_On=1,D24=Slot5_Age),1,0)</f>
        <v>0</v>
      </c>
      <c r="BL24" s="20" t="n">
        <f aca="false">IF(AND(Slot5_On=1,Slot5_Age&gt;D24),1,0)</f>
        <v>0</v>
      </c>
      <c r="BM24" s="20" t="n">
        <f aca="false">RC23</f>
        <v>0</v>
      </c>
      <c r="BN24" s="20" t="n">
        <f aca="false">BK24*MIN(Slot5_Cost,BM24)</f>
        <v>0</v>
      </c>
      <c r="BO24" s="20" t="n">
        <f aca="false">BK24*Slot5_SpendLike*MIN(Slot5_Cost-BN24,BG24)</f>
        <v>0</v>
      </c>
      <c r="BP24" s="20" t="n">
        <f aca="false">BN24+BO24</f>
        <v>0</v>
      </c>
      <c r="BQ24" s="20" t="n">
        <f aca="false">BG24-BO24+BK24*IF(Slot5_SpendLike=1,BM24-BN24,IF(Slot5_PotFree=1,BM24,0))</f>
        <v>13887.6292442973</v>
      </c>
      <c r="BR24" s="20" t="n">
        <f aca="false">BH24+BK24*Slot5_BufPot*BM24</f>
        <v>17938.6945717863</v>
      </c>
      <c r="BS24" s="20" t="n">
        <f aca="false">IF(AND(BK24=1,Slot5_IsMfree=1),IF(BP24&gt;=Slot5_Cost-1,0,MAX(0,BI24-BP24)),BI24)</f>
        <v>52379.8592822762</v>
      </c>
      <c r="BT24" s="20" t="n">
        <f aca="false">BK24*(Slot5_Cost-BP24)</f>
        <v>0</v>
      </c>
      <c r="BU24" s="20" t="n">
        <f aca="false">IF(AND(Slot6_On=1,D24=Slot6_Age),1,0)</f>
        <v>0</v>
      </c>
      <c r="BV24" s="20" t="n">
        <f aca="false">IF(AND(Slot6_On=1,Slot6_Age&gt;D24),1,0)</f>
        <v>0</v>
      </c>
      <c r="BW24" s="20" t="n">
        <f aca="false">RG23</f>
        <v>0</v>
      </c>
      <c r="BX24" s="20" t="n">
        <f aca="false">BU24*MIN(Slot6_Cost,BW24)</f>
        <v>0</v>
      </c>
      <c r="BY24" s="20" t="n">
        <f aca="false">BU24*Slot6_SpendLike*MIN(Slot6_Cost-BX24,BQ24)</f>
        <v>0</v>
      </c>
      <c r="BZ24" s="20" t="n">
        <f aca="false">BX24+BY24</f>
        <v>0</v>
      </c>
      <c r="CA24" s="20" t="n">
        <f aca="false">BQ24-BY24+BU24*IF(Slot6_SpendLike=1,BW24-BX24,IF(Slot6_PotFree=1,BW24,0))</f>
        <v>13887.6292442973</v>
      </c>
      <c r="CB24" s="20" t="n">
        <f aca="false">BR24+BU24*Slot6_BufPot*BW24</f>
        <v>17938.6945717863</v>
      </c>
      <c r="CC24" s="20" t="n">
        <f aca="false">IF(AND(BU24=1,Slot6_IsMfree=1),IF(BZ24&gt;=Slot6_Cost-1,0,MAX(0,BS24-BZ24)),BS24)</f>
        <v>52379.8592822762</v>
      </c>
      <c r="CD24" s="20" t="n">
        <f aca="false">BU24*(Slot6_Cost-BZ24)</f>
        <v>0</v>
      </c>
      <c r="CE24" s="20" t="n">
        <f aca="false">IF(AND(Slot7_On=1,D24=Slot7_Age),1,0)</f>
        <v>0</v>
      </c>
      <c r="CF24" s="20" t="n">
        <f aca="false">IF(AND(Slot7_On=1,Slot7_Age&gt;D24),1,0)</f>
        <v>0</v>
      </c>
      <c r="CG24" s="20" t="n">
        <f aca="false">RK23</f>
        <v>0</v>
      </c>
      <c r="CH24" s="20" t="n">
        <f aca="false">CE24*MIN(Slot7_Cost,CG24)</f>
        <v>0</v>
      </c>
      <c r="CI24" s="20" t="n">
        <f aca="false">CE24*Slot7_SpendLike*MIN(Slot7_Cost-CH24,CA24)</f>
        <v>0</v>
      </c>
      <c r="CJ24" s="20" t="n">
        <f aca="false">CH24+CI24</f>
        <v>0</v>
      </c>
      <c r="CK24" s="20" t="n">
        <f aca="false">CA24-CI24+CE24*IF(Slot7_SpendLike=1,CG24-CH24,IF(Slot7_PotFree=1,CG24,0))</f>
        <v>13887.6292442973</v>
      </c>
      <c r="CL24" s="20" t="n">
        <f aca="false">CB24+CE24*Slot7_BufPot*CG24</f>
        <v>17938.6945717863</v>
      </c>
      <c r="CM24" s="20" t="n">
        <f aca="false">IF(AND(CE24=1,Slot7_IsMfree=1),IF(CJ24&gt;=Slot7_Cost-1,0,MAX(0,CC24-CJ24)),CC24)</f>
        <v>52379.8592822762</v>
      </c>
      <c r="CN24" s="20" t="n">
        <f aca="false">CE24*(Slot7_Cost-CJ24)</f>
        <v>0</v>
      </c>
      <c r="CO24" s="20" t="n">
        <f aca="false">IF(AND(Slot8_On=1,D24=Slot8_Age),1,0)</f>
        <v>0</v>
      </c>
      <c r="CP24" s="20" t="n">
        <f aca="false">IF(AND(Slot8_On=1,Slot8_Age&gt;D24),1,0)</f>
        <v>0</v>
      </c>
      <c r="CQ24" s="20" t="n">
        <f aca="false">RO23</f>
        <v>0</v>
      </c>
      <c r="CR24" s="20" t="n">
        <f aca="false">CO24*MIN(Slot8_Cost,CQ24)</f>
        <v>0</v>
      </c>
      <c r="CS24" s="20" t="n">
        <f aca="false">CO24*Slot8_SpendLike*MIN(Slot8_Cost-CR24,CK24)</f>
        <v>0</v>
      </c>
      <c r="CT24" s="20" t="n">
        <f aca="false">CR24+CS24</f>
        <v>0</v>
      </c>
      <c r="CU24" s="20" t="n">
        <f aca="false">CK24-CS24+CO24*IF(Slot8_SpendLike=1,CQ24-CR24,IF(Slot8_PotFree=1,CQ24,0))</f>
        <v>13887.6292442973</v>
      </c>
      <c r="CV24" s="20" t="n">
        <f aca="false">CL24+CO24*Slot8_BufPot*CQ24</f>
        <v>17938.6945717863</v>
      </c>
      <c r="CW24" s="20" t="n">
        <f aca="false">IF(AND(CO24=1,Slot8_IsMfree=1),IF(CT24&gt;=Slot8_Cost-1,0,MAX(0,CM24-CT24)),CM24)</f>
        <v>52379.8592822762</v>
      </c>
      <c r="CX24" s="20" t="n">
        <f aca="false">CO24*(Slot8_Cost-CT24)</f>
        <v>0</v>
      </c>
      <c r="CY24" s="20" t="n">
        <f aca="false">IF(AND(Slot9_On=1,D24=Slot9_Age),1,0)</f>
        <v>0</v>
      </c>
      <c r="CZ24" s="20" t="n">
        <f aca="false">IF(AND(Slot9_On=1,Slot9_Age&gt;D24),1,0)</f>
        <v>0</v>
      </c>
      <c r="DA24" s="20" t="n">
        <f aca="false">RS23</f>
        <v>0</v>
      </c>
      <c r="DB24" s="20" t="n">
        <f aca="false">CY24*MIN(Slot9_Cost,DA24)</f>
        <v>0</v>
      </c>
      <c r="DC24" s="20" t="n">
        <f aca="false">CY24*Slot9_SpendLike*MIN(Slot9_Cost-DB24,CU24)</f>
        <v>0</v>
      </c>
      <c r="DD24" s="20" t="n">
        <f aca="false">DB24+DC24</f>
        <v>0</v>
      </c>
      <c r="DE24" s="20" t="n">
        <f aca="false">CU24-DC24+CY24*IF(Slot9_SpendLike=1,DA24-DB24,IF(Slot9_PotFree=1,DA24,0))</f>
        <v>13887.6292442973</v>
      </c>
      <c r="DF24" s="20" t="n">
        <f aca="false">CV24+CY24*Slot9_BufPot*DA24</f>
        <v>17938.6945717863</v>
      </c>
      <c r="DG24" s="20" t="n">
        <f aca="false">IF(AND(CY24=1,Slot9_IsMfree=1),IF(DD24&gt;=Slot9_Cost-1,0,MAX(0,CW24-DD24)),CW24)</f>
        <v>52379.8592822762</v>
      </c>
      <c r="DH24" s="20" t="n">
        <f aca="false">CY24*(Slot9_Cost-DD24)</f>
        <v>0</v>
      </c>
      <c r="DI24" s="20" t="n">
        <f aca="false">IF(AND(Slot10_On=1,D24=Slot10_Age),1,0)</f>
        <v>0</v>
      </c>
      <c r="DJ24" s="20" t="n">
        <f aca="false">IF(AND(Slot10_On=1,Slot10_Age&gt;D24),1,0)</f>
        <v>0</v>
      </c>
      <c r="DK24" s="20" t="n">
        <f aca="false">RW23</f>
        <v>0</v>
      </c>
      <c r="DL24" s="20" t="n">
        <f aca="false">DI24*MIN(Slot10_Cost,DK24)</f>
        <v>0</v>
      </c>
      <c r="DM24" s="20" t="n">
        <f aca="false">DI24*Slot10_SpendLike*MIN(Slot10_Cost-DL24,DE24)</f>
        <v>0</v>
      </c>
      <c r="DN24" s="20" t="n">
        <f aca="false">DL24+DM24</f>
        <v>0</v>
      </c>
      <c r="DO24" s="20" t="n">
        <f aca="false">DE24-DM24+DI24*IF(Slot10_SpendLike=1,DK24-DL24,IF(Slot10_PotFree=1,DK24,0))</f>
        <v>13887.6292442973</v>
      </c>
      <c r="DP24" s="20" t="n">
        <f aca="false">DF24+DI24*Slot10_BufPot*DK24</f>
        <v>17938.6945717863</v>
      </c>
      <c r="DQ24" s="20" t="n">
        <f aca="false">IF(AND(DI24=1,Slot10_IsMfree=1),IF(DN24&gt;=Slot10_Cost-1,0,MAX(0,DG24-DN24)),DG24)</f>
        <v>52379.8592822762</v>
      </c>
      <c r="DR24" s="20" t="n">
        <f aca="false">DI24*(Slot10_Cost-DN24)</f>
        <v>0</v>
      </c>
      <c r="DS24" s="20" t="n">
        <f aca="false">IF(AND(Slot11_On=1,D24=Slot11_Age),1,0)</f>
        <v>0</v>
      </c>
      <c r="DT24" s="20" t="n">
        <f aca="false">IF(AND(Slot11_On=1,Slot11_Age&gt;D24),1,0)</f>
        <v>0</v>
      </c>
      <c r="DU24" s="20" t="n">
        <f aca="false">SA23</f>
        <v>0</v>
      </c>
      <c r="DV24" s="20" t="n">
        <f aca="false">DS24*MIN(Slot11_Cost,DU24)</f>
        <v>0</v>
      </c>
      <c r="DW24" s="20" t="n">
        <f aca="false">DS24*Slot11_SpendLike*MIN(Slot11_Cost-DV24,DO24)</f>
        <v>0</v>
      </c>
      <c r="DX24" s="20" t="n">
        <f aca="false">DV24+DW24</f>
        <v>0</v>
      </c>
      <c r="DY24" s="20" t="n">
        <f aca="false">DO24-DW24+DS24*IF(Slot11_SpendLike=1,DU24-DV24,IF(Slot11_PotFree=1,DU24,0))</f>
        <v>13887.6292442973</v>
      </c>
      <c r="DZ24" s="20" t="n">
        <f aca="false">DP24+DS24*Slot11_BufPot*DU24</f>
        <v>17938.6945717863</v>
      </c>
      <c r="EA24" s="20" t="n">
        <f aca="false">IF(AND(DS24=1,Slot11_IsMfree=1),IF(DX24&gt;=Slot11_Cost-1,0,MAX(0,DQ24-DX24)),DQ24)</f>
        <v>52379.8592822762</v>
      </c>
      <c r="EB24" s="20" t="n">
        <f aca="false">DS24*(Slot11_Cost-DX24)</f>
        <v>0</v>
      </c>
      <c r="EC24" s="20" t="n">
        <f aca="false">IF(AND(Slot12_On=1,D24=Slot12_Age),1,0)</f>
        <v>0</v>
      </c>
      <c r="ED24" s="20" t="n">
        <f aca="false">IF(AND(Slot12_On=1,Slot12_Age&gt;D24),1,0)</f>
        <v>0</v>
      </c>
      <c r="EE24" s="20" t="n">
        <f aca="false">SE23</f>
        <v>0</v>
      </c>
      <c r="EF24" s="20" t="n">
        <f aca="false">EC24*MIN(Slot12_Cost,EE24)</f>
        <v>0</v>
      </c>
      <c r="EG24" s="20" t="n">
        <f aca="false">EC24*Slot12_SpendLike*MIN(Slot12_Cost-EF24,DY24)</f>
        <v>0</v>
      </c>
      <c r="EH24" s="20" t="n">
        <f aca="false">EF24+EG24</f>
        <v>0</v>
      </c>
      <c r="EI24" s="20" t="n">
        <f aca="false">DY24-EG24+EC24*IF(Slot12_SpendLike=1,EE24-EF24,IF(Slot12_PotFree=1,EE24,0))</f>
        <v>13887.6292442973</v>
      </c>
      <c r="EJ24" s="20" t="n">
        <f aca="false">DZ24+EC24*Slot12_BufPot*EE24</f>
        <v>17938.6945717863</v>
      </c>
      <c r="EK24" s="20" t="n">
        <f aca="false">IF(AND(EC24=1,Slot12_IsMfree=1),IF(EH24&gt;=Slot12_Cost-1,0,MAX(0,EA24-EH24)),EA24)</f>
        <v>52379.8592822762</v>
      </c>
      <c r="EL24" s="20" t="n">
        <f aca="false">EC24*(Slot12_Cost-EH24)</f>
        <v>0</v>
      </c>
      <c r="EM24" s="20" t="n">
        <f aca="false">IF(AND(Slot13_On=1,D24=Slot13_Age),1,0)</f>
        <v>0</v>
      </c>
      <c r="EN24" s="20" t="n">
        <f aca="false">IF(AND(Slot13_On=1,Slot13_Age&gt;D24),1,0)</f>
        <v>0</v>
      </c>
      <c r="EO24" s="20" t="n">
        <f aca="false">SI23</f>
        <v>0</v>
      </c>
      <c r="EP24" s="20" t="n">
        <f aca="false">EM24*MIN(Slot13_Cost,EO24)</f>
        <v>0</v>
      </c>
      <c r="EQ24" s="20" t="n">
        <f aca="false">EM24*Slot13_SpendLike*MIN(Slot13_Cost-EP24,EI24)</f>
        <v>0</v>
      </c>
      <c r="ER24" s="20" t="n">
        <f aca="false">EP24+EQ24</f>
        <v>0</v>
      </c>
      <c r="ES24" s="20" t="n">
        <f aca="false">EI24-EQ24+EM24*IF(Slot13_SpendLike=1,EO24-EP24,IF(Slot13_PotFree=1,EO24,0))</f>
        <v>13887.6292442973</v>
      </c>
      <c r="ET24" s="20" t="n">
        <f aca="false">EJ24+EM24*Slot13_BufPot*EO24</f>
        <v>17938.6945717863</v>
      </c>
      <c r="EU24" s="20" t="n">
        <f aca="false">IF(AND(EM24=1,Slot13_IsMfree=1),IF(ER24&gt;=Slot13_Cost-1,0,MAX(0,EK24-ER24)),EK24)</f>
        <v>52379.8592822762</v>
      </c>
      <c r="EV24" s="20" t="n">
        <f aca="false">EM24*(Slot13_Cost-ER24)</f>
        <v>0</v>
      </c>
      <c r="EW24" s="20" t="n">
        <f aca="false">IF(AND(Slot14_On=1,D24=Slot14_Age),1,0)</f>
        <v>0</v>
      </c>
      <c r="EX24" s="20" t="n">
        <f aca="false">IF(AND(Slot14_On=1,Slot14_Age&gt;D24),1,0)</f>
        <v>0</v>
      </c>
      <c r="EY24" s="20" t="n">
        <f aca="false">SM23</f>
        <v>0</v>
      </c>
      <c r="EZ24" s="20" t="n">
        <f aca="false">EW24*MIN(Slot14_Cost,EY24)</f>
        <v>0</v>
      </c>
      <c r="FA24" s="20" t="n">
        <f aca="false">EW24*Slot14_SpendLike*MIN(Slot14_Cost-EZ24,ES24)</f>
        <v>0</v>
      </c>
      <c r="FB24" s="20" t="n">
        <f aca="false">EZ24+FA24</f>
        <v>0</v>
      </c>
      <c r="FC24" s="20" t="n">
        <f aca="false">ES24-FA24+EW24*IF(Slot14_SpendLike=1,EY24-EZ24,IF(Slot14_PotFree=1,EY24,0))</f>
        <v>13887.6292442973</v>
      </c>
      <c r="FD24" s="20" t="n">
        <f aca="false">ET24+EW24*Slot14_BufPot*EY24</f>
        <v>17938.6945717863</v>
      </c>
      <c r="FE24" s="20" t="n">
        <f aca="false">IF(AND(EW24=1,Slot14_IsMfree=1),IF(FB24&gt;=Slot14_Cost-1,0,MAX(0,EU24-FB24)),EU24)</f>
        <v>52379.8592822762</v>
      </c>
      <c r="FF24" s="20" t="n">
        <f aca="false">EW24*(Slot14_Cost-FB24)</f>
        <v>0</v>
      </c>
      <c r="FG24" s="20" t="n">
        <f aca="false">IF(AND(Slot15_On=1,D24=Slot15_Age),1,0)</f>
        <v>0</v>
      </c>
      <c r="FH24" s="20" t="n">
        <f aca="false">IF(AND(Slot15_On=1,Slot15_Age&gt;D24),1,0)</f>
        <v>0</v>
      </c>
      <c r="FI24" s="20" t="n">
        <f aca="false">SQ23</f>
        <v>0</v>
      </c>
      <c r="FJ24" s="20" t="n">
        <f aca="false">FG24*MIN(Slot15_Cost,FI24)</f>
        <v>0</v>
      </c>
      <c r="FK24" s="20" t="n">
        <f aca="false">FG24*Slot15_SpendLike*MIN(Slot15_Cost-FJ24,FC24)</f>
        <v>0</v>
      </c>
      <c r="FL24" s="20" t="n">
        <f aca="false">FJ24+FK24</f>
        <v>0</v>
      </c>
      <c r="FM24" s="20" t="n">
        <f aca="false">FC24-FK24+FG24*IF(Slot15_SpendLike=1,FI24-FJ24,IF(Slot15_PotFree=1,FI24,0))</f>
        <v>13887.6292442973</v>
      </c>
      <c r="FN24" s="20" t="n">
        <f aca="false">FD24+FG24*Slot15_BufPot*FI24</f>
        <v>17938.6945717863</v>
      </c>
      <c r="FO24" s="20" t="n">
        <f aca="false">IF(AND(FG24=1,Slot15_IsMfree=1),IF(FL24&gt;=Slot15_Cost-1,0,MAX(0,FE24-FL24)),FE24)</f>
        <v>52379.8592822762</v>
      </c>
      <c r="FP24" s="20" t="n">
        <f aca="false">FG24*(Slot15_Cost-FL24)</f>
        <v>0</v>
      </c>
      <c r="FQ24" s="20" t="n">
        <f aca="false">IF(AND(Slot16_On=1,D24=Slot16_Age),1,0)</f>
        <v>0</v>
      </c>
      <c r="FR24" s="20" t="n">
        <f aca="false">IF(AND(Slot16_On=1,Slot16_Age&gt;D24),1,0)</f>
        <v>0</v>
      </c>
      <c r="FS24" s="20" t="n">
        <f aca="false">SU23</f>
        <v>0</v>
      </c>
      <c r="FT24" s="20" t="n">
        <f aca="false">FQ24*MIN(Slot16_Cost,FS24)</f>
        <v>0</v>
      </c>
      <c r="FU24" s="20" t="n">
        <f aca="false">FQ24*Slot16_SpendLike*MIN(Slot16_Cost-FT24,FM24)</f>
        <v>0</v>
      </c>
      <c r="FV24" s="20" t="n">
        <f aca="false">FT24+FU24</f>
        <v>0</v>
      </c>
      <c r="FW24" s="20" t="n">
        <f aca="false">FM24-FU24+FQ24*IF(Slot16_SpendLike=1,FS24-FT24,IF(Slot16_PotFree=1,FS24,0))</f>
        <v>13887.6292442973</v>
      </c>
      <c r="FX24" s="20" t="n">
        <f aca="false">FN24+FQ24*Slot16_BufPot*FS24</f>
        <v>17938.6945717863</v>
      </c>
      <c r="FY24" s="20" t="n">
        <f aca="false">IF(AND(FQ24=1,Slot16_IsMfree=1),IF(FV24&gt;=Slot16_Cost-1,0,MAX(0,FO24-FV24)),FO24)</f>
        <v>52379.8592822762</v>
      </c>
      <c r="FZ24" s="20" t="n">
        <f aca="false">FQ24*(Slot16_Cost-FV24)</f>
        <v>0</v>
      </c>
      <c r="GA24" s="20" t="n">
        <f aca="false">IF(AND(Slot17_On=1,D24=Slot17_Age),1,0)</f>
        <v>0</v>
      </c>
      <c r="GB24" s="20" t="n">
        <f aca="false">IF(AND(Slot17_On=1,Slot17_Age&gt;D24),1,0)</f>
        <v>0</v>
      </c>
      <c r="GC24" s="20" t="n">
        <f aca="false">SY23</f>
        <v>0</v>
      </c>
      <c r="GD24" s="20" t="n">
        <f aca="false">GA24*MIN(Slot17_Cost,GC24)</f>
        <v>0</v>
      </c>
      <c r="GE24" s="20" t="n">
        <f aca="false">GA24*Slot17_SpendLike*MIN(Slot17_Cost-GD24,FW24)</f>
        <v>0</v>
      </c>
      <c r="GF24" s="20" t="n">
        <f aca="false">GD24+GE24</f>
        <v>0</v>
      </c>
      <c r="GG24" s="20" t="n">
        <f aca="false">FW24-GE24+GA24*IF(Slot17_SpendLike=1,GC24-GD24,IF(Slot17_PotFree=1,GC24,0))</f>
        <v>13887.6292442973</v>
      </c>
      <c r="GH24" s="20" t="n">
        <f aca="false">FX24+GA24*Slot17_BufPot*GC24</f>
        <v>17938.6945717863</v>
      </c>
      <c r="GI24" s="20" t="n">
        <f aca="false">IF(AND(GA24=1,Slot17_IsMfree=1),IF(GF24&gt;=Slot17_Cost-1,0,MAX(0,FY24-GF24)),FY24)</f>
        <v>52379.8592822762</v>
      </c>
      <c r="GJ24" s="20" t="n">
        <f aca="false">GA24*(Slot17_Cost-GF24)</f>
        <v>0</v>
      </c>
      <c r="GK24" s="20" t="n">
        <f aca="false">IF(AND(Slot18_On=1,D24=Slot18_Age),1,0)</f>
        <v>0</v>
      </c>
      <c r="GL24" s="20" t="n">
        <f aca="false">IF(AND(Slot18_On=1,Slot18_Age&gt;D24),1,0)</f>
        <v>0</v>
      </c>
      <c r="GM24" s="20" t="n">
        <f aca="false">TC23</f>
        <v>0</v>
      </c>
      <c r="GN24" s="20" t="n">
        <f aca="false">GK24*MIN(Slot18_Cost,GM24)</f>
        <v>0</v>
      </c>
      <c r="GO24" s="20" t="n">
        <f aca="false">GK24*Slot18_SpendLike*MIN(Slot18_Cost-GN24,GG24)</f>
        <v>0</v>
      </c>
      <c r="GP24" s="20" t="n">
        <f aca="false">GN24+GO24</f>
        <v>0</v>
      </c>
      <c r="GQ24" s="20" t="n">
        <f aca="false">GG24-GO24+GK24*IF(Slot18_SpendLike=1,GM24-GN24,IF(Slot18_PotFree=1,GM24,0))</f>
        <v>13887.6292442973</v>
      </c>
      <c r="GR24" s="20" t="n">
        <f aca="false">GH24+GK24*Slot18_BufPot*GM24</f>
        <v>17938.6945717863</v>
      </c>
      <c r="GS24" s="20" t="n">
        <f aca="false">IF(AND(GK24=1,Slot18_IsMfree=1),IF(GP24&gt;=Slot18_Cost-1,0,MAX(0,GI24-GP24)),GI24)</f>
        <v>52379.8592822762</v>
      </c>
      <c r="GT24" s="20" t="n">
        <f aca="false">GK24*(Slot18_Cost-GP24)</f>
        <v>0</v>
      </c>
      <c r="GU24" s="20" t="n">
        <f aca="false">IF(AND(Slot19_On=1,D24=Slot19_Age),1,0)</f>
        <v>0</v>
      </c>
      <c r="GV24" s="20" t="n">
        <f aca="false">IF(AND(Slot19_On=1,Slot19_Age&gt;D24),1,0)</f>
        <v>0</v>
      </c>
      <c r="GW24" s="20" t="n">
        <f aca="false">TG23</f>
        <v>0</v>
      </c>
      <c r="GX24" s="20" t="n">
        <f aca="false">GU24*MIN(Slot19_Cost,GW24)</f>
        <v>0</v>
      </c>
      <c r="GY24" s="20" t="n">
        <f aca="false">GU24*Slot19_SpendLike*MIN(Slot19_Cost-GX24,GQ24)</f>
        <v>0</v>
      </c>
      <c r="GZ24" s="20" t="n">
        <f aca="false">GX24+GY24</f>
        <v>0</v>
      </c>
      <c r="HA24" s="20" t="n">
        <f aca="false">GQ24-GY24+GU24*IF(Slot19_SpendLike=1,GW24-GX24,IF(Slot19_PotFree=1,GW24,0))</f>
        <v>13887.6292442973</v>
      </c>
      <c r="HB24" s="20" t="n">
        <f aca="false">GR24+GU24*Slot19_BufPot*GW24</f>
        <v>17938.6945717863</v>
      </c>
      <c r="HC24" s="20" t="n">
        <f aca="false">IF(AND(GU24=1,Slot19_IsMfree=1),IF(GZ24&gt;=Slot19_Cost-1,0,MAX(0,GS24-GZ24)),GS24)</f>
        <v>52379.8592822762</v>
      </c>
      <c r="HD24" s="20" t="n">
        <f aca="false">GU24*(Slot19_Cost-GZ24)</f>
        <v>0</v>
      </c>
      <c r="HE24" s="20" t="n">
        <f aca="false">IF(AND(Slot20_On=1,D24=Slot20_Age),1,0)</f>
        <v>0</v>
      </c>
      <c r="HF24" s="20" t="n">
        <f aca="false">IF(AND(Slot20_On=1,Slot20_Age&gt;D24),1,0)</f>
        <v>0</v>
      </c>
      <c r="HG24" s="20" t="n">
        <f aca="false">TK23</f>
        <v>0</v>
      </c>
      <c r="HH24" s="20" t="n">
        <f aca="false">HE24*MIN(Slot20_Cost,HG24)</f>
        <v>0</v>
      </c>
      <c r="HI24" s="20" t="n">
        <f aca="false">HE24*Slot20_SpendLike*MIN(Slot20_Cost-HH24,HA24)</f>
        <v>0</v>
      </c>
      <c r="HJ24" s="20" t="n">
        <f aca="false">HH24+HI24</f>
        <v>0</v>
      </c>
      <c r="HK24" s="20" t="n">
        <f aca="false">HA24-HI24+HE24*IF(Slot20_SpendLike=1,HG24-HH24,IF(Slot20_PotFree=1,HG24,0))</f>
        <v>13887.6292442973</v>
      </c>
      <c r="HL24" s="20" t="n">
        <f aca="false">HB24+HE24*Slot20_BufPot*HG24</f>
        <v>17938.6945717863</v>
      </c>
      <c r="HM24" s="20" t="n">
        <f aca="false">IF(AND(HE24=1,Slot20_IsMfree=1),IF(HJ24&gt;=Slot20_Cost-1,0,MAX(0,HC24-HJ24)),HC24)</f>
        <v>52379.8592822762</v>
      </c>
      <c r="HN24" s="20" t="n">
        <f aca="false">HE24*(Slot20_Cost-HJ24)</f>
        <v>0</v>
      </c>
      <c r="HO24" s="20" t="n">
        <f aca="false">V24*Slot1_SpendLike*AA24+AG24*Slot2_SpendLike*AL24+AQ24*Slot3_SpendLike*AV24+BA24*Slot4_SpendLike*BF24+BK24*Slot5_SpendLike*BP24+BU24*Slot6_SpendLike*BZ24+CE24*Slot7_SpendLike*CJ24+CO24*Slot8_SpendLike*CT24+CY24*Slot9_SpendLike*DD24+DI24*Slot10_SpendLike*DN24+DS24*Slot11_SpendLike*DX24+EC24*Slot12_SpendLike*EH24+EM24*Slot13_SpendLike*ER24+EW24*Slot14_SpendLike*FB24+FG24*Slot15_SpendLike*FL24+FQ24*Slot16_SpendLike*FV24+GA24*Slot17_SpendLike*GF24+GK24*Slot18_SpendLike*GP24+GU24*Slot19_SpendLike*GZ24+HE24*Slot20_SpendLike*HJ24</f>
        <v>0</v>
      </c>
      <c r="HP24" s="20" t="n">
        <f aca="false">AE24+AP24+AZ24+BJ24+BT24+CD24+CN24+CX24+DH24+DR24+EB24+EL24+EV24+FF24+FP24+FZ24+GJ24+GT24+HD24+HN24</f>
        <v>0</v>
      </c>
      <c r="HQ24" s="20" t="n">
        <f aca="false">V24*Slot1_Cost+AG24*Slot2_Cost+AQ24*Slot3_Cost+BA24*Slot4_Cost+BK24*Slot5_Cost+BU24*Slot6_Cost+CE24*Slot7_Cost+CO24*Slot8_Cost+CY24*Slot9_Cost+DI24*Slot10_Cost+DS24*Slot11_Cost+EC24*Slot12_Cost+EM24*Slot13_Cost+EW24*Slot14_Cost+FG24*Slot15_Cost+FQ24*Slot16_Cost+GA24*Slot17_Cost+GK24*Slot18_Cost+GU24*Slot19_Cost+HE24*Slot20_Cost</f>
        <v>0</v>
      </c>
      <c r="HR24" s="20" t="n">
        <f aca="false">HM24</f>
        <v>52379.8592822762</v>
      </c>
      <c r="HS24" s="20" t="n">
        <f aca="false">H24-I24-S24</f>
        <v>19566.780377029</v>
      </c>
      <c r="HT24" s="20" t="n">
        <f aca="false">IF(B24=0,IF(AND(Has_q6=1,In_q6=4),PR_ShareVaries*(MAX(0,HS24)/12),MIN(IF(Has_q6=1,CHOOSE(In_q6+1,PR_SaveB1,PR_SaveB2,PR_SaveB3,PR_SaveB4,0),AS_NoAnswer),AS_SaveShare*(MAX(0,HS24)/12))),HT23)</f>
        <v>62.3316893520437</v>
      </c>
      <c r="HU24" s="20" t="n">
        <f aca="false">IF(HS24&gt;=0,1,0)</f>
        <v>1</v>
      </c>
      <c r="HV24" s="20" t="n">
        <f aca="false">MAX(0,HS24/12/F24)</f>
        <v>1187.77827112605</v>
      </c>
      <c r="HW24" s="20" t="n">
        <f aca="false">IF(AND(Has_q6=1,In_q6=4),PR_ShareVaries*(HV24),MIN(IF(Has_q6=1,CHOOSE(In_q6+1,PR_SaveB1,PR_SaveB2,PR_SaveB3,PR_SaveB4,0),AS_NoAnswer),AS_SaveShare*(HV24)))</f>
        <v>500</v>
      </c>
      <c r="HX24" s="20" t="n">
        <f aca="false">IF(Has_saveM=1,IF(In_saveUp="Yes",1,IF(In_saveUp="No",0,IF(In_saveM&gt;=HT24-0.5,1,0))),0)</f>
        <v>0</v>
      </c>
      <c r="HY24" s="20" t="n">
        <f aca="false">IF(Has_saveM=1,MIN(HV24,IF(HX24=1,MAX(In_saveM,HW24),MIN(In_saveM,HW24))),HW24)</f>
        <v>500</v>
      </c>
      <c r="HZ24" s="20" t="n">
        <f aca="false">IF(G24=1,HY24*12*F24,0)</f>
        <v>8236.71423054368</v>
      </c>
      <c r="IA24" s="20" t="n">
        <f aca="false">MAX(0,HZ24+IF(AND(WI_Retire=0,WI_M&lt;0,G24=1),WI_M*12*F24,0))</f>
        <v>8236.71423054368</v>
      </c>
      <c r="IB24" s="20" t="n">
        <f aca="false">Slot1_IsWG*W24+Slot2_IsWG*AH24+Slot3_IsWG*AR24+Slot4_IsWG*BB24+Slot5_IsWG*BL24+Slot6_IsWG*BV24+Slot7_IsWG*CF24+Slot8_IsWG*CP24+Slot9_IsWG*CZ24+Slot10_IsWG*DJ24+Slot11_IsWG*DT24+Slot12_IsWG*ED24+Slot13_IsWG*EN24+Slot14_IsWG*EX24+Slot15_IsWG*FH24+Slot16_IsWG*FR24+Slot17_IsWG*GB24+Slot18_IsWG*GL24+Slot19_IsWG*GV24+Slot20_IsWG*HF24</f>
        <v>0</v>
      </c>
      <c r="IC24" s="20" t="n">
        <f aca="false">IF(AND(WI_Retire=0,WI_M&gt;0,G24=1,IB24&gt;=1),WI_M*12*F24,0)</f>
        <v>0</v>
      </c>
      <c r="ID24" s="20" t="n">
        <f aca="false">IF(HU24=1,MIN(IA24,HS24),0)</f>
        <v>8236.71423054368</v>
      </c>
      <c r="IE24" s="20" t="n">
        <f aca="false">IF(HU24=1,MIN(IC24,HS24-ID24),0)</f>
        <v>0</v>
      </c>
      <c r="IF24" s="20" t="n">
        <f aca="false">IF(W24=1,IF(ABS((1+AS_Wage)/(1+Slot1_Rate)-1)&lt;0.000000000001,(Slot1_Age-D24)*(1+Slot1_Rate)^(Slot1_Age-D24),(1+Slot1_Rate)^(Slot1_Age-D24)*(1-((1+AS_Wage)/(1+Slot1_Rate))^(Slot1_Age-D24))/(1-(1+AS_Wage)/(1+Slot1_Rate))),1)</f>
        <v>1</v>
      </c>
      <c r="IG24" s="20" t="n">
        <f aca="false">IF(AND(HU24=1,IE24&gt;0,Slot1_IsWG=1,W24=1),MAX(0,(Slot1_Cost-X24*(1+Slot1_Rate)^(Slot1_Age-D24))/IF24),0)</f>
        <v>0</v>
      </c>
      <c r="IH24" s="20" t="n">
        <f aca="false">IF(AND(HU24=1,IE24&gt;0,Slot1_IsWG=1,W24=1),MIN(IE24,IG24),0)</f>
        <v>0</v>
      </c>
      <c r="II24" s="20" t="n">
        <f aca="false">X24+IH24</f>
        <v>0</v>
      </c>
      <c r="IJ24" s="20" t="n">
        <f aca="false">IF(W24=1,MAX(0,(Slot1_Cost-II24*(1+Slot1_Rate)^(Slot1_Age-D24))/IF24),0)</f>
        <v>0</v>
      </c>
      <c r="IK24" s="20" t="n">
        <f aca="false">IF(W24=1,MAX(0,(Slot1_Cost-X24*(1+Slot1_Rate)^(Slot1_Age-D24))/IF24),0)</f>
        <v>0</v>
      </c>
      <c r="IL24" s="20" t="n">
        <f aca="false">IF(AND(HU24=1,W24=1),MIN(ID24,IJ24),0)</f>
        <v>0</v>
      </c>
      <c r="IM24" s="20" t="n">
        <f aca="false">ID24-IL24</f>
        <v>8236.71423054368</v>
      </c>
      <c r="IN24" s="20" t="n">
        <f aca="false">IF(AH24=1,IF(ABS((1+AS_Wage)/(1+Slot2_Rate)-1)&lt;0.000000000001,(Slot2_Age-D24)*(1+Slot2_Rate)^(Slot2_Age-D24),(1+Slot2_Rate)^(Slot2_Age-D24)*(1-((1+AS_Wage)/(1+Slot2_Rate))^(Slot2_Age-D24))/(1-(1+AS_Wage)/(1+Slot2_Rate))),1)</f>
        <v>1</v>
      </c>
      <c r="IO24" s="20" t="n">
        <f aca="false">IF(AND(HU24=1,IE24&gt;0,Slot2_IsWG=1,AH24=1),MAX(0,(Slot2_Cost-AI24*(1+Slot2_Rate)^(Slot2_Age-D24))/IN24),0)</f>
        <v>0</v>
      </c>
      <c r="IP24" s="20" t="n">
        <f aca="false">IF(AND(HU24=1,IE24&gt;0,Slot2_IsWG=1,AH24=1),MIN(IE24,IO24),0)</f>
        <v>0</v>
      </c>
      <c r="IQ24" s="20" t="n">
        <f aca="false">AI24+IP24</f>
        <v>0</v>
      </c>
      <c r="IR24" s="20" t="n">
        <f aca="false">IF(AH24=1,MAX(0,(Slot2_Cost-IQ24*(1+Slot2_Rate)^(Slot2_Age-D24))/IN24),0)</f>
        <v>0</v>
      </c>
      <c r="IS24" s="20" t="n">
        <f aca="false">IF(AH24=1,MAX(0,(Slot2_Cost-AI24*(1+Slot2_Rate)^(Slot2_Age-D24))/IN24),0)</f>
        <v>0</v>
      </c>
      <c r="IT24" s="20" t="n">
        <f aca="false">IF(AND(HU24=1,AH24=1),MIN(IM24,IR24),0)</f>
        <v>0</v>
      </c>
      <c r="IU24" s="20" t="n">
        <f aca="false">IM24-IT24</f>
        <v>8236.71423054368</v>
      </c>
      <c r="IV24" s="20" t="n">
        <f aca="false">IF(AR24=1,IF(ABS((1+AS_Wage)/(1+Slot3_Rate)-1)&lt;0.000000000001,(Slot3_Age-D24)*(1+Slot3_Rate)^(Slot3_Age-D24),(1+Slot3_Rate)^(Slot3_Age-D24)*(1-((1+AS_Wage)/(1+Slot3_Rate))^(Slot3_Age-D24))/(1-(1+AS_Wage)/(1+Slot3_Rate))),1)</f>
        <v>1</v>
      </c>
      <c r="IW24" s="20" t="n">
        <f aca="false">IF(AND(HU24=1,IE24&gt;0,Slot3_IsWG=1,AR24=1),MAX(0,(Slot3_Cost-AS24*(1+Slot3_Rate)^(Slot3_Age-D24))/IV24),0)</f>
        <v>0</v>
      </c>
      <c r="IX24" s="20" t="n">
        <f aca="false">IF(AND(HU24=1,IE24&gt;0,Slot3_IsWG=1,AR24=1),MIN(IE24,IW24),0)</f>
        <v>0</v>
      </c>
      <c r="IY24" s="20" t="n">
        <f aca="false">AS24+IX24</f>
        <v>0</v>
      </c>
      <c r="IZ24" s="20" t="n">
        <f aca="false">IF(AR24=1,MAX(0,(Slot3_Cost-IY24*(1+Slot3_Rate)^(Slot3_Age-D24))/IV24),0)</f>
        <v>0</v>
      </c>
      <c r="JA24" s="20" t="n">
        <f aca="false">IF(AR24=1,MAX(0,(Slot3_Cost-AS24*(1+Slot3_Rate)^(Slot3_Age-D24))/IV24),0)</f>
        <v>0</v>
      </c>
      <c r="JB24" s="20" t="n">
        <f aca="false">IF(AND(HU24=1,AR24=1),MIN(IU24,IZ24),0)</f>
        <v>0</v>
      </c>
      <c r="JC24" s="20" t="n">
        <f aca="false">IU24-JB24</f>
        <v>8236.71423054368</v>
      </c>
      <c r="JD24" s="20" t="n">
        <f aca="false">IF(BB24=1,IF(ABS((1+AS_Wage)/(1+Slot4_Rate)-1)&lt;0.000000000001,(Slot4_Age-D24)*(1+Slot4_Rate)^(Slot4_Age-D24),(1+Slot4_Rate)^(Slot4_Age-D24)*(1-((1+AS_Wage)/(1+Slot4_Rate))^(Slot4_Age-D24))/(1-(1+AS_Wage)/(1+Slot4_Rate))),1)</f>
        <v>1.026</v>
      </c>
      <c r="JE24" s="20" t="n">
        <f aca="false">IF(AND(HU24=1,IE24&gt;0,Slot4_IsWG=1,BB24=1),MAX(0,(Slot4_Cost-BC24*(1+Slot4_Rate)^(Slot4_Age-D24))/JD24),0)</f>
        <v>0</v>
      </c>
      <c r="JF24" s="20" t="n">
        <f aca="false">IF(AND(HU24=1,IE24&gt;0,Slot4_IsWG=1,BB24=1),MIN(IE24,JE24),0)</f>
        <v>0</v>
      </c>
      <c r="JG24" s="20" t="n">
        <f aca="false">BC24+JF24</f>
        <v>33368.2405722948</v>
      </c>
      <c r="JH24" s="20" t="n">
        <f aca="false">IF(BB24=1,MAX(0,(Slot4_Cost-JG24*(1+Slot4_Rate)^(Slot4_Age-D24))/JD24),0)</f>
        <v>5637.505678026</v>
      </c>
      <c r="JI24" s="20" t="n">
        <f aca="false">IF(BB24=1,MAX(0,(Slot4_Cost-BC24*(1+Slot4_Rate)^(Slot4_Age-D24))/JD24),0)</f>
        <v>5637.505678026</v>
      </c>
      <c r="JJ24" s="20" t="n">
        <f aca="false">IF(AND(HU24=1,BB24=1),MIN(JC24,JH24),0)</f>
        <v>5637.505678026</v>
      </c>
      <c r="JK24" s="20" t="n">
        <f aca="false">JC24-JJ24</f>
        <v>2599.20855251768</v>
      </c>
      <c r="JL24" s="20" t="n">
        <f aca="false">IF(BL24=1,IF(ABS((1+AS_Wage)/(1+Slot5_Rate)-1)&lt;0.000000000001,(Slot5_Age-D24)*(1+Slot5_Rate)^(Slot5_Age-D24),(1+Slot5_Rate)^(Slot5_Age-D24)*(1-((1+AS_Wage)/(1+Slot5_Rate))^(Slot5_Age-D24))/(1-(1+AS_Wage)/(1+Slot5_Rate))),1)</f>
        <v>1</v>
      </c>
      <c r="JM24" s="20" t="n">
        <f aca="false">IF(AND(HU24=1,IE24&gt;0,Slot5_IsWG=1,BL24=1),MAX(0,(Slot5_Cost-BM24*(1+Slot5_Rate)^(Slot5_Age-D24))/JL24),0)</f>
        <v>0</v>
      </c>
      <c r="JN24" s="20" t="n">
        <f aca="false">IF(AND(HU24=1,IE24&gt;0,Slot5_IsWG=1,BL24=1),MIN(IE24,JM24),0)</f>
        <v>0</v>
      </c>
      <c r="JO24" s="20" t="n">
        <f aca="false">BM24+JN24</f>
        <v>0</v>
      </c>
      <c r="JP24" s="20" t="n">
        <f aca="false">IF(BL24=1,MAX(0,(Slot5_Cost-JO24*(1+Slot5_Rate)^(Slot5_Age-D24))/JL24),0)</f>
        <v>0</v>
      </c>
      <c r="JQ24" s="20" t="n">
        <f aca="false">IF(BL24=1,MAX(0,(Slot5_Cost-BM24*(1+Slot5_Rate)^(Slot5_Age-D24))/JL24),0)</f>
        <v>0</v>
      </c>
      <c r="JR24" s="20" t="n">
        <f aca="false">IF(AND(HU24=1,BL24=1),MIN(JK24,JP24),0)</f>
        <v>0</v>
      </c>
      <c r="JS24" s="20" t="n">
        <f aca="false">JK24-JR24</f>
        <v>2599.20855251768</v>
      </c>
      <c r="JT24" s="20" t="n">
        <f aca="false">IF(BV24=1,IF(ABS((1+AS_Wage)/(1+Slot6_Rate)-1)&lt;0.000000000001,(Slot6_Age-D24)*(1+Slot6_Rate)^(Slot6_Age-D24),(1+Slot6_Rate)^(Slot6_Age-D24)*(1-((1+AS_Wage)/(1+Slot6_Rate))^(Slot6_Age-D24))/(1-(1+AS_Wage)/(1+Slot6_Rate))),1)</f>
        <v>1</v>
      </c>
      <c r="JU24" s="20" t="n">
        <f aca="false">IF(AND(HU24=1,IE24&gt;0,Slot6_IsWG=1,BV24=1),MAX(0,(Slot6_Cost-BW24*(1+Slot6_Rate)^(Slot6_Age-D24))/JT24),0)</f>
        <v>0</v>
      </c>
      <c r="JV24" s="20" t="n">
        <f aca="false">IF(AND(HU24=1,IE24&gt;0,Slot6_IsWG=1,BV24=1),MIN(IE24,JU24),0)</f>
        <v>0</v>
      </c>
      <c r="JW24" s="20" t="n">
        <f aca="false">BW24+JV24</f>
        <v>0</v>
      </c>
      <c r="JX24" s="20" t="n">
        <f aca="false">IF(BV24=1,MAX(0,(Slot6_Cost-JW24*(1+Slot6_Rate)^(Slot6_Age-D24))/JT24),0)</f>
        <v>0</v>
      </c>
      <c r="JY24" s="20" t="n">
        <f aca="false">IF(BV24=1,MAX(0,(Slot6_Cost-BW24*(1+Slot6_Rate)^(Slot6_Age-D24))/JT24),0)</f>
        <v>0</v>
      </c>
      <c r="JZ24" s="20" t="n">
        <f aca="false">IF(AND(HU24=1,BV24=1),MIN(JS24,JX24),0)</f>
        <v>0</v>
      </c>
      <c r="KA24" s="20" t="n">
        <f aca="false">JS24-JZ24</f>
        <v>2599.20855251768</v>
      </c>
      <c r="KB24" s="20" t="n">
        <f aca="false">IF(CF24=1,IF(ABS((1+AS_Wage)/(1+Slot7_Rate)-1)&lt;0.000000000001,(Slot7_Age-D24)*(1+Slot7_Rate)^(Slot7_Age-D24),(1+Slot7_Rate)^(Slot7_Age-D24)*(1-((1+AS_Wage)/(1+Slot7_Rate))^(Slot7_Age-D24))/(1-(1+AS_Wage)/(1+Slot7_Rate))),1)</f>
        <v>1</v>
      </c>
      <c r="KC24" s="20" t="n">
        <f aca="false">IF(AND(HU24=1,IE24&gt;0,Slot7_IsWG=1,CF24=1),MAX(0,(Slot7_Cost-CG24*(1+Slot7_Rate)^(Slot7_Age-D24))/KB24),0)</f>
        <v>0</v>
      </c>
      <c r="KD24" s="20" t="n">
        <f aca="false">IF(AND(HU24=1,IE24&gt;0,Slot7_IsWG=1,CF24=1),MIN(IE24,KC24),0)</f>
        <v>0</v>
      </c>
      <c r="KE24" s="20" t="n">
        <f aca="false">CG24+KD24</f>
        <v>0</v>
      </c>
      <c r="KF24" s="20" t="n">
        <f aca="false">IF(CF24=1,MAX(0,(Slot7_Cost-KE24*(1+Slot7_Rate)^(Slot7_Age-D24))/KB24),0)</f>
        <v>0</v>
      </c>
      <c r="KG24" s="20" t="n">
        <f aca="false">IF(CF24=1,MAX(0,(Slot7_Cost-CG24*(1+Slot7_Rate)^(Slot7_Age-D24))/KB24),0)</f>
        <v>0</v>
      </c>
      <c r="KH24" s="20" t="n">
        <f aca="false">IF(AND(HU24=1,CF24=1),MIN(KA24,KF24),0)</f>
        <v>0</v>
      </c>
      <c r="KI24" s="20" t="n">
        <f aca="false">KA24-KH24</f>
        <v>2599.20855251768</v>
      </c>
      <c r="KJ24" s="20" t="n">
        <f aca="false">IF(CP24=1,IF(ABS((1+AS_Wage)/(1+Slot8_Rate)-1)&lt;0.000000000001,(Slot8_Age-D24)*(1+Slot8_Rate)^(Slot8_Age-D24),(1+Slot8_Rate)^(Slot8_Age-D24)*(1-((1+AS_Wage)/(1+Slot8_Rate))^(Slot8_Age-D24))/(1-(1+AS_Wage)/(1+Slot8_Rate))),1)</f>
        <v>1</v>
      </c>
      <c r="KK24" s="20" t="n">
        <f aca="false">IF(AND(HU24=1,IE24&gt;0,Slot8_IsWG=1,CP24=1),MAX(0,(Slot8_Cost-CQ24*(1+Slot8_Rate)^(Slot8_Age-D24))/KJ24),0)</f>
        <v>0</v>
      </c>
      <c r="KL24" s="20" t="n">
        <f aca="false">IF(AND(HU24=1,IE24&gt;0,Slot8_IsWG=1,CP24=1),MIN(IE24,KK24),0)</f>
        <v>0</v>
      </c>
      <c r="KM24" s="20" t="n">
        <f aca="false">CQ24+KL24</f>
        <v>0</v>
      </c>
      <c r="KN24" s="20" t="n">
        <f aca="false">IF(CP24=1,MAX(0,(Slot8_Cost-KM24*(1+Slot8_Rate)^(Slot8_Age-D24))/KJ24),0)</f>
        <v>0</v>
      </c>
      <c r="KO24" s="20" t="n">
        <f aca="false">IF(CP24=1,MAX(0,(Slot8_Cost-CQ24*(1+Slot8_Rate)^(Slot8_Age-D24))/KJ24),0)</f>
        <v>0</v>
      </c>
      <c r="KP24" s="20" t="n">
        <f aca="false">IF(AND(HU24=1,CP24=1),MIN(KI24,KN24),0)</f>
        <v>0</v>
      </c>
      <c r="KQ24" s="20" t="n">
        <f aca="false">KI24-KP24</f>
        <v>2599.20855251768</v>
      </c>
      <c r="KR24" s="20" t="n">
        <f aca="false">IF(CZ24=1,IF(ABS((1+AS_Wage)/(1+Slot9_Rate)-1)&lt;0.000000000001,(Slot9_Age-D24)*(1+Slot9_Rate)^(Slot9_Age-D24),(1+Slot9_Rate)^(Slot9_Age-D24)*(1-((1+AS_Wage)/(1+Slot9_Rate))^(Slot9_Age-D24))/(1-(1+AS_Wage)/(1+Slot9_Rate))),1)</f>
        <v>1</v>
      </c>
      <c r="KS24" s="20" t="n">
        <f aca="false">IF(AND(HU24=1,IE24&gt;0,Slot9_IsWG=1,CZ24=1),MAX(0,(Slot9_Cost-DA24*(1+Slot9_Rate)^(Slot9_Age-D24))/KR24),0)</f>
        <v>0</v>
      </c>
      <c r="KT24" s="20" t="n">
        <f aca="false">IF(AND(HU24=1,IE24&gt;0,Slot9_IsWG=1,CZ24=1),MIN(IE24,KS24),0)</f>
        <v>0</v>
      </c>
      <c r="KU24" s="20" t="n">
        <f aca="false">DA24+KT24</f>
        <v>0</v>
      </c>
      <c r="KV24" s="20" t="n">
        <f aca="false">IF(CZ24=1,MAX(0,(Slot9_Cost-KU24*(1+Slot9_Rate)^(Slot9_Age-D24))/KR24),0)</f>
        <v>0</v>
      </c>
      <c r="KW24" s="20" t="n">
        <f aca="false">IF(CZ24=1,MAX(0,(Slot9_Cost-DA24*(1+Slot9_Rate)^(Slot9_Age-D24))/KR24),0)</f>
        <v>0</v>
      </c>
      <c r="KX24" s="20" t="n">
        <f aca="false">IF(AND(HU24=1,CZ24=1),MIN(KQ24,KV24),0)</f>
        <v>0</v>
      </c>
      <c r="KY24" s="20" t="n">
        <f aca="false">KQ24-KX24</f>
        <v>2599.20855251768</v>
      </c>
      <c r="KZ24" s="20" t="n">
        <f aca="false">IF(DJ24=1,IF(ABS((1+AS_Wage)/(1+Slot10_Rate)-1)&lt;0.000000000001,(Slot10_Age-D24)*(1+Slot10_Rate)^(Slot10_Age-D24),(1+Slot10_Rate)^(Slot10_Age-D24)*(1-((1+AS_Wage)/(1+Slot10_Rate))^(Slot10_Age-D24))/(1-(1+AS_Wage)/(1+Slot10_Rate))),1)</f>
        <v>1</v>
      </c>
      <c r="LA24" s="20" t="n">
        <f aca="false">IF(AND(HU24=1,IE24&gt;0,Slot10_IsWG=1,DJ24=1),MAX(0,(Slot10_Cost-DK24*(1+Slot10_Rate)^(Slot10_Age-D24))/KZ24),0)</f>
        <v>0</v>
      </c>
      <c r="LB24" s="20" t="n">
        <f aca="false">IF(AND(HU24=1,IE24&gt;0,Slot10_IsWG=1,DJ24=1),MIN(IE24,LA24),0)</f>
        <v>0</v>
      </c>
      <c r="LC24" s="20" t="n">
        <f aca="false">DK24+LB24</f>
        <v>0</v>
      </c>
      <c r="LD24" s="20" t="n">
        <f aca="false">IF(DJ24=1,MAX(0,(Slot10_Cost-LC24*(1+Slot10_Rate)^(Slot10_Age-D24))/KZ24),0)</f>
        <v>0</v>
      </c>
      <c r="LE24" s="20" t="n">
        <f aca="false">IF(DJ24=1,MAX(0,(Slot10_Cost-DK24*(1+Slot10_Rate)^(Slot10_Age-D24))/KZ24),0)</f>
        <v>0</v>
      </c>
      <c r="LF24" s="20" t="n">
        <f aca="false">IF(AND(HU24=1,DJ24=1),MIN(KY24,LD24),0)</f>
        <v>0</v>
      </c>
      <c r="LG24" s="20" t="n">
        <f aca="false">KY24-LF24</f>
        <v>2599.20855251768</v>
      </c>
      <c r="LH24" s="20" t="n">
        <f aca="false">IF(DT24=1,IF(ABS((1+AS_Wage)/(1+Slot11_Rate)-1)&lt;0.000000000001,(Slot11_Age-D24)*(1+Slot11_Rate)^(Slot11_Age-D24),(1+Slot11_Rate)^(Slot11_Age-D24)*(1-((1+AS_Wage)/(1+Slot11_Rate))^(Slot11_Age-D24))/(1-(1+AS_Wage)/(1+Slot11_Rate))),1)</f>
        <v>1</v>
      </c>
      <c r="LI24" s="20" t="n">
        <f aca="false">IF(AND(HU24=1,IE24&gt;0,Slot11_IsWG=1,DT24=1),MAX(0,(Slot11_Cost-DU24*(1+Slot11_Rate)^(Slot11_Age-D24))/LH24),0)</f>
        <v>0</v>
      </c>
      <c r="LJ24" s="20" t="n">
        <f aca="false">IF(AND(HU24=1,IE24&gt;0,Slot11_IsWG=1,DT24=1),MIN(IE24,LI24),0)</f>
        <v>0</v>
      </c>
      <c r="LK24" s="20" t="n">
        <f aca="false">DU24+LJ24</f>
        <v>0</v>
      </c>
      <c r="LL24" s="20" t="n">
        <f aca="false">IF(DT24=1,MAX(0,(Slot11_Cost-LK24*(1+Slot11_Rate)^(Slot11_Age-D24))/LH24),0)</f>
        <v>0</v>
      </c>
      <c r="LM24" s="20" t="n">
        <f aca="false">IF(DT24=1,MAX(0,(Slot11_Cost-DU24*(1+Slot11_Rate)^(Slot11_Age-D24))/LH24),0)</f>
        <v>0</v>
      </c>
      <c r="LN24" s="20" t="n">
        <f aca="false">IF(AND(HU24=1,DT24=1),MIN(LG24,LL24),0)</f>
        <v>0</v>
      </c>
      <c r="LO24" s="20" t="n">
        <f aca="false">LG24-LN24</f>
        <v>2599.20855251768</v>
      </c>
      <c r="LP24" s="20" t="n">
        <f aca="false">IF(ED24=1,IF(ABS((1+AS_Wage)/(1+Slot12_Rate)-1)&lt;0.000000000001,(Slot12_Age-D24)*(1+Slot12_Rate)^(Slot12_Age-D24),(1+Slot12_Rate)^(Slot12_Age-D24)*(1-((1+AS_Wage)/(1+Slot12_Rate))^(Slot12_Age-D24))/(1-(1+AS_Wage)/(1+Slot12_Rate))),1)</f>
        <v>1</v>
      </c>
      <c r="LQ24" s="20" t="n">
        <f aca="false">IF(AND(HU24=1,IE24&gt;0,Slot12_IsWG=1,ED24=1),MAX(0,(Slot12_Cost-EE24*(1+Slot12_Rate)^(Slot12_Age-D24))/LP24),0)</f>
        <v>0</v>
      </c>
      <c r="LR24" s="20" t="n">
        <f aca="false">IF(AND(HU24=1,IE24&gt;0,Slot12_IsWG=1,ED24=1),MIN(IE24,LQ24),0)</f>
        <v>0</v>
      </c>
      <c r="LS24" s="20" t="n">
        <f aca="false">EE24+LR24</f>
        <v>0</v>
      </c>
      <c r="LT24" s="20" t="n">
        <f aca="false">IF(ED24=1,MAX(0,(Slot12_Cost-LS24*(1+Slot12_Rate)^(Slot12_Age-D24))/LP24),0)</f>
        <v>0</v>
      </c>
      <c r="LU24" s="20" t="n">
        <f aca="false">IF(ED24=1,MAX(0,(Slot12_Cost-EE24*(1+Slot12_Rate)^(Slot12_Age-D24))/LP24),0)</f>
        <v>0</v>
      </c>
      <c r="LV24" s="20" t="n">
        <f aca="false">IF(AND(HU24=1,ED24=1),MIN(LO24,LT24),0)</f>
        <v>0</v>
      </c>
      <c r="LW24" s="20" t="n">
        <f aca="false">LO24-LV24</f>
        <v>2599.20855251768</v>
      </c>
      <c r="LX24" s="20" t="n">
        <f aca="false">IF(EN24=1,IF(ABS((1+AS_Wage)/(1+Slot13_Rate)-1)&lt;0.000000000001,(Slot13_Age-D24)*(1+Slot13_Rate)^(Slot13_Age-D24),(1+Slot13_Rate)^(Slot13_Age-D24)*(1-((1+AS_Wage)/(1+Slot13_Rate))^(Slot13_Age-D24))/(1-(1+AS_Wage)/(1+Slot13_Rate))),1)</f>
        <v>1</v>
      </c>
      <c r="LY24" s="20" t="n">
        <f aca="false">IF(AND(HU24=1,IE24&gt;0,Slot13_IsWG=1,EN24=1),MAX(0,(Slot13_Cost-EO24*(1+Slot13_Rate)^(Slot13_Age-D24))/LX24),0)</f>
        <v>0</v>
      </c>
      <c r="LZ24" s="20" t="n">
        <f aca="false">IF(AND(HU24=1,IE24&gt;0,Slot13_IsWG=1,EN24=1),MIN(IE24,LY24),0)</f>
        <v>0</v>
      </c>
      <c r="MA24" s="20" t="n">
        <f aca="false">EO24+LZ24</f>
        <v>0</v>
      </c>
      <c r="MB24" s="20" t="n">
        <f aca="false">IF(EN24=1,MAX(0,(Slot13_Cost-MA24*(1+Slot13_Rate)^(Slot13_Age-D24))/LX24),0)</f>
        <v>0</v>
      </c>
      <c r="MC24" s="20" t="n">
        <f aca="false">IF(EN24=1,MAX(0,(Slot13_Cost-EO24*(1+Slot13_Rate)^(Slot13_Age-D24))/LX24),0)</f>
        <v>0</v>
      </c>
      <c r="MD24" s="20" t="n">
        <f aca="false">IF(AND(HU24=1,EN24=1),MIN(LW24,MB24),0)</f>
        <v>0</v>
      </c>
      <c r="ME24" s="20" t="n">
        <f aca="false">LW24-MD24</f>
        <v>2599.20855251768</v>
      </c>
      <c r="MF24" s="20" t="n">
        <f aca="false">IF(EX24=1,IF(ABS((1+AS_Wage)/(1+Slot14_Rate)-1)&lt;0.000000000001,(Slot14_Age-D24)*(1+Slot14_Rate)^(Slot14_Age-D24),(1+Slot14_Rate)^(Slot14_Age-D24)*(1-((1+AS_Wage)/(1+Slot14_Rate))^(Slot14_Age-D24))/(1-(1+AS_Wage)/(1+Slot14_Rate))),1)</f>
        <v>1</v>
      </c>
      <c r="MG24" s="20" t="n">
        <f aca="false">IF(AND(HU24=1,IE24&gt;0,Slot14_IsWG=1,EX24=1),MAX(0,(Slot14_Cost-EY24*(1+Slot14_Rate)^(Slot14_Age-D24))/MF24),0)</f>
        <v>0</v>
      </c>
      <c r="MH24" s="20" t="n">
        <f aca="false">IF(AND(HU24=1,IE24&gt;0,Slot14_IsWG=1,EX24=1),MIN(IE24,MG24),0)</f>
        <v>0</v>
      </c>
      <c r="MI24" s="20" t="n">
        <f aca="false">EY24+MH24</f>
        <v>0</v>
      </c>
      <c r="MJ24" s="20" t="n">
        <f aca="false">IF(EX24=1,MAX(0,(Slot14_Cost-MI24*(1+Slot14_Rate)^(Slot14_Age-D24))/MF24),0)</f>
        <v>0</v>
      </c>
      <c r="MK24" s="20" t="n">
        <f aca="false">IF(EX24=1,MAX(0,(Slot14_Cost-EY24*(1+Slot14_Rate)^(Slot14_Age-D24))/MF24),0)</f>
        <v>0</v>
      </c>
      <c r="ML24" s="20" t="n">
        <f aca="false">IF(AND(HU24=1,EX24=1),MIN(ME24,MJ24),0)</f>
        <v>0</v>
      </c>
      <c r="MM24" s="20" t="n">
        <f aca="false">ME24-ML24</f>
        <v>2599.20855251768</v>
      </c>
      <c r="MN24" s="20" t="n">
        <f aca="false">IF(FH24=1,IF(ABS((1+AS_Wage)/(1+Slot15_Rate)-1)&lt;0.000000000001,(Slot15_Age-D24)*(1+Slot15_Rate)^(Slot15_Age-D24),(1+Slot15_Rate)^(Slot15_Age-D24)*(1-((1+AS_Wage)/(1+Slot15_Rate))^(Slot15_Age-D24))/(1-(1+AS_Wage)/(1+Slot15_Rate))),1)</f>
        <v>1</v>
      </c>
      <c r="MO24" s="20" t="n">
        <f aca="false">IF(AND(HU24=1,IE24&gt;0,Slot15_IsWG=1,FH24=1),MAX(0,(Slot15_Cost-FI24*(1+Slot15_Rate)^(Slot15_Age-D24))/MN24),0)</f>
        <v>0</v>
      </c>
      <c r="MP24" s="20" t="n">
        <f aca="false">IF(AND(HU24=1,IE24&gt;0,Slot15_IsWG=1,FH24=1),MIN(IE24,MO24),0)</f>
        <v>0</v>
      </c>
      <c r="MQ24" s="20" t="n">
        <f aca="false">FI24+MP24</f>
        <v>0</v>
      </c>
      <c r="MR24" s="20" t="n">
        <f aca="false">IF(FH24=1,MAX(0,(Slot15_Cost-MQ24*(1+Slot15_Rate)^(Slot15_Age-D24))/MN24),0)</f>
        <v>0</v>
      </c>
      <c r="MS24" s="20" t="n">
        <f aca="false">IF(FH24=1,MAX(0,(Slot15_Cost-FI24*(1+Slot15_Rate)^(Slot15_Age-D24))/MN24),0)</f>
        <v>0</v>
      </c>
      <c r="MT24" s="20" t="n">
        <f aca="false">IF(AND(HU24=1,FH24=1),MIN(MM24,MR24),0)</f>
        <v>0</v>
      </c>
      <c r="MU24" s="20" t="n">
        <f aca="false">MM24-MT24</f>
        <v>2599.20855251768</v>
      </c>
      <c r="MV24" s="20" t="n">
        <f aca="false">IF(FR24=1,IF(ABS((1+AS_Wage)/(1+Slot16_Rate)-1)&lt;0.000000000001,(Slot16_Age-D24)*(1+Slot16_Rate)^(Slot16_Age-D24),(1+Slot16_Rate)^(Slot16_Age-D24)*(1-((1+AS_Wage)/(1+Slot16_Rate))^(Slot16_Age-D24))/(1-(1+AS_Wage)/(1+Slot16_Rate))),1)</f>
        <v>1</v>
      </c>
      <c r="MW24" s="20" t="n">
        <f aca="false">IF(AND(HU24=1,IE24&gt;0,Slot16_IsWG=1,FR24=1),MAX(0,(Slot16_Cost-FS24*(1+Slot16_Rate)^(Slot16_Age-D24))/MV24),0)</f>
        <v>0</v>
      </c>
      <c r="MX24" s="20" t="n">
        <f aca="false">IF(AND(HU24=1,IE24&gt;0,Slot16_IsWG=1,FR24=1),MIN(IE24,MW24),0)</f>
        <v>0</v>
      </c>
      <c r="MY24" s="20" t="n">
        <f aca="false">FS24+MX24</f>
        <v>0</v>
      </c>
      <c r="MZ24" s="20" t="n">
        <f aca="false">IF(FR24=1,MAX(0,(Slot16_Cost-MY24*(1+Slot16_Rate)^(Slot16_Age-D24))/MV24),0)</f>
        <v>0</v>
      </c>
      <c r="NA24" s="20" t="n">
        <f aca="false">IF(FR24=1,MAX(0,(Slot16_Cost-FS24*(1+Slot16_Rate)^(Slot16_Age-D24))/MV24),0)</f>
        <v>0</v>
      </c>
      <c r="NB24" s="20" t="n">
        <f aca="false">IF(AND(HU24=1,FR24=1),MIN(MU24,MZ24),0)</f>
        <v>0</v>
      </c>
      <c r="NC24" s="20" t="n">
        <f aca="false">MU24-NB24</f>
        <v>2599.20855251768</v>
      </c>
      <c r="ND24" s="20" t="n">
        <f aca="false">IF(GB24=1,IF(ABS((1+AS_Wage)/(1+Slot17_Rate)-1)&lt;0.000000000001,(Slot17_Age-D24)*(1+Slot17_Rate)^(Slot17_Age-D24),(1+Slot17_Rate)^(Slot17_Age-D24)*(1-((1+AS_Wage)/(1+Slot17_Rate))^(Slot17_Age-D24))/(1-(1+AS_Wage)/(1+Slot17_Rate))),1)</f>
        <v>1</v>
      </c>
      <c r="NE24" s="20" t="n">
        <f aca="false">IF(AND(HU24=1,IE24&gt;0,Slot17_IsWG=1,GB24=1),MAX(0,(Slot17_Cost-GC24*(1+Slot17_Rate)^(Slot17_Age-D24))/ND24),0)</f>
        <v>0</v>
      </c>
      <c r="NF24" s="20" t="n">
        <f aca="false">IF(AND(HU24=1,IE24&gt;0,Slot17_IsWG=1,GB24=1),MIN(IE24,NE24),0)</f>
        <v>0</v>
      </c>
      <c r="NG24" s="20" t="n">
        <f aca="false">GC24+NF24</f>
        <v>0</v>
      </c>
      <c r="NH24" s="20" t="n">
        <f aca="false">IF(GB24=1,MAX(0,(Slot17_Cost-NG24*(1+Slot17_Rate)^(Slot17_Age-D24))/ND24),0)</f>
        <v>0</v>
      </c>
      <c r="NI24" s="20" t="n">
        <f aca="false">IF(GB24=1,MAX(0,(Slot17_Cost-GC24*(1+Slot17_Rate)^(Slot17_Age-D24))/ND24),0)</f>
        <v>0</v>
      </c>
      <c r="NJ24" s="20" t="n">
        <f aca="false">IF(AND(HU24=1,GB24=1),MIN(NC24,NH24),0)</f>
        <v>0</v>
      </c>
      <c r="NK24" s="20" t="n">
        <f aca="false">NC24-NJ24</f>
        <v>2599.20855251768</v>
      </c>
      <c r="NL24" s="20" t="n">
        <f aca="false">IF(GL24=1,IF(ABS((1+AS_Wage)/(1+Slot18_Rate)-1)&lt;0.000000000001,(Slot18_Age-D24)*(1+Slot18_Rate)^(Slot18_Age-D24),(1+Slot18_Rate)^(Slot18_Age-D24)*(1-((1+AS_Wage)/(1+Slot18_Rate))^(Slot18_Age-D24))/(1-(1+AS_Wage)/(1+Slot18_Rate))),1)</f>
        <v>1</v>
      </c>
      <c r="NM24" s="20" t="n">
        <f aca="false">IF(AND(HU24=1,IE24&gt;0,Slot18_IsWG=1,GL24=1),MAX(0,(Slot18_Cost-GM24*(1+Slot18_Rate)^(Slot18_Age-D24))/NL24),0)</f>
        <v>0</v>
      </c>
      <c r="NN24" s="20" t="n">
        <f aca="false">IF(AND(HU24=1,IE24&gt;0,Slot18_IsWG=1,GL24=1),MIN(IE24,NM24),0)</f>
        <v>0</v>
      </c>
      <c r="NO24" s="20" t="n">
        <f aca="false">GM24+NN24</f>
        <v>0</v>
      </c>
      <c r="NP24" s="20" t="n">
        <f aca="false">IF(GL24=1,MAX(0,(Slot18_Cost-NO24*(1+Slot18_Rate)^(Slot18_Age-D24))/NL24),0)</f>
        <v>0</v>
      </c>
      <c r="NQ24" s="20" t="n">
        <f aca="false">IF(GL24=1,MAX(0,(Slot18_Cost-GM24*(1+Slot18_Rate)^(Slot18_Age-D24))/NL24),0)</f>
        <v>0</v>
      </c>
      <c r="NR24" s="20" t="n">
        <f aca="false">IF(AND(HU24=1,GL24=1),MIN(NK24,NP24),0)</f>
        <v>0</v>
      </c>
      <c r="NS24" s="20" t="n">
        <f aca="false">NK24-NR24</f>
        <v>2599.20855251768</v>
      </c>
      <c r="NT24" s="20" t="n">
        <f aca="false">IF(GV24=1,IF(ABS((1+AS_Wage)/(1+Slot19_Rate)-1)&lt;0.000000000001,(Slot19_Age-D24)*(1+Slot19_Rate)^(Slot19_Age-D24),(1+Slot19_Rate)^(Slot19_Age-D24)*(1-((1+AS_Wage)/(1+Slot19_Rate))^(Slot19_Age-D24))/(1-(1+AS_Wage)/(1+Slot19_Rate))),1)</f>
        <v>1</v>
      </c>
      <c r="NU24" s="20" t="n">
        <f aca="false">IF(AND(HU24=1,IE24&gt;0,Slot19_IsWG=1,GV24=1),MAX(0,(Slot19_Cost-GW24*(1+Slot19_Rate)^(Slot19_Age-D24))/NT24),0)</f>
        <v>0</v>
      </c>
      <c r="NV24" s="20" t="n">
        <f aca="false">IF(AND(HU24=1,IE24&gt;0,Slot19_IsWG=1,GV24=1),MIN(IE24,NU24),0)</f>
        <v>0</v>
      </c>
      <c r="NW24" s="20" t="n">
        <f aca="false">GW24+NV24</f>
        <v>0</v>
      </c>
      <c r="NX24" s="20" t="n">
        <f aca="false">IF(GV24=1,MAX(0,(Slot19_Cost-NW24*(1+Slot19_Rate)^(Slot19_Age-D24))/NT24),0)</f>
        <v>0</v>
      </c>
      <c r="NY24" s="20" t="n">
        <f aca="false">IF(GV24=1,MAX(0,(Slot19_Cost-GW24*(1+Slot19_Rate)^(Slot19_Age-D24))/NT24),0)</f>
        <v>0</v>
      </c>
      <c r="NZ24" s="20" t="n">
        <f aca="false">IF(AND(HU24=1,GV24=1),MIN(NS24,NX24),0)</f>
        <v>0</v>
      </c>
      <c r="OA24" s="20" t="n">
        <f aca="false">NS24-NZ24</f>
        <v>2599.20855251768</v>
      </c>
      <c r="OB24" s="20" t="n">
        <f aca="false">IF(HF24=1,IF(ABS((1+AS_Wage)/(1+Slot20_Rate)-1)&lt;0.000000000001,(Slot20_Age-D24)*(1+Slot20_Rate)^(Slot20_Age-D24),(1+Slot20_Rate)^(Slot20_Age-D24)*(1-((1+AS_Wage)/(1+Slot20_Rate))^(Slot20_Age-D24))/(1-(1+AS_Wage)/(1+Slot20_Rate))),1)</f>
        <v>1</v>
      </c>
      <c r="OC24" s="20" t="n">
        <f aca="false">IF(AND(HU24=1,IE24&gt;0,Slot20_IsWG=1,HF24=1),MAX(0,(Slot20_Cost-HG24*(1+Slot20_Rate)^(Slot20_Age-D24))/OB24),0)</f>
        <v>0</v>
      </c>
      <c r="OD24" s="20" t="n">
        <f aca="false">IF(AND(HU24=1,IE24&gt;0,Slot20_IsWG=1,HF24=1),MIN(IE24,OC24),0)</f>
        <v>0</v>
      </c>
      <c r="OE24" s="20" t="n">
        <f aca="false">HG24+OD24</f>
        <v>0</v>
      </c>
      <c r="OF24" s="20" t="n">
        <f aca="false">IF(HF24=1,MAX(0,(Slot20_Cost-OE24*(1+Slot20_Rate)^(Slot20_Age-D24))/OB24),0)</f>
        <v>0</v>
      </c>
      <c r="OG24" s="20" t="n">
        <f aca="false">IF(HF24=1,MAX(0,(Slot20_Cost-HG24*(1+Slot20_Rate)^(Slot20_Age-D24))/OB24),0)</f>
        <v>0</v>
      </c>
      <c r="OH24" s="20" t="n">
        <f aca="false">IF(AND(HU24=1,HF24=1),MIN(OA24,OF24),0)</f>
        <v>0</v>
      </c>
      <c r="OI24" s="20" t="n">
        <f aca="false">OA24-OH24</f>
        <v>2599.20855251768</v>
      </c>
      <c r="OJ24" s="20" t="n">
        <f aca="false">IE24-(IH24+IP24+IX24+JF24+JN24+JV24+KD24+KL24+KT24+LB24+LJ24+LR24+LZ24+MH24+MP24+MX24+NF24+NN24+NV24+OD24)</f>
        <v>0</v>
      </c>
      <c r="OK24" s="20" t="n">
        <f aca="false">IF(HU24=1,HS24-ID24-IE24,0)</f>
        <v>11330.0661464853</v>
      </c>
      <c r="OL24" s="20" t="n">
        <f aca="false">IF(HU24=0,-HS24,0)</f>
        <v>0</v>
      </c>
      <c r="OM24" s="20" t="n">
        <f aca="false">MIN(OL24,HK24)</f>
        <v>0</v>
      </c>
      <c r="ON24" s="20" t="n">
        <f aca="false">OL24-OM24</f>
        <v>0</v>
      </c>
      <c r="OO24" s="20" t="n">
        <f aca="false">MIN(ON24,HL24)</f>
        <v>0</v>
      </c>
      <c r="OP24" s="20" t="n">
        <f aca="false">ON24-OO24</f>
        <v>0</v>
      </c>
      <c r="OQ24" s="20" t="n">
        <f aca="false">IF(AND(HU24=0,HF24=1,OP24&gt;0),MIN(OP24,HG24),0)</f>
        <v>0</v>
      </c>
      <c r="OR24" s="20" t="n">
        <f aca="false">OP24-OQ24</f>
        <v>0</v>
      </c>
      <c r="OS24" s="20" t="n">
        <f aca="false">IF(AND(HU24=0,GV24=1,OR24&gt;0),MIN(OR24,GW24),0)</f>
        <v>0</v>
      </c>
      <c r="OT24" s="20" t="n">
        <f aca="false">OR24-OS24</f>
        <v>0</v>
      </c>
      <c r="OU24" s="20" t="n">
        <f aca="false">IF(AND(HU24=0,GL24=1,OT24&gt;0),MIN(OT24,GM24),0)</f>
        <v>0</v>
      </c>
      <c r="OV24" s="20" t="n">
        <f aca="false">OT24-OU24</f>
        <v>0</v>
      </c>
      <c r="OW24" s="20" t="n">
        <f aca="false">IF(AND(HU24=0,GB24=1,OV24&gt;0),MIN(OV24,GC24),0)</f>
        <v>0</v>
      </c>
      <c r="OX24" s="20" t="n">
        <f aca="false">OV24-OW24</f>
        <v>0</v>
      </c>
      <c r="OY24" s="20" t="n">
        <f aca="false">IF(AND(HU24=0,FR24=1,OX24&gt;0),MIN(OX24,FS24),0)</f>
        <v>0</v>
      </c>
      <c r="OZ24" s="20" t="n">
        <f aca="false">OX24-OY24</f>
        <v>0</v>
      </c>
      <c r="PA24" s="20" t="n">
        <f aca="false">IF(AND(HU24=0,FH24=1,OZ24&gt;0),MIN(OZ24,FI24),0)</f>
        <v>0</v>
      </c>
      <c r="PB24" s="20" t="n">
        <f aca="false">OZ24-PA24</f>
        <v>0</v>
      </c>
      <c r="PC24" s="20" t="n">
        <f aca="false">IF(AND(HU24=0,EX24=1,PB24&gt;0),MIN(PB24,EY24),0)</f>
        <v>0</v>
      </c>
      <c r="PD24" s="20" t="n">
        <f aca="false">PB24-PC24</f>
        <v>0</v>
      </c>
      <c r="PE24" s="20" t="n">
        <f aca="false">IF(AND(HU24=0,EN24=1,PD24&gt;0),MIN(PD24,EO24),0)</f>
        <v>0</v>
      </c>
      <c r="PF24" s="20" t="n">
        <f aca="false">PD24-PE24</f>
        <v>0</v>
      </c>
      <c r="PG24" s="20" t="n">
        <f aca="false">IF(AND(HU24=0,ED24=1,PF24&gt;0),MIN(PF24,EE24),0)</f>
        <v>0</v>
      </c>
      <c r="PH24" s="20" t="n">
        <f aca="false">PF24-PG24</f>
        <v>0</v>
      </c>
      <c r="PI24" s="20" t="n">
        <f aca="false">IF(AND(HU24=0,DT24=1,PH24&gt;0),MIN(PH24,DU24),0)</f>
        <v>0</v>
      </c>
      <c r="PJ24" s="20" t="n">
        <f aca="false">PH24-PI24</f>
        <v>0</v>
      </c>
      <c r="PK24" s="20" t="n">
        <f aca="false">IF(AND(HU24=0,DJ24=1,PJ24&gt;0),MIN(PJ24,DK24),0)</f>
        <v>0</v>
      </c>
      <c r="PL24" s="20" t="n">
        <f aca="false">PJ24-PK24</f>
        <v>0</v>
      </c>
      <c r="PM24" s="20" t="n">
        <f aca="false">IF(AND(HU24=0,CZ24=1,PL24&gt;0),MIN(PL24,DA24),0)</f>
        <v>0</v>
      </c>
      <c r="PN24" s="20" t="n">
        <f aca="false">PL24-PM24</f>
        <v>0</v>
      </c>
      <c r="PO24" s="20" t="n">
        <f aca="false">IF(AND(HU24=0,CP24=1,PN24&gt;0),MIN(PN24,CQ24),0)</f>
        <v>0</v>
      </c>
      <c r="PP24" s="20" t="n">
        <f aca="false">PN24-PO24</f>
        <v>0</v>
      </c>
      <c r="PQ24" s="20" t="n">
        <f aca="false">IF(AND(HU24=0,CF24=1,PP24&gt;0),MIN(PP24,CG24),0)</f>
        <v>0</v>
      </c>
      <c r="PR24" s="20" t="n">
        <f aca="false">PP24-PQ24</f>
        <v>0</v>
      </c>
      <c r="PS24" s="20" t="n">
        <f aca="false">IF(AND(HU24=0,BV24=1,PR24&gt;0),MIN(PR24,BW24),0)</f>
        <v>0</v>
      </c>
      <c r="PT24" s="20" t="n">
        <f aca="false">PR24-PS24</f>
        <v>0</v>
      </c>
      <c r="PU24" s="20" t="n">
        <f aca="false">IF(AND(HU24=0,BL24=1,PT24&gt;0),MIN(PT24,BM24),0)</f>
        <v>0</v>
      </c>
      <c r="PV24" s="20" t="n">
        <f aca="false">PT24-PU24</f>
        <v>0</v>
      </c>
      <c r="PW24" s="20" t="n">
        <f aca="false">IF(AND(HU24=0,BB24=1,PV24&gt;0),MIN(PV24,BC24),0)</f>
        <v>0</v>
      </c>
      <c r="PX24" s="20" t="n">
        <f aca="false">PV24-PW24</f>
        <v>0</v>
      </c>
      <c r="PY24" s="20" t="n">
        <f aca="false">IF(AND(HU24=0,AR24=1,PX24&gt;0),MIN(PX24,AS24),0)</f>
        <v>0</v>
      </c>
      <c r="PZ24" s="20" t="n">
        <f aca="false">PX24-PY24</f>
        <v>0</v>
      </c>
      <c r="QA24" s="20" t="n">
        <f aca="false">IF(AND(HU24=0,AH24=1,PZ24&gt;0),MIN(PZ24,AI24),0)</f>
        <v>0</v>
      </c>
      <c r="QB24" s="20" t="n">
        <f aca="false">PZ24-QA24</f>
        <v>0</v>
      </c>
      <c r="QC24" s="20" t="n">
        <f aca="false">IF(AND(HU24=0,W24=1,QB24&gt;0),MIN(QB24,X24),0)</f>
        <v>0</v>
      </c>
      <c r="QD24" s="20" t="n">
        <f aca="false">QB24-QC24</f>
        <v>0</v>
      </c>
      <c r="QE24" s="20" t="n">
        <f aca="false">IF(HU24=0,QD24,0)</f>
        <v>0</v>
      </c>
      <c r="QF24" s="20" t="n">
        <f aca="false">OM24+OO24+QC24+QA24+PY24+PW24+PU24+PS24+PQ24+PO24+PM24+PK24+PI24+PG24+PE24+PC24+PA24+OY24+OW24+OU24+OS24+OQ24</f>
        <v>0</v>
      </c>
      <c r="QG24" s="20" t="n">
        <f aca="false">IF(HU24=1,HK24+OJ24+OI24+IF(G24=1,0,OK24),HK24-OM24)</f>
        <v>16486.837796815</v>
      </c>
      <c r="QH24" s="20" t="n">
        <f aca="false">HL24-OO24</f>
        <v>17938.6945717863</v>
      </c>
      <c r="QI24" s="20" t="n">
        <f aca="false">IF(HU24=1,IF(G24=1,ID24+IE24,HS24),0)</f>
        <v>8236.71423054368</v>
      </c>
      <c r="QJ24" s="20" t="n">
        <f aca="false">IF(HU24=1,IF(G24=1,HS24-ID24-IE24,0),0)</f>
        <v>11330.0661464853</v>
      </c>
      <c r="QK24" s="20" t="n">
        <f aca="false">QG24*(1+GR)</f>
        <v>16757.2219366828</v>
      </c>
      <c r="QL24" s="20" t="n">
        <f aca="false">QH24*(1+AS_Cash)</f>
        <v>18118.0815175042</v>
      </c>
      <c r="QM24" s="20" t="n">
        <f aca="false">IF(W24=1,IF(HU24=1,II24+IL24,X24-QC24)*(1+Slot1_Rate),0)</f>
        <v>0</v>
      </c>
      <c r="QN24" s="20" t="n">
        <f aca="false">IF(AND(HU24=1,W24=1),(IH24+IL24)/F24,0)</f>
        <v>0</v>
      </c>
      <c r="QO24" s="20" t="n">
        <f aca="false">IF(B24=0,IH24+IL24,0)</f>
        <v>0</v>
      </c>
      <c r="QP24" s="20" t="n">
        <f aca="false">IF(B24=0,IF(HU24=1,IJ24,IK24),0)</f>
        <v>0</v>
      </c>
      <c r="QQ24" s="20" t="n">
        <f aca="false">IF(AH24=1,IF(HU24=1,IQ24+IT24,AI24-QA24)*(1+Slot2_Rate),0)</f>
        <v>0</v>
      </c>
      <c r="QR24" s="20" t="n">
        <f aca="false">IF(AND(HU24=1,AH24=1),(IP24+IT24)/F24,0)</f>
        <v>0</v>
      </c>
      <c r="QS24" s="20" t="n">
        <f aca="false">IF(B24=0,IP24+IT24,0)</f>
        <v>0</v>
      </c>
      <c r="QT24" s="20" t="n">
        <f aca="false">IF(B24=0,IF(HU24=1,IR24,IS24),0)</f>
        <v>0</v>
      </c>
      <c r="QU24" s="20" t="n">
        <f aca="false">IF(AR24=1,IF(HU24=1,IY24+JB24,AS24-PY24)*(1+Slot3_Rate),0)</f>
        <v>0</v>
      </c>
      <c r="QV24" s="20" t="n">
        <f aca="false">IF(AND(HU24=1,AR24=1),(IX24+JB24)/F24,0)</f>
        <v>0</v>
      </c>
      <c r="QW24" s="20" t="n">
        <f aca="false">IF(B24=0,IX24+JB24,0)</f>
        <v>0</v>
      </c>
      <c r="QX24" s="20" t="n">
        <f aca="false">IF(B24=0,IF(HU24=1,IZ24,JA24),0)</f>
        <v>0</v>
      </c>
      <c r="QY24" s="20" t="n">
        <f aca="false">IF(BB24=1,IF(HU24=1,JG24+JJ24,BC24-PW24)*(1+Slot4_Rate),0)</f>
        <v>40019.8956528291</v>
      </c>
      <c r="QZ24" s="20" t="n">
        <f aca="false">IF(AND(HU24=1,BB24=1),(JF24+JJ24)/F24,0)</f>
        <v>4106.61741094826</v>
      </c>
      <c r="RA24" s="20" t="n">
        <f aca="false">IF(B24=0,JF24+JJ24,0)</f>
        <v>0</v>
      </c>
      <c r="RB24" s="20" t="n">
        <f aca="false">IF(B24=0,IF(HU24=1,JH24,JI24),0)</f>
        <v>0</v>
      </c>
      <c r="RC24" s="20" t="n">
        <f aca="false">IF(BL24=1,IF(HU24=1,JO24+JR24,BM24-PU24)*(1+Slot5_Rate),0)</f>
        <v>0</v>
      </c>
      <c r="RD24" s="20" t="n">
        <f aca="false">IF(AND(HU24=1,BL24=1),(JN24+JR24)/F24,0)</f>
        <v>0</v>
      </c>
      <c r="RE24" s="20" t="n">
        <f aca="false">IF(B24=0,JN24+JR24,0)</f>
        <v>0</v>
      </c>
      <c r="RF24" s="20" t="n">
        <f aca="false">IF(B24=0,IF(HU24=1,JP24,JQ24),0)</f>
        <v>0</v>
      </c>
      <c r="RG24" s="20" t="n">
        <f aca="false">IF(BV24=1,IF(HU24=1,JW24+JZ24,BW24-PS24)*(1+Slot6_Rate),0)</f>
        <v>0</v>
      </c>
      <c r="RH24" s="20" t="n">
        <f aca="false">IF(AND(HU24=1,BV24=1),(JV24+JZ24)/F24,0)</f>
        <v>0</v>
      </c>
      <c r="RI24" s="20" t="n">
        <f aca="false">IF(B24=0,JV24+JZ24,0)</f>
        <v>0</v>
      </c>
      <c r="RJ24" s="20" t="n">
        <f aca="false">IF(B24=0,IF(HU24=1,JX24,JY24),0)</f>
        <v>0</v>
      </c>
      <c r="RK24" s="20" t="n">
        <f aca="false">IF(CF24=1,IF(HU24=1,KE24+KH24,CG24-PQ24)*(1+Slot7_Rate),0)</f>
        <v>0</v>
      </c>
      <c r="RL24" s="20" t="n">
        <f aca="false">IF(AND(HU24=1,CF24=1),(KD24+KH24)/F24,0)</f>
        <v>0</v>
      </c>
      <c r="RM24" s="20" t="n">
        <f aca="false">IF(B24=0,KD24+KH24,0)</f>
        <v>0</v>
      </c>
      <c r="RN24" s="20" t="n">
        <f aca="false">IF(B24=0,IF(HU24=1,KF24,KG24),0)</f>
        <v>0</v>
      </c>
      <c r="RO24" s="20" t="n">
        <f aca="false">IF(CP24=1,IF(HU24=1,KM24+KP24,CQ24-PO24)*(1+Slot8_Rate),0)</f>
        <v>0</v>
      </c>
      <c r="RP24" s="20" t="n">
        <f aca="false">IF(AND(HU24=1,CP24=1),(KL24+KP24)/F24,0)</f>
        <v>0</v>
      </c>
      <c r="RQ24" s="20" t="n">
        <f aca="false">IF(B24=0,KL24+KP24,0)</f>
        <v>0</v>
      </c>
      <c r="RR24" s="20" t="n">
        <f aca="false">IF(B24=0,IF(HU24=1,KN24,KO24),0)</f>
        <v>0</v>
      </c>
      <c r="RS24" s="20" t="n">
        <f aca="false">IF(CZ24=1,IF(HU24=1,KU24+KX24,DA24-PM24)*(1+Slot9_Rate),0)</f>
        <v>0</v>
      </c>
      <c r="RT24" s="20" t="n">
        <f aca="false">IF(AND(HU24=1,CZ24=1),(KT24+KX24)/F24,0)</f>
        <v>0</v>
      </c>
      <c r="RU24" s="20" t="n">
        <f aca="false">IF(B24=0,KT24+KX24,0)</f>
        <v>0</v>
      </c>
      <c r="RV24" s="20" t="n">
        <f aca="false">IF(B24=0,IF(HU24=1,KV24,KW24),0)</f>
        <v>0</v>
      </c>
      <c r="RW24" s="20" t="n">
        <f aca="false">IF(DJ24=1,IF(HU24=1,LC24+LF24,DK24-PK24)*(1+Slot10_Rate),0)</f>
        <v>0</v>
      </c>
      <c r="RX24" s="20" t="n">
        <f aca="false">IF(AND(HU24=1,DJ24=1),(LB24+LF24)/F24,0)</f>
        <v>0</v>
      </c>
      <c r="RY24" s="20" t="n">
        <f aca="false">IF(B24=0,LB24+LF24,0)</f>
        <v>0</v>
      </c>
      <c r="RZ24" s="20" t="n">
        <f aca="false">IF(B24=0,IF(HU24=1,LD24,LE24),0)</f>
        <v>0</v>
      </c>
      <c r="SA24" s="20" t="n">
        <f aca="false">IF(DT24=1,IF(HU24=1,LK24+LN24,DU24-PI24)*(1+Slot11_Rate),0)</f>
        <v>0</v>
      </c>
      <c r="SB24" s="20" t="n">
        <f aca="false">IF(AND(HU24=1,DT24=1),(LJ24+LN24)/F24,0)</f>
        <v>0</v>
      </c>
      <c r="SC24" s="20" t="n">
        <f aca="false">IF(B24=0,LJ24+LN24,0)</f>
        <v>0</v>
      </c>
      <c r="SD24" s="20" t="n">
        <f aca="false">IF(B24=0,IF(HU24=1,LL24,LM24),0)</f>
        <v>0</v>
      </c>
      <c r="SE24" s="20" t="n">
        <f aca="false">IF(ED24=1,IF(HU24=1,LS24+LV24,EE24-PG24)*(1+Slot12_Rate),0)</f>
        <v>0</v>
      </c>
      <c r="SF24" s="20" t="n">
        <f aca="false">IF(AND(HU24=1,ED24=1),(LR24+LV24)/F24,0)</f>
        <v>0</v>
      </c>
      <c r="SG24" s="20" t="n">
        <f aca="false">IF(B24=0,LR24+LV24,0)</f>
        <v>0</v>
      </c>
      <c r="SH24" s="20" t="n">
        <f aca="false">IF(B24=0,IF(HU24=1,LT24,LU24),0)</f>
        <v>0</v>
      </c>
      <c r="SI24" s="20" t="n">
        <f aca="false">IF(EN24=1,IF(HU24=1,MA24+MD24,EO24-PE24)*(1+Slot13_Rate),0)</f>
        <v>0</v>
      </c>
      <c r="SJ24" s="20" t="n">
        <f aca="false">IF(AND(HU24=1,EN24=1),(LZ24+MD24)/F24,0)</f>
        <v>0</v>
      </c>
      <c r="SK24" s="20" t="n">
        <f aca="false">IF(B24=0,LZ24+MD24,0)</f>
        <v>0</v>
      </c>
      <c r="SL24" s="20" t="n">
        <f aca="false">IF(B24=0,IF(HU24=1,MB24,MC24),0)</f>
        <v>0</v>
      </c>
      <c r="SM24" s="20" t="n">
        <f aca="false">IF(EX24=1,IF(HU24=1,MI24+ML24,EY24-PC24)*(1+Slot14_Rate),0)</f>
        <v>0</v>
      </c>
      <c r="SN24" s="20" t="n">
        <f aca="false">IF(AND(HU24=1,EX24=1),(MH24+ML24)/F24,0)</f>
        <v>0</v>
      </c>
      <c r="SO24" s="20" t="n">
        <f aca="false">IF(B24=0,MH24+ML24,0)</f>
        <v>0</v>
      </c>
      <c r="SP24" s="20" t="n">
        <f aca="false">IF(B24=0,IF(HU24=1,MJ24,MK24),0)</f>
        <v>0</v>
      </c>
      <c r="SQ24" s="20" t="n">
        <f aca="false">IF(FH24=1,IF(HU24=1,MQ24+MT24,FI24-PA24)*(1+Slot15_Rate),0)</f>
        <v>0</v>
      </c>
      <c r="SR24" s="20" t="n">
        <f aca="false">IF(AND(HU24=1,FH24=1),(MP24+MT24)/F24,0)</f>
        <v>0</v>
      </c>
      <c r="SS24" s="20" t="n">
        <f aca="false">IF(B24=0,MP24+MT24,0)</f>
        <v>0</v>
      </c>
      <c r="ST24" s="20" t="n">
        <f aca="false">IF(B24=0,IF(HU24=1,MR24,MS24),0)</f>
        <v>0</v>
      </c>
      <c r="SU24" s="20" t="n">
        <f aca="false">IF(FR24=1,IF(HU24=1,MY24+NB24,FS24-OY24)*(1+Slot16_Rate),0)</f>
        <v>0</v>
      </c>
      <c r="SV24" s="20" t="n">
        <f aca="false">IF(AND(HU24=1,FR24=1),(MX24+NB24)/F24,0)</f>
        <v>0</v>
      </c>
      <c r="SW24" s="20" t="n">
        <f aca="false">IF(B24=0,MX24+NB24,0)</f>
        <v>0</v>
      </c>
      <c r="SX24" s="20" t="n">
        <f aca="false">IF(B24=0,IF(HU24=1,MZ24,NA24),0)</f>
        <v>0</v>
      </c>
      <c r="SY24" s="20" t="n">
        <f aca="false">IF(GB24=1,IF(HU24=1,NG24+NJ24,GC24-OW24)*(1+Slot17_Rate),0)</f>
        <v>0</v>
      </c>
      <c r="SZ24" s="20" t="n">
        <f aca="false">IF(AND(HU24=1,GB24=1),(NF24+NJ24)/F24,0)</f>
        <v>0</v>
      </c>
      <c r="TA24" s="20" t="n">
        <f aca="false">IF(B24=0,NF24+NJ24,0)</f>
        <v>0</v>
      </c>
      <c r="TB24" s="20" t="n">
        <f aca="false">IF(B24=0,IF(HU24=1,NH24,NI24),0)</f>
        <v>0</v>
      </c>
      <c r="TC24" s="20" t="n">
        <f aca="false">IF(GL24=1,IF(HU24=1,NO24+NR24,GM24-OU24)*(1+Slot18_Rate),0)</f>
        <v>0</v>
      </c>
      <c r="TD24" s="20" t="n">
        <f aca="false">IF(AND(HU24=1,GL24=1),(NN24+NR24)/F24,0)</f>
        <v>0</v>
      </c>
      <c r="TE24" s="20" t="n">
        <f aca="false">IF(B24=0,NN24+NR24,0)</f>
        <v>0</v>
      </c>
      <c r="TF24" s="20" t="n">
        <f aca="false">IF(B24=0,IF(HU24=1,NP24,NQ24),0)</f>
        <v>0</v>
      </c>
      <c r="TG24" s="20" t="n">
        <f aca="false">IF(GV24=1,IF(HU24=1,NW24+NZ24,GW24-OS24)*(1+Slot19_Rate),0)</f>
        <v>0</v>
      </c>
      <c r="TH24" s="20" t="n">
        <f aca="false">IF(AND(HU24=1,GV24=1),(NV24+NZ24)/F24,0)</f>
        <v>0</v>
      </c>
      <c r="TI24" s="20" t="n">
        <f aca="false">IF(B24=0,NV24+NZ24,0)</f>
        <v>0</v>
      </c>
      <c r="TJ24" s="20" t="n">
        <f aca="false">IF(B24=0,IF(HU24=1,NX24,NY24),0)</f>
        <v>0</v>
      </c>
      <c r="TK24" s="20" t="n">
        <f aca="false">IF(HF24=1,IF(HU24=1,OE24+OH24,HG24-OQ24)*(1+Slot20_Rate),0)</f>
        <v>0</v>
      </c>
      <c r="TL24" s="20" t="n">
        <f aca="false">IF(AND(HU24=1,HF24=1),(OD24+OH24)/F24,0)</f>
        <v>0</v>
      </c>
      <c r="TM24" s="20" t="n">
        <f aca="false">IF(B24=0,OD24+OH24,0)</f>
        <v>0</v>
      </c>
      <c r="TN24" s="20" t="n">
        <f aca="false">IF(B24=0,IF(HU24=1,OF24,OG24),0)</f>
        <v>0</v>
      </c>
      <c r="TO24" s="20" t="n">
        <f aca="false">QK24+QL24+QM24+QQ24+QU24+QY24+RC24+RG24+RK24+RO24+RS24+RW24+SA24+SE24+SI24+SM24+SQ24+SU24+SY24+TC24+TG24+TK24</f>
        <v>74895.1991070161</v>
      </c>
      <c r="TP24" s="20" t="n">
        <f aca="false">QE24+HP24</f>
        <v>0</v>
      </c>
      <c r="TQ24" s="20" t="n">
        <f aca="false">I24+S24</f>
        <v>75935.3567290776</v>
      </c>
      <c r="TR24" s="20" t="n">
        <f aca="false">1-G24</f>
        <v>0</v>
      </c>
      <c r="TS24" s="20" t="n">
        <f aca="false">IF(AND(RG_Exists=1,G24=0,C24=1),I24,0)</f>
        <v>0</v>
      </c>
      <c r="TT24" s="20" t="n">
        <f aca="false">IF(AND(RG_Exists=1,G24=0,C24=1),I24-MIN(QE24,I24),0)</f>
        <v>0</v>
      </c>
      <c r="TU24" s="20" t="n">
        <f aca="false">'Plan pay &amp; tax'!AD250</f>
        <v>343743.268214261</v>
      </c>
      <c r="TV24" s="20" t="n">
        <f aca="false">IF(AND(C24=1,QE24&gt;MAX(PR_Short1,TQ24*PR_Short2)),1,0)</f>
        <v>0</v>
      </c>
      <c r="TW24" s="20" t="n">
        <f aca="false">MIN(H24,I24+S24)</f>
        <v>75935.3567290776</v>
      </c>
      <c r="TX24" s="20" t="n">
        <f aca="false">QF24+MAX(0,HQ24-HP24)</f>
        <v>0</v>
      </c>
      <c r="TY24" s="20" t="n">
        <f aca="false">QE24+HP24</f>
        <v>0</v>
      </c>
      <c r="TZ24" s="20" t="n">
        <f aca="false">IF(AND(C24=1,TY24&gt;PR_MinShort),1,0)</f>
        <v>0</v>
      </c>
      <c r="UA24" s="20" t="n">
        <f aca="false">IF(AND(C24=1,TZ24=0,TX24&gt;PR_MinShort),1,0)</f>
        <v>0</v>
      </c>
      <c r="UB24" s="20" t="n">
        <f aca="false">IF(AND(C24=1,QE24&gt;PR_MinShort),1,0)</f>
        <v>0</v>
      </c>
      <c r="UC24" s="20" t="n">
        <f aca="false">IF(AND(C24=1,QF24&gt;1,UJ24=0),1,0)</f>
        <v>0</v>
      </c>
      <c r="UD24" s="20" t="str">
        <f aca="false">IF(C24=0,"",IF(UJ24=1,"Gap to plan for: short "&amp;"€"&amp;TEXT(ROUND(TP24,0),"#,##0"),IF(QF24&gt;1,"Using savings","Comfortable")))</f>
        <v>Comfortable</v>
      </c>
      <c r="UE24" s="20" t="n">
        <f aca="false">IF(AND(INT(D24/10)*10=90,B24&gt;0),80,INT(D24/10)*10)</f>
        <v>50</v>
      </c>
      <c r="UF24" s="20" t="n">
        <f aca="false">IF(B24=0,1,IF(UE24&lt;&gt;UE23,UF23+1,UF23))</f>
        <v>3</v>
      </c>
      <c r="UG24" s="20" t="n">
        <f aca="false">IF(AND(C24=1,G24=1,QE24&gt;MAX(PR_Short1,TQ24*PR_Short2)),1,0)</f>
        <v>0</v>
      </c>
      <c r="UH24" s="20" t="n">
        <f aca="false">TR24*TV24</f>
        <v>0</v>
      </c>
      <c r="UI24" s="20" t="n">
        <f aca="false">IF(AND(V24=1,Slot1_PctLow=1),1,0)+IF(AND(AG24=1,Slot2_PctLow=1),1,0)+IF(AND(AQ24=1,Slot3_PctLow=1),1,0)+IF(AND(BA24=1,Slot4_PctLow=1),1,0)+IF(AND(BK24=1,Slot5_PctLow=1),1,0)+IF(AND(BU24=1,Slot6_PctLow=1),1,0)+IF(AND(CE24=1,Slot7_PctLow=1),1,0)+IF(AND(CO24=1,Slot8_PctLow=1),1,0)+IF(AND(CY24=1,Slot9_PctLow=1),1,0)+IF(AND(DI24=1,Slot10_PctLow=1),1,0)+IF(AND(DS24=1,Slot11_PctLow=1),1,0)+IF(AND(EC24=1,Slot12_PctLow=1),1,0)+IF(AND(EM24=1,Slot13_PctLow=1),1,0)+IF(AND(EW24=1,Slot14_PctLow=1),1,0)+IF(AND(FG24=1,Slot15_PctLow=1),1,0)+IF(AND(FQ24=1,Slot16_PctLow=1),1,0)+IF(AND(GA24=1,Slot17_PctLow=1),1,0)+IF(AND(GK24=1,Slot18_PctLow=1),1,0)+IF(AND(GU24=1,Slot19_PctLow=1),1,0)+IF(AND(HE24=1,Slot20_PctLow=1),1,0)</f>
        <v>0</v>
      </c>
      <c r="UJ24" s="20" t="n">
        <f aca="false">IF(C24=1,IF(OR(TV24=1,UI24&gt;0),1,0),0)</f>
        <v>0</v>
      </c>
    </row>
    <row r="25" customFormat="false" ht="15" hidden="false" customHeight="true" outlineLevel="0" collapsed="false">
      <c r="B25" s="20" t="n">
        <v>17</v>
      </c>
      <c r="C25" s="20" t="n">
        <f aca="false">IF(B25&lt;=F_N,1,0)</f>
        <v>1</v>
      </c>
      <c r="D25" s="20" t="n">
        <f aca="false">'Plan pay &amp; tax'!C251</f>
        <v>55</v>
      </c>
      <c r="E25" s="20" t="str">
        <f aca="false">IF($C25=1,"Income tax "&amp;TEXT(N('Plan pay &amp; tax'!BK251),"#,##0")&amp;"; USC "&amp;TEXT(N('Plan pay &amp; tax'!BM251)+N('Plan pay &amp; tax'!BO251),"#,##0")&amp;"; PRSI "&amp;TEXT(N('Plan pay &amp; tax'!BP251)+N('Plan pay &amp; tax'!BQ251),"#,##0")&amp;". DIRT and exit tax are inside the growth rates here.","")</f>
        <v>Income tax 14,306; USC 1,926; PRSI 4,438. DIRT and exit tax are inside the growth rates here.</v>
      </c>
      <c r="F25" s="44" t="n">
        <f aca="false">'Plan pay &amp; tax'!E251</f>
        <v>1.40024141919242</v>
      </c>
      <c r="G25" s="20" t="n">
        <f aca="false">'Plan pay &amp; tax'!G251</f>
        <v>1</v>
      </c>
      <c r="H25" s="20" t="n">
        <f aca="false">'Plan pay &amp; tax'!BT251-'Plan pay &amp; tax'!BS251-'Plan pay &amp; tax'!R251</f>
        <v>98127.686355294</v>
      </c>
      <c r="I25" s="20" t="n">
        <f aca="false">IF(G25=1,F_CostsM*12,IF(RG_Exists=1,RG_Amount,F_CostsM*12*AS_RetireSpend))*F25+F_OneOffY*F25</f>
        <v>63010.8638636591</v>
      </c>
      <c r="J25" s="20" t="n">
        <f aca="false">HR24</f>
        <v>52379.8592822762</v>
      </c>
      <c r="K25" s="20" t="n">
        <f aca="false">IF(J25&gt;1,'Plan debt months'!AC25,0)</f>
        <v>14160</v>
      </c>
      <c r="L25" s="20" t="n">
        <f aca="false">IF(J25&gt;1,'Plan debt months'!AB25,J25)</f>
        <v>40019.8956528291</v>
      </c>
      <c r="M25" s="20" t="n">
        <f aca="false">O24</f>
        <v>0</v>
      </c>
      <c r="N25" s="20" t="n">
        <f aca="false">IF(M25&gt;1,'Plan debt months'!BD25,0)</f>
        <v>0</v>
      </c>
      <c r="O25" s="20" t="n">
        <f aca="false">IF(M25&gt;1,'Plan debt months'!BC25,M25)</f>
        <v>0</v>
      </c>
      <c r="P25" s="20" t="n">
        <f aca="false">R24</f>
        <v>0</v>
      </c>
      <c r="Q25" s="20" t="n">
        <f aca="false">IF(P25&gt;1,'Plan debt months'!CE25,0)</f>
        <v>0</v>
      </c>
      <c r="R25" s="20" t="n">
        <f aca="false">IF(P25&gt;1,'Plan debt months'!CD25,P25)</f>
        <v>0</v>
      </c>
      <c r="S25" s="20" t="n">
        <f aca="false">K25+N25+Q25</f>
        <v>14160</v>
      </c>
      <c r="T25" s="20" t="n">
        <f aca="false">QK24+'Plan pay &amp; tax'!Y251</f>
        <v>16757.2219366828</v>
      </c>
      <c r="U25" s="20" t="n">
        <f aca="false">QK24</f>
        <v>16757.2219366828</v>
      </c>
      <c r="V25" s="20" t="n">
        <f aca="false">IF(AND(Slot1_On=1,D25=Slot1_Age),1,0)</f>
        <v>0</v>
      </c>
      <c r="W25" s="20" t="n">
        <f aca="false">IF(AND(Slot1_On=1,Slot1_Age&gt;D25),1,0)</f>
        <v>0</v>
      </c>
      <c r="X25" s="20" t="n">
        <f aca="false">QM24</f>
        <v>0</v>
      </c>
      <c r="Y25" s="20" t="n">
        <f aca="false">V25*MIN(Slot1_Cost,X25)</f>
        <v>0</v>
      </c>
      <c r="Z25" s="20" t="n">
        <f aca="false">V25*Slot1_SpendLike*MIN(Slot1_Cost-Y25,T25)</f>
        <v>0</v>
      </c>
      <c r="AA25" s="20" t="n">
        <f aca="false">Y25+Z25</f>
        <v>0</v>
      </c>
      <c r="AB25" s="20" t="n">
        <f aca="false">T25-Z25+V25*IF(Slot1_SpendLike=1,X25-Y25,IF(Slot1_PotFree=1,X25,0))</f>
        <v>16757.2219366828</v>
      </c>
      <c r="AC25" s="20" t="n">
        <f aca="false">AF25+V25*Slot1_BufPot*X25</f>
        <v>18118.0815175042</v>
      </c>
      <c r="AD25" s="20" t="n">
        <f aca="false">IF(AND(V25=1,Slot1_IsMfree=1),IF(AA25&gt;=Slot1_Cost-1,0,MAX(0,L25-AA25)),L25)</f>
        <v>40019.8956528291</v>
      </c>
      <c r="AE25" s="20" t="n">
        <f aca="false">V25*(Slot1_Cost-AA25)</f>
        <v>0</v>
      </c>
      <c r="AF25" s="20" t="n">
        <f aca="false">QL24</f>
        <v>18118.0815175042</v>
      </c>
      <c r="AG25" s="20" t="n">
        <f aca="false">IF(AND(Slot2_On=1,D25=Slot2_Age),1,0)</f>
        <v>0</v>
      </c>
      <c r="AH25" s="20" t="n">
        <f aca="false">IF(AND(Slot2_On=1,Slot2_Age&gt;D25),1,0)</f>
        <v>0</v>
      </c>
      <c r="AI25" s="20" t="n">
        <f aca="false">QQ24</f>
        <v>0</v>
      </c>
      <c r="AJ25" s="20" t="n">
        <f aca="false">AG25*MIN(Slot2_Cost,AI25)</f>
        <v>0</v>
      </c>
      <c r="AK25" s="20" t="n">
        <f aca="false">AG25*Slot2_SpendLike*MIN(Slot2_Cost-AJ25,AB25)</f>
        <v>0</v>
      </c>
      <c r="AL25" s="20" t="n">
        <f aca="false">AJ25+AK25</f>
        <v>0</v>
      </c>
      <c r="AM25" s="20" t="n">
        <f aca="false">AB25-AK25+AG25*IF(Slot2_SpendLike=1,AI25-AJ25,IF(Slot2_PotFree=1,AI25,0))</f>
        <v>16757.2219366828</v>
      </c>
      <c r="AN25" s="20" t="n">
        <f aca="false">AC25+AG25*Slot2_BufPot*AI25</f>
        <v>18118.0815175042</v>
      </c>
      <c r="AO25" s="20" t="n">
        <f aca="false">IF(AND(AG25=1,Slot2_IsMfree=1),IF(AL25&gt;=Slot2_Cost-1,0,MAX(0,AD25-AL25)),AD25)</f>
        <v>40019.8956528291</v>
      </c>
      <c r="AP25" s="20" t="n">
        <f aca="false">AG25*(Slot2_Cost-AL25)</f>
        <v>0</v>
      </c>
      <c r="AQ25" s="20" t="n">
        <f aca="false">IF(AND(Slot3_On=1,D25=Slot3_Age),1,0)</f>
        <v>0</v>
      </c>
      <c r="AR25" s="20" t="n">
        <f aca="false">IF(AND(Slot3_On=1,Slot3_Age&gt;D25),1,0)</f>
        <v>0</v>
      </c>
      <c r="AS25" s="20" t="n">
        <f aca="false">QU24</f>
        <v>0</v>
      </c>
      <c r="AT25" s="20" t="n">
        <f aca="false">AQ25*MIN(Slot3_Cost,AS25)</f>
        <v>0</v>
      </c>
      <c r="AU25" s="20" t="n">
        <f aca="false">AQ25*Slot3_SpendLike*MIN(Slot3_Cost-AT25,AM25)</f>
        <v>0</v>
      </c>
      <c r="AV25" s="20" t="n">
        <f aca="false">AT25+AU25</f>
        <v>0</v>
      </c>
      <c r="AW25" s="20" t="n">
        <f aca="false">AM25-AU25+AQ25*IF(Slot3_SpendLike=1,AS25-AT25,IF(Slot3_PotFree=1,AS25,0))</f>
        <v>16757.2219366828</v>
      </c>
      <c r="AX25" s="20" t="n">
        <f aca="false">AN25+AQ25*Slot3_BufPot*AS25</f>
        <v>18118.0815175042</v>
      </c>
      <c r="AY25" s="20" t="n">
        <f aca="false">IF(AND(AQ25=1,Slot3_IsMfree=1),IF(AV25&gt;=Slot3_Cost-1,0,MAX(0,AO25-AV25)),AO25)</f>
        <v>40019.8956528291</v>
      </c>
      <c r="AZ25" s="20" t="n">
        <f aca="false">AQ25*(Slot3_Cost-AV25)</f>
        <v>0</v>
      </c>
      <c r="BA25" s="20" t="n">
        <f aca="false">IF(AND(Slot4_On=1,D25=Slot4_Age),1,0)</f>
        <v>1</v>
      </c>
      <c r="BB25" s="20" t="n">
        <f aca="false">IF(AND(Slot4_On=1,Slot4_Age&gt;D25),1,0)</f>
        <v>0</v>
      </c>
      <c r="BC25" s="20" t="n">
        <f aca="false">QY24</f>
        <v>40019.8956528291</v>
      </c>
      <c r="BD25" s="20" t="n">
        <f aca="false">BA25*MIN(Slot4_Cost,BC25)</f>
        <v>40019.8956528291</v>
      </c>
      <c r="BE25" s="20" t="n">
        <f aca="false">BA25*Slot4_SpendLike*MIN(Slot4_Cost-BD25,AW25)</f>
        <v>0</v>
      </c>
      <c r="BF25" s="20" t="n">
        <f aca="false">BD25+BE25</f>
        <v>40019.8956528291</v>
      </c>
      <c r="BG25" s="20" t="n">
        <f aca="false">AW25-BE25+BA25*IF(Slot4_SpendLike=1,BC25-BD25,IF(Slot4_PotFree=1,BC25,0))</f>
        <v>16757.2219366828</v>
      </c>
      <c r="BH25" s="20" t="n">
        <f aca="false">AX25+BA25*Slot4_BufPot*BC25</f>
        <v>18118.0815175042</v>
      </c>
      <c r="BI25" s="20" t="n">
        <f aca="false">IF(AND(BA25=1,Slot4_IsMfree=1),IF(BF25&gt;=Slot4_Cost-1,0,MAX(0,AY25-BF25)),AY25)</f>
        <v>0</v>
      </c>
      <c r="BJ25" s="20" t="n">
        <f aca="false">BA25*(Slot4_Cost-BF25)</f>
        <v>0</v>
      </c>
      <c r="BK25" s="20" t="n">
        <f aca="false">IF(AND(Slot5_On=1,D25=Slot5_Age),1,0)</f>
        <v>0</v>
      </c>
      <c r="BL25" s="20" t="n">
        <f aca="false">IF(AND(Slot5_On=1,Slot5_Age&gt;D25),1,0)</f>
        <v>0</v>
      </c>
      <c r="BM25" s="20" t="n">
        <f aca="false">RC24</f>
        <v>0</v>
      </c>
      <c r="BN25" s="20" t="n">
        <f aca="false">BK25*MIN(Slot5_Cost,BM25)</f>
        <v>0</v>
      </c>
      <c r="BO25" s="20" t="n">
        <f aca="false">BK25*Slot5_SpendLike*MIN(Slot5_Cost-BN25,BG25)</f>
        <v>0</v>
      </c>
      <c r="BP25" s="20" t="n">
        <f aca="false">BN25+BO25</f>
        <v>0</v>
      </c>
      <c r="BQ25" s="20" t="n">
        <f aca="false">BG25-BO25+BK25*IF(Slot5_SpendLike=1,BM25-BN25,IF(Slot5_PotFree=1,BM25,0))</f>
        <v>16757.2219366828</v>
      </c>
      <c r="BR25" s="20" t="n">
        <f aca="false">BH25+BK25*Slot5_BufPot*BM25</f>
        <v>18118.0815175042</v>
      </c>
      <c r="BS25" s="20" t="n">
        <f aca="false">IF(AND(BK25=1,Slot5_IsMfree=1),IF(BP25&gt;=Slot5_Cost-1,0,MAX(0,BI25-BP25)),BI25)</f>
        <v>0</v>
      </c>
      <c r="BT25" s="20" t="n">
        <f aca="false">BK25*(Slot5_Cost-BP25)</f>
        <v>0</v>
      </c>
      <c r="BU25" s="20" t="n">
        <f aca="false">IF(AND(Slot6_On=1,D25=Slot6_Age),1,0)</f>
        <v>0</v>
      </c>
      <c r="BV25" s="20" t="n">
        <f aca="false">IF(AND(Slot6_On=1,Slot6_Age&gt;D25),1,0)</f>
        <v>0</v>
      </c>
      <c r="BW25" s="20" t="n">
        <f aca="false">RG24</f>
        <v>0</v>
      </c>
      <c r="BX25" s="20" t="n">
        <f aca="false">BU25*MIN(Slot6_Cost,BW25)</f>
        <v>0</v>
      </c>
      <c r="BY25" s="20" t="n">
        <f aca="false">BU25*Slot6_SpendLike*MIN(Slot6_Cost-BX25,BQ25)</f>
        <v>0</v>
      </c>
      <c r="BZ25" s="20" t="n">
        <f aca="false">BX25+BY25</f>
        <v>0</v>
      </c>
      <c r="CA25" s="20" t="n">
        <f aca="false">BQ25-BY25+BU25*IF(Slot6_SpendLike=1,BW25-BX25,IF(Slot6_PotFree=1,BW25,0))</f>
        <v>16757.2219366828</v>
      </c>
      <c r="CB25" s="20" t="n">
        <f aca="false">BR25+BU25*Slot6_BufPot*BW25</f>
        <v>18118.0815175042</v>
      </c>
      <c r="CC25" s="20" t="n">
        <f aca="false">IF(AND(BU25=1,Slot6_IsMfree=1),IF(BZ25&gt;=Slot6_Cost-1,0,MAX(0,BS25-BZ25)),BS25)</f>
        <v>0</v>
      </c>
      <c r="CD25" s="20" t="n">
        <f aca="false">BU25*(Slot6_Cost-BZ25)</f>
        <v>0</v>
      </c>
      <c r="CE25" s="20" t="n">
        <f aca="false">IF(AND(Slot7_On=1,D25=Slot7_Age),1,0)</f>
        <v>0</v>
      </c>
      <c r="CF25" s="20" t="n">
        <f aca="false">IF(AND(Slot7_On=1,Slot7_Age&gt;D25),1,0)</f>
        <v>0</v>
      </c>
      <c r="CG25" s="20" t="n">
        <f aca="false">RK24</f>
        <v>0</v>
      </c>
      <c r="CH25" s="20" t="n">
        <f aca="false">CE25*MIN(Slot7_Cost,CG25)</f>
        <v>0</v>
      </c>
      <c r="CI25" s="20" t="n">
        <f aca="false">CE25*Slot7_SpendLike*MIN(Slot7_Cost-CH25,CA25)</f>
        <v>0</v>
      </c>
      <c r="CJ25" s="20" t="n">
        <f aca="false">CH25+CI25</f>
        <v>0</v>
      </c>
      <c r="CK25" s="20" t="n">
        <f aca="false">CA25-CI25+CE25*IF(Slot7_SpendLike=1,CG25-CH25,IF(Slot7_PotFree=1,CG25,0))</f>
        <v>16757.2219366828</v>
      </c>
      <c r="CL25" s="20" t="n">
        <f aca="false">CB25+CE25*Slot7_BufPot*CG25</f>
        <v>18118.0815175042</v>
      </c>
      <c r="CM25" s="20" t="n">
        <f aca="false">IF(AND(CE25=1,Slot7_IsMfree=1),IF(CJ25&gt;=Slot7_Cost-1,0,MAX(0,CC25-CJ25)),CC25)</f>
        <v>0</v>
      </c>
      <c r="CN25" s="20" t="n">
        <f aca="false">CE25*(Slot7_Cost-CJ25)</f>
        <v>0</v>
      </c>
      <c r="CO25" s="20" t="n">
        <f aca="false">IF(AND(Slot8_On=1,D25=Slot8_Age),1,0)</f>
        <v>0</v>
      </c>
      <c r="CP25" s="20" t="n">
        <f aca="false">IF(AND(Slot8_On=1,Slot8_Age&gt;D25),1,0)</f>
        <v>0</v>
      </c>
      <c r="CQ25" s="20" t="n">
        <f aca="false">RO24</f>
        <v>0</v>
      </c>
      <c r="CR25" s="20" t="n">
        <f aca="false">CO25*MIN(Slot8_Cost,CQ25)</f>
        <v>0</v>
      </c>
      <c r="CS25" s="20" t="n">
        <f aca="false">CO25*Slot8_SpendLike*MIN(Slot8_Cost-CR25,CK25)</f>
        <v>0</v>
      </c>
      <c r="CT25" s="20" t="n">
        <f aca="false">CR25+CS25</f>
        <v>0</v>
      </c>
      <c r="CU25" s="20" t="n">
        <f aca="false">CK25-CS25+CO25*IF(Slot8_SpendLike=1,CQ25-CR25,IF(Slot8_PotFree=1,CQ25,0))</f>
        <v>16757.2219366828</v>
      </c>
      <c r="CV25" s="20" t="n">
        <f aca="false">CL25+CO25*Slot8_BufPot*CQ25</f>
        <v>18118.0815175042</v>
      </c>
      <c r="CW25" s="20" t="n">
        <f aca="false">IF(AND(CO25=1,Slot8_IsMfree=1),IF(CT25&gt;=Slot8_Cost-1,0,MAX(0,CM25-CT25)),CM25)</f>
        <v>0</v>
      </c>
      <c r="CX25" s="20" t="n">
        <f aca="false">CO25*(Slot8_Cost-CT25)</f>
        <v>0</v>
      </c>
      <c r="CY25" s="20" t="n">
        <f aca="false">IF(AND(Slot9_On=1,D25=Slot9_Age),1,0)</f>
        <v>0</v>
      </c>
      <c r="CZ25" s="20" t="n">
        <f aca="false">IF(AND(Slot9_On=1,Slot9_Age&gt;D25),1,0)</f>
        <v>0</v>
      </c>
      <c r="DA25" s="20" t="n">
        <f aca="false">RS24</f>
        <v>0</v>
      </c>
      <c r="DB25" s="20" t="n">
        <f aca="false">CY25*MIN(Slot9_Cost,DA25)</f>
        <v>0</v>
      </c>
      <c r="DC25" s="20" t="n">
        <f aca="false">CY25*Slot9_SpendLike*MIN(Slot9_Cost-DB25,CU25)</f>
        <v>0</v>
      </c>
      <c r="DD25" s="20" t="n">
        <f aca="false">DB25+DC25</f>
        <v>0</v>
      </c>
      <c r="DE25" s="20" t="n">
        <f aca="false">CU25-DC25+CY25*IF(Slot9_SpendLike=1,DA25-DB25,IF(Slot9_PotFree=1,DA25,0))</f>
        <v>16757.2219366828</v>
      </c>
      <c r="DF25" s="20" t="n">
        <f aca="false">CV25+CY25*Slot9_BufPot*DA25</f>
        <v>18118.0815175042</v>
      </c>
      <c r="DG25" s="20" t="n">
        <f aca="false">IF(AND(CY25=1,Slot9_IsMfree=1),IF(DD25&gt;=Slot9_Cost-1,0,MAX(0,CW25-DD25)),CW25)</f>
        <v>0</v>
      </c>
      <c r="DH25" s="20" t="n">
        <f aca="false">CY25*(Slot9_Cost-DD25)</f>
        <v>0</v>
      </c>
      <c r="DI25" s="20" t="n">
        <f aca="false">IF(AND(Slot10_On=1,D25=Slot10_Age),1,0)</f>
        <v>0</v>
      </c>
      <c r="DJ25" s="20" t="n">
        <f aca="false">IF(AND(Slot10_On=1,Slot10_Age&gt;D25),1,0)</f>
        <v>0</v>
      </c>
      <c r="DK25" s="20" t="n">
        <f aca="false">RW24</f>
        <v>0</v>
      </c>
      <c r="DL25" s="20" t="n">
        <f aca="false">DI25*MIN(Slot10_Cost,DK25)</f>
        <v>0</v>
      </c>
      <c r="DM25" s="20" t="n">
        <f aca="false">DI25*Slot10_SpendLike*MIN(Slot10_Cost-DL25,DE25)</f>
        <v>0</v>
      </c>
      <c r="DN25" s="20" t="n">
        <f aca="false">DL25+DM25</f>
        <v>0</v>
      </c>
      <c r="DO25" s="20" t="n">
        <f aca="false">DE25-DM25+DI25*IF(Slot10_SpendLike=1,DK25-DL25,IF(Slot10_PotFree=1,DK25,0))</f>
        <v>16757.2219366828</v>
      </c>
      <c r="DP25" s="20" t="n">
        <f aca="false">DF25+DI25*Slot10_BufPot*DK25</f>
        <v>18118.0815175042</v>
      </c>
      <c r="DQ25" s="20" t="n">
        <f aca="false">IF(AND(DI25=1,Slot10_IsMfree=1),IF(DN25&gt;=Slot10_Cost-1,0,MAX(0,DG25-DN25)),DG25)</f>
        <v>0</v>
      </c>
      <c r="DR25" s="20" t="n">
        <f aca="false">DI25*(Slot10_Cost-DN25)</f>
        <v>0</v>
      </c>
      <c r="DS25" s="20" t="n">
        <f aca="false">IF(AND(Slot11_On=1,D25=Slot11_Age),1,0)</f>
        <v>0</v>
      </c>
      <c r="DT25" s="20" t="n">
        <f aca="false">IF(AND(Slot11_On=1,Slot11_Age&gt;D25),1,0)</f>
        <v>0</v>
      </c>
      <c r="DU25" s="20" t="n">
        <f aca="false">SA24</f>
        <v>0</v>
      </c>
      <c r="DV25" s="20" t="n">
        <f aca="false">DS25*MIN(Slot11_Cost,DU25)</f>
        <v>0</v>
      </c>
      <c r="DW25" s="20" t="n">
        <f aca="false">DS25*Slot11_SpendLike*MIN(Slot11_Cost-DV25,DO25)</f>
        <v>0</v>
      </c>
      <c r="DX25" s="20" t="n">
        <f aca="false">DV25+DW25</f>
        <v>0</v>
      </c>
      <c r="DY25" s="20" t="n">
        <f aca="false">DO25-DW25+DS25*IF(Slot11_SpendLike=1,DU25-DV25,IF(Slot11_PotFree=1,DU25,0))</f>
        <v>16757.2219366828</v>
      </c>
      <c r="DZ25" s="20" t="n">
        <f aca="false">DP25+DS25*Slot11_BufPot*DU25</f>
        <v>18118.0815175042</v>
      </c>
      <c r="EA25" s="20" t="n">
        <f aca="false">IF(AND(DS25=1,Slot11_IsMfree=1),IF(DX25&gt;=Slot11_Cost-1,0,MAX(0,DQ25-DX25)),DQ25)</f>
        <v>0</v>
      </c>
      <c r="EB25" s="20" t="n">
        <f aca="false">DS25*(Slot11_Cost-DX25)</f>
        <v>0</v>
      </c>
      <c r="EC25" s="20" t="n">
        <f aca="false">IF(AND(Slot12_On=1,D25=Slot12_Age),1,0)</f>
        <v>0</v>
      </c>
      <c r="ED25" s="20" t="n">
        <f aca="false">IF(AND(Slot12_On=1,Slot12_Age&gt;D25),1,0)</f>
        <v>0</v>
      </c>
      <c r="EE25" s="20" t="n">
        <f aca="false">SE24</f>
        <v>0</v>
      </c>
      <c r="EF25" s="20" t="n">
        <f aca="false">EC25*MIN(Slot12_Cost,EE25)</f>
        <v>0</v>
      </c>
      <c r="EG25" s="20" t="n">
        <f aca="false">EC25*Slot12_SpendLike*MIN(Slot12_Cost-EF25,DY25)</f>
        <v>0</v>
      </c>
      <c r="EH25" s="20" t="n">
        <f aca="false">EF25+EG25</f>
        <v>0</v>
      </c>
      <c r="EI25" s="20" t="n">
        <f aca="false">DY25-EG25+EC25*IF(Slot12_SpendLike=1,EE25-EF25,IF(Slot12_PotFree=1,EE25,0))</f>
        <v>16757.2219366828</v>
      </c>
      <c r="EJ25" s="20" t="n">
        <f aca="false">DZ25+EC25*Slot12_BufPot*EE25</f>
        <v>18118.0815175042</v>
      </c>
      <c r="EK25" s="20" t="n">
        <f aca="false">IF(AND(EC25=1,Slot12_IsMfree=1),IF(EH25&gt;=Slot12_Cost-1,0,MAX(0,EA25-EH25)),EA25)</f>
        <v>0</v>
      </c>
      <c r="EL25" s="20" t="n">
        <f aca="false">EC25*(Slot12_Cost-EH25)</f>
        <v>0</v>
      </c>
      <c r="EM25" s="20" t="n">
        <f aca="false">IF(AND(Slot13_On=1,D25=Slot13_Age),1,0)</f>
        <v>0</v>
      </c>
      <c r="EN25" s="20" t="n">
        <f aca="false">IF(AND(Slot13_On=1,Slot13_Age&gt;D25),1,0)</f>
        <v>0</v>
      </c>
      <c r="EO25" s="20" t="n">
        <f aca="false">SI24</f>
        <v>0</v>
      </c>
      <c r="EP25" s="20" t="n">
        <f aca="false">EM25*MIN(Slot13_Cost,EO25)</f>
        <v>0</v>
      </c>
      <c r="EQ25" s="20" t="n">
        <f aca="false">EM25*Slot13_SpendLike*MIN(Slot13_Cost-EP25,EI25)</f>
        <v>0</v>
      </c>
      <c r="ER25" s="20" t="n">
        <f aca="false">EP25+EQ25</f>
        <v>0</v>
      </c>
      <c r="ES25" s="20" t="n">
        <f aca="false">EI25-EQ25+EM25*IF(Slot13_SpendLike=1,EO25-EP25,IF(Slot13_PotFree=1,EO25,0))</f>
        <v>16757.2219366828</v>
      </c>
      <c r="ET25" s="20" t="n">
        <f aca="false">EJ25+EM25*Slot13_BufPot*EO25</f>
        <v>18118.0815175042</v>
      </c>
      <c r="EU25" s="20" t="n">
        <f aca="false">IF(AND(EM25=1,Slot13_IsMfree=1),IF(ER25&gt;=Slot13_Cost-1,0,MAX(0,EK25-ER25)),EK25)</f>
        <v>0</v>
      </c>
      <c r="EV25" s="20" t="n">
        <f aca="false">EM25*(Slot13_Cost-ER25)</f>
        <v>0</v>
      </c>
      <c r="EW25" s="20" t="n">
        <f aca="false">IF(AND(Slot14_On=1,D25=Slot14_Age),1,0)</f>
        <v>0</v>
      </c>
      <c r="EX25" s="20" t="n">
        <f aca="false">IF(AND(Slot14_On=1,Slot14_Age&gt;D25),1,0)</f>
        <v>0</v>
      </c>
      <c r="EY25" s="20" t="n">
        <f aca="false">SM24</f>
        <v>0</v>
      </c>
      <c r="EZ25" s="20" t="n">
        <f aca="false">EW25*MIN(Slot14_Cost,EY25)</f>
        <v>0</v>
      </c>
      <c r="FA25" s="20" t="n">
        <f aca="false">EW25*Slot14_SpendLike*MIN(Slot14_Cost-EZ25,ES25)</f>
        <v>0</v>
      </c>
      <c r="FB25" s="20" t="n">
        <f aca="false">EZ25+FA25</f>
        <v>0</v>
      </c>
      <c r="FC25" s="20" t="n">
        <f aca="false">ES25-FA25+EW25*IF(Slot14_SpendLike=1,EY25-EZ25,IF(Slot14_PotFree=1,EY25,0))</f>
        <v>16757.2219366828</v>
      </c>
      <c r="FD25" s="20" t="n">
        <f aca="false">ET25+EW25*Slot14_BufPot*EY25</f>
        <v>18118.0815175042</v>
      </c>
      <c r="FE25" s="20" t="n">
        <f aca="false">IF(AND(EW25=1,Slot14_IsMfree=1),IF(FB25&gt;=Slot14_Cost-1,0,MAX(0,EU25-FB25)),EU25)</f>
        <v>0</v>
      </c>
      <c r="FF25" s="20" t="n">
        <f aca="false">EW25*(Slot14_Cost-FB25)</f>
        <v>0</v>
      </c>
      <c r="FG25" s="20" t="n">
        <f aca="false">IF(AND(Slot15_On=1,D25=Slot15_Age),1,0)</f>
        <v>0</v>
      </c>
      <c r="FH25" s="20" t="n">
        <f aca="false">IF(AND(Slot15_On=1,Slot15_Age&gt;D25),1,0)</f>
        <v>0</v>
      </c>
      <c r="FI25" s="20" t="n">
        <f aca="false">SQ24</f>
        <v>0</v>
      </c>
      <c r="FJ25" s="20" t="n">
        <f aca="false">FG25*MIN(Slot15_Cost,FI25)</f>
        <v>0</v>
      </c>
      <c r="FK25" s="20" t="n">
        <f aca="false">FG25*Slot15_SpendLike*MIN(Slot15_Cost-FJ25,FC25)</f>
        <v>0</v>
      </c>
      <c r="FL25" s="20" t="n">
        <f aca="false">FJ25+FK25</f>
        <v>0</v>
      </c>
      <c r="FM25" s="20" t="n">
        <f aca="false">FC25-FK25+FG25*IF(Slot15_SpendLike=1,FI25-FJ25,IF(Slot15_PotFree=1,FI25,0))</f>
        <v>16757.2219366828</v>
      </c>
      <c r="FN25" s="20" t="n">
        <f aca="false">FD25+FG25*Slot15_BufPot*FI25</f>
        <v>18118.0815175042</v>
      </c>
      <c r="FO25" s="20" t="n">
        <f aca="false">IF(AND(FG25=1,Slot15_IsMfree=1),IF(FL25&gt;=Slot15_Cost-1,0,MAX(0,FE25-FL25)),FE25)</f>
        <v>0</v>
      </c>
      <c r="FP25" s="20" t="n">
        <f aca="false">FG25*(Slot15_Cost-FL25)</f>
        <v>0</v>
      </c>
      <c r="FQ25" s="20" t="n">
        <f aca="false">IF(AND(Slot16_On=1,D25=Slot16_Age),1,0)</f>
        <v>0</v>
      </c>
      <c r="FR25" s="20" t="n">
        <f aca="false">IF(AND(Slot16_On=1,Slot16_Age&gt;D25),1,0)</f>
        <v>0</v>
      </c>
      <c r="FS25" s="20" t="n">
        <f aca="false">SU24</f>
        <v>0</v>
      </c>
      <c r="FT25" s="20" t="n">
        <f aca="false">FQ25*MIN(Slot16_Cost,FS25)</f>
        <v>0</v>
      </c>
      <c r="FU25" s="20" t="n">
        <f aca="false">FQ25*Slot16_SpendLike*MIN(Slot16_Cost-FT25,FM25)</f>
        <v>0</v>
      </c>
      <c r="FV25" s="20" t="n">
        <f aca="false">FT25+FU25</f>
        <v>0</v>
      </c>
      <c r="FW25" s="20" t="n">
        <f aca="false">FM25-FU25+FQ25*IF(Slot16_SpendLike=1,FS25-FT25,IF(Slot16_PotFree=1,FS25,0))</f>
        <v>16757.2219366828</v>
      </c>
      <c r="FX25" s="20" t="n">
        <f aca="false">FN25+FQ25*Slot16_BufPot*FS25</f>
        <v>18118.0815175042</v>
      </c>
      <c r="FY25" s="20" t="n">
        <f aca="false">IF(AND(FQ25=1,Slot16_IsMfree=1),IF(FV25&gt;=Slot16_Cost-1,0,MAX(0,FO25-FV25)),FO25)</f>
        <v>0</v>
      </c>
      <c r="FZ25" s="20" t="n">
        <f aca="false">FQ25*(Slot16_Cost-FV25)</f>
        <v>0</v>
      </c>
      <c r="GA25" s="20" t="n">
        <f aca="false">IF(AND(Slot17_On=1,D25=Slot17_Age),1,0)</f>
        <v>0</v>
      </c>
      <c r="GB25" s="20" t="n">
        <f aca="false">IF(AND(Slot17_On=1,Slot17_Age&gt;D25),1,0)</f>
        <v>0</v>
      </c>
      <c r="GC25" s="20" t="n">
        <f aca="false">SY24</f>
        <v>0</v>
      </c>
      <c r="GD25" s="20" t="n">
        <f aca="false">GA25*MIN(Slot17_Cost,GC25)</f>
        <v>0</v>
      </c>
      <c r="GE25" s="20" t="n">
        <f aca="false">GA25*Slot17_SpendLike*MIN(Slot17_Cost-GD25,FW25)</f>
        <v>0</v>
      </c>
      <c r="GF25" s="20" t="n">
        <f aca="false">GD25+GE25</f>
        <v>0</v>
      </c>
      <c r="GG25" s="20" t="n">
        <f aca="false">FW25-GE25+GA25*IF(Slot17_SpendLike=1,GC25-GD25,IF(Slot17_PotFree=1,GC25,0))</f>
        <v>16757.2219366828</v>
      </c>
      <c r="GH25" s="20" t="n">
        <f aca="false">FX25+GA25*Slot17_BufPot*GC25</f>
        <v>18118.0815175042</v>
      </c>
      <c r="GI25" s="20" t="n">
        <f aca="false">IF(AND(GA25=1,Slot17_IsMfree=1),IF(GF25&gt;=Slot17_Cost-1,0,MAX(0,FY25-GF25)),FY25)</f>
        <v>0</v>
      </c>
      <c r="GJ25" s="20" t="n">
        <f aca="false">GA25*(Slot17_Cost-GF25)</f>
        <v>0</v>
      </c>
      <c r="GK25" s="20" t="n">
        <f aca="false">IF(AND(Slot18_On=1,D25=Slot18_Age),1,0)</f>
        <v>0</v>
      </c>
      <c r="GL25" s="20" t="n">
        <f aca="false">IF(AND(Slot18_On=1,Slot18_Age&gt;D25),1,0)</f>
        <v>0</v>
      </c>
      <c r="GM25" s="20" t="n">
        <f aca="false">TC24</f>
        <v>0</v>
      </c>
      <c r="GN25" s="20" t="n">
        <f aca="false">GK25*MIN(Slot18_Cost,GM25)</f>
        <v>0</v>
      </c>
      <c r="GO25" s="20" t="n">
        <f aca="false">GK25*Slot18_SpendLike*MIN(Slot18_Cost-GN25,GG25)</f>
        <v>0</v>
      </c>
      <c r="GP25" s="20" t="n">
        <f aca="false">GN25+GO25</f>
        <v>0</v>
      </c>
      <c r="GQ25" s="20" t="n">
        <f aca="false">GG25-GO25+GK25*IF(Slot18_SpendLike=1,GM25-GN25,IF(Slot18_PotFree=1,GM25,0))</f>
        <v>16757.2219366828</v>
      </c>
      <c r="GR25" s="20" t="n">
        <f aca="false">GH25+GK25*Slot18_BufPot*GM25</f>
        <v>18118.0815175042</v>
      </c>
      <c r="GS25" s="20" t="n">
        <f aca="false">IF(AND(GK25=1,Slot18_IsMfree=1),IF(GP25&gt;=Slot18_Cost-1,0,MAX(0,GI25-GP25)),GI25)</f>
        <v>0</v>
      </c>
      <c r="GT25" s="20" t="n">
        <f aca="false">GK25*(Slot18_Cost-GP25)</f>
        <v>0</v>
      </c>
      <c r="GU25" s="20" t="n">
        <f aca="false">IF(AND(Slot19_On=1,D25=Slot19_Age),1,0)</f>
        <v>0</v>
      </c>
      <c r="GV25" s="20" t="n">
        <f aca="false">IF(AND(Slot19_On=1,Slot19_Age&gt;D25),1,0)</f>
        <v>0</v>
      </c>
      <c r="GW25" s="20" t="n">
        <f aca="false">TG24</f>
        <v>0</v>
      </c>
      <c r="GX25" s="20" t="n">
        <f aca="false">GU25*MIN(Slot19_Cost,GW25)</f>
        <v>0</v>
      </c>
      <c r="GY25" s="20" t="n">
        <f aca="false">GU25*Slot19_SpendLike*MIN(Slot19_Cost-GX25,GQ25)</f>
        <v>0</v>
      </c>
      <c r="GZ25" s="20" t="n">
        <f aca="false">GX25+GY25</f>
        <v>0</v>
      </c>
      <c r="HA25" s="20" t="n">
        <f aca="false">GQ25-GY25+GU25*IF(Slot19_SpendLike=1,GW25-GX25,IF(Slot19_PotFree=1,GW25,0))</f>
        <v>16757.2219366828</v>
      </c>
      <c r="HB25" s="20" t="n">
        <f aca="false">GR25+GU25*Slot19_BufPot*GW25</f>
        <v>18118.0815175042</v>
      </c>
      <c r="HC25" s="20" t="n">
        <f aca="false">IF(AND(GU25=1,Slot19_IsMfree=1),IF(GZ25&gt;=Slot19_Cost-1,0,MAX(0,GS25-GZ25)),GS25)</f>
        <v>0</v>
      </c>
      <c r="HD25" s="20" t="n">
        <f aca="false">GU25*(Slot19_Cost-GZ25)</f>
        <v>0</v>
      </c>
      <c r="HE25" s="20" t="n">
        <f aca="false">IF(AND(Slot20_On=1,D25=Slot20_Age),1,0)</f>
        <v>0</v>
      </c>
      <c r="HF25" s="20" t="n">
        <f aca="false">IF(AND(Slot20_On=1,Slot20_Age&gt;D25),1,0)</f>
        <v>0</v>
      </c>
      <c r="HG25" s="20" t="n">
        <f aca="false">TK24</f>
        <v>0</v>
      </c>
      <c r="HH25" s="20" t="n">
        <f aca="false">HE25*MIN(Slot20_Cost,HG25)</f>
        <v>0</v>
      </c>
      <c r="HI25" s="20" t="n">
        <f aca="false">HE25*Slot20_SpendLike*MIN(Slot20_Cost-HH25,HA25)</f>
        <v>0</v>
      </c>
      <c r="HJ25" s="20" t="n">
        <f aca="false">HH25+HI25</f>
        <v>0</v>
      </c>
      <c r="HK25" s="20" t="n">
        <f aca="false">HA25-HI25+HE25*IF(Slot20_SpendLike=1,HG25-HH25,IF(Slot20_PotFree=1,HG25,0))</f>
        <v>16757.2219366828</v>
      </c>
      <c r="HL25" s="20" t="n">
        <f aca="false">HB25+HE25*Slot20_BufPot*HG25</f>
        <v>18118.0815175042</v>
      </c>
      <c r="HM25" s="20" t="n">
        <f aca="false">IF(AND(HE25=1,Slot20_IsMfree=1),IF(HJ25&gt;=Slot20_Cost-1,0,MAX(0,HC25-HJ25)),HC25)</f>
        <v>0</v>
      </c>
      <c r="HN25" s="20" t="n">
        <f aca="false">HE25*(Slot20_Cost-HJ25)</f>
        <v>0</v>
      </c>
      <c r="HO25" s="20" t="n">
        <f aca="false">V25*Slot1_SpendLike*AA25+AG25*Slot2_SpendLike*AL25+AQ25*Slot3_SpendLike*AV25+BA25*Slot4_SpendLike*BF25+BK25*Slot5_SpendLike*BP25+BU25*Slot6_SpendLike*BZ25+CE25*Slot7_SpendLike*CJ25+CO25*Slot8_SpendLike*CT25+CY25*Slot9_SpendLike*DD25+DI25*Slot10_SpendLike*DN25+DS25*Slot11_SpendLike*DX25+EC25*Slot12_SpendLike*EH25+EM25*Slot13_SpendLike*ER25+EW25*Slot14_SpendLike*FB25+FG25*Slot15_SpendLike*FL25+FQ25*Slot16_SpendLike*FV25+GA25*Slot17_SpendLike*GF25+GK25*Slot18_SpendLike*GP25+GU25*Slot19_SpendLike*GZ25+HE25*Slot20_SpendLike*HJ25</f>
        <v>40019.8956528291</v>
      </c>
      <c r="HP25" s="20" t="n">
        <f aca="false">AE25+AP25+AZ25+BJ25+BT25+CD25+CN25+CX25+DH25+DR25+EB25+EL25+EV25+FF25+FP25+FZ25+GJ25+GT25+HD25+HN25</f>
        <v>0</v>
      </c>
      <c r="HQ25" s="20" t="n">
        <f aca="false">V25*Slot1_Cost+AG25*Slot2_Cost+AQ25*Slot3_Cost+BA25*Slot4_Cost+BK25*Slot5_Cost+BU25*Slot6_Cost+CE25*Slot7_Cost+CO25*Slot8_Cost+CY25*Slot9_Cost+DI25*Slot10_Cost+DS25*Slot11_Cost+EC25*Slot12_Cost+EM25*Slot13_Cost+EW25*Slot14_Cost+FG25*Slot15_Cost+FQ25*Slot16_Cost+GA25*Slot17_Cost+GK25*Slot18_Cost+GU25*Slot19_Cost+HE25*Slot20_Cost</f>
        <v>40019.8956528291</v>
      </c>
      <c r="HR25" s="20" t="n">
        <f aca="false">HM25</f>
        <v>0</v>
      </c>
      <c r="HS25" s="20" t="n">
        <f aca="false">H25-I25-S25</f>
        <v>20956.8224916349</v>
      </c>
      <c r="HT25" s="20" t="n">
        <f aca="false">IF(B25=0,IF(AND(Has_q6=1,In_q6=4),PR_ShareVaries*(MAX(0,HS25)/12),MIN(IF(Has_q6=1,CHOOSE(In_q6+1,PR_SaveB1,PR_SaveB2,PR_SaveB3,PR_SaveB4,0),AS_NoAnswer),AS_SaveShare*(MAX(0,HS25)/12))),HT24)</f>
        <v>62.3316893520437</v>
      </c>
      <c r="HU25" s="20" t="n">
        <f aca="false">IF(HS25&gt;=0,1,0)</f>
        <v>1</v>
      </c>
      <c r="HV25" s="20" t="n">
        <f aca="false">MAX(0,HS25/12/F25)</f>
        <v>1247.21483764573</v>
      </c>
      <c r="HW25" s="20" t="n">
        <f aca="false">IF(AND(Has_q6=1,In_q6=4),PR_ShareVaries*(HV25),MIN(IF(Has_q6=1,CHOOSE(In_q6+1,PR_SaveB1,PR_SaveB2,PR_SaveB3,PR_SaveB4,0),AS_NoAnswer),AS_SaveShare*(HV25)))</f>
        <v>500</v>
      </c>
      <c r="HX25" s="20" t="n">
        <f aca="false">IF(Has_saveM=1,IF(In_saveUp="Yes",1,IF(In_saveUp="No",0,IF(In_saveM&gt;=HT25-0.5,1,0))),0)</f>
        <v>0</v>
      </c>
      <c r="HY25" s="20" t="n">
        <f aca="false">IF(Has_saveM=1,MIN(HV25,IF(HX25=1,MAX(In_saveM,HW25),MIN(In_saveM,HW25))),HW25)</f>
        <v>500</v>
      </c>
      <c r="HZ25" s="20" t="n">
        <f aca="false">IF(G25=1,HY25*12*F25,0)</f>
        <v>8401.44851515455</v>
      </c>
      <c r="IA25" s="20" t="n">
        <f aca="false">MAX(0,HZ25+IF(AND(WI_Retire=0,WI_M&lt;0,G25=1),WI_M*12*F25,0))</f>
        <v>8401.44851515455</v>
      </c>
      <c r="IB25" s="20" t="n">
        <f aca="false">Slot1_IsWG*W25+Slot2_IsWG*AH25+Slot3_IsWG*AR25+Slot4_IsWG*BB25+Slot5_IsWG*BL25+Slot6_IsWG*BV25+Slot7_IsWG*CF25+Slot8_IsWG*CP25+Slot9_IsWG*CZ25+Slot10_IsWG*DJ25+Slot11_IsWG*DT25+Slot12_IsWG*ED25+Slot13_IsWG*EN25+Slot14_IsWG*EX25+Slot15_IsWG*FH25+Slot16_IsWG*FR25+Slot17_IsWG*GB25+Slot18_IsWG*GL25+Slot19_IsWG*GV25+Slot20_IsWG*HF25</f>
        <v>0</v>
      </c>
      <c r="IC25" s="20" t="n">
        <f aca="false">IF(AND(WI_Retire=0,WI_M&gt;0,G25=1,IB25&gt;=1),WI_M*12*F25,0)</f>
        <v>0</v>
      </c>
      <c r="ID25" s="20" t="n">
        <f aca="false">IF(HU25=1,MIN(IA25,HS25),0)</f>
        <v>8401.44851515455</v>
      </c>
      <c r="IE25" s="20" t="n">
        <f aca="false">IF(HU25=1,MIN(IC25,HS25-ID25),0)</f>
        <v>0</v>
      </c>
      <c r="IF25" s="20" t="n">
        <f aca="false">IF(W25=1,IF(ABS((1+AS_Wage)/(1+Slot1_Rate)-1)&lt;0.000000000001,(Slot1_Age-D25)*(1+Slot1_Rate)^(Slot1_Age-D25),(1+Slot1_Rate)^(Slot1_Age-D25)*(1-((1+AS_Wage)/(1+Slot1_Rate))^(Slot1_Age-D25))/(1-(1+AS_Wage)/(1+Slot1_Rate))),1)</f>
        <v>1</v>
      </c>
      <c r="IG25" s="20" t="n">
        <f aca="false">IF(AND(HU25=1,IE25&gt;0,Slot1_IsWG=1,W25=1),MAX(0,(Slot1_Cost-X25*(1+Slot1_Rate)^(Slot1_Age-D25))/IF25),0)</f>
        <v>0</v>
      </c>
      <c r="IH25" s="20" t="n">
        <f aca="false">IF(AND(HU25=1,IE25&gt;0,Slot1_IsWG=1,W25=1),MIN(IE25,IG25),0)</f>
        <v>0</v>
      </c>
      <c r="II25" s="20" t="n">
        <f aca="false">X25+IH25</f>
        <v>0</v>
      </c>
      <c r="IJ25" s="20" t="n">
        <f aca="false">IF(W25=1,MAX(0,(Slot1_Cost-II25*(1+Slot1_Rate)^(Slot1_Age-D25))/IF25),0)</f>
        <v>0</v>
      </c>
      <c r="IK25" s="20" t="n">
        <f aca="false">IF(W25=1,MAX(0,(Slot1_Cost-X25*(1+Slot1_Rate)^(Slot1_Age-D25))/IF25),0)</f>
        <v>0</v>
      </c>
      <c r="IL25" s="20" t="n">
        <f aca="false">IF(AND(HU25=1,W25=1),MIN(ID25,IJ25),0)</f>
        <v>0</v>
      </c>
      <c r="IM25" s="20" t="n">
        <f aca="false">ID25-IL25</f>
        <v>8401.44851515455</v>
      </c>
      <c r="IN25" s="20" t="n">
        <f aca="false">IF(AH25=1,IF(ABS((1+AS_Wage)/(1+Slot2_Rate)-1)&lt;0.000000000001,(Slot2_Age-D25)*(1+Slot2_Rate)^(Slot2_Age-D25),(1+Slot2_Rate)^(Slot2_Age-D25)*(1-((1+AS_Wage)/(1+Slot2_Rate))^(Slot2_Age-D25))/(1-(1+AS_Wage)/(1+Slot2_Rate))),1)</f>
        <v>1</v>
      </c>
      <c r="IO25" s="20" t="n">
        <f aca="false">IF(AND(HU25=1,IE25&gt;0,Slot2_IsWG=1,AH25=1),MAX(0,(Slot2_Cost-AI25*(1+Slot2_Rate)^(Slot2_Age-D25))/IN25),0)</f>
        <v>0</v>
      </c>
      <c r="IP25" s="20" t="n">
        <f aca="false">IF(AND(HU25=1,IE25&gt;0,Slot2_IsWG=1,AH25=1),MIN(IE25,IO25),0)</f>
        <v>0</v>
      </c>
      <c r="IQ25" s="20" t="n">
        <f aca="false">AI25+IP25</f>
        <v>0</v>
      </c>
      <c r="IR25" s="20" t="n">
        <f aca="false">IF(AH25=1,MAX(0,(Slot2_Cost-IQ25*(1+Slot2_Rate)^(Slot2_Age-D25))/IN25),0)</f>
        <v>0</v>
      </c>
      <c r="IS25" s="20" t="n">
        <f aca="false">IF(AH25=1,MAX(0,(Slot2_Cost-AI25*(1+Slot2_Rate)^(Slot2_Age-D25))/IN25),0)</f>
        <v>0</v>
      </c>
      <c r="IT25" s="20" t="n">
        <f aca="false">IF(AND(HU25=1,AH25=1),MIN(IM25,IR25),0)</f>
        <v>0</v>
      </c>
      <c r="IU25" s="20" t="n">
        <f aca="false">IM25-IT25</f>
        <v>8401.44851515455</v>
      </c>
      <c r="IV25" s="20" t="n">
        <f aca="false">IF(AR25=1,IF(ABS((1+AS_Wage)/(1+Slot3_Rate)-1)&lt;0.000000000001,(Slot3_Age-D25)*(1+Slot3_Rate)^(Slot3_Age-D25),(1+Slot3_Rate)^(Slot3_Age-D25)*(1-((1+AS_Wage)/(1+Slot3_Rate))^(Slot3_Age-D25))/(1-(1+AS_Wage)/(1+Slot3_Rate))),1)</f>
        <v>1</v>
      </c>
      <c r="IW25" s="20" t="n">
        <f aca="false">IF(AND(HU25=1,IE25&gt;0,Slot3_IsWG=1,AR25=1),MAX(0,(Slot3_Cost-AS25*(1+Slot3_Rate)^(Slot3_Age-D25))/IV25),0)</f>
        <v>0</v>
      </c>
      <c r="IX25" s="20" t="n">
        <f aca="false">IF(AND(HU25=1,IE25&gt;0,Slot3_IsWG=1,AR25=1),MIN(IE25,IW25),0)</f>
        <v>0</v>
      </c>
      <c r="IY25" s="20" t="n">
        <f aca="false">AS25+IX25</f>
        <v>0</v>
      </c>
      <c r="IZ25" s="20" t="n">
        <f aca="false">IF(AR25=1,MAX(0,(Slot3_Cost-IY25*(1+Slot3_Rate)^(Slot3_Age-D25))/IV25),0)</f>
        <v>0</v>
      </c>
      <c r="JA25" s="20" t="n">
        <f aca="false">IF(AR25=1,MAX(0,(Slot3_Cost-AS25*(1+Slot3_Rate)^(Slot3_Age-D25))/IV25),0)</f>
        <v>0</v>
      </c>
      <c r="JB25" s="20" t="n">
        <f aca="false">IF(AND(HU25=1,AR25=1),MIN(IU25,IZ25),0)</f>
        <v>0</v>
      </c>
      <c r="JC25" s="20" t="n">
        <f aca="false">IU25-JB25</f>
        <v>8401.44851515455</v>
      </c>
      <c r="JD25" s="20" t="n">
        <f aca="false">IF(BB25=1,IF(ABS((1+AS_Wage)/(1+Slot4_Rate)-1)&lt;0.000000000001,(Slot4_Age-D25)*(1+Slot4_Rate)^(Slot4_Age-D25),(1+Slot4_Rate)^(Slot4_Age-D25)*(1-((1+AS_Wage)/(1+Slot4_Rate))^(Slot4_Age-D25))/(1-(1+AS_Wage)/(1+Slot4_Rate))),1)</f>
        <v>1</v>
      </c>
      <c r="JE25" s="20" t="n">
        <f aca="false">IF(AND(HU25=1,IE25&gt;0,Slot4_IsWG=1,BB25=1),MAX(0,(Slot4_Cost-BC25*(1+Slot4_Rate)^(Slot4_Age-D25))/JD25),0)</f>
        <v>0</v>
      </c>
      <c r="JF25" s="20" t="n">
        <f aca="false">IF(AND(HU25=1,IE25&gt;0,Slot4_IsWG=1,BB25=1),MIN(IE25,JE25),0)</f>
        <v>0</v>
      </c>
      <c r="JG25" s="20" t="n">
        <f aca="false">BC25+JF25</f>
        <v>40019.8956528291</v>
      </c>
      <c r="JH25" s="20" t="n">
        <f aca="false">IF(BB25=1,MAX(0,(Slot4_Cost-JG25*(1+Slot4_Rate)^(Slot4_Age-D25))/JD25),0)</f>
        <v>0</v>
      </c>
      <c r="JI25" s="20" t="n">
        <f aca="false">IF(BB25=1,MAX(0,(Slot4_Cost-BC25*(1+Slot4_Rate)^(Slot4_Age-D25))/JD25),0)</f>
        <v>0</v>
      </c>
      <c r="JJ25" s="20" t="n">
        <f aca="false">IF(AND(HU25=1,BB25=1),MIN(JC25,JH25),0)</f>
        <v>0</v>
      </c>
      <c r="JK25" s="20" t="n">
        <f aca="false">JC25-JJ25</f>
        <v>8401.44851515455</v>
      </c>
      <c r="JL25" s="20" t="n">
        <f aca="false">IF(BL25=1,IF(ABS((1+AS_Wage)/(1+Slot5_Rate)-1)&lt;0.000000000001,(Slot5_Age-D25)*(1+Slot5_Rate)^(Slot5_Age-D25),(1+Slot5_Rate)^(Slot5_Age-D25)*(1-((1+AS_Wage)/(1+Slot5_Rate))^(Slot5_Age-D25))/(1-(1+AS_Wage)/(1+Slot5_Rate))),1)</f>
        <v>1</v>
      </c>
      <c r="JM25" s="20" t="n">
        <f aca="false">IF(AND(HU25=1,IE25&gt;0,Slot5_IsWG=1,BL25=1),MAX(0,(Slot5_Cost-BM25*(1+Slot5_Rate)^(Slot5_Age-D25))/JL25),0)</f>
        <v>0</v>
      </c>
      <c r="JN25" s="20" t="n">
        <f aca="false">IF(AND(HU25=1,IE25&gt;0,Slot5_IsWG=1,BL25=1),MIN(IE25,JM25),0)</f>
        <v>0</v>
      </c>
      <c r="JO25" s="20" t="n">
        <f aca="false">BM25+JN25</f>
        <v>0</v>
      </c>
      <c r="JP25" s="20" t="n">
        <f aca="false">IF(BL25=1,MAX(0,(Slot5_Cost-JO25*(1+Slot5_Rate)^(Slot5_Age-D25))/JL25),0)</f>
        <v>0</v>
      </c>
      <c r="JQ25" s="20" t="n">
        <f aca="false">IF(BL25=1,MAX(0,(Slot5_Cost-BM25*(1+Slot5_Rate)^(Slot5_Age-D25))/JL25),0)</f>
        <v>0</v>
      </c>
      <c r="JR25" s="20" t="n">
        <f aca="false">IF(AND(HU25=1,BL25=1),MIN(JK25,JP25),0)</f>
        <v>0</v>
      </c>
      <c r="JS25" s="20" t="n">
        <f aca="false">JK25-JR25</f>
        <v>8401.44851515455</v>
      </c>
      <c r="JT25" s="20" t="n">
        <f aca="false">IF(BV25=1,IF(ABS((1+AS_Wage)/(1+Slot6_Rate)-1)&lt;0.000000000001,(Slot6_Age-D25)*(1+Slot6_Rate)^(Slot6_Age-D25),(1+Slot6_Rate)^(Slot6_Age-D25)*(1-((1+AS_Wage)/(1+Slot6_Rate))^(Slot6_Age-D25))/(1-(1+AS_Wage)/(1+Slot6_Rate))),1)</f>
        <v>1</v>
      </c>
      <c r="JU25" s="20" t="n">
        <f aca="false">IF(AND(HU25=1,IE25&gt;0,Slot6_IsWG=1,BV25=1),MAX(0,(Slot6_Cost-BW25*(1+Slot6_Rate)^(Slot6_Age-D25))/JT25),0)</f>
        <v>0</v>
      </c>
      <c r="JV25" s="20" t="n">
        <f aca="false">IF(AND(HU25=1,IE25&gt;0,Slot6_IsWG=1,BV25=1),MIN(IE25,JU25),0)</f>
        <v>0</v>
      </c>
      <c r="JW25" s="20" t="n">
        <f aca="false">BW25+JV25</f>
        <v>0</v>
      </c>
      <c r="JX25" s="20" t="n">
        <f aca="false">IF(BV25=1,MAX(0,(Slot6_Cost-JW25*(1+Slot6_Rate)^(Slot6_Age-D25))/JT25),0)</f>
        <v>0</v>
      </c>
      <c r="JY25" s="20" t="n">
        <f aca="false">IF(BV25=1,MAX(0,(Slot6_Cost-BW25*(1+Slot6_Rate)^(Slot6_Age-D25))/JT25),0)</f>
        <v>0</v>
      </c>
      <c r="JZ25" s="20" t="n">
        <f aca="false">IF(AND(HU25=1,BV25=1),MIN(JS25,JX25),0)</f>
        <v>0</v>
      </c>
      <c r="KA25" s="20" t="n">
        <f aca="false">JS25-JZ25</f>
        <v>8401.44851515455</v>
      </c>
      <c r="KB25" s="20" t="n">
        <f aca="false">IF(CF25=1,IF(ABS((1+AS_Wage)/(1+Slot7_Rate)-1)&lt;0.000000000001,(Slot7_Age-D25)*(1+Slot7_Rate)^(Slot7_Age-D25),(1+Slot7_Rate)^(Slot7_Age-D25)*(1-((1+AS_Wage)/(1+Slot7_Rate))^(Slot7_Age-D25))/(1-(1+AS_Wage)/(1+Slot7_Rate))),1)</f>
        <v>1</v>
      </c>
      <c r="KC25" s="20" t="n">
        <f aca="false">IF(AND(HU25=1,IE25&gt;0,Slot7_IsWG=1,CF25=1),MAX(0,(Slot7_Cost-CG25*(1+Slot7_Rate)^(Slot7_Age-D25))/KB25),0)</f>
        <v>0</v>
      </c>
      <c r="KD25" s="20" t="n">
        <f aca="false">IF(AND(HU25=1,IE25&gt;0,Slot7_IsWG=1,CF25=1),MIN(IE25,KC25),0)</f>
        <v>0</v>
      </c>
      <c r="KE25" s="20" t="n">
        <f aca="false">CG25+KD25</f>
        <v>0</v>
      </c>
      <c r="KF25" s="20" t="n">
        <f aca="false">IF(CF25=1,MAX(0,(Slot7_Cost-KE25*(1+Slot7_Rate)^(Slot7_Age-D25))/KB25),0)</f>
        <v>0</v>
      </c>
      <c r="KG25" s="20" t="n">
        <f aca="false">IF(CF25=1,MAX(0,(Slot7_Cost-CG25*(1+Slot7_Rate)^(Slot7_Age-D25))/KB25),0)</f>
        <v>0</v>
      </c>
      <c r="KH25" s="20" t="n">
        <f aca="false">IF(AND(HU25=1,CF25=1),MIN(KA25,KF25),0)</f>
        <v>0</v>
      </c>
      <c r="KI25" s="20" t="n">
        <f aca="false">KA25-KH25</f>
        <v>8401.44851515455</v>
      </c>
      <c r="KJ25" s="20" t="n">
        <f aca="false">IF(CP25=1,IF(ABS((1+AS_Wage)/(1+Slot8_Rate)-1)&lt;0.000000000001,(Slot8_Age-D25)*(1+Slot8_Rate)^(Slot8_Age-D25),(1+Slot8_Rate)^(Slot8_Age-D25)*(1-((1+AS_Wage)/(1+Slot8_Rate))^(Slot8_Age-D25))/(1-(1+AS_Wage)/(1+Slot8_Rate))),1)</f>
        <v>1</v>
      </c>
      <c r="KK25" s="20" t="n">
        <f aca="false">IF(AND(HU25=1,IE25&gt;0,Slot8_IsWG=1,CP25=1),MAX(0,(Slot8_Cost-CQ25*(1+Slot8_Rate)^(Slot8_Age-D25))/KJ25),0)</f>
        <v>0</v>
      </c>
      <c r="KL25" s="20" t="n">
        <f aca="false">IF(AND(HU25=1,IE25&gt;0,Slot8_IsWG=1,CP25=1),MIN(IE25,KK25),0)</f>
        <v>0</v>
      </c>
      <c r="KM25" s="20" t="n">
        <f aca="false">CQ25+KL25</f>
        <v>0</v>
      </c>
      <c r="KN25" s="20" t="n">
        <f aca="false">IF(CP25=1,MAX(0,(Slot8_Cost-KM25*(1+Slot8_Rate)^(Slot8_Age-D25))/KJ25),0)</f>
        <v>0</v>
      </c>
      <c r="KO25" s="20" t="n">
        <f aca="false">IF(CP25=1,MAX(0,(Slot8_Cost-CQ25*(1+Slot8_Rate)^(Slot8_Age-D25))/KJ25),0)</f>
        <v>0</v>
      </c>
      <c r="KP25" s="20" t="n">
        <f aca="false">IF(AND(HU25=1,CP25=1),MIN(KI25,KN25),0)</f>
        <v>0</v>
      </c>
      <c r="KQ25" s="20" t="n">
        <f aca="false">KI25-KP25</f>
        <v>8401.44851515455</v>
      </c>
      <c r="KR25" s="20" t="n">
        <f aca="false">IF(CZ25=1,IF(ABS((1+AS_Wage)/(1+Slot9_Rate)-1)&lt;0.000000000001,(Slot9_Age-D25)*(1+Slot9_Rate)^(Slot9_Age-D25),(1+Slot9_Rate)^(Slot9_Age-D25)*(1-((1+AS_Wage)/(1+Slot9_Rate))^(Slot9_Age-D25))/(1-(1+AS_Wage)/(1+Slot9_Rate))),1)</f>
        <v>1</v>
      </c>
      <c r="KS25" s="20" t="n">
        <f aca="false">IF(AND(HU25=1,IE25&gt;0,Slot9_IsWG=1,CZ25=1),MAX(0,(Slot9_Cost-DA25*(1+Slot9_Rate)^(Slot9_Age-D25))/KR25),0)</f>
        <v>0</v>
      </c>
      <c r="KT25" s="20" t="n">
        <f aca="false">IF(AND(HU25=1,IE25&gt;0,Slot9_IsWG=1,CZ25=1),MIN(IE25,KS25),0)</f>
        <v>0</v>
      </c>
      <c r="KU25" s="20" t="n">
        <f aca="false">DA25+KT25</f>
        <v>0</v>
      </c>
      <c r="KV25" s="20" t="n">
        <f aca="false">IF(CZ25=1,MAX(0,(Slot9_Cost-KU25*(1+Slot9_Rate)^(Slot9_Age-D25))/KR25),0)</f>
        <v>0</v>
      </c>
      <c r="KW25" s="20" t="n">
        <f aca="false">IF(CZ25=1,MAX(0,(Slot9_Cost-DA25*(1+Slot9_Rate)^(Slot9_Age-D25))/KR25),0)</f>
        <v>0</v>
      </c>
      <c r="KX25" s="20" t="n">
        <f aca="false">IF(AND(HU25=1,CZ25=1),MIN(KQ25,KV25),0)</f>
        <v>0</v>
      </c>
      <c r="KY25" s="20" t="n">
        <f aca="false">KQ25-KX25</f>
        <v>8401.44851515455</v>
      </c>
      <c r="KZ25" s="20" t="n">
        <f aca="false">IF(DJ25=1,IF(ABS((1+AS_Wage)/(1+Slot10_Rate)-1)&lt;0.000000000001,(Slot10_Age-D25)*(1+Slot10_Rate)^(Slot10_Age-D25),(1+Slot10_Rate)^(Slot10_Age-D25)*(1-((1+AS_Wage)/(1+Slot10_Rate))^(Slot10_Age-D25))/(1-(1+AS_Wage)/(1+Slot10_Rate))),1)</f>
        <v>1</v>
      </c>
      <c r="LA25" s="20" t="n">
        <f aca="false">IF(AND(HU25=1,IE25&gt;0,Slot10_IsWG=1,DJ25=1),MAX(0,(Slot10_Cost-DK25*(1+Slot10_Rate)^(Slot10_Age-D25))/KZ25),0)</f>
        <v>0</v>
      </c>
      <c r="LB25" s="20" t="n">
        <f aca="false">IF(AND(HU25=1,IE25&gt;0,Slot10_IsWG=1,DJ25=1),MIN(IE25,LA25),0)</f>
        <v>0</v>
      </c>
      <c r="LC25" s="20" t="n">
        <f aca="false">DK25+LB25</f>
        <v>0</v>
      </c>
      <c r="LD25" s="20" t="n">
        <f aca="false">IF(DJ25=1,MAX(0,(Slot10_Cost-LC25*(1+Slot10_Rate)^(Slot10_Age-D25))/KZ25),0)</f>
        <v>0</v>
      </c>
      <c r="LE25" s="20" t="n">
        <f aca="false">IF(DJ25=1,MAX(0,(Slot10_Cost-DK25*(1+Slot10_Rate)^(Slot10_Age-D25))/KZ25),0)</f>
        <v>0</v>
      </c>
      <c r="LF25" s="20" t="n">
        <f aca="false">IF(AND(HU25=1,DJ25=1),MIN(KY25,LD25),0)</f>
        <v>0</v>
      </c>
      <c r="LG25" s="20" t="n">
        <f aca="false">KY25-LF25</f>
        <v>8401.44851515455</v>
      </c>
      <c r="LH25" s="20" t="n">
        <f aca="false">IF(DT25=1,IF(ABS((1+AS_Wage)/(1+Slot11_Rate)-1)&lt;0.000000000001,(Slot11_Age-D25)*(1+Slot11_Rate)^(Slot11_Age-D25),(1+Slot11_Rate)^(Slot11_Age-D25)*(1-((1+AS_Wage)/(1+Slot11_Rate))^(Slot11_Age-D25))/(1-(1+AS_Wage)/(1+Slot11_Rate))),1)</f>
        <v>1</v>
      </c>
      <c r="LI25" s="20" t="n">
        <f aca="false">IF(AND(HU25=1,IE25&gt;0,Slot11_IsWG=1,DT25=1),MAX(0,(Slot11_Cost-DU25*(1+Slot11_Rate)^(Slot11_Age-D25))/LH25),0)</f>
        <v>0</v>
      </c>
      <c r="LJ25" s="20" t="n">
        <f aca="false">IF(AND(HU25=1,IE25&gt;0,Slot11_IsWG=1,DT25=1),MIN(IE25,LI25),0)</f>
        <v>0</v>
      </c>
      <c r="LK25" s="20" t="n">
        <f aca="false">DU25+LJ25</f>
        <v>0</v>
      </c>
      <c r="LL25" s="20" t="n">
        <f aca="false">IF(DT25=1,MAX(0,(Slot11_Cost-LK25*(1+Slot11_Rate)^(Slot11_Age-D25))/LH25),0)</f>
        <v>0</v>
      </c>
      <c r="LM25" s="20" t="n">
        <f aca="false">IF(DT25=1,MAX(0,(Slot11_Cost-DU25*(1+Slot11_Rate)^(Slot11_Age-D25))/LH25),0)</f>
        <v>0</v>
      </c>
      <c r="LN25" s="20" t="n">
        <f aca="false">IF(AND(HU25=1,DT25=1),MIN(LG25,LL25),0)</f>
        <v>0</v>
      </c>
      <c r="LO25" s="20" t="n">
        <f aca="false">LG25-LN25</f>
        <v>8401.44851515455</v>
      </c>
      <c r="LP25" s="20" t="n">
        <f aca="false">IF(ED25=1,IF(ABS((1+AS_Wage)/(1+Slot12_Rate)-1)&lt;0.000000000001,(Slot12_Age-D25)*(1+Slot12_Rate)^(Slot12_Age-D25),(1+Slot12_Rate)^(Slot12_Age-D25)*(1-((1+AS_Wage)/(1+Slot12_Rate))^(Slot12_Age-D25))/(1-(1+AS_Wage)/(1+Slot12_Rate))),1)</f>
        <v>1</v>
      </c>
      <c r="LQ25" s="20" t="n">
        <f aca="false">IF(AND(HU25=1,IE25&gt;0,Slot12_IsWG=1,ED25=1),MAX(0,(Slot12_Cost-EE25*(1+Slot12_Rate)^(Slot12_Age-D25))/LP25),0)</f>
        <v>0</v>
      </c>
      <c r="LR25" s="20" t="n">
        <f aca="false">IF(AND(HU25=1,IE25&gt;0,Slot12_IsWG=1,ED25=1),MIN(IE25,LQ25),0)</f>
        <v>0</v>
      </c>
      <c r="LS25" s="20" t="n">
        <f aca="false">EE25+LR25</f>
        <v>0</v>
      </c>
      <c r="LT25" s="20" t="n">
        <f aca="false">IF(ED25=1,MAX(0,(Slot12_Cost-LS25*(1+Slot12_Rate)^(Slot12_Age-D25))/LP25),0)</f>
        <v>0</v>
      </c>
      <c r="LU25" s="20" t="n">
        <f aca="false">IF(ED25=1,MAX(0,(Slot12_Cost-EE25*(1+Slot12_Rate)^(Slot12_Age-D25))/LP25),0)</f>
        <v>0</v>
      </c>
      <c r="LV25" s="20" t="n">
        <f aca="false">IF(AND(HU25=1,ED25=1),MIN(LO25,LT25),0)</f>
        <v>0</v>
      </c>
      <c r="LW25" s="20" t="n">
        <f aca="false">LO25-LV25</f>
        <v>8401.44851515455</v>
      </c>
      <c r="LX25" s="20" t="n">
        <f aca="false">IF(EN25=1,IF(ABS((1+AS_Wage)/(1+Slot13_Rate)-1)&lt;0.000000000001,(Slot13_Age-D25)*(1+Slot13_Rate)^(Slot13_Age-D25),(1+Slot13_Rate)^(Slot13_Age-D25)*(1-((1+AS_Wage)/(1+Slot13_Rate))^(Slot13_Age-D25))/(1-(1+AS_Wage)/(1+Slot13_Rate))),1)</f>
        <v>1</v>
      </c>
      <c r="LY25" s="20" t="n">
        <f aca="false">IF(AND(HU25=1,IE25&gt;0,Slot13_IsWG=1,EN25=1),MAX(0,(Slot13_Cost-EO25*(1+Slot13_Rate)^(Slot13_Age-D25))/LX25),0)</f>
        <v>0</v>
      </c>
      <c r="LZ25" s="20" t="n">
        <f aca="false">IF(AND(HU25=1,IE25&gt;0,Slot13_IsWG=1,EN25=1),MIN(IE25,LY25),0)</f>
        <v>0</v>
      </c>
      <c r="MA25" s="20" t="n">
        <f aca="false">EO25+LZ25</f>
        <v>0</v>
      </c>
      <c r="MB25" s="20" t="n">
        <f aca="false">IF(EN25=1,MAX(0,(Slot13_Cost-MA25*(1+Slot13_Rate)^(Slot13_Age-D25))/LX25),0)</f>
        <v>0</v>
      </c>
      <c r="MC25" s="20" t="n">
        <f aca="false">IF(EN25=1,MAX(0,(Slot13_Cost-EO25*(1+Slot13_Rate)^(Slot13_Age-D25))/LX25),0)</f>
        <v>0</v>
      </c>
      <c r="MD25" s="20" t="n">
        <f aca="false">IF(AND(HU25=1,EN25=1),MIN(LW25,MB25),0)</f>
        <v>0</v>
      </c>
      <c r="ME25" s="20" t="n">
        <f aca="false">LW25-MD25</f>
        <v>8401.44851515455</v>
      </c>
      <c r="MF25" s="20" t="n">
        <f aca="false">IF(EX25=1,IF(ABS((1+AS_Wage)/(1+Slot14_Rate)-1)&lt;0.000000000001,(Slot14_Age-D25)*(1+Slot14_Rate)^(Slot14_Age-D25),(1+Slot14_Rate)^(Slot14_Age-D25)*(1-((1+AS_Wage)/(1+Slot14_Rate))^(Slot14_Age-D25))/(1-(1+AS_Wage)/(1+Slot14_Rate))),1)</f>
        <v>1</v>
      </c>
      <c r="MG25" s="20" t="n">
        <f aca="false">IF(AND(HU25=1,IE25&gt;0,Slot14_IsWG=1,EX25=1),MAX(0,(Slot14_Cost-EY25*(1+Slot14_Rate)^(Slot14_Age-D25))/MF25),0)</f>
        <v>0</v>
      </c>
      <c r="MH25" s="20" t="n">
        <f aca="false">IF(AND(HU25=1,IE25&gt;0,Slot14_IsWG=1,EX25=1),MIN(IE25,MG25),0)</f>
        <v>0</v>
      </c>
      <c r="MI25" s="20" t="n">
        <f aca="false">EY25+MH25</f>
        <v>0</v>
      </c>
      <c r="MJ25" s="20" t="n">
        <f aca="false">IF(EX25=1,MAX(0,(Slot14_Cost-MI25*(1+Slot14_Rate)^(Slot14_Age-D25))/MF25),0)</f>
        <v>0</v>
      </c>
      <c r="MK25" s="20" t="n">
        <f aca="false">IF(EX25=1,MAX(0,(Slot14_Cost-EY25*(1+Slot14_Rate)^(Slot14_Age-D25))/MF25),0)</f>
        <v>0</v>
      </c>
      <c r="ML25" s="20" t="n">
        <f aca="false">IF(AND(HU25=1,EX25=1),MIN(ME25,MJ25),0)</f>
        <v>0</v>
      </c>
      <c r="MM25" s="20" t="n">
        <f aca="false">ME25-ML25</f>
        <v>8401.44851515455</v>
      </c>
      <c r="MN25" s="20" t="n">
        <f aca="false">IF(FH25=1,IF(ABS((1+AS_Wage)/(1+Slot15_Rate)-1)&lt;0.000000000001,(Slot15_Age-D25)*(1+Slot15_Rate)^(Slot15_Age-D25),(1+Slot15_Rate)^(Slot15_Age-D25)*(1-((1+AS_Wage)/(1+Slot15_Rate))^(Slot15_Age-D25))/(1-(1+AS_Wage)/(1+Slot15_Rate))),1)</f>
        <v>1</v>
      </c>
      <c r="MO25" s="20" t="n">
        <f aca="false">IF(AND(HU25=1,IE25&gt;0,Slot15_IsWG=1,FH25=1),MAX(0,(Slot15_Cost-FI25*(1+Slot15_Rate)^(Slot15_Age-D25))/MN25),0)</f>
        <v>0</v>
      </c>
      <c r="MP25" s="20" t="n">
        <f aca="false">IF(AND(HU25=1,IE25&gt;0,Slot15_IsWG=1,FH25=1),MIN(IE25,MO25),0)</f>
        <v>0</v>
      </c>
      <c r="MQ25" s="20" t="n">
        <f aca="false">FI25+MP25</f>
        <v>0</v>
      </c>
      <c r="MR25" s="20" t="n">
        <f aca="false">IF(FH25=1,MAX(0,(Slot15_Cost-MQ25*(1+Slot15_Rate)^(Slot15_Age-D25))/MN25),0)</f>
        <v>0</v>
      </c>
      <c r="MS25" s="20" t="n">
        <f aca="false">IF(FH25=1,MAX(0,(Slot15_Cost-FI25*(1+Slot15_Rate)^(Slot15_Age-D25))/MN25),0)</f>
        <v>0</v>
      </c>
      <c r="MT25" s="20" t="n">
        <f aca="false">IF(AND(HU25=1,FH25=1),MIN(MM25,MR25),0)</f>
        <v>0</v>
      </c>
      <c r="MU25" s="20" t="n">
        <f aca="false">MM25-MT25</f>
        <v>8401.44851515455</v>
      </c>
      <c r="MV25" s="20" t="n">
        <f aca="false">IF(FR25=1,IF(ABS((1+AS_Wage)/(1+Slot16_Rate)-1)&lt;0.000000000001,(Slot16_Age-D25)*(1+Slot16_Rate)^(Slot16_Age-D25),(1+Slot16_Rate)^(Slot16_Age-D25)*(1-((1+AS_Wage)/(1+Slot16_Rate))^(Slot16_Age-D25))/(1-(1+AS_Wage)/(1+Slot16_Rate))),1)</f>
        <v>1</v>
      </c>
      <c r="MW25" s="20" t="n">
        <f aca="false">IF(AND(HU25=1,IE25&gt;0,Slot16_IsWG=1,FR25=1),MAX(0,(Slot16_Cost-FS25*(1+Slot16_Rate)^(Slot16_Age-D25))/MV25),0)</f>
        <v>0</v>
      </c>
      <c r="MX25" s="20" t="n">
        <f aca="false">IF(AND(HU25=1,IE25&gt;0,Slot16_IsWG=1,FR25=1),MIN(IE25,MW25),0)</f>
        <v>0</v>
      </c>
      <c r="MY25" s="20" t="n">
        <f aca="false">FS25+MX25</f>
        <v>0</v>
      </c>
      <c r="MZ25" s="20" t="n">
        <f aca="false">IF(FR25=1,MAX(0,(Slot16_Cost-MY25*(1+Slot16_Rate)^(Slot16_Age-D25))/MV25),0)</f>
        <v>0</v>
      </c>
      <c r="NA25" s="20" t="n">
        <f aca="false">IF(FR25=1,MAX(0,(Slot16_Cost-FS25*(1+Slot16_Rate)^(Slot16_Age-D25))/MV25),0)</f>
        <v>0</v>
      </c>
      <c r="NB25" s="20" t="n">
        <f aca="false">IF(AND(HU25=1,FR25=1),MIN(MU25,MZ25),0)</f>
        <v>0</v>
      </c>
      <c r="NC25" s="20" t="n">
        <f aca="false">MU25-NB25</f>
        <v>8401.44851515455</v>
      </c>
      <c r="ND25" s="20" t="n">
        <f aca="false">IF(GB25=1,IF(ABS((1+AS_Wage)/(1+Slot17_Rate)-1)&lt;0.000000000001,(Slot17_Age-D25)*(1+Slot17_Rate)^(Slot17_Age-D25),(1+Slot17_Rate)^(Slot17_Age-D25)*(1-((1+AS_Wage)/(1+Slot17_Rate))^(Slot17_Age-D25))/(1-(1+AS_Wage)/(1+Slot17_Rate))),1)</f>
        <v>1</v>
      </c>
      <c r="NE25" s="20" t="n">
        <f aca="false">IF(AND(HU25=1,IE25&gt;0,Slot17_IsWG=1,GB25=1),MAX(0,(Slot17_Cost-GC25*(1+Slot17_Rate)^(Slot17_Age-D25))/ND25),0)</f>
        <v>0</v>
      </c>
      <c r="NF25" s="20" t="n">
        <f aca="false">IF(AND(HU25=1,IE25&gt;0,Slot17_IsWG=1,GB25=1),MIN(IE25,NE25),0)</f>
        <v>0</v>
      </c>
      <c r="NG25" s="20" t="n">
        <f aca="false">GC25+NF25</f>
        <v>0</v>
      </c>
      <c r="NH25" s="20" t="n">
        <f aca="false">IF(GB25=1,MAX(0,(Slot17_Cost-NG25*(1+Slot17_Rate)^(Slot17_Age-D25))/ND25),0)</f>
        <v>0</v>
      </c>
      <c r="NI25" s="20" t="n">
        <f aca="false">IF(GB25=1,MAX(0,(Slot17_Cost-GC25*(1+Slot17_Rate)^(Slot17_Age-D25))/ND25),0)</f>
        <v>0</v>
      </c>
      <c r="NJ25" s="20" t="n">
        <f aca="false">IF(AND(HU25=1,GB25=1),MIN(NC25,NH25),0)</f>
        <v>0</v>
      </c>
      <c r="NK25" s="20" t="n">
        <f aca="false">NC25-NJ25</f>
        <v>8401.44851515455</v>
      </c>
      <c r="NL25" s="20" t="n">
        <f aca="false">IF(GL25=1,IF(ABS((1+AS_Wage)/(1+Slot18_Rate)-1)&lt;0.000000000001,(Slot18_Age-D25)*(1+Slot18_Rate)^(Slot18_Age-D25),(1+Slot18_Rate)^(Slot18_Age-D25)*(1-((1+AS_Wage)/(1+Slot18_Rate))^(Slot18_Age-D25))/(1-(1+AS_Wage)/(1+Slot18_Rate))),1)</f>
        <v>1</v>
      </c>
      <c r="NM25" s="20" t="n">
        <f aca="false">IF(AND(HU25=1,IE25&gt;0,Slot18_IsWG=1,GL25=1),MAX(0,(Slot18_Cost-GM25*(1+Slot18_Rate)^(Slot18_Age-D25))/NL25),0)</f>
        <v>0</v>
      </c>
      <c r="NN25" s="20" t="n">
        <f aca="false">IF(AND(HU25=1,IE25&gt;0,Slot18_IsWG=1,GL25=1),MIN(IE25,NM25),0)</f>
        <v>0</v>
      </c>
      <c r="NO25" s="20" t="n">
        <f aca="false">GM25+NN25</f>
        <v>0</v>
      </c>
      <c r="NP25" s="20" t="n">
        <f aca="false">IF(GL25=1,MAX(0,(Slot18_Cost-NO25*(1+Slot18_Rate)^(Slot18_Age-D25))/NL25),0)</f>
        <v>0</v>
      </c>
      <c r="NQ25" s="20" t="n">
        <f aca="false">IF(GL25=1,MAX(0,(Slot18_Cost-GM25*(1+Slot18_Rate)^(Slot18_Age-D25))/NL25),0)</f>
        <v>0</v>
      </c>
      <c r="NR25" s="20" t="n">
        <f aca="false">IF(AND(HU25=1,GL25=1),MIN(NK25,NP25),0)</f>
        <v>0</v>
      </c>
      <c r="NS25" s="20" t="n">
        <f aca="false">NK25-NR25</f>
        <v>8401.44851515455</v>
      </c>
      <c r="NT25" s="20" t="n">
        <f aca="false">IF(GV25=1,IF(ABS((1+AS_Wage)/(1+Slot19_Rate)-1)&lt;0.000000000001,(Slot19_Age-D25)*(1+Slot19_Rate)^(Slot19_Age-D25),(1+Slot19_Rate)^(Slot19_Age-D25)*(1-((1+AS_Wage)/(1+Slot19_Rate))^(Slot19_Age-D25))/(1-(1+AS_Wage)/(1+Slot19_Rate))),1)</f>
        <v>1</v>
      </c>
      <c r="NU25" s="20" t="n">
        <f aca="false">IF(AND(HU25=1,IE25&gt;0,Slot19_IsWG=1,GV25=1),MAX(0,(Slot19_Cost-GW25*(1+Slot19_Rate)^(Slot19_Age-D25))/NT25),0)</f>
        <v>0</v>
      </c>
      <c r="NV25" s="20" t="n">
        <f aca="false">IF(AND(HU25=1,IE25&gt;0,Slot19_IsWG=1,GV25=1),MIN(IE25,NU25),0)</f>
        <v>0</v>
      </c>
      <c r="NW25" s="20" t="n">
        <f aca="false">GW25+NV25</f>
        <v>0</v>
      </c>
      <c r="NX25" s="20" t="n">
        <f aca="false">IF(GV25=1,MAX(0,(Slot19_Cost-NW25*(1+Slot19_Rate)^(Slot19_Age-D25))/NT25),0)</f>
        <v>0</v>
      </c>
      <c r="NY25" s="20" t="n">
        <f aca="false">IF(GV25=1,MAX(0,(Slot19_Cost-GW25*(1+Slot19_Rate)^(Slot19_Age-D25))/NT25),0)</f>
        <v>0</v>
      </c>
      <c r="NZ25" s="20" t="n">
        <f aca="false">IF(AND(HU25=1,GV25=1),MIN(NS25,NX25),0)</f>
        <v>0</v>
      </c>
      <c r="OA25" s="20" t="n">
        <f aca="false">NS25-NZ25</f>
        <v>8401.44851515455</v>
      </c>
      <c r="OB25" s="20" t="n">
        <f aca="false">IF(HF25=1,IF(ABS((1+AS_Wage)/(1+Slot20_Rate)-1)&lt;0.000000000001,(Slot20_Age-D25)*(1+Slot20_Rate)^(Slot20_Age-D25),(1+Slot20_Rate)^(Slot20_Age-D25)*(1-((1+AS_Wage)/(1+Slot20_Rate))^(Slot20_Age-D25))/(1-(1+AS_Wage)/(1+Slot20_Rate))),1)</f>
        <v>1</v>
      </c>
      <c r="OC25" s="20" t="n">
        <f aca="false">IF(AND(HU25=1,IE25&gt;0,Slot20_IsWG=1,HF25=1),MAX(0,(Slot20_Cost-HG25*(1+Slot20_Rate)^(Slot20_Age-D25))/OB25),0)</f>
        <v>0</v>
      </c>
      <c r="OD25" s="20" t="n">
        <f aca="false">IF(AND(HU25=1,IE25&gt;0,Slot20_IsWG=1,HF25=1),MIN(IE25,OC25),0)</f>
        <v>0</v>
      </c>
      <c r="OE25" s="20" t="n">
        <f aca="false">HG25+OD25</f>
        <v>0</v>
      </c>
      <c r="OF25" s="20" t="n">
        <f aca="false">IF(HF25=1,MAX(0,(Slot20_Cost-OE25*(1+Slot20_Rate)^(Slot20_Age-D25))/OB25),0)</f>
        <v>0</v>
      </c>
      <c r="OG25" s="20" t="n">
        <f aca="false">IF(HF25=1,MAX(0,(Slot20_Cost-HG25*(1+Slot20_Rate)^(Slot20_Age-D25))/OB25),0)</f>
        <v>0</v>
      </c>
      <c r="OH25" s="20" t="n">
        <f aca="false">IF(AND(HU25=1,HF25=1),MIN(OA25,OF25),0)</f>
        <v>0</v>
      </c>
      <c r="OI25" s="20" t="n">
        <f aca="false">OA25-OH25</f>
        <v>8401.44851515455</v>
      </c>
      <c r="OJ25" s="20" t="n">
        <f aca="false">IE25-(IH25+IP25+IX25+JF25+JN25+JV25+KD25+KL25+KT25+LB25+LJ25+LR25+LZ25+MH25+MP25+MX25+NF25+NN25+NV25+OD25)</f>
        <v>0</v>
      </c>
      <c r="OK25" s="20" t="n">
        <f aca="false">IF(HU25=1,HS25-ID25-IE25,0)</f>
        <v>12555.3739764803</v>
      </c>
      <c r="OL25" s="20" t="n">
        <f aca="false">IF(HU25=0,-HS25,0)</f>
        <v>0</v>
      </c>
      <c r="OM25" s="20" t="n">
        <f aca="false">MIN(OL25,HK25)</f>
        <v>0</v>
      </c>
      <c r="ON25" s="20" t="n">
        <f aca="false">OL25-OM25</f>
        <v>0</v>
      </c>
      <c r="OO25" s="20" t="n">
        <f aca="false">MIN(ON25,HL25)</f>
        <v>0</v>
      </c>
      <c r="OP25" s="20" t="n">
        <f aca="false">ON25-OO25</f>
        <v>0</v>
      </c>
      <c r="OQ25" s="20" t="n">
        <f aca="false">IF(AND(HU25=0,HF25=1,OP25&gt;0),MIN(OP25,HG25),0)</f>
        <v>0</v>
      </c>
      <c r="OR25" s="20" t="n">
        <f aca="false">OP25-OQ25</f>
        <v>0</v>
      </c>
      <c r="OS25" s="20" t="n">
        <f aca="false">IF(AND(HU25=0,GV25=1,OR25&gt;0),MIN(OR25,GW25),0)</f>
        <v>0</v>
      </c>
      <c r="OT25" s="20" t="n">
        <f aca="false">OR25-OS25</f>
        <v>0</v>
      </c>
      <c r="OU25" s="20" t="n">
        <f aca="false">IF(AND(HU25=0,GL25=1,OT25&gt;0),MIN(OT25,GM25),0)</f>
        <v>0</v>
      </c>
      <c r="OV25" s="20" t="n">
        <f aca="false">OT25-OU25</f>
        <v>0</v>
      </c>
      <c r="OW25" s="20" t="n">
        <f aca="false">IF(AND(HU25=0,GB25=1,OV25&gt;0),MIN(OV25,GC25),0)</f>
        <v>0</v>
      </c>
      <c r="OX25" s="20" t="n">
        <f aca="false">OV25-OW25</f>
        <v>0</v>
      </c>
      <c r="OY25" s="20" t="n">
        <f aca="false">IF(AND(HU25=0,FR25=1,OX25&gt;0),MIN(OX25,FS25),0)</f>
        <v>0</v>
      </c>
      <c r="OZ25" s="20" t="n">
        <f aca="false">OX25-OY25</f>
        <v>0</v>
      </c>
      <c r="PA25" s="20" t="n">
        <f aca="false">IF(AND(HU25=0,FH25=1,OZ25&gt;0),MIN(OZ25,FI25),0)</f>
        <v>0</v>
      </c>
      <c r="PB25" s="20" t="n">
        <f aca="false">OZ25-PA25</f>
        <v>0</v>
      </c>
      <c r="PC25" s="20" t="n">
        <f aca="false">IF(AND(HU25=0,EX25=1,PB25&gt;0),MIN(PB25,EY25),0)</f>
        <v>0</v>
      </c>
      <c r="PD25" s="20" t="n">
        <f aca="false">PB25-PC25</f>
        <v>0</v>
      </c>
      <c r="PE25" s="20" t="n">
        <f aca="false">IF(AND(HU25=0,EN25=1,PD25&gt;0),MIN(PD25,EO25),0)</f>
        <v>0</v>
      </c>
      <c r="PF25" s="20" t="n">
        <f aca="false">PD25-PE25</f>
        <v>0</v>
      </c>
      <c r="PG25" s="20" t="n">
        <f aca="false">IF(AND(HU25=0,ED25=1,PF25&gt;0),MIN(PF25,EE25),0)</f>
        <v>0</v>
      </c>
      <c r="PH25" s="20" t="n">
        <f aca="false">PF25-PG25</f>
        <v>0</v>
      </c>
      <c r="PI25" s="20" t="n">
        <f aca="false">IF(AND(HU25=0,DT25=1,PH25&gt;0),MIN(PH25,DU25),0)</f>
        <v>0</v>
      </c>
      <c r="PJ25" s="20" t="n">
        <f aca="false">PH25-PI25</f>
        <v>0</v>
      </c>
      <c r="PK25" s="20" t="n">
        <f aca="false">IF(AND(HU25=0,DJ25=1,PJ25&gt;0),MIN(PJ25,DK25),0)</f>
        <v>0</v>
      </c>
      <c r="PL25" s="20" t="n">
        <f aca="false">PJ25-PK25</f>
        <v>0</v>
      </c>
      <c r="PM25" s="20" t="n">
        <f aca="false">IF(AND(HU25=0,CZ25=1,PL25&gt;0),MIN(PL25,DA25),0)</f>
        <v>0</v>
      </c>
      <c r="PN25" s="20" t="n">
        <f aca="false">PL25-PM25</f>
        <v>0</v>
      </c>
      <c r="PO25" s="20" t="n">
        <f aca="false">IF(AND(HU25=0,CP25=1,PN25&gt;0),MIN(PN25,CQ25),0)</f>
        <v>0</v>
      </c>
      <c r="PP25" s="20" t="n">
        <f aca="false">PN25-PO25</f>
        <v>0</v>
      </c>
      <c r="PQ25" s="20" t="n">
        <f aca="false">IF(AND(HU25=0,CF25=1,PP25&gt;0),MIN(PP25,CG25),0)</f>
        <v>0</v>
      </c>
      <c r="PR25" s="20" t="n">
        <f aca="false">PP25-PQ25</f>
        <v>0</v>
      </c>
      <c r="PS25" s="20" t="n">
        <f aca="false">IF(AND(HU25=0,BV25=1,PR25&gt;0),MIN(PR25,BW25),0)</f>
        <v>0</v>
      </c>
      <c r="PT25" s="20" t="n">
        <f aca="false">PR25-PS25</f>
        <v>0</v>
      </c>
      <c r="PU25" s="20" t="n">
        <f aca="false">IF(AND(HU25=0,BL25=1,PT25&gt;0),MIN(PT25,BM25),0)</f>
        <v>0</v>
      </c>
      <c r="PV25" s="20" t="n">
        <f aca="false">PT25-PU25</f>
        <v>0</v>
      </c>
      <c r="PW25" s="20" t="n">
        <f aca="false">IF(AND(HU25=0,BB25=1,PV25&gt;0),MIN(PV25,BC25),0)</f>
        <v>0</v>
      </c>
      <c r="PX25" s="20" t="n">
        <f aca="false">PV25-PW25</f>
        <v>0</v>
      </c>
      <c r="PY25" s="20" t="n">
        <f aca="false">IF(AND(HU25=0,AR25=1,PX25&gt;0),MIN(PX25,AS25),0)</f>
        <v>0</v>
      </c>
      <c r="PZ25" s="20" t="n">
        <f aca="false">PX25-PY25</f>
        <v>0</v>
      </c>
      <c r="QA25" s="20" t="n">
        <f aca="false">IF(AND(HU25=0,AH25=1,PZ25&gt;0),MIN(PZ25,AI25),0)</f>
        <v>0</v>
      </c>
      <c r="QB25" s="20" t="n">
        <f aca="false">PZ25-QA25</f>
        <v>0</v>
      </c>
      <c r="QC25" s="20" t="n">
        <f aca="false">IF(AND(HU25=0,W25=1,QB25&gt;0),MIN(QB25,X25),0)</f>
        <v>0</v>
      </c>
      <c r="QD25" s="20" t="n">
        <f aca="false">QB25-QC25</f>
        <v>0</v>
      </c>
      <c r="QE25" s="20" t="n">
        <f aca="false">IF(HU25=0,QD25,0)</f>
        <v>0</v>
      </c>
      <c r="QF25" s="20" t="n">
        <f aca="false">OM25+OO25+QC25+QA25+PY25+PW25+PU25+PS25+PQ25+PO25+PM25+PK25+PI25+PG25+PE25+PC25+PA25+OY25+OW25+OU25+OS25+OQ25</f>
        <v>0</v>
      </c>
      <c r="QG25" s="20" t="n">
        <f aca="false">IF(HU25=1,HK25+OJ25+OI25+IF(G25=1,0,OK25),HK25-OM25)</f>
        <v>25158.6704518373</v>
      </c>
      <c r="QH25" s="20" t="n">
        <f aca="false">HL25-OO25</f>
        <v>18118.0815175042</v>
      </c>
      <c r="QI25" s="20" t="n">
        <f aca="false">IF(HU25=1,IF(G25=1,ID25+IE25,HS25),0)</f>
        <v>8401.44851515455</v>
      </c>
      <c r="QJ25" s="20" t="n">
        <f aca="false">IF(HU25=1,IF(G25=1,HS25-ID25-IE25,0),0)</f>
        <v>12555.3739764803</v>
      </c>
      <c r="QK25" s="20" t="n">
        <f aca="false">QG25*(1+GR)</f>
        <v>25571.2726472474</v>
      </c>
      <c r="QL25" s="20" t="n">
        <f aca="false">QH25*(1+AS_Cash)</f>
        <v>18299.2623326792</v>
      </c>
      <c r="QM25" s="20" t="n">
        <f aca="false">IF(W25=1,IF(HU25=1,II25+IL25,X25-QC25)*(1+Slot1_Rate),0)</f>
        <v>0</v>
      </c>
      <c r="QN25" s="20" t="n">
        <f aca="false">IF(AND(HU25=1,W25=1),(IH25+IL25)/F25,0)</f>
        <v>0</v>
      </c>
      <c r="QO25" s="20" t="n">
        <f aca="false">IF(B25=0,IH25+IL25,0)</f>
        <v>0</v>
      </c>
      <c r="QP25" s="20" t="n">
        <f aca="false">IF(B25=0,IF(HU25=1,IJ25,IK25),0)</f>
        <v>0</v>
      </c>
      <c r="QQ25" s="20" t="n">
        <f aca="false">IF(AH25=1,IF(HU25=1,IQ25+IT25,AI25-QA25)*(1+Slot2_Rate),0)</f>
        <v>0</v>
      </c>
      <c r="QR25" s="20" t="n">
        <f aca="false">IF(AND(HU25=1,AH25=1),(IP25+IT25)/F25,0)</f>
        <v>0</v>
      </c>
      <c r="QS25" s="20" t="n">
        <f aca="false">IF(B25=0,IP25+IT25,0)</f>
        <v>0</v>
      </c>
      <c r="QT25" s="20" t="n">
        <f aca="false">IF(B25=0,IF(HU25=1,IR25,IS25),0)</f>
        <v>0</v>
      </c>
      <c r="QU25" s="20" t="n">
        <f aca="false">IF(AR25=1,IF(HU25=1,IY25+JB25,AS25-PY25)*(1+Slot3_Rate),0)</f>
        <v>0</v>
      </c>
      <c r="QV25" s="20" t="n">
        <f aca="false">IF(AND(HU25=1,AR25=1),(IX25+JB25)/F25,0)</f>
        <v>0</v>
      </c>
      <c r="QW25" s="20" t="n">
        <f aca="false">IF(B25=0,IX25+JB25,0)</f>
        <v>0</v>
      </c>
      <c r="QX25" s="20" t="n">
        <f aca="false">IF(B25=0,IF(HU25=1,IZ25,JA25),0)</f>
        <v>0</v>
      </c>
      <c r="QY25" s="20" t="n">
        <f aca="false">IF(BB25=1,IF(HU25=1,JG25+JJ25,BC25-PW25)*(1+Slot4_Rate),0)</f>
        <v>0</v>
      </c>
      <c r="QZ25" s="20" t="n">
        <f aca="false">IF(AND(HU25=1,BB25=1),(JF25+JJ25)/F25,0)</f>
        <v>0</v>
      </c>
      <c r="RA25" s="20" t="n">
        <f aca="false">IF(B25=0,JF25+JJ25,0)</f>
        <v>0</v>
      </c>
      <c r="RB25" s="20" t="n">
        <f aca="false">IF(B25=0,IF(HU25=1,JH25,JI25),0)</f>
        <v>0</v>
      </c>
      <c r="RC25" s="20" t="n">
        <f aca="false">IF(BL25=1,IF(HU25=1,JO25+JR25,BM25-PU25)*(1+Slot5_Rate),0)</f>
        <v>0</v>
      </c>
      <c r="RD25" s="20" t="n">
        <f aca="false">IF(AND(HU25=1,BL25=1),(JN25+JR25)/F25,0)</f>
        <v>0</v>
      </c>
      <c r="RE25" s="20" t="n">
        <f aca="false">IF(B25=0,JN25+JR25,0)</f>
        <v>0</v>
      </c>
      <c r="RF25" s="20" t="n">
        <f aca="false">IF(B25=0,IF(HU25=1,JP25,JQ25),0)</f>
        <v>0</v>
      </c>
      <c r="RG25" s="20" t="n">
        <f aca="false">IF(BV25=1,IF(HU25=1,JW25+JZ25,BW25-PS25)*(1+Slot6_Rate),0)</f>
        <v>0</v>
      </c>
      <c r="RH25" s="20" t="n">
        <f aca="false">IF(AND(HU25=1,BV25=1),(JV25+JZ25)/F25,0)</f>
        <v>0</v>
      </c>
      <c r="RI25" s="20" t="n">
        <f aca="false">IF(B25=0,JV25+JZ25,0)</f>
        <v>0</v>
      </c>
      <c r="RJ25" s="20" t="n">
        <f aca="false">IF(B25=0,IF(HU25=1,JX25,JY25),0)</f>
        <v>0</v>
      </c>
      <c r="RK25" s="20" t="n">
        <f aca="false">IF(CF25=1,IF(HU25=1,KE25+KH25,CG25-PQ25)*(1+Slot7_Rate),0)</f>
        <v>0</v>
      </c>
      <c r="RL25" s="20" t="n">
        <f aca="false">IF(AND(HU25=1,CF25=1),(KD25+KH25)/F25,0)</f>
        <v>0</v>
      </c>
      <c r="RM25" s="20" t="n">
        <f aca="false">IF(B25=0,KD25+KH25,0)</f>
        <v>0</v>
      </c>
      <c r="RN25" s="20" t="n">
        <f aca="false">IF(B25=0,IF(HU25=1,KF25,KG25),0)</f>
        <v>0</v>
      </c>
      <c r="RO25" s="20" t="n">
        <f aca="false">IF(CP25=1,IF(HU25=1,KM25+KP25,CQ25-PO25)*(1+Slot8_Rate),0)</f>
        <v>0</v>
      </c>
      <c r="RP25" s="20" t="n">
        <f aca="false">IF(AND(HU25=1,CP25=1),(KL25+KP25)/F25,0)</f>
        <v>0</v>
      </c>
      <c r="RQ25" s="20" t="n">
        <f aca="false">IF(B25=0,KL25+KP25,0)</f>
        <v>0</v>
      </c>
      <c r="RR25" s="20" t="n">
        <f aca="false">IF(B25=0,IF(HU25=1,KN25,KO25),0)</f>
        <v>0</v>
      </c>
      <c r="RS25" s="20" t="n">
        <f aca="false">IF(CZ25=1,IF(HU25=1,KU25+KX25,DA25-PM25)*(1+Slot9_Rate),0)</f>
        <v>0</v>
      </c>
      <c r="RT25" s="20" t="n">
        <f aca="false">IF(AND(HU25=1,CZ25=1),(KT25+KX25)/F25,0)</f>
        <v>0</v>
      </c>
      <c r="RU25" s="20" t="n">
        <f aca="false">IF(B25=0,KT25+KX25,0)</f>
        <v>0</v>
      </c>
      <c r="RV25" s="20" t="n">
        <f aca="false">IF(B25=0,IF(HU25=1,KV25,KW25),0)</f>
        <v>0</v>
      </c>
      <c r="RW25" s="20" t="n">
        <f aca="false">IF(DJ25=1,IF(HU25=1,LC25+LF25,DK25-PK25)*(1+Slot10_Rate),0)</f>
        <v>0</v>
      </c>
      <c r="RX25" s="20" t="n">
        <f aca="false">IF(AND(HU25=1,DJ25=1),(LB25+LF25)/F25,0)</f>
        <v>0</v>
      </c>
      <c r="RY25" s="20" t="n">
        <f aca="false">IF(B25=0,LB25+LF25,0)</f>
        <v>0</v>
      </c>
      <c r="RZ25" s="20" t="n">
        <f aca="false">IF(B25=0,IF(HU25=1,LD25,LE25),0)</f>
        <v>0</v>
      </c>
      <c r="SA25" s="20" t="n">
        <f aca="false">IF(DT25=1,IF(HU25=1,LK25+LN25,DU25-PI25)*(1+Slot11_Rate),0)</f>
        <v>0</v>
      </c>
      <c r="SB25" s="20" t="n">
        <f aca="false">IF(AND(HU25=1,DT25=1),(LJ25+LN25)/F25,0)</f>
        <v>0</v>
      </c>
      <c r="SC25" s="20" t="n">
        <f aca="false">IF(B25=0,LJ25+LN25,0)</f>
        <v>0</v>
      </c>
      <c r="SD25" s="20" t="n">
        <f aca="false">IF(B25=0,IF(HU25=1,LL25,LM25),0)</f>
        <v>0</v>
      </c>
      <c r="SE25" s="20" t="n">
        <f aca="false">IF(ED25=1,IF(HU25=1,LS25+LV25,EE25-PG25)*(1+Slot12_Rate),0)</f>
        <v>0</v>
      </c>
      <c r="SF25" s="20" t="n">
        <f aca="false">IF(AND(HU25=1,ED25=1),(LR25+LV25)/F25,0)</f>
        <v>0</v>
      </c>
      <c r="SG25" s="20" t="n">
        <f aca="false">IF(B25=0,LR25+LV25,0)</f>
        <v>0</v>
      </c>
      <c r="SH25" s="20" t="n">
        <f aca="false">IF(B25=0,IF(HU25=1,LT25,LU25),0)</f>
        <v>0</v>
      </c>
      <c r="SI25" s="20" t="n">
        <f aca="false">IF(EN25=1,IF(HU25=1,MA25+MD25,EO25-PE25)*(1+Slot13_Rate),0)</f>
        <v>0</v>
      </c>
      <c r="SJ25" s="20" t="n">
        <f aca="false">IF(AND(HU25=1,EN25=1),(LZ25+MD25)/F25,0)</f>
        <v>0</v>
      </c>
      <c r="SK25" s="20" t="n">
        <f aca="false">IF(B25=0,LZ25+MD25,0)</f>
        <v>0</v>
      </c>
      <c r="SL25" s="20" t="n">
        <f aca="false">IF(B25=0,IF(HU25=1,MB25,MC25),0)</f>
        <v>0</v>
      </c>
      <c r="SM25" s="20" t="n">
        <f aca="false">IF(EX25=1,IF(HU25=1,MI25+ML25,EY25-PC25)*(1+Slot14_Rate),0)</f>
        <v>0</v>
      </c>
      <c r="SN25" s="20" t="n">
        <f aca="false">IF(AND(HU25=1,EX25=1),(MH25+ML25)/F25,0)</f>
        <v>0</v>
      </c>
      <c r="SO25" s="20" t="n">
        <f aca="false">IF(B25=0,MH25+ML25,0)</f>
        <v>0</v>
      </c>
      <c r="SP25" s="20" t="n">
        <f aca="false">IF(B25=0,IF(HU25=1,MJ25,MK25),0)</f>
        <v>0</v>
      </c>
      <c r="SQ25" s="20" t="n">
        <f aca="false">IF(FH25=1,IF(HU25=1,MQ25+MT25,FI25-PA25)*(1+Slot15_Rate),0)</f>
        <v>0</v>
      </c>
      <c r="SR25" s="20" t="n">
        <f aca="false">IF(AND(HU25=1,FH25=1),(MP25+MT25)/F25,0)</f>
        <v>0</v>
      </c>
      <c r="SS25" s="20" t="n">
        <f aca="false">IF(B25=0,MP25+MT25,0)</f>
        <v>0</v>
      </c>
      <c r="ST25" s="20" t="n">
        <f aca="false">IF(B25=0,IF(HU25=1,MR25,MS25),0)</f>
        <v>0</v>
      </c>
      <c r="SU25" s="20" t="n">
        <f aca="false">IF(FR25=1,IF(HU25=1,MY25+NB25,FS25-OY25)*(1+Slot16_Rate),0)</f>
        <v>0</v>
      </c>
      <c r="SV25" s="20" t="n">
        <f aca="false">IF(AND(HU25=1,FR25=1),(MX25+NB25)/F25,0)</f>
        <v>0</v>
      </c>
      <c r="SW25" s="20" t="n">
        <f aca="false">IF(B25=0,MX25+NB25,0)</f>
        <v>0</v>
      </c>
      <c r="SX25" s="20" t="n">
        <f aca="false">IF(B25=0,IF(HU25=1,MZ25,NA25),0)</f>
        <v>0</v>
      </c>
      <c r="SY25" s="20" t="n">
        <f aca="false">IF(GB25=1,IF(HU25=1,NG25+NJ25,GC25-OW25)*(1+Slot17_Rate),0)</f>
        <v>0</v>
      </c>
      <c r="SZ25" s="20" t="n">
        <f aca="false">IF(AND(HU25=1,GB25=1),(NF25+NJ25)/F25,0)</f>
        <v>0</v>
      </c>
      <c r="TA25" s="20" t="n">
        <f aca="false">IF(B25=0,NF25+NJ25,0)</f>
        <v>0</v>
      </c>
      <c r="TB25" s="20" t="n">
        <f aca="false">IF(B25=0,IF(HU25=1,NH25,NI25),0)</f>
        <v>0</v>
      </c>
      <c r="TC25" s="20" t="n">
        <f aca="false">IF(GL25=1,IF(HU25=1,NO25+NR25,GM25-OU25)*(1+Slot18_Rate),0)</f>
        <v>0</v>
      </c>
      <c r="TD25" s="20" t="n">
        <f aca="false">IF(AND(HU25=1,GL25=1),(NN25+NR25)/F25,0)</f>
        <v>0</v>
      </c>
      <c r="TE25" s="20" t="n">
        <f aca="false">IF(B25=0,NN25+NR25,0)</f>
        <v>0</v>
      </c>
      <c r="TF25" s="20" t="n">
        <f aca="false">IF(B25=0,IF(HU25=1,NP25,NQ25),0)</f>
        <v>0</v>
      </c>
      <c r="TG25" s="20" t="n">
        <f aca="false">IF(GV25=1,IF(HU25=1,NW25+NZ25,GW25-OS25)*(1+Slot19_Rate),0)</f>
        <v>0</v>
      </c>
      <c r="TH25" s="20" t="n">
        <f aca="false">IF(AND(HU25=1,GV25=1),(NV25+NZ25)/F25,0)</f>
        <v>0</v>
      </c>
      <c r="TI25" s="20" t="n">
        <f aca="false">IF(B25=0,NV25+NZ25,0)</f>
        <v>0</v>
      </c>
      <c r="TJ25" s="20" t="n">
        <f aca="false">IF(B25=0,IF(HU25=1,NX25,NY25),0)</f>
        <v>0</v>
      </c>
      <c r="TK25" s="20" t="n">
        <f aca="false">IF(HF25=1,IF(HU25=1,OE25+OH25,HG25-OQ25)*(1+Slot20_Rate),0)</f>
        <v>0</v>
      </c>
      <c r="TL25" s="20" t="n">
        <f aca="false">IF(AND(HU25=1,HF25=1),(OD25+OH25)/F25,0)</f>
        <v>0</v>
      </c>
      <c r="TM25" s="20" t="n">
        <f aca="false">IF(B25=0,OD25+OH25,0)</f>
        <v>0</v>
      </c>
      <c r="TN25" s="20" t="n">
        <f aca="false">IF(B25=0,IF(HU25=1,OF25,OG25),0)</f>
        <v>0</v>
      </c>
      <c r="TO25" s="20" t="n">
        <f aca="false">QK25+QL25+QM25+QQ25+QU25+QY25+RC25+RG25+RK25+RO25+RS25+RW25+SA25+SE25+SI25+SM25+SQ25+SU25+SY25+TC25+TG25+TK25</f>
        <v>43870.5349799267</v>
      </c>
      <c r="TP25" s="20" t="n">
        <f aca="false">QE25+HP25</f>
        <v>0</v>
      </c>
      <c r="TQ25" s="20" t="n">
        <f aca="false">I25+S25</f>
        <v>77170.8638636591</v>
      </c>
      <c r="TR25" s="20" t="n">
        <f aca="false">1-G25</f>
        <v>0</v>
      </c>
      <c r="TS25" s="20" t="n">
        <f aca="false">IF(AND(RG_Exists=1,G25=0,C25=1),I25,0)</f>
        <v>0</v>
      </c>
      <c r="TT25" s="20" t="n">
        <f aca="false">IF(AND(RG_Exists=1,G25=0,C25=1),I25-MIN(QE25,I25),0)</f>
        <v>0</v>
      </c>
      <c r="TU25" s="20" t="n">
        <f aca="false">'Plan pay &amp; tax'!AD251</f>
        <v>369525.484509278</v>
      </c>
      <c r="TV25" s="20" t="n">
        <f aca="false">IF(AND(C25=1,QE25&gt;MAX(PR_Short1,TQ25*PR_Short2)),1,0)</f>
        <v>0</v>
      </c>
      <c r="TW25" s="20" t="n">
        <f aca="false">MIN(H25,I25+S25)</f>
        <v>77170.8638636591</v>
      </c>
      <c r="TX25" s="20" t="n">
        <f aca="false">QF25+MAX(0,HQ25-HP25)</f>
        <v>40019.8956528291</v>
      </c>
      <c r="TY25" s="20" t="n">
        <f aca="false">QE25+HP25</f>
        <v>0</v>
      </c>
      <c r="TZ25" s="20" t="n">
        <f aca="false">IF(AND(C25=1,TY25&gt;PR_MinShort),1,0)</f>
        <v>0</v>
      </c>
      <c r="UA25" s="20" t="n">
        <f aca="false">IF(AND(C25=1,TZ25=0,TX25&gt;PR_MinShort),1,0)</f>
        <v>1</v>
      </c>
      <c r="UB25" s="20" t="n">
        <f aca="false">IF(AND(C25=1,QE25&gt;PR_MinShort),1,0)</f>
        <v>0</v>
      </c>
      <c r="UC25" s="20" t="n">
        <f aca="false">IF(AND(C25=1,QF25&gt;1,UJ25=0),1,0)</f>
        <v>0</v>
      </c>
      <c r="UD25" s="20" t="str">
        <f aca="false">IF(C25=0,"",IF(UJ25=1,"Gap to plan for: short "&amp;"€"&amp;TEXT(ROUND(TP25,0),"#,##0"),IF(QF25&gt;1,"Using savings","Comfortable")))</f>
        <v>Comfortable</v>
      </c>
      <c r="UE25" s="20" t="n">
        <f aca="false">IF(AND(INT(D25/10)*10=90,B25&gt;0),80,INT(D25/10)*10)</f>
        <v>50</v>
      </c>
      <c r="UF25" s="20" t="n">
        <f aca="false">IF(B25=0,1,IF(UE25&lt;&gt;UE24,UF24+1,UF24))</f>
        <v>3</v>
      </c>
      <c r="UG25" s="20" t="n">
        <f aca="false">IF(AND(C25=1,G25=1,QE25&gt;MAX(PR_Short1,TQ25*PR_Short2)),1,0)</f>
        <v>0</v>
      </c>
      <c r="UH25" s="20" t="n">
        <f aca="false">TR25*TV25</f>
        <v>0</v>
      </c>
      <c r="UI25" s="20" t="n">
        <f aca="false">IF(AND(V25=1,Slot1_PctLow=1),1,0)+IF(AND(AG25=1,Slot2_PctLow=1),1,0)+IF(AND(AQ25=1,Slot3_PctLow=1),1,0)+IF(AND(BA25=1,Slot4_PctLow=1),1,0)+IF(AND(BK25=1,Slot5_PctLow=1),1,0)+IF(AND(BU25=1,Slot6_PctLow=1),1,0)+IF(AND(CE25=1,Slot7_PctLow=1),1,0)+IF(AND(CO25=1,Slot8_PctLow=1),1,0)+IF(AND(CY25=1,Slot9_PctLow=1),1,0)+IF(AND(DI25=1,Slot10_PctLow=1),1,0)+IF(AND(DS25=1,Slot11_PctLow=1),1,0)+IF(AND(EC25=1,Slot12_PctLow=1),1,0)+IF(AND(EM25=1,Slot13_PctLow=1),1,0)+IF(AND(EW25=1,Slot14_PctLow=1),1,0)+IF(AND(FG25=1,Slot15_PctLow=1),1,0)+IF(AND(FQ25=1,Slot16_PctLow=1),1,0)+IF(AND(GA25=1,Slot17_PctLow=1),1,0)+IF(AND(GK25=1,Slot18_PctLow=1),1,0)+IF(AND(GU25=1,Slot19_PctLow=1),1,0)+IF(AND(HE25=1,Slot20_PctLow=1),1,0)</f>
        <v>0</v>
      </c>
      <c r="UJ25" s="20" t="n">
        <f aca="false">IF(C25=1,IF(OR(TV25=1,UI25&gt;0),1,0),0)</f>
        <v>0</v>
      </c>
    </row>
    <row r="26" customFormat="false" ht="15" hidden="false" customHeight="true" outlineLevel="0" collapsed="false">
      <c r="B26" s="20" t="n">
        <v>18</v>
      </c>
      <c r="C26" s="20" t="n">
        <f aca="false">IF(B26&lt;=F_N,1,0)</f>
        <v>1</v>
      </c>
      <c r="D26" s="20" t="n">
        <f aca="false">'Plan pay &amp; tax'!C252</f>
        <v>56</v>
      </c>
      <c r="E26" s="20" t="str">
        <f aca="false">IF($C26=1,"Income tax "&amp;TEXT(N('Plan pay &amp; tax'!BK252),"#,##0")&amp;"; USC "&amp;TEXT(N('Plan pay &amp; tax'!BM252)+N('Plan pay &amp; tax'!BO252),"#,##0")&amp;"; PRSI "&amp;TEXT(N('Plan pay &amp; tax'!BP252)+N('Plan pay &amp; tax'!BQ252),"#,##0")&amp;". DIRT and exit tax are inside the growth rates here.","")</f>
        <v>Income tax 14,611; USC 1,951; PRSI 4,482. DIRT and exit tax are inside the growth rates here.</v>
      </c>
      <c r="F26" s="44" t="n">
        <f aca="false">'Plan pay &amp; tax'!E252</f>
        <v>1.42824624757627</v>
      </c>
      <c r="G26" s="20" t="n">
        <f aca="false">'Plan pay &amp; tax'!G252</f>
        <v>1</v>
      </c>
      <c r="H26" s="20" t="n">
        <f aca="false">'Plan pay &amp; tax'!BT252-'Plan pay &amp; tax'!BS252-'Plan pay &amp; tax'!R252</f>
        <v>100827.211784677</v>
      </c>
      <c r="I26" s="20" t="n">
        <f aca="false">IF(G26=1,F_CostsM*12,IF(RG_Exists=1,RG_Amount,F_CostsM*12*AS_RetireSpend))*F26+F_OneOffY*F26</f>
        <v>64271.0811409323</v>
      </c>
      <c r="J26" s="20" t="n">
        <f aca="false">HR25</f>
        <v>0</v>
      </c>
      <c r="K26" s="20" t="n">
        <f aca="false">IF(J26&gt;1,'Plan debt months'!AC26,0)</f>
        <v>0</v>
      </c>
      <c r="L26" s="20" t="n">
        <f aca="false">IF(J26&gt;1,'Plan debt months'!AB26,J26)</f>
        <v>0</v>
      </c>
      <c r="M26" s="20" t="n">
        <f aca="false">O25</f>
        <v>0</v>
      </c>
      <c r="N26" s="20" t="n">
        <f aca="false">IF(M26&gt;1,'Plan debt months'!BD26,0)</f>
        <v>0</v>
      </c>
      <c r="O26" s="20" t="n">
        <f aca="false">IF(M26&gt;1,'Plan debt months'!BC26,M26)</f>
        <v>0</v>
      </c>
      <c r="P26" s="20" t="n">
        <f aca="false">R25</f>
        <v>0</v>
      </c>
      <c r="Q26" s="20" t="n">
        <f aca="false">IF(P26&gt;1,'Plan debt months'!CE26,0)</f>
        <v>0</v>
      </c>
      <c r="R26" s="20" t="n">
        <f aca="false">IF(P26&gt;1,'Plan debt months'!CD26,P26)</f>
        <v>0</v>
      </c>
      <c r="S26" s="20" t="n">
        <f aca="false">K26+N26+Q26</f>
        <v>0</v>
      </c>
      <c r="T26" s="20" t="n">
        <f aca="false">QK25+'Plan pay &amp; tax'!Y252</f>
        <v>25571.2726472474</v>
      </c>
      <c r="U26" s="20" t="n">
        <f aca="false">QK25</f>
        <v>25571.2726472474</v>
      </c>
      <c r="V26" s="20" t="n">
        <f aca="false">IF(AND(Slot1_On=1,D26=Slot1_Age),1,0)</f>
        <v>0</v>
      </c>
      <c r="W26" s="20" t="n">
        <f aca="false">IF(AND(Slot1_On=1,Slot1_Age&gt;D26),1,0)</f>
        <v>0</v>
      </c>
      <c r="X26" s="20" t="n">
        <f aca="false">QM25</f>
        <v>0</v>
      </c>
      <c r="Y26" s="20" t="n">
        <f aca="false">V26*MIN(Slot1_Cost,X26)</f>
        <v>0</v>
      </c>
      <c r="Z26" s="20" t="n">
        <f aca="false">V26*Slot1_SpendLike*MIN(Slot1_Cost-Y26,T26)</f>
        <v>0</v>
      </c>
      <c r="AA26" s="20" t="n">
        <f aca="false">Y26+Z26</f>
        <v>0</v>
      </c>
      <c r="AB26" s="20" t="n">
        <f aca="false">T26-Z26+V26*IF(Slot1_SpendLike=1,X26-Y26,IF(Slot1_PotFree=1,X26,0))</f>
        <v>25571.2726472474</v>
      </c>
      <c r="AC26" s="20" t="n">
        <f aca="false">AF26+V26*Slot1_BufPot*X26</f>
        <v>18299.2623326792</v>
      </c>
      <c r="AD26" s="20" t="n">
        <f aca="false">IF(AND(V26=1,Slot1_IsMfree=1),IF(AA26&gt;=Slot1_Cost-1,0,MAX(0,L26-AA26)),L26)</f>
        <v>0</v>
      </c>
      <c r="AE26" s="20" t="n">
        <f aca="false">V26*(Slot1_Cost-AA26)</f>
        <v>0</v>
      </c>
      <c r="AF26" s="20" t="n">
        <f aca="false">QL25</f>
        <v>18299.2623326792</v>
      </c>
      <c r="AG26" s="20" t="n">
        <f aca="false">IF(AND(Slot2_On=1,D26=Slot2_Age),1,0)</f>
        <v>0</v>
      </c>
      <c r="AH26" s="20" t="n">
        <f aca="false">IF(AND(Slot2_On=1,Slot2_Age&gt;D26),1,0)</f>
        <v>0</v>
      </c>
      <c r="AI26" s="20" t="n">
        <f aca="false">QQ25</f>
        <v>0</v>
      </c>
      <c r="AJ26" s="20" t="n">
        <f aca="false">AG26*MIN(Slot2_Cost,AI26)</f>
        <v>0</v>
      </c>
      <c r="AK26" s="20" t="n">
        <f aca="false">AG26*Slot2_SpendLike*MIN(Slot2_Cost-AJ26,AB26)</f>
        <v>0</v>
      </c>
      <c r="AL26" s="20" t="n">
        <f aca="false">AJ26+AK26</f>
        <v>0</v>
      </c>
      <c r="AM26" s="20" t="n">
        <f aca="false">AB26-AK26+AG26*IF(Slot2_SpendLike=1,AI26-AJ26,IF(Slot2_PotFree=1,AI26,0))</f>
        <v>25571.2726472474</v>
      </c>
      <c r="AN26" s="20" t="n">
        <f aca="false">AC26+AG26*Slot2_BufPot*AI26</f>
        <v>18299.2623326792</v>
      </c>
      <c r="AO26" s="20" t="n">
        <f aca="false">IF(AND(AG26=1,Slot2_IsMfree=1),IF(AL26&gt;=Slot2_Cost-1,0,MAX(0,AD26-AL26)),AD26)</f>
        <v>0</v>
      </c>
      <c r="AP26" s="20" t="n">
        <f aca="false">AG26*(Slot2_Cost-AL26)</f>
        <v>0</v>
      </c>
      <c r="AQ26" s="20" t="n">
        <f aca="false">IF(AND(Slot3_On=1,D26=Slot3_Age),1,0)</f>
        <v>0</v>
      </c>
      <c r="AR26" s="20" t="n">
        <f aca="false">IF(AND(Slot3_On=1,Slot3_Age&gt;D26),1,0)</f>
        <v>0</v>
      </c>
      <c r="AS26" s="20" t="n">
        <f aca="false">QU25</f>
        <v>0</v>
      </c>
      <c r="AT26" s="20" t="n">
        <f aca="false">AQ26*MIN(Slot3_Cost,AS26)</f>
        <v>0</v>
      </c>
      <c r="AU26" s="20" t="n">
        <f aca="false">AQ26*Slot3_SpendLike*MIN(Slot3_Cost-AT26,AM26)</f>
        <v>0</v>
      </c>
      <c r="AV26" s="20" t="n">
        <f aca="false">AT26+AU26</f>
        <v>0</v>
      </c>
      <c r="AW26" s="20" t="n">
        <f aca="false">AM26-AU26+AQ26*IF(Slot3_SpendLike=1,AS26-AT26,IF(Slot3_PotFree=1,AS26,0))</f>
        <v>25571.2726472474</v>
      </c>
      <c r="AX26" s="20" t="n">
        <f aca="false">AN26+AQ26*Slot3_BufPot*AS26</f>
        <v>18299.2623326792</v>
      </c>
      <c r="AY26" s="20" t="n">
        <f aca="false">IF(AND(AQ26=1,Slot3_IsMfree=1),IF(AV26&gt;=Slot3_Cost-1,0,MAX(0,AO26-AV26)),AO26)</f>
        <v>0</v>
      </c>
      <c r="AZ26" s="20" t="n">
        <f aca="false">AQ26*(Slot3_Cost-AV26)</f>
        <v>0</v>
      </c>
      <c r="BA26" s="20" t="n">
        <f aca="false">IF(AND(Slot4_On=1,D26=Slot4_Age),1,0)</f>
        <v>0</v>
      </c>
      <c r="BB26" s="20" t="n">
        <f aca="false">IF(AND(Slot4_On=1,Slot4_Age&gt;D26),1,0)</f>
        <v>0</v>
      </c>
      <c r="BC26" s="20" t="n">
        <f aca="false">QY25</f>
        <v>0</v>
      </c>
      <c r="BD26" s="20" t="n">
        <f aca="false">BA26*MIN(Slot4_Cost,BC26)</f>
        <v>0</v>
      </c>
      <c r="BE26" s="20" t="n">
        <f aca="false">BA26*Slot4_SpendLike*MIN(Slot4_Cost-BD26,AW26)</f>
        <v>0</v>
      </c>
      <c r="BF26" s="20" t="n">
        <f aca="false">BD26+BE26</f>
        <v>0</v>
      </c>
      <c r="BG26" s="20" t="n">
        <f aca="false">AW26-BE26+BA26*IF(Slot4_SpendLike=1,BC26-BD26,IF(Slot4_PotFree=1,BC26,0))</f>
        <v>25571.2726472474</v>
      </c>
      <c r="BH26" s="20" t="n">
        <f aca="false">AX26+BA26*Slot4_BufPot*BC26</f>
        <v>18299.2623326792</v>
      </c>
      <c r="BI26" s="20" t="n">
        <f aca="false">IF(AND(BA26=1,Slot4_IsMfree=1),IF(BF26&gt;=Slot4_Cost-1,0,MAX(0,AY26-BF26)),AY26)</f>
        <v>0</v>
      </c>
      <c r="BJ26" s="20" t="n">
        <f aca="false">BA26*(Slot4_Cost-BF26)</f>
        <v>0</v>
      </c>
      <c r="BK26" s="20" t="n">
        <f aca="false">IF(AND(Slot5_On=1,D26=Slot5_Age),1,0)</f>
        <v>0</v>
      </c>
      <c r="BL26" s="20" t="n">
        <f aca="false">IF(AND(Slot5_On=1,Slot5_Age&gt;D26),1,0)</f>
        <v>0</v>
      </c>
      <c r="BM26" s="20" t="n">
        <f aca="false">RC25</f>
        <v>0</v>
      </c>
      <c r="BN26" s="20" t="n">
        <f aca="false">BK26*MIN(Slot5_Cost,BM26)</f>
        <v>0</v>
      </c>
      <c r="BO26" s="20" t="n">
        <f aca="false">BK26*Slot5_SpendLike*MIN(Slot5_Cost-BN26,BG26)</f>
        <v>0</v>
      </c>
      <c r="BP26" s="20" t="n">
        <f aca="false">BN26+BO26</f>
        <v>0</v>
      </c>
      <c r="BQ26" s="20" t="n">
        <f aca="false">BG26-BO26+BK26*IF(Slot5_SpendLike=1,BM26-BN26,IF(Slot5_PotFree=1,BM26,0))</f>
        <v>25571.2726472474</v>
      </c>
      <c r="BR26" s="20" t="n">
        <f aca="false">BH26+BK26*Slot5_BufPot*BM26</f>
        <v>18299.2623326792</v>
      </c>
      <c r="BS26" s="20" t="n">
        <f aca="false">IF(AND(BK26=1,Slot5_IsMfree=1),IF(BP26&gt;=Slot5_Cost-1,0,MAX(0,BI26-BP26)),BI26)</f>
        <v>0</v>
      </c>
      <c r="BT26" s="20" t="n">
        <f aca="false">BK26*(Slot5_Cost-BP26)</f>
        <v>0</v>
      </c>
      <c r="BU26" s="20" t="n">
        <f aca="false">IF(AND(Slot6_On=1,D26=Slot6_Age),1,0)</f>
        <v>0</v>
      </c>
      <c r="BV26" s="20" t="n">
        <f aca="false">IF(AND(Slot6_On=1,Slot6_Age&gt;D26),1,0)</f>
        <v>0</v>
      </c>
      <c r="BW26" s="20" t="n">
        <f aca="false">RG25</f>
        <v>0</v>
      </c>
      <c r="BX26" s="20" t="n">
        <f aca="false">BU26*MIN(Slot6_Cost,BW26)</f>
        <v>0</v>
      </c>
      <c r="BY26" s="20" t="n">
        <f aca="false">BU26*Slot6_SpendLike*MIN(Slot6_Cost-BX26,BQ26)</f>
        <v>0</v>
      </c>
      <c r="BZ26" s="20" t="n">
        <f aca="false">BX26+BY26</f>
        <v>0</v>
      </c>
      <c r="CA26" s="20" t="n">
        <f aca="false">BQ26-BY26+BU26*IF(Slot6_SpendLike=1,BW26-BX26,IF(Slot6_PotFree=1,BW26,0))</f>
        <v>25571.2726472474</v>
      </c>
      <c r="CB26" s="20" t="n">
        <f aca="false">BR26+BU26*Slot6_BufPot*BW26</f>
        <v>18299.2623326792</v>
      </c>
      <c r="CC26" s="20" t="n">
        <f aca="false">IF(AND(BU26=1,Slot6_IsMfree=1),IF(BZ26&gt;=Slot6_Cost-1,0,MAX(0,BS26-BZ26)),BS26)</f>
        <v>0</v>
      </c>
      <c r="CD26" s="20" t="n">
        <f aca="false">BU26*(Slot6_Cost-BZ26)</f>
        <v>0</v>
      </c>
      <c r="CE26" s="20" t="n">
        <f aca="false">IF(AND(Slot7_On=1,D26=Slot7_Age),1,0)</f>
        <v>0</v>
      </c>
      <c r="CF26" s="20" t="n">
        <f aca="false">IF(AND(Slot7_On=1,Slot7_Age&gt;D26),1,0)</f>
        <v>0</v>
      </c>
      <c r="CG26" s="20" t="n">
        <f aca="false">RK25</f>
        <v>0</v>
      </c>
      <c r="CH26" s="20" t="n">
        <f aca="false">CE26*MIN(Slot7_Cost,CG26)</f>
        <v>0</v>
      </c>
      <c r="CI26" s="20" t="n">
        <f aca="false">CE26*Slot7_SpendLike*MIN(Slot7_Cost-CH26,CA26)</f>
        <v>0</v>
      </c>
      <c r="CJ26" s="20" t="n">
        <f aca="false">CH26+CI26</f>
        <v>0</v>
      </c>
      <c r="CK26" s="20" t="n">
        <f aca="false">CA26-CI26+CE26*IF(Slot7_SpendLike=1,CG26-CH26,IF(Slot7_PotFree=1,CG26,0))</f>
        <v>25571.2726472474</v>
      </c>
      <c r="CL26" s="20" t="n">
        <f aca="false">CB26+CE26*Slot7_BufPot*CG26</f>
        <v>18299.2623326792</v>
      </c>
      <c r="CM26" s="20" t="n">
        <f aca="false">IF(AND(CE26=1,Slot7_IsMfree=1),IF(CJ26&gt;=Slot7_Cost-1,0,MAX(0,CC26-CJ26)),CC26)</f>
        <v>0</v>
      </c>
      <c r="CN26" s="20" t="n">
        <f aca="false">CE26*(Slot7_Cost-CJ26)</f>
        <v>0</v>
      </c>
      <c r="CO26" s="20" t="n">
        <f aca="false">IF(AND(Slot8_On=1,D26=Slot8_Age),1,0)</f>
        <v>0</v>
      </c>
      <c r="CP26" s="20" t="n">
        <f aca="false">IF(AND(Slot8_On=1,Slot8_Age&gt;D26),1,0)</f>
        <v>0</v>
      </c>
      <c r="CQ26" s="20" t="n">
        <f aca="false">RO25</f>
        <v>0</v>
      </c>
      <c r="CR26" s="20" t="n">
        <f aca="false">CO26*MIN(Slot8_Cost,CQ26)</f>
        <v>0</v>
      </c>
      <c r="CS26" s="20" t="n">
        <f aca="false">CO26*Slot8_SpendLike*MIN(Slot8_Cost-CR26,CK26)</f>
        <v>0</v>
      </c>
      <c r="CT26" s="20" t="n">
        <f aca="false">CR26+CS26</f>
        <v>0</v>
      </c>
      <c r="CU26" s="20" t="n">
        <f aca="false">CK26-CS26+CO26*IF(Slot8_SpendLike=1,CQ26-CR26,IF(Slot8_PotFree=1,CQ26,0))</f>
        <v>25571.2726472474</v>
      </c>
      <c r="CV26" s="20" t="n">
        <f aca="false">CL26+CO26*Slot8_BufPot*CQ26</f>
        <v>18299.2623326792</v>
      </c>
      <c r="CW26" s="20" t="n">
        <f aca="false">IF(AND(CO26=1,Slot8_IsMfree=1),IF(CT26&gt;=Slot8_Cost-1,0,MAX(0,CM26-CT26)),CM26)</f>
        <v>0</v>
      </c>
      <c r="CX26" s="20" t="n">
        <f aca="false">CO26*(Slot8_Cost-CT26)</f>
        <v>0</v>
      </c>
      <c r="CY26" s="20" t="n">
        <f aca="false">IF(AND(Slot9_On=1,D26=Slot9_Age),1,0)</f>
        <v>0</v>
      </c>
      <c r="CZ26" s="20" t="n">
        <f aca="false">IF(AND(Slot9_On=1,Slot9_Age&gt;D26),1,0)</f>
        <v>0</v>
      </c>
      <c r="DA26" s="20" t="n">
        <f aca="false">RS25</f>
        <v>0</v>
      </c>
      <c r="DB26" s="20" t="n">
        <f aca="false">CY26*MIN(Slot9_Cost,DA26)</f>
        <v>0</v>
      </c>
      <c r="DC26" s="20" t="n">
        <f aca="false">CY26*Slot9_SpendLike*MIN(Slot9_Cost-DB26,CU26)</f>
        <v>0</v>
      </c>
      <c r="DD26" s="20" t="n">
        <f aca="false">DB26+DC26</f>
        <v>0</v>
      </c>
      <c r="DE26" s="20" t="n">
        <f aca="false">CU26-DC26+CY26*IF(Slot9_SpendLike=1,DA26-DB26,IF(Slot9_PotFree=1,DA26,0))</f>
        <v>25571.2726472474</v>
      </c>
      <c r="DF26" s="20" t="n">
        <f aca="false">CV26+CY26*Slot9_BufPot*DA26</f>
        <v>18299.2623326792</v>
      </c>
      <c r="DG26" s="20" t="n">
        <f aca="false">IF(AND(CY26=1,Slot9_IsMfree=1),IF(DD26&gt;=Slot9_Cost-1,0,MAX(0,CW26-DD26)),CW26)</f>
        <v>0</v>
      </c>
      <c r="DH26" s="20" t="n">
        <f aca="false">CY26*(Slot9_Cost-DD26)</f>
        <v>0</v>
      </c>
      <c r="DI26" s="20" t="n">
        <f aca="false">IF(AND(Slot10_On=1,D26=Slot10_Age),1,0)</f>
        <v>0</v>
      </c>
      <c r="DJ26" s="20" t="n">
        <f aca="false">IF(AND(Slot10_On=1,Slot10_Age&gt;D26),1,0)</f>
        <v>0</v>
      </c>
      <c r="DK26" s="20" t="n">
        <f aca="false">RW25</f>
        <v>0</v>
      </c>
      <c r="DL26" s="20" t="n">
        <f aca="false">DI26*MIN(Slot10_Cost,DK26)</f>
        <v>0</v>
      </c>
      <c r="DM26" s="20" t="n">
        <f aca="false">DI26*Slot10_SpendLike*MIN(Slot10_Cost-DL26,DE26)</f>
        <v>0</v>
      </c>
      <c r="DN26" s="20" t="n">
        <f aca="false">DL26+DM26</f>
        <v>0</v>
      </c>
      <c r="DO26" s="20" t="n">
        <f aca="false">DE26-DM26+DI26*IF(Slot10_SpendLike=1,DK26-DL26,IF(Slot10_PotFree=1,DK26,0))</f>
        <v>25571.2726472474</v>
      </c>
      <c r="DP26" s="20" t="n">
        <f aca="false">DF26+DI26*Slot10_BufPot*DK26</f>
        <v>18299.2623326792</v>
      </c>
      <c r="DQ26" s="20" t="n">
        <f aca="false">IF(AND(DI26=1,Slot10_IsMfree=1),IF(DN26&gt;=Slot10_Cost-1,0,MAX(0,DG26-DN26)),DG26)</f>
        <v>0</v>
      </c>
      <c r="DR26" s="20" t="n">
        <f aca="false">DI26*(Slot10_Cost-DN26)</f>
        <v>0</v>
      </c>
      <c r="DS26" s="20" t="n">
        <f aca="false">IF(AND(Slot11_On=1,D26=Slot11_Age),1,0)</f>
        <v>0</v>
      </c>
      <c r="DT26" s="20" t="n">
        <f aca="false">IF(AND(Slot11_On=1,Slot11_Age&gt;D26),1,0)</f>
        <v>0</v>
      </c>
      <c r="DU26" s="20" t="n">
        <f aca="false">SA25</f>
        <v>0</v>
      </c>
      <c r="DV26" s="20" t="n">
        <f aca="false">DS26*MIN(Slot11_Cost,DU26)</f>
        <v>0</v>
      </c>
      <c r="DW26" s="20" t="n">
        <f aca="false">DS26*Slot11_SpendLike*MIN(Slot11_Cost-DV26,DO26)</f>
        <v>0</v>
      </c>
      <c r="DX26" s="20" t="n">
        <f aca="false">DV26+DW26</f>
        <v>0</v>
      </c>
      <c r="DY26" s="20" t="n">
        <f aca="false">DO26-DW26+DS26*IF(Slot11_SpendLike=1,DU26-DV26,IF(Slot11_PotFree=1,DU26,0))</f>
        <v>25571.2726472474</v>
      </c>
      <c r="DZ26" s="20" t="n">
        <f aca="false">DP26+DS26*Slot11_BufPot*DU26</f>
        <v>18299.2623326792</v>
      </c>
      <c r="EA26" s="20" t="n">
        <f aca="false">IF(AND(DS26=1,Slot11_IsMfree=1),IF(DX26&gt;=Slot11_Cost-1,0,MAX(0,DQ26-DX26)),DQ26)</f>
        <v>0</v>
      </c>
      <c r="EB26" s="20" t="n">
        <f aca="false">DS26*(Slot11_Cost-DX26)</f>
        <v>0</v>
      </c>
      <c r="EC26" s="20" t="n">
        <f aca="false">IF(AND(Slot12_On=1,D26=Slot12_Age),1,0)</f>
        <v>0</v>
      </c>
      <c r="ED26" s="20" t="n">
        <f aca="false">IF(AND(Slot12_On=1,Slot12_Age&gt;D26),1,0)</f>
        <v>0</v>
      </c>
      <c r="EE26" s="20" t="n">
        <f aca="false">SE25</f>
        <v>0</v>
      </c>
      <c r="EF26" s="20" t="n">
        <f aca="false">EC26*MIN(Slot12_Cost,EE26)</f>
        <v>0</v>
      </c>
      <c r="EG26" s="20" t="n">
        <f aca="false">EC26*Slot12_SpendLike*MIN(Slot12_Cost-EF26,DY26)</f>
        <v>0</v>
      </c>
      <c r="EH26" s="20" t="n">
        <f aca="false">EF26+EG26</f>
        <v>0</v>
      </c>
      <c r="EI26" s="20" t="n">
        <f aca="false">DY26-EG26+EC26*IF(Slot12_SpendLike=1,EE26-EF26,IF(Slot12_PotFree=1,EE26,0))</f>
        <v>25571.2726472474</v>
      </c>
      <c r="EJ26" s="20" t="n">
        <f aca="false">DZ26+EC26*Slot12_BufPot*EE26</f>
        <v>18299.2623326792</v>
      </c>
      <c r="EK26" s="20" t="n">
        <f aca="false">IF(AND(EC26=1,Slot12_IsMfree=1),IF(EH26&gt;=Slot12_Cost-1,0,MAX(0,EA26-EH26)),EA26)</f>
        <v>0</v>
      </c>
      <c r="EL26" s="20" t="n">
        <f aca="false">EC26*(Slot12_Cost-EH26)</f>
        <v>0</v>
      </c>
      <c r="EM26" s="20" t="n">
        <f aca="false">IF(AND(Slot13_On=1,D26=Slot13_Age),1,0)</f>
        <v>0</v>
      </c>
      <c r="EN26" s="20" t="n">
        <f aca="false">IF(AND(Slot13_On=1,Slot13_Age&gt;D26),1,0)</f>
        <v>0</v>
      </c>
      <c r="EO26" s="20" t="n">
        <f aca="false">SI25</f>
        <v>0</v>
      </c>
      <c r="EP26" s="20" t="n">
        <f aca="false">EM26*MIN(Slot13_Cost,EO26)</f>
        <v>0</v>
      </c>
      <c r="EQ26" s="20" t="n">
        <f aca="false">EM26*Slot13_SpendLike*MIN(Slot13_Cost-EP26,EI26)</f>
        <v>0</v>
      </c>
      <c r="ER26" s="20" t="n">
        <f aca="false">EP26+EQ26</f>
        <v>0</v>
      </c>
      <c r="ES26" s="20" t="n">
        <f aca="false">EI26-EQ26+EM26*IF(Slot13_SpendLike=1,EO26-EP26,IF(Slot13_PotFree=1,EO26,0))</f>
        <v>25571.2726472474</v>
      </c>
      <c r="ET26" s="20" t="n">
        <f aca="false">EJ26+EM26*Slot13_BufPot*EO26</f>
        <v>18299.2623326792</v>
      </c>
      <c r="EU26" s="20" t="n">
        <f aca="false">IF(AND(EM26=1,Slot13_IsMfree=1),IF(ER26&gt;=Slot13_Cost-1,0,MAX(0,EK26-ER26)),EK26)</f>
        <v>0</v>
      </c>
      <c r="EV26" s="20" t="n">
        <f aca="false">EM26*(Slot13_Cost-ER26)</f>
        <v>0</v>
      </c>
      <c r="EW26" s="20" t="n">
        <f aca="false">IF(AND(Slot14_On=1,D26=Slot14_Age),1,0)</f>
        <v>0</v>
      </c>
      <c r="EX26" s="20" t="n">
        <f aca="false">IF(AND(Slot14_On=1,Slot14_Age&gt;D26),1,0)</f>
        <v>0</v>
      </c>
      <c r="EY26" s="20" t="n">
        <f aca="false">SM25</f>
        <v>0</v>
      </c>
      <c r="EZ26" s="20" t="n">
        <f aca="false">EW26*MIN(Slot14_Cost,EY26)</f>
        <v>0</v>
      </c>
      <c r="FA26" s="20" t="n">
        <f aca="false">EW26*Slot14_SpendLike*MIN(Slot14_Cost-EZ26,ES26)</f>
        <v>0</v>
      </c>
      <c r="FB26" s="20" t="n">
        <f aca="false">EZ26+FA26</f>
        <v>0</v>
      </c>
      <c r="FC26" s="20" t="n">
        <f aca="false">ES26-FA26+EW26*IF(Slot14_SpendLike=1,EY26-EZ26,IF(Slot14_PotFree=1,EY26,0))</f>
        <v>25571.2726472474</v>
      </c>
      <c r="FD26" s="20" t="n">
        <f aca="false">ET26+EW26*Slot14_BufPot*EY26</f>
        <v>18299.2623326792</v>
      </c>
      <c r="FE26" s="20" t="n">
        <f aca="false">IF(AND(EW26=1,Slot14_IsMfree=1),IF(FB26&gt;=Slot14_Cost-1,0,MAX(0,EU26-FB26)),EU26)</f>
        <v>0</v>
      </c>
      <c r="FF26" s="20" t="n">
        <f aca="false">EW26*(Slot14_Cost-FB26)</f>
        <v>0</v>
      </c>
      <c r="FG26" s="20" t="n">
        <f aca="false">IF(AND(Slot15_On=1,D26=Slot15_Age),1,0)</f>
        <v>0</v>
      </c>
      <c r="FH26" s="20" t="n">
        <f aca="false">IF(AND(Slot15_On=1,Slot15_Age&gt;D26),1,0)</f>
        <v>0</v>
      </c>
      <c r="FI26" s="20" t="n">
        <f aca="false">SQ25</f>
        <v>0</v>
      </c>
      <c r="FJ26" s="20" t="n">
        <f aca="false">FG26*MIN(Slot15_Cost,FI26)</f>
        <v>0</v>
      </c>
      <c r="FK26" s="20" t="n">
        <f aca="false">FG26*Slot15_SpendLike*MIN(Slot15_Cost-FJ26,FC26)</f>
        <v>0</v>
      </c>
      <c r="FL26" s="20" t="n">
        <f aca="false">FJ26+FK26</f>
        <v>0</v>
      </c>
      <c r="FM26" s="20" t="n">
        <f aca="false">FC26-FK26+FG26*IF(Slot15_SpendLike=1,FI26-FJ26,IF(Slot15_PotFree=1,FI26,0))</f>
        <v>25571.2726472474</v>
      </c>
      <c r="FN26" s="20" t="n">
        <f aca="false">FD26+FG26*Slot15_BufPot*FI26</f>
        <v>18299.2623326792</v>
      </c>
      <c r="FO26" s="20" t="n">
        <f aca="false">IF(AND(FG26=1,Slot15_IsMfree=1),IF(FL26&gt;=Slot15_Cost-1,0,MAX(0,FE26-FL26)),FE26)</f>
        <v>0</v>
      </c>
      <c r="FP26" s="20" t="n">
        <f aca="false">FG26*(Slot15_Cost-FL26)</f>
        <v>0</v>
      </c>
      <c r="FQ26" s="20" t="n">
        <f aca="false">IF(AND(Slot16_On=1,D26=Slot16_Age),1,0)</f>
        <v>0</v>
      </c>
      <c r="FR26" s="20" t="n">
        <f aca="false">IF(AND(Slot16_On=1,Slot16_Age&gt;D26),1,0)</f>
        <v>0</v>
      </c>
      <c r="FS26" s="20" t="n">
        <f aca="false">SU25</f>
        <v>0</v>
      </c>
      <c r="FT26" s="20" t="n">
        <f aca="false">FQ26*MIN(Slot16_Cost,FS26)</f>
        <v>0</v>
      </c>
      <c r="FU26" s="20" t="n">
        <f aca="false">FQ26*Slot16_SpendLike*MIN(Slot16_Cost-FT26,FM26)</f>
        <v>0</v>
      </c>
      <c r="FV26" s="20" t="n">
        <f aca="false">FT26+FU26</f>
        <v>0</v>
      </c>
      <c r="FW26" s="20" t="n">
        <f aca="false">FM26-FU26+FQ26*IF(Slot16_SpendLike=1,FS26-FT26,IF(Slot16_PotFree=1,FS26,0))</f>
        <v>25571.2726472474</v>
      </c>
      <c r="FX26" s="20" t="n">
        <f aca="false">FN26+FQ26*Slot16_BufPot*FS26</f>
        <v>18299.2623326792</v>
      </c>
      <c r="FY26" s="20" t="n">
        <f aca="false">IF(AND(FQ26=1,Slot16_IsMfree=1),IF(FV26&gt;=Slot16_Cost-1,0,MAX(0,FO26-FV26)),FO26)</f>
        <v>0</v>
      </c>
      <c r="FZ26" s="20" t="n">
        <f aca="false">FQ26*(Slot16_Cost-FV26)</f>
        <v>0</v>
      </c>
      <c r="GA26" s="20" t="n">
        <f aca="false">IF(AND(Slot17_On=1,D26=Slot17_Age),1,0)</f>
        <v>0</v>
      </c>
      <c r="GB26" s="20" t="n">
        <f aca="false">IF(AND(Slot17_On=1,Slot17_Age&gt;D26),1,0)</f>
        <v>0</v>
      </c>
      <c r="GC26" s="20" t="n">
        <f aca="false">SY25</f>
        <v>0</v>
      </c>
      <c r="GD26" s="20" t="n">
        <f aca="false">GA26*MIN(Slot17_Cost,GC26)</f>
        <v>0</v>
      </c>
      <c r="GE26" s="20" t="n">
        <f aca="false">GA26*Slot17_SpendLike*MIN(Slot17_Cost-GD26,FW26)</f>
        <v>0</v>
      </c>
      <c r="GF26" s="20" t="n">
        <f aca="false">GD26+GE26</f>
        <v>0</v>
      </c>
      <c r="GG26" s="20" t="n">
        <f aca="false">FW26-GE26+GA26*IF(Slot17_SpendLike=1,GC26-GD26,IF(Slot17_PotFree=1,GC26,0))</f>
        <v>25571.2726472474</v>
      </c>
      <c r="GH26" s="20" t="n">
        <f aca="false">FX26+GA26*Slot17_BufPot*GC26</f>
        <v>18299.2623326792</v>
      </c>
      <c r="GI26" s="20" t="n">
        <f aca="false">IF(AND(GA26=1,Slot17_IsMfree=1),IF(GF26&gt;=Slot17_Cost-1,0,MAX(0,FY26-GF26)),FY26)</f>
        <v>0</v>
      </c>
      <c r="GJ26" s="20" t="n">
        <f aca="false">GA26*(Slot17_Cost-GF26)</f>
        <v>0</v>
      </c>
      <c r="GK26" s="20" t="n">
        <f aca="false">IF(AND(Slot18_On=1,D26=Slot18_Age),1,0)</f>
        <v>0</v>
      </c>
      <c r="GL26" s="20" t="n">
        <f aca="false">IF(AND(Slot18_On=1,Slot18_Age&gt;D26),1,0)</f>
        <v>0</v>
      </c>
      <c r="GM26" s="20" t="n">
        <f aca="false">TC25</f>
        <v>0</v>
      </c>
      <c r="GN26" s="20" t="n">
        <f aca="false">GK26*MIN(Slot18_Cost,GM26)</f>
        <v>0</v>
      </c>
      <c r="GO26" s="20" t="n">
        <f aca="false">GK26*Slot18_SpendLike*MIN(Slot18_Cost-GN26,GG26)</f>
        <v>0</v>
      </c>
      <c r="GP26" s="20" t="n">
        <f aca="false">GN26+GO26</f>
        <v>0</v>
      </c>
      <c r="GQ26" s="20" t="n">
        <f aca="false">GG26-GO26+GK26*IF(Slot18_SpendLike=1,GM26-GN26,IF(Slot18_PotFree=1,GM26,0))</f>
        <v>25571.2726472474</v>
      </c>
      <c r="GR26" s="20" t="n">
        <f aca="false">GH26+GK26*Slot18_BufPot*GM26</f>
        <v>18299.2623326792</v>
      </c>
      <c r="GS26" s="20" t="n">
        <f aca="false">IF(AND(GK26=1,Slot18_IsMfree=1),IF(GP26&gt;=Slot18_Cost-1,0,MAX(0,GI26-GP26)),GI26)</f>
        <v>0</v>
      </c>
      <c r="GT26" s="20" t="n">
        <f aca="false">GK26*(Slot18_Cost-GP26)</f>
        <v>0</v>
      </c>
      <c r="GU26" s="20" t="n">
        <f aca="false">IF(AND(Slot19_On=1,D26=Slot19_Age),1,0)</f>
        <v>0</v>
      </c>
      <c r="GV26" s="20" t="n">
        <f aca="false">IF(AND(Slot19_On=1,Slot19_Age&gt;D26),1,0)</f>
        <v>0</v>
      </c>
      <c r="GW26" s="20" t="n">
        <f aca="false">TG25</f>
        <v>0</v>
      </c>
      <c r="GX26" s="20" t="n">
        <f aca="false">GU26*MIN(Slot19_Cost,GW26)</f>
        <v>0</v>
      </c>
      <c r="GY26" s="20" t="n">
        <f aca="false">GU26*Slot19_SpendLike*MIN(Slot19_Cost-GX26,GQ26)</f>
        <v>0</v>
      </c>
      <c r="GZ26" s="20" t="n">
        <f aca="false">GX26+GY26</f>
        <v>0</v>
      </c>
      <c r="HA26" s="20" t="n">
        <f aca="false">GQ26-GY26+GU26*IF(Slot19_SpendLike=1,GW26-GX26,IF(Slot19_PotFree=1,GW26,0))</f>
        <v>25571.2726472474</v>
      </c>
      <c r="HB26" s="20" t="n">
        <f aca="false">GR26+GU26*Slot19_BufPot*GW26</f>
        <v>18299.2623326792</v>
      </c>
      <c r="HC26" s="20" t="n">
        <f aca="false">IF(AND(GU26=1,Slot19_IsMfree=1),IF(GZ26&gt;=Slot19_Cost-1,0,MAX(0,GS26-GZ26)),GS26)</f>
        <v>0</v>
      </c>
      <c r="HD26" s="20" t="n">
        <f aca="false">GU26*(Slot19_Cost-GZ26)</f>
        <v>0</v>
      </c>
      <c r="HE26" s="20" t="n">
        <f aca="false">IF(AND(Slot20_On=1,D26=Slot20_Age),1,0)</f>
        <v>0</v>
      </c>
      <c r="HF26" s="20" t="n">
        <f aca="false">IF(AND(Slot20_On=1,Slot20_Age&gt;D26),1,0)</f>
        <v>0</v>
      </c>
      <c r="HG26" s="20" t="n">
        <f aca="false">TK25</f>
        <v>0</v>
      </c>
      <c r="HH26" s="20" t="n">
        <f aca="false">HE26*MIN(Slot20_Cost,HG26)</f>
        <v>0</v>
      </c>
      <c r="HI26" s="20" t="n">
        <f aca="false">HE26*Slot20_SpendLike*MIN(Slot20_Cost-HH26,HA26)</f>
        <v>0</v>
      </c>
      <c r="HJ26" s="20" t="n">
        <f aca="false">HH26+HI26</f>
        <v>0</v>
      </c>
      <c r="HK26" s="20" t="n">
        <f aca="false">HA26-HI26+HE26*IF(Slot20_SpendLike=1,HG26-HH26,IF(Slot20_PotFree=1,HG26,0))</f>
        <v>25571.2726472474</v>
      </c>
      <c r="HL26" s="20" t="n">
        <f aca="false">HB26+HE26*Slot20_BufPot*HG26</f>
        <v>18299.2623326792</v>
      </c>
      <c r="HM26" s="20" t="n">
        <f aca="false">IF(AND(HE26=1,Slot20_IsMfree=1),IF(HJ26&gt;=Slot20_Cost-1,0,MAX(0,HC26-HJ26)),HC26)</f>
        <v>0</v>
      </c>
      <c r="HN26" s="20" t="n">
        <f aca="false">HE26*(Slot20_Cost-HJ26)</f>
        <v>0</v>
      </c>
      <c r="HO26" s="20" t="n">
        <f aca="false">V26*Slot1_SpendLike*AA26+AG26*Slot2_SpendLike*AL26+AQ26*Slot3_SpendLike*AV26+BA26*Slot4_SpendLike*BF26+BK26*Slot5_SpendLike*BP26+BU26*Slot6_SpendLike*BZ26+CE26*Slot7_SpendLike*CJ26+CO26*Slot8_SpendLike*CT26+CY26*Slot9_SpendLike*DD26+DI26*Slot10_SpendLike*DN26+DS26*Slot11_SpendLike*DX26+EC26*Slot12_SpendLike*EH26+EM26*Slot13_SpendLike*ER26+EW26*Slot14_SpendLike*FB26+FG26*Slot15_SpendLike*FL26+FQ26*Slot16_SpendLike*FV26+GA26*Slot17_SpendLike*GF26+GK26*Slot18_SpendLike*GP26+GU26*Slot19_SpendLike*GZ26+HE26*Slot20_SpendLike*HJ26</f>
        <v>0</v>
      </c>
      <c r="HP26" s="20" t="n">
        <f aca="false">AE26+AP26+AZ26+BJ26+BT26+CD26+CN26+CX26+DH26+DR26+EB26+EL26+EV26+FF26+FP26+FZ26+GJ26+GT26+HD26+HN26</f>
        <v>0</v>
      </c>
      <c r="HQ26" s="20" t="n">
        <f aca="false">V26*Slot1_Cost+AG26*Slot2_Cost+AQ26*Slot3_Cost+BA26*Slot4_Cost+BK26*Slot5_Cost+BU26*Slot6_Cost+CE26*Slot7_Cost+CO26*Slot8_Cost+CY26*Slot9_Cost+DI26*Slot10_Cost+DS26*Slot11_Cost+EC26*Slot12_Cost+EM26*Slot13_Cost+EW26*Slot14_Cost+FG26*Slot15_Cost+FQ26*Slot16_Cost+GA26*Slot17_Cost+GK26*Slot18_Cost+GU26*Slot19_Cost+HE26*Slot20_Cost</f>
        <v>0</v>
      </c>
      <c r="HR26" s="20" t="n">
        <f aca="false">HM26</f>
        <v>0</v>
      </c>
      <c r="HS26" s="20" t="n">
        <f aca="false">H26-I26-S26</f>
        <v>36556.1306437449</v>
      </c>
      <c r="HT26" s="20" t="n">
        <f aca="false">IF(B26=0,IF(AND(Has_q6=1,In_q6=4),PR_ShareVaries*(MAX(0,HS26)/12),MIN(IF(Has_q6=1,CHOOSE(In_q6+1,PR_SaveB1,PR_SaveB2,PR_SaveB3,PR_SaveB4,0),AS_NoAnswer),AS_SaveShare*(MAX(0,HS26)/12))),HT25)</f>
        <v>62.3316893520437</v>
      </c>
      <c r="HU26" s="20" t="n">
        <f aca="false">IF(HS26&gt;=0,1,0)</f>
        <v>1</v>
      </c>
      <c r="HV26" s="20" t="n">
        <f aca="false">MAX(0,HS26/12/F26)</f>
        <v>2132.92646522384</v>
      </c>
      <c r="HW26" s="20" t="n">
        <f aca="false">IF(AND(Has_q6=1,In_q6=4),PR_ShareVaries*(HV26),MIN(IF(Has_q6=1,CHOOSE(In_q6+1,PR_SaveB1,PR_SaveB2,PR_SaveB3,PR_SaveB4,0),AS_NoAnswer),AS_SaveShare*(HV26)))</f>
        <v>500</v>
      </c>
      <c r="HX26" s="20" t="n">
        <f aca="false">IF(Has_saveM=1,IF(In_saveUp="Yes",1,IF(In_saveUp="No",0,IF(In_saveM&gt;=HT26-0.5,1,0))),0)</f>
        <v>0</v>
      </c>
      <c r="HY26" s="20" t="n">
        <f aca="false">IF(Has_saveM=1,MIN(HV26,IF(HX26=1,MAX(In_saveM,HW26),MIN(In_saveM,HW26))),HW26)</f>
        <v>500</v>
      </c>
      <c r="HZ26" s="20" t="n">
        <f aca="false">IF(G26=1,HY26*12*F26,0)</f>
        <v>8569.47748545764</v>
      </c>
      <c r="IA26" s="20" t="n">
        <f aca="false">MAX(0,HZ26+IF(AND(WI_Retire=0,WI_M&lt;0,G26=1),WI_M*12*F26,0))</f>
        <v>8569.47748545764</v>
      </c>
      <c r="IB26" s="20" t="n">
        <f aca="false">Slot1_IsWG*W26+Slot2_IsWG*AH26+Slot3_IsWG*AR26+Slot4_IsWG*BB26+Slot5_IsWG*BL26+Slot6_IsWG*BV26+Slot7_IsWG*CF26+Slot8_IsWG*CP26+Slot9_IsWG*CZ26+Slot10_IsWG*DJ26+Slot11_IsWG*DT26+Slot12_IsWG*ED26+Slot13_IsWG*EN26+Slot14_IsWG*EX26+Slot15_IsWG*FH26+Slot16_IsWG*FR26+Slot17_IsWG*GB26+Slot18_IsWG*GL26+Slot19_IsWG*GV26+Slot20_IsWG*HF26</f>
        <v>0</v>
      </c>
      <c r="IC26" s="20" t="n">
        <f aca="false">IF(AND(WI_Retire=0,WI_M&gt;0,G26=1,IB26&gt;=1),WI_M*12*F26,0)</f>
        <v>0</v>
      </c>
      <c r="ID26" s="20" t="n">
        <f aca="false">IF(HU26=1,MIN(IA26,HS26),0)</f>
        <v>8569.47748545764</v>
      </c>
      <c r="IE26" s="20" t="n">
        <f aca="false">IF(HU26=1,MIN(IC26,HS26-ID26),0)</f>
        <v>0</v>
      </c>
      <c r="IF26" s="20" t="n">
        <f aca="false">IF(W26=1,IF(ABS((1+AS_Wage)/(1+Slot1_Rate)-1)&lt;0.000000000001,(Slot1_Age-D26)*(1+Slot1_Rate)^(Slot1_Age-D26),(1+Slot1_Rate)^(Slot1_Age-D26)*(1-((1+AS_Wage)/(1+Slot1_Rate))^(Slot1_Age-D26))/(1-(1+AS_Wage)/(1+Slot1_Rate))),1)</f>
        <v>1</v>
      </c>
      <c r="IG26" s="20" t="n">
        <f aca="false">IF(AND(HU26=1,IE26&gt;0,Slot1_IsWG=1,W26=1),MAX(0,(Slot1_Cost-X26*(1+Slot1_Rate)^(Slot1_Age-D26))/IF26),0)</f>
        <v>0</v>
      </c>
      <c r="IH26" s="20" t="n">
        <f aca="false">IF(AND(HU26=1,IE26&gt;0,Slot1_IsWG=1,W26=1),MIN(IE26,IG26),0)</f>
        <v>0</v>
      </c>
      <c r="II26" s="20" t="n">
        <f aca="false">X26+IH26</f>
        <v>0</v>
      </c>
      <c r="IJ26" s="20" t="n">
        <f aca="false">IF(W26=1,MAX(0,(Slot1_Cost-II26*(1+Slot1_Rate)^(Slot1_Age-D26))/IF26),0)</f>
        <v>0</v>
      </c>
      <c r="IK26" s="20" t="n">
        <f aca="false">IF(W26=1,MAX(0,(Slot1_Cost-X26*(1+Slot1_Rate)^(Slot1_Age-D26))/IF26),0)</f>
        <v>0</v>
      </c>
      <c r="IL26" s="20" t="n">
        <f aca="false">IF(AND(HU26=1,W26=1),MIN(ID26,IJ26),0)</f>
        <v>0</v>
      </c>
      <c r="IM26" s="20" t="n">
        <f aca="false">ID26-IL26</f>
        <v>8569.47748545764</v>
      </c>
      <c r="IN26" s="20" t="n">
        <f aca="false">IF(AH26=1,IF(ABS((1+AS_Wage)/(1+Slot2_Rate)-1)&lt;0.000000000001,(Slot2_Age-D26)*(1+Slot2_Rate)^(Slot2_Age-D26),(1+Slot2_Rate)^(Slot2_Age-D26)*(1-((1+AS_Wage)/(1+Slot2_Rate))^(Slot2_Age-D26))/(1-(1+AS_Wage)/(1+Slot2_Rate))),1)</f>
        <v>1</v>
      </c>
      <c r="IO26" s="20" t="n">
        <f aca="false">IF(AND(HU26=1,IE26&gt;0,Slot2_IsWG=1,AH26=1),MAX(0,(Slot2_Cost-AI26*(1+Slot2_Rate)^(Slot2_Age-D26))/IN26),0)</f>
        <v>0</v>
      </c>
      <c r="IP26" s="20" t="n">
        <f aca="false">IF(AND(HU26=1,IE26&gt;0,Slot2_IsWG=1,AH26=1),MIN(IE26,IO26),0)</f>
        <v>0</v>
      </c>
      <c r="IQ26" s="20" t="n">
        <f aca="false">AI26+IP26</f>
        <v>0</v>
      </c>
      <c r="IR26" s="20" t="n">
        <f aca="false">IF(AH26=1,MAX(0,(Slot2_Cost-IQ26*(1+Slot2_Rate)^(Slot2_Age-D26))/IN26),0)</f>
        <v>0</v>
      </c>
      <c r="IS26" s="20" t="n">
        <f aca="false">IF(AH26=1,MAX(0,(Slot2_Cost-AI26*(1+Slot2_Rate)^(Slot2_Age-D26))/IN26),0)</f>
        <v>0</v>
      </c>
      <c r="IT26" s="20" t="n">
        <f aca="false">IF(AND(HU26=1,AH26=1),MIN(IM26,IR26),0)</f>
        <v>0</v>
      </c>
      <c r="IU26" s="20" t="n">
        <f aca="false">IM26-IT26</f>
        <v>8569.47748545764</v>
      </c>
      <c r="IV26" s="20" t="n">
        <f aca="false">IF(AR26=1,IF(ABS((1+AS_Wage)/(1+Slot3_Rate)-1)&lt;0.000000000001,(Slot3_Age-D26)*(1+Slot3_Rate)^(Slot3_Age-D26),(1+Slot3_Rate)^(Slot3_Age-D26)*(1-((1+AS_Wage)/(1+Slot3_Rate))^(Slot3_Age-D26))/(1-(1+AS_Wage)/(1+Slot3_Rate))),1)</f>
        <v>1</v>
      </c>
      <c r="IW26" s="20" t="n">
        <f aca="false">IF(AND(HU26=1,IE26&gt;0,Slot3_IsWG=1,AR26=1),MAX(0,(Slot3_Cost-AS26*(1+Slot3_Rate)^(Slot3_Age-D26))/IV26),0)</f>
        <v>0</v>
      </c>
      <c r="IX26" s="20" t="n">
        <f aca="false">IF(AND(HU26=1,IE26&gt;0,Slot3_IsWG=1,AR26=1),MIN(IE26,IW26),0)</f>
        <v>0</v>
      </c>
      <c r="IY26" s="20" t="n">
        <f aca="false">AS26+IX26</f>
        <v>0</v>
      </c>
      <c r="IZ26" s="20" t="n">
        <f aca="false">IF(AR26=1,MAX(0,(Slot3_Cost-IY26*(1+Slot3_Rate)^(Slot3_Age-D26))/IV26),0)</f>
        <v>0</v>
      </c>
      <c r="JA26" s="20" t="n">
        <f aca="false">IF(AR26=1,MAX(0,(Slot3_Cost-AS26*(1+Slot3_Rate)^(Slot3_Age-D26))/IV26),0)</f>
        <v>0</v>
      </c>
      <c r="JB26" s="20" t="n">
        <f aca="false">IF(AND(HU26=1,AR26=1),MIN(IU26,IZ26),0)</f>
        <v>0</v>
      </c>
      <c r="JC26" s="20" t="n">
        <f aca="false">IU26-JB26</f>
        <v>8569.47748545764</v>
      </c>
      <c r="JD26" s="20" t="n">
        <f aca="false">IF(BB26=1,IF(ABS((1+AS_Wage)/(1+Slot4_Rate)-1)&lt;0.000000000001,(Slot4_Age-D26)*(1+Slot4_Rate)^(Slot4_Age-D26),(1+Slot4_Rate)^(Slot4_Age-D26)*(1-((1+AS_Wage)/(1+Slot4_Rate))^(Slot4_Age-D26))/(1-(1+AS_Wage)/(1+Slot4_Rate))),1)</f>
        <v>1</v>
      </c>
      <c r="JE26" s="20" t="n">
        <f aca="false">IF(AND(HU26=1,IE26&gt;0,Slot4_IsWG=1,BB26=1),MAX(0,(Slot4_Cost-BC26*(1+Slot4_Rate)^(Slot4_Age-D26))/JD26),0)</f>
        <v>0</v>
      </c>
      <c r="JF26" s="20" t="n">
        <f aca="false">IF(AND(HU26=1,IE26&gt;0,Slot4_IsWG=1,BB26=1),MIN(IE26,JE26),0)</f>
        <v>0</v>
      </c>
      <c r="JG26" s="20" t="n">
        <f aca="false">BC26+JF26</f>
        <v>0</v>
      </c>
      <c r="JH26" s="20" t="n">
        <f aca="false">IF(BB26=1,MAX(0,(Slot4_Cost-JG26*(1+Slot4_Rate)^(Slot4_Age-D26))/JD26),0)</f>
        <v>0</v>
      </c>
      <c r="JI26" s="20" t="n">
        <f aca="false">IF(BB26=1,MAX(0,(Slot4_Cost-BC26*(1+Slot4_Rate)^(Slot4_Age-D26))/JD26),0)</f>
        <v>0</v>
      </c>
      <c r="JJ26" s="20" t="n">
        <f aca="false">IF(AND(HU26=1,BB26=1),MIN(JC26,JH26),0)</f>
        <v>0</v>
      </c>
      <c r="JK26" s="20" t="n">
        <f aca="false">JC26-JJ26</f>
        <v>8569.47748545764</v>
      </c>
      <c r="JL26" s="20" t="n">
        <f aca="false">IF(BL26=1,IF(ABS((1+AS_Wage)/(1+Slot5_Rate)-1)&lt;0.000000000001,(Slot5_Age-D26)*(1+Slot5_Rate)^(Slot5_Age-D26),(1+Slot5_Rate)^(Slot5_Age-D26)*(1-((1+AS_Wage)/(1+Slot5_Rate))^(Slot5_Age-D26))/(1-(1+AS_Wage)/(1+Slot5_Rate))),1)</f>
        <v>1</v>
      </c>
      <c r="JM26" s="20" t="n">
        <f aca="false">IF(AND(HU26=1,IE26&gt;0,Slot5_IsWG=1,BL26=1),MAX(0,(Slot5_Cost-BM26*(1+Slot5_Rate)^(Slot5_Age-D26))/JL26),0)</f>
        <v>0</v>
      </c>
      <c r="JN26" s="20" t="n">
        <f aca="false">IF(AND(HU26=1,IE26&gt;0,Slot5_IsWG=1,BL26=1),MIN(IE26,JM26),0)</f>
        <v>0</v>
      </c>
      <c r="JO26" s="20" t="n">
        <f aca="false">BM26+JN26</f>
        <v>0</v>
      </c>
      <c r="JP26" s="20" t="n">
        <f aca="false">IF(BL26=1,MAX(0,(Slot5_Cost-JO26*(1+Slot5_Rate)^(Slot5_Age-D26))/JL26),0)</f>
        <v>0</v>
      </c>
      <c r="JQ26" s="20" t="n">
        <f aca="false">IF(BL26=1,MAX(0,(Slot5_Cost-BM26*(1+Slot5_Rate)^(Slot5_Age-D26))/JL26),0)</f>
        <v>0</v>
      </c>
      <c r="JR26" s="20" t="n">
        <f aca="false">IF(AND(HU26=1,BL26=1),MIN(JK26,JP26),0)</f>
        <v>0</v>
      </c>
      <c r="JS26" s="20" t="n">
        <f aca="false">JK26-JR26</f>
        <v>8569.47748545764</v>
      </c>
      <c r="JT26" s="20" t="n">
        <f aca="false">IF(BV26=1,IF(ABS((1+AS_Wage)/(1+Slot6_Rate)-1)&lt;0.000000000001,(Slot6_Age-D26)*(1+Slot6_Rate)^(Slot6_Age-D26),(1+Slot6_Rate)^(Slot6_Age-D26)*(1-((1+AS_Wage)/(1+Slot6_Rate))^(Slot6_Age-D26))/(1-(1+AS_Wage)/(1+Slot6_Rate))),1)</f>
        <v>1</v>
      </c>
      <c r="JU26" s="20" t="n">
        <f aca="false">IF(AND(HU26=1,IE26&gt;0,Slot6_IsWG=1,BV26=1),MAX(0,(Slot6_Cost-BW26*(1+Slot6_Rate)^(Slot6_Age-D26))/JT26),0)</f>
        <v>0</v>
      </c>
      <c r="JV26" s="20" t="n">
        <f aca="false">IF(AND(HU26=1,IE26&gt;0,Slot6_IsWG=1,BV26=1),MIN(IE26,JU26),0)</f>
        <v>0</v>
      </c>
      <c r="JW26" s="20" t="n">
        <f aca="false">BW26+JV26</f>
        <v>0</v>
      </c>
      <c r="JX26" s="20" t="n">
        <f aca="false">IF(BV26=1,MAX(0,(Slot6_Cost-JW26*(1+Slot6_Rate)^(Slot6_Age-D26))/JT26),0)</f>
        <v>0</v>
      </c>
      <c r="JY26" s="20" t="n">
        <f aca="false">IF(BV26=1,MAX(0,(Slot6_Cost-BW26*(1+Slot6_Rate)^(Slot6_Age-D26))/JT26),0)</f>
        <v>0</v>
      </c>
      <c r="JZ26" s="20" t="n">
        <f aca="false">IF(AND(HU26=1,BV26=1),MIN(JS26,JX26),0)</f>
        <v>0</v>
      </c>
      <c r="KA26" s="20" t="n">
        <f aca="false">JS26-JZ26</f>
        <v>8569.47748545764</v>
      </c>
      <c r="KB26" s="20" t="n">
        <f aca="false">IF(CF26=1,IF(ABS((1+AS_Wage)/(1+Slot7_Rate)-1)&lt;0.000000000001,(Slot7_Age-D26)*(1+Slot7_Rate)^(Slot7_Age-D26),(1+Slot7_Rate)^(Slot7_Age-D26)*(1-((1+AS_Wage)/(1+Slot7_Rate))^(Slot7_Age-D26))/(1-(1+AS_Wage)/(1+Slot7_Rate))),1)</f>
        <v>1</v>
      </c>
      <c r="KC26" s="20" t="n">
        <f aca="false">IF(AND(HU26=1,IE26&gt;0,Slot7_IsWG=1,CF26=1),MAX(0,(Slot7_Cost-CG26*(1+Slot7_Rate)^(Slot7_Age-D26))/KB26),0)</f>
        <v>0</v>
      </c>
      <c r="KD26" s="20" t="n">
        <f aca="false">IF(AND(HU26=1,IE26&gt;0,Slot7_IsWG=1,CF26=1),MIN(IE26,KC26),0)</f>
        <v>0</v>
      </c>
      <c r="KE26" s="20" t="n">
        <f aca="false">CG26+KD26</f>
        <v>0</v>
      </c>
      <c r="KF26" s="20" t="n">
        <f aca="false">IF(CF26=1,MAX(0,(Slot7_Cost-KE26*(1+Slot7_Rate)^(Slot7_Age-D26))/KB26),0)</f>
        <v>0</v>
      </c>
      <c r="KG26" s="20" t="n">
        <f aca="false">IF(CF26=1,MAX(0,(Slot7_Cost-CG26*(1+Slot7_Rate)^(Slot7_Age-D26))/KB26),0)</f>
        <v>0</v>
      </c>
      <c r="KH26" s="20" t="n">
        <f aca="false">IF(AND(HU26=1,CF26=1),MIN(KA26,KF26),0)</f>
        <v>0</v>
      </c>
      <c r="KI26" s="20" t="n">
        <f aca="false">KA26-KH26</f>
        <v>8569.47748545764</v>
      </c>
      <c r="KJ26" s="20" t="n">
        <f aca="false">IF(CP26=1,IF(ABS((1+AS_Wage)/(1+Slot8_Rate)-1)&lt;0.000000000001,(Slot8_Age-D26)*(1+Slot8_Rate)^(Slot8_Age-D26),(1+Slot8_Rate)^(Slot8_Age-D26)*(1-((1+AS_Wage)/(1+Slot8_Rate))^(Slot8_Age-D26))/(1-(1+AS_Wage)/(1+Slot8_Rate))),1)</f>
        <v>1</v>
      </c>
      <c r="KK26" s="20" t="n">
        <f aca="false">IF(AND(HU26=1,IE26&gt;0,Slot8_IsWG=1,CP26=1),MAX(0,(Slot8_Cost-CQ26*(1+Slot8_Rate)^(Slot8_Age-D26))/KJ26),0)</f>
        <v>0</v>
      </c>
      <c r="KL26" s="20" t="n">
        <f aca="false">IF(AND(HU26=1,IE26&gt;0,Slot8_IsWG=1,CP26=1),MIN(IE26,KK26),0)</f>
        <v>0</v>
      </c>
      <c r="KM26" s="20" t="n">
        <f aca="false">CQ26+KL26</f>
        <v>0</v>
      </c>
      <c r="KN26" s="20" t="n">
        <f aca="false">IF(CP26=1,MAX(0,(Slot8_Cost-KM26*(1+Slot8_Rate)^(Slot8_Age-D26))/KJ26),0)</f>
        <v>0</v>
      </c>
      <c r="KO26" s="20" t="n">
        <f aca="false">IF(CP26=1,MAX(0,(Slot8_Cost-CQ26*(1+Slot8_Rate)^(Slot8_Age-D26))/KJ26),0)</f>
        <v>0</v>
      </c>
      <c r="KP26" s="20" t="n">
        <f aca="false">IF(AND(HU26=1,CP26=1),MIN(KI26,KN26),0)</f>
        <v>0</v>
      </c>
      <c r="KQ26" s="20" t="n">
        <f aca="false">KI26-KP26</f>
        <v>8569.47748545764</v>
      </c>
      <c r="KR26" s="20" t="n">
        <f aca="false">IF(CZ26=1,IF(ABS((1+AS_Wage)/(1+Slot9_Rate)-1)&lt;0.000000000001,(Slot9_Age-D26)*(1+Slot9_Rate)^(Slot9_Age-D26),(1+Slot9_Rate)^(Slot9_Age-D26)*(1-((1+AS_Wage)/(1+Slot9_Rate))^(Slot9_Age-D26))/(1-(1+AS_Wage)/(1+Slot9_Rate))),1)</f>
        <v>1</v>
      </c>
      <c r="KS26" s="20" t="n">
        <f aca="false">IF(AND(HU26=1,IE26&gt;0,Slot9_IsWG=1,CZ26=1),MAX(0,(Slot9_Cost-DA26*(1+Slot9_Rate)^(Slot9_Age-D26))/KR26),0)</f>
        <v>0</v>
      </c>
      <c r="KT26" s="20" t="n">
        <f aca="false">IF(AND(HU26=1,IE26&gt;0,Slot9_IsWG=1,CZ26=1),MIN(IE26,KS26),0)</f>
        <v>0</v>
      </c>
      <c r="KU26" s="20" t="n">
        <f aca="false">DA26+KT26</f>
        <v>0</v>
      </c>
      <c r="KV26" s="20" t="n">
        <f aca="false">IF(CZ26=1,MAX(0,(Slot9_Cost-KU26*(1+Slot9_Rate)^(Slot9_Age-D26))/KR26),0)</f>
        <v>0</v>
      </c>
      <c r="KW26" s="20" t="n">
        <f aca="false">IF(CZ26=1,MAX(0,(Slot9_Cost-DA26*(1+Slot9_Rate)^(Slot9_Age-D26))/KR26),0)</f>
        <v>0</v>
      </c>
      <c r="KX26" s="20" t="n">
        <f aca="false">IF(AND(HU26=1,CZ26=1),MIN(KQ26,KV26),0)</f>
        <v>0</v>
      </c>
      <c r="KY26" s="20" t="n">
        <f aca="false">KQ26-KX26</f>
        <v>8569.47748545764</v>
      </c>
      <c r="KZ26" s="20" t="n">
        <f aca="false">IF(DJ26=1,IF(ABS((1+AS_Wage)/(1+Slot10_Rate)-1)&lt;0.000000000001,(Slot10_Age-D26)*(1+Slot10_Rate)^(Slot10_Age-D26),(1+Slot10_Rate)^(Slot10_Age-D26)*(1-((1+AS_Wage)/(1+Slot10_Rate))^(Slot10_Age-D26))/(1-(1+AS_Wage)/(1+Slot10_Rate))),1)</f>
        <v>1</v>
      </c>
      <c r="LA26" s="20" t="n">
        <f aca="false">IF(AND(HU26=1,IE26&gt;0,Slot10_IsWG=1,DJ26=1),MAX(0,(Slot10_Cost-DK26*(1+Slot10_Rate)^(Slot10_Age-D26))/KZ26),0)</f>
        <v>0</v>
      </c>
      <c r="LB26" s="20" t="n">
        <f aca="false">IF(AND(HU26=1,IE26&gt;0,Slot10_IsWG=1,DJ26=1),MIN(IE26,LA26),0)</f>
        <v>0</v>
      </c>
      <c r="LC26" s="20" t="n">
        <f aca="false">DK26+LB26</f>
        <v>0</v>
      </c>
      <c r="LD26" s="20" t="n">
        <f aca="false">IF(DJ26=1,MAX(0,(Slot10_Cost-LC26*(1+Slot10_Rate)^(Slot10_Age-D26))/KZ26),0)</f>
        <v>0</v>
      </c>
      <c r="LE26" s="20" t="n">
        <f aca="false">IF(DJ26=1,MAX(0,(Slot10_Cost-DK26*(1+Slot10_Rate)^(Slot10_Age-D26))/KZ26),0)</f>
        <v>0</v>
      </c>
      <c r="LF26" s="20" t="n">
        <f aca="false">IF(AND(HU26=1,DJ26=1),MIN(KY26,LD26),0)</f>
        <v>0</v>
      </c>
      <c r="LG26" s="20" t="n">
        <f aca="false">KY26-LF26</f>
        <v>8569.47748545764</v>
      </c>
      <c r="LH26" s="20" t="n">
        <f aca="false">IF(DT26=1,IF(ABS((1+AS_Wage)/(1+Slot11_Rate)-1)&lt;0.000000000001,(Slot11_Age-D26)*(1+Slot11_Rate)^(Slot11_Age-D26),(1+Slot11_Rate)^(Slot11_Age-D26)*(1-((1+AS_Wage)/(1+Slot11_Rate))^(Slot11_Age-D26))/(1-(1+AS_Wage)/(1+Slot11_Rate))),1)</f>
        <v>1</v>
      </c>
      <c r="LI26" s="20" t="n">
        <f aca="false">IF(AND(HU26=1,IE26&gt;0,Slot11_IsWG=1,DT26=1),MAX(0,(Slot11_Cost-DU26*(1+Slot11_Rate)^(Slot11_Age-D26))/LH26),0)</f>
        <v>0</v>
      </c>
      <c r="LJ26" s="20" t="n">
        <f aca="false">IF(AND(HU26=1,IE26&gt;0,Slot11_IsWG=1,DT26=1),MIN(IE26,LI26),0)</f>
        <v>0</v>
      </c>
      <c r="LK26" s="20" t="n">
        <f aca="false">DU26+LJ26</f>
        <v>0</v>
      </c>
      <c r="LL26" s="20" t="n">
        <f aca="false">IF(DT26=1,MAX(0,(Slot11_Cost-LK26*(1+Slot11_Rate)^(Slot11_Age-D26))/LH26),0)</f>
        <v>0</v>
      </c>
      <c r="LM26" s="20" t="n">
        <f aca="false">IF(DT26=1,MAX(0,(Slot11_Cost-DU26*(1+Slot11_Rate)^(Slot11_Age-D26))/LH26),0)</f>
        <v>0</v>
      </c>
      <c r="LN26" s="20" t="n">
        <f aca="false">IF(AND(HU26=1,DT26=1),MIN(LG26,LL26),0)</f>
        <v>0</v>
      </c>
      <c r="LO26" s="20" t="n">
        <f aca="false">LG26-LN26</f>
        <v>8569.47748545764</v>
      </c>
      <c r="LP26" s="20" t="n">
        <f aca="false">IF(ED26=1,IF(ABS((1+AS_Wage)/(1+Slot12_Rate)-1)&lt;0.000000000001,(Slot12_Age-D26)*(1+Slot12_Rate)^(Slot12_Age-D26),(1+Slot12_Rate)^(Slot12_Age-D26)*(1-((1+AS_Wage)/(1+Slot12_Rate))^(Slot12_Age-D26))/(1-(1+AS_Wage)/(1+Slot12_Rate))),1)</f>
        <v>1</v>
      </c>
      <c r="LQ26" s="20" t="n">
        <f aca="false">IF(AND(HU26=1,IE26&gt;0,Slot12_IsWG=1,ED26=1),MAX(0,(Slot12_Cost-EE26*(1+Slot12_Rate)^(Slot12_Age-D26))/LP26),0)</f>
        <v>0</v>
      </c>
      <c r="LR26" s="20" t="n">
        <f aca="false">IF(AND(HU26=1,IE26&gt;0,Slot12_IsWG=1,ED26=1),MIN(IE26,LQ26),0)</f>
        <v>0</v>
      </c>
      <c r="LS26" s="20" t="n">
        <f aca="false">EE26+LR26</f>
        <v>0</v>
      </c>
      <c r="LT26" s="20" t="n">
        <f aca="false">IF(ED26=1,MAX(0,(Slot12_Cost-LS26*(1+Slot12_Rate)^(Slot12_Age-D26))/LP26),0)</f>
        <v>0</v>
      </c>
      <c r="LU26" s="20" t="n">
        <f aca="false">IF(ED26=1,MAX(0,(Slot12_Cost-EE26*(1+Slot12_Rate)^(Slot12_Age-D26))/LP26),0)</f>
        <v>0</v>
      </c>
      <c r="LV26" s="20" t="n">
        <f aca="false">IF(AND(HU26=1,ED26=1),MIN(LO26,LT26),0)</f>
        <v>0</v>
      </c>
      <c r="LW26" s="20" t="n">
        <f aca="false">LO26-LV26</f>
        <v>8569.47748545764</v>
      </c>
      <c r="LX26" s="20" t="n">
        <f aca="false">IF(EN26=1,IF(ABS((1+AS_Wage)/(1+Slot13_Rate)-1)&lt;0.000000000001,(Slot13_Age-D26)*(1+Slot13_Rate)^(Slot13_Age-D26),(1+Slot13_Rate)^(Slot13_Age-D26)*(1-((1+AS_Wage)/(1+Slot13_Rate))^(Slot13_Age-D26))/(1-(1+AS_Wage)/(1+Slot13_Rate))),1)</f>
        <v>1</v>
      </c>
      <c r="LY26" s="20" t="n">
        <f aca="false">IF(AND(HU26=1,IE26&gt;0,Slot13_IsWG=1,EN26=1),MAX(0,(Slot13_Cost-EO26*(1+Slot13_Rate)^(Slot13_Age-D26))/LX26),0)</f>
        <v>0</v>
      </c>
      <c r="LZ26" s="20" t="n">
        <f aca="false">IF(AND(HU26=1,IE26&gt;0,Slot13_IsWG=1,EN26=1),MIN(IE26,LY26),0)</f>
        <v>0</v>
      </c>
      <c r="MA26" s="20" t="n">
        <f aca="false">EO26+LZ26</f>
        <v>0</v>
      </c>
      <c r="MB26" s="20" t="n">
        <f aca="false">IF(EN26=1,MAX(0,(Slot13_Cost-MA26*(1+Slot13_Rate)^(Slot13_Age-D26))/LX26),0)</f>
        <v>0</v>
      </c>
      <c r="MC26" s="20" t="n">
        <f aca="false">IF(EN26=1,MAX(0,(Slot13_Cost-EO26*(1+Slot13_Rate)^(Slot13_Age-D26))/LX26),0)</f>
        <v>0</v>
      </c>
      <c r="MD26" s="20" t="n">
        <f aca="false">IF(AND(HU26=1,EN26=1),MIN(LW26,MB26),0)</f>
        <v>0</v>
      </c>
      <c r="ME26" s="20" t="n">
        <f aca="false">LW26-MD26</f>
        <v>8569.47748545764</v>
      </c>
      <c r="MF26" s="20" t="n">
        <f aca="false">IF(EX26=1,IF(ABS((1+AS_Wage)/(1+Slot14_Rate)-1)&lt;0.000000000001,(Slot14_Age-D26)*(1+Slot14_Rate)^(Slot14_Age-D26),(1+Slot14_Rate)^(Slot14_Age-D26)*(1-((1+AS_Wage)/(1+Slot14_Rate))^(Slot14_Age-D26))/(1-(1+AS_Wage)/(1+Slot14_Rate))),1)</f>
        <v>1</v>
      </c>
      <c r="MG26" s="20" t="n">
        <f aca="false">IF(AND(HU26=1,IE26&gt;0,Slot14_IsWG=1,EX26=1),MAX(0,(Slot14_Cost-EY26*(1+Slot14_Rate)^(Slot14_Age-D26))/MF26),0)</f>
        <v>0</v>
      </c>
      <c r="MH26" s="20" t="n">
        <f aca="false">IF(AND(HU26=1,IE26&gt;0,Slot14_IsWG=1,EX26=1),MIN(IE26,MG26),0)</f>
        <v>0</v>
      </c>
      <c r="MI26" s="20" t="n">
        <f aca="false">EY26+MH26</f>
        <v>0</v>
      </c>
      <c r="MJ26" s="20" t="n">
        <f aca="false">IF(EX26=1,MAX(0,(Slot14_Cost-MI26*(1+Slot14_Rate)^(Slot14_Age-D26))/MF26),0)</f>
        <v>0</v>
      </c>
      <c r="MK26" s="20" t="n">
        <f aca="false">IF(EX26=1,MAX(0,(Slot14_Cost-EY26*(1+Slot14_Rate)^(Slot14_Age-D26))/MF26),0)</f>
        <v>0</v>
      </c>
      <c r="ML26" s="20" t="n">
        <f aca="false">IF(AND(HU26=1,EX26=1),MIN(ME26,MJ26),0)</f>
        <v>0</v>
      </c>
      <c r="MM26" s="20" t="n">
        <f aca="false">ME26-ML26</f>
        <v>8569.47748545764</v>
      </c>
      <c r="MN26" s="20" t="n">
        <f aca="false">IF(FH26=1,IF(ABS((1+AS_Wage)/(1+Slot15_Rate)-1)&lt;0.000000000001,(Slot15_Age-D26)*(1+Slot15_Rate)^(Slot15_Age-D26),(1+Slot15_Rate)^(Slot15_Age-D26)*(1-((1+AS_Wage)/(1+Slot15_Rate))^(Slot15_Age-D26))/(1-(1+AS_Wage)/(1+Slot15_Rate))),1)</f>
        <v>1</v>
      </c>
      <c r="MO26" s="20" t="n">
        <f aca="false">IF(AND(HU26=1,IE26&gt;0,Slot15_IsWG=1,FH26=1),MAX(0,(Slot15_Cost-FI26*(1+Slot15_Rate)^(Slot15_Age-D26))/MN26),0)</f>
        <v>0</v>
      </c>
      <c r="MP26" s="20" t="n">
        <f aca="false">IF(AND(HU26=1,IE26&gt;0,Slot15_IsWG=1,FH26=1),MIN(IE26,MO26),0)</f>
        <v>0</v>
      </c>
      <c r="MQ26" s="20" t="n">
        <f aca="false">FI26+MP26</f>
        <v>0</v>
      </c>
      <c r="MR26" s="20" t="n">
        <f aca="false">IF(FH26=1,MAX(0,(Slot15_Cost-MQ26*(1+Slot15_Rate)^(Slot15_Age-D26))/MN26),0)</f>
        <v>0</v>
      </c>
      <c r="MS26" s="20" t="n">
        <f aca="false">IF(FH26=1,MAX(0,(Slot15_Cost-FI26*(1+Slot15_Rate)^(Slot15_Age-D26))/MN26),0)</f>
        <v>0</v>
      </c>
      <c r="MT26" s="20" t="n">
        <f aca="false">IF(AND(HU26=1,FH26=1),MIN(MM26,MR26),0)</f>
        <v>0</v>
      </c>
      <c r="MU26" s="20" t="n">
        <f aca="false">MM26-MT26</f>
        <v>8569.47748545764</v>
      </c>
      <c r="MV26" s="20" t="n">
        <f aca="false">IF(FR26=1,IF(ABS((1+AS_Wage)/(1+Slot16_Rate)-1)&lt;0.000000000001,(Slot16_Age-D26)*(1+Slot16_Rate)^(Slot16_Age-D26),(1+Slot16_Rate)^(Slot16_Age-D26)*(1-((1+AS_Wage)/(1+Slot16_Rate))^(Slot16_Age-D26))/(1-(1+AS_Wage)/(1+Slot16_Rate))),1)</f>
        <v>1</v>
      </c>
      <c r="MW26" s="20" t="n">
        <f aca="false">IF(AND(HU26=1,IE26&gt;0,Slot16_IsWG=1,FR26=1),MAX(0,(Slot16_Cost-FS26*(1+Slot16_Rate)^(Slot16_Age-D26))/MV26),0)</f>
        <v>0</v>
      </c>
      <c r="MX26" s="20" t="n">
        <f aca="false">IF(AND(HU26=1,IE26&gt;0,Slot16_IsWG=1,FR26=1),MIN(IE26,MW26),0)</f>
        <v>0</v>
      </c>
      <c r="MY26" s="20" t="n">
        <f aca="false">FS26+MX26</f>
        <v>0</v>
      </c>
      <c r="MZ26" s="20" t="n">
        <f aca="false">IF(FR26=1,MAX(0,(Slot16_Cost-MY26*(1+Slot16_Rate)^(Slot16_Age-D26))/MV26),0)</f>
        <v>0</v>
      </c>
      <c r="NA26" s="20" t="n">
        <f aca="false">IF(FR26=1,MAX(0,(Slot16_Cost-FS26*(1+Slot16_Rate)^(Slot16_Age-D26))/MV26),0)</f>
        <v>0</v>
      </c>
      <c r="NB26" s="20" t="n">
        <f aca="false">IF(AND(HU26=1,FR26=1),MIN(MU26,MZ26),0)</f>
        <v>0</v>
      </c>
      <c r="NC26" s="20" t="n">
        <f aca="false">MU26-NB26</f>
        <v>8569.47748545764</v>
      </c>
      <c r="ND26" s="20" t="n">
        <f aca="false">IF(GB26=1,IF(ABS((1+AS_Wage)/(1+Slot17_Rate)-1)&lt;0.000000000001,(Slot17_Age-D26)*(1+Slot17_Rate)^(Slot17_Age-D26),(1+Slot17_Rate)^(Slot17_Age-D26)*(1-((1+AS_Wage)/(1+Slot17_Rate))^(Slot17_Age-D26))/(1-(1+AS_Wage)/(1+Slot17_Rate))),1)</f>
        <v>1</v>
      </c>
      <c r="NE26" s="20" t="n">
        <f aca="false">IF(AND(HU26=1,IE26&gt;0,Slot17_IsWG=1,GB26=1),MAX(0,(Slot17_Cost-GC26*(1+Slot17_Rate)^(Slot17_Age-D26))/ND26),0)</f>
        <v>0</v>
      </c>
      <c r="NF26" s="20" t="n">
        <f aca="false">IF(AND(HU26=1,IE26&gt;0,Slot17_IsWG=1,GB26=1),MIN(IE26,NE26),0)</f>
        <v>0</v>
      </c>
      <c r="NG26" s="20" t="n">
        <f aca="false">GC26+NF26</f>
        <v>0</v>
      </c>
      <c r="NH26" s="20" t="n">
        <f aca="false">IF(GB26=1,MAX(0,(Slot17_Cost-NG26*(1+Slot17_Rate)^(Slot17_Age-D26))/ND26),0)</f>
        <v>0</v>
      </c>
      <c r="NI26" s="20" t="n">
        <f aca="false">IF(GB26=1,MAX(0,(Slot17_Cost-GC26*(1+Slot17_Rate)^(Slot17_Age-D26))/ND26),0)</f>
        <v>0</v>
      </c>
      <c r="NJ26" s="20" t="n">
        <f aca="false">IF(AND(HU26=1,GB26=1),MIN(NC26,NH26),0)</f>
        <v>0</v>
      </c>
      <c r="NK26" s="20" t="n">
        <f aca="false">NC26-NJ26</f>
        <v>8569.47748545764</v>
      </c>
      <c r="NL26" s="20" t="n">
        <f aca="false">IF(GL26=1,IF(ABS((1+AS_Wage)/(1+Slot18_Rate)-1)&lt;0.000000000001,(Slot18_Age-D26)*(1+Slot18_Rate)^(Slot18_Age-D26),(1+Slot18_Rate)^(Slot18_Age-D26)*(1-((1+AS_Wage)/(1+Slot18_Rate))^(Slot18_Age-D26))/(1-(1+AS_Wage)/(1+Slot18_Rate))),1)</f>
        <v>1</v>
      </c>
      <c r="NM26" s="20" t="n">
        <f aca="false">IF(AND(HU26=1,IE26&gt;0,Slot18_IsWG=1,GL26=1),MAX(0,(Slot18_Cost-GM26*(1+Slot18_Rate)^(Slot18_Age-D26))/NL26),0)</f>
        <v>0</v>
      </c>
      <c r="NN26" s="20" t="n">
        <f aca="false">IF(AND(HU26=1,IE26&gt;0,Slot18_IsWG=1,GL26=1),MIN(IE26,NM26),0)</f>
        <v>0</v>
      </c>
      <c r="NO26" s="20" t="n">
        <f aca="false">GM26+NN26</f>
        <v>0</v>
      </c>
      <c r="NP26" s="20" t="n">
        <f aca="false">IF(GL26=1,MAX(0,(Slot18_Cost-NO26*(1+Slot18_Rate)^(Slot18_Age-D26))/NL26),0)</f>
        <v>0</v>
      </c>
      <c r="NQ26" s="20" t="n">
        <f aca="false">IF(GL26=1,MAX(0,(Slot18_Cost-GM26*(1+Slot18_Rate)^(Slot18_Age-D26))/NL26),0)</f>
        <v>0</v>
      </c>
      <c r="NR26" s="20" t="n">
        <f aca="false">IF(AND(HU26=1,GL26=1),MIN(NK26,NP26),0)</f>
        <v>0</v>
      </c>
      <c r="NS26" s="20" t="n">
        <f aca="false">NK26-NR26</f>
        <v>8569.47748545764</v>
      </c>
      <c r="NT26" s="20" t="n">
        <f aca="false">IF(GV26=1,IF(ABS((1+AS_Wage)/(1+Slot19_Rate)-1)&lt;0.000000000001,(Slot19_Age-D26)*(1+Slot19_Rate)^(Slot19_Age-D26),(1+Slot19_Rate)^(Slot19_Age-D26)*(1-((1+AS_Wage)/(1+Slot19_Rate))^(Slot19_Age-D26))/(1-(1+AS_Wage)/(1+Slot19_Rate))),1)</f>
        <v>1</v>
      </c>
      <c r="NU26" s="20" t="n">
        <f aca="false">IF(AND(HU26=1,IE26&gt;0,Slot19_IsWG=1,GV26=1),MAX(0,(Slot19_Cost-GW26*(1+Slot19_Rate)^(Slot19_Age-D26))/NT26),0)</f>
        <v>0</v>
      </c>
      <c r="NV26" s="20" t="n">
        <f aca="false">IF(AND(HU26=1,IE26&gt;0,Slot19_IsWG=1,GV26=1),MIN(IE26,NU26),0)</f>
        <v>0</v>
      </c>
      <c r="NW26" s="20" t="n">
        <f aca="false">GW26+NV26</f>
        <v>0</v>
      </c>
      <c r="NX26" s="20" t="n">
        <f aca="false">IF(GV26=1,MAX(0,(Slot19_Cost-NW26*(1+Slot19_Rate)^(Slot19_Age-D26))/NT26),0)</f>
        <v>0</v>
      </c>
      <c r="NY26" s="20" t="n">
        <f aca="false">IF(GV26=1,MAX(0,(Slot19_Cost-GW26*(1+Slot19_Rate)^(Slot19_Age-D26))/NT26),0)</f>
        <v>0</v>
      </c>
      <c r="NZ26" s="20" t="n">
        <f aca="false">IF(AND(HU26=1,GV26=1),MIN(NS26,NX26),0)</f>
        <v>0</v>
      </c>
      <c r="OA26" s="20" t="n">
        <f aca="false">NS26-NZ26</f>
        <v>8569.47748545764</v>
      </c>
      <c r="OB26" s="20" t="n">
        <f aca="false">IF(HF26=1,IF(ABS((1+AS_Wage)/(1+Slot20_Rate)-1)&lt;0.000000000001,(Slot20_Age-D26)*(1+Slot20_Rate)^(Slot20_Age-D26),(1+Slot20_Rate)^(Slot20_Age-D26)*(1-((1+AS_Wage)/(1+Slot20_Rate))^(Slot20_Age-D26))/(1-(1+AS_Wage)/(1+Slot20_Rate))),1)</f>
        <v>1</v>
      </c>
      <c r="OC26" s="20" t="n">
        <f aca="false">IF(AND(HU26=1,IE26&gt;0,Slot20_IsWG=1,HF26=1),MAX(0,(Slot20_Cost-HG26*(1+Slot20_Rate)^(Slot20_Age-D26))/OB26),0)</f>
        <v>0</v>
      </c>
      <c r="OD26" s="20" t="n">
        <f aca="false">IF(AND(HU26=1,IE26&gt;0,Slot20_IsWG=1,HF26=1),MIN(IE26,OC26),0)</f>
        <v>0</v>
      </c>
      <c r="OE26" s="20" t="n">
        <f aca="false">HG26+OD26</f>
        <v>0</v>
      </c>
      <c r="OF26" s="20" t="n">
        <f aca="false">IF(HF26=1,MAX(0,(Slot20_Cost-OE26*(1+Slot20_Rate)^(Slot20_Age-D26))/OB26),0)</f>
        <v>0</v>
      </c>
      <c r="OG26" s="20" t="n">
        <f aca="false">IF(HF26=1,MAX(0,(Slot20_Cost-HG26*(1+Slot20_Rate)^(Slot20_Age-D26))/OB26),0)</f>
        <v>0</v>
      </c>
      <c r="OH26" s="20" t="n">
        <f aca="false">IF(AND(HU26=1,HF26=1),MIN(OA26,OF26),0)</f>
        <v>0</v>
      </c>
      <c r="OI26" s="20" t="n">
        <f aca="false">OA26-OH26</f>
        <v>8569.47748545764</v>
      </c>
      <c r="OJ26" s="20" t="n">
        <f aca="false">IE26-(IH26+IP26+IX26+JF26+JN26+JV26+KD26+KL26+KT26+LB26+LJ26+LR26+LZ26+MH26+MP26+MX26+NF26+NN26+NV26+OD26)</f>
        <v>0</v>
      </c>
      <c r="OK26" s="20" t="n">
        <f aca="false">IF(HU26=1,HS26-ID26-IE26,0)</f>
        <v>27986.6531582873</v>
      </c>
      <c r="OL26" s="20" t="n">
        <f aca="false">IF(HU26=0,-HS26,0)</f>
        <v>0</v>
      </c>
      <c r="OM26" s="20" t="n">
        <f aca="false">MIN(OL26,HK26)</f>
        <v>0</v>
      </c>
      <c r="ON26" s="20" t="n">
        <f aca="false">OL26-OM26</f>
        <v>0</v>
      </c>
      <c r="OO26" s="20" t="n">
        <f aca="false">MIN(ON26,HL26)</f>
        <v>0</v>
      </c>
      <c r="OP26" s="20" t="n">
        <f aca="false">ON26-OO26</f>
        <v>0</v>
      </c>
      <c r="OQ26" s="20" t="n">
        <f aca="false">IF(AND(HU26=0,HF26=1,OP26&gt;0),MIN(OP26,HG26),0)</f>
        <v>0</v>
      </c>
      <c r="OR26" s="20" t="n">
        <f aca="false">OP26-OQ26</f>
        <v>0</v>
      </c>
      <c r="OS26" s="20" t="n">
        <f aca="false">IF(AND(HU26=0,GV26=1,OR26&gt;0),MIN(OR26,GW26),0)</f>
        <v>0</v>
      </c>
      <c r="OT26" s="20" t="n">
        <f aca="false">OR26-OS26</f>
        <v>0</v>
      </c>
      <c r="OU26" s="20" t="n">
        <f aca="false">IF(AND(HU26=0,GL26=1,OT26&gt;0),MIN(OT26,GM26),0)</f>
        <v>0</v>
      </c>
      <c r="OV26" s="20" t="n">
        <f aca="false">OT26-OU26</f>
        <v>0</v>
      </c>
      <c r="OW26" s="20" t="n">
        <f aca="false">IF(AND(HU26=0,GB26=1,OV26&gt;0),MIN(OV26,GC26),0)</f>
        <v>0</v>
      </c>
      <c r="OX26" s="20" t="n">
        <f aca="false">OV26-OW26</f>
        <v>0</v>
      </c>
      <c r="OY26" s="20" t="n">
        <f aca="false">IF(AND(HU26=0,FR26=1,OX26&gt;0),MIN(OX26,FS26),0)</f>
        <v>0</v>
      </c>
      <c r="OZ26" s="20" t="n">
        <f aca="false">OX26-OY26</f>
        <v>0</v>
      </c>
      <c r="PA26" s="20" t="n">
        <f aca="false">IF(AND(HU26=0,FH26=1,OZ26&gt;0),MIN(OZ26,FI26),0)</f>
        <v>0</v>
      </c>
      <c r="PB26" s="20" t="n">
        <f aca="false">OZ26-PA26</f>
        <v>0</v>
      </c>
      <c r="PC26" s="20" t="n">
        <f aca="false">IF(AND(HU26=0,EX26=1,PB26&gt;0),MIN(PB26,EY26),0)</f>
        <v>0</v>
      </c>
      <c r="PD26" s="20" t="n">
        <f aca="false">PB26-PC26</f>
        <v>0</v>
      </c>
      <c r="PE26" s="20" t="n">
        <f aca="false">IF(AND(HU26=0,EN26=1,PD26&gt;0),MIN(PD26,EO26),0)</f>
        <v>0</v>
      </c>
      <c r="PF26" s="20" t="n">
        <f aca="false">PD26-PE26</f>
        <v>0</v>
      </c>
      <c r="PG26" s="20" t="n">
        <f aca="false">IF(AND(HU26=0,ED26=1,PF26&gt;0),MIN(PF26,EE26),0)</f>
        <v>0</v>
      </c>
      <c r="PH26" s="20" t="n">
        <f aca="false">PF26-PG26</f>
        <v>0</v>
      </c>
      <c r="PI26" s="20" t="n">
        <f aca="false">IF(AND(HU26=0,DT26=1,PH26&gt;0),MIN(PH26,DU26),0)</f>
        <v>0</v>
      </c>
      <c r="PJ26" s="20" t="n">
        <f aca="false">PH26-PI26</f>
        <v>0</v>
      </c>
      <c r="PK26" s="20" t="n">
        <f aca="false">IF(AND(HU26=0,DJ26=1,PJ26&gt;0),MIN(PJ26,DK26),0)</f>
        <v>0</v>
      </c>
      <c r="PL26" s="20" t="n">
        <f aca="false">PJ26-PK26</f>
        <v>0</v>
      </c>
      <c r="PM26" s="20" t="n">
        <f aca="false">IF(AND(HU26=0,CZ26=1,PL26&gt;0),MIN(PL26,DA26),0)</f>
        <v>0</v>
      </c>
      <c r="PN26" s="20" t="n">
        <f aca="false">PL26-PM26</f>
        <v>0</v>
      </c>
      <c r="PO26" s="20" t="n">
        <f aca="false">IF(AND(HU26=0,CP26=1,PN26&gt;0),MIN(PN26,CQ26),0)</f>
        <v>0</v>
      </c>
      <c r="PP26" s="20" t="n">
        <f aca="false">PN26-PO26</f>
        <v>0</v>
      </c>
      <c r="PQ26" s="20" t="n">
        <f aca="false">IF(AND(HU26=0,CF26=1,PP26&gt;0),MIN(PP26,CG26),0)</f>
        <v>0</v>
      </c>
      <c r="PR26" s="20" t="n">
        <f aca="false">PP26-PQ26</f>
        <v>0</v>
      </c>
      <c r="PS26" s="20" t="n">
        <f aca="false">IF(AND(HU26=0,BV26=1,PR26&gt;0),MIN(PR26,BW26),0)</f>
        <v>0</v>
      </c>
      <c r="PT26" s="20" t="n">
        <f aca="false">PR26-PS26</f>
        <v>0</v>
      </c>
      <c r="PU26" s="20" t="n">
        <f aca="false">IF(AND(HU26=0,BL26=1,PT26&gt;0),MIN(PT26,BM26),0)</f>
        <v>0</v>
      </c>
      <c r="PV26" s="20" t="n">
        <f aca="false">PT26-PU26</f>
        <v>0</v>
      </c>
      <c r="PW26" s="20" t="n">
        <f aca="false">IF(AND(HU26=0,BB26=1,PV26&gt;0),MIN(PV26,BC26),0)</f>
        <v>0</v>
      </c>
      <c r="PX26" s="20" t="n">
        <f aca="false">PV26-PW26</f>
        <v>0</v>
      </c>
      <c r="PY26" s="20" t="n">
        <f aca="false">IF(AND(HU26=0,AR26=1,PX26&gt;0),MIN(PX26,AS26),0)</f>
        <v>0</v>
      </c>
      <c r="PZ26" s="20" t="n">
        <f aca="false">PX26-PY26</f>
        <v>0</v>
      </c>
      <c r="QA26" s="20" t="n">
        <f aca="false">IF(AND(HU26=0,AH26=1,PZ26&gt;0),MIN(PZ26,AI26),0)</f>
        <v>0</v>
      </c>
      <c r="QB26" s="20" t="n">
        <f aca="false">PZ26-QA26</f>
        <v>0</v>
      </c>
      <c r="QC26" s="20" t="n">
        <f aca="false">IF(AND(HU26=0,W26=1,QB26&gt;0),MIN(QB26,X26),0)</f>
        <v>0</v>
      </c>
      <c r="QD26" s="20" t="n">
        <f aca="false">QB26-QC26</f>
        <v>0</v>
      </c>
      <c r="QE26" s="20" t="n">
        <f aca="false">IF(HU26=0,QD26,0)</f>
        <v>0</v>
      </c>
      <c r="QF26" s="20" t="n">
        <f aca="false">OM26+OO26+QC26+QA26+PY26+PW26+PU26+PS26+PQ26+PO26+PM26+PK26+PI26+PG26+PE26+PC26+PA26+OY26+OW26+OU26+OS26+OQ26</f>
        <v>0</v>
      </c>
      <c r="QG26" s="20" t="n">
        <f aca="false">IF(HU26=1,HK26+OJ26+OI26+IF(G26=1,0,OK26),HK26-OM26)</f>
        <v>34140.7501327051</v>
      </c>
      <c r="QH26" s="20" t="n">
        <f aca="false">HL26-OO26</f>
        <v>18299.2623326792</v>
      </c>
      <c r="QI26" s="20" t="n">
        <f aca="false">IF(HU26=1,IF(G26=1,ID26+IE26,HS26),0)</f>
        <v>8569.47748545764</v>
      </c>
      <c r="QJ26" s="20" t="n">
        <f aca="false">IF(HU26=1,IF(G26=1,HS26-ID26-IE26,0),0)</f>
        <v>27986.6531582873</v>
      </c>
      <c r="QK26" s="20" t="n">
        <f aca="false">QG26*(1+GR)</f>
        <v>34700.6584348814</v>
      </c>
      <c r="QL26" s="20" t="n">
        <f aca="false">QH26*(1+AS_Cash)</f>
        <v>18482.254956006</v>
      </c>
      <c r="QM26" s="20" t="n">
        <f aca="false">IF(W26=1,IF(HU26=1,II26+IL26,X26-QC26)*(1+Slot1_Rate),0)</f>
        <v>0</v>
      </c>
      <c r="QN26" s="20" t="n">
        <f aca="false">IF(AND(HU26=1,W26=1),(IH26+IL26)/F26,0)</f>
        <v>0</v>
      </c>
      <c r="QO26" s="20" t="n">
        <f aca="false">IF(B26=0,IH26+IL26,0)</f>
        <v>0</v>
      </c>
      <c r="QP26" s="20" t="n">
        <f aca="false">IF(B26=0,IF(HU26=1,IJ26,IK26),0)</f>
        <v>0</v>
      </c>
      <c r="QQ26" s="20" t="n">
        <f aca="false">IF(AH26=1,IF(HU26=1,IQ26+IT26,AI26-QA26)*(1+Slot2_Rate),0)</f>
        <v>0</v>
      </c>
      <c r="QR26" s="20" t="n">
        <f aca="false">IF(AND(HU26=1,AH26=1),(IP26+IT26)/F26,0)</f>
        <v>0</v>
      </c>
      <c r="QS26" s="20" t="n">
        <f aca="false">IF(B26=0,IP26+IT26,0)</f>
        <v>0</v>
      </c>
      <c r="QT26" s="20" t="n">
        <f aca="false">IF(B26=0,IF(HU26=1,IR26,IS26),0)</f>
        <v>0</v>
      </c>
      <c r="QU26" s="20" t="n">
        <f aca="false">IF(AR26=1,IF(HU26=1,IY26+JB26,AS26-PY26)*(1+Slot3_Rate),0)</f>
        <v>0</v>
      </c>
      <c r="QV26" s="20" t="n">
        <f aca="false">IF(AND(HU26=1,AR26=1),(IX26+JB26)/F26,0)</f>
        <v>0</v>
      </c>
      <c r="QW26" s="20" t="n">
        <f aca="false">IF(B26=0,IX26+JB26,0)</f>
        <v>0</v>
      </c>
      <c r="QX26" s="20" t="n">
        <f aca="false">IF(B26=0,IF(HU26=1,IZ26,JA26),0)</f>
        <v>0</v>
      </c>
      <c r="QY26" s="20" t="n">
        <f aca="false">IF(BB26=1,IF(HU26=1,JG26+JJ26,BC26-PW26)*(1+Slot4_Rate),0)</f>
        <v>0</v>
      </c>
      <c r="QZ26" s="20" t="n">
        <f aca="false">IF(AND(HU26=1,BB26=1),(JF26+JJ26)/F26,0)</f>
        <v>0</v>
      </c>
      <c r="RA26" s="20" t="n">
        <f aca="false">IF(B26=0,JF26+JJ26,0)</f>
        <v>0</v>
      </c>
      <c r="RB26" s="20" t="n">
        <f aca="false">IF(B26=0,IF(HU26=1,JH26,JI26),0)</f>
        <v>0</v>
      </c>
      <c r="RC26" s="20" t="n">
        <f aca="false">IF(BL26=1,IF(HU26=1,JO26+JR26,BM26-PU26)*(1+Slot5_Rate),0)</f>
        <v>0</v>
      </c>
      <c r="RD26" s="20" t="n">
        <f aca="false">IF(AND(HU26=1,BL26=1),(JN26+JR26)/F26,0)</f>
        <v>0</v>
      </c>
      <c r="RE26" s="20" t="n">
        <f aca="false">IF(B26=0,JN26+JR26,0)</f>
        <v>0</v>
      </c>
      <c r="RF26" s="20" t="n">
        <f aca="false">IF(B26=0,IF(HU26=1,JP26,JQ26),0)</f>
        <v>0</v>
      </c>
      <c r="RG26" s="20" t="n">
        <f aca="false">IF(BV26=1,IF(HU26=1,JW26+JZ26,BW26-PS26)*(1+Slot6_Rate),0)</f>
        <v>0</v>
      </c>
      <c r="RH26" s="20" t="n">
        <f aca="false">IF(AND(HU26=1,BV26=1),(JV26+JZ26)/F26,0)</f>
        <v>0</v>
      </c>
      <c r="RI26" s="20" t="n">
        <f aca="false">IF(B26=0,JV26+JZ26,0)</f>
        <v>0</v>
      </c>
      <c r="RJ26" s="20" t="n">
        <f aca="false">IF(B26=0,IF(HU26=1,JX26,JY26),0)</f>
        <v>0</v>
      </c>
      <c r="RK26" s="20" t="n">
        <f aca="false">IF(CF26=1,IF(HU26=1,KE26+KH26,CG26-PQ26)*(1+Slot7_Rate),0)</f>
        <v>0</v>
      </c>
      <c r="RL26" s="20" t="n">
        <f aca="false">IF(AND(HU26=1,CF26=1),(KD26+KH26)/F26,0)</f>
        <v>0</v>
      </c>
      <c r="RM26" s="20" t="n">
        <f aca="false">IF(B26=0,KD26+KH26,0)</f>
        <v>0</v>
      </c>
      <c r="RN26" s="20" t="n">
        <f aca="false">IF(B26=0,IF(HU26=1,KF26,KG26),0)</f>
        <v>0</v>
      </c>
      <c r="RO26" s="20" t="n">
        <f aca="false">IF(CP26=1,IF(HU26=1,KM26+KP26,CQ26-PO26)*(1+Slot8_Rate),0)</f>
        <v>0</v>
      </c>
      <c r="RP26" s="20" t="n">
        <f aca="false">IF(AND(HU26=1,CP26=1),(KL26+KP26)/F26,0)</f>
        <v>0</v>
      </c>
      <c r="RQ26" s="20" t="n">
        <f aca="false">IF(B26=0,KL26+KP26,0)</f>
        <v>0</v>
      </c>
      <c r="RR26" s="20" t="n">
        <f aca="false">IF(B26=0,IF(HU26=1,KN26,KO26),0)</f>
        <v>0</v>
      </c>
      <c r="RS26" s="20" t="n">
        <f aca="false">IF(CZ26=1,IF(HU26=1,KU26+KX26,DA26-PM26)*(1+Slot9_Rate),0)</f>
        <v>0</v>
      </c>
      <c r="RT26" s="20" t="n">
        <f aca="false">IF(AND(HU26=1,CZ26=1),(KT26+KX26)/F26,0)</f>
        <v>0</v>
      </c>
      <c r="RU26" s="20" t="n">
        <f aca="false">IF(B26=0,KT26+KX26,0)</f>
        <v>0</v>
      </c>
      <c r="RV26" s="20" t="n">
        <f aca="false">IF(B26=0,IF(HU26=1,KV26,KW26),0)</f>
        <v>0</v>
      </c>
      <c r="RW26" s="20" t="n">
        <f aca="false">IF(DJ26=1,IF(HU26=1,LC26+LF26,DK26-PK26)*(1+Slot10_Rate),0)</f>
        <v>0</v>
      </c>
      <c r="RX26" s="20" t="n">
        <f aca="false">IF(AND(HU26=1,DJ26=1),(LB26+LF26)/F26,0)</f>
        <v>0</v>
      </c>
      <c r="RY26" s="20" t="n">
        <f aca="false">IF(B26=0,LB26+LF26,0)</f>
        <v>0</v>
      </c>
      <c r="RZ26" s="20" t="n">
        <f aca="false">IF(B26=0,IF(HU26=1,LD26,LE26),0)</f>
        <v>0</v>
      </c>
      <c r="SA26" s="20" t="n">
        <f aca="false">IF(DT26=1,IF(HU26=1,LK26+LN26,DU26-PI26)*(1+Slot11_Rate),0)</f>
        <v>0</v>
      </c>
      <c r="SB26" s="20" t="n">
        <f aca="false">IF(AND(HU26=1,DT26=1),(LJ26+LN26)/F26,0)</f>
        <v>0</v>
      </c>
      <c r="SC26" s="20" t="n">
        <f aca="false">IF(B26=0,LJ26+LN26,0)</f>
        <v>0</v>
      </c>
      <c r="SD26" s="20" t="n">
        <f aca="false">IF(B26=0,IF(HU26=1,LL26,LM26),0)</f>
        <v>0</v>
      </c>
      <c r="SE26" s="20" t="n">
        <f aca="false">IF(ED26=1,IF(HU26=1,LS26+LV26,EE26-PG26)*(1+Slot12_Rate),0)</f>
        <v>0</v>
      </c>
      <c r="SF26" s="20" t="n">
        <f aca="false">IF(AND(HU26=1,ED26=1),(LR26+LV26)/F26,0)</f>
        <v>0</v>
      </c>
      <c r="SG26" s="20" t="n">
        <f aca="false">IF(B26=0,LR26+LV26,0)</f>
        <v>0</v>
      </c>
      <c r="SH26" s="20" t="n">
        <f aca="false">IF(B26=0,IF(HU26=1,LT26,LU26),0)</f>
        <v>0</v>
      </c>
      <c r="SI26" s="20" t="n">
        <f aca="false">IF(EN26=1,IF(HU26=1,MA26+MD26,EO26-PE26)*(1+Slot13_Rate),0)</f>
        <v>0</v>
      </c>
      <c r="SJ26" s="20" t="n">
        <f aca="false">IF(AND(HU26=1,EN26=1),(LZ26+MD26)/F26,0)</f>
        <v>0</v>
      </c>
      <c r="SK26" s="20" t="n">
        <f aca="false">IF(B26=0,LZ26+MD26,0)</f>
        <v>0</v>
      </c>
      <c r="SL26" s="20" t="n">
        <f aca="false">IF(B26=0,IF(HU26=1,MB26,MC26),0)</f>
        <v>0</v>
      </c>
      <c r="SM26" s="20" t="n">
        <f aca="false">IF(EX26=1,IF(HU26=1,MI26+ML26,EY26-PC26)*(1+Slot14_Rate),0)</f>
        <v>0</v>
      </c>
      <c r="SN26" s="20" t="n">
        <f aca="false">IF(AND(HU26=1,EX26=1),(MH26+ML26)/F26,0)</f>
        <v>0</v>
      </c>
      <c r="SO26" s="20" t="n">
        <f aca="false">IF(B26=0,MH26+ML26,0)</f>
        <v>0</v>
      </c>
      <c r="SP26" s="20" t="n">
        <f aca="false">IF(B26=0,IF(HU26=1,MJ26,MK26),0)</f>
        <v>0</v>
      </c>
      <c r="SQ26" s="20" t="n">
        <f aca="false">IF(FH26=1,IF(HU26=1,MQ26+MT26,FI26-PA26)*(1+Slot15_Rate),0)</f>
        <v>0</v>
      </c>
      <c r="SR26" s="20" t="n">
        <f aca="false">IF(AND(HU26=1,FH26=1),(MP26+MT26)/F26,0)</f>
        <v>0</v>
      </c>
      <c r="SS26" s="20" t="n">
        <f aca="false">IF(B26=0,MP26+MT26,0)</f>
        <v>0</v>
      </c>
      <c r="ST26" s="20" t="n">
        <f aca="false">IF(B26=0,IF(HU26=1,MR26,MS26),0)</f>
        <v>0</v>
      </c>
      <c r="SU26" s="20" t="n">
        <f aca="false">IF(FR26=1,IF(HU26=1,MY26+NB26,FS26-OY26)*(1+Slot16_Rate),0)</f>
        <v>0</v>
      </c>
      <c r="SV26" s="20" t="n">
        <f aca="false">IF(AND(HU26=1,FR26=1),(MX26+NB26)/F26,0)</f>
        <v>0</v>
      </c>
      <c r="SW26" s="20" t="n">
        <f aca="false">IF(B26=0,MX26+NB26,0)</f>
        <v>0</v>
      </c>
      <c r="SX26" s="20" t="n">
        <f aca="false">IF(B26=0,IF(HU26=1,MZ26,NA26),0)</f>
        <v>0</v>
      </c>
      <c r="SY26" s="20" t="n">
        <f aca="false">IF(GB26=1,IF(HU26=1,NG26+NJ26,GC26-OW26)*(1+Slot17_Rate),0)</f>
        <v>0</v>
      </c>
      <c r="SZ26" s="20" t="n">
        <f aca="false">IF(AND(HU26=1,GB26=1),(NF26+NJ26)/F26,0)</f>
        <v>0</v>
      </c>
      <c r="TA26" s="20" t="n">
        <f aca="false">IF(B26=0,NF26+NJ26,0)</f>
        <v>0</v>
      </c>
      <c r="TB26" s="20" t="n">
        <f aca="false">IF(B26=0,IF(HU26=1,NH26,NI26),0)</f>
        <v>0</v>
      </c>
      <c r="TC26" s="20" t="n">
        <f aca="false">IF(GL26=1,IF(HU26=1,NO26+NR26,GM26-OU26)*(1+Slot18_Rate),0)</f>
        <v>0</v>
      </c>
      <c r="TD26" s="20" t="n">
        <f aca="false">IF(AND(HU26=1,GL26=1),(NN26+NR26)/F26,0)</f>
        <v>0</v>
      </c>
      <c r="TE26" s="20" t="n">
        <f aca="false">IF(B26=0,NN26+NR26,0)</f>
        <v>0</v>
      </c>
      <c r="TF26" s="20" t="n">
        <f aca="false">IF(B26=0,IF(HU26=1,NP26,NQ26),0)</f>
        <v>0</v>
      </c>
      <c r="TG26" s="20" t="n">
        <f aca="false">IF(GV26=1,IF(HU26=1,NW26+NZ26,GW26-OS26)*(1+Slot19_Rate),0)</f>
        <v>0</v>
      </c>
      <c r="TH26" s="20" t="n">
        <f aca="false">IF(AND(HU26=1,GV26=1),(NV26+NZ26)/F26,0)</f>
        <v>0</v>
      </c>
      <c r="TI26" s="20" t="n">
        <f aca="false">IF(B26=0,NV26+NZ26,0)</f>
        <v>0</v>
      </c>
      <c r="TJ26" s="20" t="n">
        <f aca="false">IF(B26=0,IF(HU26=1,NX26,NY26),0)</f>
        <v>0</v>
      </c>
      <c r="TK26" s="20" t="n">
        <f aca="false">IF(HF26=1,IF(HU26=1,OE26+OH26,HG26-OQ26)*(1+Slot20_Rate),0)</f>
        <v>0</v>
      </c>
      <c r="TL26" s="20" t="n">
        <f aca="false">IF(AND(HU26=1,HF26=1),(OD26+OH26)/F26,0)</f>
        <v>0</v>
      </c>
      <c r="TM26" s="20" t="n">
        <f aca="false">IF(B26=0,OD26+OH26,0)</f>
        <v>0</v>
      </c>
      <c r="TN26" s="20" t="n">
        <f aca="false">IF(B26=0,IF(HU26=1,OF26,OG26),0)</f>
        <v>0</v>
      </c>
      <c r="TO26" s="20" t="n">
        <f aca="false">QK26+QL26+QM26+QQ26+QU26+QY26+RC26+RG26+RK26+RO26+RS26+RW26+SA26+SE26+SI26+SM26+SQ26+SU26+SY26+TC26+TG26+TK26</f>
        <v>53182.9133908875</v>
      </c>
      <c r="TP26" s="20" t="n">
        <f aca="false">QE26+HP26</f>
        <v>0</v>
      </c>
      <c r="TQ26" s="20" t="n">
        <f aca="false">I26+S26</f>
        <v>64271.0811409323</v>
      </c>
      <c r="TR26" s="20" t="n">
        <f aca="false">1-G26</f>
        <v>0</v>
      </c>
      <c r="TS26" s="20" t="n">
        <f aca="false">IF(AND(RG_Exists=1,G26=0,C26=1),I26,0)</f>
        <v>0</v>
      </c>
      <c r="TT26" s="20" t="n">
        <f aca="false">IF(AND(RG_Exists=1,G26=0,C26=1),I26-MIN(QE26,I26),0)</f>
        <v>0</v>
      </c>
      <c r="TU26" s="20" t="n">
        <f aca="false">'Plan pay &amp; tax'!AD252</f>
        <v>396777.313614333</v>
      </c>
      <c r="TV26" s="20" t="n">
        <f aca="false">IF(AND(C26=1,QE26&gt;MAX(PR_Short1,TQ26*PR_Short2)),1,0)</f>
        <v>0</v>
      </c>
      <c r="TW26" s="20" t="n">
        <f aca="false">MIN(H26,I26+S26)</f>
        <v>64271.0811409323</v>
      </c>
      <c r="TX26" s="20" t="n">
        <f aca="false">QF26+MAX(0,HQ26-HP26)</f>
        <v>0</v>
      </c>
      <c r="TY26" s="20" t="n">
        <f aca="false">QE26+HP26</f>
        <v>0</v>
      </c>
      <c r="TZ26" s="20" t="n">
        <f aca="false">IF(AND(C26=1,TY26&gt;PR_MinShort),1,0)</f>
        <v>0</v>
      </c>
      <c r="UA26" s="20" t="n">
        <f aca="false">IF(AND(C26=1,TZ26=0,TX26&gt;PR_MinShort),1,0)</f>
        <v>0</v>
      </c>
      <c r="UB26" s="20" t="n">
        <f aca="false">IF(AND(C26=1,QE26&gt;PR_MinShort),1,0)</f>
        <v>0</v>
      </c>
      <c r="UC26" s="20" t="n">
        <f aca="false">IF(AND(C26=1,QF26&gt;1,UJ26=0),1,0)</f>
        <v>0</v>
      </c>
      <c r="UD26" s="20" t="str">
        <f aca="false">IF(C26=0,"",IF(UJ26=1,"Gap to plan for: short "&amp;"€"&amp;TEXT(ROUND(TP26,0),"#,##0"),IF(QF26&gt;1,"Using savings","Comfortable")))</f>
        <v>Comfortable</v>
      </c>
      <c r="UE26" s="20" t="n">
        <f aca="false">IF(AND(INT(D26/10)*10=90,B26&gt;0),80,INT(D26/10)*10)</f>
        <v>50</v>
      </c>
      <c r="UF26" s="20" t="n">
        <f aca="false">IF(B26=0,1,IF(UE26&lt;&gt;UE25,UF25+1,UF25))</f>
        <v>3</v>
      </c>
      <c r="UG26" s="20" t="n">
        <f aca="false">IF(AND(C26=1,G26=1,QE26&gt;MAX(PR_Short1,TQ26*PR_Short2)),1,0)</f>
        <v>0</v>
      </c>
      <c r="UH26" s="20" t="n">
        <f aca="false">TR26*TV26</f>
        <v>0</v>
      </c>
      <c r="UI26" s="20" t="n">
        <f aca="false">IF(AND(V26=1,Slot1_PctLow=1),1,0)+IF(AND(AG26=1,Slot2_PctLow=1),1,0)+IF(AND(AQ26=1,Slot3_PctLow=1),1,0)+IF(AND(BA26=1,Slot4_PctLow=1),1,0)+IF(AND(BK26=1,Slot5_PctLow=1),1,0)+IF(AND(BU26=1,Slot6_PctLow=1),1,0)+IF(AND(CE26=1,Slot7_PctLow=1),1,0)+IF(AND(CO26=1,Slot8_PctLow=1),1,0)+IF(AND(CY26=1,Slot9_PctLow=1),1,0)+IF(AND(DI26=1,Slot10_PctLow=1),1,0)+IF(AND(DS26=1,Slot11_PctLow=1),1,0)+IF(AND(EC26=1,Slot12_PctLow=1),1,0)+IF(AND(EM26=1,Slot13_PctLow=1),1,0)+IF(AND(EW26=1,Slot14_PctLow=1),1,0)+IF(AND(FG26=1,Slot15_PctLow=1),1,0)+IF(AND(FQ26=1,Slot16_PctLow=1),1,0)+IF(AND(GA26=1,Slot17_PctLow=1),1,0)+IF(AND(GK26=1,Slot18_PctLow=1),1,0)+IF(AND(GU26=1,Slot19_PctLow=1),1,0)+IF(AND(HE26=1,Slot20_PctLow=1),1,0)</f>
        <v>0</v>
      </c>
      <c r="UJ26" s="20" t="n">
        <f aca="false">IF(C26=1,IF(OR(TV26=1,UI26&gt;0),1,0),0)</f>
        <v>0</v>
      </c>
    </row>
    <row r="27" customFormat="false" ht="15" hidden="false" customHeight="true" outlineLevel="0" collapsed="false">
      <c r="B27" s="20" t="n">
        <v>19</v>
      </c>
      <c r="C27" s="20" t="n">
        <f aca="false">IF(B27&lt;=F_N,1,0)</f>
        <v>1</v>
      </c>
      <c r="D27" s="20" t="n">
        <f aca="false">'Plan pay &amp; tax'!C253</f>
        <v>57</v>
      </c>
      <c r="E27" s="20" t="str">
        <f aca="false">IF($C27=1,"Income tax "&amp;TEXT(N('Plan pay &amp; tax'!BK253),"#,##0")&amp;"; USC "&amp;TEXT(N('Plan pay &amp; tax'!BM253)+N('Plan pay &amp; tax'!BO253),"#,##0")&amp;"; PRSI "&amp;TEXT(N('Plan pay &amp; tax'!BP253)+N('Plan pay &amp; tax'!BQ253),"#,##0")&amp;". DIRT and exit tax are inside the growth rates here.","")</f>
        <v>Income tax 14,919; USC 1,977; PRSI 4,526. DIRT and exit tax are inside the growth rates here.</v>
      </c>
      <c r="F27" s="44" t="n">
        <f aca="false">'Plan pay &amp; tax'!E253</f>
        <v>1.4568111725278</v>
      </c>
      <c r="G27" s="20" t="n">
        <f aca="false">'Plan pay &amp; tax'!G253</f>
        <v>1</v>
      </c>
      <c r="H27" s="20" t="n">
        <f aca="false">'Plan pay &amp; tax'!BT253-'Plan pay &amp; tax'!BS253-'Plan pay &amp; tax'!R253</f>
        <v>103602.836873716</v>
      </c>
      <c r="I27" s="20" t="n">
        <f aca="false">IF(G27=1,F_CostsM*12,IF(RG_Exists=1,RG_Amount,F_CostsM*12*AS_RetireSpend))*F27+F_OneOffY*F27</f>
        <v>65556.502763751</v>
      </c>
      <c r="J27" s="20" t="n">
        <f aca="false">HR26</f>
        <v>0</v>
      </c>
      <c r="K27" s="20" t="n">
        <f aca="false">IF(J27&gt;1,'Plan debt months'!AC27,0)</f>
        <v>0</v>
      </c>
      <c r="L27" s="20" t="n">
        <f aca="false">IF(J27&gt;1,'Plan debt months'!AB27,J27)</f>
        <v>0</v>
      </c>
      <c r="M27" s="20" t="n">
        <f aca="false">O26</f>
        <v>0</v>
      </c>
      <c r="N27" s="20" t="n">
        <f aca="false">IF(M27&gt;1,'Plan debt months'!BD27,0)</f>
        <v>0</v>
      </c>
      <c r="O27" s="20" t="n">
        <f aca="false">IF(M27&gt;1,'Plan debt months'!BC27,M27)</f>
        <v>0</v>
      </c>
      <c r="P27" s="20" t="n">
        <f aca="false">R26</f>
        <v>0</v>
      </c>
      <c r="Q27" s="20" t="n">
        <f aca="false">IF(P27&gt;1,'Plan debt months'!CE27,0)</f>
        <v>0</v>
      </c>
      <c r="R27" s="20" t="n">
        <f aca="false">IF(P27&gt;1,'Plan debt months'!CD27,P27)</f>
        <v>0</v>
      </c>
      <c r="S27" s="20" t="n">
        <f aca="false">K27+N27+Q27</f>
        <v>0</v>
      </c>
      <c r="T27" s="20" t="n">
        <f aca="false">QK26+'Plan pay &amp; tax'!Y253</f>
        <v>34700.6584348814</v>
      </c>
      <c r="U27" s="20" t="n">
        <f aca="false">QK26</f>
        <v>34700.6584348814</v>
      </c>
      <c r="V27" s="20" t="n">
        <f aca="false">IF(AND(Slot1_On=1,D27=Slot1_Age),1,0)</f>
        <v>0</v>
      </c>
      <c r="W27" s="20" t="n">
        <f aca="false">IF(AND(Slot1_On=1,Slot1_Age&gt;D27),1,0)</f>
        <v>0</v>
      </c>
      <c r="X27" s="20" t="n">
        <f aca="false">QM26</f>
        <v>0</v>
      </c>
      <c r="Y27" s="20" t="n">
        <f aca="false">V27*MIN(Slot1_Cost,X27)</f>
        <v>0</v>
      </c>
      <c r="Z27" s="20" t="n">
        <f aca="false">V27*Slot1_SpendLike*MIN(Slot1_Cost-Y27,T27)</f>
        <v>0</v>
      </c>
      <c r="AA27" s="20" t="n">
        <f aca="false">Y27+Z27</f>
        <v>0</v>
      </c>
      <c r="AB27" s="20" t="n">
        <f aca="false">T27-Z27+V27*IF(Slot1_SpendLike=1,X27-Y27,IF(Slot1_PotFree=1,X27,0))</f>
        <v>34700.6584348814</v>
      </c>
      <c r="AC27" s="20" t="n">
        <f aca="false">AF27+V27*Slot1_BufPot*X27</f>
        <v>18482.254956006</v>
      </c>
      <c r="AD27" s="20" t="n">
        <f aca="false">IF(AND(V27=1,Slot1_IsMfree=1),IF(AA27&gt;=Slot1_Cost-1,0,MAX(0,L27-AA27)),L27)</f>
        <v>0</v>
      </c>
      <c r="AE27" s="20" t="n">
        <f aca="false">V27*(Slot1_Cost-AA27)</f>
        <v>0</v>
      </c>
      <c r="AF27" s="20" t="n">
        <f aca="false">QL26</f>
        <v>18482.254956006</v>
      </c>
      <c r="AG27" s="20" t="n">
        <f aca="false">IF(AND(Slot2_On=1,D27=Slot2_Age),1,0)</f>
        <v>0</v>
      </c>
      <c r="AH27" s="20" t="n">
        <f aca="false">IF(AND(Slot2_On=1,Slot2_Age&gt;D27),1,0)</f>
        <v>0</v>
      </c>
      <c r="AI27" s="20" t="n">
        <f aca="false">QQ26</f>
        <v>0</v>
      </c>
      <c r="AJ27" s="20" t="n">
        <f aca="false">AG27*MIN(Slot2_Cost,AI27)</f>
        <v>0</v>
      </c>
      <c r="AK27" s="20" t="n">
        <f aca="false">AG27*Slot2_SpendLike*MIN(Slot2_Cost-AJ27,AB27)</f>
        <v>0</v>
      </c>
      <c r="AL27" s="20" t="n">
        <f aca="false">AJ27+AK27</f>
        <v>0</v>
      </c>
      <c r="AM27" s="20" t="n">
        <f aca="false">AB27-AK27+AG27*IF(Slot2_SpendLike=1,AI27-AJ27,IF(Slot2_PotFree=1,AI27,0))</f>
        <v>34700.6584348814</v>
      </c>
      <c r="AN27" s="20" t="n">
        <f aca="false">AC27+AG27*Slot2_BufPot*AI27</f>
        <v>18482.254956006</v>
      </c>
      <c r="AO27" s="20" t="n">
        <f aca="false">IF(AND(AG27=1,Slot2_IsMfree=1),IF(AL27&gt;=Slot2_Cost-1,0,MAX(0,AD27-AL27)),AD27)</f>
        <v>0</v>
      </c>
      <c r="AP27" s="20" t="n">
        <f aca="false">AG27*(Slot2_Cost-AL27)</f>
        <v>0</v>
      </c>
      <c r="AQ27" s="20" t="n">
        <f aca="false">IF(AND(Slot3_On=1,D27=Slot3_Age),1,0)</f>
        <v>0</v>
      </c>
      <c r="AR27" s="20" t="n">
        <f aca="false">IF(AND(Slot3_On=1,Slot3_Age&gt;D27),1,0)</f>
        <v>0</v>
      </c>
      <c r="AS27" s="20" t="n">
        <f aca="false">QU26</f>
        <v>0</v>
      </c>
      <c r="AT27" s="20" t="n">
        <f aca="false">AQ27*MIN(Slot3_Cost,AS27)</f>
        <v>0</v>
      </c>
      <c r="AU27" s="20" t="n">
        <f aca="false">AQ27*Slot3_SpendLike*MIN(Slot3_Cost-AT27,AM27)</f>
        <v>0</v>
      </c>
      <c r="AV27" s="20" t="n">
        <f aca="false">AT27+AU27</f>
        <v>0</v>
      </c>
      <c r="AW27" s="20" t="n">
        <f aca="false">AM27-AU27+AQ27*IF(Slot3_SpendLike=1,AS27-AT27,IF(Slot3_PotFree=1,AS27,0))</f>
        <v>34700.6584348814</v>
      </c>
      <c r="AX27" s="20" t="n">
        <f aca="false">AN27+AQ27*Slot3_BufPot*AS27</f>
        <v>18482.254956006</v>
      </c>
      <c r="AY27" s="20" t="n">
        <f aca="false">IF(AND(AQ27=1,Slot3_IsMfree=1),IF(AV27&gt;=Slot3_Cost-1,0,MAX(0,AO27-AV27)),AO27)</f>
        <v>0</v>
      </c>
      <c r="AZ27" s="20" t="n">
        <f aca="false">AQ27*(Slot3_Cost-AV27)</f>
        <v>0</v>
      </c>
      <c r="BA27" s="20" t="n">
        <f aca="false">IF(AND(Slot4_On=1,D27=Slot4_Age),1,0)</f>
        <v>0</v>
      </c>
      <c r="BB27" s="20" t="n">
        <f aca="false">IF(AND(Slot4_On=1,Slot4_Age&gt;D27),1,0)</f>
        <v>0</v>
      </c>
      <c r="BC27" s="20" t="n">
        <f aca="false">QY26</f>
        <v>0</v>
      </c>
      <c r="BD27" s="20" t="n">
        <f aca="false">BA27*MIN(Slot4_Cost,BC27)</f>
        <v>0</v>
      </c>
      <c r="BE27" s="20" t="n">
        <f aca="false">BA27*Slot4_SpendLike*MIN(Slot4_Cost-BD27,AW27)</f>
        <v>0</v>
      </c>
      <c r="BF27" s="20" t="n">
        <f aca="false">BD27+BE27</f>
        <v>0</v>
      </c>
      <c r="BG27" s="20" t="n">
        <f aca="false">AW27-BE27+BA27*IF(Slot4_SpendLike=1,BC27-BD27,IF(Slot4_PotFree=1,BC27,0))</f>
        <v>34700.6584348814</v>
      </c>
      <c r="BH27" s="20" t="n">
        <f aca="false">AX27+BA27*Slot4_BufPot*BC27</f>
        <v>18482.254956006</v>
      </c>
      <c r="BI27" s="20" t="n">
        <f aca="false">IF(AND(BA27=1,Slot4_IsMfree=1),IF(BF27&gt;=Slot4_Cost-1,0,MAX(0,AY27-BF27)),AY27)</f>
        <v>0</v>
      </c>
      <c r="BJ27" s="20" t="n">
        <f aca="false">BA27*(Slot4_Cost-BF27)</f>
        <v>0</v>
      </c>
      <c r="BK27" s="20" t="n">
        <f aca="false">IF(AND(Slot5_On=1,D27=Slot5_Age),1,0)</f>
        <v>0</v>
      </c>
      <c r="BL27" s="20" t="n">
        <f aca="false">IF(AND(Slot5_On=1,Slot5_Age&gt;D27),1,0)</f>
        <v>0</v>
      </c>
      <c r="BM27" s="20" t="n">
        <f aca="false">RC26</f>
        <v>0</v>
      </c>
      <c r="BN27" s="20" t="n">
        <f aca="false">BK27*MIN(Slot5_Cost,BM27)</f>
        <v>0</v>
      </c>
      <c r="BO27" s="20" t="n">
        <f aca="false">BK27*Slot5_SpendLike*MIN(Slot5_Cost-BN27,BG27)</f>
        <v>0</v>
      </c>
      <c r="BP27" s="20" t="n">
        <f aca="false">BN27+BO27</f>
        <v>0</v>
      </c>
      <c r="BQ27" s="20" t="n">
        <f aca="false">BG27-BO27+BK27*IF(Slot5_SpendLike=1,BM27-BN27,IF(Slot5_PotFree=1,BM27,0))</f>
        <v>34700.6584348814</v>
      </c>
      <c r="BR27" s="20" t="n">
        <f aca="false">BH27+BK27*Slot5_BufPot*BM27</f>
        <v>18482.254956006</v>
      </c>
      <c r="BS27" s="20" t="n">
        <f aca="false">IF(AND(BK27=1,Slot5_IsMfree=1),IF(BP27&gt;=Slot5_Cost-1,0,MAX(0,BI27-BP27)),BI27)</f>
        <v>0</v>
      </c>
      <c r="BT27" s="20" t="n">
        <f aca="false">BK27*(Slot5_Cost-BP27)</f>
        <v>0</v>
      </c>
      <c r="BU27" s="20" t="n">
        <f aca="false">IF(AND(Slot6_On=1,D27=Slot6_Age),1,0)</f>
        <v>0</v>
      </c>
      <c r="BV27" s="20" t="n">
        <f aca="false">IF(AND(Slot6_On=1,Slot6_Age&gt;D27),1,0)</f>
        <v>0</v>
      </c>
      <c r="BW27" s="20" t="n">
        <f aca="false">RG26</f>
        <v>0</v>
      </c>
      <c r="BX27" s="20" t="n">
        <f aca="false">BU27*MIN(Slot6_Cost,BW27)</f>
        <v>0</v>
      </c>
      <c r="BY27" s="20" t="n">
        <f aca="false">BU27*Slot6_SpendLike*MIN(Slot6_Cost-BX27,BQ27)</f>
        <v>0</v>
      </c>
      <c r="BZ27" s="20" t="n">
        <f aca="false">BX27+BY27</f>
        <v>0</v>
      </c>
      <c r="CA27" s="20" t="n">
        <f aca="false">BQ27-BY27+BU27*IF(Slot6_SpendLike=1,BW27-BX27,IF(Slot6_PotFree=1,BW27,0))</f>
        <v>34700.6584348814</v>
      </c>
      <c r="CB27" s="20" t="n">
        <f aca="false">BR27+BU27*Slot6_BufPot*BW27</f>
        <v>18482.254956006</v>
      </c>
      <c r="CC27" s="20" t="n">
        <f aca="false">IF(AND(BU27=1,Slot6_IsMfree=1),IF(BZ27&gt;=Slot6_Cost-1,0,MAX(0,BS27-BZ27)),BS27)</f>
        <v>0</v>
      </c>
      <c r="CD27" s="20" t="n">
        <f aca="false">BU27*(Slot6_Cost-BZ27)</f>
        <v>0</v>
      </c>
      <c r="CE27" s="20" t="n">
        <f aca="false">IF(AND(Slot7_On=1,D27=Slot7_Age),1,0)</f>
        <v>0</v>
      </c>
      <c r="CF27" s="20" t="n">
        <f aca="false">IF(AND(Slot7_On=1,Slot7_Age&gt;D27),1,0)</f>
        <v>0</v>
      </c>
      <c r="CG27" s="20" t="n">
        <f aca="false">RK26</f>
        <v>0</v>
      </c>
      <c r="CH27" s="20" t="n">
        <f aca="false">CE27*MIN(Slot7_Cost,CG27)</f>
        <v>0</v>
      </c>
      <c r="CI27" s="20" t="n">
        <f aca="false">CE27*Slot7_SpendLike*MIN(Slot7_Cost-CH27,CA27)</f>
        <v>0</v>
      </c>
      <c r="CJ27" s="20" t="n">
        <f aca="false">CH27+CI27</f>
        <v>0</v>
      </c>
      <c r="CK27" s="20" t="n">
        <f aca="false">CA27-CI27+CE27*IF(Slot7_SpendLike=1,CG27-CH27,IF(Slot7_PotFree=1,CG27,0))</f>
        <v>34700.6584348814</v>
      </c>
      <c r="CL27" s="20" t="n">
        <f aca="false">CB27+CE27*Slot7_BufPot*CG27</f>
        <v>18482.254956006</v>
      </c>
      <c r="CM27" s="20" t="n">
        <f aca="false">IF(AND(CE27=1,Slot7_IsMfree=1),IF(CJ27&gt;=Slot7_Cost-1,0,MAX(0,CC27-CJ27)),CC27)</f>
        <v>0</v>
      </c>
      <c r="CN27" s="20" t="n">
        <f aca="false">CE27*(Slot7_Cost-CJ27)</f>
        <v>0</v>
      </c>
      <c r="CO27" s="20" t="n">
        <f aca="false">IF(AND(Slot8_On=1,D27=Slot8_Age),1,0)</f>
        <v>0</v>
      </c>
      <c r="CP27" s="20" t="n">
        <f aca="false">IF(AND(Slot8_On=1,Slot8_Age&gt;D27),1,0)</f>
        <v>0</v>
      </c>
      <c r="CQ27" s="20" t="n">
        <f aca="false">RO26</f>
        <v>0</v>
      </c>
      <c r="CR27" s="20" t="n">
        <f aca="false">CO27*MIN(Slot8_Cost,CQ27)</f>
        <v>0</v>
      </c>
      <c r="CS27" s="20" t="n">
        <f aca="false">CO27*Slot8_SpendLike*MIN(Slot8_Cost-CR27,CK27)</f>
        <v>0</v>
      </c>
      <c r="CT27" s="20" t="n">
        <f aca="false">CR27+CS27</f>
        <v>0</v>
      </c>
      <c r="CU27" s="20" t="n">
        <f aca="false">CK27-CS27+CO27*IF(Slot8_SpendLike=1,CQ27-CR27,IF(Slot8_PotFree=1,CQ27,0))</f>
        <v>34700.6584348814</v>
      </c>
      <c r="CV27" s="20" t="n">
        <f aca="false">CL27+CO27*Slot8_BufPot*CQ27</f>
        <v>18482.254956006</v>
      </c>
      <c r="CW27" s="20" t="n">
        <f aca="false">IF(AND(CO27=1,Slot8_IsMfree=1),IF(CT27&gt;=Slot8_Cost-1,0,MAX(0,CM27-CT27)),CM27)</f>
        <v>0</v>
      </c>
      <c r="CX27" s="20" t="n">
        <f aca="false">CO27*(Slot8_Cost-CT27)</f>
        <v>0</v>
      </c>
      <c r="CY27" s="20" t="n">
        <f aca="false">IF(AND(Slot9_On=1,D27=Slot9_Age),1,0)</f>
        <v>0</v>
      </c>
      <c r="CZ27" s="20" t="n">
        <f aca="false">IF(AND(Slot9_On=1,Slot9_Age&gt;D27),1,0)</f>
        <v>0</v>
      </c>
      <c r="DA27" s="20" t="n">
        <f aca="false">RS26</f>
        <v>0</v>
      </c>
      <c r="DB27" s="20" t="n">
        <f aca="false">CY27*MIN(Slot9_Cost,DA27)</f>
        <v>0</v>
      </c>
      <c r="DC27" s="20" t="n">
        <f aca="false">CY27*Slot9_SpendLike*MIN(Slot9_Cost-DB27,CU27)</f>
        <v>0</v>
      </c>
      <c r="DD27" s="20" t="n">
        <f aca="false">DB27+DC27</f>
        <v>0</v>
      </c>
      <c r="DE27" s="20" t="n">
        <f aca="false">CU27-DC27+CY27*IF(Slot9_SpendLike=1,DA27-DB27,IF(Slot9_PotFree=1,DA27,0))</f>
        <v>34700.6584348814</v>
      </c>
      <c r="DF27" s="20" t="n">
        <f aca="false">CV27+CY27*Slot9_BufPot*DA27</f>
        <v>18482.254956006</v>
      </c>
      <c r="DG27" s="20" t="n">
        <f aca="false">IF(AND(CY27=1,Slot9_IsMfree=1),IF(DD27&gt;=Slot9_Cost-1,0,MAX(0,CW27-DD27)),CW27)</f>
        <v>0</v>
      </c>
      <c r="DH27" s="20" t="n">
        <f aca="false">CY27*(Slot9_Cost-DD27)</f>
        <v>0</v>
      </c>
      <c r="DI27" s="20" t="n">
        <f aca="false">IF(AND(Slot10_On=1,D27=Slot10_Age),1,0)</f>
        <v>0</v>
      </c>
      <c r="DJ27" s="20" t="n">
        <f aca="false">IF(AND(Slot10_On=1,Slot10_Age&gt;D27),1,0)</f>
        <v>0</v>
      </c>
      <c r="DK27" s="20" t="n">
        <f aca="false">RW26</f>
        <v>0</v>
      </c>
      <c r="DL27" s="20" t="n">
        <f aca="false">DI27*MIN(Slot10_Cost,DK27)</f>
        <v>0</v>
      </c>
      <c r="DM27" s="20" t="n">
        <f aca="false">DI27*Slot10_SpendLike*MIN(Slot10_Cost-DL27,DE27)</f>
        <v>0</v>
      </c>
      <c r="DN27" s="20" t="n">
        <f aca="false">DL27+DM27</f>
        <v>0</v>
      </c>
      <c r="DO27" s="20" t="n">
        <f aca="false">DE27-DM27+DI27*IF(Slot10_SpendLike=1,DK27-DL27,IF(Slot10_PotFree=1,DK27,0))</f>
        <v>34700.6584348814</v>
      </c>
      <c r="DP27" s="20" t="n">
        <f aca="false">DF27+DI27*Slot10_BufPot*DK27</f>
        <v>18482.254956006</v>
      </c>
      <c r="DQ27" s="20" t="n">
        <f aca="false">IF(AND(DI27=1,Slot10_IsMfree=1),IF(DN27&gt;=Slot10_Cost-1,0,MAX(0,DG27-DN27)),DG27)</f>
        <v>0</v>
      </c>
      <c r="DR27" s="20" t="n">
        <f aca="false">DI27*(Slot10_Cost-DN27)</f>
        <v>0</v>
      </c>
      <c r="DS27" s="20" t="n">
        <f aca="false">IF(AND(Slot11_On=1,D27=Slot11_Age),1,0)</f>
        <v>0</v>
      </c>
      <c r="DT27" s="20" t="n">
        <f aca="false">IF(AND(Slot11_On=1,Slot11_Age&gt;D27),1,0)</f>
        <v>0</v>
      </c>
      <c r="DU27" s="20" t="n">
        <f aca="false">SA26</f>
        <v>0</v>
      </c>
      <c r="DV27" s="20" t="n">
        <f aca="false">DS27*MIN(Slot11_Cost,DU27)</f>
        <v>0</v>
      </c>
      <c r="DW27" s="20" t="n">
        <f aca="false">DS27*Slot11_SpendLike*MIN(Slot11_Cost-DV27,DO27)</f>
        <v>0</v>
      </c>
      <c r="DX27" s="20" t="n">
        <f aca="false">DV27+DW27</f>
        <v>0</v>
      </c>
      <c r="DY27" s="20" t="n">
        <f aca="false">DO27-DW27+DS27*IF(Slot11_SpendLike=1,DU27-DV27,IF(Slot11_PotFree=1,DU27,0))</f>
        <v>34700.6584348814</v>
      </c>
      <c r="DZ27" s="20" t="n">
        <f aca="false">DP27+DS27*Slot11_BufPot*DU27</f>
        <v>18482.254956006</v>
      </c>
      <c r="EA27" s="20" t="n">
        <f aca="false">IF(AND(DS27=1,Slot11_IsMfree=1),IF(DX27&gt;=Slot11_Cost-1,0,MAX(0,DQ27-DX27)),DQ27)</f>
        <v>0</v>
      </c>
      <c r="EB27" s="20" t="n">
        <f aca="false">DS27*(Slot11_Cost-DX27)</f>
        <v>0</v>
      </c>
      <c r="EC27" s="20" t="n">
        <f aca="false">IF(AND(Slot12_On=1,D27=Slot12_Age),1,0)</f>
        <v>0</v>
      </c>
      <c r="ED27" s="20" t="n">
        <f aca="false">IF(AND(Slot12_On=1,Slot12_Age&gt;D27),1,0)</f>
        <v>0</v>
      </c>
      <c r="EE27" s="20" t="n">
        <f aca="false">SE26</f>
        <v>0</v>
      </c>
      <c r="EF27" s="20" t="n">
        <f aca="false">EC27*MIN(Slot12_Cost,EE27)</f>
        <v>0</v>
      </c>
      <c r="EG27" s="20" t="n">
        <f aca="false">EC27*Slot12_SpendLike*MIN(Slot12_Cost-EF27,DY27)</f>
        <v>0</v>
      </c>
      <c r="EH27" s="20" t="n">
        <f aca="false">EF27+EG27</f>
        <v>0</v>
      </c>
      <c r="EI27" s="20" t="n">
        <f aca="false">DY27-EG27+EC27*IF(Slot12_SpendLike=1,EE27-EF27,IF(Slot12_PotFree=1,EE27,0))</f>
        <v>34700.6584348814</v>
      </c>
      <c r="EJ27" s="20" t="n">
        <f aca="false">DZ27+EC27*Slot12_BufPot*EE27</f>
        <v>18482.254956006</v>
      </c>
      <c r="EK27" s="20" t="n">
        <f aca="false">IF(AND(EC27=1,Slot12_IsMfree=1),IF(EH27&gt;=Slot12_Cost-1,0,MAX(0,EA27-EH27)),EA27)</f>
        <v>0</v>
      </c>
      <c r="EL27" s="20" t="n">
        <f aca="false">EC27*(Slot12_Cost-EH27)</f>
        <v>0</v>
      </c>
      <c r="EM27" s="20" t="n">
        <f aca="false">IF(AND(Slot13_On=1,D27=Slot13_Age),1,0)</f>
        <v>0</v>
      </c>
      <c r="EN27" s="20" t="n">
        <f aca="false">IF(AND(Slot13_On=1,Slot13_Age&gt;D27),1,0)</f>
        <v>0</v>
      </c>
      <c r="EO27" s="20" t="n">
        <f aca="false">SI26</f>
        <v>0</v>
      </c>
      <c r="EP27" s="20" t="n">
        <f aca="false">EM27*MIN(Slot13_Cost,EO27)</f>
        <v>0</v>
      </c>
      <c r="EQ27" s="20" t="n">
        <f aca="false">EM27*Slot13_SpendLike*MIN(Slot13_Cost-EP27,EI27)</f>
        <v>0</v>
      </c>
      <c r="ER27" s="20" t="n">
        <f aca="false">EP27+EQ27</f>
        <v>0</v>
      </c>
      <c r="ES27" s="20" t="n">
        <f aca="false">EI27-EQ27+EM27*IF(Slot13_SpendLike=1,EO27-EP27,IF(Slot13_PotFree=1,EO27,0))</f>
        <v>34700.6584348814</v>
      </c>
      <c r="ET27" s="20" t="n">
        <f aca="false">EJ27+EM27*Slot13_BufPot*EO27</f>
        <v>18482.254956006</v>
      </c>
      <c r="EU27" s="20" t="n">
        <f aca="false">IF(AND(EM27=1,Slot13_IsMfree=1),IF(ER27&gt;=Slot13_Cost-1,0,MAX(0,EK27-ER27)),EK27)</f>
        <v>0</v>
      </c>
      <c r="EV27" s="20" t="n">
        <f aca="false">EM27*(Slot13_Cost-ER27)</f>
        <v>0</v>
      </c>
      <c r="EW27" s="20" t="n">
        <f aca="false">IF(AND(Slot14_On=1,D27=Slot14_Age),1,0)</f>
        <v>0</v>
      </c>
      <c r="EX27" s="20" t="n">
        <f aca="false">IF(AND(Slot14_On=1,Slot14_Age&gt;D27),1,0)</f>
        <v>0</v>
      </c>
      <c r="EY27" s="20" t="n">
        <f aca="false">SM26</f>
        <v>0</v>
      </c>
      <c r="EZ27" s="20" t="n">
        <f aca="false">EW27*MIN(Slot14_Cost,EY27)</f>
        <v>0</v>
      </c>
      <c r="FA27" s="20" t="n">
        <f aca="false">EW27*Slot14_SpendLike*MIN(Slot14_Cost-EZ27,ES27)</f>
        <v>0</v>
      </c>
      <c r="FB27" s="20" t="n">
        <f aca="false">EZ27+FA27</f>
        <v>0</v>
      </c>
      <c r="FC27" s="20" t="n">
        <f aca="false">ES27-FA27+EW27*IF(Slot14_SpendLike=1,EY27-EZ27,IF(Slot14_PotFree=1,EY27,0))</f>
        <v>34700.6584348814</v>
      </c>
      <c r="FD27" s="20" t="n">
        <f aca="false">ET27+EW27*Slot14_BufPot*EY27</f>
        <v>18482.254956006</v>
      </c>
      <c r="FE27" s="20" t="n">
        <f aca="false">IF(AND(EW27=1,Slot14_IsMfree=1),IF(FB27&gt;=Slot14_Cost-1,0,MAX(0,EU27-FB27)),EU27)</f>
        <v>0</v>
      </c>
      <c r="FF27" s="20" t="n">
        <f aca="false">EW27*(Slot14_Cost-FB27)</f>
        <v>0</v>
      </c>
      <c r="FG27" s="20" t="n">
        <f aca="false">IF(AND(Slot15_On=1,D27=Slot15_Age),1,0)</f>
        <v>0</v>
      </c>
      <c r="FH27" s="20" t="n">
        <f aca="false">IF(AND(Slot15_On=1,Slot15_Age&gt;D27),1,0)</f>
        <v>0</v>
      </c>
      <c r="FI27" s="20" t="n">
        <f aca="false">SQ26</f>
        <v>0</v>
      </c>
      <c r="FJ27" s="20" t="n">
        <f aca="false">FG27*MIN(Slot15_Cost,FI27)</f>
        <v>0</v>
      </c>
      <c r="FK27" s="20" t="n">
        <f aca="false">FG27*Slot15_SpendLike*MIN(Slot15_Cost-FJ27,FC27)</f>
        <v>0</v>
      </c>
      <c r="FL27" s="20" t="n">
        <f aca="false">FJ27+FK27</f>
        <v>0</v>
      </c>
      <c r="FM27" s="20" t="n">
        <f aca="false">FC27-FK27+FG27*IF(Slot15_SpendLike=1,FI27-FJ27,IF(Slot15_PotFree=1,FI27,0))</f>
        <v>34700.6584348814</v>
      </c>
      <c r="FN27" s="20" t="n">
        <f aca="false">FD27+FG27*Slot15_BufPot*FI27</f>
        <v>18482.254956006</v>
      </c>
      <c r="FO27" s="20" t="n">
        <f aca="false">IF(AND(FG27=1,Slot15_IsMfree=1),IF(FL27&gt;=Slot15_Cost-1,0,MAX(0,FE27-FL27)),FE27)</f>
        <v>0</v>
      </c>
      <c r="FP27" s="20" t="n">
        <f aca="false">FG27*(Slot15_Cost-FL27)</f>
        <v>0</v>
      </c>
      <c r="FQ27" s="20" t="n">
        <f aca="false">IF(AND(Slot16_On=1,D27=Slot16_Age),1,0)</f>
        <v>0</v>
      </c>
      <c r="FR27" s="20" t="n">
        <f aca="false">IF(AND(Slot16_On=1,Slot16_Age&gt;D27),1,0)</f>
        <v>0</v>
      </c>
      <c r="FS27" s="20" t="n">
        <f aca="false">SU26</f>
        <v>0</v>
      </c>
      <c r="FT27" s="20" t="n">
        <f aca="false">FQ27*MIN(Slot16_Cost,FS27)</f>
        <v>0</v>
      </c>
      <c r="FU27" s="20" t="n">
        <f aca="false">FQ27*Slot16_SpendLike*MIN(Slot16_Cost-FT27,FM27)</f>
        <v>0</v>
      </c>
      <c r="FV27" s="20" t="n">
        <f aca="false">FT27+FU27</f>
        <v>0</v>
      </c>
      <c r="FW27" s="20" t="n">
        <f aca="false">FM27-FU27+FQ27*IF(Slot16_SpendLike=1,FS27-FT27,IF(Slot16_PotFree=1,FS27,0))</f>
        <v>34700.6584348814</v>
      </c>
      <c r="FX27" s="20" t="n">
        <f aca="false">FN27+FQ27*Slot16_BufPot*FS27</f>
        <v>18482.254956006</v>
      </c>
      <c r="FY27" s="20" t="n">
        <f aca="false">IF(AND(FQ27=1,Slot16_IsMfree=1),IF(FV27&gt;=Slot16_Cost-1,0,MAX(0,FO27-FV27)),FO27)</f>
        <v>0</v>
      </c>
      <c r="FZ27" s="20" t="n">
        <f aca="false">FQ27*(Slot16_Cost-FV27)</f>
        <v>0</v>
      </c>
      <c r="GA27" s="20" t="n">
        <f aca="false">IF(AND(Slot17_On=1,D27=Slot17_Age),1,0)</f>
        <v>0</v>
      </c>
      <c r="GB27" s="20" t="n">
        <f aca="false">IF(AND(Slot17_On=1,Slot17_Age&gt;D27),1,0)</f>
        <v>0</v>
      </c>
      <c r="GC27" s="20" t="n">
        <f aca="false">SY26</f>
        <v>0</v>
      </c>
      <c r="GD27" s="20" t="n">
        <f aca="false">GA27*MIN(Slot17_Cost,GC27)</f>
        <v>0</v>
      </c>
      <c r="GE27" s="20" t="n">
        <f aca="false">GA27*Slot17_SpendLike*MIN(Slot17_Cost-GD27,FW27)</f>
        <v>0</v>
      </c>
      <c r="GF27" s="20" t="n">
        <f aca="false">GD27+GE27</f>
        <v>0</v>
      </c>
      <c r="GG27" s="20" t="n">
        <f aca="false">FW27-GE27+GA27*IF(Slot17_SpendLike=1,GC27-GD27,IF(Slot17_PotFree=1,GC27,0))</f>
        <v>34700.6584348814</v>
      </c>
      <c r="GH27" s="20" t="n">
        <f aca="false">FX27+GA27*Slot17_BufPot*GC27</f>
        <v>18482.254956006</v>
      </c>
      <c r="GI27" s="20" t="n">
        <f aca="false">IF(AND(GA27=1,Slot17_IsMfree=1),IF(GF27&gt;=Slot17_Cost-1,0,MAX(0,FY27-GF27)),FY27)</f>
        <v>0</v>
      </c>
      <c r="GJ27" s="20" t="n">
        <f aca="false">GA27*(Slot17_Cost-GF27)</f>
        <v>0</v>
      </c>
      <c r="GK27" s="20" t="n">
        <f aca="false">IF(AND(Slot18_On=1,D27=Slot18_Age),1,0)</f>
        <v>0</v>
      </c>
      <c r="GL27" s="20" t="n">
        <f aca="false">IF(AND(Slot18_On=1,Slot18_Age&gt;D27),1,0)</f>
        <v>0</v>
      </c>
      <c r="GM27" s="20" t="n">
        <f aca="false">TC26</f>
        <v>0</v>
      </c>
      <c r="GN27" s="20" t="n">
        <f aca="false">GK27*MIN(Slot18_Cost,GM27)</f>
        <v>0</v>
      </c>
      <c r="GO27" s="20" t="n">
        <f aca="false">GK27*Slot18_SpendLike*MIN(Slot18_Cost-GN27,GG27)</f>
        <v>0</v>
      </c>
      <c r="GP27" s="20" t="n">
        <f aca="false">GN27+GO27</f>
        <v>0</v>
      </c>
      <c r="GQ27" s="20" t="n">
        <f aca="false">GG27-GO27+GK27*IF(Slot18_SpendLike=1,GM27-GN27,IF(Slot18_PotFree=1,GM27,0))</f>
        <v>34700.6584348814</v>
      </c>
      <c r="GR27" s="20" t="n">
        <f aca="false">GH27+GK27*Slot18_BufPot*GM27</f>
        <v>18482.254956006</v>
      </c>
      <c r="GS27" s="20" t="n">
        <f aca="false">IF(AND(GK27=1,Slot18_IsMfree=1),IF(GP27&gt;=Slot18_Cost-1,0,MAX(0,GI27-GP27)),GI27)</f>
        <v>0</v>
      </c>
      <c r="GT27" s="20" t="n">
        <f aca="false">GK27*(Slot18_Cost-GP27)</f>
        <v>0</v>
      </c>
      <c r="GU27" s="20" t="n">
        <f aca="false">IF(AND(Slot19_On=1,D27=Slot19_Age),1,0)</f>
        <v>0</v>
      </c>
      <c r="GV27" s="20" t="n">
        <f aca="false">IF(AND(Slot19_On=1,Slot19_Age&gt;D27),1,0)</f>
        <v>0</v>
      </c>
      <c r="GW27" s="20" t="n">
        <f aca="false">TG26</f>
        <v>0</v>
      </c>
      <c r="GX27" s="20" t="n">
        <f aca="false">GU27*MIN(Slot19_Cost,GW27)</f>
        <v>0</v>
      </c>
      <c r="GY27" s="20" t="n">
        <f aca="false">GU27*Slot19_SpendLike*MIN(Slot19_Cost-GX27,GQ27)</f>
        <v>0</v>
      </c>
      <c r="GZ27" s="20" t="n">
        <f aca="false">GX27+GY27</f>
        <v>0</v>
      </c>
      <c r="HA27" s="20" t="n">
        <f aca="false">GQ27-GY27+GU27*IF(Slot19_SpendLike=1,GW27-GX27,IF(Slot19_PotFree=1,GW27,0))</f>
        <v>34700.6584348814</v>
      </c>
      <c r="HB27" s="20" t="n">
        <f aca="false">GR27+GU27*Slot19_BufPot*GW27</f>
        <v>18482.254956006</v>
      </c>
      <c r="HC27" s="20" t="n">
        <f aca="false">IF(AND(GU27=1,Slot19_IsMfree=1),IF(GZ27&gt;=Slot19_Cost-1,0,MAX(0,GS27-GZ27)),GS27)</f>
        <v>0</v>
      </c>
      <c r="HD27" s="20" t="n">
        <f aca="false">GU27*(Slot19_Cost-GZ27)</f>
        <v>0</v>
      </c>
      <c r="HE27" s="20" t="n">
        <f aca="false">IF(AND(Slot20_On=1,D27=Slot20_Age),1,0)</f>
        <v>0</v>
      </c>
      <c r="HF27" s="20" t="n">
        <f aca="false">IF(AND(Slot20_On=1,Slot20_Age&gt;D27),1,0)</f>
        <v>0</v>
      </c>
      <c r="HG27" s="20" t="n">
        <f aca="false">TK26</f>
        <v>0</v>
      </c>
      <c r="HH27" s="20" t="n">
        <f aca="false">HE27*MIN(Slot20_Cost,HG27)</f>
        <v>0</v>
      </c>
      <c r="HI27" s="20" t="n">
        <f aca="false">HE27*Slot20_SpendLike*MIN(Slot20_Cost-HH27,HA27)</f>
        <v>0</v>
      </c>
      <c r="HJ27" s="20" t="n">
        <f aca="false">HH27+HI27</f>
        <v>0</v>
      </c>
      <c r="HK27" s="20" t="n">
        <f aca="false">HA27-HI27+HE27*IF(Slot20_SpendLike=1,HG27-HH27,IF(Slot20_PotFree=1,HG27,0))</f>
        <v>34700.6584348814</v>
      </c>
      <c r="HL27" s="20" t="n">
        <f aca="false">HB27+HE27*Slot20_BufPot*HG27</f>
        <v>18482.254956006</v>
      </c>
      <c r="HM27" s="20" t="n">
        <f aca="false">IF(AND(HE27=1,Slot20_IsMfree=1),IF(HJ27&gt;=Slot20_Cost-1,0,MAX(0,HC27-HJ27)),HC27)</f>
        <v>0</v>
      </c>
      <c r="HN27" s="20" t="n">
        <f aca="false">HE27*(Slot20_Cost-HJ27)</f>
        <v>0</v>
      </c>
      <c r="HO27" s="20" t="n">
        <f aca="false">V27*Slot1_SpendLike*AA27+AG27*Slot2_SpendLike*AL27+AQ27*Slot3_SpendLike*AV27+BA27*Slot4_SpendLike*BF27+BK27*Slot5_SpendLike*BP27+BU27*Slot6_SpendLike*BZ27+CE27*Slot7_SpendLike*CJ27+CO27*Slot8_SpendLike*CT27+CY27*Slot9_SpendLike*DD27+DI27*Slot10_SpendLike*DN27+DS27*Slot11_SpendLike*DX27+EC27*Slot12_SpendLike*EH27+EM27*Slot13_SpendLike*ER27+EW27*Slot14_SpendLike*FB27+FG27*Slot15_SpendLike*FL27+FQ27*Slot16_SpendLike*FV27+GA27*Slot17_SpendLike*GF27+GK27*Slot18_SpendLike*GP27+GU27*Slot19_SpendLike*GZ27+HE27*Slot20_SpendLike*HJ27</f>
        <v>0</v>
      </c>
      <c r="HP27" s="20" t="n">
        <f aca="false">AE27+AP27+AZ27+BJ27+BT27+CD27+CN27+CX27+DH27+DR27+EB27+EL27+EV27+FF27+FP27+FZ27+GJ27+GT27+HD27+HN27</f>
        <v>0</v>
      </c>
      <c r="HQ27" s="20" t="n">
        <f aca="false">V27*Slot1_Cost+AG27*Slot2_Cost+AQ27*Slot3_Cost+BA27*Slot4_Cost+BK27*Slot5_Cost+BU27*Slot6_Cost+CE27*Slot7_Cost+CO27*Slot8_Cost+CY27*Slot9_Cost+DI27*Slot10_Cost+DS27*Slot11_Cost+EC27*Slot12_Cost+EM27*Slot13_Cost+EW27*Slot14_Cost+FG27*Slot15_Cost+FQ27*Slot16_Cost+GA27*Slot17_Cost+GK27*Slot18_Cost+GU27*Slot19_Cost+HE27*Slot20_Cost</f>
        <v>0</v>
      </c>
      <c r="HR27" s="20" t="n">
        <f aca="false">HM27</f>
        <v>0</v>
      </c>
      <c r="HS27" s="20" t="n">
        <f aca="false">H27-I27-S27</f>
        <v>38046.3341099655</v>
      </c>
      <c r="HT27" s="20" t="n">
        <f aca="false">IF(B27=0,IF(AND(Has_q6=1,In_q6=4),PR_ShareVaries*(MAX(0,HS27)/12),MIN(IF(Has_q6=1,CHOOSE(In_q6+1,PR_SaveB1,PR_SaveB2,PR_SaveB3,PR_SaveB4,0),AS_NoAnswer),AS_SaveShare*(MAX(0,HS27)/12))),HT26)</f>
        <v>62.3316893520437</v>
      </c>
      <c r="HU27" s="20" t="n">
        <f aca="false">IF(HS27&gt;=0,1,0)</f>
        <v>1</v>
      </c>
      <c r="HV27" s="20" t="n">
        <f aca="false">MAX(0,HS27/12/F27)</f>
        <v>2176.34783579793</v>
      </c>
      <c r="HW27" s="20" t="n">
        <f aca="false">IF(AND(Has_q6=1,In_q6=4),PR_ShareVaries*(HV27),MIN(IF(Has_q6=1,CHOOSE(In_q6+1,PR_SaveB1,PR_SaveB2,PR_SaveB3,PR_SaveB4,0),AS_NoAnswer),AS_SaveShare*(HV27)))</f>
        <v>500</v>
      </c>
      <c r="HX27" s="20" t="n">
        <f aca="false">IF(Has_saveM=1,IF(In_saveUp="Yes",1,IF(In_saveUp="No",0,IF(In_saveM&gt;=HT27-0.5,1,0))),0)</f>
        <v>0</v>
      </c>
      <c r="HY27" s="20" t="n">
        <f aca="false">IF(Has_saveM=1,MIN(HV27,IF(HX27=1,MAX(In_saveM,HW27),MIN(In_saveM,HW27))),HW27)</f>
        <v>500</v>
      </c>
      <c r="HZ27" s="20" t="n">
        <f aca="false">IF(G27=1,HY27*12*F27,0)</f>
        <v>8740.86703516679</v>
      </c>
      <c r="IA27" s="20" t="n">
        <f aca="false">MAX(0,HZ27+IF(AND(WI_Retire=0,WI_M&lt;0,G27=1),WI_M*12*F27,0))</f>
        <v>8740.86703516679</v>
      </c>
      <c r="IB27" s="20" t="n">
        <f aca="false">Slot1_IsWG*W27+Slot2_IsWG*AH27+Slot3_IsWG*AR27+Slot4_IsWG*BB27+Slot5_IsWG*BL27+Slot6_IsWG*BV27+Slot7_IsWG*CF27+Slot8_IsWG*CP27+Slot9_IsWG*CZ27+Slot10_IsWG*DJ27+Slot11_IsWG*DT27+Slot12_IsWG*ED27+Slot13_IsWG*EN27+Slot14_IsWG*EX27+Slot15_IsWG*FH27+Slot16_IsWG*FR27+Slot17_IsWG*GB27+Slot18_IsWG*GL27+Slot19_IsWG*GV27+Slot20_IsWG*HF27</f>
        <v>0</v>
      </c>
      <c r="IC27" s="20" t="n">
        <f aca="false">IF(AND(WI_Retire=0,WI_M&gt;0,G27=1,IB27&gt;=1),WI_M*12*F27,0)</f>
        <v>0</v>
      </c>
      <c r="ID27" s="20" t="n">
        <f aca="false">IF(HU27=1,MIN(IA27,HS27),0)</f>
        <v>8740.86703516679</v>
      </c>
      <c r="IE27" s="20" t="n">
        <f aca="false">IF(HU27=1,MIN(IC27,HS27-ID27),0)</f>
        <v>0</v>
      </c>
      <c r="IF27" s="20" t="n">
        <f aca="false">IF(W27=1,IF(ABS((1+AS_Wage)/(1+Slot1_Rate)-1)&lt;0.000000000001,(Slot1_Age-D27)*(1+Slot1_Rate)^(Slot1_Age-D27),(1+Slot1_Rate)^(Slot1_Age-D27)*(1-((1+AS_Wage)/(1+Slot1_Rate))^(Slot1_Age-D27))/(1-(1+AS_Wage)/(1+Slot1_Rate))),1)</f>
        <v>1</v>
      </c>
      <c r="IG27" s="20" t="n">
        <f aca="false">IF(AND(HU27=1,IE27&gt;0,Slot1_IsWG=1,W27=1),MAX(0,(Slot1_Cost-X27*(1+Slot1_Rate)^(Slot1_Age-D27))/IF27),0)</f>
        <v>0</v>
      </c>
      <c r="IH27" s="20" t="n">
        <f aca="false">IF(AND(HU27=1,IE27&gt;0,Slot1_IsWG=1,W27=1),MIN(IE27,IG27),0)</f>
        <v>0</v>
      </c>
      <c r="II27" s="20" t="n">
        <f aca="false">X27+IH27</f>
        <v>0</v>
      </c>
      <c r="IJ27" s="20" t="n">
        <f aca="false">IF(W27=1,MAX(0,(Slot1_Cost-II27*(1+Slot1_Rate)^(Slot1_Age-D27))/IF27),0)</f>
        <v>0</v>
      </c>
      <c r="IK27" s="20" t="n">
        <f aca="false">IF(W27=1,MAX(0,(Slot1_Cost-X27*(1+Slot1_Rate)^(Slot1_Age-D27))/IF27),0)</f>
        <v>0</v>
      </c>
      <c r="IL27" s="20" t="n">
        <f aca="false">IF(AND(HU27=1,W27=1),MIN(ID27,IJ27),0)</f>
        <v>0</v>
      </c>
      <c r="IM27" s="20" t="n">
        <f aca="false">ID27-IL27</f>
        <v>8740.86703516679</v>
      </c>
      <c r="IN27" s="20" t="n">
        <f aca="false">IF(AH27=1,IF(ABS((1+AS_Wage)/(1+Slot2_Rate)-1)&lt;0.000000000001,(Slot2_Age-D27)*(1+Slot2_Rate)^(Slot2_Age-D27),(1+Slot2_Rate)^(Slot2_Age-D27)*(1-((1+AS_Wage)/(1+Slot2_Rate))^(Slot2_Age-D27))/(1-(1+AS_Wage)/(1+Slot2_Rate))),1)</f>
        <v>1</v>
      </c>
      <c r="IO27" s="20" t="n">
        <f aca="false">IF(AND(HU27=1,IE27&gt;0,Slot2_IsWG=1,AH27=1),MAX(0,(Slot2_Cost-AI27*(1+Slot2_Rate)^(Slot2_Age-D27))/IN27),0)</f>
        <v>0</v>
      </c>
      <c r="IP27" s="20" t="n">
        <f aca="false">IF(AND(HU27=1,IE27&gt;0,Slot2_IsWG=1,AH27=1),MIN(IE27,IO27),0)</f>
        <v>0</v>
      </c>
      <c r="IQ27" s="20" t="n">
        <f aca="false">AI27+IP27</f>
        <v>0</v>
      </c>
      <c r="IR27" s="20" t="n">
        <f aca="false">IF(AH27=1,MAX(0,(Slot2_Cost-IQ27*(1+Slot2_Rate)^(Slot2_Age-D27))/IN27),0)</f>
        <v>0</v>
      </c>
      <c r="IS27" s="20" t="n">
        <f aca="false">IF(AH27=1,MAX(0,(Slot2_Cost-AI27*(1+Slot2_Rate)^(Slot2_Age-D27))/IN27),0)</f>
        <v>0</v>
      </c>
      <c r="IT27" s="20" t="n">
        <f aca="false">IF(AND(HU27=1,AH27=1),MIN(IM27,IR27),0)</f>
        <v>0</v>
      </c>
      <c r="IU27" s="20" t="n">
        <f aca="false">IM27-IT27</f>
        <v>8740.86703516679</v>
      </c>
      <c r="IV27" s="20" t="n">
        <f aca="false">IF(AR27=1,IF(ABS((1+AS_Wage)/(1+Slot3_Rate)-1)&lt;0.000000000001,(Slot3_Age-D27)*(1+Slot3_Rate)^(Slot3_Age-D27),(1+Slot3_Rate)^(Slot3_Age-D27)*(1-((1+AS_Wage)/(1+Slot3_Rate))^(Slot3_Age-D27))/(1-(1+AS_Wage)/(1+Slot3_Rate))),1)</f>
        <v>1</v>
      </c>
      <c r="IW27" s="20" t="n">
        <f aca="false">IF(AND(HU27=1,IE27&gt;0,Slot3_IsWG=1,AR27=1),MAX(0,(Slot3_Cost-AS27*(1+Slot3_Rate)^(Slot3_Age-D27))/IV27),0)</f>
        <v>0</v>
      </c>
      <c r="IX27" s="20" t="n">
        <f aca="false">IF(AND(HU27=1,IE27&gt;0,Slot3_IsWG=1,AR27=1),MIN(IE27,IW27),0)</f>
        <v>0</v>
      </c>
      <c r="IY27" s="20" t="n">
        <f aca="false">AS27+IX27</f>
        <v>0</v>
      </c>
      <c r="IZ27" s="20" t="n">
        <f aca="false">IF(AR27=1,MAX(0,(Slot3_Cost-IY27*(1+Slot3_Rate)^(Slot3_Age-D27))/IV27),0)</f>
        <v>0</v>
      </c>
      <c r="JA27" s="20" t="n">
        <f aca="false">IF(AR27=1,MAX(0,(Slot3_Cost-AS27*(1+Slot3_Rate)^(Slot3_Age-D27))/IV27),0)</f>
        <v>0</v>
      </c>
      <c r="JB27" s="20" t="n">
        <f aca="false">IF(AND(HU27=1,AR27=1),MIN(IU27,IZ27),0)</f>
        <v>0</v>
      </c>
      <c r="JC27" s="20" t="n">
        <f aca="false">IU27-JB27</f>
        <v>8740.86703516679</v>
      </c>
      <c r="JD27" s="20" t="n">
        <f aca="false">IF(BB27=1,IF(ABS((1+AS_Wage)/(1+Slot4_Rate)-1)&lt;0.000000000001,(Slot4_Age-D27)*(1+Slot4_Rate)^(Slot4_Age-D27),(1+Slot4_Rate)^(Slot4_Age-D27)*(1-((1+AS_Wage)/(1+Slot4_Rate))^(Slot4_Age-D27))/(1-(1+AS_Wage)/(1+Slot4_Rate))),1)</f>
        <v>1</v>
      </c>
      <c r="JE27" s="20" t="n">
        <f aca="false">IF(AND(HU27=1,IE27&gt;0,Slot4_IsWG=1,BB27=1),MAX(0,(Slot4_Cost-BC27*(1+Slot4_Rate)^(Slot4_Age-D27))/JD27),0)</f>
        <v>0</v>
      </c>
      <c r="JF27" s="20" t="n">
        <f aca="false">IF(AND(HU27=1,IE27&gt;0,Slot4_IsWG=1,BB27=1),MIN(IE27,JE27),0)</f>
        <v>0</v>
      </c>
      <c r="JG27" s="20" t="n">
        <f aca="false">BC27+JF27</f>
        <v>0</v>
      </c>
      <c r="JH27" s="20" t="n">
        <f aca="false">IF(BB27=1,MAX(0,(Slot4_Cost-JG27*(1+Slot4_Rate)^(Slot4_Age-D27))/JD27),0)</f>
        <v>0</v>
      </c>
      <c r="JI27" s="20" t="n">
        <f aca="false">IF(BB27=1,MAX(0,(Slot4_Cost-BC27*(1+Slot4_Rate)^(Slot4_Age-D27))/JD27),0)</f>
        <v>0</v>
      </c>
      <c r="JJ27" s="20" t="n">
        <f aca="false">IF(AND(HU27=1,BB27=1),MIN(JC27,JH27),0)</f>
        <v>0</v>
      </c>
      <c r="JK27" s="20" t="n">
        <f aca="false">JC27-JJ27</f>
        <v>8740.86703516679</v>
      </c>
      <c r="JL27" s="20" t="n">
        <f aca="false">IF(BL27=1,IF(ABS((1+AS_Wage)/(1+Slot5_Rate)-1)&lt;0.000000000001,(Slot5_Age-D27)*(1+Slot5_Rate)^(Slot5_Age-D27),(1+Slot5_Rate)^(Slot5_Age-D27)*(1-((1+AS_Wage)/(1+Slot5_Rate))^(Slot5_Age-D27))/(1-(1+AS_Wage)/(1+Slot5_Rate))),1)</f>
        <v>1</v>
      </c>
      <c r="JM27" s="20" t="n">
        <f aca="false">IF(AND(HU27=1,IE27&gt;0,Slot5_IsWG=1,BL27=1),MAX(0,(Slot5_Cost-BM27*(1+Slot5_Rate)^(Slot5_Age-D27))/JL27),0)</f>
        <v>0</v>
      </c>
      <c r="JN27" s="20" t="n">
        <f aca="false">IF(AND(HU27=1,IE27&gt;0,Slot5_IsWG=1,BL27=1),MIN(IE27,JM27),0)</f>
        <v>0</v>
      </c>
      <c r="JO27" s="20" t="n">
        <f aca="false">BM27+JN27</f>
        <v>0</v>
      </c>
      <c r="JP27" s="20" t="n">
        <f aca="false">IF(BL27=1,MAX(0,(Slot5_Cost-JO27*(1+Slot5_Rate)^(Slot5_Age-D27))/JL27),0)</f>
        <v>0</v>
      </c>
      <c r="JQ27" s="20" t="n">
        <f aca="false">IF(BL27=1,MAX(0,(Slot5_Cost-BM27*(1+Slot5_Rate)^(Slot5_Age-D27))/JL27),0)</f>
        <v>0</v>
      </c>
      <c r="JR27" s="20" t="n">
        <f aca="false">IF(AND(HU27=1,BL27=1),MIN(JK27,JP27),0)</f>
        <v>0</v>
      </c>
      <c r="JS27" s="20" t="n">
        <f aca="false">JK27-JR27</f>
        <v>8740.86703516679</v>
      </c>
      <c r="JT27" s="20" t="n">
        <f aca="false">IF(BV27=1,IF(ABS((1+AS_Wage)/(1+Slot6_Rate)-1)&lt;0.000000000001,(Slot6_Age-D27)*(1+Slot6_Rate)^(Slot6_Age-D27),(1+Slot6_Rate)^(Slot6_Age-D27)*(1-((1+AS_Wage)/(1+Slot6_Rate))^(Slot6_Age-D27))/(1-(1+AS_Wage)/(1+Slot6_Rate))),1)</f>
        <v>1</v>
      </c>
      <c r="JU27" s="20" t="n">
        <f aca="false">IF(AND(HU27=1,IE27&gt;0,Slot6_IsWG=1,BV27=1),MAX(0,(Slot6_Cost-BW27*(1+Slot6_Rate)^(Slot6_Age-D27))/JT27),0)</f>
        <v>0</v>
      </c>
      <c r="JV27" s="20" t="n">
        <f aca="false">IF(AND(HU27=1,IE27&gt;0,Slot6_IsWG=1,BV27=1),MIN(IE27,JU27),0)</f>
        <v>0</v>
      </c>
      <c r="JW27" s="20" t="n">
        <f aca="false">BW27+JV27</f>
        <v>0</v>
      </c>
      <c r="JX27" s="20" t="n">
        <f aca="false">IF(BV27=1,MAX(0,(Slot6_Cost-JW27*(1+Slot6_Rate)^(Slot6_Age-D27))/JT27),0)</f>
        <v>0</v>
      </c>
      <c r="JY27" s="20" t="n">
        <f aca="false">IF(BV27=1,MAX(0,(Slot6_Cost-BW27*(1+Slot6_Rate)^(Slot6_Age-D27))/JT27),0)</f>
        <v>0</v>
      </c>
      <c r="JZ27" s="20" t="n">
        <f aca="false">IF(AND(HU27=1,BV27=1),MIN(JS27,JX27),0)</f>
        <v>0</v>
      </c>
      <c r="KA27" s="20" t="n">
        <f aca="false">JS27-JZ27</f>
        <v>8740.86703516679</v>
      </c>
      <c r="KB27" s="20" t="n">
        <f aca="false">IF(CF27=1,IF(ABS((1+AS_Wage)/(1+Slot7_Rate)-1)&lt;0.000000000001,(Slot7_Age-D27)*(1+Slot7_Rate)^(Slot7_Age-D27),(1+Slot7_Rate)^(Slot7_Age-D27)*(1-((1+AS_Wage)/(1+Slot7_Rate))^(Slot7_Age-D27))/(1-(1+AS_Wage)/(1+Slot7_Rate))),1)</f>
        <v>1</v>
      </c>
      <c r="KC27" s="20" t="n">
        <f aca="false">IF(AND(HU27=1,IE27&gt;0,Slot7_IsWG=1,CF27=1),MAX(0,(Slot7_Cost-CG27*(1+Slot7_Rate)^(Slot7_Age-D27))/KB27),0)</f>
        <v>0</v>
      </c>
      <c r="KD27" s="20" t="n">
        <f aca="false">IF(AND(HU27=1,IE27&gt;0,Slot7_IsWG=1,CF27=1),MIN(IE27,KC27),0)</f>
        <v>0</v>
      </c>
      <c r="KE27" s="20" t="n">
        <f aca="false">CG27+KD27</f>
        <v>0</v>
      </c>
      <c r="KF27" s="20" t="n">
        <f aca="false">IF(CF27=1,MAX(0,(Slot7_Cost-KE27*(1+Slot7_Rate)^(Slot7_Age-D27))/KB27),0)</f>
        <v>0</v>
      </c>
      <c r="KG27" s="20" t="n">
        <f aca="false">IF(CF27=1,MAX(0,(Slot7_Cost-CG27*(1+Slot7_Rate)^(Slot7_Age-D27))/KB27),0)</f>
        <v>0</v>
      </c>
      <c r="KH27" s="20" t="n">
        <f aca="false">IF(AND(HU27=1,CF27=1),MIN(KA27,KF27),0)</f>
        <v>0</v>
      </c>
      <c r="KI27" s="20" t="n">
        <f aca="false">KA27-KH27</f>
        <v>8740.86703516679</v>
      </c>
      <c r="KJ27" s="20" t="n">
        <f aca="false">IF(CP27=1,IF(ABS((1+AS_Wage)/(1+Slot8_Rate)-1)&lt;0.000000000001,(Slot8_Age-D27)*(1+Slot8_Rate)^(Slot8_Age-D27),(1+Slot8_Rate)^(Slot8_Age-D27)*(1-((1+AS_Wage)/(1+Slot8_Rate))^(Slot8_Age-D27))/(1-(1+AS_Wage)/(1+Slot8_Rate))),1)</f>
        <v>1</v>
      </c>
      <c r="KK27" s="20" t="n">
        <f aca="false">IF(AND(HU27=1,IE27&gt;0,Slot8_IsWG=1,CP27=1),MAX(0,(Slot8_Cost-CQ27*(1+Slot8_Rate)^(Slot8_Age-D27))/KJ27),0)</f>
        <v>0</v>
      </c>
      <c r="KL27" s="20" t="n">
        <f aca="false">IF(AND(HU27=1,IE27&gt;0,Slot8_IsWG=1,CP27=1),MIN(IE27,KK27),0)</f>
        <v>0</v>
      </c>
      <c r="KM27" s="20" t="n">
        <f aca="false">CQ27+KL27</f>
        <v>0</v>
      </c>
      <c r="KN27" s="20" t="n">
        <f aca="false">IF(CP27=1,MAX(0,(Slot8_Cost-KM27*(1+Slot8_Rate)^(Slot8_Age-D27))/KJ27),0)</f>
        <v>0</v>
      </c>
      <c r="KO27" s="20" t="n">
        <f aca="false">IF(CP27=1,MAX(0,(Slot8_Cost-CQ27*(1+Slot8_Rate)^(Slot8_Age-D27))/KJ27),0)</f>
        <v>0</v>
      </c>
      <c r="KP27" s="20" t="n">
        <f aca="false">IF(AND(HU27=1,CP27=1),MIN(KI27,KN27),0)</f>
        <v>0</v>
      </c>
      <c r="KQ27" s="20" t="n">
        <f aca="false">KI27-KP27</f>
        <v>8740.86703516679</v>
      </c>
      <c r="KR27" s="20" t="n">
        <f aca="false">IF(CZ27=1,IF(ABS((1+AS_Wage)/(1+Slot9_Rate)-1)&lt;0.000000000001,(Slot9_Age-D27)*(1+Slot9_Rate)^(Slot9_Age-D27),(1+Slot9_Rate)^(Slot9_Age-D27)*(1-((1+AS_Wage)/(1+Slot9_Rate))^(Slot9_Age-D27))/(1-(1+AS_Wage)/(1+Slot9_Rate))),1)</f>
        <v>1</v>
      </c>
      <c r="KS27" s="20" t="n">
        <f aca="false">IF(AND(HU27=1,IE27&gt;0,Slot9_IsWG=1,CZ27=1),MAX(0,(Slot9_Cost-DA27*(1+Slot9_Rate)^(Slot9_Age-D27))/KR27),0)</f>
        <v>0</v>
      </c>
      <c r="KT27" s="20" t="n">
        <f aca="false">IF(AND(HU27=1,IE27&gt;0,Slot9_IsWG=1,CZ27=1),MIN(IE27,KS27),0)</f>
        <v>0</v>
      </c>
      <c r="KU27" s="20" t="n">
        <f aca="false">DA27+KT27</f>
        <v>0</v>
      </c>
      <c r="KV27" s="20" t="n">
        <f aca="false">IF(CZ27=1,MAX(0,(Slot9_Cost-KU27*(1+Slot9_Rate)^(Slot9_Age-D27))/KR27),0)</f>
        <v>0</v>
      </c>
      <c r="KW27" s="20" t="n">
        <f aca="false">IF(CZ27=1,MAX(0,(Slot9_Cost-DA27*(1+Slot9_Rate)^(Slot9_Age-D27))/KR27),0)</f>
        <v>0</v>
      </c>
      <c r="KX27" s="20" t="n">
        <f aca="false">IF(AND(HU27=1,CZ27=1),MIN(KQ27,KV27),0)</f>
        <v>0</v>
      </c>
      <c r="KY27" s="20" t="n">
        <f aca="false">KQ27-KX27</f>
        <v>8740.86703516679</v>
      </c>
      <c r="KZ27" s="20" t="n">
        <f aca="false">IF(DJ27=1,IF(ABS((1+AS_Wage)/(1+Slot10_Rate)-1)&lt;0.000000000001,(Slot10_Age-D27)*(1+Slot10_Rate)^(Slot10_Age-D27),(1+Slot10_Rate)^(Slot10_Age-D27)*(1-((1+AS_Wage)/(1+Slot10_Rate))^(Slot10_Age-D27))/(1-(1+AS_Wage)/(1+Slot10_Rate))),1)</f>
        <v>1</v>
      </c>
      <c r="LA27" s="20" t="n">
        <f aca="false">IF(AND(HU27=1,IE27&gt;0,Slot10_IsWG=1,DJ27=1),MAX(0,(Slot10_Cost-DK27*(1+Slot10_Rate)^(Slot10_Age-D27))/KZ27),0)</f>
        <v>0</v>
      </c>
      <c r="LB27" s="20" t="n">
        <f aca="false">IF(AND(HU27=1,IE27&gt;0,Slot10_IsWG=1,DJ27=1),MIN(IE27,LA27),0)</f>
        <v>0</v>
      </c>
      <c r="LC27" s="20" t="n">
        <f aca="false">DK27+LB27</f>
        <v>0</v>
      </c>
      <c r="LD27" s="20" t="n">
        <f aca="false">IF(DJ27=1,MAX(0,(Slot10_Cost-LC27*(1+Slot10_Rate)^(Slot10_Age-D27))/KZ27),0)</f>
        <v>0</v>
      </c>
      <c r="LE27" s="20" t="n">
        <f aca="false">IF(DJ27=1,MAX(0,(Slot10_Cost-DK27*(1+Slot10_Rate)^(Slot10_Age-D27))/KZ27),0)</f>
        <v>0</v>
      </c>
      <c r="LF27" s="20" t="n">
        <f aca="false">IF(AND(HU27=1,DJ27=1),MIN(KY27,LD27),0)</f>
        <v>0</v>
      </c>
      <c r="LG27" s="20" t="n">
        <f aca="false">KY27-LF27</f>
        <v>8740.86703516679</v>
      </c>
      <c r="LH27" s="20" t="n">
        <f aca="false">IF(DT27=1,IF(ABS((1+AS_Wage)/(1+Slot11_Rate)-1)&lt;0.000000000001,(Slot11_Age-D27)*(1+Slot11_Rate)^(Slot11_Age-D27),(1+Slot11_Rate)^(Slot11_Age-D27)*(1-((1+AS_Wage)/(1+Slot11_Rate))^(Slot11_Age-D27))/(1-(1+AS_Wage)/(1+Slot11_Rate))),1)</f>
        <v>1</v>
      </c>
      <c r="LI27" s="20" t="n">
        <f aca="false">IF(AND(HU27=1,IE27&gt;0,Slot11_IsWG=1,DT27=1),MAX(0,(Slot11_Cost-DU27*(1+Slot11_Rate)^(Slot11_Age-D27))/LH27),0)</f>
        <v>0</v>
      </c>
      <c r="LJ27" s="20" t="n">
        <f aca="false">IF(AND(HU27=1,IE27&gt;0,Slot11_IsWG=1,DT27=1),MIN(IE27,LI27),0)</f>
        <v>0</v>
      </c>
      <c r="LK27" s="20" t="n">
        <f aca="false">DU27+LJ27</f>
        <v>0</v>
      </c>
      <c r="LL27" s="20" t="n">
        <f aca="false">IF(DT27=1,MAX(0,(Slot11_Cost-LK27*(1+Slot11_Rate)^(Slot11_Age-D27))/LH27),0)</f>
        <v>0</v>
      </c>
      <c r="LM27" s="20" t="n">
        <f aca="false">IF(DT27=1,MAX(0,(Slot11_Cost-DU27*(1+Slot11_Rate)^(Slot11_Age-D27))/LH27),0)</f>
        <v>0</v>
      </c>
      <c r="LN27" s="20" t="n">
        <f aca="false">IF(AND(HU27=1,DT27=1),MIN(LG27,LL27),0)</f>
        <v>0</v>
      </c>
      <c r="LO27" s="20" t="n">
        <f aca="false">LG27-LN27</f>
        <v>8740.86703516679</v>
      </c>
      <c r="LP27" s="20" t="n">
        <f aca="false">IF(ED27=1,IF(ABS((1+AS_Wage)/(1+Slot12_Rate)-1)&lt;0.000000000001,(Slot12_Age-D27)*(1+Slot12_Rate)^(Slot12_Age-D27),(1+Slot12_Rate)^(Slot12_Age-D27)*(1-((1+AS_Wage)/(1+Slot12_Rate))^(Slot12_Age-D27))/(1-(1+AS_Wage)/(1+Slot12_Rate))),1)</f>
        <v>1</v>
      </c>
      <c r="LQ27" s="20" t="n">
        <f aca="false">IF(AND(HU27=1,IE27&gt;0,Slot12_IsWG=1,ED27=1),MAX(0,(Slot12_Cost-EE27*(1+Slot12_Rate)^(Slot12_Age-D27))/LP27),0)</f>
        <v>0</v>
      </c>
      <c r="LR27" s="20" t="n">
        <f aca="false">IF(AND(HU27=1,IE27&gt;0,Slot12_IsWG=1,ED27=1),MIN(IE27,LQ27),0)</f>
        <v>0</v>
      </c>
      <c r="LS27" s="20" t="n">
        <f aca="false">EE27+LR27</f>
        <v>0</v>
      </c>
      <c r="LT27" s="20" t="n">
        <f aca="false">IF(ED27=1,MAX(0,(Slot12_Cost-LS27*(1+Slot12_Rate)^(Slot12_Age-D27))/LP27),0)</f>
        <v>0</v>
      </c>
      <c r="LU27" s="20" t="n">
        <f aca="false">IF(ED27=1,MAX(0,(Slot12_Cost-EE27*(1+Slot12_Rate)^(Slot12_Age-D27))/LP27),0)</f>
        <v>0</v>
      </c>
      <c r="LV27" s="20" t="n">
        <f aca="false">IF(AND(HU27=1,ED27=1),MIN(LO27,LT27),0)</f>
        <v>0</v>
      </c>
      <c r="LW27" s="20" t="n">
        <f aca="false">LO27-LV27</f>
        <v>8740.86703516679</v>
      </c>
      <c r="LX27" s="20" t="n">
        <f aca="false">IF(EN27=1,IF(ABS((1+AS_Wage)/(1+Slot13_Rate)-1)&lt;0.000000000001,(Slot13_Age-D27)*(1+Slot13_Rate)^(Slot13_Age-D27),(1+Slot13_Rate)^(Slot13_Age-D27)*(1-((1+AS_Wage)/(1+Slot13_Rate))^(Slot13_Age-D27))/(1-(1+AS_Wage)/(1+Slot13_Rate))),1)</f>
        <v>1</v>
      </c>
      <c r="LY27" s="20" t="n">
        <f aca="false">IF(AND(HU27=1,IE27&gt;0,Slot13_IsWG=1,EN27=1),MAX(0,(Slot13_Cost-EO27*(1+Slot13_Rate)^(Slot13_Age-D27))/LX27),0)</f>
        <v>0</v>
      </c>
      <c r="LZ27" s="20" t="n">
        <f aca="false">IF(AND(HU27=1,IE27&gt;0,Slot13_IsWG=1,EN27=1),MIN(IE27,LY27),0)</f>
        <v>0</v>
      </c>
      <c r="MA27" s="20" t="n">
        <f aca="false">EO27+LZ27</f>
        <v>0</v>
      </c>
      <c r="MB27" s="20" t="n">
        <f aca="false">IF(EN27=1,MAX(0,(Slot13_Cost-MA27*(1+Slot13_Rate)^(Slot13_Age-D27))/LX27),0)</f>
        <v>0</v>
      </c>
      <c r="MC27" s="20" t="n">
        <f aca="false">IF(EN27=1,MAX(0,(Slot13_Cost-EO27*(1+Slot13_Rate)^(Slot13_Age-D27))/LX27),0)</f>
        <v>0</v>
      </c>
      <c r="MD27" s="20" t="n">
        <f aca="false">IF(AND(HU27=1,EN27=1),MIN(LW27,MB27),0)</f>
        <v>0</v>
      </c>
      <c r="ME27" s="20" t="n">
        <f aca="false">LW27-MD27</f>
        <v>8740.86703516679</v>
      </c>
      <c r="MF27" s="20" t="n">
        <f aca="false">IF(EX27=1,IF(ABS((1+AS_Wage)/(1+Slot14_Rate)-1)&lt;0.000000000001,(Slot14_Age-D27)*(1+Slot14_Rate)^(Slot14_Age-D27),(1+Slot14_Rate)^(Slot14_Age-D27)*(1-((1+AS_Wage)/(1+Slot14_Rate))^(Slot14_Age-D27))/(1-(1+AS_Wage)/(1+Slot14_Rate))),1)</f>
        <v>1</v>
      </c>
      <c r="MG27" s="20" t="n">
        <f aca="false">IF(AND(HU27=1,IE27&gt;0,Slot14_IsWG=1,EX27=1),MAX(0,(Slot14_Cost-EY27*(1+Slot14_Rate)^(Slot14_Age-D27))/MF27),0)</f>
        <v>0</v>
      </c>
      <c r="MH27" s="20" t="n">
        <f aca="false">IF(AND(HU27=1,IE27&gt;0,Slot14_IsWG=1,EX27=1),MIN(IE27,MG27),0)</f>
        <v>0</v>
      </c>
      <c r="MI27" s="20" t="n">
        <f aca="false">EY27+MH27</f>
        <v>0</v>
      </c>
      <c r="MJ27" s="20" t="n">
        <f aca="false">IF(EX27=1,MAX(0,(Slot14_Cost-MI27*(1+Slot14_Rate)^(Slot14_Age-D27))/MF27),0)</f>
        <v>0</v>
      </c>
      <c r="MK27" s="20" t="n">
        <f aca="false">IF(EX27=1,MAX(0,(Slot14_Cost-EY27*(1+Slot14_Rate)^(Slot14_Age-D27))/MF27),0)</f>
        <v>0</v>
      </c>
      <c r="ML27" s="20" t="n">
        <f aca="false">IF(AND(HU27=1,EX27=1),MIN(ME27,MJ27),0)</f>
        <v>0</v>
      </c>
      <c r="MM27" s="20" t="n">
        <f aca="false">ME27-ML27</f>
        <v>8740.86703516679</v>
      </c>
      <c r="MN27" s="20" t="n">
        <f aca="false">IF(FH27=1,IF(ABS((1+AS_Wage)/(1+Slot15_Rate)-1)&lt;0.000000000001,(Slot15_Age-D27)*(1+Slot15_Rate)^(Slot15_Age-D27),(1+Slot15_Rate)^(Slot15_Age-D27)*(1-((1+AS_Wage)/(1+Slot15_Rate))^(Slot15_Age-D27))/(1-(1+AS_Wage)/(1+Slot15_Rate))),1)</f>
        <v>1</v>
      </c>
      <c r="MO27" s="20" t="n">
        <f aca="false">IF(AND(HU27=1,IE27&gt;0,Slot15_IsWG=1,FH27=1),MAX(0,(Slot15_Cost-FI27*(1+Slot15_Rate)^(Slot15_Age-D27))/MN27),0)</f>
        <v>0</v>
      </c>
      <c r="MP27" s="20" t="n">
        <f aca="false">IF(AND(HU27=1,IE27&gt;0,Slot15_IsWG=1,FH27=1),MIN(IE27,MO27),0)</f>
        <v>0</v>
      </c>
      <c r="MQ27" s="20" t="n">
        <f aca="false">FI27+MP27</f>
        <v>0</v>
      </c>
      <c r="MR27" s="20" t="n">
        <f aca="false">IF(FH27=1,MAX(0,(Slot15_Cost-MQ27*(1+Slot15_Rate)^(Slot15_Age-D27))/MN27),0)</f>
        <v>0</v>
      </c>
      <c r="MS27" s="20" t="n">
        <f aca="false">IF(FH27=1,MAX(0,(Slot15_Cost-FI27*(1+Slot15_Rate)^(Slot15_Age-D27))/MN27),0)</f>
        <v>0</v>
      </c>
      <c r="MT27" s="20" t="n">
        <f aca="false">IF(AND(HU27=1,FH27=1),MIN(MM27,MR27),0)</f>
        <v>0</v>
      </c>
      <c r="MU27" s="20" t="n">
        <f aca="false">MM27-MT27</f>
        <v>8740.86703516679</v>
      </c>
      <c r="MV27" s="20" t="n">
        <f aca="false">IF(FR27=1,IF(ABS((1+AS_Wage)/(1+Slot16_Rate)-1)&lt;0.000000000001,(Slot16_Age-D27)*(1+Slot16_Rate)^(Slot16_Age-D27),(1+Slot16_Rate)^(Slot16_Age-D27)*(1-((1+AS_Wage)/(1+Slot16_Rate))^(Slot16_Age-D27))/(1-(1+AS_Wage)/(1+Slot16_Rate))),1)</f>
        <v>1</v>
      </c>
      <c r="MW27" s="20" t="n">
        <f aca="false">IF(AND(HU27=1,IE27&gt;0,Slot16_IsWG=1,FR27=1),MAX(0,(Slot16_Cost-FS27*(1+Slot16_Rate)^(Slot16_Age-D27))/MV27),0)</f>
        <v>0</v>
      </c>
      <c r="MX27" s="20" t="n">
        <f aca="false">IF(AND(HU27=1,IE27&gt;0,Slot16_IsWG=1,FR27=1),MIN(IE27,MW27),0)</f>
        <v>0</v>
      </c>
      <c r="MY27" s="20" t="n">
        <f aca="false">FS27+MX27</f>
        <v>0</v>
      </c>
      <c r="MZ27" s="20" t="n">
        <f aca="false">IF(FR27=1,MAX(0,(Slot16_Cost-MY27*(1+Slot16_Rate)^(Slot16_Age-D27))/MV27),0)</f>
        <v>0</v>
      </c>
      <c r="NA27" s="20" t="n">
        <f aca="false">IF(FR27=1,MAX(0,(Slot16_Cost-FS27*(1+Slot16_Rate)^(Slot16_Age-D27))/MV27),0)</f>
        <v>0</v>
      </c>
      <c r="NB27" s="20" t="n">
        <f aca="false">IF(AND(HU27=1,FR27=1),MIN(MU27,MZ27),0)</f>
        <v>0</v>
      </c>
      <c r="NC27" s="20" t="n">
        <f aca="false">MU27-NB27</f>
        <v>8740.86703516679</v>
      </c>
      <c r="ND27" s="20" t="n">
        <f aca="false">IF(GB27=1,IF(ABS((1+AS_Wage)/(1+Slot17_Rate)-1)&lt;0.000000000001,(Slot17_Age-D27)*(1+Slot17_Rate)^(Slot17_Age-D27),(1+Slot17_Rate)^(Slot17_Age-D27)*(1-((1+AS_Wage)/(1+Slot17_Rate))^(Slot17_Age-D27))/(1-(1+AS_Wage)/(1+Slot17_Rate))),1)</f>
        <v>1</v>
      </c>
      <c r="NE27" s="20" t="n">
        <f aca="false">IF(AND(HU27=1,IE27&gt;0,Slot17_IsWG=1,GB27=1),MAX(0,(Slot17_Cost-GC27*(1+Slot17_Rate)^(Slot17_Age-D27))/ND27),0)</f>
        <v>0</v>
      </c>
      <c r="NF27" s="20" t="n">
        <f aca="false">IF(AND(HU27=1,IE27&gt;0,Slot17_IsWG=1,GB27=1),MIN(IE27,NE27),0)</f>
        <v>0</v>
      </c>
      <c r="NG27" s="20" t="n">
        <f aca="false">GC27+NF27</f>
        <v>0</v>
      </c>
      <c r="NH27" s="20" t="n">
        <f aca="false">IF(GB27=1,MAX(0,(Slot17_Cost-NG27*(1+Slot17_Rate)^(Slot17_Age-D27))/ND27),0)</f>
        <v>0</v>
      </c>
      <c r="NI27" s="20" t="n">
        <f aca="false">IF(GB27=1,MAX(0,(Slot17_Cost-GC27*(1+Slot17_Rate)^(Slot17_Age-D27))/ND27),0)</f>
        <v>0</v>
      </c>
      <c r="NJ27" s="20" t="n">
        <f aca="false">IF(AND(HU27=1,GB27=1),MIN(NC27,NH27),0)</f>
        <v>0</v>
      </c>
      <c r="NK27" s="20" t="n">
        <f aca="false">NC27-NJ27</f>
        <v>8740.86703516679</v>
      </c>
      <c r="NL27" s="20" t="n">
        <f aca="false">IF(GL27=1,IF(ABS((1+AS_Wage)/(1+Slot18_Rate)-1)&lt;0.000000000001,(Slot18_Age-D27)*(1+Slot18_Rate)^(Slot18_Age-D27),(1+Slot18_Rate)^(Slot18_Age-D27)*(1-((1+AS_Wage)/(1+Slot18_Rate))^(Slot18_Age-D27))/(1-(1+AS_Wage)/(1+Slot18_Rate))),1)</f>
        <v>1</v>
      </c>
      <c r="NM27" s="20" t="n">
        <f aca="false">IF(AND(HU27=1,IE27&gt;0,Slot18_IsWG=1,GL27=1),MAX(0,(Slot18_Cost-GM27*(1+Slot18_Rate)^(Slot18_Age-D27))/NL27),0)</f>
        <v>0</v>
      </c>
      <c r="NN27" s="20" t="n">
        <f aca="false">IF(AND(HU27=1,IE27&gt;0,Slot18_IsWG=1,GL27=1),MIN(IE27,NM27),0)</f>
        <v>0</v>
      </c>
      <c r="NO27" s="20" t="n">
        <f aca="false">GM27+NN27</f>
        <v>0</v>
      </c>
      <c r="NP27" s="20" t="n">
        <f aca="false">IF(GL27=1,MAX(0,(Slot18_Cost-NO27*(1+Slot18_Rate)^(Slot18_Age-D27))/NL27),0)</f>
        <v>0</v>
      </c>
      <c r="NQ27" s="20" t="n">
        <f aca="false">IF(GL27=1,MAX(0,(Slot18_Cost-GM27*(1+Slot18_Rate)^(Slot18_Age-D27))/NL27),0)</f>
        <v>0</v>
      </c>
      <c r="NR27" s="20" t="n">
        <f aca="false">IF(AND(HU27=1,GL27=1),MIN(NK27,NP27),0)</f>
        <v>0</v>
      </c>
      <c r="NS27" s="20" t="n">
        <f aca="false">NK27-NR27</f>
        <v>8740.86703516679</v>
      </c>
      <c r="NT27" s="20" t="n">
        <f aca="false">IF(GV27=1,IF(ABS((1+AS_Wage)/(1+Slot19_Rate)-1)&lt;0.000000000001,(Slot19_Age-D27)*(1+Slot19_Rate)^(Slot19_Age-D27),(1+Slot19_Rate)^(Slot19_Age-D27)*(1-((1+AS_Wage)/(1+Slot19_Rate))^(Slot19_Age-D27))/(1-(1+AS_Wage)/(1+Slot19_Rate))),1)</f>
        <v>1</v>
      </c>
      <c r="NU27" s="20" t="n">
        <f aca="false">IF(AND(HU27=1,IE27&gt;0,Slot19_IsWG=1,GV27=1),MAX(0,(Slot19_Cost-GW27*(1+Slot19_Rate)^(Slot19_Age-D27))/NT27),0)</f>
        <v>0</v>
      </c>
      <c r="NV27" s="20" t="n">
        <f aca="false">IF(AND(HU27=1,IE27&gt;0,Slot19_IsWG=1,GV27=1),MIN(IE27,NU27),0)</f>
        <v>0</v>
      </c>
      <c r="NW27" s="20" t="n">
        <f aca="false">GW27+NV27</f>
        <v>0</v>
      </c>
      <c r="NX27" s="20" t="n">
        <f aca="false">IF(GV27=1,MAX(0,(Slot19_Cost-NW27*(1+Slot19_Rate)^(Slot19_Age-D27))/NT27),0)</f>
        <v>0</v>
      </c>
      <c r="NY27" s="20" t="n">
        <f aca="false">IF(GV27=1,MAX(0,(Slot19_Cost-GW27*(1+Slot19_Rate)^(Slot19_Age-D27))/NT27),0)</f>
        <v>0</v>
      </c>
      <c r="NZ27" s="20" t="n">
        <f aca="false">IF(AND(HU27=1,GV27=1),MIN(NS27,NX27),0)</f>
        <v>0</v>
      </c>
      <c r="OA27" s="20" t="n">
        <f aca="false">NS27-NZ27</f>
        <v>8740.86703516679</v>
      </c>
      <c r="OB27" s="20" t="n">
        <f aca="false">IF(HF27=1,IF(ABS((1+AS_Wage)/(1+Slot20_Rate)-1)&lt;0.000000000001,(Slot20_Age-D27)*(1+Slot20_Rate)^(Slot20_Age-D27),(1+Slot20_Rate)^(Slot20_Age-D27)*(1-((1+AS_Wage)/(1+Slot20_Rate))^(Slot20_Age-D27))/(1-(1+AS_Wage)/(1+Slot20_Rate))),1)</f>
        <v>1</v>
      </c>
      <c r="OC27" s="20" t="n">
        <f aca="false">IF(AND(HU27=1,IE27&gt;0,Slot20_IsWG=1,HF27=1),MAX(0,(Slot20_Cost-HG27*(1+Slot20_Rate)^(Slot20_Age-D27))/OB27),0)</f>
        <v>0</v>
      </c>
      <c r="OD27" s="20" t="n">
        <f aca="false">IF(AND(HU27=1,IE27&gt;0,Slot20_IsWG=1,HF27=1),MIN(IE27,OC27),0)</f>
        <v>0</v>
      </c>
      <c r="OE27" s="20" t="n">
        <f aca="false">HG27+OD27</f>
        <v>0</v>
      </c>
      <c r="OF27" s="20" t="n">
        <f aca="false">IF(HF27=1,MAX(0,(Slot20_Cost-OE27*(1+Slot20_Rate)^(Slot20_Age-D27))/OB27),0)</f>
        <v>0</v>
      </c>
      <c r="OG27" s="20" t="n">
        <f aca="false">IF(HF27=1,MAX(0,(Slot20_Cost-HG27*(1+Slot20_Rate)^(Slot20_Age-D27))/OB27),0)</f>
        <v>0</v>
      </c>
      <c r="OH27" s="20" t="n">
        <f aca="false">IF(AND(HU27=1,HF27=1),MIN(OA27,OF27),0)</f>
        <v>0</v>
      </c>
      <c r="OI27" s="20" t="n">
        <f aca="false">OA27-OH27</f>
        <v>8740.86703516679</v>
      </c>
      <c r="OJ27" s="20" t="n">
        <f aca="false">IE27-(IH27+IP27+IX27+JF27+JN27+JV27+KD27+KL27+KT27+LB27+LJ27+LR27+LZ27+MH27+MP27+MX27+NF27+NN27+NV27+OD27)</f>
        <v>0</v>
      </c>
      <c r="OK27" s="20" t="n">
        <f aca="false">IF(HU27=1,HS27-ID27-IE27,0)</f>
        <v>29305.4670747987</v>
      </c>
      <c r="OL27" s="20" t="n">
        <f aca="false">IF(HU27=0,-HS27,0)</f>
        <v>0</v>
      </c>
      <c r="OM27" s="20" t="n">
        <f aca="false">MIN(OL27,HK27)</f>
        <v>0</v>
      </c>
      <c r="ON27" s="20" t="n">
        <f aca="false">OL27-OM27</f>
        <v>0</v>
      </c>
      <c r="OO27" s="20" t="n">
        <f aca="false">MIN(ON27,HL27)</f>
        <v>0</v>
      </c>
      <c r="OP27" s="20" t="n">
        <f aca="false">ON27-OO27</f>
        <v>0</v>
      </c>
      <c r="OQ27" s="20" t="n">
        <f aca="false">IF(AND(HU27=0,HF27=1,OP27&gt;0),MIN(OP27,HG27),0)</f>
        <v>0</v>
      </c>
      <c r="OR27" s="20" t="n">
        <f aca="false">OP27-OQ27</f>
        <v>0</v>
      </c>
      <c r="OS27" s="20" t="n">
        <f aca="false">IF(AND(HU27=0,GV27=1,OR27&gt;0),MIN(OR27,GW27),0)</f>
        <v>0</v>
      </c>
      <c r="OT27" s="20" t="n">
        <f aca="false">OR27-OS27</f>
        <v>0</v>
      </c>
      <c r="OU27" s="20" t="n">
        <f aca="false">IF(AND(HU27=0,GL27=1,OT27&gt;0),MIN(OT27,GM27),0)</f>
        <v>0</v>
      </c>
      <c r="OV27" s="20" t="n">
        <f aca="false">OT27-OU27</f>
        <v>0</v>
      </c>
      <c r="OW27" s="20" t="n">
        <f aca="false">IF(AND(HU27=0,GB27=1,OV27&gt;0),MIN(OV27,GC27),0)</f>
        <v>0</v>
      </c>
      <c r="OX27" s="20" t="n">
        <f aca="false">OV27-OW27</f>
        <v>0</v>
      </c>
      <c r="OY27" s="20" t="n">
        <f aca="false">IF(AND(HU27=0,FR27=1,OX27&gt;0),MIN(OX27,FS27),0)</f>
        <v>0</v>
      </c>
      <c r="OZ27" s="20" t="n">
        <f aca="false">OX27-OY27</f>
        <v>0</v>
      </c>
      <c r="PA27" s="20" t="n">
        <f aca="false">IF(AND(HU27=0,FH27=1,OZ27&gt;0),MIN(OZ27,FI27),0)</f>
        <v>0</v>
      </c>
      <c r="PB27" s="20" t="n">
        <f aca="false">OZ27-PA27</f>
        <v>0</v>
      </c>
      <c r="PC27" s="20" t="n">
        <f aca="false">IF(AND(HU27=0,EX27=1,PB27&gt;0),MIN(PB27,EY27),0)</f>
        <v>0</v>
      </c>
      <c r="PD27" s="20" t="n">
        <f aca="false">PB27-PC27</f>
        <v>0</v>
      </c>
      <c r="PE27" s="20" t="n">
        <f aca="false">IF(AND(HU27=0,EN27=1,PD27&gt;0),MIN(PD27,EO27),0)</f>
        <v>0</v>
      </c>
      <c r="PF27" s="20" t="n">
        <f aca="false">PD27-PE27</f>
        <v>0</v>
      </c>
      <c r="PG27" s="20" t="n">
        <f aca="false">IF(AND(HU27=0,ED27=1,PF27&gt;0),MIN(PF27,EE27),0)</f>
        <v>0</v>
      </c>
      <c r="PH27" s="20" t="n">
        <f aca="false">PF27-PG27</f>
        <v>0</v>
      </c>
      <c r="PI27" s="20" t="n">
        <f aca="false">IF(AND(HU27=0,DT27=1,PH27&gt;0),MIN(PH27,DU27),0)</f>
        <v>0</v>
      </c>
      <c r="PJ27" s="20" t="n">
        <f aca="false">PH27-PI27</f>
        <v>0</v>
      </c>
      <c r="PK27" s="20" t="n">
        <f aca="false">IF(AND(HU27=0,DJ27=1,PJ27&gt;0),MIN(PJ27,DK27),0)</f>
        <v>0</v>
      </c>
      <c r="PL27" s="20" t="n">
        <f aca="false">PJ27-PK27</f>
        <v>0</v>
      </c>
      <c r="PM27" s="20" t="n">
        <f aca="false">IF(AND(HU27=0,CZ27=1,PL27&gt;0),MIN(PL27,DA27),0)</f>
        <v>0</v>
      </c>
      <c r="PN27" s="20" t="n">
        <f aca="false">PL27-PM27</f>
        <v>0</v>
      </c>
      <c r="PO27" s="20" t="n">
        <f aca="false">IF(AND(HU27=0,CP27=1,PN27&gt;0),MIN(PN27,CQ27),0)</f>
        <v>0</v>
      </c>
      <c r="PP27" s="20" t="n">
        <f aca="false">PN27-PO27</f>
        <v>0</v>
      </c>
      <c r="PQ27" s="20" t="n">
        <f aca="false">IF(AND(HU27=0,CF27=1,PP27&gt;0),MIN(PP27,CG27),0)</f>
        <v>0</v>
      </c>
      <c r="PR27" s="20" t="n">
        <f aca="false">PP27-PQ27</f>
        <v>0</v>
      </c>
      <c r="PS27" s="20" t="n">
        <f aca="false">IF(AND(HU27=0,BV27=1,PR27&gt;0),MIN(PR27,BW27),0)</f>
        <v>0</v>
      </c>
      <c r="PT27" s="20" t="n">
        <f aca="false">PR27-PS27</f>
        <v>0</v>
      </c>
      <c r="PU27" s="20" t="n">
        <f aca="false">IF(AND(HU27=0,BL27=1,PT27&gt;0),MIN(PT27,BM27),0)</f>
        <v>0</v>
      </c>
      <c r="PV27" s="20" t="n">
        <f aca="false">PT27-PU27</f>
        <v>0</v>
      </c>
      <c r="PW27" s="20" t="n">
        <f aca="false">IF(AND(HU27=0,BB27=1,PV27&gt;0),MIN(PV27,BC27),0)</f>
        <v>0</v>
      </c>
      <c r="PX27" s="20" t="n">
        <f aca="false">PV27-PW27</f>
        <v>0</v>
      </c>
      <c r="PY27" s="20" t="n">
        <f aca="false">IF(AND(HU27=0,AR27=1,PX27&gt;0),MIN(PX27,AS27),0)</f>
        <v>0</v>
      </c>
      <c r="PZ27" s="20" t="n">
        <f aca="false">PX27-PY27</f>
        <v>0</v>
      </c>
      <c r="QA27" s="20" t="n">
        <f aca="false">IF(AND(HU27=0,AH27=1,PZ27&gt;0),MIN(PZ27,AI27),0)</f>
        <v>0</v>
      </c>
      <c r="QB27" s="20" t="n">
        <f aca="false">PZ27-QA27</f>
        <v>0</v>
      </c>
      <c r="QC27" s="20" t="n">
        <f aca="false">IF(AND(HU27=0,W27=1,QB27&gt;0),MIN(QB27,X27),0)</f>
        <v>0</v>
      </c>
      <c r="QD27" s="20" t="n">
        <f aca="false">QB27-QC27</f>
        <v>0</v>
      </c>
      <c r="QE27" s="20" t="n">
        <f aca="false">IF(HU27=0,QD27,0)</f>
        <v>0</v>
      </c>
      <c r="QF27" s="20" t="n">
        <f aca="false">OM27+OO27+QC27+QA27+PY27+PW27+PU27+PS27+PQ27+PO27+PM27+PK27+PI27+PG27+PE27+PC27+PA27+OY27+OW27+OU27+OS27+OQ27</f>
        <v>0</v>
      </c>
      <c r="QG27" s="20" t="n">
        <f aca="false">IF(HU27=1,HK27+OJ27+OI27+IF(G27=1,0,OK27),HK27-OM27)</f>
        <v>43441.5254700482</v>
      </c>
      <c r="QH27" s="20" t="n">
        <f aca="false">HL27-OO27</f>
        <v>18482.254956006</v>
      </c>
      <c r="QI27" s="20" t="n">
        <f aca="false">IF(HU27=1,IF(G27=1,ID27+IE27,HS27),0)</f>
        <v>8740.86703516679</v>
      </c>
      <c r="QJ27" s="20" t="n">
        <f aca="false">IF(HU27=1,IF(G27=1,HS27-ID27-IE27,0),0)</f>
        <v>29305.4670747987</v>
      </c>
      <c r="QK27" s="20" t="n">
        <f aca="false">QG27*(1+GR)</f>
        <v>44153.966487757</v>
      </c>
      <c r="QL27" s="20" t="n">
        <f aca="false">QH27*(1+AS_Cash)</f>
        <v>18667.0775055661</v>
      </c>
      <c r="QM27" s="20" t="n">
        <f aca="false">IF(W27=1,IF(HU27=1,II27+IL27,X27-QC27)*(1+Slot1_Rate),0)</f>
        <v>0</v>
      </c>
      <c r="QN27" s="20" t="n">
        <f aca="false">IF(AND(HU27=1,W27=1),(IH27+IL27)/F27,0)</f>
        <v>0</v>
      </c>
      <c r="QO27" s="20" t="n">
        <f aca="false">IF(B27=0,IH27+IL27,0)</f>
        <v>0</v>
      </c>
      <c r="QP27" s="20" t="n">
        <f aca="false">IF(B27=0,IF(HU27=1,IJ27,IK27),0)</f>
        <v>0</v>
      </c>
      <c r="QQ27" s="20" t="n">
        <f aca="false">IF(AH27=1,IF(HU27=1,IQ27+IT27,AI27-QA27)*(1+Slot2_Rate),0)</f>
        <v>0</v>
      </c>
      <c r="QR27" s="20" t="n">
        <f aca="false">IF(AND(HU27=1,AH27=1),(IP27+IT27)/F27,0)</f>
        <v>0</v>
      </c>
      <c r="QS27" s="20" t="n">
        <f aca="false">IF(B27=0,IP27+IT27,0)</f>
        <v>0</v>
      </c>
      <c r="QT27" s="20" t="n">
        <f aca="false">IF(B27=0,IF(HU27=1,IR27,IS27),0)</f>
        <v>0</v>
      </c>
      <c r="QU27" s="20" t="n">
        <f aca="false">IF(AR27=1,IF(HU27=1,IY27+JB27,AS27-PY27)*(1+Slot3_Rate),0)</f>
        <v>0</v>
      </c>
      <c r="QV27" s="20" t="n">
        <f aca="false">IF(AND(HU27=1,AR27=1),(IX27+JB27)/F27,0)</f>
        <v>0</v>
      </c>
      <c r="QW27" s="20" t="n">
        <f aca="false">IF(B27=0,IX27+JB27,0)</f>
        <v>0</v>
      </c>
      <c r="QX27" s="20" t="n">
        <f aca="false">IF(B27=0,IF(HU27=1,IZ27,JA27),0)</f>
        <v>0</v>
      </c>
      <c r="QY27" s="20" t="n">
        <f aca="false">IF(BB27=1,IF(HU27=1,JG27+JJ27,BC27-PW27)*(1+Slot4_Rate),0)</f>
        <v>0</v>
      </c>
      <c r="QZ27" s="20" t="n">
        <f aca="false">IF(AND(HU27=1,BB27=1),(JF27+JJ27)/F27,0)</f>
        <v>0</v>
      </c>
      <c r="RA27" s="20" t="n">
        <f aca="false">IF(B27=0,JF27+JJ27,0)</f>
        <v>0</v>
      </c>
      <c r="RB27" s="20" t="n">
        <f aca="false">IF(B27=0,IF(HU27=1,JH27,JI27),0)</f>
        <v>0</v>
      </c>
      <c r="RC27" s="20" t="n">
        <f aca="false">IF(BL27=1,IF(HU27=1,JO27+JR27,BM27-PU27)*(1+Slot5_Rate),0)</f>
        <v>0</v>
      </c>
      <c r="RD27" s="20" t="n">
        <f aca="false">IF(AND(HU27=1,BL27=1),(JN27+JR27)/F27,0)</f>
        <v>0</v>
      </c>
      <c r="RE27" s="20" t="n">
        <f aca="false">IF(B27=0,JN27+JR27,0)</f>
        <v>0</v>
      </c>
      <c r="RF27" s="20" t="n">
        <f aca="false">IF(B27=0,IF(HU27=1,JP27,JQ27),0)</f>
        <v>0</v>
      </c>
      <c r="RG27" s="20" t="n">
        <f aca="false">IF(BV27=1,IF(HU27=1,JW27+JZ27,BW27-PS27)*(1+Slot6_Rate),0)</f>
        <v>0</v>
      </c>
      <c r="RH27" s="20" t="n">
        <f aca="false">IF(AND(HU27=1,BV27=1),(JV27+JZ27)/F27,0)</f>
        <v>0</v>
      </c>
      <c r="RI27" s="20" t="n">
        <f aca="false">IF(B27=0,JV27+JZ27,0)</f>
        <v>0</v>
      </c>
      <c r="RJ27" s="20" t="n">
        <f aca="false">IF(B27=0,IF(HU27=1,JX27,JY27),0)</f>
        <v>0</v>
      </c>
      <c r="RK27" s="20" t="n">
        <f aca="false">IF(CF27=1,IF(HU27=1,KE27+KH27,CG27-PQ27)*(1+Slot7_Rate),0)</f>
        <v>0</v>
      </c>
      <c r="RL27" s="20" t="n">
        <f aca="false">IF(AND(HU27=1,CF27=1),(KD27+KH27)/F27,0)</f>
        <v>0</v>
      </c>
      <c r="RM27" s="20" t="n">
        <f aca="false">IF(B27=0,KD27+KH27,0)</f>
        <v>0</v>
      </c>
      <c r="RN27" s="20" t="n">
        <f aca="false">IF(B27=0,IF(HU27=1,KF27,KG27),0)</f>
        <v>0</v>
      </c>
      <c r="RO27" s="20" t="n">
        <f aca="false">IF(CP27=1,IF(HU27=1,KM27+KP27,CQ27-PO27)*(1+Slot8_Rate),0)</f>
        <v>0</v>
      </c>
      <c r="RP27" s="20" t="n">
        <f aca="false">IF(AND(HU27=1,CP27=1),(KL27+KP27)/F27,0)</f>
        <v>0</v>
      </c>
      <c r="RQ27" s="20" t="n">
        <f aca="false">IF(B27=0,KL27+KP27,0)</f>
        <v>0</v>
      </c>
      <c r="RR27" s="20" t="n">
        <f aca="false">IF(B27=0,IF(HU27=1,KN27,KO27),0)</f>
        <v>0</v>
      </c>
      <c r="RS27" s="20" t="n">
        <f aca="false">IF(CZ27=1,IF(HU27=1,KU27+KX27,DA27-PM27)*(1+Slot9_Rate),0)</f>
        <v>0</v>
      </c>
      <c r="RT27" s="20" t="n">
        <f aca="false">IF(AND(HU27=1,CZ27=1),(KT27+KX27)/F27,0)</f>
        <v>0</v>
      </c>
      <c r="RU27" s="20" t="n">
        <f aca="false">IF(B27=0,KT27+KX27,0)</f>
        <v>0</v>
      </c>
      <c r="RV27" s="20" t="n">
        <f aca="false">IF(B27=0,IF(HU27=1,KV27,KW27),0)</f>
        <v>0</v>
      </c>
      <c r="RW27" s="20" t="n">
        <f aca="false">IF(DJ27=1,IF(HU27=1,LC27+LF27,DK27-PK27)*(1+Slot10_Rate),0)</f>
        <v>0</v>
      </c>
      <c r="RX27" s="20" t="n">
        <f aca="false">IF(AND(HU27=1,DJ27=1),(LB27+LF27)/F27,0)</f>
        <v>0</v>
      </c>
      <c r="RY27" s="20" t="n">
        <f aca="false">IF(B27=0,LB27+LF27,0)</f>
        <v>0</v>
      </c>
      <c r="RZ27" s="20" t="n">
        <f aca="false">IF(B27=0,IF(HU27=1,LD27,LE27),0)</f>
        <v>0</v>
      </c>
      <c r="SA27" s="20" t="n">
        <f aca="false">IF(DT27=1,IF(HU27=1,LK27+LN27,DU27-PI27)*(1+Slot11_Rate),0)</f>
        <v>0</v>
      </c>
      <c r="SB27" s="20" t="n">
        <f aca="false">IF(AND(HU27=1,DT27=1),(LJ27+LN27)/F27,0)</f>
        <v>0</v>
      </c>
      <c r="SC27" s="20" t="n">
        <f aca="false">IF(B27=0,LJ27+LN27,0)</f>
        <v>0</v>
      </c>
      <c r="SD27" s="20" t="n">
        <f aca="false">IF(B27=0,IF(HU27=1,LL27,LM27),0)</f>
        <v>0</v>
      </c>
      <c r="SE27" s="20" t="n">
        <f aca="false">IF(ED27=1,IF(HU27=1,LS27+LV27,EE27-PG27)*(1+Slot12_Rate),0)</f>
        <v>0</v>
      </c>
      <c r="SF27" s="20" t="n">
        <f aca="false">IF(AND(HU27=1,ED27=1),(LR27+LV27)/F27,0)</f>
        <v>0</v>
      </c>
      <c r="SG27" s="20" t="n">
        <f aca="false">IF(B27=0,LR27+LV27,0)</f>
        <v>0</v>
      </c>
      <c r="SH27" s="20" t="n">
        <f aca="false">IF(B27=0,IF(HU27=1,LT27,LU27),0)</f>
        <v>0</v>
      </c>
      <c r="SI27" s="20" t="n">
        <f aca="false">IF(EN27=1,IF(HU27=1,MA27+MD27,EO27-PE27)*(1+Slot13_Rate),0)</f>
        <v>0</v>
      </c>
      <c r="SJ27" s="20" t="n">
        <f aca="false">IF(AND(HU27=1,EN27=1),(LZ27+MD27)/F27,0)</f>
        <v>0</v>
      </c>
      <c r="SK27" s="20" t="n">
        <f aca="false">IF(B27=0,LZ27+MD27,0)</f>
        <v>0</v>
      </c>
      <c r="SL27" s="20" t="n">
        <f aca="false">IF(B27=0,IF(HU27=1,MB27,MC27),0)</f>
        <v>0</v>
      </c>
      <c r="SM27" s="20" t="n">
        <f aca="false">IF(EX27=1,IF(HU27=1,MI27+ML27,EY27-PC27)*(1+Slot14_Rate),0)</f>
        <v>0</v>
      </c>
      <c r="SN27" s="20" t="n">
        <f aca="false">IF(AND(HU27=1,EX27=1),(MH27+ML27)/F27,0)</f>
        <v>0</v>
      </c>
      <c r="SO27" s="20" t="n">
        <f aca="false">IF(B27=0,MH27+ML27,0)</f>
        <v>0</v>
      </c>
      <c r="SP27" s="20" t="n">
        <f aca="false">IF(B27=0,IF(HU27=1,MJ27,MK27),0)</f>
        <v>0</v>
      </c>
      <c r="SQ27" s="20" t="n">
        <f aca="false">IF(FH27=1,IF(HU27=1,MQ27+MT27,FI27-PA27)*(1+Slot15_Rate),0)</f>
        <v>0</v>
      </c>
      <c r="SR27" s="20" t="n">
        <f aca="false">IF(AND(HU27=1,FH27=1),(MP27+MT27)/F27,0)</f>
        <v>0</v>
      </c>
      <c r="SS27" s="20" t="n">
        <f aca="false">IF(B27=0,MP27+MT27,0)</f>
        <v>0</v>
      </c>
      <c r="ST27" s="20" t="n">
        <f aca="false">IF(B27=0,IF(HU27=1,MR27,MS27),0)</f>
        <v>0</v>
      </c>
      <c r="SU27" s="20" t="n">
        <f aca="false">IF(FR27=1,IF(HU27=1,MY27+NB27,FS27-OY27)*(1+Slot16_Rate),0)</f>
        <v>0</v>
      </c>
      <c r="SV27" s="20" t="n">
        <f aca="false">IF(AND(HU27=1,FR27=1),(MX27+NB27)/F27,0)</f>
        <v>0</v>
      </c>
      <c r="SW27" s="20" t="n">
        <f aca="false">IF(B27=0,MX27+NB27,0)</f>
        <v>0</v>
      </c>
      <c r="SX27" s="20" t="n">
        <f aca="false">IF(B27=0,IF(HU27=1,MZ27,NA27),0)</f>
        <v>0</v>
      </c>
      <c r="SY27" s="20" t="n">
        <f aca="false">IF(GB27=1,IF(HU27=1,NG27+NJ27,GC27-OW27)*(1+Slot17_Rate),0)</f>
        <v>0</v>
      </c>
      <c r="SZ27" s="20" t="n">
        <f aca="false">IF(AND(HU27=1,GB27=1),(NF27+NJ27)/F27,0)</f>
        <v>0</v>
      </c>
      <c r="TA27" s="20" t="n">
        <f aca="false">IF(B27=0,NF27+NJ27,0)</f>
        <v>0</v>
      </c>
      <c r="TB27" s="20" t="n">
        <f aca="false">IF(B27=0,IF(HU27=1,NH27,NI27),0)</f>
        <v>0</v>
      </c>
      <c r="TC27" s="20" t="n">
        <f aca="false">IF(GL27=1,IF(HU27=1,NO27+NR27,GM27-OU27)*(1+Slot18_Rate),0)</f>
        <v>0</v>
      </c>
      <c r="TD27" s="20" t="n">
        <f aca="false">IF(AND(HU27=1,GL27=1),(NN27+NR27)/F27,0)</f>
        <v>0</v>
      </c>
      <c r="TE27" s="20" t="n">
        <f aca="false">IF(B27=0,NN27+NR27,0)</f>
        <v>0</v>
      </c>
      <c r="TF27" s="20" t="n">
        <f aca="false">IF(B27=0,IF(HU27=1,NP27,NQ27),0)</f>
        <v>0</v>
      </c>
      <c r="TG27" s="20" t="n">
        <f aca="false">IF(GV27=1,IF(HU27=1,NW27+NZ27,GW27-OS27)*(1+Slot19_Rate),0)</f>
        <v>0</v>
      </c>
      <c r="TH27" s="20" t="n">
        <f aca="false">IF(AND(HU27=1,GV27=1),(NV27+NZ27)/F27,0)</f>
        <v>0</v>
      </c>
      <c r="TI27" s="20" t="n">
        <f aca="false">IF(B27=0,NV27+NZ27,0)</f>
        <v>0</v>
      </c>
      <c r="TJ27" s="20" t="n">
        <f aca="false">IF(B27=0,IF(HU27=1,NX27,NY27),0)</f>
        <v>0</v>
      </c>
      <c r="TK27" s="20" t="n">
        <f aca="false">IF(HF27=1,IF(HU27=1,OE27+OH27,HG27-OQ27)*(1+Slot20_Rate),0)</f>
        <v>0</v>
      </c>
      <c r="TL27" s="20" t="n">
        <f aca="false">IF(AND(HU27=1,HF27=1),(OD27+OH27)/F27,0)</f>
        <v>0</v>
      </c>
      <c r="TM27" s="20" t="n">
        <f aca="false">IF(B27=0,OD27+OH27,0)</f>
        <v>0</v>
      </c>
      <c r="TN27" s="20" t="n">
        <f aca="false">IF(B27=0,IF(HU27=1,OF27,OG27),0)</f>
        <v>0</v>
      </c>
      <c r="TO27" s="20" t="n">
        <f aca="false">QK27+QL27+QM27+QQ27+QU27+QY27+RC27+RG27+RK27+RO27+RS27+RW27+SA27+SE27+SI27+SM27+SQ27+SU27+SY27+TC27+TG27+TK27</f>
        <v>62821.0439933231</v>
      </c>
      <c r="TP27" s="20" t="n">
        <f aca="false">QE27+HP27</f>
        <v>0</v>
      </c>
      <c r="TQ27" s="20" t="n">
        <f aca="false">I27+S27</f>
        <v>65556.502763751</v>
      </c>
      <c r="TR27" s="20" t="n">
        <f aca="false">1-G27</f>
        <v>0</v>
      </c>
      <c r="TS27" s="20" t="n">
        <f aca="false">IF(AND(RG_Exists=1,G27=0,C27=1),I27,0)</f>
        <v>0</v>
      </c>
      <c r="TT27" s="20" t="n">
        <f aca="false">IF(AND(RG_Exists=1,G27=0,C27=1),I27-MIN(QE27,I27),0)</f>
        <v>0</v>
      </c>
      <c r="TU27" s="20" t="n">
        <f aca="false">'Plan pay &amp; tax'!AD253</f>
        <v>425574.170498179</v>
      </c>
      <c r="TV27" s="20" t="n">
        <f aca="false">IF(AND(C27=1,QE27&gt;MAX(PR_Short1,TQ27*PR_Short2)),1,0)</f>
        <v>0</v>
      </c>
      <c r="TW27" s="20" t="n">
        <f aca="false">MIN(H27,I27+S27)</f>
        <v>65556.502763751</v>
      </c>
      <c r="TX27" s="20" t="n">
        <f aca="false">QF27+MAX(0,HQ27-HP27)</f>
        <v>0</v>
      </c>
      <c r="TY27" s="20" t="n">
        <f aca="false">QE27+HP27</f>
        <v>0</v>
      </c>
      <c r="TZ27" s="20" t="n">
        <f aca="false">IF(AND(C27=1,TY27&gt;PR_MinShort),1,0)</f>
        <v>0</v>
      </c>
      <c r="UA27" s="20" t="n">
        <f aca="false">IF(AND(C27=1,TZ27=0,TX27&gt;PR_MinShort),1,0)</f>
        <v>0</v>
      </c>
      <c r="UB27" s="20" t="n">
        <f aca="false">IF(AND(C27=1,QE27&gt;PR_MinShort),1,0)</f>
        <v>0</v>
      </c>
      <c r="UC27" s="20" t="n">
        <f aca="false">IF(AND(C27=1,QF27&gt;1,UJ27=0),1,0)</f>
        <v>0</v>
      </c>
      <c r="UD27" s="20" t="str">
        <f aca="false">IF(C27=0,"",IF(UJ27=1,"Gap to plan for: short "&amp;"€"&amp;TEXT(ROUND(TP27,0),"#,##0"),IF(QF27&gt;1,"Using savings","Comfortable")))</f>
        <v>Comfortable</v>
      </c>
      <c r="UE27" s="20" t="n">
        <f aca="false">IF(AND(INT(D27/10)*10=90,B27&gt;0),80,INT(D27/10)*10)</f>
        <v>50</v>
      </c>
      <c r="UF27" s="20" t="n">
        <f aca="false">IF(B27=0,1,IF(UE27&lt;&gt;UE26,UF26+1,UF26))</f>
        <v>3</v>
      </c>
      <c r="UG27" s="20" t="n">
        <f aca="false">IF(AND(C27=1,G27=1,QE27&gt;MAX(PR_Short1,TQ27*PR_Short2)),1,0)</f>
        <v>0</v>
      </c>
      <c r="UH27" s="20" t="n">
        <f aca="false">TR27*TV27</f>
        <v>0</v>
      </c>
      <c r="UI27" s="20" t="n">
        <f aca="false">IF(AND(V27=1,Slot1_PctLow=1),1,0)+IF(AND(AG27=1,Slot2_PctLow=1),1,0)+IF(AND(AQ27=1,Slot3_PctLow=1),1,0)+IF(AND(BA27=1,Slot4_PctLow=1),1,0)+IF(AND(BK27=1,Slot5_PctLow=1),1,0)+IF(AND(BU27=1,Slot6_PctLow=1),1,0)+IF(AND(CE27=1,Slot7_PctLow=1),1,0)+IF(AND(CO27=1,Slot8_PctLow=1),1,0)+IF(AND(CY27=1,Slot9_PctLow=1),1,0)+IF(AND(DI27=1,Slot10_PctLow=1),1,0)+IF(AND(DS27=1,Slot11_PctLow=1),1,0)+IF(AND(EC27=1,Slot12_PctLow=1),1,0)+IF(AND(EM27=1,Slot13_PctLow=1),1,0)+IF(AND(EW27=1,Slot14_PctLow=1),1,0)+IF(AND(FG27=1,Slot15_PctLow=1),1,0)+IF(AND(FQ27=1,Slot16_PctLow=1),1,0)+IF(AND(GA27=1,Slot17_PctLow=1),1,0)+IF(AND(GK27=1,Slot18_PctLow=1),1,0)+IF(AND(GU27=1,Slot19_PctLow=1),1,0)+IF(AND(HE27=1,Slot20_PctLow=1),1,0)</f>
        <v>0</v>
      </c>
      <c r="UJ27" s="20" t="n">
        <f aca="false">IF(C27=1,IF(OR(TV27=1,UI27&gt;0),1,0),0)</f>
        <v>0</v>
      </c>
    </row>
    <row r="28" customFormat="false" ht="15" hidden="false" customHeight="true" outlineLevel="0" collapsed="false">
      <c r="B28" s="20" t="n">
        <v>20</v>
      </c>
      <c r="C28" s="20" t="n">
        <f aca="false">IF(B28&lt;=F_N,1,0)</f>
        <v>1</v>
      </c>
      <c r="D28" s="20" t="n">
        <f aca="false">'Plan pay &amp; tax'!C254</f>
        <v>58</v>
      </c>
      <c r="E28" s="20" t="str">
        <f aca="false">IF($C28=1,"Income tax "&amp;TEXT(N('Plan pay &amp; tax'!BK254),"#,##0")&amp;"; USC "&amp;TEXT(N('Plan pay &amp; tax'!BM254)+N('Plan pay &amp; tax'!BO254),"#,##0")&amp;"; PRSI "&amp;TEXT(N('Plan pay &amp; tax'!BP254)+N('Plan pay &amp; tax'!BQ254),"#,##0")&amp;". DIRT and exit tax are inside the growth rates here.","")</f>
        <v>Income tax 15,230; USC 2,025; PRSI 4,570. DIRT and exit tax are inside the growth rates here.</v>
      </c>
      <c r="F28" s="44" t="n">
        <f aca="false">'Plan pay &amp; tax'!E254</f>
        <v>1.48594739597836</v>
      </c>
      <c r="G28" s="20" t="n">
        <f aca="false">'Plan pay &amp; tax'!G254</f>
        <v>1</v>
      </c>
      <c r="H28" s="20" t="n">
        <f aca="false">'Plan pay &amp; tax'!BT254-'Plan pay &amp; tax'!BS254-'Plan pay &amp; tax'!R254</f>
        <v>106423.109279791</v>
      </c>
      <c r="I28" s="20" t="n">
        <f aca="false">IF(G28=1,F_CostsM*12,IF(RG_Exists=1,RG_Amount,F_CostsM*12*AS_RetireSpend))*F28+F_OneOffY*F28</f>
        <v>66867.632819026</v>
      </c>
      <c r="J28" s="20" t="n">
        <f aca="false">HR27</f>
        <v>0</v>
      </c>
      <c r="K28" s="20" t="n">
        <f aca="false">IF(J28&gt;1,'Plan debt months'!AC28,0)</f>
        <v>0</v>
      </c>
      <c r="L28" s="20" t="n">
        <f aca="false">IF(J28&gt;1,'Plan debt months'!AB28,J28)</f>
        <v>0</v>
      </c>
      <c r="M28" s="20" t="n">
        <f aca="false">O27</f>
        <v>0</v>
      </c>
      <c r="N28" s="20" t="n">
        <f aca="false">IF(M28&gt;1,'Plan debt months'!BD28,0)</f>
        <v>0</v>
      </c>
      <c r="O28" s="20" t="n">
        <f aca="false">IF(M28&gt;1,'Plan debt months'!BC28,M28)</f>
        <v>0</v>
      </c>
      <c r="P28" s="20" t="n">
        <f aca="false">R27</f>
        <v>0</v>
      </c>
      <c r="Q28" s="20" t="n">
        <f aca="false">IF(P28&gt;1,'Plan debt months'!CE28,0)</f>
        <v>0</v>
      </c>
      <c r="R28" s="20" t="n">
        <f aca="false">IF(P28&gt;1,'Plan debt months'!CD28,P28)</f>
        <v>0</v>
      </c>
      <c r="S28" s="20" t="n">
        <f aca="false">K28+N28+Q28</f>
        <v>0</v>
      </c>
      <c r="T28" s="20" t="n">
        <f aca="false">QK27+'Plan pay &amp; tax'!Y254</f>
        <v>44153.966487757</v>
      </c>
      <c r="U28" s="20" t="n">
        <f aca="false">QK27</f>
        <v>44153.966487757</v>
      </c>
      <c r="V28" s="20" t="n">
        <f aca="false">IF(AND(Slot1_On=1,D28=Slot1_Age),1,0)</f>
        <v>0</v>
      </c>
      <c r="W28" s="20" t="n">
        <f aca="false">IF(AND(Slot1_On=1,Slot1_Age&gt;D28),1,0)</f>
        <v>0</v>
      </c>
      <c r="X28" s="20" t="n">
        <f aca="false">QM27</f>
        <v>0</v>
      </c>
      <c r="Y28" s="20" t="n">
        <f aca="false">V28*MIN(Slot1_Cost,X28)</f>
        <v>0</v>
      </c>
      <c r="Z28" s="20" t="n">
        <f aca="false">V28*Slot1_SpendLike*MIN(Slot1_Cost-Y28,T28)</f>
        <v>0</v>
      </c>
      <c r="AA28" s="20" t="n">
        <f aca="false">Y28+Z28</f>
        <v>0</v>
      </c>
      <c r="AB28" s="20" t="n">
        <f aca="false">T28-Z28+V28*IF(Slot1_SpendLike=1,X28-Y28,IF(Slot1_PotFree=1,X28,0))</f>
        <v>44153.966487757</v>
      </c>
      <c r="AC28" s="20" t="n">
        <f aca="false">AF28+V28*Slot1_BufPot*X28</f>
        <v>18667.0775055661</v>
      </c>
      <c r="AD28" s="20" t="n">
        <f aca="false">IF(AND(V28=1,Slot1_IsMfree=1),IF(AA28&gt;=Slot1_Cost-1,0,MAX(0,L28-AA28)),L28)</f>
        <v>0</v>
      </c>
      <c r="AE28" s="20" t="n">
        <f aca="false">V28*(Slot1_Cost-AA28)</f>
        <v>0</v>
      </c>
      <c r="AF28" s="20" t="n">
        <f aca="false">QL27</f>
        <v>18667.0775055661</v>
      </c>
      <c r="AG28" s="20" t="n">
        <f aca="false">IF(AND(Slot2_On=1,D28=Slot2_Age),1,0)</f>
        <v>0</v>
      </c>
      <c r="AH28" s="20" t="n">
        <f aca="false">IF(AND(Slot2_On=1,Slot2_Age&gt;D28),1,0)</f>
        <v>0</v>
      </c>
      <c r="AI28" s="20" t="n">
        <f aca="false">QQ27</f>
        <v>0</v>
      </c>
      <c r="AJ28" s="20" t="n">
        <f aca="false">AG28*MIN(Slot2_Cost,AI28)</f>
        <v>0</v>
      </c>
      <c r="AK28" s="20" t="n">
        <f aca="false">AG28*Slot2_SpendLike*MIN(Slot2_Cost-AJ28,AB28)</f>
        <v>0</v>
      </c>
      <c r="AL28" s="20" t="n">
        <f aca="false">AJ28+AK28</f>
        <v>0</v>
      </c>
      <c r="AM28" s="20" t="n">
        <f aca="false">AB28-AK28+AG28*IF(Slot2_SpendLike=1,AI28-AJ28,IF(Slot2_PotFree=1,AI28,0))</f>
        <v>44153.966487757</v>
      </c>
      <c r="AN28" s="20" t="n">
        <f aca="false">AC28+AG28*Slot2_BufPot*AI28</f>
        <v>18667.0775055661</v>
      </c>
      <c r="AO28" s="20" t="n">
        <f aca="false">IF(AND(AG28=1,Slot2_IsMfree=1),IF(AL28&gt;=Slot2_Cost-1,0,MAX(0,AD28-AL28)),AD28)</f>
        <v>0</v>
      </c>
      <c r="AP28" s="20" t="n">
        <f aca="false">AG28*(Slot2_Cost-AL28)</f>
        <v>0</v>
      </c>
      <c r="AQ28" s="20" t="n">
        <f aca="false">IF(AND(Slot3_On=1,D28=Slot3_Age),1,0)</f>
        <v>0</v>
      </c>
      <c r="AR28" s="20" t="n">
        <f aca="false">IF(AND(Slot3_On=1,Slot3_Age&gt;D28),1,0)</f>
        <v>0</v>
      </c>
      <c r="AS28" s="20" t="n">
        <f aca="false">QU27</f>
        <v>0</v>
      </c>
      <c r="AT28" s="20" t="n">
        <f aca="false">AQ28*MIN(Slot3_Cost,AS28)</f>
        <v>0</v>
      </c>
      <c r="AU28" s="20" t="n">
        <f aca="false">AQ28*Slot3_SpendLike*MIN(Slot3_Cost-AT28,AM28)</f>
        <v>0</v>
      </c>
      <c r="AV28" s="20" t="n">
        <f aca="false">AT28+AU28</f>
        <v>0</v>
      </c>
      <c r="AW28" s="20" t="n">
        <f aca="false">AM28-AU28+AQ28*IF(Slot3_SpendLike=1,AS28-AT28,IF(Slot3_PotFree=1,AS28,0))</f>
        <v>44153.966487757</v>
      </c>
      <c r="AX28" s="20" t="n">
        <f aca="false">AN28+AQ28*Slot3_BufPot*AS28</f>
        <v>18667.0775055661</v>
      </c>
      <c r="AY28" s="20" t="n">
        <f aca="false">IF(AND(AQ28=1,Slot3_IsMfree=1),IF(AV28&gt;=Slot3_Cost-1,0,MAX(0,AO28-AV28)),AO28)</f>
        <v>0</v>
      </c>
      <c r="AZ28" s="20" t="n">
        <f aca="false">AQ28*(Slot3_Cost-AV28)</f>
        <v>0</v>
      </c>
      <c r="BA28" s="20" t="n">
        <f aca="false">IF(AND(Slot4_On=1,D28=Slot4_Age),1,0)</f>
        <v>0</v>
      </c>
      <c r="BB28" s="20" t="n">
        <f aca="false">IF(AND(Slot4_On=1,Slot4_Age&gt;D28),1,0)</f>
        <v>0</v>
      </c>
      <c r="BC28" s="20" t="n">
        <f aca="false">QY27</f>
        <v>0</v>
      </c>
      <c r="BD28" s="20" t="n">
        <f aca="false">BA28*MIN(Slot4_Cost,BC28)</f>
        <v>0</v>
      </c>
      <c r="BE28" s="20" t="n">
        <f aca="false">BA28*Slot4_SpendLike*MIN(Slot4_Cost-BD28,AW28)</f>
        <v>0</v>
      </c>
      <c r="BF28" s="20" t="n">
        <f aca="false">BD28+BE28</f>
        <v>0</v>
      </c>
      <c r="BG28" s="20" t="n">
        <f aca="false">AW28-BE28+BA28*IF(Slot4_SpendLike=1,BC28-BD28,IF(Slot4_PotFree=1,BC28,0))</f>
        <v>44153.966487757</v>
      </c>
      <c r="BH28" s="20" t="n">
        <f aca="false">AX28+BA28*Slot4_BufPot*BC28</f>
        <v>18667.0775055661</v>
      </c>
      <c r="BI28" s="20" t="n">
        <f aca="false">IF(AND(BA28=1,Slot4_IsMfree=1),IF(BF28&gt;=Slot4_Cost-1,0,MAX(0,AY28-BF28)),AY28)</f>
        <v>0</v>
      </c>
      <c r="BJ28" s="20" t="n">
        <f aca="false">BA28*(Slot4_Cost-BF28)</f>
        <v>0</v>
      </c>
      <c r="BK28" s="20" t="n">
        <f aca="false">IF(AND(Slot5_On=1,D28=Slot5_Age),1,0)</f>
        <v>0</v>
      </c>
      <c r="BL28" s="20" t="n">
        <f aca="false">IF(AND(Slot5_On=1,Slot5_Age&gt;D28),1,0)</f>
        <v>0</v>
      </c>
      <c r="BM28" s="20" t="n">
        <f aca="false">RC27</f>
        <v>0</v>
      </c>
      <c r="BN28" s="20" t="n">
        <f aca="false">BK28*MIN(Slot5_Cost,BM28)</f>
        <v>0</v>
      </c>
      <c r="BO28" s="20" t="n">
        <f aca="false">BK28*Slot5_SpendLike*MIN(Slot5_Cost-BN28,BG28)</f>
        <v>0</v>
      </c>
      <c r="BP28" s="20" t="n">
        <f aca="false">BN28+BO28</f>
        <v>0</v>
      </c>
      <c r="BQ28" s="20" t="n">
        <f aca="false">BG28-BO28+BK28*IF(Slot5_SpendLike=1,BM28-BN28,IF(Slot5_PotFree=1,BM28,0))</f>
        <v>44153.966487757</v>
      </c>
      <c r="BR28" s="20" t="n">
        <f aca="false">BH28+BK28*Slot5_BufPot*BM28</f>
        <v>18667.0775055661</v>
      </c>
      <c r="BS28" s="20" t="n">
        <f aca="false">IF(AND(BK28=1,Slot5_IsMfree=1),IF(BP28&gt;=Slot5_Cost-1,0,MAX(0,BI28-BP28)),BI28)</f>
        <v>0</v>
      </c>
      <c r="BT28" s="20" t="n">
        <f aca="false">BK28*(Slot5_Cost-BP28)</f>
        <v>0</v>
      </c>
      <c r="BU28" s="20" t="n">
        <f aca="false">IF(AND(Slot6_On=1,D28=Slot6_Age),1,0)</f>
        <v>0</v>
      </c>
      <c r="BV28" s="20" t="n">
        <f aca="false">IF(AND(Slot6_On=1,Slot6_Age&gt;D28),1,0)</f>
        <v>0</v>
      </c>
      <c r="BW28" s="20" t="n">
        <f aca="false">RG27</f>
        <v>0</v>
      </c>
      <c r="BX28" s="20" t="n">
        <f aca="false">BU28*MIN(Slot6_Cost,BW28)</f>
        <v>0</v>
      </c>
      <c r="BY28" s="20" t="n">
        <f aca="false">BU28*Slot6_SpendLike*MIN(Slot6_Cost-BX28,BQ28)</f>
        <v>0</v>
      </c>
      <c r="BZ28" s="20" t="n">
        <f aca="false">BX28+BY28</f>
        <v>0</v>
      </c>
      <c r="CA28" s="20" t="n">
        <f aca="false">BQ28-BY28+BU28*IF(Slot6_SpendLike=1,BW28-BX28,IF(Slot6_PotFree=1,BW28,0))</f>
        <v>44153.966487757</v>
      </c>
      <c r="CB28" s="20" t="n">
        <f aca="false">BR28+BU28*Slot6_BufPot*BW28</f>
        <v>18667.0775055661</v>
      </c>
      <c r="CC28" s="20" t="n">
        <f aca="false">IF(AND(BU28=1,Slot6_IsMfree=1),IF(BZ28&gt;=Slot6_Cost-1,0,MAX(0,BS28-BZ28)),BS28)</f>
        <v>0</v>
      </c>
      <c r="CD28" s="20" t="n">
        <f aca="false">BU28*(Slot6_Cost-BZ28)</f>
        <v>0</v>
      </c>
      <c r="CE28" s="20" t="n">
        <f aca="false">IF(AND(Slot7_On=1,D28=Slot7_Age),1,0)</f>
        <v>0</v>
      </c>
      <c r="CF28" s="20" t="n">
        <f aca="false">IF(AND(Slot7_On=1,Slot7_Age&gt;D28),1,0)</f>
        <v>0</v>
      </c>
      <c r="CG28" s="20" t="n">
        <f aca="false">RK27</f>
        <v>0</v>
      </c>
      <c r="CH28" s="20" t="n">
        <f aca="false">CE28*MIN(Slot7_Cost,CG28)</f>
        <v>0</v>
      </c>
      <c r="CI28" s="20" t="n">
        <f aca="false">CE28*Slot7_SpendLike*MIN(Slot7_Cost-CH28,CA28)</f>
        <v>0</v>
      </c>
      <c r="CJ28" s="20" t="n">
        <f aca="false">CH28+CI28</f>
        <v>0</v>
      </c>
      <c r="CK28" s="20" t="n">
        <f aca="false">CA28-CI28+CE28*IF(Slot7_SpendLike=1,CG28-CH28,IF(Slot7_PotFree=1,CG28,0))</f>
        <v>44153.966487757</v>
      </c>
      <c r="CL28" s="20" t="n">
        <f aca="false">CB28+CE28*Slot7_BufPot*CG28</f>
        <v>18667.0775055661</v>
      </c>
      <c r="CM28" s="20" t="n">
        <f aca="false">IF(AND(CE28=1,Slot7_IsMfree=1),IF(CJ28&gt;=Slot7_Cost-1,0,MAX(0,CC28-CJ28)),CC28)</f>
        <v>0</v>
      </c>
      <c r="CN28" s="20" t="n">
        <f aca="false">CE28*(Slot7_Cost-CJ28)</f>
        <v>0</v>
      </c>
      <c r="CO28" s="20" t="n">
        <f aca="false">IF(AND(Slot8_On=1,D28=Slot8_Age),1,0)</f>
        <v>0</v>
      </c>
      <c r="CP28" s="20" t="n">
        <f aca="false">IF(AND(Slot8_On=1,Slot8_Age&gt;D28),1,0)</f>
        <v>0</v>
      </c>
      <c r="CQ28" s="20" t="n">
        <f aca="false">RO27</f>
        <v>0</v>
      </c>
      <c r="CR28" s="20" t="n">
        <f aca="false">CO28*MIN(Slot8_Cost,CQ28)</f>
        <v>0</v>
      </c>
      <c r="CS28" s="20" t="n">
        <f aca="false">CO28*Slot8_SpendLike*MIN(Slot8_Cost-CR28,CK28)</f>
        <v>0</v>
      </c>
      <c r="CT28" s="20" t="n">
        <f aca="false">CR28+CS28</f>
        <v>0</v>
      </c>
      <c r="CU28" s="20" t="n">
        <f aca="false">CK28-CS28+CO28*IF(Slot8_SpendLike=1,CQ28-CR28,IF(Slot8_PotFree=1,CQ28,0))</f>
        <v>44153.966487757</v>
      </c>
      <c r="CV28" s="20" t="n">
        <f aca="false">CL28+CO28*Slot8_BufPot*CQ28</f>
        <v>18667.0775055661</v>
      </c>
      <c r="CW28" s="20" t="n">
        <f aca="false">IF(AND(CO28=1,Slot8_IsMfree=1),IF(CT28&gt;=Slot8_Cost-1,0,MAX(0,CM28-CT28)),CM28)</f>
        <v>0</v>
      </c>
      <c r="CX28" s="20" t="n">
        <f aca="false">CO28*(Slot8_Cost-CT28)</f>
        <v>0</v>
      </c>
      <c r="CY28" s="20" t="n">
        <f aca="false">IF(AND(Slot9_On=1,D28=Slot9_Age),1,0)</f>
        <v>0</v>
      </c>
      <c r="CZ28" s="20" t="n">
        <f aca="false">IF(AND(Slot9_On=1,Slot9_Age&gt;D28),1,0)</f>
        <v>0</v>
      </c>
      <c r="DA28" s="20" t="n">
        <f aca="false">RS27</f>
        <v>0</v>
      </c>
      <c r="DB28" s="20" t="n">
        <f aca="false">CY28*MIN(Slot9_Cost,DA28)</f>
        <v>0</v>
      </c>
      <c r="DC28" s="20" t="n">
        <f aca="false">CY28*Slot9_SpendLike*MIN(Slot9_Cost-DB28,CU28)</f>
        <v>0</v>
      </c>
      <c r="DD28" s="20" t="n">
        <f aca="false">DB28+DC28</f>
        <v>0</v>
      </c>
      <c r="DE28" s="20" t="n">
        <f aca="false">CU28-DC28+CY28*IF(Slot9_SpendLike=1,DA28-DB28,IF(Slot9_PotFree=1,DA28,0))</f>
        <v>44153.966487757</v>
      </c>
      <c r="DF28" s="20" t="n">
        <f aca="false">CV28+CY28*Slot9_BufPot*DA28</f>
        <v>18667.0775055661</v>
      </c>
      <c r="DG28" s="20" t="n">
        <f aca="false">IF(AND(CY28=1,Slot9_IsMfree=1),IF(DD28&gt;=Slot9_Cost-1,0,MAX(0,CW28-DD28)),CW28)</f>
        <v>0</v>
      </c>
      <c r="DH28" s="20" t="n">
        <f aca="false">CY28*(Slot9_Cost-DD28)</f>
        <v>0</v>
      </c>
      <c r="DI28" s="20" t="n">
        <f aca="false">IF(AND(Slot10_On=1,D28=Slot10_Age),1,0)</f>
        <v>0</v>
      </c>
      <c r="DJ28" s="20" t="n">
        <f aca="false">IF(AND(Slot10_On=1,Slot10_Age&gt;D28),1,0)</f>
        <v>0</v>
      </c>
      <c r="DK28" s="20" t="n">
        <f aca="false">RW27</f>
        <v>0</v>
      </c>
      <c r="DL28" s="20" t="n">
        <f aca="false">DI28*MIN(Slot10_Cost,DK28)</f>
        <v>0</v>
      </c>
      <c r="DM28" s="20" t="n">
        <f aca="false">DI28*Slot10_SpendLike*MIN(Slot10_Cost-DL28,DE28)</f>
        <v>0</v>
      </c>
      <c r="DN28" s="20" t="n">
        <f aca="false">DL28+DM28</f>
        <v>0</v>
      </c>
      <c r="DO28" s="20" t="n">
        <f aca="false">DE28-DM28+DI28*IF(Slot10_SpendLike=1,DK28-DL28,IF(Slot10_PotFree=1,DK28,0))</f>
        <v>44153.966487757</v>
      </c>
      <c r="DP28" s="20" t="n">
        <f aca="false">DF28+DI28*Slot10_BufPot*DK28</f>
        <v>18667.0775055661</v>
      </c>
      <c r="DQ28" s="20" t="n">
        <f aca="false">IF(AND(DI28=1,Slot10_IsMfree=1),IF(DN28&gt;=Slot10_Cost-1,0,MAX(0,DG28-DN28)),DG28)</f>
        <v>0</v>
      </c>
      <c r="DR28" s="20" t="n">
        <f aca="false">DI28*(Slot10_Cost-DN28)</f>
        <v>0</v>
      </c>
      <c r="DS28" s="20" t="n">
        <f aca="false">IF(AND(Slot11_On=1,D28=Slot11_Age),1,0)</f>
        <v>0</v>
      </c>
      <c r="DT28" s="20" t="n">
        <f aca="false">IF(AND(Slot11_On=1,Slot11_Age&gt;D28),1,0)</f>
        <v>0</v>
      </c>
      <c r="DU28" s="20" t="n">
        <f aca="false">SA27</f>
        <v>0</v>
      </c>
      <c r="DV28" s="20" t="n">
        <f aca="false">DS28*MIN(Slot11_Cost,DU28)</f>
        <v>0</v>
      </c>
      <c r="DW28" s="20" t="n">
        <f aca="false">DS28*Slot11_SpendLike*MIN(Slot11_Cost-DV28,DO28)</f>
        <v>0</v>
      </c>
      <c r="DX28" s="20" t="n">
        <f aca="false">DV28+DW28</f>
        <v>0</v>
      </c>
      <c r="DY28" s="20" t="n">
        <f aca="false">DO28-DW28+DS28*IF(Slot11_SpendLike=1,DU28-DV28,IF(Slot11_PotFree=1,DU28,0))</f>
        <v>44153.966487757</v>
      </c>
      <c r="DZ28" s="20" t="n">
        <f aca="false">DP28+DS28*Slot11_BufPot*DU28</f>
        <v>18667.0775055661</v>
      </c>
      <c r="EA28" s="20" t="n">
        <f aca="false">IF(AND(DS28=1,Slot11_IsMfree=1),IF(DX28&gt;=Slot11_Cost-1,0,MAX(0,DQ28-DX28)),DQ28)</f>
        <v>0</v>
      </c>
      <c r="EB28" s="20" t="n">
        <f aca="false">DS28*(Slot11_Cost-DX28)</f>
        <v>0</v>
      </c>
      <c r="EC28" s="20" t="n">
        <f aca="false">IF(AND(Slot12_On=1,D28=Slot12_Age),1,0)</f>
        <v>0</v>
      </c>
      <c r="ED28" s="20" t="n">
        <f aca="false">IF(AND(Slot12_On=1,Slot12_Age&gt;D28),1,0)</f>
        <v>0</v>
      </c>
      <c r="EE28" s="20" t="n">
        <f aca="false">SE27</f>
        <v>0</v>
      </c>
      <c r="EF28" s="20" t="n">
        <f aca="false">EC28*MIN(Slot12_Cost,EE28)</f>
        <v>0</v>
      </c>
      <c r="EG28" s="20" t="n">
        <f aca="false">EC28*Slot12_SpendLike*MIN(Slot12_Cost-EF28,DY28)</f>
        <v>0</v>
      </c>
      <c r="EH28" s="20" t="n">
        <f aca="false">EF28+EG28</f>
        <v>0</v>
      </c>
      <c r="EI28" s="20" t="n">
        <f aca="false">DY28-EG28+EC28*IF(Slot12_SpendLike=1,EE28-EF28,IF(Slot12_PotFree=1,EE28,0))</f>
        <v>44153.966487757</v>
      </c>
      <c r="EJ28" s="20" t="n">
        <f aca="false">DZ28+EC28*Slot12_BufPot*EE28</f>
        <v>18667.0775055661</v>
      </c>
      <c r="EK28" s="20" t="n">
        <f aca="false">IF(AND(EC28=1,Slot12_IsMfree=1),IF(EH28&gt;=Slot12_Cost-1,0,MAX(0,EA28-EH28)),EA28)</f>
        <v>0</v>
      </c>
      <c r="EL28" s="20" t="n">
        <f aca="false">EC28*(Slot12_Cost-EH28)</f>
        <v>0</v>
      </c>
      <c r="EM28" s="20" t="n">
        <f aca="false">IF(AND(Slot13_On=1,D28=Slot13_Age),1,0)</f>
        <v>0</v>
      </c>
      <c r="EN28" s="20" t="n">
        <f aca="false">IF(AND(Slot13_On=1,Slot13_Age&gt;D28),1,0)</f>
        <v>0</v>
      </c>
      <c r="EO28" s="20" t="n">
        <f aca="false">SI27</f>
        <v>0</v>
      </c>
      <c r="EP28" s="20" t="n">
        <f aca="false">EM28*MIN(Slot13_Cost,EO28)</f>
        <v>0</v>
      </c>
      <c r="EQ28" s="20" t="n">
        <f aca="false">EM28*Slot13_SpendLike*MIN(Slot13_Cost-EP28,EI28)</f>
        <v>0</v>
      </c>
      <c r="ER28" s="20" t="n">
        <f aca="false">EP28+EQ28</f>
        <v>0</v>
      </c>
      <c r="ES28" s="20" t="n">
        <f aca="false">EI28-EQ28+EM28*IF(Slot13_SpendLike=1,EO28-EP28,IF(Slot13_PotFree=1,EO28,0))</f>
        <v>44153.966487757</v>
      </c>
      <c r="ET28" s="20" t="n">
        <f aca="false">EJ28+EM28*Slot13_BufPot*EO28</f>
        <v>18667.0775055661</v>
      </c>
      <c r="EU28" s="20" t="n">
        <f aca="false">IF(AND(EM28=1,Slot13_IsMfree=1),IF(ER28&gt;=Slot13_Cost-1,0,MAX(0,EK28-ER28)),EK28)</f>
        <v>0</v>
      </c>
      <c r="EV28" s="20" t="n">
        <f aca="false">EM28*(Slot13_Cost-ER28)</f>
        <v>0</v>
      </c>
      <c r="EW28" s="20" t="n">
        <f aca="false">IF(AND(Slot14_On=1,D28=Slot14_Age),1,0)</f>
        <v>0</v>
      </c>
      <c r="EX28" s="20" t="n">
        <f aca="false">IF(AND(Slot14_On=1,Slot14_Age&gt;D28),1,0)</f>
        <v>0</v>
      </c>
      <c r="EY28" s="20" t="n">
        <f aca="false">SM27</f>
        <v>0</v>
      </c>
      <c r="EZ28" s="20" t="n">
        <f aca="false">EW28*MIN(Slot14_Cost,EY28)</f>
        <v>0</v>
      </c>
      <c r="FA28" s="20" t="n">
        <f aca="false">EW28*Slot14_SpendLike*MIN(Slot14_Cost-EZ28,ES28)</f>
        <v>0</v>
      </c>
      <c r="FB28" s="20" t="n">
        <f aca="false">EZ28+FA28</f>
        <v>0</v>
      </c>
      <c r="FC28" s="20" t="n">
        <f aca="false">ES28-FA28+EW28*IF(Slot14_SpendLike=1,EY28-EZ28,IF(Slot14_PotFree=1,EY28,0))</f>
        <v>44153.966487757</v>
      </c>
      <c r="FD28" s="20" t="n">
        <f aca="false">ET28+EW28*Slot14_BufPot*EY28</f>
        <v>18667.0775055661</v>
      </c>
      <c r="FE28" s="20" t="n">
        <f aca="false">IF(AND(EW28=1,Slot14_IsMfree=1),IF(FB28&gt;=Slot14_Cost-1,0,MAX(0,EU28-FB28)),EU28)</f>
        <v>0</v>
      </c>
      <c r="FF28" s="20" t="n">
        <f aca="false">EW28*(Slot14_Cost-FB28)</f>
        <v>0</v>
      </c>
      <c r="FG28" s="20" t="n">
        <f aca="false">IF(AND(Slot15_On=1,D28=Slot15_Age),1,0)</f>
        <v>0</v>
      </c>
      <c r="FH28" s="20" t="n">
        <f aca="false">IF(AND(Slot15_On=1,Slot15_Age&gt;D28),1,0)</f>
        <v>0</v>
      </c>
      <c r="FI28" s="20" t="n">
        <f aca="false">SQ27</f>
        <v>0</v>
      </c>
      <c r="FJ28" s="20" t="n">
        <f aca="false">FG28*MIN(Slot15_Cost,FI28)</f>
        <v>0</v>
      </c>
      <c r="FK28" s="20" t="n">
        <f aca="false">FG28*Slot15_SpendLike*MIN(Slot15_Cost-FJ28,FC28)</f>
        <v>0</v>
      </c>
      <c r="FL28" s="20" t="n">
        <f aca="false">FJ28+FK28</f>
        <v>0</v>
      </c>
      <c r="FM28" s="20" t="n">
        <f aca="false">FC28-FK28+FG28*IF(Slot15_SpendLike=1,FI28-FJ28,IF(Slot15_PotFree=1,FI28,0))</f>
        <v>44153.966487757</v>
      </c>
      <c r="FN28" s="20" t="n">
        <f aca="false">FD28+FG28*Slot15_BufPot*FI28</f>
        <v>18667.0775055661</v>
      </c>
      <c r="FO28" s="20" t="n">
        <f aca="false">IF(AND(FG28=1,Slot15_IsMfree=1),IF(FL28&gt;=Slot15_Cost-1,0,MAX(0,FE28-FL28)),FE28)</f>
        <v>0</v>
      </c>
      <c r="FP28" s="20" t="n">
        <f aca="false">FG28*(Slot15_Cost-FL28)</f>
        <v>0</v>
      </c>
      <c r="FQ28" s="20" t="n">
        <f aca="false">IF(AND(Slot16_On=1,D28=Slot16_Age),1,0)</f>
        <v>0</v>
      </c>
      <c r="FR28" s="20" t="n">
        <f aca="false">IF(AND(Slot16_On=1,Slot16_Age&gt;D28),1,0)</f>
        <v>0</v>
      </c>
      <c r="FS28" s="20" t="n">
        <f aca="false">SU27</f>
        <v>0</v>
      </c>
      <c r="FT28" s="20" t="n">
        <f aca="false">FQ28*MIN(Slot16_Cost,FS28)</f>
        <v>0</v>
      </c>
      <c r="FU28" s="20" t="n">
        <f aca="false">FQ28*Slot16_SpendLike*MIN(Slot16_Cost-FT28,FM28)</f>
        <v>0</v>
      </c>
      <c r="FV28" s="20" t="n">
        <f aca="false">FT28+FU28</f>
        <v>0</v>
      </c>
      <c r="FW28" s="20" t="n">
        <f aca="false">FM28-FU28+FQ28*IF(Slot16_SpendLike=1,FS28-FT28,IF(Slot16_PotFree=1,FS28,0))</f>
        <v>44153.966487757</v>
      </c>
      <c r="FX28" s="20" t="n">
        <f aca="false">FN28+FQ28*Slot16_BufPot*FS28</f>
        <v>18667.0775055661</v>
      </c>
      <c r="FY28" s="20" t="n">
        <f aca="false">IF(AND(FQ28=1,Slot16_IsMfree=1),IF(FV28&gt;=Slot16_Cost-1,0,MAX(0,FO28-FV28)),FO28)</f>
        <v>0</v>
      </c>
      <c r="FZ28" s="20" t="n">
        <f aca="false">FQ28*(Slot16_Cost-FV28)</f>
        <v>0</v>
      </c>
      <c r="GA28" s="20" t="n">
        <f aca="false">IF(AND(Slot17_On=1,D28=Slot17_Age),1,0)</f>
        <v>0</v>
      </c>
      <c r="GB28" s="20" t="n">
        <f aca="false">IF(AND(Slot17_On=1,Slot17_Age&gt;D28),1,0)</f>
        <v>0</v>
      </c>
      <c r="GC28" s="20" t="n">
        <f aca="false">SY27</f>
        <v>0</v>
      </c>
      <c r="GD28" s="20" t="n">
        <f aca="false">GA28*MIN(Slot17_Cost,GC28)</f>
        <v>0</v>
      </c>
      <c r="GE28" s="20" t="n">
        <f aca="false">GA28*Slot17_SpendLike*MIN(Slot17_Cost-GD28,FW28)</f>
        <v>0</v>
      </c>
      <c r="GF28" s="20" t="n">
        <f aca="false">GD28+GE28</f>
        <v>0</v>
      </c>
      <c r="GG28" s="20" t="n">
        <f aca="false">FW28-GE28+GA28*IF(Slot17_SpendLike=1,GC28-GD28,IF(Slot17_PotFree=1,GC28,0))</f>
        <v>44153.966487757</v>
      </c>
      <c r="GH28" s="20" t="n">
        <f aca="false">FX28+GA28*Slot17_BufPot*GC28</f>
        <v>18667.0775055661</v>
      </c>
      <c r="GI28" s="20" t="n">
        <f aca="false">IF(AND(GA28=1,Slot17_IsMfree=1),IF(GF28&gt;=Slot17_Cost-1,0,MAX(0,FY28-GF28)),FY28)</f>
        <v>0</v>
      </c>
      <c r="GJ28" s="20" t="n">
        <f aca="false">GA28*(Slot17_Cost-GF28)</f>
        <v>0</v>
      </c>
      <c r="GK28" s="20" t="n">
        <f aca="false">IF(AND(Slot18_On=1,D28=Slot18_Age),1,0)</f>
        <v>0</v>
      </c>
      <c r="GL28" s="20" t="n">
        <f aca="false">IF(AND(Slot18_On=1,Slot18_Age&gt;D28),1,0)</f>
        <v>0</v>
      </c>
      <c r="GM28" s="20" t="n">
        <f aca="false">TC27</f>
        <v>0</v>
      </c>
      <c r="GN28" s="20" t="n">
        <f aca="false">GK28*MIN(Slot18_Cost,GM28)</f>
        <v>0</v>
      </c>
      <c r="GO28" s="20" t="n">
        <f aca="false">GK28*Slot18_SpendLike*MIN(Slot18_Cost-GN28,GG28)</f>
        <v>0</v>
      </c>
      <c r="GP28" s="20" t="n">
        <f aca="false">GN28+GO28</f>
        <v>0</v>
      </c>
      <c r="GQ28" s="20" t="n">
        <f aca="false">GG28-GO28+GK28*IF(Slot18_SpendLike=1,GM28-GN28,IF(Slot18_PotFree=1,GM28,0))</f>
        <v>44153.966487757</v>
      </c>
      <c r="GR28" s="20" t="n">
        <f aca="false">GH28+GK28*Slot18_BufPot*GM28</f>
        <v>18667.0775055661</v>
      </c>
      <c r="GS28" s="20" t="n">
        <f aca="false">IF(AND(GK28=1,Slot18_IsMfree=1),IF(GP28&gt;=Slot18_Cost-1,0,MAX(0,GI28-GP28)),GI28)</f>
        <v>0</v>
      </c>
      <c r="GT28" s="20" t="n">
        <f aca="false">GK28*(Slot18_Cost-GP28)</f>
        <v>0</v>
      </c>
      <c r="GU28" s="20" t="n">
        <f aca="false">IF(AND(Slot19_On=1,D28=Slot19_Age),1,0)</f>
        <v>0</v>
      </c>
      <c r="GV28" s="20" t="n">
        <f aca="false">IF(AND(Slot19_On=1,Slot19_Age&gt;D28),1,0)</f>
        <v>0</v>
      </c>
      <c r="GW28" s="20" t="n">
        <f aca="false">TG27</f>
        <v>0</v>
      </c>
      <c r="GX28" s="20" t="n">
        <f aca="false">GU28*MIN(Slot19_Cost,GW28)</f>
        <v>0</v>
      </c>
      <c r="GY28" s="20" t="n">
        <f aca="false">GU28*Slot19_SpendLike*MIN(Slot19_Cost-GX28,GQ28)</f>
        <v>0</v>
      </c>
      <c r="GZ28" s="20" t="n">
        <f aca="false">GX28+GY28</f>
        <v>0</v>
      </c>
      <c r="HA28" s="20" t="n">
        <f aca="false">GQ28-GY28+GU28*IF(Slot19_SpendLike=1,GW28-GX28,IF(Slot19_PotFree=1,GW28,0))</f>
        <v>44153.966487757</v>
      </c>
      <c r="HB28" s="20" t="n">
        <f aca="false">GR28+GU28*Slot19_BufPot*GW28</f>
        <v>18667.0775055661</v>
      </c>
      <c r="HC28" s="20" t="n">
        <f aca="false">IF(AND(GU28=1,Slot19_IsMfree=1),IF(GZ28&gt;=Slot19_Cost-1,0,MAX(0,GS28-GZ28)),GS28)</f>
        <v>0</v>
      </c>
      <c r="HD28" s="20" t="n">
        <f aca="false">GU28*(Slot19_Cost-GZ28)</f>
        <v>0</v>
      </c>
      <c r="HE28" s="20" t="n">
        <f aca="false">IF(AND(Slot20_On=1,D28=Slot20_Age),1,0)</f>
        <v>0</v>
      </c>
      <c r="HF28" s="20" t="n">
        <f aca="false">IF(AND(Slot20_On=1,Slot20_Age&gt;D28),1,0)</f>
        <v>0</v>
      </c>
      <c r="HG28" s="20" t="n">
        <f aca="false">TK27</f>
        <v>0</v>
      </c>
      <c r="HH28" s="20" t="n">
        <f aca="false">HE28*MIN(Slot20_Cost,HG28)</f>
        <v>0</v>
      </c>
      <c r="HI28" s="20" t="n">
        <f aca="false">HE28*Slot20_SpendLike*MIN(Slot20_Cost-HH28,HA28)</f>
        <v>0</v>
      </c>
      <c r="HJ28" s="20" t="n">
        <f aca="false">HH28+HI28</f>
        <v>0</v>
      </c>
      <c r="HK28" s="20" t="n">
        <f aca="false">HA28-HI28+HE28*IF(Slot20_SpendLike=1,HG28-HH28,IF(Slot20_PotFree=1,HG28,0))</f>
        <v>44153.966487757</v>
      </c>
      <c r="HL28" s="20" t="n">
        <f aca="false">HB28+HE28*Slot20_BufPot*HG28</f>
        <v>18667.0775055661</v>
      </c>
      <c r="HM28" s="20" t="n">
        <f aca="false">IF(AND(HE28=1,Slot20_IsMfree=1),IF(HJ28&gt;=Slot20_Cost-1,0,MAX(0,HC28-HJ28)),HC28)</f>
        <v>0</v>
      </c>
      <c r="HN28" s="20" t="n">
        <f aca="false">HE28*(Slot20_Cost-HJ28)</f>
        <v>0</v>
      </c>
      <c r="HO28" s="20" t="n">
        <f aca="false">V28*Slot1_SpendLike*AA28+AG28*Slot2_SpendLike*AL28+AQ28*Slot3_SpendLike*AV28+BA28*Slot4_SpendLike*BF28+BK28*Slot5_SpendLike*BP28+BU28*Slot6_SpendLike*BZ28+CE28*Slot7_SpendLike*CJ28+CO28*Slot8_SpendLike*CT28+CY28*Slot9_SpendLike*DD28+DI28*Slot10_SpendLike*DN28+DS28*Slot11_SpendLike*DX28+EC28*Slot12_SpendLike*EH28+EM28*Slot13_SpendLike*ER28+EW28*Slot14_SpendLike*FB28+FG28*Slot15_SpendLike*FL28+FQ28*Slot16_SpendLike*FV28+GA28*Slot17_SpendLike*GF28+GK28*Slot18_SpendLike*GP28+GU28*Slot19_SpendLike*GZ28+HE28*Slot20_SpendLike*HJ28</f>
        <v>0</v>
      </c>
      <c r="HP28" s="20" t="n">
        <f aca="false">AE28+AP28+AZ28+BJ28+BT28+CD28+CN28+CX28+DH28+DR28+EB28+EL28+EV28+FF28+FP28+FZ28+GJ28+GT28+HD28+HN28</f>
        <v>0</v>
      </c>
      <c r="HQ28" s="20" t="n">
        <f aca="false">V28*Slot1_Cost+AG28*Slot2_Cost+AQ28*Slot3_Cost+BA28*Slot4_Cost+BK28*Slot5_Cost+BU28*Slot6_Cost+CE28*Slot7_Cost+CO28*Slot8_Cost+CY28*Slot9_Cost+DI28*Slot10_Cost+DS28*Slot11_Cost+EC28*Slot12_Cost+EM28*Slot13_Cost+EW28*Slot14_Cost+FG28*Slot15_Cost+FQ28*Slot16_Cost+GA28*Slot17_Cost+GK28*Slot18_Cost+GU28*Slot19_Cost+HE28*Slot20_Cost</f>
        <v>0</v>
      </c>
      <c r="HR28" s="20" t="n">
        <f aca="false">HM28</f>
        <v>0</v>
      </c>
      <c r="HS28" s="20" t="n">
        <f aca="false">H28-I28-S28</f>
        <v>39555.4764607649</v>
      </c>
      <c r="HT28" s="20" t="n">
        <f aca="false">IF(B28=0,IF(AND(Has_q6=1,In_q6=4),PR_ShareVaries*(MAX(0,HS28)/12),MIN(IF(Has_q6=1,CHOOSE(In_q6+1,PR_SaveB1,PR_SaveB2,PR_SaveB3,PR_SaveB4,0),AS_NoAnswer),AS_SaveShare*(MAX(0,HS28)/12))),HT27)</f>
        <v>62.3316893520437</v>
      </c>
      <c r="HU28" s="20" t="n">
        <f aca="false">IF(HS28&gt;=0,1,0)</f>
        <v>1</v>
      </c>
      <c r="HV28" s="20" t="n">
        <f aca="false">MAX(0,HS28/12/F28)</f>
        <v>2218.30847712711</v>
      </c>
      <c r="HW28" s="20" t="n">
        <f aca="false">IF(AND(Has_q6=1,In_q6=4),PR_ShareVaries*(HV28),MIN(IF(Has_q6=1,CHOOSE(In_q6+1,PR_SaveB1,PR_SaveB2,PR_SaveB3,PR_SaveB4,0),AS_NoAnswer),AS_SaveShare*(HV28)))</f>
        <v>500</v>
      </c>
      <c r="HX28" s="20" t="n">
        <f aca="false">IF(Has_saveM=1,IF(In_saveUp="Yes",1,IF(In_saveUp="No",0,IF(In_saveM&gt;=HT28-0.5,1,0))),0)</f>
        <v>0</v>
      </c>
      <c r="HY28" s="20" t="n">
        <f aca="false">IF(Has_saveM=1,MIN(HV28,IF(HX28=1,MAX(In_saveM,HW28),MIN(In_saveM,HW28))),HW28)</f>
        <v>500</v>
      </c>
      <c r="HZ28" s="20" t="n">
        <f aca="false">IF(G28=1,HY28*12*F28,0)</f>
        <v>8915.68437587013</v>
      </c>
      <c r="IA28" s="20" t="n">
        <f aca="false">MAX(0,HZ28+IF(AND(WI_Retire=0,WI_M&lt;0,G28=1),WI_M*12*F28,0))</f>
        <v>8915.68437587013</v>
      </c>
      <c r="IB28" s="20" t="n">
        <f aca="false">Slot1_IsWG*W28+Slot2_IsWG*AH28+Slot3_IsWG*AR28+Slot4_IsWG*BB28+Slot5_IsWG*BL28+Slot6_IsWG*BV28+Slot7_IsWG*CF28+Slot8_IsWG*CP28+Slot9_IsWG*CZ28+Slot10_IsWG*DJ28+Slot11_IsWG*DT28+Slot12_IsWG*ED28+Slot13_IsWG*EN28+Slot14_IsWG*EX28+Slot15_IsWG*FH28+Slot16_IsWG*FR28+Slot17_IsWG*GB28+Slot18_IsWG*GL28+Slot19_IsWG*GV28+Slot20_IsWG*HF28</f>
        <v>0</v>
      </c>
      <c r="IC28" s="20" t="n">
        <f aca="false">IF(AND(WI_Retire=0,WI_M&gt;0,G28=1,IB28&gt;=1),WI_M*12*F28,0)</f>
        <v>0</v>
      </c>
      <c r="ID28" s="20" t="n">
        <f aca="false">IF(HU28=1,MIN(IA28,HS28),0)</f>
        <v>8915.68437587013</v>
      </c>
      <c r="IE28" s="20" t="n">
        <f aca="false">IF(HU28=1,MIN(IC28,HS28-ID28),0)</f>
        <v>0</v>
      </c>
      <c r="IF28" s="20" t="n">
        <f aca="false">IF(W28=1,IF(ABS((1+AS_Wage)/(1+Slot1_Rate)-1)&lt;0.000000000001,(Slot1_Age-D28)*(1+Slot1_Rate)^(Slot1_Age-D28),(1+Slot1_Rate)^(Slot1_Age-D28)*(1-((1+AS_Wage)/(1+Slot1_Rate))^(Slot1_Age-D28))/(1-(1+AS_Wage)/(1+Slot1_Rate))),1)</f>
        <v>1</v>
      </c>
      <c r="IG28" s="20" t="n">
        <f aca="false">IF(AND(HU28=1,IE28&gt;0,Slot1_IsWG=1,W28=1),MAX(0,(Slot1_Cost-X28*(1+Slot1_Rate)^(Slot1_Age-D28))/IF28),0)</f>
        <v>0</v>
      </c>
      <c r="IH28" s="20" t="n">
        <f aca="false">IF(AND(HU28=1,IE28&gt;0,Slot1_IsWG=1,W28=1),MIN(IE28,IG28),0)</f>
        <v>0</v>
      </c>
      <c r="II28" s="20" t="n">
        <f aca="false">X28+IH28</f>
        <v>0</v>
      </c>
      <c r="IJ28" s="20" t="n">
        <f aca="false">IF(W28=1,MAX(0,(Slot1_Cost-II28*(1+Slot1_Rate)^(Slot1_Age-D28))/IF28),0)</f>
        <v>0</v>
      </c>
      <c r="IK28" s="20" t="n">
        <f aca="false">IF(W28=1,MAX(0,(Slot1_Cost-X28*(1+Slot1_Rate)^(Slot1_Age-D28))/IF28),0)</f>
        <v>0</v>
      </c>
      <c r="IL28" s="20" t="n">
        <f aca="false">IF(AND(HU28=1,W28=1),MIN(ID28,IJ28),0)</f>
        <v>0</v>
      </c>
      <c r="IM28" s="20" t="n">
        <f aca="false">ID28-IL28</f>
        <v>8915.68437587013</v>
      </c>
      <c r="IN28" s="20" t="n">
        <f aca="false">IF(AH28=1,IF(ABS((1+AS_Wage)/(1+Slot2_Rate)-1)&lt;0.000000000001,(Slot2_Age-D28)*(1+Slot2_Rate)^(Slot2_Age-D28),(1+Slot2_Rate)^(Slot2_Age-D28)*(1-((1+AS_Wage)/(1+Slot2_Rate))^(Slot2_Age-D28))/(1-(1+AS_Wage)/(1+Slot2_Rate))),1)</f>
        <v>1</v>
      </c>
      <c r="IO28" s="20" t="n">
        <f aca="false">IF(AND(HU28=1,IE28&gt;0,Slot2_IsWG=1,AH28=1),MAX(0,(Slot2_Cost-AI28*(1+Slot2_Rate)^(Slot2_Age-D28))/IN28),0)</f>
        <v>0</v>
      </c>
      <c r="IP28" s="20" t="n">
        <f aca="false">IF(AND(HU28=1,IE28&gt;0,Slot2_IsWG=1,AH28=1),MIN(IE28,IO28),0)</f>
        <v>0</v>
      </c>
      <c r="IQ28" s="20" t="n">
        <f aca="false">AI28+IP28</f>
        <v>0</v>
      </c>
      <c r="IR28" s="20" t="n">
        <f aca="false">IF(AH28=1,MAX(0,(Slot2_Cost-IQ28*(1+Slot2_Rate)^(Slot2_Age-D28))/IN28),0)</f>
        <v>0</v>
      </c>
      <c r="IS28" s="20" t="n">
        <f aca="false">IF(AH28=1,MAX(0,(Slot2_Cost-AI28*(1+Slot2_Rate)^(Slot2_Age-D28))/IN28),0)</f>
        <v>0</v>
      </c>
      <c r="IT28" s="20" t="n">
        <f aca="false">IF(AND(HU28=1,AH28=1),MIN(IM28,IR28),0)</f>
        <v>0</v>
      </c>
      <c r="IU28" s="20" t="n">
        <f aca="false">IM28-IT28</f>
        <v>8915.68437587013</v>
      </c>
      <c r="IV28" s="20" t="n">
        <f aca="false">IF(AR28=1,IF(ABS((1+AS_Wage)/(1+Slot3_Rate)-1)&lt;0.000000000001,(Slot3_Age-D28)*(1+Slot3_Rate)^(Slot3_Age-D28),(1+Slot3_Rate)^(Slot3_Age-D28)*(1-((1+AS_Wage)/(1+Slot3_Rate))^(Slot3_Age-D28))/(1-(1+AS_Wage)/(1+Slot3_Rate))),1)</f>
        <v>1</v>
      </c>
      <c r="IW28" s="20" t="n">
        <f aca="false">IF(AND(HU28=1,IE28&gt;0,Slot3_IsWG=1,AR28=1),MAX(0,(Slot3_Cost-AS28*(1+Slot3_Rate)^(Slot3_Age-D28))/IV28),0)</f>
        <v>0</v>
      </c>
      <c r="IX28" s="20" t="n">
        <f aca="false">IF(AND(HU28=1,IE28&gt;0,Slot3_IsWG=1,AR28=1),MIN(IE28,IW28),0)</f>
        <v>0</v>
      </c>
      <c r="IY28" s="20" t="n">
        <f aca="false">AS28+IX28</f>
        <v>0</v>
      </c>
      <c r="IZ28" s="20" t="n">
        <f aca="false">IF(AR28=1,MAX(0,(Slot3_Cost-IY28*(1+Slot3_Rate)^(Slot3_Age-D28))/IV28),0)</f>
        <v>0</v>
      </c>
      <c r="JA28" s="20" t="n">
        <f aca="false">IF(AR28=1,MAX(0,(Slot3_Cost-AS28*(1+Slot3_Rate)^(Slot3_Age-D28))/IV28),0)</f>
        <v>0</v>
      </c>
      <c r="JB28" s="20" t="n">
        <f aca="false">IF(AND(HU28=1,AR28=1),MIN(IU28,IZ28),0)</f>
        <v>0</v>
      </c>
      <c r="JC28" s="20" t="n">
        <f aca="false">IU28-JB28</f>
        <v>8915.68437587013</v>
      </c>
      <c r="JD28" s="20" t="n">
        <f aca="false">IF(BB28=1,IF(ABS((1+AS_Wage)/(1+Slot4_Rate)-1)&lt;0.000000000001,(Slot4_Age-D28)*(1+Slot4_Rate)^(Slot4_Age-D28),(1+Slot4_Rate)^(Slot4_Age-D28)*(1-((1+AS_Wage)/(1+Slot4_Rate))^(Slot4_Age-D28))/(1-(1+AS_Wage)/(1+Slot4_Rate))),1)</f>
        <v>1</v>
      </c>
      <c r="JE28" s="20" t="n">
        <f aca="false">IF(AND(HU28=1,IE28&gt;0,Slot4_IsWG=1,BB28=1),MAX(0,(Slot4_Cost-BC28*(1+Slot4_Rate)^(Slot4_Age-D28))/JD28),0)</f>
        <v>0</v>
      </c>
      <c r="JF28" s="20" t="n">
        <f aca="false">IF(AND(HU28=1,IE28&gt;0,Slot4_IsWG=1,BB28=1),MIN(IE28,JE28),0)</f>
        <v>0</v>
      </c>
      <c r="JG28" s="20" t="n">
        <f aca="false">BC28+JF28</f>
        <v>0</v>
      </c>
      <c r="JH28" s="20" t="n">
        <f aca="false">IF(BB28=1,MAX(0,(Slot4_Cost-JG28*(1+Slot4_Rate)^(Slot4_Age-D28))/JD28),0)</f>
        <v>0</v>
      </c>
      <c r="JI28" s="20" t="n">
        <f aca="false">IF(BB28=1,MAX(0,(Slot4_Cost-BC28*(1+Slot4_Rate)^(Slot4_Age-D28))/JD28),0)</f>
        <v>0</v>
      </c>
      <c r="JJ28" s="20" t="n">
        <f aca="false">IF(AND(HU28=1,BB28=1),MIN(JC28,JH28),0)</f>
        <v>0</v>
      </c>
      <c r="JK28" s="20" t="n">
        <f aca="false">JC28-JJ28</f>
        <v>8915.68437587013</v>
      </c>
      <c r="JL28" s="20" t="n">
        <f aca="false">IF(BL28=1,IF(ABS((1+AS_Wage)/(1+Slot5_Rate)-1)&lt;0.000000000001,(Slot5_Age-D28)*(1+Slot5_Rate)^(Slot5_Age-D28),(1+Slot5_Rate)^(Slot5_Age-D28)*(1-((1+AS_Wage)/(1+Slot5_Rate))^(Slot5_Age-D28))/(1-(1+AS_Wage)/(1+Slot5_Rate))),1)</f>
        <v>1</v>
      </c>
      <c r="JM28" s="20" t="n">
        <f aca="false">IF(AND(HU28=1,IE28&gt;0,Slot5_IsWG=1,BL28=1),MAX(0,(Slot5_Cost-BM28*(1+Slot5_Rate)^(Slot5_Age-D28))/JL28),0)</f>
        <v>0</v>
      </c>
      <c r="JN28" s="20" t="n">
        <f aca="false">IF(AND(HU28=1,IE28&gt;0,Slot5_IsWG=1,BL28=1),MIN(IE28,JM28),0)</f>
        <v>0</v>
      </c>
      <c r="JO28" s="20" t="n">
        <f aca="false">BM28+JN28</f>
        <v>0</v>
      </c>
      <c r="JP28" s="20" t="n">
        <f aca="false">IF(BL28=1,MAX(0,(Slot5_Cost-JO28*(1+Slot5_Rate)^(Slot5_Age-D28))/JL28),0)</f>
        <v>0</v>
      </c>
      <c r="JQ28" s="20" t="n">
        <f aca="false">IF(BL28=1,MAX(0,(Slot5_Cost-BM28*(1+Slot5_Rate)^(Slot5_Age-D28))/JL28),0)</f>
        <v>0</v>
      </c>
      <c r="JR28" s="20" t="n">
        <f aca="false">IF(AND(HU28=1,BL28=1),MIN(JK28,JP28),0)</f>
        <v>0</v>
      </c>
      <c r="JS28" s="20" t="n">
        <f aca="false">JK28-JR28</f>
        <v>8915.68437587013</v>
      </c>
      <c r="JT28" s="20" t="n">
        <f aca="false">IF(BV28=1,IF(ABS((1+AS_Wage)/(1+Slot6_Rate)-1)&lt;0.000000000001,(Slot6_Age-D28)*(1+Slot6_Rate)^(Slot6_Age-D28),(1+Slot6_Rate)^(Slot6_Age-D28)*(1-((1+AS_Wage)/(1+Slot6_Rate))^(Slot6_Age-D28))/(1-(1+AS_Wage)/(1+Slot6_Rate))),1)</f>
        <v>1</v>
      </c>
      <c r="JU28" s="20" t="n">
        <f aca="false">IF(AND(HU28=1,IE28&gt;0,Slot6_IsWG=1,BV28=1),MAX(0,(Slot6_Cost-BW28*(1+Slot6_Rate)^(Slot6_Age-D28))/JT28),0)</f>
        <v>0</v>
      </c>
      <c r="JV28" s="20" t="n">
        <f aca="false">IF(AND(HU28=1,IE28&gt;0,Slot6_IsWG=1,BV28=1),MIN(IE28,JU28),0)</f>
        <v>0</v>
      </c>
      <c r="JW28" s="20" t="n">
        <f aca="false">BW28+JV28</f>
        <v>0</v>
      </c>
      <c r="JX28" s="20" t="n">
        <f aca="false">IF(BV28=1,MAX(0,(Slot6_Cost-JW28*(1+Slot6_Rate)^(Slot6_Age-D28))/JT28),0)</f>
        <v>0</v>
      </c>
      <c r="JY28" s="20" t="n">
        <f aca="false">IF(BV28=1,MAX(0,(Slot6_Cost-BW28*(1+Slot6_Rate)^(Slot6_Age-D28))/JT28),0)</f>
        <v>0</v>
      </c>
      <c r="JZ28" s="20" t="n">
        <f aca="false">IF(AND(HU28=1,BV28=1),MIN(JS28,JX28),0)</f>
        <v>0</v>
      </c>
      <c r="KA28" s="20" t="n">
        <f aca="false">JS28-JZ28</f>
        <v>8915.68437587013</v>
      </c>
      <c r="KB28" s="20" t="n">
        <f aca="false">IF(CF28=1,IF(ABS((1+AS_Wage)/(1+Slot7_Rate)-1)&lt;0.000000000001,(Slot7_Age-D28)*(1+Slot7_Rate)^(Slot7_Age-D28),(1+Slot7_Rate)^(Slot7_Age-D28)*(1-((1+AS_Wage)/(1+Slot7_Rate))^(Slot7_Age-D28))/(1-(1+AS_Wage)/(1+Slot7_Rate))),1)</f>
        <v>1</v>
      </c>
      <c r="KC28" s="20" t="n">
        <f aca="false">IF(AND(HU28=1,IE28&gt;0,Slot7_IsWG=1,CF28=1),MAX(0,(Slot7_Cost-CG28*(1+Slot7_Rate)^(Slot7_Age-D28))/KB28),0)</f>
        <v>0</v>
      </c>
      <c r="KD28" s="20" t="n">
        <f aca="false">IF(AND(HU28=1,IE28&gt;0,Slot7_IsWG=1,CF28=1),MIN(IE28,KC28),0)</f>
        <v>0</v>
      </c>
      <c r="KE28" s="20" t="n">
        <f aca="false">CG28+KD28</f>
        <v>0</v>
      </c>
      <c r="KF28" s="20" t="n">
        <f aca="false">IF(CF28=1,MAX(0,(Slot7_Cost-KE28*(1+Slot7_Rate)^(Slot7_Age-D28))/KB28),0)</f>
        <v>0</v>
      </c>
      <c r="KG28" s="20" t="n">
        <f aca="false">IF(CF28=1,MAX(0,(Slot7_Cost-CG28*(1+Slot7_Rate)^(Slot7_Age-D28))/KB28),0)</f>
        <v>0</v>
      </c>
      <c r="KH28" s="20" t="n">
        <f aca="false">IF(AND(HU28=1,CF28=1),MIN(KA28,KF28),0)</f>
        <v>0</v>
      </c>
      <c r="KI28" s="20" t="n">
        <f aca="false">KA28-KH28</f>
        <v>8915.68437587013</v>
      </c>
      <c r="KJ28" s="20" t="n">
        <f aca="false">IF(CP28=1,IF(ABS((1+AS_Wage)/(1+Slot8_Rate)-1)&lt;0.000000000001,(Slot8_Age-D28)*(1+Slot8_Rate)^(Slot8_Age-D28),(1+Slot8_Rate)^(Slot8_Age-D28)*(1-((1+AS_Wage)/(1+Slot8_Rate))^(Slot8_Age-D28))/(1-(1+AS_Wage)/(1+Slot8_Rate))),1)</f>
        <v>1</v>
      </c>
      <c r="KK28" s="20" t="n">
        <f aca="false">IF(AND(HU28=1,IE28&gt;0,Slot8_IsWG=1,CP28=1),MAX(0,(Slot8_Cost-CQ28*(1+Slot8_Rate)^(Slot8_Age-D28))/KJ28),0)</f>
        <v>0</v>
      </c>
      <c r="KL28" s="20" t="n">
        <f aca="false">IF(AND(HU28=1,IE28&gt;0,Slot8_IsWG=1,CP28=1),MIN(IE28,KK28),0)</f>
        <v>0</v>
      </c>
      <c r="KM28" s="20" t="n">
        <f aca="false">CQ28+KL28</f>
        <v>0</v>
      </c>
      <c r="KN28" s="20" t="n">
        <f aca="false">IF(CP28=1,MAX(0,(Slot8_Cost-KM28*(1+Slot8_Rate)^(Slot8_Age-D28))/KJ28),0)</f>
        <v>0</v>
      </c>
      <c r="KO28" s="20" t="n">
        <f aca="false">IF(CP28=1,MAX(0,(Slot8_Cost-CQ28*(1+Slot8_Rate)^(Slot8_Age-D28))/KJ28),0)</f>
        <v>0</v>
      </c>
      <c r="KP28" s="20" t="n">
        <f aca="false">IF(AND(HU28=1,CP28=1),MIN(KI28,KN28),0)</f>
        <v>0</v>
      </c>
      <c r="KQ28" s="20" t="n">
        <f aca="false">KI28-KP28</f>
        <v>8915.68437587013</v>
      </c>
      <c r="KR28" s="20" t="n">
        <f aca="false">IF(CZ28=1,IF(ABS((1+AS_Wage)/(1+Slot9_Rate)-1)&lt;0.000000000001,(Slot9_Age-D28)*(1+Slot9_Rate)^(Slot9_Age-D28),(1+Slot9_Rate)^(Slot9_Age-D28)*(1-((1+AS_Wage)/(1+Slot9_Rate))^(Slot9_Age-D28))/(1-(1+AS_Wage)/(1+Slot9_Rate))),1)</f>
        <v>1</v>
      </c>
      <c r="KS28" s="20" t="n">
        <f aca="false">IF(AND(HU28=1,IE28&gt;0,Slot9_IsWG=1,CZ28=1),MAX(0,(Slot9_Cost-DA28*(1+Slot9_Rate)^(Slot9_Age-D28))/KR28),0)</f>
        <v>0</v>
      </c>
      <c r="KT28" s="20" t="n">
        <f aca="false">IF(AND(HU28=1,IE28&gt;0,Slot9_IsWG=1,CZ28=1),MIN(IE28,KS28),0)</f>
        <v>0</v>
      </c>
      <c r="KU28" s="20" t="n">
        <f aca="false">DA28+KT28</f>
        <v>0</v>
      </c>
      <c r="KV28" s="20" t="n">
        <f aca="false">IF(CZ28=1,MAX(0,(Slot9_Cost-KU28*(1+Slot9_Rate)^(Slot9_Age-D28))/KR28),0)</f>
        <v>0</v>
      </c>
      <c r="KW28" s="20" t="n">
        <f aca="false">IF(CZ28=1,MAX(0,(Slot9_Cost-DA28*(1+Slot9_Rate)^(Slot9_Age-D28))/KR28),0)</f>
        <v>0</v>
      </c>
      <c r="KX28" s="20" t="n">
        <f aca="false">IF(AND(HU28=1,CZ28=1),MIN(KQ28,KV28),0)</f>
        <v>0</v>
      </c>
      <c r="KY28" s="20" t="n">
        <f aca="false">KQ28-KX28</f>
        <v>8915.68437587013</v>
      </c>
      <c r="KZ28" s="20" t="n">
        <f aca="false">IF(DJ28=1,IF(ABS((1+AS_Wage)/(1+Slot10_Rate)-1)&lt;0.000000000001,(Slot10_Age-D28)*(1+Slot10_Rate)^(Slot10_Age-D28),(1+Slot10_Rate)^(Slot10_Age-D28)*(1-((1+AS_Wage)/(1+Slot10_Rate))^(Slot10_Age-D28))/(1-(1+AS_Wage)/(1+Slot10_Rate))),1)</f>
        <v>1</v>
      </c>
      <c r="LA28" s="20" t="n">
        <f aca="false">IF(AND(HU28=1,IE28&gt;0,Slot10_IsWG=1,DJ28=1),MAX(0,(Slot10_Cost-DK28*(1+Slot10_Rate)^(Slot10_Age-D28))/KZ28),0)</f>
        <v>0</v>
      </c>
      <c r="LB28" s="20" t="n">
        <f aca="false">IF(AND(HU28=1,IE28&gt;0,Slot10_IsWG=1,DJ28=1),MIN(IE28,LA28),0)</f>
        <v>0</v>
      </c>
      <c r="LC28" s="20" t="n">
        <f aca="false">DK28+LB28</f>
        <v>0</v>
      </c>
      <c r="LD28" s="20" t="n">
        <f aca="false">IF(DJ28=1,MAX(0,(Slot10_Cost-LC28*(1+Slot10_Rate)^(Slot10_Age-D28))/KZ28),0)</f>
        <v>0</v>
      </c>
      <c r="LE28" s="20" t="n">
        <f aca="false">IF(DJ28=1,MAX(0,(Slot10_Cost-DK28*(1+Slot10_Rate)^(Slot10_Age-D28))/KZ28),0)</f>
        <v>0</v>
      </c>
      <c r="LF28" s="20" t="n">
        <f aca="false">IF(AND(HU28=1,DJ28=1),MIN(KY28,LD28),0)</f>
        <v>0</v>
      </c>
      <c r="LG28" s="20" t="n">
        <f aca="false">KY28-LF28</f>
        <v>8915.68437587013</v>
      </c>
      <c r="LH28" s="20" t="n">
        <f aca="false">IF(DT28=1,IF(ABS((1+AS_Wage)/(1+Slot11_Rate)-1)&lt;0.000000000001,(Slot11_Age-D28)*(1+Slot11_Rate)^(Slot11_Age-D28),(1+Slot11_Rate)^(Slot11_Age-D28)*(1-((1+AS_Wage)/(1+Slot11_Rate))^(Slot11_Age-D28))/(1-(1+AS_Wage)/(1+Slot11_Rate))),1)</f>
        <v>1</v>
      </c>
      <c r="LI28" s="20" t="n">
        <f aca="false">IF(AND(HU28=1,IE28&gt;0,Slot11_IsWG=1,DT28=1),MAX(0,(Slot11_Cost-DU28*(1+Slot11_Rate)^(Slot11_Age-D28))/LH28),0)</f>
        <v>0</v>
      </c>
      <c r="LJ28" s="20" t="n">
        <f aca="false">IF(AND(HU28=1,IE28&gt;0,Slot11_IsWG=1,DT28=1),MIN(IE28,LI28),0)</f>
        <v>0</v>
      </c>
      <c r="LK28" s="20" t="n">
        <f aca="false">DU28+LJ28</f>
        <v>0</v>
      </c>
      <c r="LL28" s="20" t="n">
        <f aca="false">IF(DT28=1,MAX(0,(Slot11_Cost-LK28*(1+Slot11_Rate)^(Slot11_Age-D28))/LH28),0)</f>
        <v>0</v>
      </c>
      <c r="LM28" s="20" t="n">
        <f aca="false">IF(DT28=1,MAX(0,(Slot11_Cost-DU28*(1+Slot11_Rate)^(Slot11_Age-D28))/LH28),0)</f>
        <v>0</v>
      </c>
      <c r="LN28" s="20" t="n">
        <f aca="false">IF(AND(HU28=1,DT28=1),MIN(LG28,LL28),0)</f>
        <v>0</v>
      </c>
      <c r="LO28" s="20" t="n">
        <f aca="false">LG28-LN28</f>
        <v>8915.68437587013</v>
      </c>
      <c r="LP28" s="20" t="n">
        <f aca="false">IF(ED28=1,IF(ABS((1+AS_Wage)/(1+Slot12_Rate)-1)&lt;0.000000000001,(Slot12_Age-D28)*(1+Slot12_Rate)^(Slot12_Age-D28),(1+Slot12_Rate)^(Slot12_Age-D28)*(1-((1+AS_Wage)/(1+Slot12_Rate))^(Slot12_Age-D28))/(1-(1+AS_Wage)/(1+Slot12_Rate))),1)</f>
        <v>1</v>
      </c>
      <c r="LQ28" s="20" t="n">
        <f aca="false">IF(AND(HU28=1,IE28&gt;0,Slot12_IsWG=1,ED28=1),MAX(0,(Slot12_Cost-EE28*(1+Slot12_Rate)^(Slot12_Age-D28))/LP28),0)</f>
        <v>0</v>
      </c>
      <c r="LR28" s="20" t="n">
        <f aca="false">IF(AND(HU28=1,IE28&gt;0,Slot12_IsWG=1,ED28=1),MIN(IE28,LQ28),0)</f>
        <v>0</v>
      </c>
      <c r="LS28" s="20" t="n">
        <f aca="false">EE28+LR28</f>
        <v>0</v>
      </c>
      <c r="LT28" s="20" t="n">
        <f aca="false">IF(ED28=1,MAX(0,(Slot12_Cost-LS28*(1+Slot12_Rate)^(Slot12_Age-D28))/LP28),0)</f>
        <v>0</v>
      </c>
      <c r="LU28" s="20" t="n">
        <f aca="false">IF(ED28=1,MAX(0,(Slot12_Cost-EE28*(1+Slot12_Rate)^(Slot12_Age-D28))/LP28),0)</f>
        <v>0</v>
      </c>
      <c r="LV28" s="20" t="n">
        <f aca="false">IF(AND(HU28=1,ED28=1),MIN(LO28,LT28),0)</f>
        <v>0</v>
      </c>
      <c r="LW28" s="20" t="n">
        <f aca="false">LO28-LV28</f>
        <v>8915.68437587013</v>
      </c>
      <c r="LX28" s="20" t="n">
        <f aca="false">IF(EN28=1,IF(ABS((1+AS_Wage)/(1+Slot13_Rate)-1)&lt;0.000000000001,(Slot13_Age-D28)*(1+Slot13_Rate)^(Slot13_Age-D28),(1+Slot13_Rate)^(Slot13_Age-D28)*(1-((1+AS_Wage)/(1+Slot13_Rate))^(Slot13_Age-D28))/(1-(1+AS_Wage)/(1+Slot13_Rate))),1)</f>
        <v>1</v>
      </c>
      <c r="LY28" s="20" t="n">
        <f aca="false">IF(AND(HU28=1,IE28&gt;0,Slot13_IsWG=1,EN28=1),MAX(0,(Slot13_Cost-EO28*(1+Slot13_Rate)^(Slot13_Age-D28))/LX28),0)</f>
        <v>0</v>
      </c>
      <c r="LZ28" s="20" t="n">
        <f aca="false">IF(AND(HU28=1,IE28&gt;0,Slot13_IsWG=1,EN28=1),MIN(IE28,LY28),0)</f>
        <v>0</v>
      </c>
      <c r="MA28" s="20" t="n">
        <f aca="false">EO28+LZ28</f>
        <v>0</v>
      </c>
      <c r="MB28" s="20" t="n">
        <f aca="false">IF(EN28=1,MAX(0,(Slot13_Cost-MA28*(1+Slot13_Rate)^(Slot13_Age-D28))/LX28),0)</f>
        <v>0</v>
      </c>
      <c r="MC28" s="20" t="n">
        <f aca="false">IF(EN28=1,MAX(0,(Slot13_Cost-EO28*(1+Slot13_Rate)^(Slot13_Age-D28))/LX28),0)</f>
        <v>0</v>
      </c>
      <c r="MD28" s="20" t="n">
        <f aca="false">IF(AND(HU28=1,EN28=1),MIN(LW28,MB28),0)</f>
        <v>0</v>
      </c>
      <c r="ME28" s="20" t="n">
        <f aca="false">LW28-MD28</f>
        <v>8915.68437587013</v>
      </c>
      <c r="MF28" s="20" t="n">
        <f aca="false">IF(EX28=1,IF(ABS((1+AS_Wage)/(1+Slot14_Rate)-1)&lt;0.000000000001,(Slot14_Age-D28)*(1+Slot14_Rate)^(Slot14_Age-D28),(1+Slot14_Rate)^(Slot14_Age-D28)*(1-((1+AS_Wage)/(1+Slot14_Rate))^(Slot14_Age-D28))/(1-(1+AS_Wage)/(1+Slot14_Rate))),1)</f>
        <v>1</v>
      </c>
      <c r="MG28" s="20" t="n">
        <f aca="false">IF(AND(HU28=1,IE28&gt;0,Slot14_IsWG=1,EX28=1),MAX(0,(Slot14_Cost-EY28*(1+Slot14_Rate)^(Slot14_Age-D28))/MF28),0)</f>
        <v>0</v>
      </c>
      <c r="MH28" s="20" t="n">
        <f aca="false">IF(AND(HU28=1,IE28&gt;0,Slot14_IsWG=1,EX28=1),MIN(IE28,MG28),0)</f>
        <v>0</v>
      </c>
      <c r="MI28" s="20" t="n">
        <f aca="false">EY28+MH28</f>
        <v>0</v>
      </c>
      <c r="MJ28" s="20" t="n">
        <f aca="false">IF(EX28=1,MAX(0,(Slot14_Cost-MI28*(1+Slot14_Rate)^(Slot14_Age-D28))/MF28),0)</f>
        <v>0</v>
      </c>
      <c r="MK28" s="20" t="n">
        <f aca="false">IF(EX28=1,MAX(0,(Slot14_Cost-EY28*(1+Slot14_Rate)^(Slot14_Age-D28))/MF28),0)</f>
        <v>0</v>
      </c>
      <c r="ML28" s="20" t="n">
        <f aca="false">IF(AND(HU28=1,EX28=1),MIN(ME28,MJ28),0)</f>
        <v>0</v>
      </c>
      <c r="MM28" s="20" t="n">
        <f aca="false">ME28-ML28</f>
        <v>8915.68437587013</v>
      </c>
      <c r="MN28" s="20" t="n">
        <f aca="false">IF(FH28=1,IF(ABS((1+AS_Wage)/(1+Slot15_Rate)-1)&lt;0.000000000001,(Slot15_Age-D28)*(1+Slot15_Rate)^(Slot15_Age-D28),(1+Slot15_Rate)^(Slot15_Age-D28)*(1-((1+AS_Wage)/(1+Slot15_Rate))^(Slot15_Age-D28))/(1-(1+AS_Wage)/(1+Slot15_Rate))),1)</f>
        <v>1</v>
      </c>
      <c r="MO28" s="20" t="n">
        <f aca="false">IF(AND(HU28=1,IE28&gt;0,Slot15_IsWG=1,FH28=1),MAX(0,(Slot15_Cost-FI28*(1+Slot15_Rate)^(Slot15_Age-D28))/MN28),0)</f>
        <v>0</v>
      </c>
      <c r="MP28" s="20" t="n">
        <f aca="false">IF(AND(HU28=1,IE28&gt;0,Slot15_IsWG=1,FH28=1),MIN(IE28,MO28),0)</f>
        <v>0</v>
      </c>
      <c r="MQ28" s="20" t="n">
        <f aca="false">FI28+MP28</f>
        <v>0</v>
      </c>
      <c r="MR28" s="20" t="n">
        <f aca="false">IF(FH28=1,MAX(0,(Slot15_Cost-MQ28*(1+Slot15_Rate)^(Slot15_Age-D28))/MN28),0)</f>
        <v>0</v>
      </c>
      <c r="MS28" s="20" t="n">
        <f aca="false">IF(FH28=1,MAX(0,(Slot15_Cost-FI28*(1+Slot15_Rate)^(Slot15_Age-D28))/MN28),0)</f>
        <v>0</v>
      </c>
      <c r="MT28" s="20" t="n">
        <f aca="false">IF(AND(HU28=1,FH28=1),MIN(MM28,MR28),0)</f>
        <v>0</v>
      </c>
      <c r="MU28" s="20" t="n">
        <f aca="false">MM28-MT28</f>
        <v>8915.68437587013</v>
      </c>
      <c r="MV28" s="20" t="n">
        <f aca="false">IF(FR28=1,IF(ABS((1+AS_Wage)/(1+Slot16_Rate)-1)&lt;0.000000000001,(Slot16_Age-D28)*(1+Slot16_Rate)^(Slot16_Age-D28),(1+Slot16_Rate)^(Slot16_Age-D28)*(1-((1+AS_Wage)/(1+Slot16_Rate))^(Slot16_Age-D28))/(1-(1+AS_Wage)/(1+Slot16_Rate))),1)</f>
        <v>1</v>
      </c>
      <c r="MW28" s="20" t="n">
        <f aca="false">IF(AND(HU28=1,IE28&gt;0,Slot16_IsWG=1,FR28=1),MAX(0,(Slot16_Cost-FS28*(1+Slot16_Rate)^(Slot16_Age-D28))/MV28),0)</f>
        <v>0</v>
      </c>
      <c r="MX28" s="20" t="n">
        <f aca="false">IF(AND(HU28=1,IE28&gt;0,Slot16_IsWG=1,FR28=1),MIN(IE28,MW28),0)</f>
        <v>0</v>
      </c>
      <c r="MY28" s="20" t="n">
        <f aca="false">FS28+MX28</f>
        <v>0</v>
      </c>
      <c r="MZ28" s="20" t="n">
        <f aca="false">IF(FR28=1,MAX(0,(Slot16_Cost-MY28*(1+Slot16_Rate)^(Slot16_Age-D28))/MV28),0)</f>
        <v>0</v>
      </c>
      <c r="NA28" s="20" t="n">
        <f aca="false">IF(FR28=1,MAX(0,(Slot16_Cost-FS28*(1+Slot16_Rate)^(Slot16_Age-D28))/MV28),0)</f>
        <v>0</v>
      </c>
      <c r="NB28" s="20" t="n">
        <f aca="false">IF(AND(HU28=1,FR28=1),MIN(MU28,MZ28),0)</f>
        <v>0</v>
      </c>
      <c r="NC28" s="20" t="n">
        <f aca="false">MU28-NB28</f>
        <v>8915.68437587013</v>
      </c>
      <c r="ND28" s="20" t="n">
        <f aca="false">IF(GB28=1,IF(ABS((1+AS_Wage)/(1+Slot17_Rate)-1)&lt;0.000000000001,(Slot17_Age-D28)*(1+Slot17_Rate)^(Slot17_Age-D28),(1+Slot17_Rate)^(Slot17_Age-D28)*(1-((1+AS_Wage)/(1+Slot17_Rate))^(Slot17_Age-D28))/(1-(1+AS_Wage)/(1+Slot17_Rate))),1)</f>
        <v>1</v>
      </c>
      <c r="NE28" s="20" t="n">
        <f aca="false">IF(AND(HU28=1,IE28&gt;0,Slot17_IsWG=1,GB28=1),MAX(0,(Slot17_Cost-GC28*(1+Slot17_Rate)^(Slot17_Age-D28))/ND28),0)</f>
        <v>0</v>
      </c>
      <c r="NF28" s="20" t="n">
        <f aca="false">IF(AND(HU28=1,IE28&gt;0,Slot17_IsWG=1,GB28=1),MIN(IE28,NE28),0)</f>
        <v>0</v>
      </c>
      <c r="NG28" s="20" t="n">
        <f aca="false">GC28+NF28</f>
        <v>0</v>
      </c>
      <c r="NH28" s="20" t="n">
        <f aca="false">IF(GB28=1,MAX(0,(Slot17_Cost-NG28*(1+Slot17_Rate)^(Slot17_Age-D28))/ND28),0)</f>
        <v>0</v>
      </c>
      <c r="NI28" s="20" t="n">
        <f aca="false">IF(GB28=1,MAX(0,(Slot17_Cost-GC28*(1+Slot17_Rate)^(Slot17_Age-D28))/ND28),0)</f>
        <v>0</v>
      </c>
      <c r="NJ28" s="20" t="n">
        <f aca="false">IF(AND(HU28=1,GB28=1),MIN(NC28,NH28),0)</f>
        <v>0</v>
      </c>
      <c r="NK28" s="20" t="n">
        <f aca="false">NC28-NJ28</f>
        <v>8915.68437587013</v>
      </c>
      <c r="NL28" s="20" t="n">
        <f aca="false">IF(GL28=1,IF(ABS((1+AS_Wage)/(1+Slot18_Rate)-1)&lt;0.000000000001,(Slot18_Age-D28)*(1+Slot18_Rate)^(Slot18_Age-D28),(1+Slot18_Rate)^(Slot18_Age-D28)*(1-((1+AS_Wage)/(1+Slot18_Rate))^(Slot18_Age-D28))/(1-(1+AS_Wage)/(1+Slot18_Rate))),1)</f>
        <v>1</v>
      </c>
      <c r="NM28" s="20" t="n">
        <f aca="false">IF(AND(HU28=1,IE28&gt;0,Slot18_IsWG=1,GL28=1),MAX(0,(Slot18_Cost-GM28*(1+Slot18_Rate)^(Slot18_Age-D28))/NL28),0)</f>
        <v>0</v>
      </c>
      <c r="NN28" s="20" t="n">
        <f aca="false">IF(AND(HU28=1,IE28&gt;0,Slot18_IsWG=1,GL28=1),MIN(IE28,NM28),0)</f>
        <v>0</v>
      </c>
      <c r="NO28" s="20" t="n">
        <f aca="false">GM28+NN28</f>
        <v>0</v>
      </c>
      <c r="NP28" s="20" t="n">
        <f aca="false">IF(GL28=1,MAX(0,(Slot18_Cost-NO28*(1+Slot18_Rate)^(Slot18_Age-D28))/NL28),0)</f>
        <v>0</v>
      </c>
      <c r="NQ28" s="20" t="n">
        <f aca="false">IF(GL28=1,MAX(0,(Slot18_Cost-GM28*(1+Slot18_Rate)^(Slot18_Age-D28))/NL28),0)</f>
        <v>0</v>
      </c>
      <c r="NR28" s="20" t="n">
        <f aca="false">IF(AND(HU28=1,GL28=1),MIN(NK28,NP28),0)</f>
        <v>0</v>
      </c>
      <c r="NS28" s="20" t="n">
        <f aca="false">NK28-NR28</f>
        <v>8915.68437587013</v>
      </c>
      <c r="NT28" s="20" t="n">
        <f aca="false">IF(GV28=1,IF(ABS((1+AS_Wage)/(1+Slot19_Rate)-1)&lt;0.000000000001,(Slot19_Age-D28)*(1+Slot19_Rate)^(Slot19_Age-D28),(1+Slot19_Rate)^(Slot19_Age-D28)*(1-((1+AS_Wage)/(1+Slot19_Rate))^(Slot19_Age-D28))/(1-(1+AS_Wage)/(1+Slot19_Rate))),1)</f>
        <v>1</v>
      </c>
      <c r="NU28" s="20" t="n">
        <f aca="false">IF(AND(HU28=1,IE28&gt;0,Slot19_IsWG=1,GV28=1),MAX(0,(Slot19_Cost-GW28*(1+Slot19_Rate)^(Slot19_Age-D28))/NT28),0)</f>
        <v>0</v>
      </c>
      <c r="NV28" s="20" t="n">
        <f aca="false">IF(AND(HU28=1,IE28&gt;0,Slot19_IsWG=1,GV28=1),MIN(IE28,NU28),0)</f>
        <v>0</v>
      </c>
      <c r="NW28" s="20" t="n">
        <f aca="false">GW28+NV28</f>
        <v>0</v>
      </c>
      <c r="NX28" s="20" t="n">
        <f aca="false">IF(GV28=1,MAX(0,(Slot19_Cost-NW28*(1+Slot19_Rate)^(Slot19_Age-D28))/NT28),0)</f>
        <v>0</v>
      </c>
      <c r="NY28" s="20" t="n">
        <f aca="false">IF(GV28=1,MAX(0,(Slot19_Cost-GW28*(1+Slot19_Rate)^(Slot19_Age-D28))/NT28),0)</f>
        <v>0</v>
      </c>
      <c r="NZ28" s="20" t="n">
        <f aca="false">IF(AND(HU28=1,GV28=1),MIN(NS28,NX28),0)</f>
        <v>0</v>
      </c>
      <c r="OA28" s="20" t="n">
        <f aca="false">NS28-NZ28</f>
        <v>8915.68437587013</v>
      </c>
      <c r="OB28" s="20" t="n">
        <f aca="false">IF(HF28=1,IF(ABS((1+AS_Wage)/(1+Slot20_Rate)-1)&lt;0.000000000001,(Slot20_Age-D28)*(1+Slot20_Rate)^(Slot20_Age-D28),(1+Slot20_Rate)^(Slot20_Age-D28)*(1-((1+AS_Wage)/(1+Slot20_Rate))^(Slot20_Age-D28))/(1-(1+AS_Wage)/(1+Slot20_Rate))),1)</f>
        <v>1</v>
      </c>
      <c r="OC28" s="20" t="n">
        <f aca="false">IF(AND(HU28=1,IE28&gt;0,Slot20_IsWG=1,HF28=1),MAX(0,(Slot20_Cost-HG28*(1+Slot20_Rate)^(Slot20_Age-D28))/OB28),0)</f>
        <v>0</v>
      </c>
      <c r="OD28" s="20" t="n">
        <f aca="false">IF(AND(HU28=1,IE28&gt;0,Slot20_IsWG=1,HF28=1),MIN(IE28,OC28),0)</f>
        <v>0</v>
      </c>
      <c r="OE28" s="20" t="n">
        <f aca="false">HG28+OD28</f>
        <v>0</v>
      </c>
      <c r="OF28" s="20" t="n">
        <f aca="false">IF(HF28=1,MAX(0,(Slot20_Cost-OE28*(1+Slot20_Rate)^(Slot20_Age-D28))/OB28),0)</f>
        <v>0</v>
      </c>
      <c r="OG28" s="20" t="n">
        <f aca="false">IF(HF28=1,MAX(0,(Slot20_Cost-HG28*(1+Slot20_Rate)^(Slot20_Age-D28))/OB28),0)</f>
        <v>0</v>
      </c>
      <c r="OH28" s="20" t="n">
        <f aca="false">IF(AND(HU28=1,HF28=1),MIN(OA28,OF28),0)</f>
        <v>0</v>
      </c>
      <c r="OI28" s="20" t="n">
        <f aca="false">OA28-OH28</f>
        <v>8915.68437587013</v>
      </c>
      <c r="OJ28" s="20" t="n">
        <f aca="false">IE28-(IH28+IP28+IX28+JF28+JN28+JV28+KD28+KL28+KT28+LB28+LJ28+LR28+LZ28+MH28+MP28+MX28+NF28+NN28+NV28+OD28)</f>
        <v>0</v>
      </c>
      <c r="OK28" s="20" t="n">
        <f aca="false">IF(HU28=1,HS28-ID28-IE28,0)</f>
        <v>30639.7920848948</v>
      </c>
      <c r="OL28" s="20" t="n">
        <f aca="false">IF(HU28=0,-HS28,0)</f>
        <v>0</v>
      </c>
      <c r="OM28" s="20" t="n">
        <f aca="false">MIN(OL28,HK28)</f>
        <v>0</v>
      </c>
      <c r="ON28" s="20" t="n">
        <f aca="false">OL28-OM28</f>
        <v>0</v>
      </c>
      <c r="OO28" s="20" t="n">
        <f aca="false">MIN(ON28,HL28)</f>
        <v>0</v>
      </c>
      <c r="OP28" s="20" t="n">
        <f aca="false">ON28-OO28</f>
        <v>0</v>
      </c>
      <c r="OQ28" s="20" t="n">
        <f aca="false">IF(AND(HU28=0,HF28=1,OP28&gt;0),MIN(OP28,HG28),0)</f>
        <v>0</v>
      </c>
      <c r="OR28" s="20" t="n">
        <f aca="false">OP28-OQ28</f>
        <v>0</v>
      </c>
      <c r="OS28" s="20" t="n">
        <f aca="false">IF(AND(HU28=0,GV28=1,OR28&gt;0),MIN(OR28,GW28),0)</f>
        <v>0</v>
      </c>
      <c r="OT28" s="20" t="n">
        <f aca="false">OR28-OS28</f>
        <v>0</v>
      </c>
      <c r="OU28" s="20" t="n">
        <f aca="false">IF(AND(HU28=0,GL28=1,OT28&gt;0),MIN(OT28,GM28),0)</f>
        <v>0</v>
      </c>
      <c r="OV28" s="20" t="n">
        <f aca="false">OT28-OU28</f>
        <v>0</v>
      </c>
      <c r="OW28" s="20" t="n">
        <f aca="false">IF(AND(HU28=0,GB28=1,OV28&gt;0),MIN(OV28,GC28),0)</f>
        <v>0</v>
      </c>
      <c r="OX28" s="20" t="n">
        <f aca="false">OV28-OW28</f>
        <v>0</v>
      </c>
      <c r="OY28" s="20" t="n">
        <f aca="false">IF(AND(HU28=0,FR28=1,OX28&gt;0),MIN(OX28,FS28),0)</f>
        <v>0</v>
      </c>
      <c r="OZ28" s="20" t="n">
        <f aca="false">OX28-OY28</f>
        <v>0</v>
      </c>
      <c r="PA28" s="20" t="n">
        <f aca="false">IF(AND(HU28=0,FH28=1,OZ28&gt;0),MIN(OZ28,FI28),0)</f>
        <v>0</v>
      </c>
      <c r="PB28" s="20" t="n">
        <f aca="false">OZ28-PA28</f>
        <v>0</v>
      </c>
      <c r="PC28" s="20" t="n">
        <f aca="false">IF(AND(HU28=0,EX28=1,PB28&gt;0),MIN(PB28,EY28),0)</f>
        <v>0</v>
      </c>
      <c r="PD28" s="20" t="n">
        <f aca="false">PB28-PC28</f>
        <v>0</v>
      </c>
      <c r="PE28" s="20" t="n">
        <f aca="false">IF(AND(HU28=0,EN28=1,PD28&gt;0),MIN(PD28,EO28),0)</f>
        <v>0</v>
      </c>
      <c r="PF28" s="20" t="n">
        <f aca="false">PD28-PE28</f>
        <v>0</v>
      </c>
      <c r="PG28" s="20" t="n">
        <f aca="false">IF(AND(HU28=0,ED28=1,PF28&gt;0),MIN(PF28,EE28),0)</f>
        <v>0</v>
      </c>
      <c r="PH28" s="20" t="n">
        <f aca="false">PF28-PG28</f>
        <v>0</v>
      </c>
      <c r="PI28" s="20" t="n">
        <f aca="false">IF(AND(HU28=0,DT28=1,PH28&gt;0),MIN(PH28,DU28),0)</f>
        <v>0</v>
      </c>
      <c r="PJ28" s="20" t="n">
        <f aca="false">PH28-PI28</f>
        <v>0</v>
      </c>
      <c r="PK28" s="20" t="n">
        <f aca="false">IF(AND(HU28=0,DJ28=1,PJ28&gt;0),MIN(PJ28,DK28),0)</f>
        <v>0</v>
      </c>
      <c r="PL28" s="20" t="n">
        <f aca="false">PJ28-PK28</f>
        <v>0</v>
      </c>
      <c r="PM28" s="20" t="n">
        <f aca="false">IF(AND(HU28=0,CZ28=1,PL28&gt;0),MIN(PL28,DA28),0)</f>
        <v>0</v>
      </c>
      <c r="PN28" s="20" t="n">
        <f aca="false">PL28-PM28</f>
        <v>0</v>
      </c>
      <c r="PO28" s="20" t="n">
        <f aca="false">IF(AND(HU28=0,CP28=1,PN28&gt;0),MIN(PN28,CQ28),0)</f>
        <v>0</v>
      </c>
      <c r="PP28" s="20" t="n">
        <f aca="false">PN28-PO28</f>
        <v>0</v>
      </c>
      <c r="PQ28" s="20" t="n">
        <f aca="false">IF(AND(HU28=0,CF28=1,PP28&gt;0),MIN(PP28,CG28),0)</f>
        <v>0</v>
      </c>
      <c r="PR28" s="20" t="n">
        <f aca="false">PP28-PQ28</f>
        <v>0</v>
      </c>
      <c r="PS28" s="20" t="n">
        <f aca="false">IF(AND(HU28=0,BV28=1,PR28&gt;0),MIN(PR28,BW28),0)</f>
        <v>0</v>
      </c>
      <c r="PT28" s="20" t="n">
        <f aca="false">PR28-PS28</f>
        <v>0</v>
      </c>
      <c r="PU28" s="20" t="n">
        <f aca="false">IF(AND(HU28=0,BL28=1,PT28&gt;0),MIN(PT28,BM28),0)</f>
        <v>0</v>
      </c>
      <c r="PV28" s="20" t="n">
        <f aca="false">PT28-PU28</f>
        <v>0</v>
      </c>
      <c r="PW28" s="20" t="n">
        <f aca="false">IF(AND(HU28=0,BB28=1,PV28&gt;0),MIN(PV28,BC28),0)</f>
        <v>0</v>
      </c>
      <c r="PX28" s="20" t="n">
        <f aca="false">PV28-PW28</f>
        <v>0</v>
      </c>
      <c r="PY28" s="20" t="n">
        <f aca="false">IF(AND(HU28=0,AR28=1,PX28&gt;0),MIN(PX28,AS28),0)</f>
        <v>0</v>
      </c>
      <c r="PZ28" s="20" t="n">
        <f aca="false">PX28-PY28</f>
        <v>0</v>
      </c>
      <c r="QA28" s="20" t="n">
        <f aca="false">IF(AND(HU28=0,AH28=1,PZ28&gt;0),MIN(PZ28,AI28),0)</f>
        <v>0</v>
      </c>
      <c r="QB28" s="20" t="n">
        <f aca="false">PZ28-QA28</f>
        <v>0</v>
      </c>
      <c r="QC28" s="20" t="n">
        <f aca="false">IF(AND(HU28=0,W28=1,QB28&gt;0),MIN(QB28,X28),0)</f>
        <v>0</v>
      </c>
      <c r="QD28" s="20" t="n">
        <f aca="false">QB28-QC28</f>
        <v>0</v>
      </c>
      <c r="QE28" s="20" t="n">
        <f aca="false">IF(HU28=0,QD28,0)</f>
        <v>0</v>
      </c>
      <c r="QF28" s="20" t="n">
        <f aca="false">OM28+OO28+QC28+QA28+PY28+PW28+PU28+PS28+PQ28+PO28+PM28+PK28+PI28+PG28+PE28+PC28+PA28+OY28+OW28+OU28+OS28+OQ28</f>
        <v>0</v>
      </c>
      <c r="QG28" s="20" t="n">
        <f aca="false">IF(HU28=1,HK28+OJ28+OI28+IF(G28=1,0,OK28),HK28-OM28)</f>
        <v>53069.6508636272</v>
      </c>
      <c r="QH28" s="20" t="n">
        <f aca="false">HL28-OO28</f>
        <v>18667.0775055661</v>
      </c>
      <c r="QI28" s="20" t="n">
        <f aca="false">IF(HU28=1,IF(G28=1,ID28+IE28,HS28),0)</f>
        <v>8915.68437587013</v>
      </c>
      <c r="QJ28" s="20" t="n">
        <f aca="false">IF(HU28=1,IF(G28=1,HS28-ID28-IE28,0),0)</f>
        <v>30639.7920848948</v>
      </c>
      <c r="QK28" s="20" t="n">
        <f aca="false">QG28*(1+GR)</f>
        <v>53939.9931377906</v>
      </c>
      <c r="QL28" s="20" t="n">
        <f aca="false">QH28*(1+AS_Cash)</f>
        <v>18853.7482806218</v>
      </c>
      <c r="QM28" s="20" t="n">
        <f aca="false">IF(W28=1,IF(HU28=1,II28+IL28,X28-QC28)*(1+Slot1_Rate),0)</f>
        <v>0</v>
      </c>
      <c r="QN28" s="20" t="n">
        <f aca="false">IF(AND(HU28=1,W28=1),(IH28+IL28)/F28,0)</f>
        <v>0</v>
      </c>
      <c r="QO28" s="20" t="n">
        <f aca="false">IF(B28=0,IH28+IL28,0)</f>
        <v>0</v>
      </c>
      <c r="QP28" s="20" t="n">
        <f aca="false">IF(B28=0,IF(HU28=1,IJ28,IK28),0)</f>
        <v>0</v>
      </c>
      <c r="QQ28" s="20" t="n">
        <f aca="false">IF(AH28=1,IF(HU28=1,IQ28+IT28,AI28-QA28)*(1+Slot2_Rate),0)</f>
        <v>0</v>
      </c>
      <c r="QR28" s="20" t="n">
        <f aca="false">IF(AND(HU28=1,AH28=1),(IP28+IT28)/F28,0)</f>
        <v>0</v>
      </c>
      <c r="QS28" s="20" t="n">
        <f aca="false">IF(B28=0,IP28+IT28,0)</f>
        <v>0</v>
      </c>
      <c r="QT28" s="20" t="n">
        <f aca="false">IF(B28=0,IF(HU28=1,IR28,IS28),0)</f>
        <v>0</v>
      </c>
      <c r="QU28" s="20" t="n">
        <f aca="false">IF(AR28=1,IF(HU28=1,IY28+JB28,AS28-PY28)*(1+Slot3_Rate),0)</f>
        <v>0</v>
      </c>
      <c r="QV28" s="20" t="n">
        <f aca="false">IF(AND(HU28=1,AR28=1),(IX28+JB28)/F28,0)</f>
        <v>0</v>
      </c>
      <c r="QW28" s="20" t="n">
        <f aca="false">IF(B28=0,IX28+JB28,0)</f>
        <v>0</v>
      </c>
      <c r="QX28" s="20" t="n">
        <f aca="false">IF(B28=0,IF(HU28=1,IZ28,JA28),0)</f>
        <v>0</v>
      </c>
      <c r="QY28" s="20" t="n">
        <f aca="false">IF(BB28=1,IF(HU28=1,JG28+JJ28,BC28-PW28)*(1+Slot4_Rate),0)</f>
        <v>0</v>
      </c>
      <c r="QZ28" s="20" t="n">
        <f aca="false">IF(AND(HU28=1,BB28=1),(JF28+JJ28)/F28,0)</f>
        <v>0</v>
      </c>
      <c r="RA28" s="20" t="n">
        <f aca="false">IF(B28=0,JF28+JJ28,0)</f>
        <v>0</v>
      </c>
      <c r="RB28" s="20" t="n">
        <f aca="false">IF(B28=0,IF(HU28=1,JH28,JI28),0)</f>
        <v>0</v>
      </c>
      <c r="RC28" s="20" t="n">
        <f aca="false">IF(BL28=1,IF(HU28=1,JO28+JR28,BM28-PU28)*(1+Slot5_Rate),0)</f>
        <v>0</v>
      </c>
      <c r="RD28" s="20" t="n">
        <f aca="false">IF(AND(HU28=1,BL28=1),(JN28+JR28)/F28,0)</f>
        <v>0</v>
      </c>
      <c r="RE28" s="20" t="n">
        <f aca="false">IF(B28=0,JN28+JR28,0)</f>
        <v>0</v>
      </c>
      <c r="RF28" s="20" t="n">
        <f aca="false">IF(B28=0,IF(HU28=1,JP28,JQ28),0)</f>
        <v>0</v>
      </c>
      <c r="RG28" s="20" t="n">
        <f aca="false">IF(BV28=1,IF(HU28=1,JW28+JZ28,BW28-PS28)*(1+Slot6_Rate),0)</f>
        <v>0</v>
      </c>
      <c r="RH28" s="20" t="n">
        <f aca="false">IF(AND(HU28=1,BV28=1),(JV28+JZ28)/F28,0)</f>
        <v>0</v>
      </c>
      <c r="RI28" s="20" t="n">
        <f aca="false">IF(B28=0,JV28+JZ28,0)</f>
        <v>0</v>
      </c>
      <c r="RJ28" s="20" t="n">
        <f aca="false">IF(B28=0,IF(HU28=1,JX28,JY28),0)</f>
        <v>0</v>
      </c>
      <c r="RK28" s="20" t="n">
        <f aca="false">IF(CF28=1,IF(HU28=1,KE28+KH28,CG28-PQ28)*(1+Slot7_Rate),0)</f>
        <v>0</v>
      </c>
      <c r="RL28" s="20" t="n">
        <f aca="false">IF(AND(HU28=1,CF28=1),(KD28+KH28)/F28,0)</f>
        <v>0</v>
      </c>
      <c r="RM28" s="20" t="n">
        <f aca="false">IF(B28=0,KD28+KH28,0)</f>
        <v>0</v>
      </c>
      <c r="RN28" s="20" t="n">
        <f aca="false">IF(B28=0,IF(HU28=1,KF28,KG28),0)</f>
        <v>0</v>
      </c>
      <c r="RO28" s="20" t="n">
        <f aca="false">IF(CP28=1,IF(HU28=1,KM28+KP28,CQ28-PO28)*(1+Slot8_Rate),0)</f>
        <v>0</v>
      </c>
      <c r="RP28" s="20" t="n">
        <f aca="false">IF(AND(HU28=1,CP28=1),(KL28+KP28)/F28,0)</f>
        <v>0</v>
      </c>
      <c r="RQ28" s="20" t="n">
        <f aca="false">IF(B28=0,KL28+KP28,0)</f>
        <v>0</v>
      </c>
      <c r="RR28" s="20" t="n">
        <f aca="false">IF(B28=0,IF(HU28=1,KN28,KO28),0)</f>
        <v>0</v>
      </c>
      <c r="RS28" s="20" t="n">
        <f aca="false">IF(CZ28=1,IF(HU28=1,KU28+KX28,DA28-PM28)*(1+Slot9_Rate),0)</f>
        <v>0</v>
      </c>
      <c r="RT28" s="20" t="n">
        <f aca="false">IF(AND(HU28=1,CZ28=1),(KT28+KX28)/F28,0)</f>
        <v>0</v>
      </c>
      <c r="RU28" s="20" t="n">
        <f aca="false">IF(B28=0,KT28+KX28,0)</f>
        <v>0</v>
      </c>
      <c r="RV28" s="20" t="n">
        <f aca="false">IF(B28=0,IF(HU28=1,KV28,KW28),0)</f>
        <v>0</v>
      </c>
      <c r="RW28" s="20" t="n">
        <f aca="false">IF(DJ28=1,IF(HU28=1,LC28+LF28,DK28-PK28)*(1+Slot10_Rate),0)</f>
        <v>0</v>
      </c>
      <c r="RX28" s="20" t="n">
        <f aca="false">IF(AND(HU28=1,DJ28=1),(LB28+LF28)/F28,0)</f>
        <v>0</v>
      </c>
      <c r="RY28" s="20" t="n">
        <f aca="false">IF(B28=0,LB28+LF28,0)</f>
        <v>0</v>
      </c>
      <c r="RZ28" s="20" t="n">
        <f aca="false">IF(B28=0,IF(HU28=1,LD28,LE28),0)</f>
        <v>0</v>
      </c>
      <c r="SA28" s="20" t="n">
        <f aca="false">IF(DT28=1,IF(HU28=1,LK28+LN28,DU28-PI28)*(1+Slot11_Rate),0)</f>
        <v>0</v>
      </c>
      <c r="SB28" s="20" t="n">
        <f aca="false">IF(AND(HU28=1,DT28=1),(LJ28+LN28)/F28,0)</f>
        <v>0</v>
      </c>
      <c r="SC28" s="20" t="n">
        <f aca="false">IF(B28=0,LJ28+LN28,0)</f>
        <v>0</v>
      </c>
      <c r="SD28" s="20" t="n">
        <f aca="false">IF(B28=0,IF(HU28=1,LL28,LM28),0)</f>
        <v>0</v>
      </c>
      <c r="SE28" s="20" t="n">
        <f aca="false">IF(ED28=1,IF(HU28=1,LS28+LV28,EE28-PG28)*(1+Slot12_Rate),0)</f>
        <v>0</v>
      </c>
      <c r="SF28" s="20" t="n">
        <f aca="false">IF(AND(HU28=1,ED28=1),(LR28+LV28)/F28,0)</f>
        <v>0</v>
      </c>
      <c r="SG28" s="20" t="n">
        <f aca="false">IF(B28=0,LR28+LV28,0)</f>
        <v>0</v>
      </c>
      <c r="SH28" s="20" t="n">
        <f aca="false">IF(B28=0,IF(HU28=1,LT28,LU28),0)</f>
        <v>0</v>
      </c>
      <c r="SI28" s="20" t="n">
        <f aca="false">IF(EN28=1,IF(HU28=1,MA28+MD28,EO28-PE28)*(1+Slot13_Rate),0)</f>
        <v>0</v>
      </c>
      <c r="SJ28" s="20" t="n">
        <f aca="false">IF(AND(HU28=1,EN28=1),(LZ28+MD28)/F28,0)</f>
        <v>0</v>
      </c>
      <c r="SK28" s="20" t="n">
        <f aca="false">IF(B28=0,LZ28+MD28,0)</f>
        <v>0</v>
      </c>
      <c r="SL28" s="20" t="n">
        <f aca="false">IF(B28=0,IF(HU28=1,MB28,MC28),0)</f>
        <v>0</v>
      </c>
      <c r="SM28" s="20" t="n">
        <f aca="false">IF(EX28=1,IF(HU28=1,MI28+ML28,EY28-PC28)*(1+Slot14_Rate),0)</f>
        <v>0</v>
      </c>
      <c r="SN28" s="20" t="n">
        <f aca="false">IF(AND(HU28=1,EX28=1),(MH28+ML28)/F28,0)</f>
        <v>0</v>
      </c>
      <c r="SO28" s="20" t="n">
        <f aca="false">IF(B28=0,MH28+ML28,0)</f>
        <v>0</v>
      </c>
      <c r="SP28" s="20" t="n">
        <f aca="false">IF(B28=0,IF(HU28=1,MJ28,MK28),0)</f>
        <v>0</v>
      </c>
      <c r="SQ28" s="20" t="n">
        <f aca="false">IF(FH28=1,IF(HU28=1,MQ28+MT28,FI28-PA28)*(1+Slot15_Rate),0)</f>
        <v>0</v>
      </c>
      <c r="SR28" s="20" t="n">
        <f aca="false">IF(AND(HU28=1,FH28=1),(MP28+MT28)/F28,0)</f>
        <v>0</v>
      </c>
      <c r="SS28" s="20" t="n">
        <f aca="false">IF(B28=0,MP28+MT28,0)</f>
        <v>0</v>
      </c>
      <c r="ST28" s="20" t="n">
        <f aca="false">IF(B28=0,IF(HU28=1,MR28,MS28),0)</f>
        <v>0</v>
      </c>
      <c r="SU28" s="20" t="n">
        <f aca="false">IF(FR28=1,IF(HU28=1,MY28+NB28,FS28-OY28)*(1+Slot16_Rate),0)</f>
        <v>0</v>
      </c>
      <c r="SV28" s="20" t="n">
        <f aca="false">IF(AND(HU28=1,FR28=1),(MX28+NB28)/F28,0)</f>
        <v>0</v>
      </c>
      <c r="SW28" s="20" t="n">
        <f aca="false">IF(B28=0,MX28+NB28,0)</f>
        <v>0</v>
      </c>
      <c r="SX28" s="20" t="n">
        <f aca="false">IF(B28=0,IF(HU28=1,MZ28,NA28),0)</f>
        <v>0</v>
      </c>
      <c r="SY28" s="20" t="n">
        <f aca="false">IF(GB28=1,IF(HU28=1,NG28+NJ28,GC28-OW28)*(1+Slot17_Rate),0)</f>
        <v>0</v>
      </c>
      <c r="SZ28" s="20" t="n">
        <f aca="false">IF(AND(HU28=1,GB28=1),(NF28+NJ28)/F28,0)</f>
        <v>0</v>
      </c>
      <c r="TA28" s="20" t="n">
        <f aca="false">IF(B28=0,NF28+NJ28,0)</f>
        <v>0</v>
      </c>
      <c r="TB28" s="20" t="n">
        <f aca="false">IF(B28=0,IF(HU28=1,NH28,NI28),0)</f>
        <v>0</v>
      </c>
      <c r="TC28" s="20" t="n">
        <f aca="false">IF(GL28=1,IF(HU28=1,NO28+NR28,GM28-OU28)*(1+Slot18_Rate),0)</f>
        <v>0</v>
      </c>
      <c r="TD28" s="20" t="n">
        <f aca="false">IF(AND(HU28=1,GL28=1),(NN28+NR28)/F28,0)</f>
        <v>0</v>
      </c>
      <c r="TE28" s="20" t="n">
        <f aca="false">IF(B28=0,NN28+NR28,0)</f>
        <v>0</v>
      </c>
      <c r="TF28" s="20" t="n">
        <f aca="false">IF(B28=0,IF(HU28=1,NP28,NQ28),0)</f>
        <v>0</v>
      </c>
      <c r="TG28" s="20" t="n">
        <f aca="false">IF(GV28=1,IF(HU28=1,NW28+NZ28,GW28-OS28)*(1+Slot19_Rate),0)</f>
        <v>0</v>
      </c>
      <c r="TH28" s="20" t="n">
        <f aca="false">IF(AND(HU28=1,GV28=1),(NV28+NZ28)/F28,0)</f>
        <v>0</v>
      </c>
      <c r="TI28" s="20" t="n">
        <f aca="false">IF(B28=0,NV28+NZ28,0)</f>
        <v>0</v>
      </c>
      <c r="TJ28" s="20" t="n">
        <f aca="false">IF(B28=0,IF(HU28=1,NX28,NY28),0)</f>
        <v>0</v>
      </c>
      <c r="TK28" s="20" t="n">
        <f aca="false">IF(HF28=1,IF(HU28=1,OE28+OH28,HG28-OQ28)*(1+Slot20_Rate),0)</f>
        <v>0</v>
      </c>
      <c r="TL28" s="20" t="n">
        <f aca="false">IF(AND(HU28=1,HF28=1),(OD28+OH28)/F28,0)</f>
        <v>0</v>
      </c>
      <c r="TM28" s="20" t="n">
        <f aca="false">IF(B28=0,OD28+OH28,0)</f>
        <v>0</v>
      </c>
      <c r="TN28" s="20" t="n">
        <f aca="false">IF(B28=0,IF(HU28=1,OF28,OG28),0)</f>
        <v>0</v>
      </c>
      <c r="TO28" s="20" t="n">
        <f aca="false">QK28+QL28+QM28+QQ28+QU28+QY28+RC28+RG28+RK28+RO28+RS28+RW28+SA28+SE28+SI28+SM28+SQ28+SU28+SY28+TC28+TG28+TK28</f>
        <v>72793.7414184124</v>
      </c>
      <c r="TP28" s="20" t="n">
        <f aca="false">QE28+HP28</f>
        <v>0</v>
      </c>
      <c r="TQ28" s="20" t="n">
        <f aca="false">I28+S28</f>
        <v>66867.632819026</v>
      </c>
      <c r="TR28" s="20" t="n">
        <f aca="false">1-G28</f>
        <v>0</v>
      </c>
      <c r="TS28" s="20" t="n">
        <f aca="false">IF(AND(RG_Exists=1,G28=0,C28=1),I28,0)</f>
        <v>0</v>
      </c>
      <c r="TT28" s="20" t="n">
        <f aca="false">IF(AND(RG_Exists=1,G28=0,C28=1),I28-MIN(QE28,I28),0)</f>
        <v>0</v>
      </c>
      <c r="TU28" s="20" t="n">
        <f aca="false">'Plan pay &amp; tax'!AD254</f>
        <v>455995.142274934</v>
      </c>
      <c r="TV28" s="20" t="n">
        <f aca="false">IF(AND(C28=1,QE28&gt;MAX(PR_Short1,TQ28*PR_Short2)),1,0)</f>
        <v>0</v>
      </c>
      <c r="TW28" s="20" t="n">
        <f aca="false">MIN(H28,I28+S28)</f>
        <v>66867.632819026</v>
      </c>
      <c r="TX28" s="20" t="n">
        <f aca="false">QF28+MAX(0,HQ28-HP28)</f>
        <v>0</v>
      </c>
      <c r="TY28" s="20" t="n">
        <f aca="false">QE28+HP28</f>
        <v>0</v>
      </c>
      <c r="TZ28" s="20" t="n">
        <f aca="false">IF(AND(C28=1,TY28&gt;PR_MinShort),1,0)</f>
        <v>0</v>
      </c>
      <c r="UA28" s="20" t="n">
        <f aca="false">IF(AND(C28=1,TZ28=0,TX28&gt;PR_MinShort),1,0)</f>
        <v>0</v>
      </c>
      <c r="UB28" s="20" t="n">
        <f aca="false">IF(AND(C28=1,QE28&gt;PR_MinShort),1,0)</f>
        <v>0</v>
      </c>
      <c r="UC28" s="20" t="n">
        <f aca="false">IF(AND(C28=1,QF28&gt;1,UJ28=0),1,0)</f>
        <v>0</v>
      </c>
      <c r="UD28" s="20" t="str">
        <f aca="false">IF(C28=0,"",IF(UJ28=1,"Gap to plan for: short "&amp;"€"&amp;TEXT(ROUND(TP28,0),"#,##0"),IF(QF28&gt;1,"Using savings","Comfortable")))</f>
        <v>Comfortable</v>
      </c>
      <c r="UE28" s="20" t="n">
        <f aca="false">IF(AND(INT(D28/10)*10=90,B28&gt;0),80,INT(D28/10)*10)</f>
        <v>50</v>
      </c>
      <c r="UF28" s="20" t="n">
        <f aca="false">IF(B28=0,1,IF(UE28&lt;&gt;UE27,UF27+1,UF27))</f>
        <v>3</v>
      </c>
      <c r="UG28" s="20" t="n">
        <f aca="false">IF(AND(C28=1,G28=1,QE28&gt;MAX(PR_Short1,TQ28*PR_Short2)),1,0)</f>
        <v>0</v>
      </c>
      <c r="UH28" s="20" t="n">
        <f aca="false">TR28*TV28</f>
        <v>0</v>
      </c>
      <c r="UI28" s="20" t="n">
        <f aca="false">IF(AND(V28=1,Slot1_PctLow=1),1,0)+IF(AND(AG28=1,Slot2_PctLow=1),1,0)+IF(AND(AQ28=1,Slot3_PctLow=1),1,0)+IF(AND(BA28=1,Slot4_PctLow=1),1,0)+IF(AND(BK28=1,Slot5_PctLow=1),1,0)+IF(AND(BU28=1,Slot6_PctLow=1),1,0)+IF(AND(CE28=1,Slot7_PctLow=1),1,0)+IF(AND(CO28=1,Slot8_PctLow=1),1,0)+IF(AND(CY28=1,Slot9_PctLow=1),1,0)+IF(AND(DI28=1,Slot10_PctLow=1),1,0)+IF(AND(DS28=1,Slot11_PctLow=1),1,0)+IF(AND(EC28=1,Slot12_PctLow=1),1,0)+IF(AND(EM28=1,Slot13_PctLow=1),1,0)+IF(AND(EW28=1,Slot14_PctLow=1),1,0)+IF(AND(FG28=1,Slot15_PctLow=1),1,0)+IF(AND(FQ28=1,Slot16_PctLow=1),1,0)+IF(AND(GA28=1,Slot17_PctLow=1),1,0)+IF(AND(GK28=1,Slot18_PctLow=1),1,0)+IF(AND(GU28=1,Slot19_PctLow=1),1,0)+IF(AND(HE28=1,Slot20_PctLow=1),1,0)</f>
        <v>0</v>
      </c>
      <c r="UJ28" s="20" t="n">
        <f aca="false">IF(C28=1,IF(OR(TV28=1,UI28&gt;0),1,0),0)</f>
        <v>0</v>
      </c>
    </row>
    <row r="29" customFormat="false" ht="15" hidden="false" customHeight="true" outlineLevel="0" collapsed="false">
      <c r="B29" s="20" t="n">
        <v>21</v>
      </c>
      <c r="C29" s="20" t="n">
        <f aca="false">IF(B29&lt;=F_N,1,0)</f>
        <v>1</v>
      </c>
      <c r="D29" s="20" t="n">
        <f aca="false">'Plan pay &amp; tax'!C255</f>
        <v>59</v>
      </c>
      <c r="E29" s="20" t="str">
        <f aca="false">IF($C29=1,"Income tax "&amp;TEXT(N('Plan pay &amp; tax'!BK255),"#,##0")&amp;"; USC "&amp;TEXT(N('Plan pay &amp; tax'!BM255)+N('Plan pay &amp; tax'!BO255),"#,##0")&amp;"; PRSI "&amp;TEXT(N('Plan pay &amp; tax'!BP255)+N('Plan pay &amp; tax'!BQ255),"#,##0")&amp;". DIRT and exit tax are inside the growth rates here.","")</f>
        <v>Income tax 15,544; USC 2,086; PRSI 4,615. DIRT and exit tax are inside the growth rates here.</v>
      </c>
      <c r="F29" s="44" t="n">
        <f aca="false">'Plan pay &amp; tax'!E255</f>
        <v>1.51566634389792</v>
      </c>
      <c r="G29" s="20" t="n">
        <f aca="false">'Plan pay &amp; tax'!G255</f>
        <v>1</v>
      </c>
      <c r="H29" s="20" t="n">
        <f aca="false">'Plan pay &amp; tax'!BT255-'Plan pay &amp; tax'!BS255-'Plan pay &amp; tax'!R255</f>
        <v>109304.503116896</v>
      </c>
      <c r="I29" s="20" t="n">
        <f aca="false">IF(G29=1,F_CostsM*12,IF(RG_Exists=1,RG_Amount,F_CostsM*12*AS_RetireSpend))*F29+F_OneOffY*F29</f>
        <v>68204.9854754065</v>
      </c>
      <c r="J29" s="20" t="n">
        <f aca="false">HR28</f>
        <v>0</v>
      </c>
      <c r="K29" s="20" t="n">
        <f aca="false">IF(J29&gt;1,'Plan debt months'!AC29,0)</f>
        <v>0</v>
      </c>
      <c r="L29" s="20" t="n">
        <f aca="false">IF(J29&gt;1,'Plan debt months'!AB29,J29)</f>
        <v>0</v>
      </c>
      <c r="M29" s="20" t="n">
        <f aca="false">O28</f>
        <v>0</v>
      </c>
      <c r="N29" s="20" t="n">
        <f aca="false">IF(M29&gt;1,'Plan debt months'!BD29,0)</f>
        <v>0</v>
      </c>
      <c r="O29" s="20" t="n">
        <f aca="false">IF(M29&gt;1,'Plan debt months'!BC29,M29)</f>
        <v>0</v>
      </c>
      <c r="P29" s="20" t="n">
        <f aca="false">R28</f>
        <v>0</v>
      </c>
      <c r="Q29" s="20" t="n">
        <f aca="false">IF(P29&gt;1,'Plan debt months'!CE29,0)</f>
        <v>0</v>
      </c>
      <c r="R29" s="20" t="n">
        <f aca="false">IF(P29&gt;1,'Plan debt months'!CD29,P29)</f>
        <v>0</v>
      </c>
      <c r="S29" s="20" t="n">
        <f aca="false">K29+N29+Q29</f>
        <v>0</v>
      </c>
      <c r="T29" s="20" t="n">
        <f aca="false">QK28+'Plan pay &amp; tax'!Y255</f>
        <v>53939.9931377906</v>
      </c>
      <c r="U29" s="20" t="n">
        <f aca="false">QK28</f>
        <v>53939.9931377906</v>
      </c>
      <c r="V29" s="20" t="n">
        <f aca="false">IF(AND(Slot1_On=1,D29=Slot1_Age),1,0)</f>
        <v>0</v>
      </c>
      <c r="W29" s="20" t="n">
        <f aca="false">IF(AND(Slot1_On=1,Slot1_Age&gt;D29),1,0)</f>
        <v>0</v>
      </c>
      <c r="X29" s="20" t="n">
        <f aca="false">QM28</f>
        <v>0</v>
      </c>
      <c r="Y29" s="20" t="n">
        <f aca="false">V29*MIN(Slot1_Cost,X29)</f>
        <v>0</v>
      </c>
      <c r="Z29" s="20" t="n">
        <f aca="false">V29*Slot1_SpendLike*MIN(Slot1_Cost-Y29,T29)</f>
        <v>0</v>
      </c>
      <c r="AA29" s="20" t="n">
        <f aca="false">Y29+Z29</f>
        <v>0</v>
      </c>
      <c r="AB29" s="20" t="n">
        <f aca="false">T29-Z29+V29*IF(Slot1_SpendLike=1,X29-Y29,IF(Slot1_PotFree=1,X29,0))</f>
        <v>53939.9931377906</v>
      </c>
      <c r="AC29" s="20" t="n">
        <f aca="false">AF29+V29*Slot1_BufPot*X29</f>
        <v>18853.7482806218</v>
      </c>
      <c r="AD29" s="20" t="n">
        <f aca="false">IF(AND(V29=1,Slot1_IsMfree=1),IF(AA29&gt;=Slot1_Cost-1,0,MAX(0,L29-AA29)),L29)</f>
        <v>0</v>
      </c>
      <c r="AE29" s="20" t="n">
        <f aca="false">V29*(Slot1_Cost-AA29)</f>
        <v>0</v>
      </c>
      <c r="AF29" s="20" t="n">
        <f aca="false">QL28</f>
        <v>18853.7482806218</v>
      </c>
      <c r="AG29" s="20" t="n">
        <f aca="false">IF(AND(Slot2_On=1,D29=Slot2_Age),1,0)</f>
        <v>0</v>
      </c>
      <c r="AH29" s="20" t="n">
        <f aca="false">IF(AND(Slot2_On=1,Slot2_Age&gt;D29),1,0)</f>
        <v>0</v>
      </c>
      <c r="AI29" s="20" t="n">
        <f aca="false">QQ28</f>
        <v>0</v>
      </c>
      <c r="AJ29" s="20" t="n">
        <f aca="false">AG29*MIN(Slot2_Cost,AI29)</f>
        <v>0</v>
      </c>
      <c r="AK29" s="20" t="n">
        <f aca="false">AG29*Slot2_SpendLike*MIN(Slot2_Cost-AJ29,AB29)</f>
        <v>0</v>
      </c>
      <c r="AL29" s="20" t="n">
        <f aca="false">AJ29+AK29</f>
        <v>0</v>
      </c>
      <c r="AM29" s="20" t="n">
        <f aca="false">AB29-AK29+AG29*IF(Slot2_SpendLike=1,AI29-AJ29,IF(Slot2_PotFree=1,AI29,0))</f>
        <v>53939.9931377906</v>
      </c>
      <c r="AN29" s="20" t="n">
        <f aca="false">AC29+AG29*Slot2_BufPot*AI29</f>
        <v>18853.7482806218</v>
      </c>
      <c r="AO29" s="20" t="n">
        <f aca="false">IF(AND(AG29=1,Slot2_IsMfree=1),IF(AL29&gt;=Slot2_Cost-1,0,MAX(0,AD29-AL29)),AD29)</f>
        <v>0</v>
      </c>
      <c r="AP29" s="20" t="n">
        <f aca="false">AG29*(Slot2_Cost-AL29)</f>
        <v>0</v>
      </c>
      <c r="AQ29" s="20" t="n">
        <f aca="false">IF(AND(Slot3_On=1,D29=Slot3_Age),1,0)</f>
        <v>0</v>
      </c>
      <c r="AR29" s="20" t="n">
        <f aca="false">IF(AND(Slot3_On=1,Slot3_Age&gt;D29),1,0)</f>
        <v>0</v>
      </c>
      <c r="AS29" s="20" t="n">
        <f aca="false">QU28</f>
        <v>0</v>
      </c>
      <c r="AT29" s="20" t="n">
        <f aca="false">AQ29*MIN(Slot3_Cost,AS29)</f>
        <v>0</v>
      </c>
      <c r="AU29" s="20" t="n">
        <f aca="false">AQ29*Slot3_SpendLike*MIN(Slot3_Cost-AT29,AM29)</f>
        <v>0</v>
      </c>
      <c r="AV29" s="20" t="n">
        <f aca="false">AT29+AU29</f>
        <v>0</v>
      </c>
      <c r="AW29" s="20" t="n">
        <f aca="false">AM29-AU29+AQ29*IF(Slot3_SpendLike=1,AS29-AT29,IF(Slot3_PotFree=1,AS29,0))</f>
        <v>53939.9931377906</v>
      </c>
      <c r="AX29" s="20" t="n">
        <f aca="false">AN29+AQ29*Slot3_BufPot*AS29</f>
        <v>18853.7482806218</v>
      </c>
      <c r="AY29" s="20" t="n">
        <f aca="false">IF(AND(AQ29=1,Slot3_IsMfree=1),IF(AV29&gt;=Slot3_Cost-1,0,MAX(0,AO29-AV29)),AO29)</f>
        <v>0</v>
      </c>
      <c r="AZ29" s="20" t="n">
        <f aca="false">AQ29*(Slot3_Cost-AV29)</f>
        <v>0</v>
      </c>
      <c r="BA29" s="20" t="n">
        <f aca="false">IF(AND(Slot4_On=1,D29=Slot4_Age),1,0)</f>
        <v>0</v>
      </c>
      <c r="BB29" s="20" t="n">
        <f aca="false">IF(AND(Slot4_On=1,Slot4_Age&gt;D29),1,0)</f>
        <v>0</v>
      </c>
      <c r="BC29" s="20" t="n">
        <f aca="false">QY28</f>
        <v>0</v>
      </c>
      <c r="BD29" s="20" t="n">
        <f aca="false">BA29*MIN(Slot4_Cost,BC29)</f>
        <v>0</v>
      </c>
      <c r="BE29" s="20" t="n">
        <f aca="false">BA29*Slot4_SpendLike*MIN(Slot4_Cost-BD29,AW29)</f>
        <v>0</v>
      </c>
      <c r="BF29" s="20" t="n">
        <f aca="false">BD29+BE29</f>
        <v>0</v>
      </c>
      <c r="BG29" s="20" t="n">
        <f aca="false">AW29-BE29+BA29*IF(Slot4_SpendLike=1,BC29-BD29,IF(Slot4_PotFree=1,BC29,0))</f>
        <v>53939.9931377906</v>
      </c>
      <c r="BH29" s="20" t="n">
        <f aca="false">AX29+BA29*Slot4_BufPot*BC29</f>
        <v>18853.7482806218</v>
      </c>
      <c r="BI29" s="20" t="n">
        <f aca="false">IF(AND(BA29=1,Slot4_IsMfree=1),IF(BF29&gt;=Slot4_Cost-1,0,MAX(0,AY29-BF29)),AY29)</f>
        <v>0</v>
      </c>
      <c r="BJ29" s="20" t="n">
        <f aca="false">BA29*(Slot4_Cost-BF29)</f>
        <v>0</v>
      </c>
      <c r="BK29" s="20" t="n">
        <f aca="false">IF(AND(Slot5_On=1,D29=Slot5_Age),1,0)</f>
        <v>0</v>
      </c>
      <c r="BL29" s="20" t="n">
        <f aca="false">IF(AND(Slot5_On=1,Slot5_Age&gt;D29),1,0)</f>
        <v>0</v>
      </c>
      <c r="BM29" s="20" t="n">
        <f aca="false">RC28</f>
        <v>0</v>
      </c>
      <c r="BN29" s="20" t="n">
        <f aca="false">BK29*MIN(Slot5_Cost,BM29)</f>
        <v>0</v>
      </c>
      <c r="BO29" s="20" t="n">
        <f aca="false">BK29*Slot5_SpendLike*MIN(Slot5_Cost-BN29,BG29)</f>
        <v>0</v>
      </c>
      <c r="BP29" s="20" t="n">
        <f aca="false">BN29+BO29</f>
        <v>0</v>
      </c>
      <c r="BQ29" s="20" t="n">
        <f aca="false">BG29-BO29+BK29*IF(Slot5_SpendLike=1,BM29-BN29,IF(Slot5_PotFree=1,BM29,0))</f>
        <v>53939.9931377906</v>
      </c>
      <c r="BR29" s="20" t="n">
        <f aca="false">BH29+BK29*Slot5_BufPot*BM29</f>
        <v>18853.7482806218</v>
      </c>
      <c r="BS29" s="20" t="n">
        <f aca="false">IF(AND(BK29=1,Slot5_IsMfree=1),IF(BP29&gt;=Slot5_Cost-1,0,MAX(0,BI29-BP29)),BI29)</f>
        <v>0</v>
      </c>
      <c r="BT29" s="20" t="n">
        <f aca="false">BK29*(Slot5_Cost-BP29)</f>
        <v>0</v>
      </c>
      <c r="BU29" s="20" t="n">
        <f aca="false">IF(AND(Slot6_On=1,D29=Slot6_Age),1,0)</f>
        <v>0</v>
      </c>
      <c r="BV29" s="20" t="n">
        <f aca="false">IF(AND(Slot6_On=1,Slot6_Age&gt;D29),1,0)</f>
        <v>0</v>
      </c>
      <c r="BW29" s="20" t="n">
        <f aca="false">RG28</f>
        <v>0</v>
      </c>
      <c r="BX29" s="20" t="n">
        <f aca="false">BU29*MIN(Slot6_Cost,BW29)</f>
        <v>0</v>
      </c>
      <c r="BY29" s="20" t="n">
        <f aca="false">BU29*Slot6_SpendLike*MIN(Slot6_Cost-BX29,BQ29)</f>
        <v>0</v>
      </c>
      <c r="BZ29" s="20" t="n">
        <f aca="false">BX29+BY29</f>
        <v>0</v>
      </c>
      <c r="CA29" s="20" t="n">
        <f aca="false">BQ29-BY29+BU29*IF(Slot6_SpendLike=1,BW29-BX29,IF(Slot6_PotFree=1,BW29,0))</f>
        <v>53939.9931377906</v>
      </c>
      <c r="CB29" s="20" t="n">
        <f aca="false">BR29+BU29*Slot6_BufPot*BW29</f>
        <v>18853.7482806218</v>
      </c>
      <c r="CC29" s="20" t="n">
        <f aca="false">IF(AND(BU29=1,Slot6_IsMfree=1),IF(BZ29&gt;=Slot6_Cost-1,0,MAX(0,BS29-BZ29)),BS29)</f>
        <v>0</v>
      </c>
      <c r="CD29" s="20" t="n">
        <f aca="false">BU29*(Slot6_Cost-BZ29)</f>
        <v>0</v>
      </c>
      <c r="CE29" s="20" t="n">
        <f aca="false">IF(AND(Slot7_On=1,D29=Slot7_Age),1,0)</f>
        <v>0</v>
      </c>
      <c r="CF29" s="20" t="n">
        <f aca="false">IF(AND(Slot7_On=1,Slot7_Age&gt;D29),1,0)</f>
        <v>0</v>
      </c>
      <c r="CG29" s="20" t="n">
        <f aca="false">RK28</f>
        <v>0</v>
      </c>
      <c r="CH29" s="20" t="n">
        <f aca="false">CE29*MIN(Slot7_Cost,CG29)</f>
        <v>0</v>
      </c>
      <c r="CI29" s="20" t="n">
        <f aca="false">CE29*Slot7_SpendLike*MIN(Slot7_Cost-CH29,CA29)</f>
        <v>0</v>
      </c>
      <c r="CJ29" s="20" t="n">
        <f aca="false">CH29+CI29</f>
        <v>0</v>
      </c>
      <c r="CK29" s="20" t="n">
        <f aca="false">CA29-CI29+CE29*IF(Slot7_SpendLike=1,CG29-CH29,IF(Slot7_PotFree=1,CG29,0))</f>
        <v>53939.9931377906</v>
      </c>
      <c r="CL29" s="20" t="n">
        <f aca="false">CB29+CE29*Slot7_BufPot*CG29</f>
        <v>18853.7482806218</v>
      </c>
      <c r="CM29" s="20" t="n">
        <f aca="false">IF(AND(CE29=1,Slot7_IsMfree=1),IF(CJ29&gt;=Slot7_Cost-1,0,MAX(0,CC29-CJ29)),CC29)</f>
        <v>0</v>
      </c>
      <c r="CN29" s="20" t="n">
        <f aca="false">CE29*(Slot7_Cost-CJ29)</f>
        <v>0</v>
      </c>
      <c r="CO29" s="20" t="n">
        <f aca="false">IF(AND(Slot8_On=1,D29=Slot8_Age),1,0)</f>
        <v>0</v>
      </c>
      <c r="CP29" s="20" t="n">
        <f aca="false">IF(AND(Slot8_On=1,Slot8_Age&gt;D29),1,0)</f>
        <v>0</v>
      </c>
      <c r="CQ29" s="20" t="n">
        <f aca="false">RO28</f>
        <v>0</v>
      </c>
      <c r="CR29" s="20" t="n">
        <f aca="false">CO29*MIN(Slot8_Cost,CQ29)</f>
        <v>0</v>
      </c>
      <c r="CS29" s="20" t="n">
        <f aca="false">CO29*Slot8_SpendLike*MIN(Slot8_Cost-CR29,CK29)</f>
        <v>0</v>
      </c>
      <c r="CT29" s="20" t="n">
        <f aca="false">CR29+CS29</f>
        <v>0</v>
      </c>
      <c r="CU29" s="20" t="n">
        <f aca="false">CK29-CS29+CO29*IF(Slot8_SpendLike=1,CQ29-CR29,IF(Slot8_PotFree=1,CQ29,0))</f>
        <v>53939.9931377906</v>
      </c>
      <c r="CV29" s="20" t="n">
        <f aca="false">CL29+CO29*Slot8_BufPot*CQ29</f>
        <v>18853.7482806218</v>
      </c>
      <c r="CW29" s="20" t="n">
        <f aca="false">IF(AND(CO29=1,Slot8_IsMfree=1),IF(CT29&gt;=Slot8_Cost-1,0,MAX(0,CM29-CT29)),CM29)</f>
        <v>0</v>
      </c>
      <c r="CX29" s="20" t="n">
        <f aca="false">CO29*(Slot8_Cost-CT29)</f>
        <v>0</v>
      </c>
      <c r="CY29" s="20" t="n">
        <f aca="false">IF(AND(Slot9_On=1,D29=Slot9_Age),1,0)</f>
        <v>0</v>
      </c>
      <c r="CZ29" s="20" t="n">
        <f aca="false">IF(AND(Slot9_On=1,Slot9_Age&gt;D29),1,0)</f>
        <v>0</v>
      </c>
      <c r="DA29" s="20" t="n">
        <f aca="false">RS28</f>
        <v>0</v>
      </c>
      <c r="DB29" s="20" t="n">
        <f aca="false">CY29*MIN(Slot9_Cost,DA29)</f>
        <v>0</v>
      </c>
      <c r="DC29" s="20" t="n">
        <f aca="false">CY29*Slot9_SpendLike*MIN(Slot9_Cost-DB29,CU29)</f>
        <v>0</v>
      </c>
      <c r="DD29" s="20" t="n">
        <f aca="false">DB29+DC29</f>
        <v>0</v>
      </c>
      <c r="DE29" s="20" t="n">
        <f aca="false">CU29-DC29+CY29*IF(Slot9_SpendLike=1,DA29-DB29,IF(Slot9_PotFree=1,DA29,0))</f>
        <v>53939.9931377906</v>
      </c>
      <c r="DF29" s="20" t="n">
        <f aca="false">CV29+CY29*Slot9_BufPot*DA29</f>
        <v>18853.7482806218</v>
      </c>
      <c r="DG29" s="20" t="n">
        <f aca="false">IF(AND(CY29=1,Slot9_IsMfree=1),IF(DD29&gt;=Slot9_Cost-1,0,MAX(0,CW29-DD29)),CW29)</f>
        <v>0</v>
      </c>
      <c r="DH29" s="20" t="n">
        <f aca="false">CY29*(Slot9_Cost-DD29)</f>
        <v>0</v>
      </c>
      <c r="DI29" s="20" t="n">
        <f aca="false">IF(AND(Slot10_On=1,D29=Slot10_Age),1,0)</f>
        <v>0</v>
      </c>
      <c r="DJ29" s="20" t="n">
        <f aca="false">IF(AND(Slot10_On=1,Slot10_Age&gt;D29),1,0)</f>
        <v>0</v>
      </c>
      <c r="DK29" s="20" t="n">
        <f aca="false">RW28</f>
        <v>0</v>
      </c>
      <c r="DL29" s="20" t="n">
        <f aca="false">DI29*MIN(Slot10_Cost,DK29)</f>
        <v>0</v>
      </c>
      <c r="DM29" s="20" t="n">
        <f aca="false">DI29*Slot10_SpendLike*MIN(Slot10_Cost-DL29,DE29)</f>
        <v>0</v>
      </c>
      <c r="DN29" s="20" t="n">
        <f aca="false">DL29+DM29</f>
        <v>0</v>
      </c>
      <c r="DO29" s="20" t="n">
        <f aca="false">DE29-DM29+DI29*IF(Slot10_SpendLike=1,DK29-DL29,IF(Slot10_PotFree=1,DK29,0))</f>
        <v>53939.9931377906</v>
      </c>
      <c r="DP29" s="20" t="n">
        <f aca="false">DF29+DI29*Slot10_BufPot*DK29</f>
        <v>18853.7482806218</v>
      </c>
      <c r="DQ29" s="20" t="n">
        <f aca="false">IF(AND(DI29=1,Slot10_IsMfree=1),IF(DN29&gt;=Slot10_Cost-1,0,MAX(0,DG29-DN29)),DG29)</f>
        <v>0</v>
      </c>
      <c r="DR29" s="20" t="n">
        <f aca="false">DI29*(Slot10_Cost-DN29)</f>
        <v>0</v>
      </c>
      <c r="DS29" s="20" t="n">
        <f aca="false">IF(AND(Slot11_On=1,D29=Slot11_Age),1,0)</f>
        <v>0</v>
      </c>
      <c r="DT29" s="20" t="n">
        <f aca="false">IF(AND(Slot11_On=1,Slot11_Age&gt;D29),1,0)</f>
        <v>0</v>
      </c>
      <c r="DU29" s="20" t="n">
        <f aca="false">SA28</f>
        <v>0</v>
      </c>
      <c r="DV29" s="20" t="n">
        <f aca="false">DS29*MIN(Slot11_Cost,DU29)</f>
        <v>0</v>
      </c>
      <c r="DW29" s="20" t="n">
        <f aca="false">DS29*Slot11_SpendLike*MIN(Slot11_Cost-DV29,DO29)</f>
        <v>0</v>
      </c>
      <c r="DX29" s="20" t="n">
        <f aca="false">DV29+DW29</f>
        <v>0</v>
      </c>
      <c r="DY29" s="20" t="n">
        <f aca="false">DO29-DW29+DS29*IF(Slot11_SpendLike=1,DU29-DV29,IF(Slot11_PotFree=1,DU29,0))</f>
        <v>53939.9931377906</v>
      </c>
      <c r="DZ29" s="20" t="n">
        <f aca="false">DP29+DS29*Slot11_BufPot*DU29</f>
        <v>18853.7482806218</v>
      </c>
      <c r="EA29" s="20" t="n">
        <f aca="false">IF(AND(DS29=1,Slot11_IsMfree=1),IF(DX29&gt;=Slot11_Cost-1,0,MAX(0,DQ29-DX29)),DQ29)</f>
        <v>0</v>
      </c>
      <c r="EB29" s="20" t="n">
        <f aca="false">DS29*(Slot11_Cost-DX29)</f>
        <v>0</v>
      </c>
      <c r="EC29" s="20" t="n">
        <f aca="false">IF(AND(Slot12_On=1,D29=Slot12_Age),1,0)</f>
        <v>0</v>
      </c>
      <c r="ED29" s="20" t="n">
        <f aca="false">IF(AND(Slot12_On=1,Slot12_Age&gt;D29),1,0)</f>
        <v>0</v>
      </c>
      <c r="EE29" s="20" t="n">
        <f aca="false">SE28</f>
        <v>0</v>
      </c>
      <c r="EF29" s="20" t="n">
        <f aca="false">EC29*MIN(Slot12_Cost,EE29)</f>
        <v>0</v>
      </c>
      <c r="EG29" s="20" t="n">
        <f aca="false">EC29*Slot12_SpendLike*MIN(Slot12_Cost-EF29,DY29)</f>
        <v>0</v>
      </c>
      <c r="EH29" s="20" t="n">
        <f aca="false">EF29+EG29</f>
        <v>0</v>
      </c>
      <c r="EI29" s="20" t="n">
        <f aca="false">DY29-EG29+EC29*IF(Slot12_SpendLike=1,EE29-EF29,IF(Slot12_PotFree=1,EE29,0))</f>
        <v>53939.9931377906</v>
      </c>
      <c r="EJ29" s="20" t="n">
        <f aca="false">DZ29+EC29*Slot12_BufPot*EE29</f>
        <v>18853.7482806218</v>
      </c>
      <c r="EK29" s="20" t="n">
        <f aca="false">IF(AND(EC29=1,Slot12_IsMfree=1),IF(EH29&gt;=Slot12_Cost-1,0,MAX(0,EA29-EH29)),EA29)</f>
        <v>0</v>
      </c>
      <c r="EL29" s="20" t="n">
        <f aca="false">EC29*(Slot12_Cost-EH29)</f>
        <v>0</v>
      </c>
      <c r="EM29" s="20" t="n">
        <f aca="false">IF(AND(Slot13_On=1,D29=Slot13_Age),1,0)</f>
        <v>0</v>
      </c>
      <c r="EN29" s="20" t="n">
        <f aca="false">IF(AND(Slot13_On=1,Slot13_Age&gt;D29),1,0)</f>
        <v>0</v>
      </c>
      <c r="EO29" s="20" t="n">
        <f aca="false">SI28</f>
        <v>0</v>
      </c>
      <c r="EP29" s="20" t="n">
        <f aca="false">EM29*MIN(Slot13_Cost,EO29)</f>
        <v>0</v>
      </c>
      <c r="EQ29" s="20" t="n">
        <f aca="false">EM29*Slot13_SpendLike*MIN(Slot13_Cost-EP29,EI29)</f>
        <v>0</v>
      </c>
      <c r="ER29" s="20" t="n">
        <f aca="false">EP29+EQ29</f>
        <v>0</v>
      </c>
      <c r="ES29" s="20" t="n">
        <f aca="false">EI29-EQ29+EM29*IF(Slot13_SpendLike=1,EO29-EP29,IF(Slot13_PotFree=1,EO29,0))</f>
        <v>53939.9931377906</v>
      </c>
      <c r="ET29" s="20" t="n">
        <f aca="false">EJ29+EM29*Slot13_BufPot*EO29</f>
        <v>18853.7482806218</v>
      </c>
      <c r="EU29" s="20" t="n">
        <f aca="false">IF(AND(EM29=1,Slot13_IsMfree=1),IF(ER29&gt;=Slot13_Cost-1,0,MAX(0,EK29-ER29)),EK29)</f>
        <v>0</v>
      </c>
      <c r="EV29" s="20" t="n">
        <f aca="false">EM29*(Slot13_Cost-ER29)</f>
        <v>0</v>
      </c>
      <c r="EW29" s="20" t="n">
        <f aca="false">IF(AND(Slot14_On=1,D29=Slot14_Age),1,0)</f>
        <v>0</v>
      </c>
      <c r="EX29" s="20" t="n">
        <f aca="false">IF(AND(Slot14_On=1,Slot14_Age&gt;D29),1,0)</f>
        <v>0</v>
      </c>
      <c r="EY29" s="20" t="n">
        <f aca="false">SM28</f>
        <v>0</v>
      </c>
      <c r="EZ29" s="20" t="n">
        <f aca="false">EW29*MIN(Slot14_Cost,EY29)</f>
        <v>0</v>
      </c>
      <c r="FA29" s="20" t="n">
        <f aca="false">EW29*Slot14_SpendLike*MIN(Slot14_Cost-EZ29,ES29)</f>
        <v>0</v>
      </c>
      <c r="FB29" s="20" t="n">
        <f aca="false">EZ29+FA29</f>
        <v>0</v>
      </c>
      <c r="FC29" s="20" t="n">
        <f aca="false">ES29-FA29+EW29*IF(Slot14_SpendLike=1,EY29-EZ29,IF(Slot14_PotFree=1,EY29,0))</f>
        <v>53939.9931377906</v>
      </c>
      <c r="FD29" s="20" t="n">
        <f aca="false">ET29+EW29*Slot14_BufPot*EY29</f>
        <v>18853.7482806218</v>
      </c>
      <c r="FE29" s="20" t="n">
        <f aca="false">IF(AND(EW29=1,Slot14_IsMfree=1),IF(FB29&gt;=Slot14_Cost-1,0,MAX(0,EU29-FB29)),EU29)</f>
        <v>0</v>
      </c>
      <c r="FF29" s="20" t="n">
        <f aca="false">EW29*(Slot14_Cost-FB29)</f>
        <v>0</v>
      </c>
      <c r="FG29" s="20" t="n">
        <f aca="false">IF(AND(Slot15_On=1,D29=Slot15_Age),1,0)</f>
        <v>0</v>
      </c>
      <c r="FH29" s="20" t="n">
        <f aca="false">IF(AND(Slot15_On=1,Slot15_Age&gt;D29),1,0)</f>
        <v>0</v>
      </c>
      <c r="FI29" s="20" t="n">
        <f aca="false">SQ28</f>
        <v>0</v>
      </c>
      <c r="FJ29" s="20" t="n">
        <f aca="false">FG29*MIN(Slot15_Cost,FI29)</f>
        <v>0</v>
      </c>
      <c r="FK29" s="20" t="n">
        <f aca="false">FG29*Slot15_SpendLike*MIN(Slot15_Cost-FJ29,FC29)</f>
        <v>0</v>
      </c>
      <c r="FL29" s="20" t="n">
        <f aca="false">FJ29+FK29</f>
        <v>0</v>
      </c>
      <c r="FM29" s="20" t="n">
        <f aca="false">FC29-FK29+FG29*IF(Slot15_SpendLike=1,FI29-FJ29,IF(Slot15_PotFree=1,FI29,0))</f>
        <v>53939.9931377906</v>
      </c>
      <c r="FN29" s="20" t="n">
        <f aca="false">FD29+FG29*Slot15_BufPot*FI29</f>
        <v>18853.7482806218</v>
      </c>
      <c r="FO29" s="20" t="n">
        <f aca="false">IF(AND(FG29=1,Slot15_IsMfree=1),IF(FL29&gt;=Slot15_Cost-1,0,MAX(0,FE29-FL29)),FE29)</f>
        <v>0</v>
      </c>
      <c r="FP29" s="20" t="n">
        <f aca="false">FG29*(Slot15_Cost-FL29)</f>
        <v>0</v>
      </c>
      <c r="FQ29" s="20" t="n">
        <f aca="false">IF(AND(Slot16_On=1,D29=Slot16_Age),1,0)</f>
        <v>0</v>
      </c>
      <c r="FR29" s="20" t="n">
        <f aca="false">IF(AND(Slot16_On=1,Slot16_Age&gt;D29),1,0)</f>
        <v>0</v>
      </c>
      <c r="FS29" s="20" t="n">
        <f aca="false">SU28</f>
        <v>0</v>
      </c>
      <c r="FT29" s="20" t="n">
        <f aca="false">FQ29*MIN(Slot16_Cost,FS29)</f>
        <v>0</v>
      </c>
      <c r="FU29" s="20" t="n">
        <f aca="false">FQ29*Slot16_SpendLike*MIN(Slot16_Cost-FT29,FM29)</f>
        <v>0</v>
      </c>
      <c r="FV29" s="20" t="n">
        <f aca="false">FT29+FU29</f>
        <v>0</v>
      </c>
      <c r="FW29" s="20" t="n">
        <f aca="false">FM29-FU29+FQ29*IF(Slot16_SpendLike=1,FS29-FT29,IF(Slot16_PotFree=1,FS29,0))</f>
        <v>53939.9931377906</v>
      </c>
      <c r="FX29" s="20" t="n">
        <f aca="false">FN29+FQ29*Slot16_BufPot*FS29</f>
        <v>18853.7482806218</v>
      </c>
      <c r="FY29" s="20" t="n">
        <f aca="false">IF(AND(FQ29=1,Slot16_IsMfree=1),IF(FV29&gt;=Slot16_Cost-1,0,MAX(0,FO29-FV29)),FO29)</f>
        <v>0</v>
      </c>
      <c r="FZ29" s="20" t="n">
        <f aca="false">FQ29*(Slot16_Cost-FV29)</f>
        <v>0</v>
      </c>
      <c r="GA29" s="20" t="n">
        <f aca="false">IF(AND(Slot17_On=1,D29=Slot17_Age),1,0)</f>
        <v>0</v>
      </c>
      <c r="GB29" s="20" t="n">
        <f aca="false">IF(AND(Slot17_On=1,Slot17_Age&gt;D29),1,0)</f>
        <v>0</v>
      </c>
      <c r="GC29" s="20" t="n">
        <f aca="false">SY28</f>
        <v>0</v>
      </c>
      <c r="GD29" s="20" t="n">
        <f aca="false">GA29*MIN(Slot17_Cost,GC29)</f>
        <v>0</v>
      </c>
      <c r="GE29" s="20" t="n">
        <f aca="false">GA29*Slot17_SpendLike*MIN(Slot17_Cost-GD29,FW29)</f>
        <v>0</v>
      </c>
      <c r="GF29" s="20" t="n">
        <f aca="false">GD29+GE29</f>
        <v>0</v>
      </c>
      <c r="GG29" s="20" t="n">
        <f aca="false">FW29-GE29+GA29*IF(Slot17_SpendLike=1,GC29-GD29,IF(Slot17_PotFree=1,GC29,0))</f>
        <v>53939.9931377906</v>
      </c>
      <c r="GH29" s="20" t="n">
        <f aca="false">FX29+GA29*Slot17_BufPot*GC29</f>
        <v>18853.7482806218</v>
      </c>
      <c r="GI29" s="20" t="n">
        <f aca="false">IF(AND(GA29=1,Slot17_IsMfree=1),IF(GF29&gt;=Slot17_Cost-1,0,MAX(0,FY29-GF29)),FY29)</f>
        <v>0</v>
      </c>
      <c r="GJ29" s="20" t="n">
        <f aca="false">GA29*(Slot17_Cost-GF29)</f>
        <v>0</v>
      </c>
      <c r="GK29" s="20" t="n">
        <f aca="false">IF(AND(Slot18_On=1,D29=Slot18_Age),1,0)</f>
        <v>0</v>
      </c>
      <c r="GL29" s="20" t="n">
        <f aca="false">IF(AND(Slot18_On=1,Slot18_Age&gt;D29),1,0)</f>
        <v>0</v>
      </c>
      <c r="GM29" s="20" t="n">
        <f aca="false">TC28</f>
        <v>0</v>
      </c>
      <c r="GN29" s="20" t="n">
        <f aca="false">GK29*MIN(Slot18_Cost,GM29)</f>
        <v>0</v>
      </c>
      <c r="GO29" s="20" t="n">
        <f aca="false">GK29*Slot18_SpendLike*MIN(Slot18_Cost-GN29,GG29)</f>
        <v>0</v>
      </c>
      <c r="GP29" s="20" t="n">
        <f aca="false">GN29+GO29</f>
        <v>0</v>
      </c>
      <c r="GQ29" s="20" t="n">
        <f aca="false">GG29-GO29+GK29*IF(Slot18_SpendLike=1,GM29-GN29,IF(Slot18_PotFree=1,GM29,0))</f>
        <v>53939.9931377906</v>
      </c>
      <c r="GR29" s="20" t="n">
        <f aca="false">GH29+GK29*Slot18_BufPot*GM29</f>
        <v>18853.7482806218</v>
      </c>
      <c r="GS29" s="20" t="n">
        <f aca="false">IF(AND(GK29=1,Slot18_IsMfree=1),IF(GP29&gt;=Slot18_Cost-1,0,MAX(0,GI29-GP29)),GI29)</f>
        <v>0</v>
      </c>
      <c r="GT29" s="20" t="n">
        <f aca="false">GK29*(Slot18_Cost-GP29)</f>
        <v>0</v>
      </c>
      <c r="GU29" s="20" t="n">
        <f aca="false">IF(AND(Slot19_On=1,D29=Slot19_Age),1,0)</f>
        <v>0</v>
      </c>
      <c r="GV29" s="20" t="n">
        <f aca="false">IF(AND(Slot19_On=1,Slot19_Age&gt;D29),1,0)</f>
        <v>0</v>
      </c>
      <c r="GW29" s="20" t="n">
        <f aca="false">TG28</f>
        <v>0</v>
      </c>
      <c r="GX29" s="20" t="n">
        <f aca="false">GU29*MIN(Slot19_Cost,GW29)</f>
        <v>0</v>
      </c>
      <c r="GY29" s="20" t="n">
        <f aca="false">GU29*Slot19_SpendLike*MIN(Slot19_Cost-GX29,GQ29)</f>
        <v>0</v>
      </c>
      <c r="GZ29" s="20" t="n">
        <f aca="false">GX29+GY29</f>
        <v>0</v>
      </c>
      <c r="HA29" s="20" t="n">
        <f aca="false">GQ29-GY29+GU29*IF(Slot19_SpendLike=1,GW29-GX29,IF(Slot19_PotFree=1,GW29,0))</f>
        <v>53939.9931377906</v>
      </c>
      <c r="HB29" s="20" t="n">
        <f aca="false">GR29+GU29*Slot19_BufPot*GW29</f>
        <v>18853.7482806218</v>
      </c>
      <c r="HC29" s="20" t="n">
        <f aca="false">IF(AND(GU29=1,Slot19_IsMfree=1),IF(GZ29&gt;=Slot19_Cost-1,0,MAX(0,GS29-GZ29)),GS29)</f>
        <v>0</v>
      </c>
      <c r="HD29" s="20" t="n">
        <f aca="false">GU29*(Slot19_Cost-GZ29)</f>
        <v>0</v>
      </c>
      <c r="HE29" s="20" t="n">
        <f aca="false">IF(AND(Slot20_On=1,D29=Slot20_Age),1,0)</f>
        <v>0</v>
      </c>
      <c r="HF29" s="20" t="n">
        <f aca="false">IF(AND(Slot20_On=1,Slot20_Age&gt;D29),1,0)</f>
        <v>0</v>
      </c>
      <c r="HG29" s="20" t="n">
        <f aca="false">TK28</f>
        <v>0</v>
      </c>
      <c r="HH29" s="20" t="n">
        <f aca="false">HE29*MIN(Slot20_Cost,HG29)</f>
        <v>0</v>
      </c>
      <c r="HI29" s="20" t="n">
        <f aca="false">HE29*Slot20_SpendLike*MIN(Slot20_Cost-HH29,HA29)</f>
        <v>0</v>
      </c>
      <c r="HJ29" s="20" t="n">
        <f aca="false">HH29+HI29</f>
        <v>0</v>
      </c>
      <c r="HK29" s="20" t="n">
        <f aca="false">HA29-HI29+HE29*IF(Slot20_SpendLike=1,HG29-HH29,IF(Slot20_PotFree=1,HG29,0))</f>
        <v>53939.9931377906</v>
      </c>
      <c r="HL29" s="20" t="n">
        <f aca="false">HB29+HE29*Slot20_BufPot*HG29</f>
        <v>18853.7482806218</v>
      </c>
      <c r="HM29" s="20" t="n">
        <f aca="false">IF(AND(HE29=1,Slot20_IsMfree=1),IF(HJ29&gt;=Slot20_Cost-1,0,MAX(0,HC29-HJ29)),HC29)</f>
        <v>0</v>
      </c>
      <c r="HN29" s="20" t="n">
        <f aca="false">HE29*(Slot20_Cost-HJ29)</f>
        <v>0</v>
      </c>
      <c r="HO29" s="20" t="n">
        <f aca="false">V29*Slot1_SpendLike*AA29+AG29*Slot2_SpendLike*AL29+AQ29*Slot3_SpendLike*AV29+BA29*Slot4_SpendLike*BF29+BK29*Slot5_SpendLike*BP29+BU29*Slot6_SpendLike*BZ29+CE29*Slot7_SpendLike*CJ29+CO29*Slot8_SpendLike*CT29+CY29*Slot9_SpendLike*DD29+DI29*Slot10_SpendLike*DN29+DS29*Slot11_SpendLike*DX29+EC29*Slot12_SpendLike*EH29+EM29*Slot13_SpendLike*ER29+EW29*Slot14_SpendLike*FB29+FG29*Slot15_SpendLike*FL29+FQ29*Slot16_SpendLike*FV29+GA29*Slot17_SpendLike*GF29+GK29*Slot18_SpendLike*GP29+GU29*Slot19_SpendLike*GZ29+HE29*Slot20_SpendLike*HJ29</f>
        <v>0</v>
      </c>
      <c r="HP29" s="20" t="n">
        <f aca="false">AE29+AP29+AZ29+BJ29+BT29+CD29+CN29+CX29+DH29+DR29+EB29+EL29+EV29+FF29+FP29+FZ29+GJ29+GT29+HD29+HN29</f>
        <v>0</v>
      </c>
      <c r="HQ29" s="20" t="n">
        <f aca="false">V29*Slot1_Cost+AG29*Slot2_Cost+AQ29*Slot3_Cost+BA29*Slot4_Cost+BK29*Slot5_Cost+BU29*Slot6_Cost+CE29*Slot7_Cost+CO29*Slot8_Cost+CY29*Slot9_Cost+DI29*Slot10_Cost+DS29*Slot11_Cost+EC29*Slot12_Cost+EM29*Slot13_Cost+EW29*Slot14_Cost+FG29*Slot15_Cost+FQ29*Slot16_Cost+GA29*Slot17_Cost+GK29*Slot18_Cost+GU29*Slot19_Cost+HE29*Slot20_Cost</f>
        <v>0</v>
      </c>
      <c r="HR29" s="20" t="n">
        <f aca="false">HM29</f>
        <v>0</v>
      </c>
      <c r="HS29" s="20" t="n">
        <f aca="false">H29-I29-S29</f>
        <v>41099.5176414892</v>
      </c>
      <c r="HT29" s="20" t="n">
        <f aca="false">IF(B29=0,IF(AND(Has_q6=1,In_q6=4),PR_ShareVaries*(MAX(0,HS29)/12),MIN(IF(Has_q6=1,CHOOSE(In_q6+1,PR_SaveB1,PR_SaveB2,PR_SaveB3,PR_SaveB4,0),AS_NoAnswer),AS_SaveShare*(MAX(0,HS29)/12))),HT28)</f>
        <v>62.3316893520437</v>
      </c>
      <c r="HU29" s="20" t="n">
        <f aca="false">IF(HS29&gt;=0,1,0)</f>
        <v>1</v>
      </c>
      <c r="HV29" s="20" t="n">
        <f aca="false">MAX(0,HS29/12/F29)</f>
        <v>2259.70565173947</v>
      </c>
      <c r="HW29" s="20" t="n">
        <f aca="false">IF(AND(Has_q6=1,In_q6=4),PR_ShareVaries*(HV29),MIN(IF(Has_q6=1,CHOOSE(In_q6+1,PR_SaveB1,PR_SaveB2,PR_SaveB3,PR_SaveB4,0),AS_NoAnswer),AS_SaveShare*(HV29)))</f>
        <v>500</v>
      </c>
      <c r="HX29" s="20" t="n">
        <f aca="false">IF(Has_saveM=1,IF(In_saveUp="Yes",1,IF(In_saveUp="No",0,IF(In_saveM&gt;=HT29-0.5,1,0))),0)</f>
        <v>0</v>
      </c>
      <c r="HY29" s="20" t="n">
        <f aca="false">IF(Has_saveM=1,MIN(HV29,IF(HX29=1,MAX(In_saveM,HW29),MIN(In_saveM,HW29))),HW29)</f>
        <v>500</v>
      </c>
      <c r="HZ29" s="20" t="n">
        <f aca="false">IF(G29=1,HY29*12*F29,0)</f>
        <v>9093.99806338753</v>
      </c>
      <c r="IA29" s="20" t="n">
        <f aca="false">MAX(0,HZ29+IF(AND(WI_Retire=0,WI_M&lt;0,G29=1),WI_M*12*F29,0))</f>
        <v>9093.99806338753</v>
      </c>
      <c r="IB29" s="20" t="n">
        <f aca="false">Slot1_IsWG*W29+Slot2_IsWG*AH29+Slot3_IsWG*AR29+Slot4_IsWG*BB29+Slot5_IsWG*BL29+Slot6_IsWG*BV29+Slot7_IsWG*CF29+Slot8_IsWG*CP29+Slot9_IsWG*CZ29+Slot10_IsWG*DJ29+Slot11_IsWG*DT29+Slot12_IsWG*ED29+Slot13_IsWG*EN29+Slot14_IsWG*EX29+Slot15_IsWG*FH29+Slot16_IsWG*FR29+Slot17_IsWG*GB29+Slot18_IsWG*GL29+Slot19_IsWG*GV29+Slot20_IsWG*HF29</f>
        <v>0</v>
      </c>
      <c r="IC29" s="20" t="n">
        <f aca="false">IF(AND(WI_Retire=0,WI_M&gt;0,G29=1,IB29&gt;=1),WI_M*12*F29,0)</f>
        <v>0</v>
      </c>
      <c r="ID29" s="20" t="n">
        <f aca="false">IF(HU29=1,MIN(IA29,HS29),0)</f>
        <v>9093.99806338753</v>
      </c>
      <c r="IE29" s="20" t="n">
        <f aca="false">IF(HU29=1,MIN(IC29,HS29-ID29),0)</f>
        <v>0</v>
      </c>
      <c r="IF29" s="20" t="n">
        <f aca="false">IF(W29=1,IF(ABS((1+AS_Wage)/(1+Slot1_Rate)-1)&lt;0.000000000001,(Slot1_Age-D29)*(1+Slot1_Rate)^(Slot1_Age-D29),(1+Slot1_Rate)^(Slot1_Age-D29)*(1-((1+AS_Wage)/(1+Slot1_Rate))^(Slot1_Age-D29))/(1-(1+AS_Wage)/(1+Slot1_Rate))),1)</f>
        <v>1</v>
      </c>
      <c r="IG29" s="20" t="n">
        <f aca="false">IF(AND(HU29=1,IE29&gt;0,Slot1_IsWG=1,W29=1),MAX(0,(Slot1_Cost-X29*(1+Slot1_Rate)^(Slot1_Age-D29))/IF29),0)</f>
        <v>0</v>
      </c>
      <c r="IH29" s="20" t="n">
        <f aca="false">IF(AND(HU29=1,IE29&gt;0,Slot1_IsWG=1,W29=1),MIN(IE29,IG29),0)</f>
        <v>0</v>
      </c>
      <c r="II29" s="20" t="n">
        <f aca="false">X29+IH29</f>
        <v>0</v>
      </c>
      <c r="IJ29" s="20" t="n">
        <f aca="false">IF(W29=1,MAX(0,(Slot1_Cost-II29*(1+Slot1_Rate)^(Slot1_Age-D29))/IF29),0)</f>
        <v>0</v>
      </c>
      <c r="IK29" s="20" t="n">
        <f aca="false">IF(W29=1,MAX(0,(Slot1_Cost-X29*(1+Slot1_Rate)^(Slot1_Age-D29))/IF29),0)</f>
        <v>0</v>
      </c>
      <c r="IL29" s="20" t="n">
        <f aca="false">IF(AND(HU29=1,W29=1),MIN(ID29,IJ29),0)</f>
        <v>0</v>
      </c>
      <c r="IM29" s="20" t="n">
        <f aca="false">ID29-IL29</f>
        <v>9093.99806338753</v>
      </c>
      <c r="IN29" s="20" t="n">
        <f aca="false">IF(AH29=1,IF(ABS((1+AS_Wage)/(1+Slot2_Rate)-1)&lt;0.000000000001,(Slot2_Age-D29)*(1+Slot2_Rate)^(Slot2_Age-D29),(1+Slot2_Rate)^(Slot2_Age-D29)*(1-((1+AS_Wage)/(1+Slot2_Rate))^(Slot2_Age-D29))/(1-(1+AS_Wage)/(1+Slot2_Rate))),1)</f>
        <v>1</v>
      </c>
      <c r="IO29" s="20" t="n">
        <f aca="false">IF(AND(HU29=1,IE29&gt;0,Slot2_IsWG=1,AH29=1),MAX(0,(Slot2_Cost-AI29*(1+Slot2_Rate)^(Slot2_Age-D29))/IN29),0)</f>
        <v>0</v>
      </c>
      <c r="IP29" s="20" t="n">
        <f aca="false">IF(AND(HU29=1,IE29&gt;0,Slot2_IsWG=1,AH29=1),MIN(IE29,IO29),0)</f>
        <v>0</v>
      </c>
      <c r="IQ29" s="20" t="n">
        <f aca="false">AI29+IP29</f>
        <v>0</v>
      </c>
      <c r="IR29" s="20" t="n">
        <f aca="false">IF(AH29=1,MAX(0,(Slot2_Cost-IQ29*(1+Slot2_Rate)^(Slot2_Age-D29))/IN29),0)</f>
        <v>0</v>
      </c>
      <c r="IS29" s="20" t="n">
        <f aca="false">IF(AH29=1,MAX(0,(Slot2_Cost-AI29*(1+Slot2_Rate)^(Slot2_Age-D29))/IN29),0)</f>
        <v>0</v>
      </c>
      <c r="IT29" s="20" t="n">
        <f aca="false">IF(AND(HU29=1,AH29=1),MIN(IM29,IR29),0)</f>
        <v>0</v>
      </c>
      <c r="IU29" s="20" t="n">
        <f aca="false">IM29-IT29</f>
        <v>9093.99806338753</v>
      </c>
      <c r="IV29" s="20" t="n">
        <f aca="false">IF(AR29=1,IF(ABS((1+AS_Wage)/(1+Slot3_Rate)-1)&lt;0.000000000001,(Slot3_Age-D29)*(1+Slot3_Rate)^(Slot3_Age-D29),(1+Slot3_Rate)^(Slot3_Age-D29)*(1-((1+AS_Wage)/(1+Slot3_Rate))^(Slot3_Age-D29))/(1-(1+AS_Wage)/(1+Slot3_Rate))),1)</f>
        <v>1</v>
      </c>
      <c r="IW29" s="20" t="n">
        <f aca="false">IF(AND(HU29=1,IE29&gt;0,Slot3_IsWG=1,AR29=1),MAX(0,(Slot3_Cost-AS29*(1+Slot3_Rate)^(Slot3_Age-D29))/IV29),0)</f>
        <v>0</v>
      </c>
      <c r="IX29" s="20" t="n">
        <f aca="false">IF(AND(HU29=1,IE29&gt;0,Slot3_IsWG=1,AR29=1),MIN(IE29,IW29),0)</f>
        <v>0</v>
      </c>
      <c r="IY29" s="20" t="n">
        <f aca="false">AS29+IX29</f>
        <v>0</v>
      </c>
      <c r="IZ29" s="20" t="n">
        <f aca="false">IF(AR29=1,MAX(0,(Slot3_Cost-IY29*(1+Slot3_Rate)^(Slot3_Age-D29))/IV29),0)</f>
        <v>0</v>
      </c>
      <c r="JA29" s="20" t="n">
        <f aca="false">IF(AR29=1,MAX(0,(Slot3_Cost-AS29*(1+Slot3_Rate)^(Slot3_Age-D29))/IV29),0)</f>
        <v>0</v>
      </c>
      <c r="JB29" s="20" t="n">
        <f aca="false">IF(AND(HU29=1,AR29=1),MIN(IU29,IZ29),0)</f>
        <v>0</v>
      </c>
      <c r="JC29" s="20" t="n">
        <f aca="false">IU29-JB29</f>
        <v>9093.99806338753</v>
      </c>
      <c r="JD29" s="20" t="n">
        <f aca="false">IF(BB29=1,IF(ABS((1+AS_Wage)/(1+Slot4_Rate)-1)&lt;0.000000000001,(Slot4_Age-D29)*(1+Slot4_Rate)^(Slot4_Age-D29),(1+Slot4_Rate)^(Slot4_Age-D29)*(1-((1+AS_Wage)/(1+Slot4_Rate))^(Slot4_Age-D29))/(1-(1+AS_Wage)/(1+Slot4_Rate))),1)</f>
        <v>1</v>
      </c>
      <c r="JE29" s="20" t="n">
        <f aca="false">IF(AND(HU29=1,IE29&gt;0,Slot4_IsWG=1,BB29=1),MAX(0,(Slot4_Cost-BC29*(1+Slot4_Rate)^(Slot4_Age-D29))/JD29),0)</f>
        <v>0</v>
      </c>
      <c r="JF29" s="20" t="n">
        <f aca="false">IF(AND(HU29=1,IE29&gt;0,Slot4_IsWG=1,BB29=1),MIN(IE29,JE29),0)</f>
        <v>0</v>
      </c>
      <c r="JG29" s="20" t="n">
        <f aca="false">BC29+JF29</f>
        <v>0</v>
      </c>
      <c r="JH29" s="20" t="n">
        <f aca="false">IF(BB29=1,MAX(0,(Slot4_Cost-JG29*(1+Slot4_Rate)^(Slot4_Age-D29))/JD29),0)</f>
        <v>0</v>
      </c>
      <c r="JI29" s="20" t="n">
        <f aca="false">IF(BB29=1,MAX(0,(Slot4_Cost-BC29*(1+Slot4_Rate)^(Slot4_Age-D29))/JD29),0)</f>
        <v>0</v>
      </c>
      <c r="JJ29" s="20" t="n">
        <f aca="false">IF(AND(HU29=1,BB29=1),MIN(JC29,JH29),0)</f>
        <v>0</v>
      </c>
      <c r="JK29" s="20" t="n">
        <f aca="false">JC29-JJ29</f>
        <v>9093.99806338753</v>
      </c>
      <c r="JL29" s="20" t="n">
        <f aca="false">IF(BL29=1,IF(ABS((1+AS_Wage)/(1+Slot5_Rate)-1)&lt;0.000000000001,(Slot5_Age-D29)*(1+Slot5_Rate)^(Slot5_Age-D29),(1+Slot5_Rate)^(Slot5_Age-D29)*(1-((1+AS_Wage)/(1+Slot5_Rate))^(Slot5_Age-D29))/(1-(1+AS_Wage)/(1+Slot5_Rate))),1)</f>
        <v>1</v>
      </c>
      <c r="JM29" s="20" t="n">
        <f aca="false">IF(AND(HU29=1,IE29&gt;0,Slot5_IsWG=1,BL29=1),MAX(0,(Slot5_Cost-BM29*(1+Slot5_Rate)^(Slot5_Age-D29))/JL29),0)</f>
        <v>0</v>
      </c>
      <c r="JN29" s="20" t="n">
        <f aca="false">IF(AND(HU29=1,IE29&gt;0,Slot5_IsWG=1,BL29=1),MIN(IE29,JM29),0)</f>
        <v>0</v>
      </c>
      <c r="JO29" s="20" t="n">
        <f aca="false">BM29+JN29</f>
        <v>0</v>
      </c>
      <c r="JP29" s="20" t="n">
        <f aca="false">IF(BL29=1,MAX(0,(Slot5_Cost-JO29*(1+Slot5_Rate)^(Slot5_Age-D29))/JL29),0)</f>
        <v>0</v>
      </c>
      <c r="JQ29" s="20" t="n">
        <f aca="false">IF(BL29=1,MAX(0,(Slot5_Cost-BM29*(1+Slot5_Rate)^(Slot5_Age-D29))/JL29),0)</f>
        <v>0</v>
      </c>
      <c r="JR29" s="20" t="n">
        <f aca="false">IF(AND(HU29=1,BL29=1),MIN(JK29,JP29),0)</f>
        <v>0</v>
      </c>
      <c r="JS29" s="20" t="n">
        <f aca="false">JK29-JR29</f>
        <v>9093.99806338753</v>
      </c>
      <c r="JT29" s="20" t="n">
        <f aca="false">IF(BV29=1,IF(ABS((1+AS_Wage)/(1+Slot6_Rate)-1)&lt;0.000000000001,(Slot6_Age-D29)*(1+Slot6_Rate)^(Slot6_Age-D29),(1+Slot6_Rate)^(Slot6_Age-D29)*(1-((1+AS_Wage)/(1+Slot6_Rate))^(Slot6_Age-D29))/(1-(1+AS_Wage)/(1+Slot6_Rate))),1)</f>
        <v>1</v>
      </c>
      <c r="JU29" s="20" t="n">
        <f aca="false">IF(AND(HU29=1,IE29&gt;0,Slot6_IsWG=1,BV29=1),MAX(0,(Slot6_Cost-BW29*(1+Slot6_Rate)^(Slot6_Age-D29))/JT29),0)</f>
        <v>0</v>
      </c>
      <c r="JV29" s="20" t="n">
        <f aca="false">IF(AND(HU29=1,IE29&gt;0,Slot6_IsWG=1,BV29=1),MIN(IE29,JU29),0)</f>
        <v>0</v>
      </c>
      <c r="JW29" s="20" t="n">
        <f aca="false">BW29+JV29</f>
        <v>0</v>
      </c>
      <c r="JX29" s="20" t="n">
        <f aca="false">IF(BV29=1,MAX(0,(Slot6_Cost-JW29*(1+Slot6_Rate)^(Slot6_Age-D29))/JT29),0)</f>
        <v>0</v>
      </c>
      <c r="JY29" s="20" t="n">
        <f aca="false">IF(BV29=1,MAX(0,(Slot6_Cost-BW29*(1+Slot6_Rate)^(Slot6_Age-D29))/JT29),0)</f>
        <v>0</v>
      </c>
      <c r="JZ29" s="20" t="n">
        <f aca="false">IF(AND(HU29=1,BV29=1),MIN(JS29,JX29),0)</f>
        <v>0</v>
      </c>
      <c r="KA29" s="20" t="n">
        <f aca="false">JS29-JZ29</f>
        <v>9093.99806338753</v>
      </c>
      <c r="KB29" s="20" t="n">
        <f aca="false">IF(CF29=1,IF(ABS((1+AS_Wage)/(1+Slot7_Rate)-1)&lt;0.000000000001,(Slot7_Age-D29)*(1+Slot7_Rate)^(Slot7_Age-D29),(1+Slot7_Rate)^(Slot7_Age-D29)*(1-((1+AS_Wage)/(1+Slot7_Rate))^(Slot7_Age-D29))/(1-(1+AS_Wage)/(1+Slot7_Rate))),1)</f>
        <v>1</v>
      </c>
      <c r="KC29" s="20" t="n">
        <f aca="false">IF(AND(HU29=1,IE29&gt;0,Slot7_IsWG=1,CF29=1),MAX(0,(Slot7_Cost-CG29*(1+Slot7_Rate)^(Slot7_Age-D29))/KB29),0)</f>
        <v>0</v>
      </c>
      <c r="KD29" s="20" t="n">
        <f aca="false">IF(AND(HU29=1,IE29&gt;0,Slot7_IsWG=1,CF29=1),MIN(IE29,KC29),0)</f>
        <v>0</v>
      </c>
      <c r="KE29" s="20" t="n">
        <f aca="false">CG29+KD29</f>
        <v>0</v>
      </c>
      <c r="KF29" s="20" t="n">
        <f aca="false">IF(CF29=1,MAX(0,(Slot7_Cost-KE29*(1+Slot7_Rate)^(Slot7_Age-D29))/KB29),0)</f>
        <v>0</v>
      </c>
      <c r="KG29" s="20" t="n">
        <f aca="false">IF(CF29=1,MAX(0,(Slot7_Cost-CG29*(1+Slot7_Rate)^(Slot7_Age-D29))/KB29),0)</f>
        <v>0</v>
      </c>
      <c r="KH29" s="20" t="n">
        <f aca="false">IF(AND(HU29=1,CF29=1),MIN(KA29,KF29),0)</f>
        <v>0</v>
      </c>
      <c r="KI29" s="20" t="n">
        <f aca="false">KA29-KH29</f>
        <v>9093.99806338753</v>
      </c>
      <c r="KJ29" s="20" t="n">
        <f aca="false">IF(CP29=1,IF(ABS((1+AS_Wage)/(1+Slot8_Rate)-1)&lt;0.000000000001,(Slot8_Age-D29)*(1+Slot8_Rate)^(Slot8_Age-D29),(1+Slot8_Rate)^(Slot8_Age-D29)*(1-((1+AS_Wage)/(1+Slot8_Rate))^(Slot8_Age-D29))/(1-(1+AS_Wage)/(1+Slot8_Rate))),1)</f>
        <v>1</v>
      </c>
      <c r="KK29" s="20" t="n">
        <f aca="false">IF(AND(HU29=1,IE29&gt;0,Slot8_IsWG=1,CP29=1),MAX(0,(Slot8_Cost-CQ29*(1+Slot8_Rate)^(Slot8_Age-D29))/KJ29),0)</f>
        <v>0</v>
      </c>
      <c r="KL29" s="20" t="n">
        <f aca="false">IF(AND(HU29=1,IE29&gt;0,Slot8_IsWG=1,CP29=1),MIN(IE29,KK29),0)</f>
        <v>0</v>
      </c>
      <c r="KM29" s="20" t="n">
        <f aca="false">CQ29+KL29</f>
        <v>0</v>
      </c>
      <c r="KN29" s="20" t="n">
        <f aca="false">IF(CP29=1,MAX(0,(Slot8_Cost-KM29*(1+Slot8_Rate)^(Slot8_Age-D29))/KJ29),0)</f>
        <v>0</v>
      </c>
      <c r="KO29" s="20" t="n">
        <f aca="false">IF(CP29=1,MAX(0,(Slot8_Cost-CQ29*(1+Slot8_Rate)^(Slot8_Age-D29))/KJ29),0)</f>
        <v>0</v>
      </c>
      <c r="KP29" s="20" t="n">
        <f aca="false">IF(AND(HU29=1,CP29=1),MIN(KI29,KN29),0)</f>
        <v>0</v>
      </c>
      <c r="KQ29" s="20" t="n">
        <f aca="false">KI29-KP29</f>
        <v>9093.99806338753</v>
      </c>
      <c r="KR29" s="20" t="n">
        <f aca="false">IF(CZ29=1,IF(ABS((1+AS_Wage)/(1+Slot9_Rate)-1)&lt;0.000000000001,(Slot9_Age-D29)*(1+Slot9_Rate)^(Slot9_Age-D29),(1+Slot9_Rate)^(Slot9_Age-D29)*(1-((1+AS_Wage)/(1+Slot9_Rate))^(Slot9_Age-D29))/(1-(1+AS_Wage)/(1+Slot9_Rate))),1)</f>
        <v>1</v>
      </c>
      <c r="KS29" s="20" t="n">
        <f aca="false">IF(AND(HU29=1,IE29&gt;0,Slot9_IsWG=1,CZ29=1),MAX(0,(Slot9_Cost-DA29*(1+Slot9_Rate)^(Slot9_Age-D29))/KR29),0)</f>
        <v>0</v>
      </c>
      <c r="KT29" s="20" t="n">
        <f aca="false">IF(AND(HU29=1,IE29&gt;0,Slot9_IsWG=1,CZ29=1),MIN(IE29,KS29),0)</f>
        <v>0</v>
      </c>
      <c r="KU29" s="20" t="n">
        <f aca="false">DA29+KT29</f>
        <v>0</v>
      </c>
      <c r="KV29" s="20" t="n">
        <f aca="false">IF(CZ29=1,MAX(0,(Slot9_Cost-KU29*(1+Slot9_Rate)^(Slot9_Age-D29))/KR29),0)</f>
        <v>0</v>
      </c>
      <c r="KW29" s="20" t="n">
        <f aca="false">IF(CZ29=1,MAX(0,(Slot9_Cost-DA29*(1+Slot9_Rate)^(Slot9_Age-D29))/KR29),0)</f>
        <v>0</v>
      </c>
      <c r="KX29" s="20" t="n">
        <f aca="false">IF(AND(HU29=1,CZ29=1),MIN(KQ29,KV29),0)</f>
        <v>0</v>
      </c>
      <c r="KY29" s="20" t="n">
        <f aca="false">KQ29-KX29</f>
        <v>9093.99806338753</v>
      </c>
      <c r="KZ29" s="20" t="n">
        <f aca="false">IF(DJ29=1,IF(ABS((1+AS_Wage)/(1+Slot10_Rate)-1)&lt;0.000000000001,(Slot10_Age-D29)*(1+Slot10_Rate)^(Slot10_Age-D29),(1+Slot10_Rate)^(Slot10_Age-D29)*(1-((1+AS_Wage)/(1+Slot10_Rate))^(Slot10_Age-D29))/(1-(1+AS_Wage)/(1+Slot10_Rate))),1)</f>
        <v>1</v>
      </c>
      <c r="LA29" s="20" t="n">
        <f aca="false">IF(AND(HU29=1,IE29&gt;0,Slot10_IsWG=1,DJ29=1),MAX(0,(Slot10_Cost-DK29*(1+Slot10_Rate)^(Slot10_Age-D29))/KZ29),0)</f>
        <v>0</v>
      </c>
      <c r="LB29" s="20" t="n">
        <f aca="false">IF(AND(HU29=1,IE29&gt;0,Slot10_IsWG=1,DJ29=1),MIN(IE29,LA29),0)</f>
        <v>0</v>
      </c>
      <c r="LC29" s="20" t="n">
        <f aca="false">DK29+LB29</f>
        <v>0</v>
      </c>
      <c r="LD29" s="20" t="n">
        <f aca="false">IF(DJ29=1,MAX(0,(Slot10_Cost-LC29*(1+Slot10_Rate)^(Slot10_Age-D29))/KZ29),0)</f>
        <v>0</v>
      </c>
      <c r="LE29" s="20" t="n">
        <f aca="false">IF(DJ29=1,MAX(0,(Slot10_Cost-DK29*(1+Slot10_Rate)^(Slot10_Age-D29))/KZ29),0)</f>
        <v>0</v>
      </c>
      <c r="LF29" s="20" t="n">
        <f aca="false">IF(AND(HU29=1,DJ29=1),MIN(KY29,LD29),0)</f>
        <v>0</v>
      </c>
      <c r="LG29" s="20" t="n">
        <f aca="false">KY29-LF29</f>
        <v>9093.99806338753</v>
      </c>
      <c r="LH29" s="20" t="n">
        <f aca="false">IF(DT29=1,IF(ABS((1+AS_Wage)/(1+Slot11_Rate)-1)&lt;0.000000000001,(Slot11_Age-D29)*(1+Slot11_Rate)^(Slot11_Age-D29),(1+Slot11_Rate)^(Slot11_Age-D29)*(1-((1+AS_Wage)/(1+Slot11_Rate))^(Slot11_Age-D29))/(1-(1+AS_Wage)/(1+Slot11_Rate))),1)</f>
        <v>1</v>
      </c>
      <c r="LI29" s="20" t="n">
        <f aca="false">IF(AND(HU29=1,IE29&gt;0,Slot11_IsWG=1,DT29=1),MAX(0,(Slot11_Cost-DU29*(1+Slot11_Rate)^(Slot11_Age-D29))/LH29),0)</f>
        <v>0</v>
      </c>
      <c r="LJ29" s="20" t="n">
        <f aca="false">IF(AND(HU29=1,IE29&gt;0,Slot11_IsWG=1,DT29=1),MIN(IE29,LI29),0)</f>
        <v>0</v>
      </c>
      <c r="LK29" s="20" t="n">
        <f aca="false">DU29+LJ29</f>
        <v>0</v>
      </c>
      <c r="LL29" s="20" t="n">
        <f aca="false">IF(DT29=1,MAX(0,(Slot11_Cost-LK29*(1+Slot11_Rate)^(Slot11_Age-D29))/LH29),0)</f>
        <v>0</v>
      </c>
      <c r="LM29" s="20" t="n">
        <f aca="false">IF(DT29=1,MAX(0,(Slot11_Cost-DU29*(1+Slot11_Rate)^(Slot11_Age-D29))/LH29),0)</f>
        <v>0</v>
      </c>
      <c r="LN29" s="20" t="n">
        <f aca="false">IF(AND(HU29=1,DT29=1),MIN(LG29,LL29),0)</f>
        <v>0</v>
      </c>
      <c r="LO29" s="20" t="n">
        <f aca="false">LG29-LN29</f>
        <v>9093.99806338753</v>
      </c>
      <c r="LP29" s="20" t="n">
        <f aca="false">IF(ED29=1,IF(ABS((1+AS_Wage)/(1+Slot12_Rate)-1)&lt;0.000000000001,(Slot12_Age-D29)*(1+Slot12_Rate)^(Slot12_Age-D29),(1+Slot12_Rate)^(Slot12_Age-D29)*(1-((1+AS_Wage)/(1+Slot12_Rate))^(Slot12_Age-D29))/(1-(1+AS_Wage)/(1+Slot12_Rate))),1)</f>
        <v>1</v>
      </c>
      <c r="LQ29" s="20" t="n">
        <f aca="false">IF(AND(HU29=1,IE29&gt;0,Slot12_IsWG=1,ED29=1),MAX(0,(Slot12_Cost-EE29*(1+Slot12_Rate)^(Slot12_Age-D29))/LP29),0)</f>
        <v>0</v>
      </c>
      <c r="LR29" s="20" t="n">
        <f aca="false">IF(AND(HU29=1,IE29&gt;0,Slot12_IsWG=1,ED29=1),MIN(IE29,LQ29),0)</f>
        <v>0</v>
      </c>
      <c r="LS29" s="20" t="n">
        <f aca="false">EE29+LR29</f>
        <v>0</v>
      </c>
      <c r="LT29" s="20" t="n">
        <f aca="false">IF(ED29=1,MAX(0,(Slot12_Cost-LS29*(1+Slot12_Rate)^(Slot12_Age-D29))/LP29),0)</f>
        <v>0</v>
      </c>
      <c r="LU29" s="20" t="n">
        <f aca="false">IF(ED29=1,MAX(0,(Slot12_Cost-EE29*(1+Slot12_Rate)^(Slot12_Age-D29))/LP29),0)</f>
        <v>0</v>
      </c>
      <c r="LV29" s="20" t="n">
        <f aca="false">IF(AND(HU29=1,ED29=1),MIN(LO29,LT29),0)</f>
        <v>0</v>
      </c>
      <c r="LW29" s="20" t="n">
        <f aca="false">LO29-LV29</f>
        <v>9093.99806338753</v>
      </c>
      <c r="LX29" s="20" t="n">
        <f aca="false">IF(EN29=1,IF(ABS((1+AS_Wage)/(1+Slot13_Rate)-1)&lt;0.000000000001,(Slot13_Age-D29)*(1+Slot13_Rate)^(Slot13_Age-D29),(1+Slot13_Rate)^(Slot13_Age-D29)*(1-((1+AS_Wage)/(1+Slot13_Rate))^(Slot13_Age-D29))/(1-(1+AS_Wage)/(1+Slot13_Rate))),1)</f>
        <v>1</v>
      </c>
      <c r="LY29" s="20" t="n">
        <f aca="false">IF(AND(HU29=1,IE29&gt;0,Slot13_IsWG=1,EN29=1),MAX(0,(Slot13_Cost-EO29*(1+Slot13_Rate)^(Slot13_Age-D29))/LX29),0)</f>
        <v>0</v>
      </c>
      <c r="LZ29" s="20" t="n">
        <f aca="false">IF(AND(HU29=1,IE29&gt;0,Slot13_IsWG=1,EN29=1),MIN(IE29,LY29),0)</f>
        <v>0</v>
      </c>
      <c r="MA29" s="20" t="n">
        <f aca="false">EO29+LZ29</f>
        <v>0</v>
      </c>
      <c r="MB29" s="20" t="n">
        <f aca="false">IF(EN29=1,MAX(0,(Slot13_Cost-MA29*(1+Slot13_Rate)^(Slot13_Age-D29))/LX29),0)</f>
        <v>0</v>
      </c>
      <c r="MC29" s="20" t="n">
        <f aca="false">IF(EN29=1,MAX(0,(Slot13_Cost-EO29*(1+Slot13_Rate)^(Slot13_Age-D29))/LX29),0)</f>
        <v>0</v>
      </c>
      <c r="MD29" s="20" t="n">
        <f aca="false">IF(AND(HU29=1,EN29=1),MIN(LW29,MB29),0)</f>
        <v>0</v>
      </c>
      <c r="ME29" s="20" t="n">
        <f aca="false">LW29-MD29</f>
        <v>9093.99806338753</v>
      </c>
      <c r="MF29" s="20" t="n">
        <f aca="false">IF(EX29=1,IF(ABS((1+AS_Wage)/(1+Slot14_Rate)-1)&lt;0.000000000001,(Slot14_Age-D29)*(1+Slot14_Rate)^(Slot14_Age-D29),(1+Slot14_Rate)^(Slot14_Age-D29)*(1-((1+AS_Wage)/(1+Slot14_Rate))^(Slot14_Age-D29))/(1-(1+AS_Wage)/(1+Slot14_Rate))),1)</f>
        <v>1</v>
      </c>
      <c r="MG29" s="20" t="n">
        <f aca="false">IF(AND(HU29=1,IE29&gt;0,Slot14_IsWG=1,EX29=1),MAX(0,(Slot14_Cost-EY29*(1+Slot14_Rate)^(Slot14_Age-D29))/MF29),0)</f>
        <v>0</v>
      </c>
      <c r="MH29" s="20" t="n">
        <f aca="false">IF(AND(HU29=1,IE29&gt;0,Slot14_IsWG=1,EX29=1),MIN(IE29,MG29),0)</f>
        <v>0</v>
      </c>
      <c r="MI29" s="20" t="n">
        <f aca="false">EY29+MH29</f>
        <v>0</v>
      </c>
      <c r="MJ29" s="20" t="n">
        <f aca="false">IF(EX29=1,MAX(0,(Slot14_Cost-MI29*(1+Slot14_Rate)^(Slot14_Age-D29))/MF29),0)</f>
        <v>0</v>
      </c>
      <c r="MK29" s="20" t="n">
        <f aca="false">IF(EX29=1,MAX(0,(Slot14_Cost-EY29*(1+Slot14_Rate)^(Slot14_Age-D29))/MF29),0)</f>
        <v>0</v>
      </c>
      <c r="ML29" s="20" t="n">
        <f aca="false">IF(AND(HU29=1,EX29=1),MIN(ME29,MJ29),0)</f>
        <v>0</v>
      </c>
      <c r="MM29" s="20" t="n">
        <f aca="false">ME29-ML29</f>
        <v>9093.99806338753</v>
      </c>
      <c r="MN29" s="20" t="n">
        <f aca="false">IF(FH29=1,IF(ABS((1+AS_Wage)/(1+Slot15_Rate)-1)&lt;0.000000000001,(Slot15_Age-D29)*(1+Slot15_Rate)^(Slot15_Age-D29),(1+Slot15_Rate)^(Slot15_Age-D29)*(1-((1+AS_Wage)/(1+Slot15_Rate))^(Slot15_Age-D29))/(1-(1+AS_Wage)/(1+Slot15_Rate))),1)</f>
        <v>1</v>
      </c>
      <c r="MO29" s="20" t="n">
        <f aca="false">IF(AND(HU29=1,IE29&gt;0,Slot15_IsWG=1,FH29=1),MAX(0,(Slot15_Cost-FI29*(1+Slot15_Rate)^(Slot15_Age-D29))/MN29),0)</f>
        <v>0</v>
      </c>
      <c r="MP29" s="20" t="n">
        <f aca="false">IF(AND(HU29=1,IE29&gt;0,Slot15_IsWG=1,FH29=1),MIN(IE29,MO29),0)</f>
        <v>0</v>
      </c>
      <c r="MQ29" s="20" t="n">
        <f aca="false">FI29+MP29</f>
        <v>0</v>
      </c>
      <c r="MR29" s="20" t="n">
        <f aca="false">IF(FH29=1,MAX(0,(Slot15_Cost-MQ29*(1+Slot15_Rate)^(Slot15_Age-D29))/MN29),0)</f>
        <v>0</v>
      </c>
      <c r="MS29" s="20" t="n">
        <f aca="false">IF(FH29=1,MAX(0,(Slot15_Cost-FI29*(1+Slot15_Rate)^(Slot15_Age-D29))/MN29),0)</f>
        <v>0</v>
      </c>
      <c r="MT29" s="20" t="n">
        <f aca="false">IF(AND(HU29=1,FH29=1),MIN(MM29,MR29),0)</f>
        <v>0</v>
      </c>
      <c r="MU29" s="20" t="n">
        <f aca="false">MM29-MT29</f>
        <v>9093.99806338753</v>
      </c>
      <c r="MV29" s="20" t="n">
        <f aca="false">IF(FR29=1,IF(ABS((1+AS_Wage)/(1+Slot16_Rate)-1)&lt;0.000000000001,(Slot16_Age-D29)*(1+Slot16_Rate)^(Slot16_Age-D29),(1+Slot16_Rate)^(Slot16_Age-D29)*(1-((1+AS_Wage)/(1+Slot16_Rate))^(Slot16_Age-D29))/(1-(1+AS_Wage)/(1+Slot16_Rate))),1)</f>
        <v>1</v>
      </c>
      <c r="MW29" s="20" t="n">
        <f aca="false">IF(AND(HU29=1,IE29&gt;0,Slot16_IsWG=1,FR29=1),MAX(0,(Slot16_Cost-FS29*(1+Slot16_Rate)^(Slot16_Age-D29))/MV29),0)</f>
        <v>0</v>
      </c>
      <c r="MX29" s="20" t="n">
        <f aca="false">IF(AND(HU29=1,IE29&gt;0,Slot16_IsWG=1,FR29=1),MIN(IE29,MW29),0)</f>
        <v>0</v>
      </c>
      <c r="MY29" s="20" t="n">
        <f aca="false">FS29+MX29</f>
        <v>0</v>
      </c>
      <c r="MZ29" s="20" t="n">
        <f aca="false">IF(FR29=1,MAX(0,(Slot16_Cost-MY29*(1+Slot16_Rate)^(Slot16_Age-D29))/MV29),0)</f>
        <v>0</v>
      </c>
      <c r="NA29" s="20" t="n">
        <f aca="false">IF(FR29=1,MAX(0,(Slot16_Cost-FS29*(1+Slot16_Rate)^(Slot16_Age-D29))/MV29),0)</f>
        <v>0</v>
      </c>
      <c r="NB29" s="20" t="n">
        <f aca="false">IF(AND(HU29=1,FR29=1),MIN(MU29,MZ29),0)</f>
        <v>0</v>
      </c>
      <c r="NC29" s="20" t="n">
        <f aca="false">MU29-NB29</f>
        <v>9093.99806338753</v>
      </c>
      <c r="ND29" s="20" t="n">
        <f aca="false">IF(GB29=1,IF(ABS((1+AS_Wage)/(1+Slot17_Rate)-1)&lt;0.000000000001,(Slot17_Age-D29)*(1+Slot17_Rate)^(Slot17_Age-D29),(1+Slot17_Rate)^(Slot17_Age-D29)*(1-((1+AS_Wage)/(1+Slot17_Rate))^(Slot17_Age-D29))/(1-(1+AS_Wage)/(1+Slot17_Rate))),1)</f>
        <v>1</v>
      </c>
      <c r="NE29" s="20" t="n">
        <f aca="false">IF(AND(HU29=1,IE29&gt;0,Slot17_IsWG=1,GB29=1),MAX(0,(Slot17_Cost-GC29*(1+Slot17_Rate)^(Slot17_Age-D29))/ND29),0)</f>
        <v>0</v>
      </c>
      <c r="NF29" s="20" t="n">
        <f aca="false">IF(AND(HU29=1,IE29&gt;0,Slot17_IsWG=1,GB29=1),MIN(IE29,NE29),0)</f>
        <v>0</v>
      </c>
      <c r="NG29" s="20" t="n">
        <f aca="false">GC29+NF29</f>
        <v>0</v>
      </c>
      <c r="NH29" s="20" t="n">
        <f aca="false">IF(GB29=1,MAX(0,(Slot17_Cost-NG29*(1+Slot17_Rate)^(Slot17_Age-D29))/ND29),0)</f>
        <v>0</v>
      </c>
      <c r="NI29" s="20" t="n">
        <f aca="false">IF(GB29=1,MAX(0,(Slot17_Cost-GC29*(1+Slot17_Rate)^(Slot17_Age-D29))/ND29),0)</f>
        <v>0</v>
      </c>
      <c r="NJ29" s="20" t="n">
        <f aca="false">IF(AND(HU29=1,GB29=1),MIN(NC29,NH29),0)</f>
        <v>0</v>
      </c>
      <c r="NK29" s="20" t="n">
        <f aca="false">NC29-NJ29</f>
        <v>9093.99806338753</v>
      </c>
      <c r="NL29" s="20" t="n">
        <f aca="false">IF(GL29=1,IF(ABS((1+AS_Wage)/(1+Slot18_Rate)-1)&lt;0.000000000001,(Slot18_Age-D29)*(1+Slot18_Rate)^(Slot18_Age-D29),(1+Slot18_Rate)^(Slot18_Age-D29)*(1-((1+AS_Wage)/(1+Slot18_Rate))^(Slot18_Age-D29))/(1-(1+AS_Wage)/(1+Slot18_Rate))),1)</f>
        <v>1</v>
      </c>
      <c r="NM29" s="20" t="n">
        <f aca="false">IF(AND(HU29=1,IE29&gt;0,Slot18_IsWG=1,GL29=1),MAX(0,(Slot18_Cost-GM29*(1+Slot18_Rate)^(Slot18_Age-D29))/NL29),0)</f>
        <v>0</v>
      </c>
      <c r="NN29" s="20" t="n">
        <f aca="false">IF(AND(HU29=1,IE29&gt;0,Slot18_IsWG=1,GL29=1),MIN(IE29,NM29),0)</f>
        <v>0</v>
      </c>
      <c r="NO29" s="20" t="n">
        <f aca="false">GM29+NN29</f>
        <v>0</v>
      </c>
      <c r="NP29" s="20" t="n">
        <f aca="false">IF(GL29=1,MAX(0,(Slot18_Cost-NO29*(1+Slot18_Rate)^(Slot18_Age-D29))/NL29),0)</f>
        <v>0</v>
      </c>
      <c r="NQ29" s="20" t="n">
        <f aca="false">IF(GL29=1,MAX(0,(Slot18_Cost-GM29*(1+Slot18_Rate)^(Slot18_Age-D29))/NL29),0)</f>
        <v>0</v>
      </c>
      <c r="NR29" s="20" t="n">
        <f aca="false">IF(AND(HU29=1,GL29=1),MIN(NK29,NP29),0)</f>
        <v>0</v>
      </c>
      <c r="NS29" s="20" t="n">
        <f aca="false">NK29-NR29</f>
        <v>9093.99806338753</v>
      </c>
      <c r="NT29" s="20" t="n">
        <f aca="false">IF(GV29=1,IF(ABS((1+AS_Wage)/(1+Slot19_Rate)-1)&lt;0.000000000001,(Slot19_Age-D29)*(1+Slot19_Rate)^(Slot19_Age-D29),(1+Slot19_Rate)^(Slot19_Age-D29)*(1-((1+AS_Wage)/(1+Slot19_Rate))^(Slot19_Age-D29))/(1-(1+AS_Wage)/(1+Slot19_Rate))),1)</f>
        <v>1</v>
      </c>
      <c r="NU29" s="20" t="n">
        <f aca="false">IF(AND(HU29=1,IE29&gt;0,Slot19_IsWG=1,GV29=1),MAX(0,(Slot19_Cost-GW29*(1+Slot19_Rate)^(Slot19_Age-D29))/NT29),0)</f>
        <v>0</v>
      </c>
      <c r="NV29" s="20" t="n">
        <f aca="false">IF(AND(HU29=1,IE29&gt;0,Slot19_IsWG=1,GV29=1),MIN(IE29,NU29),0)</f>
        <v>0</v>
      </c>
      <c r="NW29" s="20" t="n">
        <f aca="false">GW29+NV29</f>
        <v>0</v>
      </c>
      <c r="NX29" s="20" t="n">
        <f aca="false">IF(GV29=1,MAX(0,(Slot19_Cost-NW29*(1+Slot19_Rate)^(Slot19_Age-D29))/NT29),0)</f>
        <v>0</v>
      </c>
      <c r="NY29" s="20" t="n">
        <f aca="false">IF(GV29=1,MAX(0,(Slot19_Cost-GW29*(1+Slot19_Rate)^(Slot19_Age-D29))/NT29),0)</f>
        <v>0</v>
      </c>
      <c r="NZ29" s="20" t="n">
        <f aca="false">IF(AND(HU29=1,GV29=1),MIN(NS29,NX29),0)</f>
        <v>0</v>
      </c>
      <c r="OA29" s="20" t="n">
        <f aca="false">NS29-NZ29</f>
        <v>9093.99806338753</v>
      </c>
      <c r="OB29" s="20" t="n">
        <f aca="false">IF(HF29=1,IF(ABS((1+AS_Wage)/(1+Slot20_Rate)-1)&lt;0.000000000001,(Slot20_Age-D29)*(1+Slot20_Rate)^(Slot20_Age-D29),(1+Slot20_Rate)^(Slot20_Age-D29)*(1-((1+AS_Wage)/(1+Slot20_Rate))^(Slot20_Age-D29))/(1-(1+AS_Wage)/(1+Slot20_Rate))),1)</f>
        <v>1</v>
      </c>
      <c r="OC29" s="20" t="n">
        <f aca="false">IF(AND(HU29=1,IE29&gt;0,Slot20_IsWG=1,HF29=1),MAX(0,(Slot20_Cost-HG29*(1+Slot20_Rate)^(Slot20_Age-D29))/OB29),0)</f>
        <v>0</v>
      </c>
      <c r="OD29" s="20" t="n">
        <f aca="false">IF(AND(HU29=1,IE29&gt;0,Slot20_IsWG=1,HF29=1),MIN(IE29,OC29),0)</f>
        <v>0</v>
      </c>
      <c r="OE29" s="20" t="n">
        <f aca="false">HG29+OD29</f>
        <v>0</v>
      </c>
      <c r="OF29" s="20" t="n">
        <f aca="false">IF(HF29=1,MAX(0,(Slot20_Cost-OE29*(1+Slot20_Rate)^(Slot20_Age-D29))/OB29),0)</f>
        <v>0</v>
      </c>
      <c r="OG29" s="20" t="n">
        <f aca="false">IF(HF29=1,MAX(0,(Slot20_Cost-HG29*(1+Slot20_Rate)^(Slot20_Age-D29))/OB29),0)</f>
        <v>0</v>
      </c>
      <c r="OH29" s="20" t="n">
        <f aca="false">IF(AND(HU29=1,HF29=1),MIN(OA29,OF29),0)</f>
        <v>0</v>
      </c>
      <c r="OI29" s="20" t="n">
        <f aca="false">OA29-OH29</f>
        <v>9093.99806338753</v>
      </c>
      <c r="OJ29" s="20" t="n">
        <f aca="false">IE29-(IH29+IP29+IX29+JF29+JN29+JV29+KD29+KL29+KT29+LB29+LJ29+LR29+LZ29+MH29+MP29+MX29+NF29+NN29+NV29+OD29)</f>
        <v>0</v>
      </c>
      <c r="OK29" s="20" t="n">
        <f aca="false">IF(HU29=1,HS29-ID29-IE29,0)</f>
        <v>32005.5195781017</v>
      </c>
      <c r="OL29" s="20" t="n">
        <f aca="false">IF(HU29=0,-HS29,0)</f>
        <v>0</v>
      </c>
      <c r="OM29" s="20" t="n">
        <f aca="false">MIN(OL29,HK29)</f>
        <v>0</v>
      </c>
      <c r="ON29" s="20" t="n">
        <f aca="false">OL29-OM29</f>
        <v>0</v>
      </c>
      <c r="OO29" s="20" t="n">
        <f aca="false">MIN(ON29,HL29)</f>
        <v>0</v>
      </c>
      <c r="OP29" s="20" t="n">
        <f aca="false">ON29-OO29</f>
        <v>0</v>
      </c>
      <c r="OQ29" s="20" t="n">
        <f aca="false">IF(AND(HU29=0,HF29=1,OP29&gt;0),MIN(OP29,HG29),0)</f>
        <v>0</v>
      </c>
      <c r="OR29" s="20" t="n">
        <f aca="false">OP29-OQ29</f>
        <v>0</v>
      </c>
      <c r="OS29" s="20" t="n">
        <f aca="false">IF(AND(HU29=0,GV29=1,OR29&gt;0),MIN(OR29,GW29),0)</f>
        <v>0</v>
      </c>
      <c r="OT29" s="20" t="n">
        <f aca="false">OR29-OS29</f>
        <v>0</v>
      </c>
      <c r="OU29" s="20" t="n">
        <f aca="false">IF(AND(HU29=0,GL29=1,OT29&gt;0),MIN(OT29,GM29),0)</f>
        <v>0</v>
      </c>
      <c r="OV29" s="20" t="n">
        <f aca="false">OT29-OU29</f>
        <v>0</v>
      </c>
      <c r="OW29" s="20" t="n">
        <f aca="false">IF(AND(HU29=0,GB29=1,OV29&gt;0),MIN(OV29,GC29),0)</f>
        <v>0</v>
      </c>
      <c r="OX29" s="20" t="n">
        <f aca="false">OV29-OW29</f>
        <v>0</v>
      </c>
      <c r="OY29" s="20" t="n">
        <f aca="false">IF(AND(HU29=0,FR29=1,OX29&gt;0),MIN(OX29,FS29),0)</f>
        <v>0</v>
      </c>
      <c r="OZ29" s="20" t="n">
        <f aca="false">OX29-OY29</f>
        <v>0</v>
      </c>
      <c r="PA29" s="20" t="n">
        <f aca="false">IF(AND(HU29=0,FH29=1,OZ29&gt;0),MIN(OZ29,FI29),0)</f>
        <v>0</v>
      </c>
      <c r="PB29" s="20" t="n">
        <f aca="false">OZ29-PA29</f>
        <v>0</v>
      </c>
      <c r="PC29" s="20" t="n">
        <f aca="false">IF(AND(HU29=0,EX29=1,PB29&gt;0),MIN(PB29,EY29),0)</f>
        <v>0</v>
      </c>
      <c r="PD29" s="20" t="n">
        <f aca="false">PB29-PC29</f>
        <v>0</v>
      </c>
      <c r="PE29" s="20" t="n">
        <f aca="false">IF(AND(HU29=0,EN29=1,PD29&gt;0),MIN(PD29,EO29),0)</f>
        <v>0</v>
      </c>
      <c r="PF29" s="20" t="n">
        <f aca="false">PD29-PE29</f>
        <v>0</v>
      </c>
      <c r="PG29" s="20" t="n">
        <f aca="false">IF(AND(HU29=0,ED29=1,PF29&gt;0),MIN(PF29,EE29),0)</f>
        <v>0</v>
      </c>
      <c r="PH29" s="20" t="n">
        <f aca="false">PF29-PG29</f>
        <v>0</v>
      </c>
      <c r="PI29" s="20" t="n">
        <f aca="false">IF(AND(HU29=0,DT29=1,PH29&gt;0),MIN(PH29,DU29),0)</f>
        <v>0</v>
      </c>
      <c r="PJ29" s="20" t="n">
        <f aca="false">PH29-PI29</f>
        <v>0</v>
      </c>
      <c r="PK29" s="20" t="n">
        <f aca="false">IF(AND(HU29=0,DJ29=1,PJ29&gt;0),MIN(PJ29,DK29),0)</f>
        <v>0</v>
      </c>
      <c r="PL29" s="20" t="n">
        <f aca="false">PJ29-PK29</f>
        <v>0</v>
      </c>
      <c r="PM29" s="20" t="n">
        <f aca="false">IF(AND(HU29=0,CZ29=1,PL29&gt;0),MIN(PL29,DA29),0)</f>
        <v>0</v>
      </c>
      <c r="PN29" s="20" t="n">
        <f aca="false">PL29-PM29</f>
        <v>0</v>
      </c>
      <c r="PO29" s="20" t="n">
        <f aca="false">IF(AND(HU29=0,CP29=1,PN29&gt;0),MIN(PN29,CQ29),0)</f>
        <v>0</v>
      </c>
      <c r="PP29" s="20" t="n">
        <f aca="false">PN29-PO29</f>
        <v>0</v>
      </c>
      <c r="PQ29" s="20" t="n">
        <f aca="false">IF(AND(HU29=0,CF29=1,PP29&gt;0),MIN(PP29,CG29),0)</f>
        <v>0</v>
      </c>
      <c r="PR29" s="20" t="n">
        <f aca="false">PP29-PQ29</f>
        <v>0</v>
      </c>
      <c r="PS29" s="20" t="n">
        <f aca="false">IF(AND(HU29=0,BV29=1,PR29&gt;0),MIN(PR29,BW29),0)</f>
        <v>0</v>
      </c>
      <c r="PT29" s="20" t="n">
        <f aca="false">PR29-PS29</f>
        <v>0</v>
      </c>
      <c r="PU29" s="20" t="n">
        <f aca="false">IF(AND(HU29=0,BL29=1,PT29&gt;0),MIN(PT29,BM29),0)</f>
        <v>0</v>
      </c>
      <c r="PV29" s="20" t="n">
        <f aca="false">PT29-PU29</f>
        <v>0</v>
      </c>
      <c r="PW29" s="20" t="n">
        <f aca="false">IF(AND(HU29=0,BB29=1,PV29&gt;0),MIN(PV29,BC29),0)</f>
        <v>0</v>
      </c>
      <c r="PX29" s="20" t="n">
        <f aca="false">PV29-PW29</f>
        <v>0</v>
      </c>
      <c r="PY29" s="20" t="n">
        <f aca="false">IF(AND(HU29=0,AR29=1,PX29&gt;0),MIN(PX29,AS29),0)</f>
        <v>0</v>
      </c>
      <c r="PZ29" s="20" t="n">
        <f aca="false">PX29-PY29</f>
        <v>0</v>
      </c>
      <c r="QA29" s="20" t="n">
        <f aca="false">IF(AND(HU29=0,AH29=1,PZ29&gt;0),MIN(PZ29,AI29),0)</f>
        <v>0</v>
      </c>
      <c r="QB29" s="20" t="n">
        <f aca="false">PZ29-QA29</f>
        <v>0</v>
      </c>
      <c r="QC29" s="20" t="n">
        <f aca="false">IF(AND(HU29=0,W29=1,QB29&gt;0),MIN(QB29,X29),0)</f>
        <v>0</v>
      </c>
      <c r="QD29" s="20" t="n">
        <f aca="false">QB29-QC29</f>
        <v>0</v>
      </c>
      <c r="QE29" s="20" t="n">
        <f aca="false">IF(HU29=0,QD29,0)</f>
        <v>0</v>
      </c>
      <c r="QF29" s="20" t="n">
        <f aca="false">OM29+OO29+QC29+QA29+PY29+PW29+PU29+PS29+PQ29+PO29+PM29+PK29+PI29+PG29+PE29+PC29+PA29+OY29+OW29+OU29+OS29+OQ29</f>
        <v>0</v>
      </c>
      <c r="QG29" s="20" t="n">
        <f aca="false">IF(HU29=1,HK29+OJ29+OI29+IF(G29=1,0,OK29),HK29-OM29)</f>
        <v>63033.9912011782</v>
      </c>
      <c r="QH29" s="20" t="n">
        <f aca="false">HL29-OO29</f>
        <v>18853.7482806218</v>
      </c>
      <c r="QI29" s="20" t="n">
        <f aca="false">IF(HU29=1,IF(G29=1,ID29+IE29,HS29),0)</f>
        <v>9093.99806338753</v>
      </c>
      <c r="QJ29" s="20" t="n">
        <f aca="false">IF(HU29=1,IF(G29=1,HS29-ID29-IE29,0),0)</f>
        <v>32005.5195781017</v>
      </c>
      <c r="QK29" s="20" t="n">
        <f aca="false">QG29*(1+GR)</f>
        <v>64067.7486568775</v>
      </c>
      <c r="QL29" s="20" t="n">
        <f aca="false">QH29*(1+AS_Cash)</f>
        <v>19042.285763428</v>
      </c>
      <c r="QM29" s="20" t="n">
        <f aca="false">IF(W29=1,IF(HU29=1,II29+IL29,X29-QC29)*(1+Slot1_Rate),0)</f>
        <v>0</v>
      </c>
      <c r="QN29" s="20" t="n">
        <f aca="false">IF(AND(HU29=1,W29=1),(IH29+IL29)/F29,0)</f>
        <v>0</v>
      </c>
      <c r="QO29" s="20" t="n">
        <f aca="false">IF(B29=0,IH29+IL29,0)</f>
        <v>0</v>
      </c>
      <c r="QP29" s="20" t="n">
        <f aca="false">IF(B29=0,IF(HU29=1,IJ29,IK29),0)</f>
        <v>0</v>
      </c>
      <c r="QQ29" s="20" t="n">
        <f aca="false">IF(AH29=1,IF(HU29=1,IQ29+IT29,AI29-QA29)*(1+Slot2_Rate),0)</f>
        <v>0</v>
      </c>
      <c r="QR29" s="20" t="n">
        <f aca="false">IF(AND(HU29=1,AH29=1),(IP29+IT29)/F29,0)</f>
        <v>0</v>
      </c>
      <c r="QS29" s="20" t="n">
        <f aca="false">IF(B29=0,IP29+IT29,0)</f>
        <v>0</v>
      </c>
      <c r="QT29" s="20" t="n">
        <f aca="false">IF(B29=0,IF(HU29=1,IR29,IS29),0)</f>
        <v>0</v>
      </c>
      <c r="QU29" s="20" t="n">
        <f aca="false">IF(AR29=1,IF(HU29=1,IY29+JB29,AS29-PY29)*(1+Slot3_Rate),0)</f>
        <v>0</v>
      </c>
      <c r="QV29" s="20" t="n">
        <f aca="false">IF(AND(HU29=1,AR29=1),(IX29+JB29)/F29,0)</f>
        <v>0</v>
      </c>
      <c r="QW29" s="20" t="n">
        <f aca="false">IF(B29=0,IX29+JB29,0)</f>
        <v>0</v>
      </c>
      <c r="QX29" s="20" t="n">
        <f aca="false">IF(B29=0,IF(HU29=1,IZ29,JA29),0)</f>
        <v>0</v>
      </c>
      <c r="QY29" s="20" t="n">
        <f aca="false">IF(BB29=1,IF(HU29=1,JG29+JJ29,BC29-PW29)*(1+Slot4_Rate),0)</f>
        <v>0</v>
      </c>
      <c r="QZ29" s="20" t="n">
        <f aca="false">IF(AND(HU29=1,BB29=1),(JF29+JJ29)/F29,0)</f>
        <v>0</v>
      </c>
      <c r="RA29" s="20" t="n">
        <f aca="false">IF(B29=0,JF29+JJ29,0)</f>
        <v>0</v>
      </c>
      <c r="RB29" s="20" t="n">
        <f aca="false">IF(B29=0,IF(HU29=1,JH29,JI29),0)</f>
        <v>0</v>
      </c>
      <c r="RC29" s="20" t="n">
        <f aca="false">IF(BL29=1,IF(HU29=1,JO29+JR29,BM29-PU29)*(1+Slot5_Rate),0)</f>
        <v>0</v>
      </c>
      <c r="RD29" s="20" t="n">
        <f aca="false">IF(AND(HU29=1,BL29=1),(JN29+JR29)/F29,0)</f>
        <v>0</v>
      </c>
      <c r="RE29" s="20" t="n">
        <f aca="false">IF(B29=0,JN29+JR29,0)</f>
        <v>0</v>
      </c>
      <c r="RF29" s="20" t="n">
        <f aca="false">IF(B29=0,IF(HU29=1,JP29,JQ29),0)</f>
        <v>0</v>
      </c>
      <c r="RG29" s="20" t="n">
        <f aca="false">IF(BV29=1,IF(HU29=1,JW29+JZ29,BW29-PS29)*(1+Slot6_Rate),0)</f>
        <v>0</v>
      </c>
      <c r="RH29" s="20" t="n">
        <f aca="false">IF(AND(HU29=1,BV29=1),(JV29+JZ29)/F29,0)</f>
        <v>0</v>
      </c>
      <c r="RI29" s="20" t="n">
        <f aca="false">IF(B29=0,JV29+JZ29,0)</f>
        <v>0</v>
      </c>
      <c r="RJ29" s="20" t="n">
        <f aca="false">IF(B29=0,IF(HU29=1,JX29,JY29),0)</f>
        <v>0</v>
      </c>
      <c r="RK29" s="20" t="n">
        <f aca="false">IF(CF29=1,IF(HU29=1,KE29+KH29,CG29-PQ29)*(1+Slot7_Rate),0)</f>
        <v>0</v>
      </c>
      <c r="RL29" s="20" t="n">
        <f aca="false">IF(AND(HU29=1,CF29=1),(KD29+KH29)/F29,0)</f>
        <v>0</v>
      </c>
      <c r="RM29" s="20" t="n">
        <f aca="false">IF(B29=0,KD29+KH29,0)</f>
        <v>0</v>
      </c>
      <c r="RN29" s="20" t="n">
        <f aca="false">IF(B29=0,IF(HU29=1,KF29,KG29),0)</f>
        <v>0</v>
      </c>
      <c r="RO29" s="20" t="n">
        <f aca="false">IF(CP29=1,IF(HU29=1,KM29+KP29,CQ29-PO29)*(1+Slot8_Rate),0)</f>
        <v>0</v>
      </c>
      <c r="RP29" s="20" t="n">
        <f aca="false">IF(AND(HU29=1,CP29=1),(KL29+KP29)/F29,0)</f>
        <v>0</v>
      </c>
      <c r="RQ29" s="20" t="n">
        <f aca="false">IF(B29=0,KL29+KP29,0)</f>
        <v>0</v>
      </c>
      <c r="RR29" s="20" t="n">
        <f aca="false">IF(B29=0,IF(HU29=1,KN29,KO29),0)</f>
        <v>0</v>
      </c>
      <c r="RS29" s="20" t="n">
        <f aca="false">IF(CZ29=1,IF(HU29=1,KU29+KX29,DA29-PM29)*(1+Slot9_Rate),0)</f>
        <v>0</v>
      </c>
      <c r="RT29" s="20" t="n">
        <f aca="false">IF(AND(HU29=1,CZ29=1),(KT29+KX29)/F29,0)</f>
        <v>0</v>
      </c>
      <c r="RU29" s="20" t="n">
        <f aca="false">IF(B29=0,KT29+KX29,0)</f>
        <v>0</v>
      </c>
      <c r="RV29" s="20" t="n">
        <f aca="false">IF(B29=0,IF(HU29=1,KV29,KW29),0)</f>
        <v>0</v>
      </c>
      <c r="RW29" s="20" t="n">
        <f aca="false">IF(DJ29=1,IF(HU29=1,LC29+LF29,DK29-PK29)*(1+Slot10_Rate),0)</f>
        <v>0</v>
      </c>
      <c r="RX29" s="20" t="n">
        <f aca="false">IF(AND(HU29=1,DJ29=1),(LB29+LF29)/F29,0)</f>
        <v>0</v>
      </c>
      <c r="RY29" s="20" t="n">
        <f aca="false">IF(B29=0,LB29+LF29,0)</f>
        <v>0</v>
      </c>
      <c r="RZ29" s="20" t="n">
        <f aca="false">IF(B29=0,IF(HU29=1,LD29,LE29),0)</f>
        <v>0</v>
      </c>
      <c r="SA29" s="20" t="n">
        <f aca="false">IF(DT29=1,IF(HU29=1,LK29+LN29,DU29-PI29)*(1+Slot11_Rate),0)</f>
        <v>0</v>
      </c>
      <c r="SB29" s="20" t="n">
        <f aca="false">IF(AND(HU29=1,DT29=1),(LJ29+LN29)/F29,0)</f>
        <v>0</v>
      </c>
      <c r="SC29" s="20" t="n">
        <f aca="false">IF(B29=0,LJ29+LN29,0)</f>
        <v>0</v>
      </c>
      <c r="SD29" s="20" t="n">
        <f aca="false">IF(B29=0,IF(HU29=1,LL29,LM29),0)</f>
        <v>0</v>
      </c>
      <c r="SE29" s="20" t="n">
        <f aca="false">IF(ED29=1,IF(HU29=1,LS29+LV29,EE29-PG29)*(1+Slot12_Rate),0)</f>
        <v>0</v>
      </c>
      <c r="SF29" s="20" t="n">
        <f aca="false">IF(AND(HU29=1,ED29=1),(LR29+LV29)/F29,0)</f>
        <v>0</v>
      </c>
      <c r="SG29" s="20" t="n">
        <f aca="false">IF(B29=0,LR29+LV29,0)</f>
        <v>0</v>
      </c>
      <c r="SH29" s="20" t="n">
        <f aca="false">IF(B29=0,IF(HU29=1,LT29,LU29),0)</f>
        <v>0</v>
      </c>
      <c r="SI29" s="20" t="n">
        <f aca="false">IF(EN29=1,IF(HU29=1,MA29+MD29,EO29-PE29)*(1+Slot13_Rate),0)</f>
        <v>0</v>
      </c>
      <c r="SJ29" s="20" t="n">
        <f aca="false">IF(AND(HU29=1,EN29=1),(LZ29+MD29)/F29,0)</f>
        <v>0</v>
      </c>
      <c r="SK29" s="20" t="n">
        <f aca="false">IF(B29=0,LZ29+MD29,0)</f>
        <v>0</v>
      </c>
      <c r="SL29" s="20" t="n">
        <f aca="false">IF(B29=0,IF(HU29=1,MB29,MC29),0)</f>
        <v>0</v>
      </c>
      <c r="SM29" s="20" t="n">
        <f aca="false">IF(EX29=1,IF(HU29=1,MI29+ML29,EY29-PC29)*(1+Slot14_Rate),0)</f>
        <v>0</v>
      </c>
      <c r="SN29" s="20" t="n">
        <f aca="false">IF(AND(HU29=1,EX29=1),(MH29+ML29)/F29,0)</f>
        <v>0</v>
      </c>
      <c r="SO29" s="20" t="n">
        <f aca="false">IF(B29=0,MH29+ML29,0)</f>
        <v>0</v>
      </c>
      <c r="SP29" s="20" t="n">
        <f aca="false">IF(B29=0,IF(HU29=1,MJ29,MK29),0)</f>
        <v>0</v>
      </c>
      <c r="SQ29" s="20" t="n">
        <f aca="false">IF(FH29=1,IF(HU29=1,MQ29+MT29,FI29-PA29)*(1+Slot15_Rate),0)</f>
        <v>0</v>
      </c>
      <c r="SR29" s="20" t="n">
        <f aca="false">IF(AND(HU29=1,FH29=1),(MP29+MT29)/F29,0)</f>
        <v>0</v>
      </c>
      <c r="SS29" s="20" t="n">
        <f aca="false">IF(B29=0,MP29+MT29,0)</f>
        <v>0</v>
      </c>
      <c r="ST29" s="20" t="n">
        <f aca="false">IF(B29=0,IF(HU29=1,MR29,MS29),0)</f>
        <v>0</v>
      </c>
      <c r="SU29" s="20" t="n">
        <f aca="false">IF(FR29=1,IF(HU29=1,MY29+NB29,FS29-OY29)*(1+Slot16_Rate),0)</f>
        <v>0</v>
      </c>
      <c r="SV29" s="20" t="n">
        <f aca="false">IF(AND(HU29=1,FR29=1),(MX29+NB29)/F29,0)</f>
        <v>0</v>
      </c>
      <c r="SW29" s="20" t="n">
        <f aca="false">IF(B29=0,MX29+NB29,0)</f>
        <v>0</v>
      </c>
      <c r="SX29" s="20" t="n">
        <f aca="false">IF(B29=0,IF(HU29=1,MZ29,NA29),0)</f>
        <v>0</v>
      </c>
      <c r="SY29" s="20" t="n">
        <f aca="false">IF(GB29=1,IF(HU29=1,NG29+NJ29,GC29-OW29)*(1+Slot17_Rate),0)</f>
        <v>0</v>
      </c>
      <c r="SZ29" s="20" t="n">
        <f aca="false">IF(AND(HU29=1,GB29=1),(NF29+NJ29)/F29,0)</f>
        <v>0</v>
      </c>
      <c r="TA29" s="20" t="n">
        <f aca="false">IF(B29=0,NF29+NJ29,0)</f>
        <v>0</v>
      </c>
      <c r="TB29" s="20" t="n">
        <f aca="false">IF(B29=0,IF(HU29=1,NH29,NI29),0)</f>
        <v>0</v>
      </c>
      <c r="TC29" s="20" t="n">
        <f aca="false">IF(GL29=1,IF(HU29=1,NO29+NR29,GM29-OU29)*(1+Slot18_Rate),0)</f>
        <v>0</v>
      </c>
      <c r="TD29" s="20" t="n">
        <f aca="false">IF(AND(HU29=1,GL29=1),(NN29+NR29)/F29,0)</f>
        <v>0</v>
      </c>
      <c r="TE29" s="20" t="n">
        <f aca="false">IF(B29=0,NN29+NR29,0)</f>
        <v>0</v>
      </c>
      <c r="TF29" s="20" t="n">
        <f aca="false">IF(B29=0,IF(HU29=1,NP29,NQ29),0)</f>
        <v>0</v>
      </c>
      <c r="TG29" s="20" t="n">
        <f aca="false">IF(GV29=1,IF(HU29=1,NW29+NZ29,GW29-OS29)*(1+Slot19_Rate),0)</f>
        <v>0</v>
      </c>
      <c r="TH29" s="20" t="n">
        <f aca="false">IF(AND(HU29=1,GV29=1),(NV29+NZ29)/F29,0)</f>
        <v>0</v>
      </c>
      <c r="TI29" s="20" t="n">
        <f aca="false">IF(B29=0,NV29+NZ29,0)</f>
        <v>0</v>
      </c>
      <c r="TJ29" s="20" t="n">
        <f aca="false">IF(B29=0,IF(HU29=1,NX29,NY29),0)</f>
        <v>0</v>
      </c>
      <c r="TK29" s="20" t="n">
        <f aca="false">IF(HF29=1,IF(HU29=1,OE29+OH29,HG29-OQ29)*(1+Slot20_Rate),0)</f>
        <v>0</v>
      </c>
      <c r="TL29" s="20" t="n">
        <f aca="false">IF(AND(HU29=1,HF29=1),(OD29+OH29)/F29,0)</f>
        <v>0</v>
      </c>
      <c r="TM29" s="20" t="n">
        <f aca="false">IF(B29=0,OD29+OH29,0)</f>
        <v>0</v>
      </c>
      <c r="TN29" s="20" t="n">
        <f aca="false">IF(B29=0,IF(HU29=1,OF29,OG29),0)</f>
        <v>0</v>
      </c>
      <c r="TO29" s="20" t="n">
        <f aca="false">QK29+QL29+QM29+QQ29+QU29+QY29+RC29+RG29+RK29+RO29+RS29+RW29+SA29+SE29+SI29+SM29+SQ29+SU29+SY29+TC29+TG29+TK29</f>
        <v>83110.0344203055</v>
      </c>
      <c r="TP29" s="20" t="n">
        <f aca="false">QE29+HP29</f>
        <v>0</v>
      </c>
      <c r="TQ29" s="20" t="n">
        <f aca="false">I29+S29</f>
        <v>68204.9854754065</v>
      </c>
      <c r="TR29" s="20" t="n">
        <f aca="false">1-G29</f>
        <v>0</v>
      </c>
      <c r="TS29" s="20" t="n">
        <f aca="false">IF(AND(RG_Exists=1,G29=0,C29=1),I29,0)</f>
        <v>0</v>
      </c>
      <c r="TT29" s="20" t="n">
        <f aca="false">IF(AND(RG_Exists=1,G29=0,C29=1),I29-MIN(QE29,I29),0)</f>
        <v>0</v>
      </c>
      <c r="TU29" s="20" t="n">
        <f aca="false">'Plan pay &amp; tax'!AD255</f>
        <v>488123.161804774</v>
      </c>
      <c r="TV29" s="20" t="n">
        <f aca="false">IF(AND(C29=1,QE29&gt;MAX(PR_Short1,TQ29*PR_Short2)),1,0)</f>
        <v>0</v>
      </c>
      <c r="TW29" s="20" t="n">
        <f aca="false">MIN(H29,I29+S29)</f>
        <v>68204.9854754065</v>
      </c>
      <c r="TX29" s="20" t="n">
        <f aca="false">QF29+MAX(0,HQ29-HP29)</f>
        <v>0</v>
      </c>
      <c r="TY29" s="20" t="n">
        <f aca="false">QE29+HP29</f>
        <v>0</v>
      </c>
      <c r="TZ29" s="20" t="n">
        <f aca="false">IF(AND(C29=1,TY29&gt;PR_MinShort),1,0)</f>
        <v>0</v>
      </c>
      <c r="UA29" s="20" t="n">
        <f aca="false">IF(AND(C29=1,TZ29=0,TX29&gt;PR_MinShort),1,0)</f>
        <v>0</v>
      </c>
      <c r="UB29" s="20" t="n">
        <f aca="false">IF(AND(C29=1,QE29&gt;PR_MinShort),1,0)</f>
        <v>0</v>
      </c>
      <c r="UC29" s="20" t="n">
        <f aca="false">IF(AND(C29=1,QF29&gt;1,UJ29=0),1,0)</f>
        <v>0</v>
      </c>
      <c r="UD29" s="20" t="str">
        <f aca="false">IF(C29=0,"",IF(UJ29=1,"Gap to plan for: short "&amp;"€"&amp;TEXT(ROUND(TP29,0),"#,##0"),IF(QF29&gt;1,"Using savings","Comfortable")))</f>
        <v>Comfortable</v>
      </c>
      <c r="UE29" s="20" t="n">
        <f aca="false">IF(AND(INT(D29/10)*10=90,B29&gt;0),80,INT(D29/10)*10)</f>
        <v>50</v>
      </c>
      <c r="UF29" s="20" t="n">
        <f aca="false">IF(B29=0,1,IF(UE29&lt;&gt;UE28,UF28+1,UF28))</f>
        <v>3</v>
      </c>
      <c r="UG29" s="20" t="n">
        <f aca="false">IF(AND(C29=1,G29=1,QE29&gt;MAX(PR_Short1,TQ29*PR_Short2)),1,0)</f>
        <v>0</v>
      </c>
      <c r="UH29" s="20" t="n">
        <f aca="false">TR29*TV29</f>
        <v>0</v>
      </c>
      <c r="UI29" s="20" t="n">
        <f aca="false">IF(AND(V29=1,Slot1_PctLow=1),1,0)+IF(AND(AG29=1,Slot2_PctLow=1),1,0)+IF(AND(AQ29=1,Slot3_PctLow=1),1,0)+IF(AND(BA29=1,Slot4_PctLow=1),1,0)+IF(AND(BK29=1,Slot5_PctLow=1),1,0)+IF(AND(BU29=1,Slot6_PctLow=1),1,0)+IF(AND(CE29=1,Slot7_PctLow=1),1,0)+IF(AND(CO29=1,Slot8_PctLow=1),1,0)+IF(AND(CY29=1,Slot9_PctLow=1),1,0)+IF(AND(DI29=1,Slot10_PctLow=1),1,0)+IF(AND(DS29=1,Slot11_PctLow=1),1,0)+IF(AND(EC29=1,Slot12_PctLow=1),1,0)+IF(AND(EM29=1,Slot13_PctLow=1),1,0)+IF(AND(EW29=1,Slot14_PctLow=1),1,0)+IF(AND(FG29=1,Slot15_PctLow=1),1,0)+IF(AND(FQ29=1,Slot16_PctLow=1),1,0)+IF(AND(GA29=1,Slot17_PctLow=1),1,0)+IF(AND(GK29=1,Slot18_PctLow=1),1,0)+IF(AND(GU29=1,Slot19_PctLow=1),1,0)+IF(AND(HE29=1,Slot20_PctLow=1),1,0)</f>
        <v>0</v>
      </c>
      <c r="UJ29" s="20" t="n">
        <f aca="false">IF(C29=1,IF(OR(TV29=1,UI29&gt;0),1,0),0)</f>
        <v>0</v>
      </c>
    </row>
    <row r="30" customFormat="false" ht="15" hidden="false" customHeight="true" outlineLevel="0" collapsed="false">
      <c r="B30" s="20" t="n">
        <v>22</v>
      </c>
      <c r="C30" s="20" t="n">
        <f aca="false">IF(B30&lt;=F_N,1,0)</f>
        <v>1</v>
      </c>
      <c r="D30" s="20" t="n">
        <f aca="false">'Plan pay &amp; tax'!C256</f>
        <v>60</v>
      </c>
      <c r="E30" s="20" t="str">
        <f aca="false">IF($C30=1,"Income tax "&amp;TEXT(N('Plan pay &amp; tax'!BK256),"#,##0")&amp;"; USC "&amp;TEXT(N('Plan pay &amp; tax'!BM256)+N('Plan pay &amp; tax'!BO256),"#,##0")&amp;"; PRSI "&amp;TEXT(N('Plan pay &amp; tax'!BP256)+N('Plan pay &amp; tax'!BQ256),"#,##0")&amp;". DIRT and exit tax are inside the growth rates here.","")</f>
        <v>Income tax 15,861; USC 2,147; PRSI 4,660. DIRT and exit tax are inside the growth rates here.</v>
      </c>
      <c r="F30" s="44" t="n">
        <f aca="false">'Plan pay &amp; tax'!E256</f>
        <v>1.54597967077588</v>
      </c>
      <c r="G30" s="20" t="n">
        <f aca="false">'Plan pay &amp; tax'!G256</f>
        <v>1</v>
      </c>
      <c r="H30" s="20" t="n">
        <f aca="false">'Plan pay &amp; tax'!BT256-'Plan pay &amp; tax'!BS256-'Plan pay &amp; tax'!R256</f>
        <v>112266.112780288</v>
      </c>
      <c r="I30" s="20" t="n">
        <f aca="false">IF(G30=1,F_CostsM*12,IF(RG_Exists=1,RG_Amount,F_CostsM*12*AS_RetireSpend))*F30+F_OneOffY*F30</f>
        <v>69569.0851849146</v>
      </c>
      <c r="J30" s="20" t="n">
        <f aca="false">HR29</f>
        <v>0</v>
      </c>
      <c r="K30" s="20" t="n">
        <f aca="false">IF(J30&gt;1,'Plan debt months'!AC30,0)</f>
        <v>0</v>
      </c>
      <c r="L30" s="20" t="n">
        <f aca="false">IF(J30&gt;1,'Plan debt months'!AB30,J30)</f>
        <v>0</v>
      </c>
      <c r="M30" s="20" t="n">
        <f aca="false">O29</f>
        <v>0</v>
      </c>
      <c r="N30" s="20" t="n">
        <f aca="false">IF(M30&gt;1,'Plan debt months'!BD30,0)</f>
        <v>0</v>
      </c>
      <c r="O30" s="20" t="n">
        <f aca="false">IF(M30&gt;1,'Plan debt months'!BC30,M30)</f>
        <v>0</v>
      </c>
      <c r="P30" s="20" t="n">
        <f aca="false">R29</f>
        <v>0</v>
      </c>
      <c r="Q30" s="20" t="n">
        <f aca="false">IF(P30&gt;1,'Plan debt months'!CE30,0)</f>
        <v>0</v>
      </c>
      <c r="R30" s="20" t="n">
        <f aca="false">IF(P30&gt;1,'Plan debt months'!CD30,P30)</f>
        <v>0</v>
      </c>
      <c r="S30" s="20" t="n">
        <f aca="false">K30+N30+Q30</f>
        <v>0</v>
      </c>
      <c r="T30" s="20" t="n">
        <f aca="false">QK29+'Plan pay &amp; tax'!Y256</f>
        <v>64067.7486568775</v>
      </c>
      <c r="U30" s="20" t="n">
        <f aca="false">QK29</f>
        <v>64067.7486568775</v>
      </c>
      <c r="V30" s="20" t="n">
        <f aca="false">IF(AND(Slot1_On=1,D30=Slot1_Age),1,0)</f>
        <v>0</v>
      </c>
      <c r="W30" s="20" t="n">
        <f aca="false">IF(AND(Slot1_On=1,Slot1_Age&gt;D30),1,0)</f>
        <v>0</v>
      </c>
      <c r="X30" s="20" t="n">
        <f aca="false">QM29</f>
        <v>0</v>
      </c>
      <c r="Y30" s="20" t="n">
        <f aca="false">V30*MIN(Slot1_Cost,X30)</f>
        <v>0</v>
      </c>
      <c r="Z30" s="20" t="n">
        <f aca="false">V30*Slot1_SpendLike*MIN(Slot1_Cost-Y30,T30)</f>
        <v>0</v>
      </c>
      <c r="AA30" s="20" t="n">
        <f aca="false">Y30+Z30</f>
        <v>0</v>
      </c>
      <c r="AB30" s="20" t="n">
        <f aca="false">T30-Z30+V30*IF(Slot1_SpendLike=1,X30-Y30,IF(Slot1_PotFree=1,X30,0))</f>
        <v>64067.7486568775</v>
      </c>
      <c r="AC30" s="20" t="n">
        <f aca="false">AF30+V30*Slot1_BufPot*X30</f>
        <v>19042.285763428</v>
      </c>
      <c r="AD30" s="20" t="n">
        <f aca="false">IF(AND(V30=1,Slot1_IsMfree=1),IF(AA30&gt;=Slot1_Cost-1,0,MAX(0,L30-AA30)),L30)</f>
        <v>0</v>
      </c>
      <c r="AE30" s="20" t="n">
        <f aca="false">V30*(Slot1_Cost-AA30)</f>
        <v>0</v>
      </c>
      <c r="AF30" s="20" t="n">
        <f aca="false">QL29</f>
        <v>19042.285763428</v>
      </c>
      <c r="AG30" s="20" t="n">
        <f aca="false">IF(AND(Slot2_On=1,D30=Slot2_Age),1,0)</f>
        <v>0</v>
      </c>
      <c r="AH30" s="20" t="n">
        <f aca="false">IF(AND(Slot2_On=1,Slot2_Age&gt;D30),1,0)</f>
        <v>0</v>
      </c>
      <c r="AI30" s="20" t="n">
        <f aca="false">QQ29</f>
        <v>0</v>
      </c>
      <c r="AJ30" s="20" t="n">
        <f aca="false">AG30*MIN(Slot2_Cost,AI30)</f>
        <v>0</v>
      </c>
      <c r="AK30" s="20" t="n">
        <f aca="false">AG30*Slot2_SpendLike*MIN(Slot2_Cost-AJ30,AB30)</f>
        <v>0</v>
      </c>
      <c r="AL30" s="20" t="n">
        <f aca="false">AJ30+AK30</f>
        <v>0</v>
      </c>
      <c r="AM30" s="20" t="n">
        <f aca="false">AB30-AK30+AG30*IF(Slot2_SpendLike=1,AI30-AJ30,IF(Slot2_PotFree=1,AI30,0))</f>
        <v>64067.7486568775</v>
      </c>
      <c r="AN30" s="20" t="n">
        <f aca="false">AC30+AG30*Slot2_BufPot*AI30</f>
        <v>19042.285763428</v>
      </c>
      <c r="AO30" s="20" t="n">
        <f aca="false">IF(AND(AG30=1,Slot2_IsMfree=1),IF(AL30&gt;=Slot2_Cost-1,0,MAX(0,AD30-AL30)),AD30)</f>
        <v>0</v>
      </c>
      <c r="AP30" s="20" t="n">
        <f aca="false">AG30*(Slot2_Cost-AL30)</f>
        <v>0</v>
      </c>
      <c r="AQ30" s="20" t="n">
        <f aca="false">IF(AND(Slot3_On=1,D30=Slot3_Age),1,0)</f>
        <v>0</v>
      </c>
      <c r="AR30" s="20" t="n">
        <f aca="false">IF(AND(Slot3_On=1,Slot3_Age&gt;D30),1,0)</f>
        <v>0</v>
      </c>
      <c r="AS30" s="20" t="n">
        <f aca="false">QU29</f>
        <v>0</v>
      </c>
      <c r="AT30" s="20" t="n">
        <f aca="false">AQ30*MIN(Slot3_Cost,AS30)</f>
        <v>0</v>
      </c>
      <c r="AU30" s="20" t="n">
        <f aca="false">AQ30*Slot3_SpendLike*MIN(Slot3_Cost-AT30,AM30)</f>
        <v>0</v>
      </c>
      <c r="AV30" s="20" t="n">
        <f aca="false">AT30+AU30</f>
        <v>0</v>
      </c>
      <c r="AW30" s="20" t="n">
        <f aca="false">AM30-AU30+AQ30*IF(Slot3_SpendLike=1,AS30-AT30,IF(Slot3_PotFree=1,AS30,0))</f>
        <v>64067.7486568775</v>
      </c>
      <c r="AX30" s="20" t="n">
        <f aca="false">AN30+AQ30*Slot3_BufPot*AS30</f>
        <v>19042.285763428</v>
      </c>
      <c r="AY30" s="20" t="n">
        <f aca="false">IF(AND(AQ30=1,Slot3_IsMfree=1),IF(AV30&gt;=Slot3_Cost-1,0,MAX(0,AO30-AV30)),AO30)</f>
        <v>0</v>
      </c>
      <c r="AZ30" s="20" t="n">
        <f aca="false">AQ30*(Slot3_Cost-AV30)</f>
        <v>0</v>
      </c>
      <c r="BA30" s="20" t="n">
        <f aca="false">IF(AND(Slot4_On=1,D30=Slot4_Age),1,0)</f>
        <v>0</v>
      </c>
      <c r="BB30" s="20" t="n">
        <f aca="false">IF(AND(Slot4_On=1,Slot4_Age&gt;D30),1,0)</f>
        <v>0</v>
      </c>
      <c r="BC30" s="20" t="n">
        <f aca="false">QY29</f>
        <v>0</v>
      </c>
      <c r="BD30" s="20" t="n">
        <f aca="false">BA30*MIN(Slot4_Cost,BC30)</f>
        <v>0</v>
      </c>
      <c r="BE30" s="20" t="n">
        <f aca="false">BA30*Slot4_SpendLike*MIN(Slot4_Cost-BD30,AW30)</f>
        <v>0</v>
      </c>
      <c r="BF30" s="20" t="n">
        <f aca="false">BD30+BE30</f>
        <v>0</v>
      </c>
      <c r="BG30" s="20" t="n">
        <f aca="false">AW30-BE30+BA30*IF(Slot4_SpendLike=1,BC30-BD30,IF(Slot4_PotFree=1,BC30,0))</f>
        <v>64067.7486568775</v>
      </c>
      <c r="BH30" s="20" t="n">
        <f aca="false">AX30+BA30*Slot4_BufPot*BC30</f>
        <v>19042.285763428</v>
      </c>
      <c r="BI30" s="20" t="n">
        <f aca="false">IF(AND(BA30=1,Slot4_IsMfree=1),IF(BF30&gt;=Slot4_Cost-1,0,MAX(0,AY30-BF30)),AY30)</f>
        <v>0</v>
      </c>
      <c r="BJ30" s="20" t="n">
        <f aca="false">BA30*(Slot4_Cost-BF30)</f>
        <v>0</v>
      </c>
      <c r="BK30" s="20" t="n">
        <f aca="false">IF(AND(Slot5_On=1,D30=Slot5_Age),1,0)</f>
        <v>0</v>
      </c>
      <c r="BL30" s="20" t="n">
        <f aca="false">IF(AND(Slot5_On=1,Slot5_Age&gt;D30),1,0)</f>
        <v>0</v>
      </c>
      <c r="BM30" s="20" t="n">
        <f aca="false">RC29</f>
        <v>0</v>
      </c>
      <c r="BN30" s="20" t="n">
        <f aca="false">BK30*MIN(Slot5_Cost,BM30)</f>
        <v>0</v>
      </c>
      <c r="BO30" s="20" t="n">
        <f aca="false">BK30*Slot5_SpendLike*MIN(Slot5_Cost-BN30,BG30)</f>
        <v>0</v>
      </c>
      <c r="BP30" s="20" t="n">
        <f aca="false">BN30+BO30</f>
        <v>0</v>
      </c>
      <c r="BQ30" s="20" t="n">
        <f aca="false">BG30-BO30+BK30*IF(Slot5_SpendLike=1,BM30-BN30,IF(Slot5_PotFree=1,BM30,0))</f>
        <v>64067.7486568775</v>
      </c>
      <c r="BR30" s="20" t="n">
        <f aca="false">BH30+BK30*Slot5_BufPot*BM30</f>
        <v>19042.285763428</v>
      </c>
      <c r="BS30" s="20" t="n">
        <f aca="false">IF(AND(BK30=1,Slot5_IsMfree=1),IF(BP30&gt;=Slot5_Cost-1,0,MAX(0,BI30-BP30)),BI30)</f>
        <v>0</v>
      </c>
      <c r="BT30" s="20" t="n">
        <f aca="false">BK30*(Slot5_Cost-BP30)</f>
        <v>0</v>
      </c>
      <c r="BU30" s="20" t="n">
        <f aca="false">IF(AND(Slot6_On=1,D30=Slot6_Age),1,0)</f>
        <v>0</v>
      </c>
      <c r="BV30" s="20" t="n">
        <f aca="false">IF(AND(Slot6_On=1,Slot6_Age&gt;D30),1,0)</f>
        <v>0</v>
      </c>
      <c r="BW30" s="20" t="n">
        <f aca="false">RG29</f>
        <v>0</v>
      </c>
      <c r="BX30" s="20" t="n">
        <f aca="false">BU30*MIN(Slot6_Cost,BW30)</f>
        <v>0</v>
      </c>
      <c r="BY30" s="20" t="n">
        <f aca="false">BU30*Slot6_SpendLike*MIN(Slot6_Cost-BX30,BQ30)</f>
        <v>0</v>
      </c>
      <c r="BZ30" s="20" t="n">
        <f aca="false">BX30+BY30</f>
        <v>0</v>
      </c>
      <c r="CA30" s="20" t="n">
        <f aca="false">BQ30-BY30+BU30*IF(Slot6_SpendLike=1,BW30-BX30,IF(Slot6_PotFree=1,BW30,0))</f>
        <v>64067.7486568775</v>
      </c>
      <c r="CB30" s="20" t="n">
        <f aca="false">BR30+BU30*Slot6_BufPot*BW30</f>
        <v>19042.285763428</v>
      </c>
      <c r="CC30" s="20" t="n">
        <f aca="false">IF(AND(BU30=1,Slot6_IsMfree=1),IF(BZ30&gt;=Slot6_Cost-1,0,MAX(0,BS30-BZ30)),BS30)</f>
        <v>0</v>
      </c>
      <c r="CD30" s="20" t="n">
        <f aca="false">BU30*(Slot6_Cost-BZ30)</f>
        <v>0</v>
      </c>
      <c r="CE30" s="20" t="n">
        <f aca="false">IF(AND(Slot7_On=1,D30=Slot7_Age),1,0)</f>
        <v>0</v>
      </c>
      <c r="CF30" s="20" t="n">
        <f aca="false">IF(AND(Slot7_On=1,Slot7_Age&gt;D30),1,0)</f>
        <v>0</v>
      </c>
      <c r="CG30" s="20" t="n">
        <f aca="false">RK29</f>
        <v>0</v>
      </c>
      <c r="CH30" s="20" t="n">
        <f aca="false">CE30*MIN(Slot7_Cost,CG30)</f>
        <v>0</v>
      </c>
      <c r="CI30" s="20" t="n">
        <f aca="false">CE30*Slot7_SpendLike*MIN(Slot7_Cost-CH30,CA30)</f>
        <v>0</v>
      </c>
      <c r="CJ30" s="20" t="n">
        <f aca="false">CH30+CI30</f>
        <v>0</v>
      </c>
      <c r="CK30" s="20" t="n">
        <f aca="false">CA30-CI30+CE30*IF(Slot7_SpendLike=1,CG30-CH30,IF(Slot7_PotFree=1,CG30,0))</f>
        <v>64067.7486568775</v>
      </c>
      <c r="CL30" s="20" t="n">
        <f aca="false">CB30+CE30*Slot7_BufPot*CG30</f>
        <v>19042.285763428</v>
      </c>
      <c r="CM30" s="20" t="n">
        <f aca="false">IF(AND(CE30=1,Slot7_IsMfree=1),IF(CJ30&gt;=Slot7_Cost-1,0,MAX(0,CC30-CJ30)),CC30)</f>
        <v>0</v>
      </c>
      <c r="CN30" s="20" t="n">
        <f aca="false">CE30*(Slot7_Cost-CJ30)</f>
        <v>0</v>
      </c>
      <c r="CO30" s="20" t="n">
        <f aca="false">IF(AND(Slot8_On=1,D30=Slot8_Age),1,0)</f>
        <v>0</v>
      </c>
      <c r="CP30" s="20" t="n">
        <f aca="false">IF(AND(Slot8_On=1,Slot8_Age&gt;D30),1,0)</f>
        <v>0</v>
      </c>
      <c r="CQ30" s="20" t="n">
        <f aca="false">RO29</f>
        <v>0</v>
      </c>
      <c r="CR30" s="20" t="n">
        <f aca="false">CO30*MIN(Slot8_Cost,CQ30)</f>
        <v>0</v>
      </c>
      <c r="CS30" s="20" t="n">
        <f aca="false">CO30*Slot8_SpendLike*MIN(Slot8_Cost-CR30,CK30)</f>
        <v>0</v>
      </c>
      <c r="CT30" s="20" t="n">
        <f aca="false">CR30+CS30</f>
        <v>0</v>
      </c>
      <c r="CU30" s="20" t="n">
        <f aca="false">CK30-CS30+CO30*IF(Slot8_SpendLike=1,CQ30-CR30,IF(Slot8_PotFree=1,CQ30,0))</f>
        <v>64067.7486568775</v>
      </c>
      <c r="CV30" s="20" t="n">
        <f aca="false">CL30+CO30*Slot8_BufPot*CQ30</f>
        <v>19042.285763428</v>
      </c>
      <c r="CW30" s="20" t="n">
        <f aca="false">IF(AND(CO30=1,Slot8_IsMfree=1),IF(CT30&gt;=Slot8_Cost-1,0,MAX(0,CM30-CT30)),CM30)</f>
        <v>0</v>
      </c>
      <c r="CX30" s="20" t="n">
        <f aca="false">CO30*(Slot8_Cost-CT30)</f>
        <v>0</v>
      </c>
      <c r="CY30" s="20" t="n">
        <f aca="false">IF(AND(Slot9_On=1,D30=Slot9_Age),1,0)</f>
        <v>0</v>
      </c>
      <c r="CZ30" s="20" t="n">
        <f aca="false">IF(AND(Slot9_On=1,Slot9_Age&gt;D30),1,0)</f>
        <v>0</v>
      </c>
      <c r="DA30" s="20" t="n">
        <f aca="false">RS29</f>
        <v>0</v>
      </c>
      <c r="DB30" s="20" t="n">
        <f aca="false">CY30*MIN(Slot9_Cost,DA30)</f>
        <v>0</v>
      </c>
      <c r="DC30" s="20" t="n">
        <f aca="false">CY30*Slot9_SpendLike*MIN(Slot9_Cost-DB30,CU30)</f>
        <v>0</v>
      </c>
      <c r="DD30" s="20" t="n">
        <f aca="false">DB30+DC30</f>
        <v>0</v>
      </c>
      <c r="DE30" s="20" t="n">
        <f aca="false">CU30-DC30+CY30*IF(Slot9_SpendLike=1,DA30-DB30,IF(Slot9_PotFree=1,DA30,0))</f>
        <v>64067.7486568775</v>
      </c>
      <c r="DF30" s="20" t="n">
        <f aca="false">CV30+CY30*Slot9_BufPot*DA30</f>
        <v>19042.285763428</v>
      </c>
      <c r="DG30" s="20" t="n">
        <f aca="false">IF(AND(CY30=1,Slot9_IsMfree=1),IF(DD30&gt;=Slot9_Cost-1,0,MAX(0,CW30-DD30)),CW30)</f>
        <v>0</v>
      </c>
      <c r="DH30" s="20" t="n">
        <f aca="false">CY30*(Slot9_Cost-DD30)</f>
        <v>0</v>
      </c>
      <c r="DI30" s="20" t="n">
        <f aca="false">IF(AND(Slot10_On=1,D30=Slot10_Age),1,0)</f>
        <v>0</v>
      </c>
      <c r="DJ30" s="20" t="n">
        <f aca="false">IF(AND(Slot10_On=1,Slot10_Age&gt;D30),1,0)</f>
        <v>0</v>
      </c>
      <c r="DK30" s="20" t="n">
        <f aca="false">RW29</f>
        <v>0</v>
      </c>
      <c r="DL30" s="20" t="n">
        <f aca="false">DI30*MIN(Slot10_Cost,DK30)</f>
        <v>0</v>
      </c>
      <c r="DM30" s="20" t="n">
        <f aca="false">DI30*Slot10_SpendLike*MIN(Slot10_Cost-DL30,DE30)</f>
        <v>0</v>
      </c>
      <c r="DN30" s="20" t="n">
        <f aca="false">DL30+DM30</f>
        <v>0</v>
      </c>
      <c r="DO30" s="20" t="n">
        <f aca="false">DE30-DM30+DI30*IF(Slot10_SpendLike=1,DK30-DL30,IF(Slot10_PotFree=1,DK30,0))</f>
        <v>64067.7486568775</v>
      </c>
      <c r="DP30" s="20" t="n">
        <f aca="false">DF30+DI30*Slot10_BufPot*DK30</f>
        <v>19042.285763428</v>
      </c>
      <c r="DQ30" s="20" t="n">
        <f aca="false">IF(AND(DI30=1,Slot10_IsMfree=1),IF(DN30&gt;=Slot10_Cost-1,0,MAX(0,DG30-DN30)),DG30)</f>
        <v>0</v>
      </c>
      <c r="DR30" s="20" t="n">
        <f aca="false">DI30*(Slot10_Cost-DN30)</f>
        <v>0</v>
      </c>
      <c r="DS30" s="20" t="n">
        <f aca="false">IF(AND(Slot11_On=1,D30=Slot11_Age),1,0)</f>
        <v>0</v>
      </c>
      <c r="DT30" s="20" t="n">
        <f aca="false">IF(AND(Slot11_On=1,Slot11_Age&gt;D30),1,0)</f>
        <v>0</v>
      </c>
      <c r="DU30" s="20" t="n">
        <f aca="false">SA29</f>
        <v>0</v>
      </c>
      <c r="DV30" s="20" t="n">
        <f aca="false">DS30*MIN(Slot11_Cost,DU30)</f>
        <v>0</v>
      </c>
      <c r="DW30" s="20" t="n">
        <f aca="false">DS30*Slot11_SpendLike*MIN(Slot11_Cost-DV30,DO30)</f>
        <v>0</v>
      </c>
      <c r="DX30" s="20" t="n">
        <f aca="false">DV30+DW30</f>
        <v>0</v>
      </c>
      <c r="DY30" s="20" t="n">
        <f aca="false">DO30-DW30+DS30*IF(Slot11_SpendLike=1,DU30-DV30,IF(Slot11_PotFree=1,DU30,0))</f>
        <v>64067.7486568775</v>
      </c>
      <c r="DZ30" s="20" t="n">
        <f aca="false">DP30+DS30*Slot11_BufPot*DU30</f>
        <v>19042.285763428</v>
      </c>
      <c r="EA30" s="20" t="n">
        <f aca="false">IF(AND(DS30=1,Slot11_IsMfree=1),IF(DX30&gt;=Slot11_Cost-1,0,MAX(0,DQ30-DX30)),DQ30)</f>
        <v>0</v>
      </c>
      <c r="EB30" s="20" t="n">
        <f aca="false">DS30*(Slot11_Cost-DX30)</f>
        <v>0</v>
      </c>
      <c r="EC30" s="20" t="n">
        <f aca="false">IF(AND(Slot12_On=1,D30=Slot12_Age),1,0)</f>
        <v>0</v>
      </c>
      <c r="ED30" s="20" t="n">
        <f aca="false">IF(AND(Slot12_On=1,Slot12_Age&gt;D30),1,0)</f>
        <v>0</v>
      </c>
      <c r="EE30" s="20" t="n">
        <f aca="false">SE29</f>
        <v>0</v>
      </c>
      <c r="EF30" s="20" t="n">
        <f aca="false">EC30*MIN(Slot12_Cost,EE30)</f>
        <v>0</v>
      </c>
      <c r="EG30" s="20" t="n">
        <f aca="false">EC30*Slot12_SpendLike*MIN(Slot12_Cost-EF30,DY30)</f>
        <v>0</v>
      </c>
      <c r="EH30" s="20" t="n">
        <f aca="false">EF30+EG30</f>
        <v>0</v>
      </c>
      <c r="EI30" s="20" t="n">
        <f aca="false">DY30-EG30+EC30*IF(Slot12_SpendLike=1,EE30-EF30,IF(Slot12_PotFree=1,EE30,0))</f>
        <v>64067.7486568775</v>
      </c>
      <c r="EJ30" s="20" t="n">
        <f aca="false">DZ30+EC30*Slot12_BufPot*EE30</f>
        <v>19042.285763428</v>
      </c>
      <c r="EK30" s="20" t="n">
        <f aca="false">IF(AND(EC30=1,Slot12_IsMfree=1),IF(EH30&gt;=Slot12_Cost-1,0,MAX(0,EA30-EH30)),EA30)</f>
        <v>0</v>
      </c>
      <c r="EL30" s="20" t="n">
        <f aca="false">EC30*(Slot12_Cost-EH30)</f>
        <v>0</v>
      </c>
      <c r="EM30" s="20" t="n">
        <f aca="false">IF(AND(Slot13_On=1,D30=Slot13_Age),1,0)</f>
        <v>0</v>
      </c>
      <c r="EN30" s="20" t="n">
        <f aca="false">IF(AND(Slot13_On=1,Slot13_Age&gt;D30),1,0)</f>
        <v>0</v>
      </c>
      <c r="EO30" s="20" t="n">
        <f aca="false">SI29</f>
        <v>0</v>
      </c>
      <c r="EP30" s="20" t="n">
        <f aca="false">EM30*MIN(Slot13_Cost,EO30)</f>
        <v>0</v>
      </c>
      <c r="EQ30" s="20" t="n">
        <f aca="false">EM30*Slot13_SpendLike*MIN(Slot13_Cost-EP30,EI30)</f>
        <v>0</v>
      </c>
      <c r="ER30" s="20" t="n">
        <f aca="false">EP30+EQ30</f>
        <v>0</v>
      </c>
      <c r="ES30" s="20" t="n">
        <f aca="false">EI30-EQ30+EM30*IF(Slot13_SpendLike=1,EO30-EP30,IF(Slot13_PotFree=1,EO30,0))</f>
        <v>64067.7486568775</v>
      </c>
      <c r="ET30" s="20" t="n">
        <f aca="false">EJ30+EM30*Slot13_BufPot*EO30</f>
        <v>19042.285763428</v>
      </c>
      <c r="EU30" s="20" t="n">
        <f aca="false">IF(AND(EM30=1,Slot13_IsMfree=1),IF(ER30&gt;=Slot13_Cost-1,0,MAX(0,EK30-ER30)),EK30)</f>
        <v>0</v>
      </c>
      <c r="EV30" s="20" t="n">
        <f aca="false">EM30*(Slot13_Cost-ER30)</f>
        <v>0</v>
      </c>
      <c r="EW30" s="20" t="n">
        <f aca="false">IF(AND(Slot14_On=1,D30=Slot14_Age),1,0)</f>
        <v>0</v>
      </c>
      <c r="EX30" s="20" t="n">
        <f aca="false">IF(AND(Slot14_On=1,Slot14_Age&gt;D30),1,0)</f>
        <v>0</v>
      </c>
      <c r="EY30" s="20" t="n">
        <f aca="false">SM29</f>
        <v>0</v>
      </c>
      <c r="EZ30" s="20" t="n">
        <f aca="false">EW30*MIN(Slot14_Cost,EY30)</f>
        <v>0</v>
      </c>
      <c r="FA30" s="20" t="n">
        <f aca="false">EW30*Slot14_SpendLike*MIN(Slot14_Cost-EZ30,ES30)</f>
        <v>0</v>
      </c>
      <c r="FB30" s="20" t="n">
        <f aca="false">EZ30+FA30</f>
        <v>0</v>
      </c>
      <c r="FC30" s="20" t="n">
        <f aca="false">ES30-FA30+EW30*IF(Slot14_SpendLike=1,EY30-EZ30,IF(Slot14_PotFree=1,EY30,0))</f>
        <v>64067.7486568775</v>
      </c>
      <c r="FD30" s="20" t="n">
        <f aca="false">ET30+EW30*Slot14_BufPot*EY30</f>
        <v>19042.285763428</v>
      </c>
      <c r="FE30" s="20" t="n">
        <f aca="false">IF(AND(EW30=1,Slot14_IsMfree=1),IF(FB30&gt;=Slot14_Cost-1,0,MAX(0,EU30-FB30)),EU30)</f>
        <v>0</v>
      </c>
      <c r="FF30" s="20" t="n">
        <f aca="false">EW30*(Slot14_Cost-FB30)</f>
        <v>0</v>
      </c>
      <c r="FG30" s="20" t="n">
        <f aca="false">IF(AND(Slot15_On=1,D30=Slot15_Age),1,0)</f>
        <v>0</v>
      </c>
      <c r="FH30" s="20" t="n">
        <f aca="false">IF(AND(Slot15_On=1,Slot15_Age&gt;D30),1,0)</f>
        <v>0</v>
      </c>
      <c r="FI30" s="20" t="n">
        <f aca="false">SQ29</f>
        <v>0</v>
      </c>
      <c r="FJ30" s="20" t="n">
        <f aca="false">FG30*MIN(Slot15_Cost,FI30)</f>
        <v>0</v>
      </c>
      <c r="FK30" s="20" t="n">
        <f aca="false">FG30*Slot15_SpendLike*MIN(Slot15_Cost-FJ30,FC30)</f>
        <v>0</v>
      </c>
      <c r="FL30" s="20" t="n">
        <f aca="false">FJ30+FK30</f>
        <v>0</v>
      </c>
      <c r="FM30" s="20" t="n">
        <f aca="false">FC30-FK30+FG30*IF(Slot15_SpendLike=1,FI30-FJ30,IF(Slot15_PotFree=1,FI30,0))</f>
        <v>64067.7486568775</v>
      </c>
      <c r="FN30" s="20" t="n">
        <f aca="false">FD30+FG30*Slot15_BufPot*FI30</f>
        <v>19042.285763428</v>
      </c>
      <c r="FO30" s="20" t="n">
        <f aca="false">IF(AND(FG30=1,Slot15_IsMfree=1),IF(FL30&gt;=Slot15_Cost-1,0,MAX(0,FE30-FL30)),FE30)</f>
        <v>0</v>
      </c>
      <c r="FP30" s="20" t="n">
        <f aca="false">FG30*(Slot15_Cost-FL30)</f>
        <v>0</v>
      </c>
      <c r="FQ30" s="20" t="n">
        <f aca="false">IF(AND(Slot16_On=1,D30=Slot16_Age),1,0)</f>
        <v>0</v>
      </c>
      <c r="FR30" s="20" t="n">
        <f aca="false">IF(AND(Slot16_On=1,Slot16_Age&gt;D30),1,0)</f>
        <v>0</v>
      </c>
      <c r="FS30" s="20" t="n">
        <f aca="false">SU29</f>
        <v>0</v>
      </c>
      <c r="FT30" s="20" t="n">
        <f aca="false">FQ30*MIN(Slot16_Cost,FS30)</f>
        <v>0</v>
      </c>
      <c r="FU30" s="20" t="n">
        <f aca="false">FQ30*Slot16_SpendLike*MIN(Slot16_Cost-FT30,FM30)</f>
        <v>0</v>
      </c>
      <c r="FV30" s="20" t="n">
        <f aca="false">FT30+FU30</f>
        <v>0</v>
      </c>
      <c r="FW30" s="20" t="n">
        <f aca="false">FM30-FU30+FQ30*IF(Slot16_SpendLike=1,FS30-FT30,IF(Slot16_PotFree=1,FS30,0))</f>
        <v>64067.7486568775</v>
      </c>
      <c r="FX30" s="20" t="n">
        <f aca="false">FN30+FQ30*Slot16_BufPot*FS30</f>
        <v>19042.285763428</v>
      </c>
      <c r="FY30" s="20" t="n">
        <f aca="false">IF(AND(FQ30=1,Slot16_IsMfree=1),IF(FV30&gt;=Slot16_Cost-1,0,MAX(0,FO30-FV30)),FO30)</f>
        <v>0</v>
      </c>
      <c r="FZ30" s="20" t="n">
        <f aca="false">FQ30*(Slot16_Cost-FV30)</f>
        <v>0</v>
      </c>
      <c r="GA30" s="20" t="n">
        <f aca="false">IF(AND(Slot17_On=1,D30=Slot17_Age),1,0)</f>
        <v>0</v>
      </c>
      <c r="GB30" s="20" t="n">
        <f aca="false">IF(AND(Slot17_On=1,Slot17_Age&gt;D30),1,0)</f>
        <v>0</v>
      </c>
      <c r="GC30" s="20" t="n">
        <f aca="false">SY29</f>
        <v>0</v>
      </c>
      <c r="GD30" s="20" t="n">
        <f aca="false">GA30*MIN(Slot17_Cost,GC30)</f>
        <v>0</v>
      </c>
      <c r="GE30" s="20" t="n">
        <f aca="false">GA30*Slot17_SpendLike*MIN(Slot17_Cost-GD30,FW30)</f>
        <v>0</v>
      </c>
      <c r="GF30" s="20" t="n">
        <f aca="false">GD30+GE30</f>
        <v>0</v>
      </c>
      <c r="GG30" s="20" t="n">
        <f aca="false">FW30-GE30+GA30*IF(Slot17_SpendLike=1,GC30-GD30,IF(Slot17_PotFree=1,GC30,0))</f>
        <v>64067.7486568775</v>
      </c>
      <c r="GH30" s="20" t="n">
        <f aca="false">FX30+GA30*Slot17_BufPot*GC30</f>
        <v>19042.285763428</v>
      </c>
      <c r="GI30" s="20" t="n">
        <f aca="false">IF(AND(GA30=1,Slot17_IsMfree=1),IF(GF30&gt;=Slot17_Cost-1,0,MAX(0,FY30-GF30)),FY30)</f>
        <v>0</v>
      </c>
      <c r="GJ30" s="20" t="n">
        <f aca="false">GA30*(Slot17_Cost-GF30)</f>
        <v>0</v>
      </c>
      <c r="GK30" s="20" t="n">
        <f aca="false">IF(AND(Slot18_On=1,D30=Slot18_Age),1,0)</f>
        <v>0</v>
      </c>
      <c r="GL30" s="20" t="n">
        <f aca="false">IF(AND(Slot18_On=1,Slot18_Age&gt;D30),1,0)</f>
        <v>0</v>
      </c>
      <c r="GM30" s="20" t="n">
        <f aca="false">TC29</f>
        <v>0</v>
      </c>
      <c r="GN30" s="20" t="n">
        <f aca="false">GK30*MIN(Slot18_Cost,GM30)</f>
        <v>0</v>
      </c>
      <c r="GO30" s="20" t="n">
        <f aca="false">GK30*Slot18_SpendLike*MIN(Slot18_Cost-GN30,GG30)</f>
        <v>0</v>
      </c>
      <c r="GP30" s="20" t="n">
        <f aca="false">GN30+GO30</f>
        <v>0</v>
      </c>
      <c r="GQ30" s="20" t="n">
        <f aca="false">GG30-GO30+GK30*IF(Slot18_SpendLike=1,GM30-GN30,IF(Slot18_PotFree=1,GM30,0))</f>
        <v>64067.7486568775</v>
      </c>
      <c r="GR30" s="20" t="n">
        <f aca="false">GH30+GK30*Slot18_BufPot*GM30</f>
        <v>19042.285763428</v>
      </c>
      <c r="GS30" s="20" t="n">
        <f aca="false">IF(AND(GK30=1,Slot18_IsMfree=1),IF(GP30&gt;=Slot18_Cost-1,0,MAX(0,GI30-GP30)),GI30)</f>
        <v>0</v>
      </c>
      <c r="GT30" s="20" t="n">
        <f aca="false">GK30*(Slot18_Cost-GP30)</f>
        <v>0</v>
      </c>
      <c r="GU30" s="20" t="n">
        <f aca="false">IF(AND(Slot19_On=1,D30=Slot19_Age),1,0)</f>
        <v>0</v>
      </c>
      <c r="GV30" s="20" t="n">
        <f aca="false">IF(AND(Slot19_On=1,Slot19_Age&gt;D30),1,0)</f>
        <v>0</v>
      </c>
      <c r="GW30" s="20" t="n">
        <f aca="false">TG29</f>
        <v>0</v>
      </c>
      <c r="GX30" s="20" t="n">
        <f aca="false">GU30*MIN(Slot19_Cost,GW30)</f>
        <v>0</v>
      </c>
      <c r="GY30" s="20" t="n">
        <f aca="false">GU30*Slot19_SpendLike*MIN(Slot19_Cost-GX30,GQ30)</f>
        <v>0</v>
      </c>
      <c r="GZ30" s="20" t="n">
        <f aca="false">GX30+GY30</f>
        <v>0</v>
      </c>
      <c r="HA30" s="20" t="n">
        <f aca="false">GQ30-GY30+GU30*IF(Slot19_SpendLike=1,GW30-GX30,IF(Slot19_PotFree=1,GW30,0))</f>
        <v>64067.7486568775</v>
      </c>
      <c r="HB30" s="20" t="n">
        <f aca="false">GR30+GU30*Slot19_BufPot*GW30</f>
        <v>19042.285763428</v>
      </c>
      <c r="HC30" s="20" t="n">
        <f aca="false">IF(AND(GU30=1,Slot19_IsMfree=1),IF(GZ30&gt;=Slot19_Cost-1,0,MAX(0,GS30-GZ30)),GS30)</f>
        <v>0</v>
      </c>
      <c r="HD30" s="20" t="n">
        <f aca="false">GU30*(Slot19_Cost-GZ30)</f>
        <v>0</v>
      </c>
      <c r="HE30" s="20" t="n">
        <f aca="false">IF(AND(Slot20_On=1,D30=Slot20_Age),1,0)</f>
        <v>0</v>
      </c>
      <c r="HF30" s="20" t="n">
        <f aca="false">IF(AND(Slot20_On=1,Slot20_Age&gt;D30),1,0)</f>
        <v>0</v>
      </c>
      <c r="HG30" s="20" t="n">
        <f aca="false">TK29</f>
        <v>0</v>
      </c>
      <c r="HH30" s="20" t="n">
        <f aca="false">HE30*MIN(Slot20_Cost,HG30)</f>
        <v>0</v>
      </c>
      <c r="HI30" s="20" t="n">
        <f aca="false">HE30*Slot20_SpendLike*MIN(Slot20_Cost-HH30,HA30)</f>
        <v>0</v>
      </c>
      <c r="HJ30" s="20" t="n">
        <f aca="false">HH30+HI30</f>
        <v>0</v>
      </c>
      <c r="HK30" s="20" t="n">
        <f aca="false">HA30-HI30+HE30*IF(Slot20_SpendLike=1,HG30-HH30,IF(Slot20_PotFree=1,HG30,0))</f>
        <v>64067.7486568775</v>
      </c>
      <c r="HL30" s="20" t="n">
        <f aca="false">HB30+HE30*Slot20_BufPot*HG30</f>
        <v>19042.285763428</v>
      </c>
      <c r="HM30" s="20" t="n">
        <f aca="false">IF(AND(HE30=1,Slot20_IsMfree=1),IF(HJ30&gt;=Slot20_Cost-1,0,MAX(0,HC30-HJ30)),HC30)</f>
        <v>0</v>
      </c>
      <c r="HN30" s="20" t="n">
        <f aca="false">HE30*(Slot20_Cost-HJ30)</f>
        <v>0</v>
      </c>
      <c r="HO30" s="20" t="n">
        <f aca="false">V30*Slot1_SpendLike*AA30+AG30*Slot2_SpendLike*AL30+AQ30*Slot3_SpendLike*AV30+BA30*Slot4_SpendLike*BF30+BK30*Slot5_SpendLike*BP30+BU30*Slot6_SpendLike*BZ30+CE30*Slot7_SpendLike*CJ30+CO30*Slot8_SpendLike*CT30+CY30*Slot9_SpendLike*DD30+DI30*Slot10_SpendLike*DN30+DS30*Slot11_SpendLike*DX30+EC30*Slot12_SpendLike*EH30+EM30*Slot13_SpendLike*ER30+EW30*Slot14_SpendLike*FB30+FG30*Slot15_SpendLike*FL30+FQ30*Slot16_SpendLike*FV30+GA30*Slot17_SpendLike*GF30+GK30*Slot18_SpendLike*GP30+GU30*Slot19_SpendLike*GZ30+HE30*Slot20_SpendLike*HJ30</f>
        <v>0</v>
      </c>
      <c r="HP30" s="20" t="n">
        <f aca="false">AE30+AP30+AZ30+BJ30+BT30+CD30+CN30+CX30+DH30+DR30+EB30+EL30+EV30+FF30+FP30+FZ30+GJ30+GT30+HD30+HN30</f>
        <v>0</v>
      </c>
      <c r="HQ30" s="20" t="n">
        <f aca="false">V30*Slot1_Cost+AG30*Slot2_Cost+AQ30*Slot3_Cost+BA30*Slot4_Cost+BK30*Slot5_Cost+BU30*Slot6_Cost+CE30*Slot7_Cost+CO30*Slot8_Cost+CY30*Slot9_Cost+DI30*Slot10_Cost+DS30*Slot11_Cost+EC30*Slot12_Cost+EM30*Slot13_Cost+EW30*Slot14_Cost+FG30*Slot15_Cost+FQ30*Slot16_Cost+GA30*Slot17_Cost+GK30*Slot18_Cost+GU30*Slot19_Cost+HE30*Slot20_Cost</f>
        <v>0</v>
      </c>
      <c r="HR30" s="20" t="n">
        <f aca="false">HM30</f>
        <v>0</v>
      </c>
      <c r="HS30" s="20" t="n">
        <f aca="false">H30-I30-S30</f>
        <v>42697.0275953732</v>
      </c>
      <c r="HT30" s="20" t="n">
        <f aca="false">IF(B30=0,IF(AND(Has_q6=1,In_q6=4),PR_ShareVaries*(MAX(0,HS30)/12),MIN(IF(Has_q6=1,CHOOSE(In_q6+1,PR_SaveB1,PR_SaveB2,PR_SaveB3,PR_SaveB4,0),AS_NoAnswer),AS_SaveShare*(MAX(0,HS30)/12))),HT29)</f>
        <v>62.3316893520437</v>
      </c>
      <c r="HU30" s="20" t="n">
        <f aca="false">IF(HS30&gt;=0,1,0)</f>
        <v>1</v>
      </c>
      <c r="HV30" s="20" t="n">
        <f aca="false">MAX(0,HS30/12/F30)</f>
        <v>2301.50868100489</v>
      </c>
      <c r="HW30" s="20" t="n">
        <f aca="false">IF(AND(Has_q6=1,In_q6=4),PR_ShareVaries*(HV30),MIN(IF(Has_q6=1,CHOOSE(In_q6+1,PR_SaveB1,PR_SaveB2,PR_SaveB3,PR_SaveB4,0),AS_NoAnswer),AS_SaveShare*(HV30)))</f>
        <v>500</v>
      </c>
      <c r="HX30" s="20" t="n">
        <f aca="false">IF(Has_saveM=1,IF(In_saveUp="Yes",1,IF(In_saveUp="No",0,IF(In_saveM&gt;=HT30-0.5,1,0))),0)</f>
        <v>0</v>
      </c>
      <c r="HY30" s="20" t="n">
        <f aca="false">IF(Has_saveM=1,MIN(HV30,IF(HX30=1,MAX(In_saveM,HW30),MIN(In_saveM,HW30))),HW30)</f>
        <v>500</v>
      </c>
      <c r="HZ30" s="20" t="n">
        <f aca="false">IF(G30=1,HY30*12*F30,0)</f>
        <v>9275.87802465528</v>
      </c>
      <c r="IA30" s="20" t="n">
        <f aca="false">MAX(0,HZ30+IF(AND(WI_Retire=0,WI_M&lt;0,G30=1),WI_M*12*F30,0))</f>
        <v>9275.87802465528</v>
      </c>
      <c r="IB30" s="20" t="n">
        <f aca="false">Slot1_IsWG*W30+Slot2_IsWG*AH30+Slot3_IsWG*AR30+Slot4_IsWG*BB30+Slot5_IsWG*BL30+Slot6_IsWG*BV30+Slot7_IsWG*CF30+Slot8_IsWG*CP30+Slot9_IsWG*CZ30+Slot10_IsWG*DJ30+Slot11_IsWG*DT30+Slot12_IsWG*ED30+Slot13_IsWG*EN30+Slot14_IsWG*EX30+Slot15_IsWG*FH30+Slot16_IsWG*FR30+Slot17_IsWG*GB30+Slot18_IsWG*GL30+Slot19_IsWG*GV30+Slot20_IsWG*HF30</f>
        <v>0</v>
      </c>
      <c r="IC30" s="20" t="n">
        <f aca="false">IF(AND(WI_Retire=0,WI_M&gt;0,G30=1,IB30&gt;=1),WI_M*12*F30,0)</f>
        <v>0</v>
      </c>
      <c r="ID30" s="20" t="n">
        <f aca="false">IF(HU30=1,MIN(IA30,HS30),0)</f>
        <v>9275.87802465528</v>
      </c>
      <c r="IE30" s="20" t="n">
        <f aca="false">IF(HU30=1,MIN(IC30,HS30-ID30),0)</f>
        <v>0</v>
      </c>
      <c r="IF30" s="20" t="n">
        <f aca="false">IF(W30=1,IF(ABS((1+AS_Wage)/(1+Slot1_Rate)-1)&lt;0.000000000001,(Slot1_Age-D30)*(1+Slot1_Rate)^(Slot1_Age-D30),(1+Slot1_Rate)^(Slot1_Age-D30)*(1-((1+AS_Wage)/(1+Slot1_Rate))^(Slot1_Age-D30))/(1-(1+AS_Wage)/(1+Slot1_Rate))),1)</f>
        <v>1</v>
      </c>
      <c r="IG30" s="20" t="n">
        <f aca="false">IF(AND(HU30=1,IE30&gt;0,Slot1_IsWG=1,W30=1),MAX(0,(Slot1_Cost-X30*(1+Slot1_Rate)^(Slot1_Age-D30))/IF30),0)</f>
        <v>0</v>
      </c>
      <c r="IH30" s="20" t="n">
        <f aca="false">IF(AND(HU30=1,IE30&gt;0,Slot1_IsWG=1,W30=1),MIN(IE30,IG30),0)</f>
        <v>0</v>
      </c>
      <c r="II30" s="20" t="n">
        <f aca="false">X30+IH30</f>
        <v>0</v>
      </c>
      <c r="IJ30" s="20" t="n">
        <f aca="false">IF(W30=1,MAX(0,(Slot1_Cost-II30*(1+Slot1_Rate)^(Slot1_Age-D30))/IF30),0)</f>
        <v>0</v>
      </c>
      <c r="IK30" s="20" t="n">
        <f aca="false">IF(W30=1,MAX(0,(Slot1_Cost-X30*(1+Slot1_Rate)^(Slot1_Age-D30))/IF30),0)</f>
        <v>0</v>
      </c>
      <c r="IL30" s="20" t="n">
        <f aca="false">IF(AND(HU30=1,W30=1),MIN(ID30,IJ30),0)</f>
        <v>0</v>
      </c>
      <c r="IM30" s="20" t="n">
        <f aca="false">ID30-IL30</f>
        <v>9275.87802465528</v>
      </c>
      <c r="IN30" s="20" t="n">
        <f aca="false">IF(AH30=1,IF(ABS((1+AS_Wage)/(1+Slot2_Rate)-1)&lt;0.000000000001,(Slot2_Age-D30)*(1+Slot2_Rate)^(Slot2_Age-D30),(1+Slot2_Rate)^(Slot2_Age-D30)*(1-((1+AS_Wage)/(1+Slot2_Rate))^(Slot2_Age-D30))/(1-(1+AS_Wage)/(1+Slot2_Rate))),1)</f>
        <v>1</v>
      </c>
      <c r="IO30" s="20" t="n">
        <f aca="false">IF(AND(HU30=1,IE30&gt;0,Slot2_IsWG=1,AH30=1),MAX(0,(Slot2_Cost-AI30*(1+Slot2_Rate)^(Slot2_Age-D30))/IN30),0)</f>
        <v>0</v>
      </c>
      <c r="IP30" s="20" t="n">
        <f aca="false">IF(AND(HU30=1,IE30&gt;0,Slot2_IsWG=1,AH30=1),MIN(IE30,IO30),0)</f>
        <v>0</v>
      </c>
      <c r="IQ30" s="20" t="n">
        <f aca="false">AI30+IP30</f>
        <v>0</v>
      </c>
      <c r="IR30" s="20" t="n">
        <f aca="false">IF(AH30=1,MAX(0,(Slot2_Cost-IQ30*(1+Slot2_Rate)^(Slot2_Age-D30))/IN30),0)</f>
        <v>0</v>
      </c>
      <c r="IS30" s="20" t="n">
        <f aca="false">IF(AH30=1,MAX(0,(Slot2_Cost-AI30*(1+Slot2_Rate)^(Slot2_Age-D30))/IN30),0)</f>
        <v>0</v>
      </c>
      <c r="IT30" s="20" t="n">
        <f aca="false">IF(AND(HU30=1,AH30=1),MIN(IM30,IR30),0)</f>
        <v>0</v>
      </c>
      <c r="IU30" s="20" t="n">
        <f aca="false">IM30-IT30</f>
        <v>9275.87802465528</v>
      </c>
      <c r="IV30" s="20" t="n">
        <f aca="false">IF(AR30=1,IF(ABS((1+AS_Wage)/(1+Slot3_Rate)-1)&lt;0.000000000001,(Slot3_Age-D30)*(1+Slot3_Rate)^(Slot3_Age-D30),(1+Slot3_Rate)^(Slot3_Age-D30)*(1-((1+AS_Wage)/(1+Slot3_Rate))^(Slot3_Age-D30))/(1-(1+AS_Wage)/(1+Slot3_Rate))),1)</f>
        <v>1</v>
      </c>
      <c r="IW30" s="20" t="n">
        <f aca="false">IF(AND(HU30=1,IE30&gt;0,Slot3_IsWG=1,AR30=1),MAX(0,(Slot3_Cost-AS30*(1+Slot3_Rate)^(Slot3_Age-D30))/IV30),0)</f>
        <v>0</v>
      </c>
      <c r="IX30" s="20" t="n">
        <f aca="false">IF(AND(HU30=1,IE30&gt;0,Slot3_IsWG=1,AR30=1),MIN(IE30,IW30),0)</f>
        <v>0</v>
      </c>
      <c r="IY30" s="20" t="n">
        <f aca="false">AS30+IX30</f>
        <v>0</v>
      </c>
      <c r="IZ30" s="20" t="n">
        <f aca="false">IF(AR30=1,MAX(0,(Slot3_Cost-IY30*(1+Slot3_Rate)^(Slot3_Age-D30))/IV30),0)</f>
        <v>0</v>
      </c>
      <c r="JA30" s="20" t="n">
        <f aca="false">IF(AR30=1,MAX(0,(Slot3_Cost-AS30*(1+Slot3_Rate)^(Slot3_Age-D30))/IV30),0)</f>
        <v>0</v>
      </c>
      <c r="JB30" s="20" t="n">
        <f aca="false">IF(AND(HU30=1,AR30=1),MIN(IU30,IZ30),0)</f>
        <v>0</v>
      </c>
      <c r="JC30" s="20" t="n">
        <f aca="false">IU30-JB30</f>
        <v>9275.87802465528</v>
      </c>
      <c r="JD30" s="20" t="n">
        <f aca="false">IF(BB30=1,IF(ABS((1+AS_Wage)/(1+Slot4_Rate)-1)&lt;0.000000000001,(Slot4_Age-D30)*(1+Slot4_Rate)^(Slot4_Age-D30),(1+Slot4_Rate)^(Slot4_Age-D30)*(1-((1+AS_Wage)/(1+Slot4_Rate))^(Slot4_Age-D30))/(1-(1+AS_Wage)/(1+Slot4_Rate))),1)</f>
        <v>1</v>
      </c>
      <c r="JE30" s="20" t="n">
        <f aca="false">IF(AND(HU30=1,IE30&gt;0,Slot4_IsWG=1,BB30=1),MAX(0,(Slot4_Cost-BC30*(1+Slot4_Rate)^(Slot4_Age-D30))/JD30),0)</f>
        <v>0</v>
      </c>
      <c r="JF30" s="20" t="n">
        <f aca="false">IF(AND(HU30=1,IE30&gt;0,Slot4_IsWG=1,BB30=1),MIN(IE30,JE30),0)</f>
        <v>0</v>
      </c>
      <c r="JG30" s="20" t="n">
        <f aca="false">BC30+JF30</f>
        <v>0</v>
      </c>
      <c r="JH30" s="20" t="n">
        <f aca="false">IF(BB30=1,MAX(0,(Slot4_Cost-JG30*(1+Slot4_Rate)^(Slot4_Age-D30))/JD30),0)</f>
        <v>0</v>
      </c>
      <c r="JI30" s="20" t="n">
        <f aca="false">IF(BB30=1,MAX(0,(Slot4_Cost-BC30*(1+Slot4_Rate)^(Slot4_Age-D30))/JD30),0)</f>
        <v>0</v>
      </c>
      <c r="JJ30" s="20" t="n">
        <f aca="false">IF(AND(HU30=1,BB30=1),MIN(JC30,JH30),0)</f>
        <v>0</v>
      </c>
      <c r="JK30" s="20" t="n">
        <f aca="false">JC30-JJ30</f>
        <v>9275.87802465528</v>
      </c>
      <c r="JL30" s="20" t="n">
        <f aca="false">IF(BL30=1,IF(ABS((1+AS_Wage)/(1+Slot5_Rate)-1)&lt;0.000000000001,(Slot5_Age-D30)*(1+Slot5_Rate)^(Slot5_Age-D30),(1+Slot5_Rate)^(Slot5_Age-D30)*(1-((1+AS_Wage)/(1+Slot5_Rate))^(Slot5_Age-D30))/(1-(1+AS_Wage)/(1+Slot5_Rate))),1)</f>
        <v>1</v>
      </c>
      <c r="JM30" s="20" t="n">
        <f aca="false">IF(AND(HU30=1,IE30&gt;0,Slot5_IsWG=1,BL30=1),MAX(0,(Slot5_Cost-BM30*(1+Slot5_Rate)^(Slot5_Age-D30))/JL30),0)</f>
        <v>0</v>
      </c>
      <c r="JN30" s="20" t="n">
        <f aca="false">IF(AND(HU30=1,IE30&gt;0,Slot5_IsWG=1,BL30=1),MIN(IE30,JM30),0)</f>
        <v>0</v>
      </c>
      <c r="JO30" s="20" t="n">
        <f aca="false">BM30+JN30</f>
        <v>0</v>
      </c>
      <c r="JP30" s="20" t="n">
        <f aca="false">IF(BL30=1,MAX(0,(Slot5_Cost-JO30*(1+Slot5_Rate)^(Slot5_Age-D30))/JL30),0)</f>
        <v>0</v>
      </c>
      <c r="JQ30" s="20" t="n">
        <f aca="false">IF(BL30=1,MAX(0,(Slot5_Cost-BM30*(1+Slot5_Rate)^(Slot5_Age-D30))/JL30),0)</f>
        <v>0</v>
      </c>
      <c r="JR30" s="20" t="n">
        <f aca="false">IF(AND(HU30=1,BL30=1),MIN(JK30,JP30),0)</f>
        <v>0</v>
      </c>
      <c r="JS30" s="20" t="n">
        <f aca="false">JK30-JR30</f>
        <v>9275.87802465528</v>
      </c>
      <c r="JT30" s="20" t="n">
        <f aca="false">IF(BV30=1,IF(ABS((1+AS_Wage)/(1+Slot6_Rate)-1)&lt;0.000000000001,(Slot6_Age-D30)*(1+Slot6_Rate)^(Slot6_Age-D30),(1+Slot6_Rate)^(Slot6_Age-D30)*(1-((1+AS_Wage)/(1+Slot6_Rate))^(Slot6_Age-D30))/(1-(1+AS_Wage)/(1+Slot6_Rate))),1)</f>
        <v>1</v>
      </c>
      <c r="JU30" s="20" t="n">
        <f aca="false">IF(AND(HU30=1,IE30&gt;0,Slot6_IsWG=1,BV30=1),MAX(0,(Slot6_Cost-BW30*(1+Slot6_Rate)^(Slot6_Age-D30))/JT30),0)</f>
        <v>0</v>
      </c>
      <c r="JV30" s="20" t="n">
        <f aca="false">IF(AND(HU30=1,IE30&gt;0,Slot6_IsWG=1,BV30=1),MIN(IE30,JU30),0)</f>
        <v>0</v>
      </c>
      <c r="JW30" s="20" t="n">
        <f aca="false">BW30+JV30</f>
        <v>0</v>
      </c>
      <c r="JX30" s="20" t="n">
        <f aca="false">IF(BV30=1,MAX(0,(Slot6_Cost-JW30*(1+Slot6_Rate)^(Slot6_Age-D30))/JT30),0)</f>
        <v>0</v>
      </c>
      <c r="JY30" s="20" t="n">
        <f aca="false">IF(BV30=1,MAX(0,(Slot6_Cost-BW30*(1+Slot6_Rate)^(Slot6_Age-D30))/JT30),0)</f>
        <v>0</v>
      </c>
      <c r="JZ30" s="20" t="n">
        <f aca="false">IF(AND(HU30=1,BV30=1),MIN(JS30,JX30),0)</f>
        <v>0</v>
      </c>
      <c r="KA30" s="20" t="n">
        <f aca="false">JS30-JZ30</f>
        <v>9275.87802465528</v>
      </c>
      <c r="KB30" s="20" t="n">
        <f aca="false">IF(CF30=1,IF(ABS((1+AS_Wage)/(1+Slot7_Rate)-1)&lt;0.000000000001,(Slot7_Age-D30)*(1+Slot7_Rate)^(Slot7_Age-D30),(1+Slot7_Rate)^(Slot7_Age-D30)*(1-((1+AS_Wage)/(1+Slot7_Rate))^(Slot7_Age-D30))/(1-(1+AS_Wage)/(1+Slot7_Rate))),1)</f>
        <v>1</v>
      </c>
      <c r="KC30" s="20" t="n">
        <f aca="false">IF(AND(HU30=1,IE30&gt;0,Slot7_IsWG=1,CF30=1),MAX(0,(Slot7_Cost-CG30*(1+Slot7_Rate)^(Slot7_Age-D30))/KB30),0)</f>
        <v>0</v>
      </c>
      <c r="KD30" s="20" t="n">
        <f aca="false">IF(AND(HU30=1,IE30&gt;0,Slot7_IsWG=1,CF30=1),MIN(IE30,KC30),0)</f>
        <v>0</v>
      </c>
      <c r="KE30" s="20" t="n">
        <f aca="false">CG30+KD30</f>
        <v>0</v>
      </c>
      <c r="KF30" s="20" t="n">
        <f aca="false">IF(CF30=1,MAX(0,(Slot7_Cost-KE30*(1+Slot7_Rate)^(Slot7_Age-D30))/KB30),0)</f>
        <v>0</v>
      </c>
      <c r="KG30" s="20" t="n">
        <f aca="false">IF(CF30=1,MAX(0,(Slot7_Cost-CG30*(1+Slot7_Rate)^(Slot7_Age-D30))/KB30),0)</f>
        <v>0</v>
      </c>
      <c r="KH30" s="20" t="n">
        <f aca="false">IF(AND(HU30=1,CF30=1),MIN(KA30,KF30),0)</f>
        <v>0</v>
      </c>
      <c r="KI30" s="20" t="n">
        <f aca="false">KA30-KH30</f>
        <v>9275.87802465528</v>
      </c>
      <c r="KJ30" s="20" t="n">
        <f aca="false">IF(CP30=1,IF(ABS((1+AS_Wage)/(1+Slot8_Rate)-1)&lt;0.000000000001,(Slot8_Age-D30)*(1+Slot8_Rate)^(Slot8_Age-D30),(1+Slot8_Rate)^(Slot8_Age-D30)*(1-((1+AS_Wage)/(1+Slot8_Rate))^(Slot8_Age-D30))/(1-(1+AS_Wage)/(1+Slot8_Rate))),1)</f>
        <v>1</v>
      </c>
      <c r="KK30" s="20" t="n">
        <f aca="false">IF(AND(HU30=1,IE30&gt;0,Slot8_IsWG=1,CP30=1),MAX(0,(Slot8_Cost-CQ30*(1+Slot8_Rate)^(Slot8_Age-D30))/KJ30),0)</f>
        <v>0</v>
      </c>
      <c r="KL30" s="20" t="n">
        <f aca="false">IF(AND(HU30=1,IE30&gt;0,Slot8_IsWG=1,CP30=1),MIN(IE30,KK30),0)</f>
        <v>0</v>
      </c>
      <c r="KM30" s="20" t="n">
        <f aca="false">CQ30+KL30</f>
        <v>0</v>
      </c>
      <c r="KN30" s="20" t="n">
        <f aca="false">IF(CP30=1,MAX(0,(Slot8_Cost-KM30*(1+Slot8_Rate)^(Slot8_Age-D30))/KJ30),0)</f>
        <v>0</v>
      </c>
      <c r="KO30" s="20" t="n">
        <f aca="false">IF(CP30=1,MAX(0,(Slot8_Cost-CQ30*(1+Slot8_Rate)^(Slot8_Age-D30))/KJ30),0)</f>
        <v>0</v>
      </c>
      <c r="KP30" s="20" t="n">
        <f aca="false">IF(AND(HU30=1,CP30=1),MIN(KI30,KN30),0)</f>
        <v>0</v>
      </c>
      <c r="KQ30" s="20" t="n">
        <f aca="false">KI30-KP30</f>
        <v>9275.87802465528</v>
      </c>
      <c r="KR30" s="20" t="n">
        <f aca="false">IF(CZ30=1,IF(ABS((1+AS_Wage)/(1+Slot9_Rate)-1)&lt;0.000000000001,(Slot9_Age-D30)*(1+Slot9_Rate)^(Slot9_Age-D30),(1+Slot9_Rate)^(Slot9_Age-D30)*(1-((1+AS_Wage)/(1+Slot9_Rate))^(Slot9_Age-D30))/(1-(1+AS_Wage)/(1+Slot9_Rate))),1)</f>
        <v>1</v>
      </c>
      <c r="KS30" s="20" t="n">
        <f aca="false">IF(AND(HU30=1,IE30&gt;0,Slot9_IsWG=1,CZ30=1),MAX(0,(Slot9_Cost-DA30*(1+Slot9_Rate)^(Slot9_Age-D30))/KR30),0)</f>
        <v>0</v>
      </c>
      <c r="KT30" s="20" t="n">
        <f aca="false">IF(AND(HU30=1,IE30&gt;0,Slot9_IsWG=1,CZ30=1),MIN(IE30,KS30),0)</f>
        <v>0</v>
      </c>
      <c r="KU30" s="20" t="n">
        <f aca="false">DA30+KT30</f>
        <v>0</v>
      </c>
      <c r="KV30" s="20" t="n">
        <f aca="false">IF(CZ30=1,MAX(0,(Slot9_Cost-KU30*(1+Slot9_Rate)^(Slot9_Age-D30))/KR30),0)</f>
        <v>0</v>
      </c>
      <c r="KW30" s="20" t="n">
        <f aca="false">IF(CZ30=1,MAX(0,(Slot9_Cost-DA30*(1+Slot9_Rate)^(Slot9_Age-D30))/KR30),0)</f>
        <v>0</v>
      </c>
      <c r="KX30" s="20" t="n">
        <f aca="false">IF(AND(HU30=1,CZ30=1),MIN(KQ30,KV30),0)</f>
        <v>0</v>
      </c>
      <c r="KY30" s="20" t="n">
        <f aca="false">KQ30-KX30</f>
        <v>9275.87802465528</v>
      </c>
      <c r="KZ30" s="20" t="n">
        <f aca="false">IF(DJ30=1,IF(ABS((1+AS_Wage)/(1+Slot10_Rate)-1)&lt;0.000000000001,(Slot10_Age-D30)*(1+Slot10_Rate)^(Slot10_Age-D30),(1+Slot10_Rate)^(Slot10_Age-D30)*(1-((1+AS_Wage)/(1+Slot10_Rate))^(Slot10_Age-D30))/(1-(1+AS_Wage)/(1+Slot10_Rate))),1)</f>
        <v>1</v>
      </c>
      <c r="LA30" s="20" t="n">
        <f aca="false">IF(AND(HU30=1,IE30&gt;0,Slot10_IsWG=1,DJ30=1),MAX(0,(Slot10_Cost-DK30*(1+Slot10_Rate)^(Slot10_Age-D30))/KZ30),0)</f>
        <v>0</v>
      </c>
      <c r="LB30" s="20" t="n">
        <f aca="false">IF(AND(HU30=1,IE30&gt;0,Slot10_IsWG=1,DJ30=1),MIN(IE30,LA30),0)</f>
        <v>0</v>
      </c>
      <c r="LC30" s="20" t="n">
        <f aca="false">DK30+LB30</f>
        <v>0</v>
      </c>
      <c r="LD30" s="20" t="n">
        <f aca="false">IF(DJ30=1,MAX(0,(Slot10_Cost-LC30*(1+Slot10_Rate)^(Slot10_Age-D30))/KZ30),0)</f>
        <v>0</v>
      </c>
      <c r="LE30" s="20" t="n">
        <f aca="false">IF(DJ30=1,MAX(0,(Slot10_Cost-DK30*(1+Slot10_Rate)^(Slot10_Age-D30))/KZ30),0)</f>
        <v>0</v>
      </c>
      <c r="LF30" s="20" t="n">
        <f aca="false">IF(AND(HU30=1,DJ30=1),MIN(KY30,LD30),0)</f>
        <v>0</v>
      </c>
      <c r="LG30" s="20" t="n">
        <f aca="false">KY30-LF30</f>
        <v>9275.87802465528</v>
      </c>
      <c r="LH30" s="20" t="n">
        <f aca="false">IF(DT30=1,IF(ABS((1+AS_Wage)/(1+Slot11_Rate)-1)&lt;0.000000000001,(Slot11_Age-D30)*(1+Slot11_Rate)^(Slot11_Age-D30),(1+Slot11_Rate)^(Slot11_Age-D30)*(1-((1+AS_Wage)/(1+Slot11_Rate))^(Slot11_Age-D30))/(1-(1+AS_Wage)/(1+Slot11_Rate))),1)</f>
        <v>1</v>
      </c>
      <c r="LI30" s="20" t="n">
        <f aca="false">IF(AND(HU30=1,IE30&gt;0,Slot11_IsWG=1,DT30=1),MAX(0,(Slot11_Cost-DU30*(1+Slot11_Rate)^(Slot11_Age-D30))/LH30),0)</f>
        <v>0</v>
      </c>
      <c r="LJ30" s="20" t="n">
        <f aca="false">IF(AND(HU30=1,IE30&gt;0,Slot11_IsWG=1,DT30=1),MIN(IE30,LI30),0)</f>
        <v>0</v>
      </c>
      <c r="LK30" s="20" t="n">
        <f aca="false">DU30+LJ30</f>
        <v>0</v>
      </c>
      <c r="LL30" s="20" t="n">
        <f aca="false">IF(DT30=1,MAX(0,(Slot11_Cost-LK30*(1+Slot11_Rate)^(Slot11_Age-D30))/LH30),0)</f>
        <v>0</v>
      </c>
      <c r="LM30" s="20" t="n">
        <f aca="false">IF(DT30=1,MAX(0,(Slot11_Cost-DU30*(1+Slot11_Rate)^(Slot11_Age-D30))/LH30),0)</f>
        <v>0</v>
      </c>
      <c r="LN30" s="20" t="n">
        <f aca="false">IF(AND(HU30=1,DT30=1),MIN(LG30,LL30),0)</f>
        <v>0</v>
      </c>
      <c r="LO30" s="20" t="n">
        <f aca="false">LG30-LN30</f>
        <v>9275.87802465528</v>
      </c>
      <c r="LP30" s="20" t="n">
        <f aca="false">IF(ED30=1,IF(ABS((1+AS_Wage)/(1+Slot12_Rate)-1)&lt;0.000000000001,(Slot12_Age-D30)*(1+Slot12_Rate)^(Slot12_Age-D30),(1+Slot12_Rate)^(Slot12_Age-D30)*(1-((1+AS_Wage)/(1+Slot12_Rate))^(Slot12_Age-D30))/(1-(1+AS_Wage)/(1+Slot12_Rate))),1)</f>
        <v>1</v>
      </c>
      <c r="LQ30" s="20" t="n">
        <f aca="false">IF(AND(HU30=1,IE30&gt;0,Slot12_IsWG=1,ED30=1),MAX(0,(Slot12_Cost-EE30*(1+Slot12_Rate)^(Slot12_Age-D30))/LP30),0)</f>
        <v>0</v>
      </c>
      <c r="LR30" s="20" t="n">
        <f aca="false">IF(AND(HU30=1,IE30&gt;0,Slot12_IsWG=1,ED30=1),MIN(IE30,LQ30),0)</f>
        <v>0</v>
      </c>
      <c r="LS30" s="20" t="n">
        <f aca="false">EE30+LR30</f>
        <v>0</v>
      </c>
      <c r="LT30" s="20" t="n">
        <f aca="false">IF(ED30=1,MAX(0,(Slot12_Cost-LS30*(1+Slot12_Rate)^(Slot12_Age-D30))/LP30),0)</f>
        <v>0</v>
      </c>
      <c r="LU30" s="20" t="n">
        <f aca="false">IF(ED30=1,MAX(0,(Slot12_Cost-EE30*(1+Slot12_Rate)^(Slot12_Age-D30))/LP30),0)</f>
        <v>0</v>
      </c>
      <c r="LV30" s="20" t="n">
        <f aca="false">IF(AND(HU30=1,ED30=1),MIN(LO30,LT30),0)</f>
        <v>0</v>
      </c>
      <c r="LW30" s="20" t="n">
        <f aca="false">LO30-LV30</f>
        <v>9275.87802465528</v>
      </c>
      <c r="LX30" s="20" t="n">
        <f aca="false">IF(EN30=1,IF(ABS((1+AS_Wage)/(1+Slot13_Rate)-1)&lt;0.000000000001,(Slot13_Age-D30)*(1+Slot13_Rate)^(Slot13_Age-D30),(1+Slot13_Rate)^(Slot13_Age-D30)*(1-((1+AS_Wage)/(1+Slot13_Rate))^(Slot13_Age-D30))/(1-(1+AS_Wage)/(1+Slot13_Rate))),1)</f>
        <v>1</v>
      </c>
      <c r="LY30" s="20" t="n">
        <f aca="false">IF(AND(HU30=1,IE30&gt;0,Slot13_IsWG=1,EN30=1),MAX(0,(Slot13_Cost-EO30*(1+Slot13_Rate)^(Slot13_Age-D30))/LX30),0)</f>
        <v>0</v>
      </c>
      <c r="LZ30" s="20" t="n">
        <f aca="false">IF(AND(HU30=1,IE30&gt;0,Slot13_IsWG=1,EN30=1),MIN(IE30,LY30),0)</f>
        <v>0</v>
      </c>
      <c r="MA30" s="20" t="n">
        <f aca="false">EO30+LZ30</f>
        <v>0</v>
      </c>
      <c r="MB30" s="20" t="n">
        <f aca="false">IF(EN30=1,MAX(0,(Slot13_Cost-MA30*(1+Slot13_Rate)^(Slot13_Age-D30))/LX30),0)</f>
        <v>0</v>
      </c>
      <c r="MC30" s="20" t="n">
        <f aca="false">IF(EN30=1,MAX(0,(Slot13_Cost-EO30*(1+Slot13_Rate)^(Slot13_Age-D30))/LX30),0)</f>
        <v>0</v>
      </c>
      <c r="MD30" s="20" t="n">
        <f aca="false">IF(AND(HU30=1,EN30=1),MIN(LW30,MB30),0)</f>
        <v>0</v>
      </c>
      <c r="ME30" s="20" t="n">
        <f aca="false">LW30-MD30</f>
        <v>9275.87802465528</v>
      </c>
      <c r="MF30" s="20" t="n">
        <f aca="false">IF(EX30=1,IF(ABS((1+AS_Wage)/(1+Slot14_Rate)-1)&lt;0.000000000001,(Slot14_Age-D30)*(1+Slot14_Rate)^(Slot14_Age-D30),(1+Slot14_Rate)^(Slot14_Age-D30)*(1-((1+AS_Wage)/(1+Slot14_Rate))^(Slot14_Age-D30))/(1-(1+AS_Wage)/(1+Slot14_Rate))),1)</f>
        <v>1</v>
      </c>
      <c r="MG30" s="20" t="n">
        <f aca="false">IF(AND(HU30=1,IE30&gt;0,Slot14_IsWG=1,EX30=1),MAX(0,(Slot14_Cost-EY30*(1+Slot14_Rate)^(Slot14_Age-D30))/MF30),0)</f>
        <v>0</v>
      </c>
      <c r="MH30" s="20" t="n">
        <f aca="false">IF(AND(HU30=1,IE30&gt;0,Slot14_IsWG=1,EX30=1),MIN(IE30,MG30),0)</f>
        <v>0</v>
      </c>
      <c r="MI30" s="20" t="n">
        <f aca="false">EY30+MH30</f>
        <v>0</v>
      </c>
      <c r="MJ30" s="20" t="n">
        <f aca="false">IF(EX30=1,MAX(0,(Slot14_Cost-MI30*(1+Slot14_Rate)^(Slot14_Age-D30))/MF30),0)</f>
        <v>0</v>
      </c>
      <c r="MK30" s="20" t="n">
        <f aca="false">IF(EX30=1,MAX(0,(Slot14_Cost-EY30*(1+Slot14_Rate)^(Slot14_Age-D30))/MF30),0)</f>
        <v>0</v>
      </c>
      <c r="ML30" s="20" t="n">
        <f aca="false">IF(AND(HU30=1,EX30=1),MIN(ME30,MJ30),0)</f>
        <v>0</v>
      </c>
      <c r="MM30" s="20" t="n">
        <f aca="false">ME30-ML30</f>
        <v>9275.87802465528</v>
      </c>
      <c r="MN30" s="20" t="n">
        <f aca="false">IF(FH30=1,IF(ABS((1+AS_Wage)/(1+Slot15_Rate)-1)&lt;0.000000000001,(Slot15_Age-D30)*(1+Slot15_Rate)^(Slot15_Age-D30),(1+Slot15_Rate)^(Slot15_Age-D30)*(1-((1+AS_Wage)/(1+Slot15_Rate))^(Slot15_Age-D30))/(1-(1+AS_Wage)/(1+Slot15_Rate))),1)</f>
        <v>1</v>
      </c>
      <c r="MO30" s="20" t="n">
        <f aca="false">IF(AND(HU30=1,IE30&gt;0,Slot15_IsWG=1,FH30=1),MAX(0,(Slot15_Cost-FI30*(1+Slot15_Rate)^(Slot15_Age-D30))/MN30),0)</f>
        <v>0</v>
      </c>
      <c r="MP30" s="20" t="n">
        <f aca="false">IF(AND(HU30=1,IE30&gt;0,Slot15_IsWG=1,FH30=1),MIN(IE30,MO30),0)</f>
        <v>0</v>
      </c>
      <c r="MQ30" s="20" t="n">
        <f aca="false">FI30+MP30</f>
        <v>0</v>
      </c>
      <c r="MR30" s="20" t="n">
        <f aca="false">IF(FH30=1,MAX(0,(Slot15_Cost-MQ30*(1+Slot15_Rate)^(Slot15_Age-D30))/MN30),0)</f>
        <v>0</v>
      </c>
      <c r="MS30" s="20" t="n">
        <f aca="false">IF(FH30=1,MAX(0,(Slot15_Cost-FI30*(1+Slot15_Rate)^(Slot15_Age-D30))/MN30),0)</f>
        <v>0</v>
      </c>
      <c r="MT30" s="20" t="n">
        <f aca="false">IF(AND(HU30=1,FH30=1),MIN(MM30,MR30),0)</f>
        <v>0</v>
      </c>
      <c r="MU30" s="20" t="n">
        <f aca="false">MM30-MT30</f>
        <v>9275.87802465528</v>
      </c>
      <c r="MV30" s="20" t="n">
        <f aca="false">IF(FR30=1,IF(ABS((1+AS_Wage)/(1+Slot16_Rate)-1)&lt;0.000000000001,(Slot16_Age-D30)*(1+Slot16_Rate)^(Slot16_Age-D30),(1+Slot16_Rate)^(Slot16_Age-D30)*(1-((1+AS_Wage)/(1+Slot16_Rate))^(Slot16_Age-D30))/(1-(1+AS_Wage)/(1+Slot16_Rate))),1)</f>
        <v>1</v>
      </c>
      <c r="MW30" s="20" t="n">
        <f aca="false">IF(AND(HU30=1,IE30&gt;0,Slot16_IsWG=1,FR30=1),MAX(0,(Slot16_Cost-FS30*(1+Slot16_Rate)^(Slot16_Age-D30))/MV30),0)</f>
        <v>0</v>
      </c>
      <c r="MX30" s="20" t="n">
        <f aca="false">IF(AND(HU30=1,IE30&gt;0,Slot16_IsWG=1,FR30=1),MIN(IE30,MW30),0)</f>
        <v>0</v>
      </c>
      <c r="MY30" s="20" t="n">
        <f aca="false">FS30+MX30</f>
        <v>0</v>
      </c>
      <c r="MZ30" s="20" t="n">
        <f aca="false">IF(FR30=1,MAX(0,(Slot16_Cost-MY30*(1+Slot16_Rate)^(Slot16_Age-D30))/MV30),0)</f>
        <v>0</v>
      </c>
      <c r="NA30" s="20" t="n">
        <f aca="false">IF(FR30=1,MAX(0,(Slot16_Cost-FS30*(1+Slot16_Rate)^(Slot16_Age-D30))/MV30),0)</f>
        <v>0</v>
      </c>
      <c r="NB30" s="20" t="n">
        <f aca="false">IF(AND(HU30=1,FR30=1),MIN(MU30,MZ30),0)</f>
        <v>0</v>
      </c>
      <c r="NC30" s="20" t="n">
        <f aca="false">MU30-NB30</f>
        <v>9275.87802465528</v>
      </c>
      <c r="ND30" s="20" t="n">
        <f aca="false">IF(GB30=1,IF(ABS((1+AS_Wage)/(1+Slot17_Rate)-1)&lt;0.000000000001,(Slot17_Age-D30)*(1+Slot17_Rate)^(Slot17_Age-D30),(1+Slot17_Rate)^(Slot17_Age-D30)*(1-((1+AS_Wage)/(1+Slot17_Rate))^(Slot17_Age-D30))/(1-(1+AS_Wage)/(1+Slot17_Rate))),1)</f>
        <v>1</v>
      </c>
      <c r="NE30" s="20" t="n">
        <f aca="false">IF(AND(HU30=1,IE30&gt;0,Slot17_IsWG=1,GB30=1),MAX(0,(Slot17_Cost-GC30*(1+Slot17_Rate)^(Slot17_Age-D30))/ND30),0)</f>
        <v>0</v>
      </c>
      <c r="NF30" s="20" t="n">
        <f aca="false">IF(AND(HU30=1,IE30&gt;0,Slot17_IsWG=1,GB30=1),MIN(IE30,NE30),0)</f>
        <v>0</v>
      </c>
      <c r="NG30" s="20" t="n">
        <f aca="false">GC30+NF30</f>
        <v>0</v>
      </c>
      <c r="NH30" s="20" t="n">
        <f aca="false">IF(GB30=1,MAX(0,(Slot17_Cost-NG30*(1+Slot17_Rate)^(Slot17_Age-D30))/ND30),0)</f>
        <v>0</v>
      </c>
      <c r="NI30" s="20" t="n">
        <f aca="false">IF(GB30=1,MAX(0,(Slot17_Cost-GC30*(1+Slot17_Rate)^(Slot17_Age-D30))/ND30),0)</f>
        <v>0</v>
      </c>
      <c r="NJ30" s="20" t="n">
        <f aca="false">IF(AND(HU30=1,GB30=1),MIN(NC30,NH30),0)</f>
        <v>0</v>
      </c>
      <c r="NK30" s="20" t="n">
        <f aca="false">NC30-NJ30</f>
        <v>9275.87802465528</v>
      </c>
      <c r="NL30" s="20" t="n">
        <f aca="false">IF(GL30=1,IF(ABS((1+AS_Wage)/(1+Slot18_Rate)-1)&lt;0.000000000001,(Slot18_Age-D30)*(1+Slot18_Rate)^(Slot18_Age-D30),(1+Slot18_Rate)^(Slot18_Age-D30)*(1-((1+AS_Wage)/(1+Slot18_Rate))^(Slot18_Age-D30))/(1-(1+AS_Wage)/(1+Slot18_Rate))),1)</f>
        <v>1</v>
      </c>
      <c r="NM30" s="20" t="n">
        <f aca="false">IF(AND(HU30=1,IE30&gt;0,Slot18_IsWG=1,GL30=1),MAX(0,(Slot18_Cost-GM30*(1+Slot18_Rate)^(Slot18_Age-D30))/NL30),0)</f>
        <v>0</v>
      </c>
      <c r="NN30" s="20" t="n">
        <f aca="false">IF(AND(HU30=1,IE30&gt;0,Slot18_IsWG=1,GL30=1),MIN(IE30,NM30),0)</f>
        <v>0</v>
      </c>
      <c r="NO30" s="20" t="n">
        <f aca="false">GM30+NN30</f>
        <v>0</v>
      </c>
      <c r="NP30" s="20" t="n">
        <f aca="false">IF(GL30=1,MAX(0,(Slot18_Cost-NO30*(1+Slot18_Rate)^(Slot18_Age-D30))/NL30),0)</f>
        <v>0</v>
      </c>
      <c r="NQ30" s="20" t="n">
        <f aca="false">IF(GL30=1,MAX(0,(Slot18_Cost-GM30*(1+Slot18_Rate)^(Slot18_Age-D30))/NL30),0)</f>
        <v>0</v>
      </c>
      <c r="NR30" s="20" t="n">
        <f aca="false">IF(AND(HU30=1,GL30=1),MIN(NK30,NP30),0)</f>
        <v>0</v>
      </c>
      <c r="NS30" s="20" t="n">
        <f aca="false">NK30-NR30</f>
        <v>9275.87802465528</v>
      </c>
      <c r="NT30" s="20" t="n">
        <f aca="false">IF(GV30=1,IF(ABS((1+AS_Wage)/(1+Slot19_Rate)-1)&lt;0.000000000001,(Slot19_Age-D30)*(1+Slot19_Rate)^(Slot19_Age-D30),(1+Slot19_Rate)^(Slot19_Age-D30)*(1-((1+AS_Wage)/(1+Slot19_Rate))^(Slot19_Age-D30))/(1-(1+AS_Wage)/(1+Slot19_Rate))),1)</f>
        <v>1</v>
      </c>
      <c r="NU30" s="20" t="n">
        <f aca="false">IF(AND(HU30=1,IE30&gt;0,Slot19_IsWG=1,GV30=1),MAX(0,(Slot19_Cost-GW30*(1+Slot19_Rate)^(Slot19_Age-D30))/NT30),0)</f>
        <v>0</v>
      </c>
      <c r="NV30" s="20" t="n">
        <f aca="false">IF(AND(HU30=1,IE30&gt;0,Slot19_IsWG=1,GV30=1),MIN(IE30,NU30),0)</f>
        <v>0</v>
      </c>
      <c r="NW30" s="20" t="n">
        <f aca="false">GW30+NV30</f>
        <v>0</v>
      </c>
      <c r="NX30" s="20" t="n">
        <f aca="false">IF(GV30=1,MAX(0,(Slot19_Cost-NW30*(1+Slot19_Rate)^(Slot19_Age-D30))/NT30),0)</f>
        <v>0</v>
      </c>
      <c r="NY30" s="20" t="n">
        <f aca="false">IF(GV30=1,MAX(0,(Slot19_Cost-GW30*(1+Slot19_Rate)^(Slot19_Age-D30))/NT30),0)</f>
        <v>0</v>
      </c>
      <c r="NZ30" s="20" t="n">
        <f aca="false">IF(AND(HU30=1,GV30=1),MIN(NS30,NX30),0)</f>
        <v>0</v>
      </c>
      <c r="OA30" s="20" t="n">
        <f aca="false">NS30-NZ30</f>
        <v>9275.87802465528</v>
      </c>
      <c r="OB30" s="20" t="n">
        <f aca="false">IF(HF30=1,IF(ABS((1+AS_Wage)/(1+Slot20_Rate)-1)&lt;0.000000000001,(Slot20_Age-D30)*(1+Slot20_Rate)^(Slot20_Age-D30),(1+Slot20_Rate)^(Slot20_Age-D30)*(1-((1+AS_Wage)/(1+Slot20_Rate))^(Slot20_Age-D30))/(1-(1+AS_Wage)/(1+Slot20_Rate))),1)</f>
        <v>1</v>
      </c>
      <c r="OC30" s="20" t="n">
        <f aca="false">IF(AND(HU30=1,IE30&gt;0,Slot20_IsWG=1,HF30=1),MAX(0,(Slot20_Cost-HG30*(1+Slot20_Rate)^(Slot20_Age-D30))/OB30),0)</f>
        <v>0</v>
      </c>
      <c r="OD30" s="20" t="n">
        <f aca="false">IF(AND(HU30=1,IE30&gt;0,Slot20_IsWG=1,HF30=1),MIN(IE30,OC30),0)</f>
        <v>0</v>
      </c>
      <c r="OE30" s="20" t="n">
        <f aca="false">HG30+OD30</f>
        <v>0</v>
      </c>
      <c r="OF30" s="20" t="n">
        <f aca="false">IF(HF30=1,MAX(0,(Slot20_Cost-OE30*(1+Slot20_Rate)^(Slot20_Age-D30))/OB30),0)</f>
        <v>0</v>
      </c>
      <c r="OG30" s="20" t="n">
        <f aca="false">IF(HF30=1,MAX(0,(Slot20_Cost-HG30*(1+Slot20_Rate)^(Slot20_Age-D30))/OB30),0)</f>
        <v>0</v>
      </c>
      <c r="OH30" s="20" t="n">
        <f aca="false">IF(AND(HU30=1,HF30=1),MIN(OA30,OF30),0)</f>
        <v>0</v>
      </c>
      <c r="OI30" s="20" t="n">
        <f aca="false">OA30-OH30</f>
        <v>9275.87802465528</v>
      </c>
      <c r="OJ30" s="20" t="n">
        <f aca="false">IE30-(IH30+IP30+IX30+JF30+JN30+JV30+KD30+KL30+KT30+LB30+LJ30+LR30+LZ30+MH30+MP30+MX30+NF30+NN30+NV30+OD30)</f>
        <v>0</v>
      </c>
      <c r="OK30" s="20" t="n">
        <f aca="false">IF(HU30=1,HS30-ID30-IE30,0)</f>
        <v>33421.1495707179</v>
      </c>
      <c r="OL30" s="20" t="n">
        <f aca="false">IF(HU30=0,-HS30,0)</f>
        <v>0</v>
      </c>
      <c r="OM30" s="20" t="n">
        <f aca="false">MIN(OL30,HK30)</f>
        <v>0</v>
      </c>
      <c r="ON30" s="20" t="n">
        <f aca="false">OL30-OM30</f>
        <v>0</v>
      </c>
      <c r="OO30" s="20" t="n">
        <f aca="false">MIN(ON30,HL30)</f>
        <v>0</v>
      </c>
      <c r="OP30" s="20" t="n">
        <f aca="false">ON30-OO30</f>
        <v>0</v>
      </c>
      <c r="OQ30" s="20" t="n">
        <f aca="false">IF(AND(HU30=0,HF30=1,OP30&gt;0),MIN(OP30,HG30),0)</f>
        <v>0</v>
      </c>
      <c r="OR30" s="20" t="n">
        <f aca="false">OP30-OQ30</f>
        <v>0</v>
      </c>
      <c r="OS30" s="20" t="n">
        <f aca="false">IF(AND(HU30=0,GV30=1,OR30&gt;0),MIN(OR30,GW30),0)</f>
        <v>0</v>
      </c>
      <c r="OT30" s="20" t="n">
        <f aca="false">OR30-OS30</f>
        <v>0</v>
      </c>
      <c r="OU30" s="20" t="n">
        <f aca="false">IF(AND(HU30=0,GL30=1,OT30&gt;0),MIN(OT30,GM30),0)</f>
        <v>0</v>
      </c>
      <c r="OV30" s="20" t="n">
        <f aca="false">OT30-OU30</f>
        <v>0</v>
      </c>
      <c r="OW30" s="20" t="n">
        <f aca="false">IF(AND(HU30=0,GB30=1,OV30&gt;0),MIN(OV30,GC30),0)</f>
        <v>0</v>
      </c>
      <c r="OX30" s="20" t="n">
        <f aca="false">OV30-OW30</f>
        <v>0</v>
      </c>
      <c r="OY30" s="20" t="n">
        <f aca="false">IF(AND(HU30=0,FR30=1,OX30&gt;0),MIN(OX30,FS30),0)</f>
        <v>0</v>
      </c>
      <c r="OZ30" s="20" t="n">
        <f aca="false">OX30-OY30</f>
        <v>0</v>
      </c>
      <c r="PA30" s="20" t="n">
        <f aca="false">IF(AND(HU30=0,FH30=1,OZ30&gt;0),MIN(OZ30,FI30),0)</f>
        <v>0</v>
      </c>
      <c r="PB30" s="20" t="n">
        <f aca="false">OZ30-PA30</f>
        <v>0</v>
      </c>
      <c r="PC30" s="20" t="n">
        <f aca="false">IF(AND(HU30=0,EX30=1,PB30&gt;0),MIN(PB30,EY30),0)</f>
        <v>0</v>
      </c>
      <c r="PD30" s="20" t="n">
        <f aca="false">PB30-PC30</f>
        <v>0</v>
      </c>
      <c r="PE30" s="20" t="n">
        <f aca="false">IF(AND(HU30=0,EN30=1,PD30&gt;0),MIN(PD30,EO30),0)</f>
        <v>0</v>
      </c>
      <c r="PF30" s="20" t="n">
        <f aca="false">PD30-PE30</f>
        <v>0</v>
      </c>
      <c r="PG30" s="20" t="n">
        <f aca="false">IF(AND(HU30=0,ED30=1,PF30&gt;0),MIN(PF30,EE30),0)</f>
        <v>0</v>
      </c>
      <c r="PH30" s="20" t="n">
        <f aca="false">PF30-PG30</f>
        <v>0</v>
      </c>
      <c r="PI30" s="20" t="n">
        <f aca="false">IF(AND(HU30=0,DT30=1,PH30&gt;0),MIN(PH30,DU30),0)</f>
        <v>0</v>
      </c>
      <c r="PJ30" s="20" t="n">
        <f aca="false">PH30-PI30</f>
        <v>0</v>
      </c>
      <c r="PK30" s="20" t="n">
        <f aca="false">IF(AND(HU30=0,DJ30=1,PJ30&gt;0),MIN(PJ30,DK30),0)</f>
        <v>0</v>
      </c>
      <c r="PL30" s="20" t="n">
        <f aca="false">PJ30-PK30</f>
        <v>0</v>
      </c>
      <c r="PM30" s="20" t="n">
        <f aca="false">IF(AND(HU30=0,CZ30=1,PL30&gt;0),MIN(PL30,DA30),0)</f>
        <v>0</v>
      </c>
      <c r="PN30" s="20" t="n">
        <f aca="false">PL30-PM30</f>
        <v>0</v>
      </c>
      <c r="PO30" s="20" t="n">
        <f aca="false">IF(AND(HU30=0,CP30=1,PN30&gt;0),MIN(PN30,CQ30),0)</f>
        <v>0</v>
      </c>
      <c r="PP30" s="20" t="n">
        <f aca="false">PN30-PO30</f>
        <v>0</v>
      </c>
      <c r="PQ30" s="20" t="n">
        <f aca="false">IF(AND(HU30=0,CF30=1,PP30&gt;0),MIN(PP30,CG30),0)</f>
        <v>0</v>
      </c>
      <c r="PR30" s="20" t="n">
        <f aca="false">PP30-PQ30</f>
        <v>0</v>
      </c>
      <c r="PS30" s="20" t="n">
        <f aca="false">IF(AND(HU30=0,BV30=1,PR30&gt;0),MIN(PR30,BW30),0)</f>
        <v>0</v>
      </c>
      <c r="PT30" s="20" t="n">
        <f aca="false">PR30-PS30</f>
        <v>0</v>
      </c>
      <c r="PU30" s="20" t="n">
        <f aca="false">IF(AND(HU30=0,BL30=1,PT30&gt;0),MIN(PT30,BM30),0)</f>
        <v>0</v>
      </c>
      <c r="PV30" s="20" t="n">
        <f aca="false">PT30-PU30</f>
        <v>0</v>
      </c>
      <c r="PW30" s="20" t="n">
        <f aca="false">IF(AND(HU30=0,BB30=1,PV30&gt;0),MIN(PV30,BC30),0)</f>
        <v>0</v>
      </c>
      <c r="PX30" s="20" t="n">
        <f aca="false">PV30-PW30</f>
        <v>0</v>
      </c>
      <c r="PY30" s="20" t="n">
        <f aca="false">IF(AND(HU30=0,AR30=1,PX30&gt;0),MIN(PX30,AS30),0)</f>
        <v>0</v>
      </c>
      <c r="PZ30" s="20" t="n">
        <f aca="false">PX30-PY30</f>
        <v>0</v>
      </c>
      <c r="QA30" s="20" t="n">
        <f aca="false">IF(AND(HU30=0,AH30=1,PZ30&gt;0),MIN(PZ30,AI30),0)</f>
        <v>0</v>
      </c>
      <c r="QB30" s="20" t="n">
        <f aca="false">PZ30-QA30</f>
        <v>0</v>
      </c>
      <c r="QC30" s="20" t="n">
        <f aca="false">IF(AND(HU30=0,W30=1,QB30&gt;0),MIN(QB30,X30),0)</f>
        <v>0</v>
      </c>
      <c r="QD30" s="20" t="n">
        <f aca="false">QB30-QC30</f>
        <v>0</v>
      </c>
      <c r="QE30" s="20" t="n">
        <f aca="false">IF(HU30=0,QD30,0)</f>
        <v>0</v>
      </c>
      <c r="QF30" s="20" t="n">
        <f aca="false">OM30+OO30+QC30+QA30+PY30+PW30+PU30+PS30+PQ30+PO30+PM30+PK30+PI30+PG30+PE30+PC30+PA30+OY30+OW30+OU30+OS30+OQ30</f>
        <v>0</v>
      </c>
      <c r="QG30" s="20" t="n">
        <f aca="false">IF(HU30=1,HK30+OJ30+OI30+IF(G30=1,0,OK30),HK30-OM30)</f>
        <v>73343.6266815328</v>
      </c>
      <c r="QH30" s="20" t="n">
        <f aca="false">HL30-OO30</f>
        <v>19042.285763428</v>
      </c>
      <c r="QI30" s="20" t="n">
        <f aca="false">IF(HU30=1,IF(G30=1,ID30+IE30,HS30),0)</f>
        <v>9275.87802465528</v>
      </c>
      <c r="QJ30" s="20" t="n">
        <f aca="false">IF(HU30=1,IF(G30=1,HS30-ID30-IE30,0),0)</f>
        <v>33421.1495707179</v>
      </c>
      <c r="QK30" s="20" t="n">
        <f aca="false">QG30*(1+GR)</f>
        <v>74546.4621591099</v>
      </c>
      <c r="QL30" s="20" t="n">
        <f aca="false">QH30*(1+AS_Cash)</f>
        <v>19232.7086210622</v>
      </c>
      <c r="QM30" s="20" t="n">
        <f aca="false">IF(W30=1,IF(HU30=1,II30+IL30,X30-QC30)*(1+Slot1_Rate),0)</f>
        <v>0</v>
      </c>
      <c r="QN30" s="20" t="n">
        <f aca="false">IF(AND(HU30=1,W30=1),(IH30+IL30)/F30,0)</f>
        <v>0</v>
      </c>
      <c r="QO30" s="20" t="n">
        <f aca="false">IF(B30=0,IH30+IL30,0)</f>
        <v>0</v>
      </c>
      <c r="QP30" s="20" t="n">
        <f aca="false">IF(B30=0,IF(HU30=1,IJ30,IK30),0)</f>
        <v>0</v>
      </c>
      <c r="QQ30" s="20" t="n">
        <f aca="false">IF(AH30=1,IF(HU30=1,IQ30+IT30,AI30-QA30)*(1+Slot2_Rate),0)</f>
        <v>0</v>
      </c>
      <c r="QR30" s="20" t="n">
        <f aca="false">IF(AND(HU30=1,AH30=1),(IP30+IT30)/F30,0)</f>
        <v>0</v>
      </c>
      <c r="QS30" s="20" t="n">
        <f aca="false">IF(B30=0,IP30+IT30,0)</f>
        <v>0</v>
      </c>
      <c r="QT30" s="20" t="n">
        <f aca="false">IF(B30=0,IF(HU30=1,IR30,IS30),0)</f>
        <v>0</v>
      </c>
      <c r="QU30" s="20" t="n">
        <f aca="false">IF(AR30=1,IF(HU30=1,IY30+JB30,AS30-PY30)*(1+Slot3_Rate),0)</f>
        <v>0</v>
      </c>
      <c r="QV30" s="20" t="n">
        <f aca="false">IF(AND(HU30=1,AR30=1),(IX30+JB30)/F30,0)</f>
        <v>0</v>
      </c>
      <c r="QW30" s="20" t="n">
        <f aca="false">IF(B30=0,IX30+JB30,0)</f>
        <v>0</v>
      </c>
      <c r="QX30" s="20" t="n">
        <f aca="false">IF(B30=0,IF(HU30=1,IZ30,JA30),0)</f>
        <v>0</v>
      </c>
      <c r="QY30" s="20" t="n">
        <f aca="false">IF(BB30=1,IF(HU30=1,JG30+JJ30,BC30-PW30)*(1+Slot4_Rate),0)</f>
        <v>0</v>
      </c>
      <c r="QZ30" s="20" t="n">
        <f aca="false">IF(AND(HU30=1,BB30=1),(JF30+JJ30)/F30,0)</f>
        <v>0</v>
      </c>
      <c r="RA30" s="20" t="n">
        <f aca="false">IF(B30=0,JF30+JJ30,0)</f>
        <v>0</v>
      </c>
      <c r="RB30" s="20" t="n">
        <f aca="false">IF(B30=0,IF(HU30=1,JH30,JI30),0)</f>
        <v>0</v>
      </c>
      <c r="RC30" s="20" t="n">
        <f aca="false">IF(BL30=1,IF(HU30=1,JO30+JR30,BM30-PU30)*(1+Slot5_Rate),0)</f>
        <v>0</v>
      </c>
      <c r="RD30" s="20" t="n">
        <f aca="false">IF(AND(HU30=1,BL30=1),(JN30+JR30)/F30,0)</f>
        <v>0</v>
      </c>
      <c r="RE30" s="20" t="n">
        <f aca="false">IF(B30=0,JN30+JR30,0)</f>
        <v>0</v>
      </c>
      <c r="RF30" s="20" t="n">
        <f aca="false">IF(B30=0,IF(HU30=1,JP30,JQ30),0)</f>
        <v>0</v>
      </c>
      <c r="RG30" s="20" t="n">
        <f aca="false">IF(BV30=1,IF(HU30=1,JW30+JZ30,BW30-PS30)*(1+Slot6_Rate),0)</f>
        <v>0</v>
      </c>
      <c r="RH30" s="20" t="n">
        <f aca="false">IF(AND(HU30=1,BV30=1),(JV30+JZ30)/F30,0)</f>
        <v>0</v>
      </c>
      <c r="RI30" s="20" t="n">
        <f aca="false">IF(B30=0,JV30+JZ30,0)</f>
        <v>0</v>
      </c>
      <c r="RJ30" s="20" t="n">
        <f aca="false">IF(B30=0,IF(HU30=1,JX30,JY30),0)</f>
        <v>0</v>
      </c>
      <c r="RK30" s="20" t="n">
        <f aca="false">IF(CF30=1,IF(HU30=1,KE30+KH30,CG30-PQ30)*(1+Slot7_Rate),0)</f>
        <v>0</v>
      </c>
      <c r="RL30" s="20" t="n">
        <f aca="false">IF(AND(HU30=1,CF30=1),(KD30+KH30)/F30,0)</f>
        <v>0</v>
      </c>
      <c r="RM30" s="20" t="n">
        <f aca="false">IF(B30=0,KD30+KH30,0)</f>
        <v>0</v>
      </c>
      <c r="RN30" s="20" t="n">
        <f aca="false">IF(B30=0,IF(HU30=1,KF30,KG30),0)</f>
        <v>0</v>
      </c>
      <c r="RO30" s="20" t="n">
        <f aca="false">IF(CP30=1,IF(HU30=1,KM30+KP30,CQ30-PO30)*(1+Slot8_Rate),0)</f>
        <v>0</v>
      </c>
      <c r="RP30" s="20" t="n">
        <f aca="false">IF(AND(HU30=1,CP30=1),(KL30+KP30)/F30,0)</f>
        <v>0</v>
      </c>
      <c r="RQ30" s="20" t="n">
        <f aca="false">IF(B30=0,KL30+KP30,0)</f>
        <v>0</v>
      </c>
      <c r="RR30" s="20" t="n">
        <f aca="false">IF(B30=0,IF(HU30=1,KN30,KO30),0)</f>
        <v>0</v>
      </c>
      <c r="RS30" s="20" t="n">
        <f aca="false">IF(CZ30=1,IF(HU30=1,KU30+KX30,DA30-PM30)*(1+Slot9_Rate),0)</f>
        <v>0</v>
      </c>
      <c r="RT30" s="20" t="n">
        <f aca="false">IF(AND(HU30=1,CZ30=1),(KT30+KX30)/F30,0)</f>
        <v>0</v>
      </c>
      <c r="RU30" s="20" t="n">
        <f aca="false">IF(B30=0,KT30+KX30,0)</f>
        <v>0</v>
      </c>
      <c r="RV30" s="20" t="n">
        <f aca="false">IF(B30=0,IF(HU30=1,KV30,KW30),0)</f>
        <v>0</v>
      </c>
      <c r="RW30" s="20" t="n">
        <f aca="false">IF(DJ30=1,IF(HU30=1,LC30+LF30,DK30-PK30)*(1+Slot10_Rate),0)</f>
        <v>0</v>
      </c>
      <c r="RX30" s="20" t="n">
        <f aca="false">IF(AND(HU30=1,DJ30=1),(LB30+LF30)/F30,0)</f>
        <v>0</v>
      </c>
      <c r="RY30" s="20" t="n">
        <f aca="false">IF(B30=0,LB30+LF30,0)</f>
        <v>0</v>
      </c>
      <c r="RZ30" s="20" t="n">
        <f aca="false">IF(B30=0,IF(HU30=1,LD30,LE30),0)</f>
        <v>0</v>
      </c>
      <c r="SA30" s="20" t="n">
        <f aca="false">IF(DT30=1,IF(HU30=1,LK30+LN30,DU30-PI30)*(1+Slot11_Rate),0)</f>
        <v>0</v>
      </c>
      <c r="SB30" s="20" t="n">
        <f aca="false">IF(AND(HU30=1,DT30=1),(LJ30+LN30)/F30,0)</f>
        <v>0</v>
      </c>
      <c r="SC30" s="20" t="n">
        <f aca="false">IF(B30=0,LJ30+LN30,0)</f>
        <v>0</v>
      </c>
      <c r="SD30" s="20" t="n">
        <f aca="false">IF(B30=0,IF(HU30=1,LL30,LM30),0)</f>
        <v>0</v>
      </c>
      <c r="SE30" s="20" t="n">
        <f aca="false">IF(ED30=1,IF(HU30=1,LS30+LV30,EE30-PG30)*(1+Slot12_Rate),0)</f>
        <v>0</v>
      </c>
      <c r="SF30" s="20" t="n">
        <f aca="false">IF(AND(HU30=1,ED30=1),(LR30+LV30)/F30,0)</f>
        <v>0</v>
      </c>
      <c r="SG30" s="20" t="n">
        <f aca="false">IF(B30=0,LR30+LV30,0)</f>
        <v>0</v>
      </c>
      <c r="SH30" s="20" t="n">
        <f aca="false">IF(B30=0,IF(HU30=1,LT30,LU30),0)</f>
        <v>0</v>
      </c>
      <c r="SI30" s="20" t="n">
        <f aca="false">IF(EN30=1,IF(HU30=1,MA30+MD30,EO30-PE30)*(1+Slot13_Rate),0)</f>
        <v>0</v>
      </c>
      <c r="SJ30" s="20" t="n">
        <f aca="false">IF(AND(HU30=1,EN30=1),(LZ30+MD30)/F30,0)</f>
        <v>0</v>
      </c>
      <c r="SK30" s="20" t="n">
        <f aca="false">IF(B30=0,LZ30+MD30,0)</f>
        <v>0</v>
      </c>
      <c r="SL30" s="20" t="n">
        <f aca="false">IF(B30=0,IF(HU30=1,MB30,MC30),0)</f>
        <v>0</v>
      </c>
      <c r="SM30" s="20" t="n">
        <f aca="false">IF(EX30=1,IF(HU30=1,MI30+ML30,EY30-PC30)*(1+Slot14_Rate),0)</f>
        <v>0</v>
      </c>
      <c r="SN30" s="20" t="n">
        <f aca="false">IF(AND(HU30=1,EX30=1),(MH30+ML30)/F30,0)</f>
        <v>0</v>
      </c>
      <c r="SO30" s="20" t="n">
        <f aca="false">IF(B30=0,MH30+ML30,0)</f>
        <v>0</v>
      </c>
      <c r="SP30" s="20" t="n">
        <f aca="false">IF(B30=0,IF(HU30=1,MJ30,MK30),0)</f>
        <v>0</v>
      </c>
      <c r="SQ30" s="20" t="n">
        <f aca="false">IF(FH30=1,IF(HU30=1,MQ30+MT30,FI30-PA30)*(1+Slot15_Rate),0)</f>
        <v>0</v>
      </c>
      <c r="SR30" s="20" t="n">
        <f aca="false">IF(AND(HU30=1,FH30=1),(MP30+MT30)/F30,0)</f>
        <v>0</v>
      </c>
      <c r="SS30" s="20" t="n">
        <f aca="false">IF(B30=0,MP30+MT30,0)</f>
        <v>0</v>
      </c>
      <c r="ST30" s="20" t="n">
        <f aca="false">IF(B30=0,IF(HU30=1,MR30,MS30),0)</f>
        <v>0</v>
      </c>
      <c r="SU30" s="20" t="n">
        <f aca="false">IF(FR30=1,IF(HU30=1,MY30+NB30,FS30-OY30)*(1+Slot16_Rate),0)</f>
        <v>0</v>
      </c>
      <c r="SV30" s="20" t="n">
        <f aca="false">IF(AND(HU30=1,FR30=1),(MX30+NB30)/F30,0)</f>
        <v>0</v>
      </c>
      <c r="SW30" s="20" t="n">
        <f aca="false">IF(B30=0,MX30+NB30,0)</f>
        <v>0</v>
      </c>
      <c r="SX30" s="20" t="n">
        <f aca="false">IF(B30=0,IF(HU30=1,MZ30,NA30),0)</f>
        <v>0</v>
      </c>
      <c r="SY30" s="20" t="n">
        <f aca="false">IF(GB30=1,IF(HU30=1,NG30+NJ30,GC30-OW30)*(1+Slot17_Rate),0)</f>
        <v>0</v>
      </c>
      <c r="SZ30" s="20" t="n">
        <f aca="false">IF(AND(HU30=1,GB30=1),(NF30+NJ30)/F30,0)</f>
        <v>0</v>
      </c>
      <c r="TA30" s="20" t="n">
        <f aca="false">IF(B30=0,NF30+NJ30,0)</f>
        <v>0</v>
      </c>
      <c r="TB30" s="20" t="n">
        <f aca="false">IF(B30=0,IF(HU30=1,NH30,NI30),0)</f>
        <v>0</v>
      </c>
      <c r="TC30" s="20" t="n">
        <f aca="false">IF(GL30=1,IF(HU30=1,NO30+NR30,GM30-OU30)*(1+Slot18_Rate),0)</f>
        <v>0</v>
      </c>
      <c r="TD30" s="20" t="n">
        <f aca="false">IF(AND(HU30=1,GL30=1),(NN30+NR30)/F30,0)</f>
        <v>0</v>
      </c>
      <c r="TE30" s="20" t="n">
        <f aca="false">IF(B30=0,NN30+NR30,0)</f>
        <v>0</v>
      </c>
      <c r="TF30" s="20" t="n">
        <f aca="false">IF(B30=0,IF(HU30=1,NP30,NQ30),0)</f>
        <v>0</v>
      </c>
      <c r="TG30" s="20" t="n">
        <f aca="false">IF(GV30=1,IF(HU30=1,NW30+NZ30,GW30-OS30)*(1+Slot19_Rate),0)</f>
        <v>0</v>
      </c>
      <c r="TH30" s="20" t="n">
        <f aca="false">IF(AND(HU30=1,GV30=1),(NV30+NZ30)/F30,0)</f>
        <v>0</v>
      </c>
      <c r="TI30" s="20" t="n">
        <f aca="false">IF(B30=0,NV30+NZ30,0)</f>
        <v>0</v>
      </c>
      <c r="TJ30" s="20" t="n">
        <f aca="false">IF(B30=0,IF(HU30=1,NX30,NY30),0)</f>
        <v>0</v>
      </c>
      <c r="TK30" s="20" t="n">
        <f aca="false">IF(HF30=1,IF(HU30=1,OE30+OH30,HG30-OQ30)*(1+Slot20_Rate),0)</f>
        <v>0</v>
      </c>
      <c r="TL30" s="20" t="n">
        <f aca="false">IF(AND(HU30=1,HF30=1),(OD30+OH30)/F30,0)</f>
        <v>0</v>
      </c>
      <c r="TM30" s="20" t="n">
        <f aca="false">IF(B30=0,OD30+OH30,0)</f>
        <v>0</v>
      </c>
      <c r="TN30" s="20" t="n">
        <f aca="false">IF(B30=0,IF(HU30=1,OF30,OG30),0)</f>
        <v>0</v>
      </c>
      <c r="TO30" s="20" t="n">
        <f aca="false">QK30+QL30+QM30+QQ30+QU30+QY30+RC30+RG30+RK30+RO30+RS30+RW30+SA30+SE30+SI30+SM30+SQ30+SU30+SY30+TC30+TG30+TK30</f>
        <v>93779.1707801721</v>
      </c>
      <c r="TP30" s="20" t="n">
        <f aca="false">QE30+HP30</f>
        <v>0</v>
      </c>
      <c r="TQ30" s="20" t="n">
        <f aca="false">I30+S30</f>
        <v>69569.0851849146</v>
      </c>
      <c r="TR30" s="20" t="n">
        <f aca="false">1-G30</f>
        <v>0</v>
      </c>
      <c r="TS30" s="20" t="n">
        <f aca="false">IF(AND(RG_Exists=1,G30=0,C30=1),I30,0)</f>
        <v>0</v>
      </c>
      <c r="TT30" s="20" t="n">
        <f aca="false">IF(AND(RG_Exists=1,G30=0,C30=1),I30-MIN(QE30,I30),0)</f>
        <v>0</v>
      </c>
      <c r="TU30" s="20" t="n">
        <f aca="false">'Plan pay &amp; tax'!AD256</f>
        <v>522045.18935728</v>
      </c>
      <c r="TV30" s="20" t="n">
        <f aca="false">IF(AND(C30=1,QE30&gt;MAX(PR_Short1,TQ30*PR_Short2)),1,0)</f>
        <v>0</v>
      </c>
      <c r="TW30" s="20" t="n">
        <f aca="false">MIN(H30,I30+S30)</f>
        <v>69569.0851849146</v>
      </c>
      <c r="TX30" s="20" t="n">
        <f aca="false">QF30+MAX(0,HQ30-HP30)</f>
        <v>0</v>
      </c>
      <c r="TY30" s="20" t="n">
        <f aca="false">QE30+HP30</f>
        <v>0</v>
      </c>
      <c r="TZ30" s="20" t="n">
        <f aca="false">IF(AND(C30=1,TY30&gt;PR_MinShort),1,0)</f>
        <v>0</v>
      </c>
      <c r="UA30" s="20" t="n">
        <f aca="false">IF(AND(C30=1,TZ30=0,TX30&gt;PR_MinShort),1,0)</f>
        <v>0</v>
      </c>
      <c r="UB30" s="20" t="n">
        <f aca="false">IF(AND(C30=1,QE30&gt;PR_MinShort),1,0)</f>
        <v>0</v>
      </c>
      <c r="UC30" s="20" t="n">
        <f aca="false">IF(AND(C30=1,QF30&gt;1,UJ30=0),1,0)</f>
        <v>0</v>
      </c>
      <c r="UD30" s="20" t="str">
        <f aca="false">IF(C30=0,"",IF(UJ30=1,"Gap to plan for: short "&amp;"€"&amp;TEXT(ROUND(TP30,0),"#,##0"),IF(QF30&gt;1,"Using savings","Comfortable")))</f>
        <v>Comfortable</v>
      </c>
      <c r="UE30" s="20" t="n">
        <f aca="false">IF(AND(INT(D30/10)*10=90,B30&gt;0),80,INT(D30/10)*10)</f>
        <v>60</v>
      </c>
      <c r="UF30" s="20" t="n">
        <f aca="false">IF(B30=0,1,IF(UE30&lt;&gt;UE29,UF29+1,UF29))</f>
        <v>4</v>
      </c>
      <c r="UG30" s="20" t="n">
        <f aca="false">IF(AND(C30=1,G30=1,QE30&gt;MAX(PR_Short1,TQ30*PR_Short2)),1,0)</f>
        <v>0</v>
      </c>
      <c r="UH30" s="20" t="n">
        <f aca="false">TR30*TV30</f>
        <v>0</v>
      </c>
      <c r="UI30" s="20" t="n">
        <f aca="false">IF(AND(V30=1,Slot1_PctLow=1),1,0)+IF(AND(AG30=1,Slot2_PctLow=1),1,0)+IF(AND(AQ30=1,Slot3_PctLow=1),1,0)+IF(AND(BA30=1,Slot4_PctLow=1),1,0)+IF(AND(BK30=1,Slot5_PctLow=1),1,0)+IF(AND(BU30=1,Slot6_PctLow=1),1,0)+IF(AND(CE30=1,Slot7_PctLow=1),1,0)+IF(AND(CO30=1,Slot8_PctLow=1),1,0)+IF(AND(CY30=1,Slot9_PctLow=1),1,0)+IF(AND(DI30=1,Slot10_PctLow=1),1,0)+IF(AND(DS30=1,Slot11_PctLow=1),1,0)+IF(AND(EC30=1,Slot12_PctLow=1),1,0)+IF(AND(EM30=1,Slot13_PctLow=1),1,0)+IF(AND(EW30=1,Slot14_PctLow=1),1,0)+IF(AND(FG30=1,Slot15_PctLow=1),1,0)+IF(AND(FQ30=1,Slot16_PctLow=1),1,0)+IF(AND(GA30=1,Slot17_PctLow=1),1,0)+IF(AND(GK30=1,Slot18_PctLow=1),1,0)+IF(AND(GU30=1,Slot19_PctLow=1),1,0)+IF(AND(HE30=1,Slot20_PctLow=1),1,0)</f>
        <v>0</v>
      </c>
      <c r="UJ30" s="20" t="n">
        <f aca="false">IF(C30=1,IF(OR(TV30=1,UI30&gt;0),1,0),0)</f>
        <v>0</v>
      </c>
    </row>
    <row r="31" customFormat="false" ht="15" hidden="false" customHeight="true" outlineLevel="0" collapsed="false">
      <c r="B31" s="20" t="n">
        <v>23</v>
      </c>
      <c r="C31" s="20" t="n">
        <f aca="false">IF(B31&lt;=F_N,1,0)</f>
        <v>1</v>
      </c>
      <c r="D31" s="20" t="n">
        <f aca="false">'Plan pay &amp; tax'!C257</f>
        <v>61</v>
      </c>
      <c r="E31" s="20" t="str">
        <f aca="false">IF($C31=1,"Income tax "&amp;TEXT(N('Plan pay &amp; tax'!BK257),"#,##0")&amp;"; USC "&amp;TEXT(N('Plan pay &amp; tax'!BM257)+N('Plan pay &amp; tax'!BO257),"#,##0")&amp;"; PRSI "&amp;TEXT(N('Plan pay &amp; tax'!BP257)+N('Plan pay &amp; tax'!BQ257),"#,##0")&amp;". DIRT and exit tax are inside the growth rates here.","")</f>
        <v>Income tax 16,181; USC 2,208; PRSI 4,706. DIRT and exit tax are inside the growth rates here.</v>
      </c>
      <c r="F31" s="44" t="n">
        <f aca="false">'Plan pay &amp; tax'!E257</f>
        <v>1.5768992641914</v>
      </c>
      <c r="G31" s="20" t="n">
        <f aca="false">'Plan pay &amp; tax'!G257</f>
        <v>1</v>
      </c>
      <c r="H31" s="20" t="n">
        <f aca="false">'Plan pay &amp; tax'!BT257-'Plan pay &amp; tax'!BS257-'Plan pay &amp; tax'!R257</f>
        <v>115310.22022498</v>
      </c>
      <c r="I31" s="20" t="n">
        <f aca="false">IF(G31=1,F_CostsM*12,IF(RG_Exists=1,RG_Amount,F_CostsM*12*AS_RetireSpend))*F31+F_OneOffY*F31</f>
        <v>70960.4668886129</v>
      </c>
      <c r="J31" s="20" t="n">
        <f aca="false">HR30</f>
        <v>0</v>
      </c>
      <c r="K31" s="20" t="n">
        <f aca="false">IF(J31&gt;1,'Plan debt months'!AC31,0)</f>
        <v>0</v>
      </c>
      <c r="L31" s="20" t="n">
        <f aca="false">IF(J31&gt;1,'Plan debt months'!AB31,J31)</f>
        <v>0</v>
      </c>
      <c r="M31" s="20" t="n">
        <f aca="false">O30</f>
        <v>0</v>
      </c>
      <c r="N31" s="20" t="n">
        <f aca="false">IF(M31&gt;1,'Plan debt months'!BD31,0)</f>
        <v>0</v>
      </c>
      <c r="O31" s="20" t="n">
        <f aca="false">IF(M31&gt;1,'Plan debt months'!BC31,M31)</f>
        <v>0</v>
      </c>
      <c r="P31" s="20" t="n">
        <f aca="false">R30</f>
        <v>0</v>
      </c>
      <c r="Q31" s="20" t="n">
        <f aca="false">IF(P31&gt;1,'Plan debt months'!CE31,0)</f>
        <v>0</v>
      </c>
      <c r="R31" s="20" t="n">
        <f aca="false">IF(P31&gt;1,'Plan debt months'!CD31,P31)</f>
        <v>0</v>
      </c>
      <c r="S31" s="20" t="n">
        <f aca="false">K31+N31+Q31</f>
        <v>0</v>
      </c>
      <c r="T31" s="20" t="n">
        <f aca="false">QK30+'Plan pay &amp; tax'!Y257</f>
        <v>74546.4621591099</v>
      </c>
      <c r="U31" s="20" t="n">
        <f aca="false">QK30</f>
        <v>74546.4621591099</v>
      </c>
      <c r="V31" s="20" t="n">
        <f aca="false">IF(AND(Slot1_On=1,D31=Slot1_Age),1,0)</f>
        <v>0</v>
      </c>
      <c r="W31" s="20" t="n">
        <f aca="false">IF(AND(Slot1_On=1,Slot1_Age&gt;D31),1,0)</f>
        <v>0</v>
      </c>
      <c r="X31" s="20" t="n">
        <f aca="false">QM30</f>
        <v>0</v>
      </c>
      <c r="Y31" s="20" t="n">
        <f aca="false">V31*MIN(Slot1_Cost,X31)</f>
        <v>0</v>
      </c>
      <c r="Z31" s="20" t="n">
        <f aca="false">V31*Slot1_SpendLike*MIN(Slot1_Cost-Y31,T31)</f>
        <v>0</v>
      </c>
      <c r="AA31" s="20" t="n">
        <f aca="false">Y31+Z31</f>
        <v>0</v>
      </c>
      <c r="AB31" s="20" t="n">
        <f aca="false">T31-Z31+V31*IF(Slot1_SpendLike=1,X31-Y31,IF(Slot1_PotFree=1,X31,0))</f>
        <v>74546.4621591099</v>
      </c>
      <c r="AC31" s="20" t="n">
        <f aca="false">AF31+V31*Slot1_BufPot*X31</f>
        <v>19232.7086210622</v>
      </c>
      <c r="AD31" s="20" t="n">
        <f aca="false">IF(AND(V31=1,Slot1_IsMfree=1),IF(AA31&gt;=Slot1_Cost-1,0,MAX(0,L31-AA31)),L31)</f>
        <v>0</v>
      </c>
      <c r="AE31" s="20" t="n">
        <f aca="false">V31*(Slot1_Cost-AA31)</f>
        <v>0</v>
      </c>
      <c r="AF31" s="20" t="n">
        <f aca="false">QL30</f>
        <v>19232.7086210622</v>
      </c>
      <c r="AG31" s="20" t="n">
        <f aca="false">IF(AND(Slot2_On=1,D31=Slot2_Age),1,0)</f>
        <v>0</v>
      </c>
      <c r="AH31" s="20" t="n">
        <f aca="false">IF(AND(Slot2_On=1,Slot2_Age&gt;D31),1,0)</f>
        <v>0</v>
      </c>
      <c r="AI31" s="20" t="n">
        <f aca="false">QQ30</f>
        <v>0</v>
      </c>
      <c r="AJ31" s="20" t="n">
        <f aca="false">AG31*MIN(Slot2_Cost,AI31)</f>
        <v>0</v>
      </c>
      <c r="AK31" s="20" t="n">
        <f aca="false">AG31*Slot2_SpendLike*MIN(Slot2_Cost-AJ31,AB31)</f>
        <v>0</v>
      </c>
      <c r="AL31" s="20" t="n">
        <f aca="false">AJ31+AK31</f>
        <v>0</v>
      </c>
      <c r="AM31" s="20" t="n">
        <f aca="false">AB31-AK31+AG31*IF(Slot2_SpendLike=1,AI31-AJ31,IF(Slot2_PotFree=1,AI31,0))</f>
        <v>74546.4621591099</v>
      </c>
      <c r="AN31" s="20" t="n">
        <f aca="false">AC31+AG31*Slot2_BufPot*AI31</f>
        <v>19232.7086210622</v>
      </c>
      <c r="AO31" s="20" t="n">
        <f aca="false">IF(AND(AG31=1,Slot2_IsMfree=1),IF(AL31&gt;=Slot2_Cost-1,0,MAX(0,AD31-AL31)),AD31)</f>
        <v>0</v>
      </c>
      <c r="AP31" s="20" t="n">
        <f aca="false">AG31*(Slot2_Cost-AL31)</f>
        <v>0</v>
      </c>
      <c r="AQ31" s="20" t="n">
        <f aca="false">IF(AND(Slot3_On=1,D31=Slot3_Age),1,0)</f>
        <v>0</v>
      </c>
      <c r="AR31" s="20" t="n">
        <f aca="false">IF(AND(Slot3_On=1,Slot3_Age&gt;D31),1,0)</f>
        <v>0</v>
      </c>
      <c r="AS31" s="20" t="n">
        <f aca="false">QU30</f>
        <v>0</v>
      </c>
      <c r="AT31" s="20" t="n">
        <f aca="false">AQ31*MIN(Slot3_Cost,AS31)</f>
        <v>0</v>
      </c>
      <c r="AU31" s="20" t="n">
        <f aca="false">AQ31*Slot3_SpendLike*MIN(Slot3_Cost-AT31,AM31)</f>
        <v>0</v>
      </c>
      <c r="AV31" s="20" t="n">
        <f aca="false">AT31+AU31</f>
        <v>0</v>
      </c>
      <c r="AW31" s="20" t="n">
        <f aca="false">AM31-AU31+AQ31*IF(Slot3_SpendLike=1,AS31-AT31,IF(Slot3_PotFree=1,AS31,0))</f>
        <v>74546.4621591099</v>
      </c>
      <c r="AX31" s="20" t="n">
        <f aca="false">AN31+AQ31*Slot3_BufPot*AS31</f>
        <v>19232.7086210622</v>
      </c>
      <c r="AY31" s="20" t="n">
        <f aca="false">IF(AND(AQ31=1,Slot3_IsMfree=1),IF(AV31&gt;=Slot3_Cost-1,0,MAX(0,AO31-AV31)),AO31)</f>
        <v>0</v>
      </c>
      <c r="AZ31" s="20" t="n">
        <f aca="false">AQ31*(Slot3_Cost-AV31)</f>
        <v>0</v>
      </c>
      <c r="BA31" s="20" t="n">
        <f aca="false">IF(AND(Slot4_On=1,D31=Slot4_Age),1,0)</f>
        <v>0</v>
      </c>
      <c r="BB31" s="20" t="n">
        <f aca="false">IF(AND(Slot4_On=1,Slot4_Age&gt;D31),1,0)</f>
        <v>0</v>
      </c>
      <c r="BC31" s="20" t="n">
        <f aca="false">QY30</f>
        <v>0</v>
      </c>
      <c r="BD31" s="20" t="n">
        <f aca="false">BA31*MIN(Slot4_Cost,BC31)</f>
        <v>0</v>
      </c>
      <c r="BE31" s="20" t="n">
        <f aca="false">BA31*Slot4_SpendLike*MIN(Slot4_Cost-BD31,AW31)</f>
        <v>0</v>
      </c>
      <c r="BF31" s="20" t="n">
        <f aca="false">BD31+BE31</f>
        <v>0</v>
      </c>
      <c r="BG31" s="20" t="n">
        <f aca="false">AW31-BE31+BA31*IF(Slot4_SpendLike=1,BC31-BD31,IF(Slot4_PotFree=1,BC31,0))</f>
        <v>74546.4621591099</v>
      </c>
      <c r="BH31" s="20" t="n">
        <f aca="false">AX31+BA31*Slot4_BufPot*BC31</f>
        <v>19232.7086210622</v>
      </c>
      <c r="BI31" s="20" t="n">
        <f aca="false">IF(AND(BA31=1,Slot4_IsMfree=1),IF(BF31&gt;=Slot4_Cost-1,0,MAX(0,AY31-BF31)),AY31)</f>
        <v>0</v>
      </c>
      <c r="BJ31" s="20" t="n">
        <f aca="false">BA31*(Slot4_Cost-BF31)</f>
        <v>0</v>
      </c>
      <c r="BK31" s="20" t="n">
        <f aca="false">IF(AND(Slot5_On=1,D31=Slot5_Age),1,0)</f>
        <v>0</v>
      </c>
      <c r="BL31" s="20" t="n">
        <f aca="false">IF(AND(Slot5_On=1,Slot5_Age&gt;D31),1,0)</f>
        <v>0</v>
      </c>
      <c r="BM31" s="20" t="n">
        <f aca="false">RC30</f>
        <v>0</v>
      </c>
      <c r="BN31" s="20" t="n">
        <f aca="false">BK31*MIN(Slot5_Cost,BM31)</f>
        <v>0</v>
      </c>
      <c r="BO31" s="20" t="n">
        <f aca="false">BK31*Slot5_SpendLike*MIN(Slot5_Cost-BN31,BG31)</f>
        <v>0</v>
      </c>
      <c r="BP31" s="20" t="n">
        <f aca="false">BN31+BO31</f>
        <v>0</v>
      </c>
      <c r="BQ31" s="20" t="n">
        <f aca="false">BG31-BO31+BK31*IF(Slot5_SpendLike=1,BM31-BN31,IF(Slot5_PotFree=1,BM31,0))</f>
        <v>74546.4621591099</v>
      </c>
      <c r="BR31" s="20" t="n">
        <f aca="false">BH31+BK31*Slot5_BufPot*BM31</f>
        <v>19232.7086210622</v>
      </c>
      <c r="BS31" s="20" t="n">
        <f aca="false">IF(AND(BK31=1,Slot5_IsMfree=1),IF(BP31&gt;=Slot5_Cost-1,0,MAX(0,BI31-BP31)),BI31)</f>
        <v>0</v>
      </c>
      <c r="BT31" s="20" t="n">
        <f aca="false">BK31*(Slot5_Cost-BP31)</f>
        <v>0</v>
      </c>
      <c r="BU31" s="20" t="n">
        <f aca="false">IF(AND(Slot6_On=1,D31=Slot6_Age),1,0)</f>
        <v>0</v>
      </c>
      <c r="BV31" s="20" t="n">
        <f aca="false">IF(AND(Slot6_On=1,Slot6_Age&gt;D31),1,0)</f>
        <v>0</v>
      </c>
      <c r="BW31" s="20" t="n">
        <f aca="false">RG30</f>
        <v>0</v>
      </c>
      <c r="BX31" s="20" t="n">
        <f aca="false">BU31*MIN(Slot6_Cost,BW31)</f>
        <v>0</v>
      </c>
      <c r="BY31" s="20" t="n">
        <f aca="false">BU31*Slot6_SpendLike*MIN(Slot6_Cost-BX31,BQ31)</f>
        <v>0</v>
      </c>
      <c r="BZ31" s="20" t="n">
        <f aca="false">BX31+BY31</f>
        <v>0</v>
      </c>
      <c r="CA31" s="20" t="n">
        <f aca="false">BQ31-BY31+BU31*IF(Slot6_SpendLike=1,BW31-BX31,IF(Slot6_PotFree=1,BW31,0))</f>
        <v>74546.4621591099</v>
      </c>
      <c r="CB31" s="20" t="n">
        <f aca="false">BR31+BU31*Slot6_BufPot*BW31</f>
        <v>19232.7086210622</v>
      </c>
      <c r="CC31" s="20" t="n">
        <f aca="false">IF(AND(BU31=1,Slot6_IsMfree=1),IF(BZ31&gt;=Slot6_Cost-1,0,MAX(0,BS31-BZ31)),BS31)</f>
        <v>0</v>
      </c>
      <c r="CD31" s="20" t="n">
        <f aca="false">BU31*(Slot6_Cost-BZ31)</f>
        <v>0</v>
      </c>
      <c r="CE31" s="20" t="n">
        <f aca="false">IF(AND(Slot7_On=1,D31=Slot7_Age),1,0)</f>
        <v>0</v>
      </c>
      <c r="CF31" s="20" t="n">
        <f aca="false">IF(AND(Slot7_On=1,Slot7_Age&gt;D31),1,0)</f>
        <v>0</v>
      </c>
      <c r="CG31" s="20" t="n">
        <f aca="false">RK30</f>
        <v>0</v>
      </c>
      <c r="CH31" s="20" t="n">
        <f aca="false">CE31*MIN(Slot7_Cost,CG31)</f>
        <v>0</v>
      </c>
      <c r="CI31" s="20" t="n">
        <f aca="false">CE31*Slot7_SpendLike*MIN(Slot7_Cost-CH31,CA31)</f>
        <v>0</v>
      </c>
      <c r="CJ31" s="20" t="n">
        <f aca="false">CH31+CI31</f>
        <v>0</v>
      </c>
      <c r="CK31" s="20" t="n">
        <f aca="false">CA31-CI31+CE31*IF(Slot7_SpendLike=1,CG31-CH31,IF(Slot7_PotFree=1,CG31,0))</f>
        <v>74546.4621591099</v>
      </c>
      <c r="CL31" s="20" t="n">
        <f aca="false">CB31+CE31*Slot7_BufPot*CG31</f>
        <v>19232.7086210622</v>
      </c>
      <c r="CM31" s="20" t="n">
        <f aca="false">IF(AND(CE31=1,Slot7_IsMfree=1),IF(CJ31&gt;=Slot7_Cost-1,0,MAX(0,CC31-CJ31)),CC31)</f>
        <v>0</v>
      </c>
      <c r="CN31" s="20" t="n">
        <f aca="false">CE31*(Slot7_Cost-CJ31)</f>
        <v>0</v>
      </c>
      <c r="CO31" s="20" t="n">
        <f aca="false">IF(AND(Slot8_On=1,D31=Slot8_Age),1,0)</f>
        <v>0</v>
      </c>
      <c r="CP31" s="20" t="n">
        <f aca="false">IF(AND(Slot8_On=1,Slot8_Age&gt;D31),1,0)</f>
        <v>0</v>
      </c>
      <c r="CQ31" s="20" t="n">
        <f aca="false">RO30</f>
        <v>0</v>
      </c>
      <c r="CR31" s="20" t="n">
        <f aca="false">CO31*MIN(Slot8_Cost,CQ31)</f>
        <v>0</v>
      </c>
      <c r="CS31" s="20" t="n">
        <f aca="false">CO31*Slot8_SpendLike*MIN(Slot8_Cost-CR31,CK31)</f>
        <v>0</v>
      </c>
      <c r="CT31" s="20" t="n">
        <f aca="false">CR31+CS31</f>
        <v>0</v>
      </c>
      <c r="CU31" s="20" t="n">
        <f aca="false">CK31-CS31+CO31*IF(Slot8_SpendLike=1,CQ31-CR31,IF(Slot8_PotFree=1,CQ31,0))</f>
        <v>74546.4621591099</v>
      </c>
      <c r="CV31" s="20" t="n">
        <f aca="false">CL31+CO31*Slot8_BufPot*CQ31</f>
        <v>19232.7086210622</v>
      </c>
      <c r="CW31" s="20" t="n">
        <f aca="false">IF(AND(CO31=1,Slot8_IsMfree=1),IF(CT31&gt;=Slot8_Cost-1,0,MAX(0,CM31-CT31)),CM31)</f>
        <v>0</v>
      </c>
      <c r="CX31" s="20" t="n">
        <f aca="false">CO31*(Slot8_Cost-CT31)</f>
        <v>0</v>
      </c>
      <c r="CY31" s="20" t="n">
        <f aca="false">IF(AND(Slot9_On=1,D31=Slot9_Age),1,0)</f>
        <v>0</v>
      </c>
      <c r="CZ31" s="20" t="n">
        <f aca="false">IF(AND(Slot9_On=1,Slot9_Age&gt;D31),1,0)</f>
        <v>0</v>
      </c>
      <c r="DA31" s="20" t="n">
        <f aca="false">RS30</f>
        <v>0</v>
      </c>
      <c r="DB31" s="20" t="n">
        <f aca="false">CY31*MIN(Slot9_Cost,DA31)</f>
        <v>0</v>
      </c>
      <c r="DC31" s="20" t="n">
        <f aca="false">CY31*Slot9_SpendLike*MIN(Slot9_Cost-DB31,CU31)</f>
        <v>0</v>
      </c>
      <c r="DD31" s="20" t="n">
        <f aca="false">DB31+DC31</f>
        <v>0</v>
      </c>
      <c r="DE31" s="20" t="n">
        <f aca="false">CU31-DC31+CY31*IF(Slot9_SpendLike=1,DA31-DB31,IF(Slot9_PotFree=1,DA31,0))</f>
        <v>74546.4621591099</v>
      </c>
      <c r="DF31" s="20" t="n">
        <f aca="false">CV31+CY31*Slot9_BufPot*DA31</f>
        <v>19232.7086210622</v>
      </c>
      <c r="DG31" s="20" t="n">
        <f aca="false">IF(AND(CY31=1,Slot9_IsMfree=1),IF(DD31&gt;=Slot9_Cost-1,0,MAX(0,CW31-DD31)),CW31)</f>
        <v>0</v>
      </c>
      <c r="DH31" s="20" t="n">
        <f aca="false">CY31*(Slot9_Cost-DD31)</f>
        <v>0</v>
      </c>
      <c r="DI31" s="20" t="n">
        <f aca="false">IF(AND(Slot10_On=1,D31=Slot10_Age),1,0)</f>
        <v>0</v>
      </c>
      <c r="DJ31" s="20" t="n">
        <f aca="false">IF(AND(Slot10_On=1,Slot10_Age&gt;D31),1,0)</f>
        <v>0</v>
      </c>
      <c r="DK31" s="20" t="n">
        <f aca="false">RW30</f>
        <v>0</v>
      </c>
      <c r="DL31" s="20" t="n">
        <f aca="false">DI31*MIN(Slot10_Cost,DK31)</f>
        <v>0</v>
      </c>
      <c r="DM31" s="20" t="n">
        <f aca="false">DI31*Slot10_SpendLike*MIN(Slot10_Cost-DL31,DE31)</f>
        <v>0</v>
      </c>
      <c r="DN31" s="20" t="n">
        <f aca="false">DL31+DM31</f>
        <v>0</v>
      </c>
      <c r="DO31" s="20" t="n">
        <f aca="false">DE31-DM31+DI31*IF(Slot10_SpendLike=1,DK31-DL31,IF(Slot10_PotFree=1,DK31,0))</f>
        <v>74546.4621591099</v>
      </c>
      <c r="DP31" s="20" t="n">
        <f aca="false">DF31+DI31*Slot10_BufPot*DK31</f>
        <v>19232.7086210622</v>
      </c>
      <c r="DQ31" s="20" t="n">
        <f aca="false">IF(AND(DI31=1,Slot10_IsMfree=1),IF(DN31&gt;=Slot10_Cost-1,0,MAX(0,DG31-DN31)),DG31)</f>
        <v>0</v>
      </c>
      <c r="DR31" s="20" t="n">
        <f aca="false">DI31*(Slot10_Cost-DN31)</f>
        <v>0</v>
      </c>
      <c r="DS31" s="20" t="n">
        <f aca="false">IF(AND(Slot11_On=1,D31=Slot11_Age),1,0)</f>
        <v>0</v>
      </c>
      <c r="DT31" s="20" t="n">
        <f aca="false">IF(AND(Slot11_On=1,Slot11_Age&gt;D31),1,0)</f>
        <v>0</v>
      </c>
      <c r="DU31" s="20" t="n">
        <f aca="false">SA30</f>
        <v>0</v>
      </c>
      <c r="DV31" s="20" t="n">
        <f aca="false">DS31*MIN(Slot11_Cost,DU31)</f>
        <v>0</v>
      </c>
      <c r="DW31" s="20" t="n">
        <f aca="false">DS31*Slot11_SpendLike*MIN(Slot11_Cost-DV31,DO31)</f>
        <v>0</v>
      </c>
      <c r="DX31" s="20" t="n">
        <f aca="false">DV31+DW31</f>
        <v>0</v>
      </c>
      <c r="DY31" s="20" t="n">
        <f aca="false">DO31-DW31+DS31*IF(Slot11_SpendLike=1,DU31-DV31,IF(Slot11_PotFree=1,DU31,0))</f>
        <v>74546.4621591099</v>
      </c>
      <c r="DZ31" s="20" t="n">
        <f aca="false">DP31+DS31*Slot11_BufPot*DU31</f>
        <v>19232.7086210622</v>
      </c>
      <c r="EA31" s="20" t="n">
        <f aca="false">IF(AND(DS31=1,Slot11_IsMfree=1),IF(DX31&gt;=Slot11_Cost-1,0,MAX(0,DQ31-DX31)),DQ31)</f>
        <v>0</v>
      </c>
      <c r="EB31" s="20" t="n">
        <f aca="false">DS31*(Slot11_Cost-DX31)</f>
        <v>0</v>
      </c>
      <c r="EC31" s="20" t="n">
        <f aca="false">IF(AND(Slot12_On=1,D31=Slot12_Age),1,0)</f>
        <v>0</v>
      </c>
      <c r="ED31" s="20" t="n">
        <f aca="false">IF(AND(Slot12_On=1,Slot12_Age&gt;D31),1,0)</f>
        <v>0</v>
      </c>
      <c r="EE31" s="20" t="n">
        <f aca="false">SE30</f>
        <v>0</v>
      </c>
      <c r="EF31" s="20" t="n">
        <f aca="false">EC31*MIN(Slot12_Cost,EE31)</f>
        <v>0</v>
      </c>
      <c r="EG31" s="20" t="n">
        <f aca="false">EC31*Slot12_SpendLike*MIN(Slot12_Cost-EF31,DY31)</f>
        <v>0</v>
      </c>
      <c r="EH31" s="20" t="n">
        <f aca="false">EF31+EG31</f>
        <v>0</v>
      </c>
      <c r="EI31" s="20" t="n">
        <f aca="false">DY31-EG31+EC31*IF(Slot12_SpendLike=1,EE31-EF31,IF(Slot12_PotFree=1,EE31,0))</f>
        <v>74546.4621591099</v>
      </c>
      <c r="EJ31" s="20" t="n">
        <f aca="false">DZ31+EC31*Slot12_BufPot*EE31</f>
        <v>19232.7086210622</v>
      </c>
      <c r="EK31" s="20" t="n">
        <f aca="false">IF(AND(EC31=1,Slot12_IsMfree=1),IF(EH31&gt;=Slot12_Cost-1,0,MAX(0,EA31-EH31)),EA31)</f>
        <v>0</v>
      </c>
      <c r="EL31" s="20" t="n">
        <f aca="false">EC31*(Slot12_Cost-EH31)</f>
        <v>0</v>
      </c>
      <c r="EM31" s="20" t="n">
        <f aca="false">IF(AND(Slot13_On=1,D31=Slot13_Age),1,0)</f>
        <v>0</v>
      </c>
      <c r="EN31" s="20" t="n">
        <f aca="false">IF(AND(Slot13_On=1,Slot13_Age&gt;D31),1,0)</f>
        <v>0</v>
      </c>
      <c r="EO31" s="20" t="n">
        <f aca="false">SI30</f>
        <v>0</v>
      </c>
      <c r="EP31" s="20" t="n">
        <f aca="false">EM31*MIN(Slot13_Cost,EO31)</f>
        <v>0</v>
      </c>
      <c r="EQ31" s="20" t="n">
        <f aca="false">EM31*Slot13_SpendLike*MIN(Slot13_Cost-EP31,EI31)</f>
        <v>0</v>
      </c>
      <c r="ER31" s="20" t="n">
        <f aca="false">EP31+EQ31</f>
        <v>0</v>
      </c>
      <c r="ES31" s="20" t="n">
        <f aca="false">EI31-EQ31+EM31*IF(Slot13_SpendLike=1,EO31-EP31,IF(Slot13_PotFree=1,EO31,0))</f>
        <v>74546.4621591099</v>
      </c>
      <c r="ET31" s="20" t="n">
        <f aca="false">EJ31+EM31*Slot13_BufPot*EO31</f>
        <v>19232.7086210622</v>
      </c>
      <c r="EU31" s="20" t="n">
        <f aca="false">IF(AND(EM31=1,Slot13_IsMfree=1),IF(ER31&gt;=Slot13_Cost-1,0,MAX(0,EK31-ER31)),EK31)</f>
        <v>0</v>
      </c>
      <c r="EV31" s="20" t="n">
        <f aca="false">EM31*(Slot13_Cost-ER31)</f>
        <v>0</v>
      </c>
      <c r="EW31" s="20" t="n">
        <f aca="false">IF(AND(Slot14_On=1,D31=Slot14_Age),1,0)</f>
        <v>0</v>
      </c>
      <c r="EX31" s="20" t="n">
        <f aca="false">IF(AND(Slot14_On=1,Slot14_Age&gt;D31),1,0)</f>
        <v>0</v>
      </c>
      <c r="EY31" s="20" t="n">
        <f aca="false">SM30</f>
        <v>0</v>
      </c>
      <c r="EZ31" s="20" t="n">
        <f aca="false">EW31*MIN(Slot14_Cost,EY31)</f>
        <v>0</v>
      </c>
      <c r="FA31" s="20" t="n">
        <f aca="false">EW31*Slot14_SpendLike*MIN(Slot14_Cost-EZ31,ES31)</f>
        <v>0</v>
      </c>
      <c r="FB31" s="20" t="n">
        <f aca="false">EZ31+FA31</f>
        <v>0</v>
      </c>
      <c r="FC31" s="20" t="n">
        <f aca="false">ES31-FA31+EW31*IF(Slot14_SpendLike=1,EY31-EZ31,IF(Slot14_PotFree=1,EY31,0))</f>
        <v>74546.4621591099</v>
      </c>
      <c r="FD31" s="20" t="n">
        <f aca="false">ET31+EW31*Slot14_BufPot*EY31</f>
        <v>19232.7086210622</v>
      </c>
      <c r="FE31" s="20" t="n">
        <f aca="false">IF(AND(EW31=1,Slot14_IsMfree=1),IF(FB31&gt;=Slot14_Cost-1,0,MAX(0,EU31-FB31)),EU31)</f>
        <v>0</v>
      </c>
      <c r="FF31" s="20" t="n">
        <f aca="false">EW31*(Slot14_Cost-FB31)</f>
        <v>0</v>
      </c>
      <c r="FG31" s="20" t="n">
        <f aca="false">IF(AND(Slot15_On=1,D31=Slot15_Age),1,0)</f>
        <v>0</v>
      </c>
      <c r="FH31" s="20" t="n">
        <f aca="false">IF(AND(Slot15_On=1,Slot15_Age&gt;D31),1,0)</f>
        <v>0</v>
      </c>
      <c r="FI31" s="20" t="n">
        <f aca="false">SQ30</f>
        <v>0</v>
      </c>
      <c r="FJ31" s="20" t="n">
        <f aca="false">FG31*MIN(Slot15_Cost,FI31)</f>
        <v>0</v>
      </c>
      <c r="FK31" s="20" t="n">
        <f aca="false">FG31*Slot15_SpendLike*MIN(Slot15_Cost-FJ31,FC31)</f>
        <v>0</v>
      </c>
      <c r="FL31" s="20" t="n">
        <f aca="false">FJ31+FK31</f>
        <v>0</v>
      </c>
      <c r="FM31" s="20" t="n">
        <f aca="false">FC31-FK31+FG31*IF(Slot15_SpendLike=1,FI31-FJ31,IF(Slot15_PotFree=1,FI31,0))</f>
        <v>74546.4621591099</v>
      </c>
      <c r="FN31" s="20" t="n">
        <f aca="false">FD31+FG31*Slot15_BufPot*FI31</f>
        <v>19232.7086210622</v>
      </c>
      <c r="FO31" s="20" t="n">
        <f aca="false">IF(AND(FG31=1,Slot15_IsMfree=1),IF(FL31&gt;=Slot15_Cost-1,0,MAX(0,FE31-FL31)),FE31)</f>
        <v>0</v>
      </c>
      <c r="FP31" s="20" t="n">
        <f aca="false">FG31*(Slot15_Cost-FL31)</f>
        <v>0</v>
      </c>
      <c r="FQ31" s="20" t="n">
        <f aca="false">IF(AND(Slot16_On=1,D31=Slot16_Age),1,0)</f>
        <v>0</v>
      </c>
      <c r="FR31" s="20" t="n">
        <f aca="false">IF(AND(Slot16_On=1,Slot16_Age&gt;D31),1,0)</f>
        <v>0</v>
      </c>
      <c r="FS31" s="20" t="n">
        <f aca="false">SU30</f>
        <v>0</v>
      </c>
      <c r="FT31" s="20" t="n">
        <f aca="false">FQ31*MIN(Slot16_Cost,FS31)</f>
        <v>0</v>
      </c>
      <c r="FU31" s="20" t="n">
        <f aca="false">FQ31*Slot16_SpendLike*MIN(Slot16_Cost-FT31,FM31)</f>
        <v>0</v>
      </c>
      <c r="FV31" s="20" t="n">
        <f aca="false">FT31+FU31</f>
        <v>0</v>
      </c>
      <c r="FW31" s="20" t="n">
        <f aca="false">FM31-FU31+FQ31*IF(Slot16_SpendLike=1,FS31-FT31,IF(Slot16_PotFree=1,FS31,0))</f>
        <v>74546.4621591099</v>
      </c>
      <c r="FX31" s="20" t="n">
        <f aca="false">FN31+FQ31*Slot16_BufPot*FS31</f>
        <v>19232.7086210622</v>
      </c>
      <c r="FY31" s="20" t="n">
        <f aca="false">IF(AND(FQ31=1,Slot16_IsMfree=1),IF(FV31&gt;=Slot16_Cost-1,0,MAX(0,FO31-FV31)),FO31)</f>
        <v>0</v>
      </c>
      <c r="FZ31" s="20" t="n">
        <f aca="false">FQ31*(Slot16_Cost-FV31)</f>
        <v>0</v>
      </c>
      <c r="GA31" s="20" t="n">
        <f aca="false">IF(AND(Slot17_On=1,D31=Slot17_Age),1,0)</f>
        <v>0</v>
      </c>
      <c r="GB31" s="20" t="n">
        <f aca="false">IF(AND(Slot17_On=1,Slot17_Age&gt;D31),1,0)</f>
        <v>0</v>
      </c>
      <c r="GC31" s="20" t="n">
        <f aca="false">SY30</f>
        <v>0</v>
      </c>
      <c r="GD31" s="20" t="n">
        <f aca="false">GA31*MIN(Slot17_Cost,GC31)</f>
        <v>0</v>
      </c>
      <c r="GE31" s="20" t="n">
        <f aca="false">GA31*Slot17_SpendLike*MIN(Slot17_Cost-GD31,FW31)</f>
        <v>0</v>
      </c>
      <c r="GF31" s="20" t="n">
        <f aca="false">GD31+GE31</f>
        <v>0</v>
      </c>
      <c r="GG31" s="20" t="n">
        <f aca="false">FW31-GE31+GA31*IF(Slot17_SpendLike=1,GC31-GD31,IF(Slot17_PotFree=1,GC31,0))</f>
        <v>74546.4621591099</v>
      </c>
      <c r="GH31" s="20" t="n">
        <f aca="false">FX31+GA31*Slot17_BufPot*GC31</f>
        <v>19232.7086210622</v>
      </c>
      <c r="GI31" s="20" t="n">
        <f aca="false">IF(AND(GA31=1,Slot17_IsMfree=1),IF(GF31&gt;=Slot17_Cost-1,0,MAX(0,FY31-GF31)),FY31)</f>
        <v>0</v>
      </c>
      <c r="GJ31" s="20" t="n">
        <f aca="false">GA31*(Slot17_Cost-GF31)</f>
        <v>0</v>
      </c>
      <c r="GK31" s="20" t="n">
        <f aca="false">IF(AND(Slot18_On=1,D31=Slot18_Age),1,0)</f>
        <v>0</v>
      </c>
      <c r="GL31" s="20" t="n">
        <f aca="false">IF(AND(Slot18_On=1,Slot18_Age&gt;D31),1,0)</f>
        <v>0</v>
      </c>
      <c r="GM31" s="20" t="n">
        <f aca="false">TC30</f>
        <v>0</v>
      </c>
      <c r="GN31" s="20" t="n">
        <f aca="false">GK31*MIN(Slot18_Cost,GM31)</f>
        <v>0</v>
      </c>
      <c r="GO31" s="20" t="n">
        <f aca="false">GK31*Slot18_SpendLike*MIN(Slot18_Cost-GN31,GG31)</f>
        <v>0</v>
      </c>
      <c r="GP31" s="20" t="n">
        <f aca="false">GN31+GO31</f>
        <v>0</v>
      </c>
      <c r="GQ31" s="20" t="n">
        <f aca="false">GG31-GO31+GK31*IF(Slot18_SpendLike=1,GM31-GN31,IF(Slot18_PotFree=1,GM31,0))</f>
        <v>74546.4621591099</v>
      </c>
      <c r="GR31" s="20" t="n">
        <f aca="false">GH31+GK31*Slot18_BufPot*GM31</f>
        <v>19232.7086210622</v>
      </c>
      <c r="GS31" s="20" t="n">
        <f aca="false">IF(AND(GK31=1,Slot18_IsMfree=1),IF(GP31&gt;=Slot18_Cost-1,0,MAX(0,GI31-GP31)),GI31)</f>
        <v>0</v>
      </c>
      <c r="GT31" s="20" t="n">
        <f aca="false">GK31*(Slot18_Cost-GP31)</f>
        <v>0</v>
      </c>
      <c r="GU31" s="20" t="n">
        <f aca="false">IF(AND(Slot19_On=1,D31=Slot19_Age),1,0)</f>
        <v>0</v>
      </c>
      <c r="GV31" s="20" t="n">
        <f aca="false">IF(AND(Slot19_On=1,Slot19_Age&gt;D31),1,0)</f>
        <v>0</v>
      </c>
      <c r="GW31" s="20" t="n">
        <f aca="false">TG30</f>
        <v>0</v>
      </c>
      <c r="GX31" s="20" t="n">
        <f aca="false">GU31*MIN(Slot19_Cost,GW31)</f>
        <v>0</v>
      </c>
      <c r="GY31" s="20" t="n">
        <f aca="false">GU31*Slot19_SpendLike*MIN(Slot19_Cost-GX31,GQ31)</f>
        <v>0</v>
      </c>
      <c r="GZ31" s="20" t="n">
        <f aca="false">GX31+GY31</f>
        <v>0</v>
      </c>
      <c r="HA31" s="20" t="n">
        <f aca="false">GQ31-GY31+GU31*IF(Slot19_SpendLike=1,GW31-GX31,IF(Slot19_PotFree=1,GW31,0))</f>
        <v>74546.4621591099</v>
      </c>
      <c r="HB31" s="20" t="n">
        <f aca="false">GR31+GU31*Slot19_BufPot*GW31</f>
        <v>19232.7086210622</v>
      </c>
      <c r="HC31" s="20" t="n">
        <f aca="false">IF(AND(GU31=1,Slot19_IsMfree=1),IF(GZ31&gt;=Slot19_Cost-1,0,MAX(0,GS31-GZ31)),GS31)</f>
        <v>0</v>
      </c>
      <c r="HD31" s="20" t="n">
        <f aca="false">GU31*(Slot19_Cost-GZ31)</f>
        <v>0</v>
      </c>
      <c r="HE31" s="20" t="n">
        <f aca="false">IF(AND(Slot20_On=1,D31=Slot20_Age),1,0)</f>
        <v>0</v>
      </c>
      <c r="HF31" s="20" t="n">
        <f aca="false">IF(AND(Slot20_On=1,Slot20_Age&gt;D31),1,0)</f>
        <v>0</v>
      </c>
      <c r="HG31" s="20" t="n">
        <f aca="false">TK30</f>
        <v>0</v>
      </c>
      <c r="HH31" s="20" t="n">
        <f aca="false">HE31*MIN(Slot20_Cost,HG31)</f>
        <v>0</v>
      </c>
      <c r="HI31" s="20" t="n">
        <f aca="false">HE31*Slot20_SpendLike*MIN(Slot20_Cost-HH31,HA31)</f>
        <v>0</v>
      </c>
      <c r="HJ31" s="20" t="n">
        <f aca="false">HH31+HI31</f>
        <v>0</v>
      </c>
      <c r="HK31" s="20" t="n">
        <f aca="false">HA31-HI31+HE31*IF(Slot20_SpendLike=1,HG31-HH31,IF(Slot20_PotFree=1,HG31,0))</f>
        <v>74546.4621591099</v>
      </c>
      <c r="HL31" s="20" t="n">
        <f aca="false">HB31+HE31*Slot20_BufPot*HG31</f>
        <v>19232.7086210622</v>
      </c>
      <c r="HM31" s="20" t="n">
        <f aca="false">IF(AND(HE31=1,Slot20_IsMfree=1),IF(HJ31&gt;=Slot20_Cost-1,0,MAX(0,HC31-HJ31)),HC31)</f>
        <v>0</v>
      </c>
      <c r="HN31" s="20" t="n">
        <f aca="false">HE31*(Slot20_Cost-HJ31)</f>
        <v>0</v>
      </c>
      <c r="HO31" s="20" t="n">
        <f aca="false">V31*Slot1_SpendLike*AA31+AG31*Slot2_SpendLike*AL31+AQ31*Slot3_SpendLike*AV31+BA31*Slot4_SpendLike*BF31+BK31*Slot5_SpendLike*BP31+BU31*Slot6_SpendLike*BZ31+CE31*Slot7_SpendLike*CJ31+CO31*Slot8_SpendLike*CT31+CY31*Slot9_SpendLike*DD31+DI31*Slot10_SpendLike*DN31+DS31*Slot11_SpendLike*DX31+EC31*Slot12_SpendLike*EH31+EM31*Slot13_SpendLike*ER31+EW31*Slot14_SpendLike*FB31+FG31*Slot15_SpendLike*FL31+FQ31*Slot16_SpendLike*FV31+GA31*Slot17_SpendLike*GF31+GK31*Slot18_SpendLike*GP31+GU31*Slot19_SpendLike*GZ31+HE31*Slot20_SpendLike*HJ31</f>
        <v>0</v>
      </c>
      <c r="HP31" s="20" t="n">
        <f aca="false">AE31+AP31+AZ31+BJ31+BT31+CD31+CN31+CX31+DH31+DR31+EB31+EL31+EV31+FF31+FP31+FZ31+GJ31+GT31+HD31+HN31</f>
        <v>0</v>
      </c>
      <c r="HQ31" s="20" t="n">
        <f aca="false">V31*Slot1_Cost+AG31*Slot2_Cost+AQ31*Slot3_Cost+BA31*Slot4_Cost+BK31*Slot5_Cost+BU31*Slot6_Cost+CE31*Slot7_Cost+CO31*Slot8_Cost+CY31*Slot9_Cost+DI31*Slot10_Cost+DS31*Slot11_Cost+EC31*Slot12_Cost+EM31*Slot13_Cost+EW31*Slot14_Cost+FG31*Slot15_Cost+FQ31*Slot16_Cost+GA31*Slot17_Cost+GK31*Slot18_Cost+GU31*Slot19_Cost+HE31*Slot20_Cost</f>
        <v>0</v>
      </c>
      <c r="HR31" s="20" t="n">
        <f aca="false">HM31</f>
        <v>0</v>
      </c>
      <c r="HS31" s="20" t="n">
        <f aca="false">H31-I31-S31</f>
        <v>44349.7533363666</v>
      </c>
      <c r="HT31" s="20" t="n">
        <f aca="false">IF(B31=0,IF(AND(Has_q6=1,In_q6=4),PR_ShareVaries*(MAX(0,HS31)/12),MIN(IF(Has_q6=1,CHOOSE(In_q6+1,PR_SaveB1,PR_SaveB2,PR_SaveB3,PR_SaveB4,0),AS_NoAnswer),AS_SaveShare*(MAX(0,HS31)/12))),HT30)</f>
        <v>62.3316893520437</v>
      </c>
      <c r="HU31" s="20" t="n">
        <f aca="false">IF(HS31&gt;=0,1,0)</f>
        <v>1</v>
      </c>
      <c r="HV31" s="20" t="n">
        <f aca="false">MAX(0,HS31/12/F31)</f>
        <v>2343.72154389056</v>
      </c>
      <c r="HW31" s="20" t="n">
        <f aca="false">IF(AND(Has_q6=1,In_q6=4),PR_ShareVaries*(HV31),MIN(IF(Has_q6=1,CHOOSE(In_q6+1,PR_SaveB1,PR_SaveB2,PR_SaveB3,PR_SaveB4,0),AS_NoAnswer),AS_SaveShare*(HV31)))</f>
        <v>500</v>
      </c>
      <c r="HX31" s="20" t="n">
        <f aca="false">IF(Has_saveM=1,IF(In_saveUp="Yes",1,IF(In_saveUp="No",0,IF(In_saveM&gt;=HT31-0.5,1,0))),0)</f>
        <v>0</v>
      </c>
      <c r="HY31" s="20" t="n">
        <f aca="false">IF(Has_saveM=1,MIN(HV31,IF(HX31=1,MAX(In_saveM,HW31),MIN(In_saveM,HW31))),HW31)</f>
        <v>500</v>
      </c>
      <c r="HZ31" s="20" t="n">
        <f aca="false">IF(G31=1,HY31*12*F31,0)</f>
        <v>9461.39558514839</v>
      </c>
      <c r="IA31" s="20" t="n">
        <f aca="false">MAX(0,HZ31+IF(AND(WI_Retire=0,WI_M&lt;0,G31=1),WI_M*12*F31,0))</f>
        <v>9461.39558514839</v>
      </c>
      <c r="IB31" s="20" t="n">
        <f aca="false">Slot1_IsWG*W31+Slot2_IsWG*AH31+Slot3_IsWG*AR31+Slot4_IsWG*BB31+Slot5_IsWG*BL31+Slot6_IsWG*BV31+Slot7_IsWG*CF31+Slot8_IsWG*CP31+Slot9_IsWG*CZ31+Slot10_IsWG*DJ31+Slot11_IsWG*DT31+Slot12_IsWG*ED31+Slot13_IsWG*EN31+Slot14_IsWG*EX31+Slot15_IsWG*FH31+Slot16_IsWG*FR31+Slot17_IsWG*GB31+Slot18_IsWG*GL31+Slot19_IsWG*GV31+Slot20_IsWG*HF31</f>
        <v>0</v>
      </c>
      <c r="IC31" s="20" t="n">
        <f aca="false">IF(AND(WI_Retire=0,WI_M&gt;0,G31=1,IB31&gt;=1),WI_M*12*F31,0)</f>
        <v>0</v>
      </c>
      <c r="ID31" s="20" t="n">
        <f aca="false">IF(HU31=1,MIN(IA31,HS31),0)</f>
        <v>9461.39558514839</v>
      </c>
      <c r="IE31" s="20" t="n">
        <f aca="false">IF(HU31=1,MIN(IC31,HS31-ID31),0)</f>
        <v>0</v>
      </c>
      <c r="IF31" s="20" t="n">
        <f aca="false">IF(W31=1,IF(ABS((1+AS_Wage)/(1+Slot1_Rate)-1)&lt;0.000000000001,(Slot1_Age-D31)*(1+Slot1_Rate)^(Slot1_Age-D31),(1+Slot1_Rate)^(Slot1_Age-D31)*(1-((1+AS_Wage)/(1+Slot1_Rate))^(Slot1_Age-D31))/(1-(1+AS_Wage)/(1+Slot1_Rate))),1)</f>
        <v>1</v>
      </c>
      <c r="IG31" s="20" t="n">
        <f aca="false">IF(AND(HU31=1,IE31&gt;0,Slot1_IsWG=1,W31=1),MAX(0,(Slot1_Cost-X31*(1+Slot1_Rate)^(Slot1_Age-D31))/IF31),0)</f>
        <v>0</v>
      </c>
      <c r="IH31" s="20" t="n">
        <f aca="false">IF(AND(HU31=1,IE31&gt;0,Slot1_IsWG=1,W31=1),MIN(IE31,IG31),0)</f>
        <v>0</v>
      </c>
      <c r="II31" s="20" t="n">
        <f aca="false">X31+IH31</f>
        <v>0</v>
      </c>
      <c r="IJ31" s="20" t="n">
        <f aca="false">IF(W31=1,MAX(0,(Slot1_Cost-II31*(1+Slot1_Rate)^(Slot1_Age-D31))/IF31),0)</f>
        <v>0</v>
      </c>
      <c r="IK31" s="20" t="n">
        <f aca="false">IF(W31=1,MAX(0,(Slot1_Cost-X31*(1+Slot1_Rate)^(Slot1_Age-D31))/IF31),0)</f>
        <v>0</v>
      </c>
      <c r="IL31" s="20" t="n">
        <f aca="false">IF(AND(HU31=1,W31=1),MIN(ID31,IJ31),0)</f>
        <v>0</v>
      </c>
      <c r="IM31" s="20" t="n">
        <f aca="false">ID31-IL31</f>
        <v>9461.39558514839</v>
      </c>
      <c r="IN31" s="20" t="n">
        <f aca="false">IF(AH31=1,IF(ABS((1+AS_Wage)/(1+Slot2_Rate)-1)&lt;0.000000000001,(Slot2_Age-D31)*(1+Slot2_Rate)^(Slot2_Age-D31),(1+Slot2_Rate)^(Slot2_Age-D31)*(1-((1+AS_Wage)/(1+Slot2_Rate))^(Slot2_Age-D31))/(1-(1+AS_Wage)/(1+Slot2_Rate))),1)</f>
        <v>1</v>
      </c>
      <c r="IO31" s="20" t="n">
        <f aca="false">IF(AND(HU31=1,IE31&gt;0,Slot2_IsWG=1,AH31=1),MAX(0,(Slot2_Cost-AI31*(1+Slot2_Rate)^(Slot2_Age-D31))/IN31),0)</f>
        <v>0</v>
      </c>
      <c r="IP31" s="20" t="n">
        <f aca="false">IF(AND(HU31=1,IE31&gt;0,Slot2_IsWG=1,AH31=1),MIN(IE31,IO31),0)</f>
        <v>0</v>
      </c>
      <c r="IQ31" s="20" t="n">
        <f aca="false">AI31+IP31</f>
        <v>0</v>
      </c>
      <c r="IR31" s="20" t="n">
        <f aca="false">IF(AH31=1,MAX(0,(Slot2_Cost-IQ31*(1+Slot2_Rate)^(Slot2_Age-D31))/IN31),0)</f>
        <v>0</v>
      </c>
      <c r="IS31" s="20" t="n">
        <f aca="false">IF(AH31=1,MAX(0,(Slot2_Cost-AI31*(1+Slot2_Rate)^(Slot2_Age-D31))/IN31),0)</f>
        <v>0</v>
      </c>
      <c r="IT31" s="20" t="n">
        <f aca="false">IF(AND(HU31=1,AH31=1),MIN(IM31,IR31),0)</f>
        <v>0</v>
      </c>
      <c r="IU31" s="20" t="n">
        <f aca="false">IM31-IT31</f>
        <v>9461.39558514839</v>
      </c>
      <c r="IV31" s="20" t="n">
        <f aca="false">IF(AR31=1,IF(ABS((1+AS_Wage)/(1+Slot3_Rate)-1)&lt;0.000000000001,(Slot3_Age-D31)*(1+Slot3_Rate)^(Slot3_Age-D31),(1+Slot3_Rate)^(Slot3_Age-D31)*(1-((1+AS_Wage)/(1+Slot3_Rate))^(Slot3_Age-D31))/(1-(1+AS_Wage)/(1+Slot3_Rate))),1)</f>
        <v>1</v>
      </c>
      <c r="IW31" s="20" t="n">
        <f aca="false">IF(AND(HU31=1,IE31&gt;0,Slot3_IsWG=1,AR31=1),MAX(0,(Slot3_Cost-AS31*(1+Slot3_Rate)^(Slot3_Age-D31))/IV31),0)</f>
        <v>0</v>
      </c>
      <c r="IX31" s="20" t="n">
        <f aca="false">IF(AND(HU31=1,IE31&gt;0,Slot3_IsWG=1,AR31=1),MIN(IE31,IW31),0)</f>
        <v>0</v>
      </c>
      <c r="IY31" s="20" t="n">
        <f aca="false">AS31+IX31</f>
        <v>0</v>
      </c>
      <c r="IZ31" s="20" t="n">
        <f aca="false">IF(AR31=1,MAX(0,(Slot3_Cost-IY31*(1+Slot3_Rate)^(Slot3_Age-D31))/IV31),0)</f>
        <v>0</v>
      </c>
      <c r="JA31" s="20" t="n">
        <f aca="false">IF(AR31=1,MAX(0,(Slot3_Cost-AS31*(1+Slot3_Rate)^(Slot3_Age-D31))/IV31),0)</f>
        <v>0</v>
      </c>
      <c r="JB31" s="20" t="n">
        <f aca="false">IF(AND(HU31=1,AR31=1),MIN(IU31,IZ31),0)</f>
        <v>0</v>
      </c>
      <c r="JC31" s="20" t="n">
        <f aca="false">IU31-JB31</f>
        <v>9461.39558514839</v>
      </c>
      <c r="JD31" s="20" t="n">
        <f aca="false">IF(BB31=1,IF(ABS((1+AS_Wage)/(1+Slot4_Rate)-1)&lt;0.000000000001,(Slot4_Age-D31)*(1+Slot4_Rate)^(Slot4_Age-D31),(1+Slot4_Rate)^(Slot4_Age-D31)*(1-((1+AS_Wage)/(1+Slot4_Rate))^(Slot4_Age-D31))/(1-(1+AS_Wage)/(1+Slot4_Rate))),1)</f>
        <v>1</v>
      </c>
      <c r="JE31" s="20" t="n">
        <f aca="false">IF(AND(HU31=1,IE31&gt;0,Slot4_IsWG=1,BB31=1),MAX(0,(Slot4_Cost-BC31*(1+Slot4_Rate)^(Slot4_Age-D31))/JD31),0)</f>
        <v>0</v>
      </c>
      <c r="JF31" s="20" t="n">
        <f aca="false">IF(AND(HU31=1,IE31&gt;0,Slot4_IsWG=1,BB31=1),MIN(IE31,JE31),0)</f>
        <v>0</v>
      </c>
      <c r="JG31" s="20" t="n">
        <f aca="false">BC31+JF31</f>
        <v>0</v>
      </c>
      <c r="JH31" s="20" t="n">
        <f aca="false">IF(BB31=1,MAX(0,(Slot4_Cost-JG31*(1+Slot4_Rate)^(Slot4_Age-D31))/JD31),0)</f>
        <v>0</v>
      </c>
      <c r="JI31" s="20" t="n">
        <f aca="false">IF(BB31=1,MAX(0,(Slot4_Cost-BC31*(1+Slot4_Rate)^(Slot4_Age-D31))/JD31),0)</f>
        <v>0</v>
      </c>
      <c r="JJ31" s="20" t="n">
        <f aca="false">IF(AND(HU31=1,BB31=1),MIN(JC31,JH31),0)</f>
        <v>0</v>
      </c>
      <c r="JK31" s="20" t="n">
        <f aca="false">JC31-JJ31</f>
        <v>9461.39558514839</v>
      </c>
      <c r="JL31" s="20" t="n">
        <f aca="false">IF(BL31=1,IF(ABS((1+AS_Wage)/(1+Slot5_Rate)-1)&lt;0.000000000001,(Slot5_Age-D31)*(1+Slot5_Rate)^(Slot5_Age-D31),(1+Slot5_Rate)^(Slot5_Age-D31)*(1-((1+AS_Wage)/(1+Slot5_Rate))^(Slot5_Age-D31))/(1-(1+AS_Wage)/(1+Slot5_Rate))),1)</f>
        <v>1</v>
      </c>
      <c r="JM31" s="20" t="n">
        <f aca="false">IF(AND(HU31=1,IE31&gt;0,Slot5_IsWG=1,BL31=1),MAX(0,(Slot5_Cost-BM31*(1+Slot5_Rate)^(Slot5_Age-D31))/JL31),0)</f>
        <v>0</v>
      </c>
      <c r="JN31" s="20" t="n">
        <f aca="false">IF(AND(HU31=1,IE31&gt;0,Slot5_IsWG=1,BL31=1),MIN(IE31,JM31),0)</f>
        <v>0</v>
      </c>
      <c r="JO31" s="20" t="n">
        <f aca="false">BM31+JN31</f>
        <v>0</v>
      </c>
      <c r="JP31" s="20" t="n">
        <f aca="false">IF(BL31=1,MAX(0,(Slot5_Cost-JO31*(1+Slot5_Rate)^(Slot5_Age-D31))/JL31),0)</f>
        <v>0</v>
      </c>
      <c r="JQ31" s="20" t="n">
        <f aca="false">IF(BL31=1,MAX(0,(Slot5_Cost-BM31*(1+Slot5_Rate)^(Slot5_Age-D31))/JL31),0)</f>
        <v>0</v>
      </c>
      <c r="JR31" s="20" t="n">
        <f aca="false">IF(AND(HU31=1,BL31=1),MIN(JK31,JP31),0)</f>
        <v>0</v>
      </c>
      <c r="JS31" s="20" t="n">
        <f aca="false">JK31-JR31</f>
        <v>9461.39558514839</v>
      </c>
      <c r="JT31" s="20" t="n">
        <f aca="false">IF(BV31=1,IF(ABS((1+AS_Wage)/(1+Slot6_Rate)-1)&lt;0.000000000001,(Slot6_Age-D31)*(1+Slot6_Rate)^(Slot6_Age-D31),(1+Slot6_Rate)^(Slot6_Age-D31)*(1-((1+AS_Wage)/(1+Slot6_Rate))^(Slot6_Age-D31))/(1-(1+AS_Wage)/(1+Slot6_Rate))),1)</f>
        <v>1</v>
      </c>
      <c r="JU31" s="20" t="n">
        <f aca="false">IF(AND(HU31=1,IE31&gt;0,Slot6_IsWG=1,BV31=1),MAX(0,(Slot6_Cost-BW31*(1+Slot6_Rate)^(Slot6_Age-D31))/JT31),0)</f>
        <v>0</v>
      </c>
      <c r="JV31" s="20" t="n">
        <f aca="false">IF(AND(HU31=1,IE31&gt;0,Slot6_IsWG=1,BV31=1),MIN(IE31,JU31),0)</f>
        <v>0</v>
      </c>
      <c r="JW31" s="20" t="n">
        <f aca="false">BW31+JV31</f>
        <v>0</v>
      </c>
      <c r="JX31" s="20" t="n">
        <f aca="false">IF(BV31=1,MAX(0,(Slot6_Cost-JW31*(1+Slot6_Rate)^(Slot6_Age-D31))/JT31),0)</f>
        <v>0</v>
      </c>
      <c r="JY31" s="20" t="n">
        <f aca="false">IF(BV31=1,MAX(0,(Slot6_Cost-BW31*(1+Slot6_Rate)^(Slot6_Age-D31))/JT31),0)</f>
        <v>0</v>
      </c>
      <c r="JZ31" s="20" t="n">
        <f aca="false">IF(AND(HU31=1,BV31=1),MIN(JS31,JX31),0)</f>
        <v>0</v>
      </c>
      <c r="KA31" s="20" t="n">
        <f aca="false">JS31-JZ31</f>
        <v>9461.39558514839</v>
      </c>
      <c r="KB31" s="20" t="n">
        <f aca="false">IF(CF31=1,IF(ABS((1+AS_Wage)/(1+Slot7_Rate)-1)&lt;0.000000000001,(Slot7_Age-D31)*(1+Slot7_Rate)^(Slot7_Age-D31),(1+Slot7_Rate)^(Slot7_Age-D31)*(1-((1+AS_Wage)/(1+Slot7_Rate))^(Slot7_Age-D31))/(1-(1+AS_Wage)/(1+Slot7_Rate))),1)</f>
        <v>1</v>
      </c>
      <c r="KC31" s="20" t="n">
        <f aca="false">IF(AND(HU31=1,IE31&gt;0,Slot7_IsWG=1,CF31=1),MAX(0,(Slot7_Cost-CG31*(1+Slot7_Rate)^(Slot7_Age-D31))/KB31),0)</f>
        <v>0</v>
      </c>
      <c r="KD31" s="20" t="n">
        <f aca="false">IF(AND(HU31=1,IE31&gt;0,Slot7_IsWG=1,CF31=1),MIN(IE31,KC31),0)</f>
        <v>0</v>
      </c>
      <c r="KE31" s="20" t="n">
        <f aca="false">CG31+KD31</f>
        <v>0</v>
      </c>
      <c r="KF31" s="20" t="n">
        <f aca="false">IF(CF31=1,MAX(0,(Slot7_Cost-KE31*(1+Slot7_Rate)^(Slot7_Age-D31))/KB31),0)</f>
        <v>0</v>
      </c>
      <c r="KG31" s="20" t="n">
        <f aca="false">IF(CF31=1,MAX(0,(Slot7_Cost-CG31*(1+Slot7_Rate)^(Slot7_Age-D31))/KB31),0)</f>
        <v>0</v>
      </c>
      <c r="KH31" s="20" t="n">
        <f aca="false">IF(AND(HU31=1,CF31=1),MIN(KA31,KF31),0)</f>
        <v>0</v>
      </c>
      <c r="KI31" s="20" t="n">
        <f aca="false">KA31-KH31</f>
        <v>9461.39558514839</v>
      </c>
      <c r="KJ31" s="20" t="n">
        <f aca="false">IF(CP31=1,IF(ABS((1+AS_Wage)/(1+Slot8_Rate)-1)&lt;0.000000000001,(Slot8_Age-D31)*(1+Slot8_Rate)^(Slot8_Age-D31),(1+Slot8_Rate)^(Slot8_Age-D31)*(1-((1+AS_Wage)/(1+Slot8_Rate))^(Slot8_Age-D31))/(1-(1+AS_Wage)/(1+Slot8_Rate))),1)</f>
        <v>1</v>
      </c>
      <c r="KK31" s="20" t="n">
        <f aca="false">IF(AND(HU31=1,IE31&gt;0,Slot8_IsWG=1,CP31=1),MAX(0,(Slot8_Cost-CQ31*(1+Slot8_Rate)^(Slot8_Age-D31))/KJ31),0)</f>
        <v>0</v>
      </c>
      <c r="KL31" s="20" t="n">
        <f aca="false">IF(AND(HU31=1,IE31&gt;0,Slot8_IsWG=1,CP31=1),MIN(IE31,KK31),0)</f>
        <v>0</v>
      </c>
      <c r="KM31" s="20" t="n">
        <f aca="false">CQ31+KL31</f>
        <v>0</v>
      </c>
      <c r="KN31" s="20" t="n">
        <f aca="false">IF(CP31=1,MAX(0,(Slot8_Cost-KM31*(1+Slot8_Rate)^(Slot8_Age-D31))/KJ31),0)</f>
        <v>0</v>
      </c>
      <c r="KO31" s="20" t="n">
        <f aca="false">IF(CP31=1,MAX(0,(Slot8_Cost-CQ31*(1+Slot8_Rate)^(Slot8_Age-D31))/KJ31),0)</f>
        <v>0</v>
      </c>
      <c r="KP31" s="20" t="n">
        <f aca="false">IF(AND(HU31=1,CP31=1),MIN(KI31,KN31),0)</f>
        <v>0</v>
      </c>
      <c r="KQ31" s="20" t="n">
        <f aca="false">KI31-KP31</f>
        <v>9461.39558514839</v>
      </c>
      <c r="KR31" s="20" t="n">
        <f aca="false">IF(CZ31=1,IF(ABS((1+AS_Wage)/(1+Slot9_Rate)-1)&lt;0.000000000001,(Slot9_Age-D31)*(1+Slot9_Rate)^(Slot9_Age-D31),(1+Slot9_Rate)^(Slot9_Age-D31)*(1-((1+AS_Wage)/(1+Slot9_Rate))^(Slot9_Age-D31))/(1-(1+AS_Wage)/(1+Slot9_Rate))),1)</f>
        <v>1</v>
      </c>
      <c r="KS31" s="20" t="n">
        <f aca="false">IF(AND(HU31=1,IE31&gt;0,Slot9_IsWG=1,CZ31=1),MAX(0,(Slot9_Cost-DA31*(1+Slot9_Rate)^(Slot9_Age-D31))/KR31),0)</f>
        <v>0</v>
      </c>
      <c r="KT31" s="20" t="n">
        <f aca="false">IF(AND(HU31=1,IE31&gt;0,Slot9_IsWG=1,CZ31=1),MIN(IE31,KS31),0)</f>
        <v>0</v>
      </c>
      <c r="KU31" s="20" t="n">
        <f aca="false">DA31+KT31</f>
        <v>0</v>
      </c>
      <c r="KV31" s="20" t="n">
        <f aca="false">IF(CZ31=1,MAX(0,(Slot9_Cost-KU31*(1+Slot9_Rate)^(Slot9_Age-D31))/KR31),0)</f>
        <v>0</v>
      </c>
      <c r="KW31" s="20" t="n">
        <f aca="false">IF(CZ31=1,MAX(0,(Slot9_Cost-DA31*(1+Slot9_Rate)^(Slot9_Age-D31))/KR31),0)</f>
        <v>0</v>
      </c>
      <c r="KX31" s="20" t="n">
        <f aca="false">IF(AND(HU31=1,CZ31=1),MIN(KQ31,KV31),0)</f>
        <v>0</v>
      </c>
      <c r="KY31" s="20" t="n">
        <f aca="false">KQ31-KX31</f>
        <v>9461.39558514839</v>
      </c>
      <c r="KZ31" s="20" t="n">
        <f aca="false">IF(DJ31=1,IF(ABS((1+AS_Wage)/(1+Slot10_Rate)-1)&lt;0.000000000001,(Slot10_Age-D31)*(1+Slot10_Rate)^(Slot10_Age-D31),(1+Slot10_Rate)^(Slot10_Age-D31)*(1-((1+AS_Wage)/(1+Slot10_Rate))^(Slot10_Age-D31))/(1-(1+AS_Wage)/(1+Slot10_Rate))),1)</f>
        <v>1</v>
      </c>
      <c r="LA31" s="20" t="n">
        <f aca="false">IF(AND(HU31=1,IE31&gt;0,Slot10_IsWG=1,DJ31=1),MAX(0,(Slot10_Cost-DK31*(1+Slot10_Rate)^(Slot10_Age-D31))/KZ31),0)</f>
        <v>0</v>
      </c>
      <c r="LB31" s="20" t="n">
        <f aca="false">IF(AND(HU31=1,IE31&gt;0,Slot10_IsWG=1,DJ31=1),MIN(IE31,LA31),0)</f>
        <v>0</v>
      </c>
      <c r="LC31" s="20" t="n">
        <f aca="false">DK31+LB31</f>
        <v>0</v>
      </c>
      <c r="LD31" s="20" t="n">
        <f aca="false">IF(DJ31=1,MAX(0,(Slot10_Cost-LC31*(1+Slot10_Rate)^(Slot10_Age-D31))/KZ31),0)</f>
        <v>0</v>
      </c>
      <c r="LE31" s="20" t="n">
        <f aca="false">IF(DJ31=1,MAX(0,(Slot10_Cost-DK31*(1+Slot10_Rate)^(Slot10_Age-D31))/KZ31),0)</f>
        <v>0</v>
      </c>
      <c r="LF31" s="20" t="n">
        <f aca="false">IF(AND(HU31=1,DJ31=1),MIN(KY31,LD31),0)</f>
        <v>0</v>
      </c>
      <c r="LG31" s="20" t="n">
        <f aca="false">KY31-LF31</f>
        <v>9461.39558514839</v>
      </c>
      <c r="LH31" s="20" t="n">
        <f aca="false">IF(DT31=1,IF(ABS((1+AS_Wage)/(1+Slot11_Rate)-1)&lt;0.000000000001,(Slot11_Age-D31)*(1+Slot11_Rate)^(Slot11_Age-D31),(1+Slot11_Rate)^(Slot11_Age-D31)*(1-((1+AS_Wage)/(1+Slot11_Rate))^(Slot11_Age-D31))/(1-(1+AS_Wage)/(1+Slot11_Rate))),1)</f>
        <v>1</v>
      </c>
      <c r="LI31" s="20" t="n">
        <f aca="false">IF(AND(HU31=1,IE31&gt;0,Slot11_IsWG=1,DT31=1),MAX(0,(Slot11_Cost-DU31*(1+Slot11_Rate)^(Slot11_Age-D31))/LH31),0)</f>
        <v>0</v>
      </c>
      <c r="LJ31" s="20" t="n">
        <f aca="false">IF(AND(HU31=1,IE31&gt;0,Slot11_IsWG=1,DT31=1),MIN(IE31,LI31),0)</f>
        <v>0</v>
      </c>
      <c r="LK31" s="20" t="n">
        <f aca="false">DU31+LJ31</f>
        <v>0</v>
      </c>
      <c r="LL31" s="20" t="n">
        <f aca="false">IF(DT31=1,MAX(0,(Slot11_Cost-LK31*(1+Slot11_Rate)^(Slot11_Age-D31))/LH31),0)</f>
        <v>0</v>
      </c>
      <c r="LM31" s="20" t="n">
        <f aca="false">IF(DT31=1,MAX(0,(Slot11_Cost-DU31*(1+Slot11_Rate)^(Slot11_Age-D31))/LH31),0)</f>
        <v>0</v>
      </c>
      <c r="LN31" s="20" t="n">
        <f aca="false">IF(AND(HU31=1,DT31=1),MIN(LG31,LL31),0)</f>
        <v>0</v>
      </c>
      <c r="LO31" s="20" t="n">
        <f aca="false">LG31-LN31</f>
        <v>9461.39558514839</v>
      </c>
      <c r="LP31" s="20" t="n">
        <f aca="false">IF(ED31=1,IF(ABS((1+AS_Wage)/(1+Slot12_Rate)-1)&lt;0.000000000001,(Slot12_Age-D31)*(1+Slot12_Rate)^(Slot12_Age-D31),(1+Slot12_Rate)^(Slot12_Age-D31)*(1-((1+AS_Wage)/(1+Slot12_Rate))^(Slot12_Age-D31))/(1-(1+AS_Wage)/(1+Slot12_Rate))),1)</f>
        <v>1</v>
      </c>
      <c r="LQ31" s="20" t="n">
        <f aca="false">IF(AND(HU31=1,IE31&gt;0,Slot12_IsWG=1,ED31=1),MAX(0,(Slot12_Cost-EE31*(1+Slot12_Rate)^(Slot12_Age-D31))/LP31),0)</f>
        <v>0</v>
      </c>
      <c r="LR31" s="20" t="n">
        <f aca="false">IF(AND(HU31=1,IE31&gt;0,Slot12_IsWG=1,ED31=1),MIN(IE31,LQ31),0)</f>
        <v>0</v>
      </c>
      <c r="LS31" s="20" t="n">
        <f aca="false">EE31+LR31</f>
        <v>0</v>
      </c>
      <c r="LT31" s="20" t="n">
        <f aca="false">IF(ED31=1,MAX(0,(Slot12_Cost-LS31*(1+Slot12_Rate)^(Slot12_Age-D31))/LP31),0)</f>
        <v>0</v>
      </c>
      <c r="LU31" s="20" t="n">
        <f aca="false">IF(ED31=1,MAX(0,(Slot12_Cost-EE31*(1+Slot12_Rate)^(Slot12_Age-D31))/LP31),0)</f>
        <v>0</v>
      </c>
      <c r="LV31" s="20" t="n">
        <f aca="false">IF(AND(HU31=1,ED31=1),MIN(LO31,LT31),0)</f>
        <v>0</v>
      </c>
      <c r="LW31" s="20" t="n">
        <f aca="false">LO31-LV31</f>
        <v>9461.39558514839</v>
      </c>
      <c r="LX31" s="20" t="n">
        <f aca="false">IF(EN31=1,IF(ABS((1+AS_Wage)/(1+Slot13_Rate)-1)&lt;0.000000000001,(Slot13_Age-D31)*(1+Slot13_Rate)^(Slot13_Age-D31),(1+Slot13_Rate)^(Slot13_Age-D31)*(1-((1+AS_Wage)/(1+Slot13_Rate))^(Slot13_Age-D31))/(1-(1+AS_Wage)/(1+Slot13_Rate))),1)</f>
        <v>1</v>
      </c>
      <c r="LY31" s="20" t="n">
        <f aca="false">IF(AND(HU31=1,IE31&gt;0,Slot13_IsWG=1,EN31=1),MAX(0,(Slot13_Cost-EO31*(1+Slot13_Rate)^(Slot13_Age-D31))/LX31),0)</f>
        <v>0</v>
      </c>
      <c r="LZ31" s="20" t="n">
        <f aca="false">IF(AND(HU31=1,IE31&gt;0,Slot13_IsWG=1,EN31=1),MIN(IE31,LY31),0)</f>
        <v>0</v>
      </c>
      <c r="MA31" s="20" t="n">
        <f aca="false">EO31+LZ31</f>
        <v>0</v>
      </c>
      <c r="MB31" s="20" t="n">
        <f aca="false">IF(EN31=1,MAX(0,(Slot13_Cost-MA31*(1+Slot13_Rate)^(Slot13_Age-D31))/LX31),0)</f>
        <v>0</v>
      </c>
      <c r="MC31" s="20" t="n">
        <f aca="false">IF(EN31=1,MAX(0,(Slot13_Cost-EO31*(1+Slot13_Rate)^(Slot13_Age-D31))/LX31),0)</f>
        <v>0</v>
      </c>
      <c r="MD31" s="20" t="n">
        <f aca="false">IF(AND(HU31=1,EN31=1),MIN(LW31,MB31),0)</f>
        <v>0</v>
      </c>
      <c r="ME31" s="20" t="n">
        <f aca="false">LW31-MD31</f>
        <v>9461.39558514839</v>
      </c>
      <c r="MF31" s="20" t="n">
        <f aca="false">IF(EX31=1,IF(ABS((1+AS_Wage)/(1+Slot14_Rate)-1)&lt;0.000000000001,(Slot14_Age-D31)*(1+Slot14_Rate)^(Slot14_Age-D31),(1+Slot14_Rate)^(Slot14_Age-D31)*(1-((1+AS_Wage)/(1+Slot14_Rate))^(Slot14_Age-D31))/(1-(1+AS_Wage)/(1+Slot14_Rate))),1)</f>
        <v>1</v>
      </c>
      <c r="MG31" s="20" t="n">
        <f aca="false">IF(AND(HU31=1,IE31&gt;0,Slot14_IsWG=1,EX31=1),MAX(0,(Slot14_Cost-EY31*(1+Slot14_Rate)^(Slot14_Age-D31))/MF31),0)</f>
        <v>0</v>
      </c>
      <c r="MH31" s="20" t="n">
        <f aca="false">IF(AND(HU31=1,IE31&gt;0,Slot14_IsWG=1,EX31=1),MIN(IE31,MG31),0)</f>
        <v>0</v>
      </c>
      <c r="MI31" s="20" t="n">
        <f aca="false">EY31+MH31</f>
        <v>0</v>
      </c>
      <c r="MJ31" s="20" t="n">
        <f aca="false">IF(EX31=1,MAX(0,(Slot14_Cost-MI31*(1+Slot14_Rate)^(Slot14_Age-D31))/MF31),0)</f>
        <v>0</v>
      </c>
      <c r="MK31" s="20" t="n">
        <f aca="false">IF(EX31=1,MAX(0,(Slot14_Cost-EY31*(1+Slot14_Rate)^(Slot14_Age-D31))/MF31),0)</f>
        <v>0</v>
      </c>
      <c r="ML31" s="20" t="n">
        <f aca="false">IF(AND(HU31=1,EX31=1),MIN(ME31,MJ31),0)</f>
        <v>0</v>
      </c>
      <c r="MM31" s="20" t="n">
        <f aca="false">ME31-ML31</f>
        <v>9461.39558514839</v>
      </c>
      <c r="MN31" s="20" t="n">
        <f aca="false">IF(FH31=1,IF(ABS((1+AS_Wage)/(1+Slot15_Rate)-1)&lt;0.000000000001,(Slot15_Age-D31)*(1+Slot15_Rate)^(Slot15_Age-D31),(1+Slot15_Rate)^(Slot15_Age-D31)*(1-((1+AS_Wage)/(1+Slot15_Rate))^(Slot15_Age-D31))/(1-(1+AS_Wage)/(1+Slot15_Rate))),1)</f>
        <v>1</v>
      </c>
      <c r="MO31" s="20" t="n">
        <f aca="false">IF(AND(HU31=1,IE31&gt;0,Slot15_IsWG=1,FH31=1),MAX(0,(Slot15_Cost-FI31*(1+Slot15_Rate)^(Slot15_Age-D31))/MN31),0)</f>
        <v>0</v>
      </c>
      <c r="MP31" s="20" t="n">
        <f aca="false">IF(AND(HU31=1,IE31&gt;0,Slot15_IsWG=1,FH31=1),MIN(IE31,MO31),0)</f>
        <v>0</v>
      </c>
      <c r="MQ31" s="20" t="n">
        <f aca="false">FI31+MP31</f>
        <v>0</v>
      </c>
      <c r="MR31" s="20" t="n">
        <f aca="false">IF(FH31=1,MAX(0,(Slot15_Cost-MQ31*(1+Slot15_Rate)^(Slot15_Age-D31))/MN31),0)</f>
        <v>0</v>
      </c>
      <c r="MS31" s="20" t="n">
        <f aca="false">IF(FH31=1,MAX(0,(Slot15_Cost-FI31*(1+Slot15_Rate)^(Slot15_Age-D31))/MN31),0)</f>
        <v>0</v>
      </c>
      <c r="MT31" s="20" t="n">
        <f aca="false">IF(AND(HU31=1,FH31=1),MIN(MM31,MR31),0)</f>
        <v>0</v>
      </c>
      <c r="MU31" s="20" t="n">
        <f aca="false">MM31-MT31</f>
        <v>9461.39558514839</v>
      </c>
      <c r="MV31" s="20" t="n">
        <f aca="false">IF(FR31=1,IF(ABS((1+AS_Wage)/(1+Slot16_Rate)-1)&lt;0.000000000001,(Slot16_Age-D31)*(1+Slot16_Rate)^(Slot16_Age-D31),(1+Slot16_Rate)^(Slot16_Age-D31)*(1-((1+AS_Wage)/(1+Slot16_Rate))^(Slot16_Age-D31))/(1-(1+AS_Wage)/(1+Slot16_Rate))),1)</f>
        <v>1</v>
      </c>
      <c r="MW31" s="20" t="n">
        <f aca="false">IF(AND(HU31=1,IE31&gt;0,Slot16_IsWG=1,FR31=1),MAX(0,(Slot16_Cost-FS31*(1+Slot16_Rate)^(Slot16_Age-D31))/MV31),0)</f>
        <v>0</v>
      </c>
      <c r="MX31" s="20" t="n">
        <f aca="false">IF(AND(HU31=1,IE31&gt;0,Slot16_IsWG=1,FR31=1),MIN(IE31,MW31),0)</f>
        <v>0</v>
      </c>
      <c r="MY31" s="20" t="n">
        <f aca="false">FS31+MX31</f>
        <v>0</v>
      </c>
      <c r="MZ31" s="20" t="n">
        <f aca="false">IF(FR31=1,MAX(0,(Slot16_Cost-MY31*(1+Slot16_Rate)^(Slot16_Age-D31))/MV31),0)</f>
        <v>0</v>
      </c>
      <c r="NA31" s="20" t="n">
        <f aca="false">IF(FR31=1,MAX(0,(Slot16_Cost-FS31*(1+Slot16_Rate)^(Slot16_Age-D31))/MV31),0)</f>
        <v>0</v>
      </c>
      <c r="NB31" s="20" t="n">
        <f aca="false">IF(AND(HU31=1,FR31=1),MIN(MU31,MZ31),0)</f>
        <v>0</v>
      </c>
      <c r="NC31" s="20" t="n">
        <f aca="false">MU31-NB31</f>
        <v>9461.39558514839</v>
      </c>
      <c r="ND31" s="20" t="n">
        <f aca="false">IF(GB31=1,IF(ABS((1+AS_Wage)/(1+Slot17_Rate)-1)&lt;0.000000000001,(Slot17_Age-D31)*(1+Slot17_Rate)^(Slot17_Age-D31),(1+Slot17_Rate)^(Slot17_Age-D31)*(1-((1+AS_Wage)/(1+Slot17_Rate))^(Slot17_Age-D31))/(1-(1+AS_Wage)/(1+Slot17_Rate))),1)</f>
        <v>1</v>
      </c>
      <c r="NE31" s="20" t="n">
        <f aca="false">IF(AND(HU31=1,IE31&gt;0,Slot17_IsWG=1,GB31=1),MAX(0,(Slot17_Cost-GC31*(1+Slot17_Rate)^(Slot17_Age-D31))/ND31),0)</f>
        <v>0</v>
      </c>
      <c r="NF31" s="20" t="n">
        <f aca="false">IF(AND(HU31=1,IE31&gt;0,Slot17_IsWG=1,GB31=1),MIN(IE31,NE31),0)</f>
        <v>0</v>
      </c>
      <c r="NG31" s="20" t="n">
        <f aca="false">GC31+NF31</f>
        <v>0</v>
      </c>
      <c r="NH31" s="20" t="n">
        <f aca="false">IF(GB31=1,MAX(0,(Slot17_Cost-NG31*(1+Slot17_Rate)^(Slot17_Age-D31))/ND31),0)</f>
        <v>0</v>
      </c>
      <c r="NI31" s="20" t="n">
        <f aca="false">IF(GB31=1,MAX(0,(Slot17_Cost-GC31*(1+Slot17_Rate)^(Slot17_Age-D31))/ND31),0)</f>
        <v>0</v>
      </c>
      <c r="NJ31" s="20" t="n">
        <f aca="false">IF(AND(HU31=1,GB31=1),MIN(NC31,NH31),0)</f>
        <v>0</v>
      </c>
      <c r="NK31" s="20" t="n">
        <f aca="false">NC31-NJ31</f>
        <v>9461.39558514839</v>
      </c>
      <c r="NL31" s="20" t="n">
        <f aca="false">IF(GL31=1,IF(ABS((1+AS_Wage)/(1+Slot18_Rate)-1)&lt;0.000000000001,(Slot18_Age-D31)*(1+Slot18_Rate)^(Slot18_Age-D31),(1+Slot18_Rate)^(Slot18_Age-D31)*(1-((1+AS_Wage)/(1+Slot18_Rate))^(Slot18_Age-D31))/(1-(1+AS_Wage)/(1+Slot18_Rate))),1)</f>
        <v>1</v>
      </c>
      <c r="NM31" s="20" t="n">
        <f aca="false">IF(AND(HU31=1,IE31&gt;0,Slot18_IsWG=1,GL31=1),MAX(0,(Slot18_Cost-GM31*(1+Slot18_Rate)^(Slot18_Age-D31))/NL31),0)</f>
        <v>0</v>
      </c>
      <c r="NN31" s="20" t="n">
        <f aca="false">IF(AND(HU31=1,IE31&gt;0,Slot18_IsWG=1,GL31=1),MIN(IE31,NM31),0)</f>
        <v>0</v>
      </c>
      <c r="NO31" s="20" t="n">
        <f aca="false">GM31+NN31</f>
        <v>0</v>
      </c>
      <c r="NP31" s="20" t="n">
        <f aca="false">IF(GL31=1,MAX(0,(Slot18_Cost-NO31*(1+Slot18_Rate)^(Slot18_Age-D31))/NL31),0)</f>
        <v>0</v>
      </c>
      <c r="NQ31" s="20" t="n">
        <f aca="false">IF(GL31=1,MAX(0,(Slot18_Cost-GM31*(1+Slot18_Rate)^(Slot18_Age-D31))/NL31),0)</f>
        <v>0</v>
      </c>
      <c r="NR31" s="20" t="n">
        <f aca="false">IF(AND(HU31=1,GL31=1),MIN(NK31,NP31),0)</f>
        <v>0</v>
      </c>
      <c r="NS31" s="20" t="n">
        <f aca="false">NK31-NR31</f>
        <v>9461.39558514839</v>
      </c>
      <c r="NT31" s="20" t="n">
        <f aca="false">IF(GV31=1,IF(ABS((1+AS_Wage)/(1+Slot19_Rate)-1)&lt;0.000000000001,(Slot19_Age-D31)*(1+Slot19_Rate)^(Slot19_Age-D31),(1+Slot19_Rate)^(Slot19_Age-D31)*(1-((1+AS_Wage)/(1+Slot19_Rate))^(Slot19_Age-D31))/(1-(1+AS_Wage)/(1+Slot19_Rate))),1)</f>
        <v>1</v>
      </c>
      <c r="NU31" s="20" t="n">
        <f aca="false">IF(AND(HU31=1,IE31&gt;0,Slot19_IsWG=1,GV31=1),MAX(0,(Slot19_Cost-GW31*(1+Slot19_Rate)^(Slot19_Age-D31))/NT31),0)</f>
        <v>0</v>
      </c>
      <c r="NV31" s="20" t="n">
        <f aca="false">IF(AND(HU31=1,IE31&gt;0,Slot19_IsWG=1,GV31=1),MIN(IE31,NU31),0)</f>
        <v>0</v>
      </c>
      <c r="NW31" s="20" t="n">
        <f aca="false">GW31+NV31</f>
        <v>0</v>
      </c>
      <c r="NX31" s="20" t="n">
        <f aca="false">IF(GV31=1,MAX(0,(Slot19_Cost-NW31*(1+Slot19_Rate)^(Slot19_Age-D31))/NT31),0)</f>
        <v>0</v>
      </c>
      <c r="NY31" s="20" t="n">
        <f aca="false">IF(GV31=1,MAX(0,(Slot19_Cost-GW31*(1+Slot19_Rate)^(Slot19_Age-D31))/NT31),0)</f>
        <v>0</v>
      </c>
      <c r="NZ31" s="20" t="n">
        <f aca="false">IF(AND(HU31=1,GV31=1),MIN(NS31,NX31),0)</f>
        <v>0</v>
      </c>
      <c r="OA31" s="20" t="n">
        <f aca="false">NS31-NZ31</f>
        <v>9461.39558514839</v>
      </c>
      <c r="OB31" s="20" t="n">
        <f aca="false">IF(HF31=1,IF(ABS((1+AS_Wage)/(1+Slot20_Rate)-1)&lt;0.000000000001,(Slot20_Age-D31)*(1+Slot20_Rate)^(Slot20_Age-D31),(1+Slot20_Rate)^(Slot20_Age-D31)*(1-((1+AS_Wage)/(1+Slot20_Rate))^(Slot20_Age-D31))/(1-(1+AS_Wage)/(1+Slot20_Rate))),1)</f>
        <v>1</v>
      </c>
      <c r="OC31" s="20" t="n">
        <f aca="false">IF(AND(HU31=1,IE31&gt;0,Slot20_IsWG=1,HF31=1),MAX(0,(Slot20_Cost-HG31*(1+Slot20_Rate)^(Slot20_Age-D31))/OB31),0)</f>
        <v>0</v>
      </c>
      <c r="OD31" s="20" t="n">
        <f aca="false">IF(AND(HU31=1,IE31&gt;0,Slot20_IsWG=1,HF31=1),MIN(IE31,OC31),0)</f>
        <v>0</v>
      </c>
      <c r="OE31" s="20" t="n">
        <f aca="false">HG31+OD31</f>
        <v>0</v>
      </c>
      <c r="OF31" s="20" t="n">
        <f aca="false">IF(HF31=1,MAX(0,(Slot20_Cost-OE31*(1+Slot20_Rate)^(Slot20_Age-D31))/OB31),0)</f>
        <v>0</v>
      </c>
      <c r="OG31" s="20" t="n">
        <f aca="false">IF(HF31=1,MAX(0,(Slot20_Cost-HG31*(1+Slot20_Rate)^(Slot20_Age-D31))/OB31),0)</f>
        <v>0</v>
      </c>
      <c r="OH31" s="20" t="n">
        <f aca="false">IF(AND(HU31=1,HF31=1),MIN(OA31,OF31),0)</f>
        <v>0</v>
      </c>
      <c r="OI31" s="20" t="n">
        <f aca="false">OA31-OH31</f>
        <v>9461.39558514839</v>
      </c>
      <c r="OJ31" s="20" t="n">
        <f aca="false">IE31-(IH31+IP31+IX31+JF31+JN31+JV31+KD31+KL31+KT31+LB31+LJ31+LR31+LZ31+MH31+MP31+MX31+NF31+NN31+NV31+OD31)</f>
        <v>0</v>
      </c>
      <c r="OK31" s="20" t="n">
        <f aca="false">IF(HU31=1,HS31-ID31-IE31,0)</f>
        <v>34888.3577512182</v>
      </c>
      <c r="OL31" s="20" t="n">
        <f aca="false">IF(HU31=0,-HS31,0)</f>
        <v>0</v>
      </c>
      <c r="OM31" s="20" t="n">
        <f aca="false">MIN(OL31,HK31)</f>
        <v>0</v>
      </c>
      <c r="ON31" s="20" t="n">
        <f aca="false">OL31-OM31</f>
        <v>0</v>
      </c>
      <c r="OO31" s="20" t="n">
        <f aca="false">MIN(ON31,HL31)</f>
        <v>0</v>
      </c>
      <c r="OP31" s="20" t="n">
        <f aca="false">ON31-OO31</f>
        <v>0</v>
      </c>
      <c r="OQ31" s="20" t="n">
        <f aca="false">IF(AND(HU31=0,HF31=1,OP31&gt;0),MIN(OP31,HG31),0)</f>
        <v>0</v>
      </c>
      <c r="OR31" s="20" t="n">
        <f aca="false">OP31-OQ31</f>
        <v>0</v>
      </c>
      <c r="OS31" s="20" t="n">
        <f aca="false">IF(AND(HU31=0,GV31=1,OR31&gt;0),MIN(OR31,GW31),0)</f>
        <v>0</v>
      </c>
      <c r="OT31" s="20" t="n">
        <f aca="false">OR31-OS31</f>
        <v>0</v>
      </c>
      <c r="OU31" s="20" t="n">
        <f aca="false">IF(AND(HU31=0,GL31=1,OT31&gt;0),MIN(OT31,GM31),0)</f>
        <v>0</v>
      </c>
      <c r="OV31" s="20" t="n">
        <f aca="false">OT31-OU31</f>
        <v>0</v>
      </c>
      <c r="OW31" s="20" t="n">
        <f aca="false">IF(AND(HU31=0,GB31=1,OV31&gt;0),MIN(OV31,GC31),0)</f>
        <v>0</v>
      </c>
      <c r="OX31" s="20" t="n">
        <f aca="false">OV31-OW31</f>
        <v>0</v>
      </c>
      <c r="OY31" s="20" t="n">
        <f aca="false">IF(AND(HU31=0,FR31=1,OX31&gt;0),MIN(OX31,FS31),0)</f>
        <v>0</v>
      </c>
      <c r="OZ31" s="20" t="n">
        <f aca="false">OX31-OY31</f>
        <v>0</v>
      </c>
      <c r="PA31" s="20" t="n">
        <f aca="false">IF(AND(HU31=0,FH31=1,OZ31&gt;0),MIN(OZ31,FI31),0)</f>
        <v>0</v>
      </c>
      <c r="PB31" s="20" t="n">
        <f aca="false">OZ31-PA31</f>
        <v>0</v>
      </c>
      <c r="PC31" s="20" t="n">
        <f aca="false">IF(AND(HU31=0,EX31=1,PB31&gt;0),MIN(PB31,EY31),0)</f>
        <v>0</v>
      </c>
      <c r="PD31" s="20" t="n">
        <f aca="false">PB31-PC31</f>
        <v>0</v>
      </c>
      <c r="PE31" s="20" t="n">
        <f aca="false">IF(AND(HU31=0,EN31=1,PD31&gt;0),MIN(PD31,EO31),0)</f>
        <v>0</v>
      </c>
      <c r="PF31" s="20" t="n">
        <f aca="false">PD31-PE31</f>
        <v>0</v>
      </c>
      <c r="PG31" s="20" t="n">
        <f aca="false">IF(AND(HU31=0,ED31=1,PF31&gt;0),MIN(PF31,EE31),0)</f>
        <v>0</v>
      </c>
      <c r="PH31" s="20" t="n">
        <f aca="false">PF31-PG31</f>
        <v>0</v>
      </c>
      <c r="PI31" s="20" t="n">
        <f aca="false">IF(AND(HU31=0,DT31=1,PH31&gt;0),MIN(PH31,DU31),0)</f>
        <v>0</v>
      </c>
      <c r="PJ31" s="20" t="n">
        <f aca="false">PH31-PI31</f>
        <v>0</v>
      </c>
      <c r="PK31" s="20" t="n">
        <f aca="false">IF(AND(HU31=0,DJ31=1,PJ31&gt;0),MIN(PJ31,DK31),0)</f>
        <v>0</v>
      </c>
      <c r="PL31" s="20" t="n">
        <f aca="false">PJ31-PK31</f>
        <v>0</v>
      </c>
      <c r="PM31" s="20" t="n">
        <f aca="false">IF(AND(HU31=0,CZ31=1,PL31&gt;0),MIN(PL31,DA31),0)</f>
        <v>0</v>
      </c>
      <c r="PN31" s="20" t="n">
        <f aca="false">PL31-PM31</f>
        <v>0</v>
      </c>
      <c r="PO31" s="20" t="n">
        <f aca="false">IF(AND(HU31=0,CP31=1,PN31&gt;0),MIN(PN31,CQ31),0)</f>
        <v>0</v>
      </c>
      <c r="PP31" s="20" t="n">
        <f aca="false">PN31-PO31</f>
        <v>0</v>
      </c>
      <c r="PQ31" s="20" t="n">
        <f aca="false">IF(AND(HU31=0,CF31=1,PP31&gt;0),MIN(PP31,CG31),0)</f>
        <v>0</v>
      </c>
      <c r="PR31" s="20" t="n">
        <f aca="false">PP31-PQ31</f>
        <v>0</v>
      </c>
      <c r="PS31" s="20" t="n">
        <f aca="false">IF(AND(HU31=0,BV31=1,PR31&gt;0),MIN(PR31,BW31),0)</f>
        <v>0</v>
      </c>
      <c r="PT31" s="20" t="n">
        <f aca="false">PR31-PS31</f>
        <v>0</v>
      </c>
      <c r="PU31" s="20" t="n">
        <f aca="false">IF(AND(HU31=0,BL31=1,PT31&gt;0),MIN(PT31,BM31),0)</f>
        <v>0</v>
      </c>
      <c r="PV31" s="20" t="n">
        <f aca="false">PT31-PU31</f>
        <v>0</v>
      </c>
      <c r="PW31" s="20" t="n">
        <f aca="false">IF(AND(HU31=0,BB31=1,PV31&gt;0),MIN(PV31,BC31),0)</f>
        <v>0</v>
      </c>
      <c r="PX31" s="20" t="n">
        <f aca="false">PV31-PW31</f>
        <v>0</v>
      </c>
      <c r="PY31" s="20" t="n">
        <f aca="false">IF(AND(HU31=0,AR31=1,PX31&gt;0),MIN(PX31,AS31),0)</f>
        <v>0</v>
      </c>
      <c r="PZ31" s="20" t="n">
        <f aca="false">PX31-PY31</f>
        <v>0</v>
      </c>
      <c r="QA31" s="20" t="n">
        <f aca="false">IF(AND(HU31=0,AH31=1,PZ31&gt;0),MIN(PZ31,AI31),0)</f>
        <v>0</v>
      </c>
      <c r="QB31" s="20" t="n">
        <f aca="false">PZ31-QA31</f>
        <v>0</v>
      </c>
      <c r="QC31" s="20" t="n">
        <f aca="false">IF(AND(HU31=0,W31=1,QB31&gt;0),MIN(QB31,X31),0)</f>
        <v>0</v>
      </c>
      <c r="QD31" s="20" t="n">
        <f aca="false">QB31-QC31</f>
        <v>0</v>
      </c>
      <c r="QE31" s="20" t="n">
        <f aca="false">IF(HU31=0,QD31,0)</f>
        <v>0</v>
      </c>
      <c r="QF31" s="20" t="n">
        <f aca="false">OM31+OO31+QC31+QA31+PY31+PW31+PU31+PS31+PQ31+PO31+PM31+PK31+PI31+PG31+PE31+PC31+PA31+OY31+OW31+OU31+OS31+OQ31</f>
        <v>0</v>
      </c>
      <c r="QG31" s="20" t="n">
        <f aca="false">IF(HU31=1,HK31+OJ31+OI31+IF(G31=1,0,OK31),HK31-OM31)</f>
        <v>84007.8577442583</v>
      </c>
      <c r="QH31" s="20" t="n">
        <f aca="false">HL31-OO31</f>
        <v>19232.7086210622</v>
      </c>
      <c r="QI31" s="20" t="n">
        <f aca="false">IF(HU31=1,IF(G31=1,ID31+IE31,HS31),0)</f>
        <v>9461.39558514839</v>
      </c>
      <c r="QJ31" s="20" t="n">
        <f aca="false">IF(HU31=1,IF(G31=1,HS31-ID31-IE31,0),0)</f>
        <v>34888.3577512182</v>
      </c>
      <c r="QK31" s="20" t="n">
        <f aca="false">QG31*(1+GR)</f>
        <v>85385.5866112641</v>
      </c>
      <c r="QL31" s="20" t="n">
        <f aca="false">QH31*(1+AS_Cash)</f>
        <v>19425.0357072729</v>
      </c>
      <c r="QM31" s="20" t="n">
        <f aca="false">IF(W31=1,IF(HU31=1,II31+IL31,X31-QC31)*(1+Slot1_Rate),0)</f>
        <v>0</v>
      </c>
      <c r="QN31" s="20" t="n">
        <f aca="false">IF(AND(HU31=1,W31=1),(IH31+IL31)/F31,0)</f>
        <v>0</v>
      </c>
      <c r="QO31" s="20" t="n">
        <f aca="false">IF(B31=0,IH31+IL31,0)</f>
        <v>0</v>
      </c>
      <c r="QP31" s="20" t="n">
        <f aca="false">IF(B31=0,IF(HU31=1,IJ31,IK31),0)</f>
        <v>0</v>
      </c>
      <c r="QQ31" s="20" t="n">
        <f aca="false">IF(AH31=1,IF(HU31=1,IQ31+IT31,AI31-QA31)*(1+Slot2_Rate),0)</f>
        <v>0</v>
      </c>
      <c r="QR31" s="20" t="n">
        <f aca="false">IF(AND(HU31=1,AH31=1),(IP31+IT31)/F31,0)</f>
        <v>0</v>
      </c>
      <c r="QS31" s="20" t="n">
        <f aca="false">IF(B31=0,IP31+IT31,0)</f>
        <v>0</v>
      </c>
      <c r="QT31" s="20" t="n">
        <f aca="false">IF(B31=0,IF(HU31=1,IR31,IS31),0)</f>
        <v>0</v>
      </c>
      <c r="QU31" s="20" t="n">
        <f aca="false">IF(AR31=1,IF(HU31=1,IY31+JB31,AS31-PY31)*(1+Slot3_Rate),0)</f>
        <v>0</v>
      </c>
      <c r="QV31" s="20" t="n">
        <f aca="false">IF(AND(HU31=1,AR31=1),(IX31+JB31)/F31,0)</f>
        <v>0</v>
      </c>
      <c r="QW31" s="20" t="n">
        <f aca="false">IF(B31=0,IX31+JB31,0)</f>
        <v>0</v>
      </c>
      <c r="QX31" s="20" t="n">
        <f aca="false">IF(B31=0,IF(HU31=1,IZ31,JA31),0)</f>
        <v>0</v>
      </c>
      <c r="QY31" s="20" t="n">
        <f aca="false">IF(BB31=1,IF(HU31=1,JG31+JJ31,BC31-PW31)*(1+Slot4_Rate),0)</f>
        <v>0</v>
      </c>
      <c r="QZ31" s="20" t="n">
        <f aca="false">IF(AND(HU31=1,BB31=1),(JF31+JJ31)/F31,0)</f>
        <v>0</v>
      </c>
      <c r="RA31" s="20" t="n">
        <f aca="false">IF(B31=0,JF31+JJ31,0)</f>
        <v>0</v>
      </c>
      <c r="RB31" s="20" t="n">
        <f aca="false">IF(B31=0,IF(HU31=1,JH31,JI31),0)</f>
        <v>0</v>
      </c>
      <c r="RC31" s="20" t="n">
        <f aca="false">IF(BL31=1,IF(HU31=1,JO31+JR31,BM31-PU31)*(1+Slot5_Rate),0)</f>
        <v>0</v>
      </c>
      <c r="RD31" s="20" t="n">
        <f aca="false">IF(AND(HU31=1,BL31=1),(JN31+JR31)/F31,0)</f>
        <v>0</v>
      </c>
      <c r="RE31" s="20" t="n">
        <f aca="false">IF(B31=0,JN31+JR31,0)</f>
        <v>0</v>
      </c>
      <c r="RF31" s="20" t="n">
        <f aca="false">IF(B31=0,IF(HU31=1,JP31,JQ31),0)</f>
        <v>0</v>
      </c>
      <c r="RG31" s="20" t="n">
        <f aca="false">IF(BV31=1,IF(HU31=1,JW31+JZ31,BW31-PS31)*(1+Slot6_Rate),0)</f>
        <v>0</v>
      </c>
      <c r="RH31" s="20" t="n">
        <f aca="false">IF(AND(HU31=1,BV31=1),(JV31+JZ31)/F31,0)</f>
        <v>0</v>
      </c>
      <c r="RI31" s="20" t="n">
        <f aca="false">IF(B31=0,JV31+JZ31,0)</f>
        <v>0</v>
      </c>
      <c r="RJ31" s="20" t="n">
        <f aca="false">IF(B31=0,IF(HU31=1,JX31,JY31),0)</f>
        <v>0</v>
      </c>
      <c r="RK31" s="20" t="n">
        <f aca="false">IF(CF31=1,IF(HU31=1,KE31+KH31,CG31-PQ31)*(1+Slot7_Rate),0)</f>
        <v>0</v>
      </c>
      <c r="RL31" s="20" t="n">
        <f aca="false">IF(AND(HU31=1,CF31=1),(KD31+KH31)/F31,0)</f>
        <v>0</v>
      </c>
      <c r="RM31" s="20" t="n">
        <f aca="false">IF(B31=0,KD31+KH31,0)</f>
        <v>0</v>
      </c>
      <c r="RN31" s="20" t="n">
        <f aca="false">IF(B31=0,IF(HU31=1,KF31,KG31),0)</f>
        <v>0</v>
      </c>
      <c r="RO31" s="20" t="n">
        <f aca="false">IF(CP31=1,IF(HU31=1,KM31+KP31,CQ31-PO31)*(1+Slot8_Rate),0)</f>
        <v>0</v>
      </c>
      <c r="RP31" s="20" t="n">
        <f aca="false">IF(AND(HU31=1,CP31=1),(KL31+KP31)/F31,0)</f>
        <v>0</v>
      </c>
      <c r="RQ31" s="20" t="n">
        <f aca="false">IF(B31=0,KL31+KP31,0)</f>
        <v>0</v>
      </c>
      <c r="RR31" s="20" t="n">
        <f aca="false">IF(B31=0,IF(HU31=1,KN31,KO31),0)</f>
        <v>0</v>
      </c>
      <c r="RS31" s="20" t="n">
        <f aca="false">IF(CZ31=1,IF(HU31=1,KU31+KX31,DA31-PM31)*(1+Slot9_Rate),0)</f>
        <v>0</v>
      </c>
      <c r="RT31" s="20" t="n">
        <f aca="false">IF(AND(HU31=1,CZ31=1),(KT31+KX31)/F31,0)</f>
        <v>0</v>
      </c>
      <c r="RU31" s="20" t="n">
        <f aca="false">IF(B31=0,KT31+KX31,0)</f>
        <v>0</v>
      </c>
      <c r="RV31" s="20" t="n">
        <f aca="false">IF(B31=0,IF(HU31=1,KV31,KW31),0)</f>
        <v>0</v>
      </c>
      <c r="RW31" s="20" t="n">
        <f aca="false">IF(DJ31=1,IF(HU31=1,LC31+LF31,DK31-PK31)*(1+Slot10_Rate),0)</f>
        <v>0</v>
      </c>
      <c r="RX31" s="20" t="n">
        <f aca="false">IF(AND(HU31=1,DJ31=1),(LB31+LF31)/F31,0)</f>
        <v>0</v>
      </c>
      <c r="RY31" s="20" t="n">
        <f aca="false">IF(B31=0,LB31+LF31,0)</f>
        <v>0</v>
      </c>
      <c r="RZ31" s="20" t="n">
        <f aca="false">IF(B31=0,IF(HU31=1,LD31,LE31),0)</f>
        <v>0</v>
      </c>
      <c r="SA31" s="20" t="n">
        <f aca="false">IF(DT31=1,IF(HU31=1,LK31+LN31,DU31-PI31)*(1+Slot11_Rate),0)</f>
        <v>0</v>
      </c>
      <c r="SB31" s="20" t="n">
        <f aca="false">IF(AND(HU31=1,DT31=1),(LJ31+LN31)/F31,0)</f>
        <v>0</v>
      </c>
      <c r="SC31" s="20" t="n">
        <f aca="false">IF(B31=0,LJ31+LN31,0)</f>
        <v>0</v>
      </c>
      <c r="SD31" s="20" t="n">
        <f aca="false">IF(B31=0,IF(HU31=1,LL31,LM31),0)</f>
        <v>0</v>
      </c>
      <c r="SE31" s="20" t="n">
        <f aca="false">IF(ED31=1,IF(HU31=1,LS31+LV31,EE31-PG31)*(1+Slot12_Rate),0)</f>
        <v>0</v>
      </c>
      <c r="SF31" s="20" t="n">
        <f aca="false">IF(AND(HU31=1,ED31=1),(LR31+LV31)/F31,0)</f>
        <v>0</v>
      </c>
      <c r="SG31" s="20" t="n">
        <f aca="false">IF(B31=0,LR31+LV31,0)</f>
        <v>0</v>
      </c>
      <c r="SH31" s="20" t="n">
        <f aca="false">IF(B31=0,IF(HU31=1,LT31,LU31),0)</f>
        <v>0</v>
      </c>
      <c r="SI31" s="20" t="n">
        <f aca="false">IF(EN31=1,IF(HU31=1,MA31+MD31,EO31-PE31)*(1+Slot13_Rate),0)</f>
        <v>0</v>
      </c>
      <c r="SJ31" s="20" t="n">
        <f aca="false">IF(AND(HU31=1,EN31=1),(LZ31+MD31)/F31,0)</f>
        <v>0</v>
      </c>
      <c r="SK31" s="20" t="n">
        <f aca="false">IF(B31=0,LZ31+MD31,0)</f>
        <v>0</v>
      </c>
      <c r="SL31" s="20" t="n">
        <f aca="false">IF(B31=0,IF(HU31=1,MB31,MC31),0)</f>
        <v>0</v>
      </c>
      <c r="SM31" s="20" t="n">
        <f aca="false">IF(EX31=1,IF(HU31=1,MI31+ML31,EY31-PC31)*(1+Slot14_Rate),0)</f>
        <v>0</v>
      </c>
      <c r="SN31" s="20" t="n">
        <f aca="false">IF(AND(HU31=1,EX31=1),(MH31+ML31)/F31,0)</f>
        <v>0</v>
      </c>
      <c r="SO31" s="20" t="n">
        <f aca="false">IF(B31=0,MH31+ML31,0)</f>
        <v>0</v>
      </c>
      <c r="SP31" s="20" t="n">
        <f aca="false">IF(B31=0,IF(HU31=1,MJ31,MK31),0)</f>
        <v>0</v>
      </c>
      <c r="SQ31" s="20" t="n">
        <f aca="false">IF(FH31=1,IF(HU31=1,MQ31+MT31,FI31-PA31)*(1+Slot15_Rate),0)</f>
        <v>0</v>
      </c>
      <c r="SR31" s="20" t="n">
        <f aca="false">IF(AND(HU31=1,FH31=1),(MP31+MT31)/F31,0)</f>
        <v>0</v>
      </c>
      <c r="SS31" s="20" t="n">
        <f aca="false">IF(B31=0,MP31+MT31,0)</f>
        <v>0</v>
      </c>
      <c r="ST31" s="20" t="n">
        <f aca="false">IF(B31=0,IF(HU31=1,MR31,MS31),0)</f>
        <v>0</v>
      </c>
      <c r="SU31" s="20" t="n">
        <f aca="false">IF(FR31=1,IF(HU31=1,MY31+NB31,FS31-OY31)*(1+Slot16_Rate),0)</f>
        <v>0</v>
      </c>
      <c r="SV31" s="20" t="n">
        <f aca="false">IF(AND(HU31=1,FR31=1),(MX31+NB31)/F31,0)</f>
        <v>0</v>
      </c>
      <c r="SW31" s="20" t="n">
        <f aca="false">IF(B31=0,MX31+NB31,0)</f>
        <v>0</v>
      </c>
      <c r="SX31" s="20" t="n">
        <f aca="false">IF(B31=0,IF(HU31=1,MZ31,NA31),0)</f>
        <v>0</v>
      </c>
      <c r="SY31" s="20" t="n">
        <f aca="false">IF(GB31=1,IF(HU31=1,NG31+NJ31,GC31-OW31)*(1+Slot17_Rate),0)</f>
        <v>0</v>
      </c>
      <c r="SZ31" s="20" t="n">
        <f aca="false">IF(AND(HU31=1,GB31=1),(NF31+NJ31)/F31,0)</f>
        <v>0</v>
      </c>
      <c r="TA31" s="20" t="n">
        <f aca="false">IF(B31=0,NF31+NJ31,0)</f>
        <v>0</v>
      </c>
      <c r="TB31" s="20" t="n">
        <f aca="false">IF(B31=0,IF(HU31=1,NH31,NI31),0)</f>
        <v>0</v>
      </c>
      <c r="TC31" s="20" t="n">
        <f aca="false">IF(GL31=1,IF(HU31=1,NO31+NR31,GM31-OU31)*(1+Slot18_Rate),0)</f>
        <v>0</v>
      </c>
      <c r="TD31" s="20" t="n">
        <f aca="false">IF(AND(HU31=1,GL31=1),(NN31+NR31)/F31,0)</f>
        <v>0</v>
      </c>
      <c r="TE31" s="20" t="n">
        <f aca="false">IF(B31=0,NN31+NR31,0)</f>
        <v>0</v>
      </c>
      <c r="TF31" s="20" t="n">
        <f aca="false">IF(B31=0,IF(HU31=1,NP31,NQ31),0)</f>
        <v>0</v>
      </c>
      <c r="TG31" s="20" t="n">
        <f aca="false">IF(GV31=1,IF(HU31=1,NW31+NZ31,GW31-OS31)*(1+Slot19_Rate),0)</f>
        <v>0</v>
      </c>
      <c r="TH31" s="20" t="n">
        <f aca="false">IF(AND(HU31=1,GV31=1),(NV31+NZ31)/F31,0)</f>
        <v>0</v>
      </c>
      <c r="TI31" s="20" t="n">
        <f aca="false">IF(B31=0,NV31+NZ31,0)</f>
        <v>0</v>
      </c>
      <c r="TJ31" s="20" t="n">
        <f aca="false">IF(B31=0,IF(HU31=1,NX31,NY31),0)</f>
        <v>0</v>
      </c>
      <c r="TK31" s="20" t="n">
        <f aca="false">IF(HF31=1,IF(HU31=1,OE31+OH31,HG31-OQ31)*(1+Slot20_Rate),0)</f>
        <v>0</v>
      </c>
      <c r="TL31" s="20" t="n">
        <f aca="false">IF(AND(HU31=1,HF31=1),(OD31+OH31)/F31,0)</f>
        <v>0</v>
      </c>
      <c r="TM31" s="20" t="n">
        <f aca="false">IF(B31=0,OD31+OH31,0)</f>
        <v>0</v>
      </c>
      <c r="TN31" s="20" t="n">
        <f aca="false">IF(B31=0,IF(HU31=1,OF31,OG31),0)</f>
        <v>0</v>
      </c>
      <c r="TO31" s="20" t="n">
        <f aca="false">QK31+QL31+QM31+QQ31+QU31+QY31+RC31+RG31+RK31+RO31+RS31+RW31+SA31+SE31+SI31+SM31+SQ31+SU31+SY31+TC31+TG31+TK31</f>
        <v>104810.622318537</v>
      </c>
      <c r="TP31" s="20" t="n">
        <f aca="false">QE31+HP31</f>
        <v>0</v>
      </c>
      <c r="TQ31" s="20" t="n">
        <f aca="false">I31+S31</f>
        <v>70960.4668886129</v>
      </c>
      <c r="TR31" s="20" t="n">
        <f aca="false">1-G31</f>
        <v>0</v>
      </c>
      <c r="TS31" s="20" t="n">
        <f aca="false">IF(AND(RG_Exists=1,G31=0,C31=1),I31,0)</f>
        <v>0</v>
      </c>
      <c r="TT31" s="20" t="n">
        <f aca="false">IF(AND(RG_Exists=1,G31=0,C31=1),I31-MIN(QE31,I31),0)</f>
        <v>0</v>
      </c>
      <c r="TU31" s="20" t="n">
        <f aca="false">'Plan pay &amp; tax'!AD257</f>
        <v>557852.402707787</v>
      </c>
      <c r="TV31" s="20" t="n">
        <f aca="false">IF(AND(C31=1,QE31&gt;MAX(PR_Short1,TQ31*PR_Short2)),1,0)</f>
        <v>0</v>
      </c>
      <c r="TW31" s="20" t="n">
        <f aca="false">MIN(H31,I31+S31)</f>
        <v>70960.4668886129</v>
      </c>
      <c r="TX31" s="20" t="n">
        <f aca="false">QF31+MAX(0,HQ31-HP31)</f>
        <v>0</v>
      </c>
      <c r="TY31" s="20" t="n">
        <f aca="false">QE31+HP31</f>
        <v>0</v>
      </c>
      <c r="TZ31" s="20" t="n">
        <f aca="false">IF(AND(C31=1,TY31&gt;PR_MinShort),1,0)</f>
        <v>0</v>
      </c>
      <c r="UA31" s="20" t="n">
        <f aca="false">IF(AND(C31=1,TZ31=0,TX31&gt;PR_MinShort),1,0)</f>
        <v>0</v>
      </c>
      <c r="UB31" s="20" t="n">
        <f aca="false">IF(AND(C31=1,QE31&gt;PR_MinShort),1,0)</f>
        <v>0</v>
      </c>
      <c r="UC31" s="20" t="n">
        <f aca="false">IF(AND(C31=1,QF31&gt;1,UJ31=0),1,0)</f>
        <v>0</v>
      </c>
      <c r="UD31" s="20" t="str">
        <f aca="false">IF(C31=0,"",IF(UJ31=1,"Gap to plan for: short "&amp;"€"&amp;TEXT(ROUND(TP31,0),"#,##0"),IF(QF31&gt;1,"Using savings","Comfortable")))</f>
        <v>Comfortable</v>
      </c>
      <c r="UE31" s="20" t="n">
        <f aca="false">IF(AND(INT(D31/10)*10=90,B31&gt;0),80,INT(D31/10)*10)</f>
        <v>60</v>
      </c>
      <c r="UF31" s="20" t="n">
        <f aca="false">IF(B31=0,1,IF(UE31&lt;&gt;UE30,UF30+1,UF30))</f>
        <v>4</v>
      </c>
      <c r="UG31" s="20" t="n">
        <f aca="false">IF(AND(C31=1,G31=1,QE31&gt;MAX(PR_Short1,TQ31*PR_Short2)),1,0)</f>
        <v>0</v>
      </c>
      <c r="UH31" s="20" t="n">
        <f aca="false">TR31*TV31</f>
        <v>0</v>
      </c>
      <c r="UI31" s="20" t="n">
        <f aca="false">IF(AND(V31=1,Slot1_PctLow=1),1,0)+IF(AND(AG31=1,Slot2_PctLow=1),1,0)+IF(AND(AQ31=1,Slot3_PctLow=1),1,0)+IF(AND(BA31=1,Slot4_PctLow=1),1,0)+IF(AND(BK31=1,Slot5_PctLow=1),1,0)+IF(AND(BU31=1,Slot6_PctLow=1),1,0)+IF(AND(CE31=1,Slot7_PctLow=1),1,0)+IF(AND(CO31=1,Slot8_PctLow=1),1,0)+IF(AND(CY31=1,Slot9_PctLow=1),1,0)+IF(AND(DI31=1,Slot10_PctLow=1),1,0)+IF(AND(DS31=1,Slot11_PctLow=1),1,0)+IF(AND(EC31=1,Slot12_PctLow=1),1,0)+IF(AND(EM31=1,Slot13_PctLow=1),1,0)+IF(AND(EW31=1,Slot14_PctLow=1),1,0)+IF(AND(FG31=1,Slot15_PctLow=1),1,0)+IF(AND(FQ31=1,Slot16_PctLow=1),1,0)+IF(AND(GA31=1,Slot17_PctLow=1),1,0)+IF(AND(GK31=1,Slot18_PctLow=1),1,0)+IF(AND(GU31=1,Slot19_PctLow=1),1,0)+IF(AND(HE31=1,Slot20_PctLow=1),1,0)</f>
        <v>0</v>
      </c>
      <c r="UJ31" s="20" t="n">
        <f aca="false">IF(C31=1,IF(OR(TV31=1,UI31&gt;0),1,0),0)</f>
        <v>0</v>
      </c>
    </row>
    <row r="32" customFormat="false" ht="15" hidden="false" customHeight="true" outlineLevel="0" collapsed="false">
      <c r="B32" s="20" t="n">
        <v>24</v>
      </c>
      <c r="C32" s="20" t="n">
        <f aca="false">IF(B32&lt;=F_N,1,0)</f>
        <v>1</v>
      </c>
      <c r="D32" s="20" t="n">
        <f aca="false">'Plan pay &amp; tax'!C258</f>
        <v>62</v>
      </c>
      <c r="E32" s="20" t="str">
        <f aca="false">IF($C32=1,"Income tax "&amp;TEXT(N('Plan pay &amp; tax'!BK258),"#,##0")&amp;"; USC "&amp;TEXT(N('Plan pay &amp; tax'!BM258)+N('Plan pay &amp; tax'!BO258),"#,##0")&amp;"; PRSI "&amp;TEXT(N('Plan pay &amp; tax'!BP258)+N('Plan pay &amp; tax'!BQ258),"#,##0")&amp;". DIRT and exit tax are inside the growth rates here.","")</f>
        <v>Income tax 16,504; USC 2,271; PRSI 4,752. DIRT and exit tax are inside the growth rates here.</v>
      </c>
      <c r="F32" s="44" t="n">
        <f aca="false">'Plan pay &amp; tax'!E258</f>
        <v>1.60843724947523</v>
      </c>
      <c r="G32" s="20" t="n">
        <f aca="false">'Plan pay &amp; tax'!G258</f>
        <v>1</v>
      </c>
      <c r="H32" s="20" t="n">
        <f aca="false">'Plan pay &amp; tax'!BT258-'Plan pay &amp; tax'!BS258-'Plan pay &amp; tax'!R258</f>
        <v>118439.173374238</v>
      </c>
      <c r="I32" s="20" t="n">
        <f aca="false">IF(G32=1,F_CostsM*12,IF(RG_Exists=1,RG_Amount,F_CostsM*12*AS_RetireSpend))*F32+F_OneOffY*F32</f>
        <v>72379.6762263852</v>
      </c>
      <c r="J32" s="20" t="n">
        <f aca="false">HR31</f>
        <v>0</v>
      </c>
      <c r="K32" s="20" t="n">
        <f aca="false">IF(J32&gt;1,'Plan debt months'!AC32,0)</f>
        <v>0</v>
      </c>
      <c r="L32" s="20" t="n">
        <f aca="false">IF(J32&gt;1,'Plan debt months'!AB32,J32)</f>
        <v>0</v>
      </c>
      <c r="M32" s="20" t="n">
        <f aca="false">O31</f>
        <v>0</v>
      </c>
      <c r="N32" s="20" t="n">
        <f aca="false">IF(M32&gt;1,'Plan debt months'!BD32,0)</f>
        <v>0</v>
      </c>
      <c r="O32" s="20" t="n">
        <f aca="false">IF(M32&gt;1,'Plan debt months'!BC32,M32)</f>
        <v>0</v>
      </c>
      <c r="P32" s="20" t="n">
        <f aca="false">R31</f>
        <v>0</v>
      </c>
      <c r="Q32" s="20" t="n">
        <f aca="false">IF(P32&gt;1,'Plan debt months'!CE32,0)</f>
        <v>0</v>
      </c>
      <c r="R32" s="20" t="n">
        <f aca="false">IF(P32&gt;1,'Plan debt months'!CD32,P32)</f>
        <v>0</v>
      </c>
      <c r="S32" s="20" t="n">
        <f aca="false">K32+N32+Q32</f>
        <v>0</v>
      </c>
      <c r="T32" s="20" t="n">
        <f aca="false">QK31+'Plan pay &amp; tax'!Y258</f>
        <v>85385.5866112641</v>
      </c>
      <c r="U32" s="20" t="n">
        <f aca="false">QK31</f>
        <v>85385.5866112641</v>
      </c>
      <c r="V32" s="20" t="n">
        <f aca="false">IF(AND(Slot1_On=1,D32=Slot1_Age),1,0)</f>
        <v>0</v>
      </c>
      <c r="W32" s="20" t="n">
        <f aca="false">IF(AND(Slot1_On=1,Slot1_Age&gt;D32),1,0)</f>
        <v>0</v>
      </c>
      <c r="X32" s="20" t="n">
        <f aca="false">QM31</f>
        <v>0</v>
      </c>
      <c r="Y32" s="20" t="n">
        <f aca="false">V32*MIN(Slot1_Cost,X32)</f>
        <v>0</v>
      </c>
      <c r="Z32" s="20" t="n">
        <f aca="false">V32*Slot1_SpendLike*MIN(Slot1_Cost-Y32,T32)</f>
        <v>0</v>
      </c>
      <c r="AA32" s="20" t="n">
        <f aca="false">Y32+Z32</f>
        <v>0</v>
      </c>
      <c r="AB32" s="20" t="n">
        <f aca="false">T32-Z32+V32*IF(Slot1_SpendLike=1,X32-Y32,IF(Slot1_PotFree=1,X32,0))</f>
        <v>85385.5866112641</v>
      </c>
      <c r="AC32" s="20" t="n">
        <f aca="false">AF32+V32*Slot1_BufPot*X32</f>
        <v>19425.0357072729</v>
      </c>
      <c r="AD32" s="20" t="n">
        <f aca="false">IF(AND(V32=1,Slot1_IsMfree=1),IF(AA32&gt;=Slot1_Cost-1,0,MAX(0,L32-AA32)),L32)</f>
        <v>0</v>
      </c>
      <c r="AE32" s="20" t="n">
        <f aca="false">V32*(Slot1_Cost-AA32)</f>
        <v>0</v>
      </c>
      <c r="AF32" s="20" t="n">
        <f aca="false">QL31</f>
        <v>19425.0357072729</v>
      </c>
      <c r="AG32" s="20" t="n">
        <f aca="false">IF(AND(Slot2_On=1,D32=Slot2_Age),1,0)</f>
        <v>0</v>
      </c>
      <c r="AH32" s="20" t="n">
        <f aca="false">IF(AND(Slot2_On=1,Slot2_Age&gt;D32),1,0)</f>
        <v>0</v>
      </c>
      <c r="AI32" s="20" t="n">
        <f aca="false">QQ31</f>
        <v>0</v>
      </c>
      <c r="AJ32" s="20" t="n">
        <f aca="false">AG32*MIN(Slot2_Cost,AI32)</f>
        <v>0</v>
      </c>
      <c r="AK32" s="20" t="n">
        <f aca="false">AG32*Slot2_SpendLike*MIN(Slot2_Cost-AJ32,AB32)</f>
        <v>0</v>
      </c>
      <c r="AL32" s="20" t="n">
        <f aca="false">AJ32+AK32</f>
        <v>0</v>
      </c>
      <c r="AM32" s="20" t="n">
        <f aca="false">AB32-AK32+AG32*IF(Slot2_SpendLike=1,AI32-AJ32,IF(Slot2_PotFree=1,AI32,0))</f>
        <v>85385.5866112641</v>
      </c>
      <c r="AN32" s="20" t="n">
        <f aca="false">AC32+AG32*Slot2_BufPot*AI32</f>
        <v>19425.0357072729</v>
      </c>
      <c r="AO32" s="20" t="n">
        <f aca="false">IF(AND(AG32=1,Slot2_IsMfree=1),IF(AL32&gt;=Slot2_Cost-1,0,MAX(0,AD32-AL32)),AD32)</f>
        <v>0</v>
      </c>
      <c r="AP32" s="20" t="n">
        <f aca="false">AG32*(Slot2_Cost-AL32)</f>
        <v>0</v>
      </c>
      <c r="AQ32" s="20" t="n">
        <f aca="false">IF(AND(Slot3_On=1,D32=Slot3_Age),1,0)</f>
        <v>0</v>
      </c>
      <c r="AR32" s="20" t="n">
        <f aca="false">IF(AND(Slot3_On=1,Slot3_Age&gt;D32),1,0)</f>
        <v>0</v>
      </c>
      <c r="AS32" s="20" t="n">
        <f aca="false">QU31</f>
        <v>0</v>
      </c>
      <c r="AT32" s="20" t="n">
        <f aca="false">AQ32*MIN(Slot3_Cost,AS32)</f>
        <v>0</v>
      </c>
      <c r="AU32" s="20" t="n">
        <f aca="false">AQ32*Slot3_SpendLike*MIN(Slot3_Cost-AT32,AM32)</f>
        <v>0</v>
      </c>
      <c r="AV32" s="20" t="n">
        <f aca="false">AT32+AU32</f>
        <v>0</v>
      </c>
      <c r="AW32" s="20" t="n">
        <f aca="false">AM32-AU32+AQ32*IF(Slot3_SpendLike=1,AS32-AT32,IF(Slot3_PotFree=1,AS32,0))</f>
        <v>85385.5866112641</v>
      </c>
      <c r="AX32" s="20" t="n">
        <f aca="false">AN32+AQ32*Slot3_BufPot*AS32</f>
        <v>19425.0357072729</v>
      </c>
      <c r="AY32" s="20" t="n">
        <f aca="false">IF(AND(AQ32=1,Slot3_IsMfree=1),IF(AV32&gt;=Slot3_Cost-1,0,MAX(0,AO32-AV32)),AO32)</f>
        <v>0</v>
      </c>
      <c r="AZ32" s="20" t="n">
        <f aca="false">AQ32*(Slot3_Cost-AV32)</f>
        <v>0</v>
      </c>
      <c r="BA32" s="20" t="n">
        <f aca="false">IF(AND(Slot4_On=1,D32=Slot4_Age),1,0)</f>
        <v>0</v>
      </c>
      <c r="BB32" s="20" t="n">
        <f aca="false">IF(AND(Slot4_On=1,Slot4_Age&gt;D32),1,0)</f>
        <v>0</v>
      </c>
      <c r="BC32" s="20" t="n">
        <f aca="false">QY31</f>
        <v>0</v>
      </c>
      <c r="BD32" s="20" t="n">
        <f aca="false">BA32*MIN(Slot4_Cost,BC32)</f>
        <v>0</v>
      </c>
      <c r="BE32" s="20" t="n">
        <f aca="false">BA32*Slot4_SpendLike*MIN(Slot4_Cost-BD32,AW32)</f>
        <v>0</v>
      </c>
      <c r="BF32" s="20" t="n">
        <f aca="false">BD32+BE32</f>
        <v>0</v>
      </c>
      <c r="BG32" s="20" t="n">
        <f aca="false">AW32-BE32+BA32*IF(Slot4_SpendLike=1,BC32-BD32,IF(Slot4_PotFree=1,BC32,0))</f>
        <v>85385.5866112641</v>
      </c>
      <c r="BH32" s="20" t="n">
        <f aca="false">AX32+BA32*Slot4_BufPot*BC32</f>
        <v>19425.0357072729</v>
      </c>
      <c r="BI32" s="20" t="n">
        <f aca="false">IF(AND(BA32=1,Slot4_IsMfree=1),IF(BF32&gt;=Slot4_Cost-1,0,MAX(0,AY32-BF32)),AY32)</f>
        <v>0</v>
      </c>
      <c r="BJ32" s="20" t="n">
        <f aca="false">BA32*(Slot4_Cost-BF32)</f>
        <v>0</v>
      </c>
      <c r="BK32" s="20" t="n">
        <f aca="false">IF(AND(Slot5_On=1,D32=Slot5_Age),1,0)</f>
        <v>0</v>
      </c>
      <c r="BL32" s="20" t="n">
        <f aca="false">IF(AND(Slot5_On=1,Slot5_Age&gt;D32),1,0)</f>
        <v>0</v>
      </c>
      <c r="BM32" s="20" t="n">
        <f aca="false">RC31</f>
        <v>0</v>
      </c>
      <c r="BN32" s="20" t="n">
        <f aca="false">BK32*MIN(Slot5_Cost,BM32)</f>
        <v>0</v>
      </c>
      <c r="BO32" s="20" t="n">
        <f aca="false">BK32*Slot5_SpendLike*MIN(Slot5_Cost-BN32,BG32)</f>
        <v>0</v>
      </c>
      <c r="BP32" s="20" t="n">
        <f aca="false">BN32+BO32</f>
        <v>0</v>
      </c>
      <c r="BQ32" s="20" t="n">
        <f aca="false">BG32-BO32+BK32*IF(Slot5_SpendLike=1,BM32-BN32,IF(Slot5_PotFree=1,BM32,0))</f>
        <v>85385.5866112641</v>
      </c>
      <c r="BR32" s="20" t="n">
        <f aca="false">BH32+BK32*Slot5_BufPot*BM32</f>
        <v>19425.0357072729</v>
      </c>
      <c r="BS32" s="20" t="n">
        <f aca="false">IF(AND(BK32=1,Slot5_IsMfree=1),IF(BP32&gt;=Slot5_Cost-1,0,MAX(0,BI32-BP32)),BI32)</f>
        <v>0</v>
      </c>
      <c r="BT32" s="20" t="n">
        <f aca="false">BK32*(Slot5_Cost-BP32)</f>
        <v>0</v>
      </c>
      <c r="BU32" s="20" t="n">
        <f aca="false">IF(AND(Slot6_On=1,D32=Slot6_Age),1,0)</f>
        <v>0</v>
      </c>
      <c r="BV32" s="20" t="n">
        <f aca="false">IF(AND(Slot6_On=1,Slot6_Age&gt;D32),1,0)</f>
        <v>0</v>
      </c>
      <c r="BW32" s="20" t="n">
        <f aca="false">RG31</f>
        <v>0</v>
      </c>
      <c r="BX32" s="20" t="n">
        <f aca="false">BU32*MIN(Slot6_Cost,BW32)</f>
        <v>0</v>
      </c>
      <c r="BY32" s="20" t="n">
        <f aca="false">BU32*Slot6_SpendLike*MIN(Slot6_Cost-BX32,BQ32)</f>
        <v>0</v>
      </c>
      <c r="BZ32" s="20" t="n">
        <f aca="false">BX32+BY32</f>
        <v>0</v>
      </c>
      <c r="CA32" s="20" t="n">
        <f aca="false">BQ32-BY32+BU32*IF(Slot6_SpendLike=1,BW32-BX32,IF(Slot6_PotFree=1,BW32,0))</f>
        <v>85385.5866112641</v>
      </c>
      <c r="CB32" s="20" t="n">
        <f aca="false">BR32+BU32*Slot6_BufPot*BW32</f>
        <v>19425.0357072729</v>
      </c>
      <c r="CC32" s="20" t="n">
        <f aca="false">IF(AND(BU32=1,Slot6_IsMfree=1),IF(BZ32&gt;=Slot6_Cost-1,0,MAX(0,BS32-BZ32)),BS32)</f>
        <v>0</v>
      </c>
      <c r="CD32" s="20" t="n">
        <f aca="false">BU32*(Slot6_Cost-BZ32)</f>
        <v>0</v>
      </c>
      <c r="CE32" s="20" t="n">
        <f aca="false">IF(AND(Slot7_On=1,D32=Slot7_Age),1,0)</f>
        <v>0</v>
      </c>
      <c r="CF32" s="20" t="n">
        <f aca="false">IF(AND(Slot7_On=1,Slot7_Age&gt;D32),1,0)</f>
        <v>0</v>
      </c>
      <c r="CG32" s="20" t="n">
        <f aca="false">RK31</f>
        <v>0</v>
      </c>
      <c r="CH32" s="20" t="n">
        <f aca="false">CE32*MIN(Slot7_Cost,CG32)</f>
        <v>0</v>
      </c>
      <c r="CI32" s="20" t="n">
        <f aca="false">CE32*Slot7_SpendLike*MIN(Slot7_Cost-CH32,CA32)</f>
        <v>0</v>
      </c>
      <c r="CJ32" s="20" t="n">
        <f aca="false">CH32+CI32</f>
        <v>0</v>
      </c>
      <c r="CK32" s="20" t="n">
        <f aca="false">CA32-CI32+CE32*IF(Slot7_SpendLike=1,CG32-CH32,IF(Slot7_PotFree=1,CG32,0))</f>
        <v>85385.5866112641</v>
      </c>
      <c r="CL32" s="20" t="n">
        <f aca="false">CB32+CE32*Slot7_BufPot*CG32</f>
        <v>19425.0357072729</v>
      </c>
      <c r="CM32" s="20" t="n">
        <f aca="false">IF(AND(CE32=1,Slot7_IsMfree=1),IF(CJ32&gt;=Slot7_Cost-1,0,MAX(0,CC32-CJ32)),CC32)</f>
        <v>0</v>
      </c>
      <c r="CN32" s="20" t="n">
        <f aca="false">CE32*(Slot7_Cost-CJ32)</f>
        <v>0</v>
      </c>
      <c r="CO32" s="20" t="n">
        <f aca="false">IF(AND(Slot8_On=1,D32=Slot8_Age),1,0)</f>
        <v>0</v>
      </c>
      <c r="CP32" s="20" t="n">
        <f aca="false">IF(AND(Slot8_On=1,Slot8_Age&gt;D32),1,0)</f>
        <v>0</v>
      </c>
      <c r="CQ32" s="20" t="n">
        <f aca="false">RO31</f>
        <v>0</v>
      </c>
      <c r="CR32" s="20" t="n">
        <f aca="false">CO32*MIN(Slot8_Cost,CQ32)</f>
        <v>0</v>
      </c>
      <c r="CS32" s="20" t="n">
        <f aca="false">CO32*Slot8_SpendLike*MIN(Slot8_Cost-CR32,CK32)</f>
        <v>0</v>
      </c>
      <c r="CT32" s="20" t="n">
        <f aca="false">CR32+CS32</f>
        <v>0</v>
      </c>
      <c r="CU32" s="20" t="n">
        <f aca="false">CK32-CS32+CO32*IF(Slot8_SpendLike=1,CQ32-CR32,IF(Slot8_PotFree=1,CQ32,0))</f>
        <v>85385.5866112641</v>
      </c>
      <c r="CV32" s="20" t="n">
        <f aca="false">CL32+CO32*Slot8_BufPot*CQ32</f>
        <v>19425.0357072729</v>
      </c>
      <c r="CW32" s="20" t="n">
        <f aca="false">IF(AND(CO32=1,Slot8_IsMfree=1),IF(CT32&gt;=Slot8_Cost-1,0,MAX(0,CM32-CT32)),CM32)</f>
        <v>0</v>
      </c>
      <c r="CX32" s="20" t="n">
        <f aca="false">CO32*(Slot8_Cost-CT32)</f>
        <v>0</v>
      </c>
      <c r="CY32" s="20" t="n">
        <f aca="false">IF(AND(Slot9_On=1,D32=Slot9_Age),1,0)</f>
        <v>0</v>
      </c>
      <c r="CZ32" s="20" t="n">
        <f aca="false">IF(AND(Slot9_On=1,Slot9_Age&gt;D32),1,0)</f>
        <v>0</v>
      </c>
      <c r="DA32" s="20" t="n">
        <f aca="false">RS31</f>
        <v>0</v>
      </c>
      <c r="DB32" s="20" t="n">
        <f aca="false">CY32*MIN(Slot9_Cost,DA32)</f>
        <v>0</v>
      </c>
      <c r="DC32" s="20" t="n">
        <f aca="false">CY32*Slot9_SpendLike*MIN(Slot9_Cost-DB32,CU32)</f>
        <v>0</v>
      </c>
      <c r="DD32" s="20" t="n">
        <f aca="false">DB32+DC32</f>
        <v>0</v>
      </c>
      <c r="DE32" s="20" t="n">
        <f aca="false">CU32-DC32+CY32*IF(Slot9_SpendLike=1,DA32-DB32,IF(Slot9_PotFree=1,DA32,0))</f>
        <v>85385.5866112641</v>
      </c>
      <c r="DF32" s="20" t="n">
        <f aca="false">CV32+CY32*Slot9_BufPot*DA32</f>
        <v>19425.0357072729</v>
      </c>
      <c r="DG32" s="20" t="n">
        <f aca="false">IF(AND(CY32=1,Slot9_IsMfree=1),IF(DD32&gt;=Slot9_Cost-1,0,MAX(0,CW32-DD32)),CW32)</f>
        <v>0</v>
      </c>
      <c r="DH32" s="20" t="n">
        <f aca="false">CY32*(Slot9_Cost-DD32)</f>
        <v>0</v>
      </c>
      <c r="DI32" s="20" t="n">
        <f aca="false">IF(AND(Slot10_On=1,D32=Slot10_Age),1,0)</f>
        <v>0</v>
      </c>
      <c r="DJ32" s="20" t="n">
        <f aca="false">IF(AND(Slot10_On=1,Slot10_Age&gt;D32),1,0)</f>
        <v>0</v>
      </c>
      <c r="DK32" s="20" t="n">
        <f aca="false">RW31</f>
        <v>0</v>
      </c>
      <c r="DL32" s="20" t="n">
        <f aca="false">DI32*MIN(Slot10_Cost,DK32)</f>
        <v>0</v>
      </c>
      <c r="DM32" s="20" t="n">
        <f aca="false">DI32*Slot10_SpendLike*MIN(Slot10_Cost-DL32,DE32)</f>
        <v>0</v>
      </c>
      <c r="DN32" s="20" t="n">
        <f aca="false">DL32+DM32</f>
        <v>0</v>
      </c>
      <c r="DO32" s="20" t="n">
        <f aca="false">DE32-DM32+DI32*IF(Slot10_SpendLike=1,DK32-DL32,IF(Slot10_PotFree=1,DK32,0))</f>
        <v>85385.5866112641</v>
      </c>
      <c r="DP32" s="20" t="n">
        <f aca="false">DF32+DI32*Slot10_BufPot*DK32</f>
        <v>19425.0357072729</v>
      </c>
      <c r="DQ32" s="20" t="n">
        <f aca="false">IF(AND(DI32=1,Slot10_IsMfree=1),IF(DN32&gt;=Slot10_Cost-1,0,MAX(0,DG32-DN32)),DG32)</f>
        <v>0</v>
      </c>
      <c r="DR32" s="20" t="n">
        <f aca="false">DI32*(Slot10_Cost-DN32)</f>
        <v>0</v>
      </c>
      <c r="DS32" s="20" t="n">
        <f aca="false">IF(AND(Slot11_On=1,D32=Slot11_Age),1,0)</f>
        <v>0</v>
      </c>
      <c r="DT32" s="20" t="n">
        <f aca="false">IF(AND(Slot11_On=1,Slot11_Age&gt;D32),1,0)</f>
        <v>0</v>
      </c>
      <c r="DU32" s="20" t="n">
        <f aca="false">SA31</f>
        <v>0</v>
      </c>
      <c r="DV32" s="20" t="n">
        <f aca="false">DS32*MIN(Slot11_Cost,DU32)</f>
        <v>0</v>
      </c>
      <c r="DW32" s="20" t="n">
        <f aca="false">DS32*Slot11_SpendLike*MIN(Slot11_Cost-DV32,DO32)</f>
        <v>0</v>
      </c>
      <c r="DX32" s="20" t="n">
        <f aca="false">DV32+DW32</f>
        <v>0</v>
      </c>
      <c r="DY32" s="20" t="n">
        <f aca="false">DO32-DW32+DS32*IF(Slot11_SpendLike=1,DU32-DV32,IF(Slot11_PotFree=1,DU32,0))</f>
        <v>85385.5866112641</v>
      </c>
      <c r="DZ32" s="20" t="n">
        <f aca="false">DP32+DS32*Slot11_BufPot*DU32</f>
        <v>19425.0357072729</v>
      </c>
      <c r="EA32" s="20" t="n">
        <f aca="false">IF(AND(DS32=1,Slot11_IsMfree=1),IF(DX32&gt;=Slot11_Cost-1,0,MAX(0,DQ32-DX32)),DQ32)</f>
        <v>0</v>
      </c>
      <c r="EB32" s="20" t="n">
        <f aca="false">DS32*(Slot11_Cost-DX32)</f>
        <v>0</v>
      </c>
      <c r="EC32" s="20" t="n">
        <f aca="false">IF(AND(Slot12_On=1,D32=Slot12_Age),1,0)</f>
        <v>0</v>
      </c>
      <c r="ED32" s="20" t="n">
        <f aca="false">IF(AND(Slot12_On=1,Slot12_Age&gt;D32),1,0)</f>
        <v>0</v>
      </c>
      <c r="EE32" s="20" t="n">
        <f aca="false">SE31</f>
        <v>0</v>
      </c>
      <c r="EF32" s="20" t="n">
        <f aca="false">EC32*MIN(Slot12_Cost,EE32)</f>
        <v>0</v>
      </c>
      <c r="EG32" s="20" t="n">
        <f aca="false">EC32*Slot12_SpendLike*MIN(Slot12_Cost-EF32,DY32)</f>
        <v>0</v>
      </c>
      <c r="EH32" s="20" t="n">
        <f aca="false">EF32+EG32</f>
        <v>0</v>
      </c>
      <c r="EI32" s="20" t="n">
        <f aca="false">DY32-EG32+EC32*IF(Slot12_SpendLike=1,EE32-EF32,IF(Slot12_PotFree=1,EE32,0))</f>
        <v>85385.5866112641</v>
      </c>
      <c r="EJ32" s="20" t="n">
        <f aca="false">DZ32+EC32*Slot12_BufPot*EE32</f>
        <v>19425.0357072729</v>
      </c>
      <c r="EK32" s="20" t="n">
        <f aca="false">IF(AND(EC32=1,Slot12_IsMfree=1),IF(EH32&gt;=Slot12_Cost-1,0,MAX(0,EA32-EH32)),EA32)</f>
        <v>0</v>
      </c>
      <c r="EL32" s="20" t="n">
        <f aca="false">EC32*(Slot12_Cost-EH32)</f>
        <v>0</v>
      </c>
      <c r="EM32" s="20" t="n">
        <f aca="false">IF(AND(Slot13_On=1,D32=Slot13_Age),1,0)</f>
        <v>0</v>
      </c>
      <c r="EN32" s="20" t="n">
        <f aca="false">IF(AND(Slot13_On=1,Slot13_Age&gt;D32),1,0)</f>
        <v>0</v>
      </c>
      <c r="EO32" s="20" t="n">
        <f aca="false">SI31</f>
        <v>0</v>
      </c>
      <c r="EP32" s="20" t="n">
        <f aca="false">EM32*MIN(Slot13_Cost,EO32)</f>
        <v>0</v>
      </c>
      <c r="EQ32" s="20" t="n">
        <f aca="false">EM32*Slot13_SpendLike*MIN(Slot13_Cost-EP32,EI32)</f>
        <v>0</v>
      </c>
      <c r="ER32" s="20" t="n">
        <f aca="false">EP32+EQ32</f>
        <v>0</v>
      </c>
      <c r="ES32" s="20" t="n">
        <f aca="false">EI32-EQ32+EM32*IF(Slot13_SpendLike=1,EO32-EP32,IF(Slot13_PotFree=1,EO32,0))</f>
        <v>85385.5866112641</v>
      </c>
      <c r="ET32" s="20" t="n">
        <f aca="false">EJ32+EM32*Slot13_BufPot*EO32</f>
        <v>19425.0357072729</v>
      </c>
      <c r="EU32" s="20" t="n">
        <f aca="false">IF(AND(EM32=1,Slot13_IsMfree=1),IF(ER32&gt;=Slot13_Cost-1,0,MAX(0,EK32-ER32)),EK32)</f>
        <v>0</v>
      </c>
      <c r="EV32" s="20" t="n">
        <f aca="false">EM32*(Slot13_Cost-ER32)</f>
        <v>0</v>
      </c>
      <c r="EW32" s="20" t="n">
        <f aca="false">IF(AND(Slot14_On=1,D32=Slot14_Age),1,0)</f>
        <v>0</v>
      </c>
      <c r="EX32" s="20" t="n">
        <f aca="false">IF(AND(Slot14_On=1,Slot14_Age&gt;D32),1,0)</f>
        <v>0</v>
      </c>
      <c r="EY32" s="20" t="n">
        <f aca="false">SM31</f>
        <v>0</v>
      </c>
      <c r="EZ32" s="20" t="n">
        <f aca="false">EW32*MIN(Slot14_Cost,EY32)</f>
        <v>0</v>
      </c>
      <c r="FA32" s="20" t="n">
        <f aca="false">EW32*Slot14_SpendLike*MIN(Slot14_Cost-EZ32,ES32)</f>
        <v>0</v>
      </c>
      <c r="FB32" s="20" t="n">
        <f aca="false">EZ32+FA32</f>
        <v>0</v>
      </c>
      <c r="FC32" s="20" t="n">
        <f aca="false">ES32-FA32+EW32*IF(Slot14_SpendLike=1,EY32-EZ32,IF(Slot14_PotFree=1,EY32,0))</f>
        <v>85385.5866112641</v>
      </c>
      <c r="FD32" s="20" t="n">
        <f aca="false">ET32+EW32*Slot14_BufPot*EY32</f>
        <v>19425.0357072729</v>
      </c>
      <c r="FE32" s="20" t="n">
        <f aca="false">IF(AND(EW32=1,Slot14_IsMfree=1),IF(FB32&gt;=Slot14_Cost-1,0,MAX(0,EU32-FB32)),EU32)</f>
        <v>0</v>
      </c>
      <c r="FF32" s="20" t="n">
        <f aca="false">EW32*(Slot14_Cost-FB32)</f>
        <v>0</v>
      </c>
      <c r="FG32" s="20" t="n">
        <f aca="false">IF(AND(Slot15_On=1,D32=Slot15_Age),1,0)</f>
        <v>0</v>
      </c>
      <c r="FH32" s="20" t="n">
        <f aca="false">IF(AND(Slot15_On=1,Slot15_Age&gt;D32),1,0)</f>
        <v>0</v>
      </c>
      <c r="FI32" s="20" t="n">
        <f aca="false">SQ31</f>
        <v>0</v>
      </c>
      <c r="FJ32" s="20" t="n">
        <f aca="false">FG32*MIN(Slot15_Cost,FI32)</f>
        <v>0</v>
      </c>
      <c r="FK32" s="20" t="n">
        <f aca="false">FG32*Slot15_SpendLike*MIN(Slot15_Cost-FJ32,FC32)</f>
        <v>0</v>
      </c>
      <c r="FL32" s="20" t="n">
        <f aca="false">FJ32+FK32</f>
        <v>0</v>
      </c>
      <c r="FM32" s="20" t="n">
        <f aca="false">FC32-FK32+FG32*IF(Slot15_SpendLike=1,FI32-FJ32,IF(Slot15_PotFree=1,FI32,0))</f>
        <v>85385.5866112641</v>
      </c>
      <c r="FN32" s="20" t="n">
        <f aca="false">FD32+FG32*Slot15_BufPot*FI32</f>
        <v>19425.0357072729</v>
      </c>
      <c r="FO32" s="20" t="n">
        <f aca="false">IF(AND(FG32=1,Slot15_IsMfree=1),IF(FL32&gt;=Slot15_Cost-1,0,MAX(0,FE32-FL32)),FE32)</f>
        <v>0</v>
      </c>
      <c r="FP32" s="20" t="n">
        <f aca="false">FG32*(Slot15_Cost-FL32)</f>
        <v>0</v>
      </c>
      <c r="FQ32" s="20" t="n">
        <f aca="false">IF(AND(Slot16_On=1,D32=Slot16_Age),1,0)</f>
        <v>0</v>
      </c>
      <c r="FR32" s="20" t="n">
        <f aca="false">IF(AND(Slot16_On=1,Slot16_Age&gt;D32),1,0)</f>
        <v>0</v>
      </c>
      <c r="FS32" s="20" t="n">
        <f aca="false">SU31</f>
        <v>0</v>
      </c>
      <c r="FT32" s="20" t="n">
        <f aca="false">FQ32*MIN(Slot16_Cost,FS32)</f>
        <v>0</v>
      </c>
      <c r="FU32" s="20" t="n">
        <f aca="false">FQ32*Slot16_SpendLike*MIN(Slot16_Cost-FT32,FM32)</f>
        <v>0</v>
      </c>
      <c r="FV32" s="20" t="n">
        <f aca="false">FT32+FU32</f>
        <v>0</v>
      </c>
      <c r="FW32" s="20" t="n">
        <f aca="false">FM32-FU32+FQ32*IF(Slot16_SpendLike=1,FS32-FT32,IF(Slot16_PotFree=1,FS32,0))</f>
        <v>85385.5866112641</v>
      </c>
      <c r="FX32" s="20" t="n">
        <f aca="false">FN32+FQ32*Slot16_BufPot*FS32</f>
        <v>19425.0357072729</v>
      </c>
      <c r="FY32" s="20" t="n">
        <f aca="false">IF(AND(FQ32=1,Slot16_IsMfree=1),IF(FV32&gt;=Slot16_Cost-1,0,MAX(0,FO32-FV32)),FO32)</f>
        <v>0</v>
      </c>
      <c r="FZ32" s="20" t="n">
        <f aca="false">FQ32*(Slot16_Cost-FV32)</f>
        <v>0</v>
      </c>
      <c r="GA32" s="20" t="n">
        <f aca="false">IF(AND(Slot17_On=1,D32=Slot17_Age),1,0)</f>
        <v>0</v>
      </c>
      <c r="GB32" s="20" t="n">
        <f aca="false">IF(AND(Slot17_On=1,Slot17_Age&gt;D32),1,0)</f>
        <v>0</v>
      </c>
      <c r="GC32" s="20" t="n">
        <f aca="false">SY31</f>
        <v>0</v>
      </c>
      <c r="GD32" s="20" t="n">
        <f aca="false">GA32*MIN(Slot17_Cost,GC32)</f>
        <v>0</v>
      </c>
      <c r="GE32" s="20" t="n">
        <f aca="false">GA32*Slot17_SpendLike*MIN(Slot17_Cost-GD32,FW32)</f>
        <v>0</v>
      </c>
      <c r="GF32" s="20" t="n">
        <f aca="false">GD32+GE32</f>
        <v>0</v>
      </c>
      <c r="GG32" s="20" t="n">
        <f aca="false">FW32-GE32+GA32*IF(Slot17_SpendLike=1,GC32-GD32,IF(Slot17_PotFree=1,GC32,0))</f>
        <v>85385.5866112641</v>
      </c>
      <c r="GH32" s="20" t="n">
        <f aca="false">FX32+GA32*Slot17_BufPot*GC32</f>
        <v>19425.0357072729</v>
      </c>
      <c r="GI32" s="20" t="n">
        <f aca="false">IF(AND(GA32=1,Slot17_IsMfree=1),IF(GF32&gt;=Slot17_Cost-1,0,MAX(0,FY32-GF32)),FY32)</f>
        <v>0</v>
      </c>
      <c r="GJ32" s="20" t="n">
        <f aca="false">GA32*(Slot17_Cost-GF32)</f>
        <v>0</v>
      </c>
      <c r="GK32" s="20" t="n">
        <f aca="false">IF(AND(Slot18_On=1,D32=Slot18_Age),1,0)</f>
        <v>0</v>
      </c>
      <c r="GL32" s="20" t="n">
        <f aca="false">IF(AND(Slot18_On=1,Slot18_Age&gt;D32),1,0)</f>
        <v>0</v>
      </c>
      <c r="GM32" s="20" t="n">
        <f aca="false">TC31</f>
        <v>0</v>
      </c>
      <c r="GN32" s="20" t="n">
        <f aca="false">GK32*MIN(Slot18_Cost,GM32)</f>
        <v>0</v>
      </c>
      <c r="GO32" s="20" t="n">
        <f aca="false">GK32*Slot18_SpendLike*MIN(Slot18_Cost-GN32,GG32)</f>
        <v>0</v>
      </c>
      <c r="GP32" s="20" t="n">
        <f aca="false">GN32+GO32</f>
        <v>0</v>
      </c>
      <c r="GQ32" s="20" t="n">
        <f aca="false">GG32-GO32+GK32*IF(Slot18_SpendLike=1,GM32-GN32,IF(Slot18_PotFree=1,GM32,0))</f>
        <v>85385.5866112641</v>
      </c>
      <c r="GR32" s="20" t="n">
        <f aca="false">GH32+GK32*Slot18_BufPot*GM32</f>
        <v>19425.0357072729</v>
      </c>
      <c r="GS32" s="20" t="n">
        <f aca="false">IF(AND(GK32=1,Slot18_IsMfree=1),IF(GP32&gt;=Slot18_Cost-1,0,MAX(0,GI32-GP32)),GI32)</f>
        <v>0</v>
      </c>
      <c r="GT32" s="20" t="n">
        <f aca="false">GK32*(Slot18_Cost-GP32)</f>
        <v>0</v>
      </c>
      <c r="GU32" s="20" t="n">
        <f aca="false">IF(AND(Slot19_On=1,D32=Slot19_Age),1,0)</f>
        <v>0</v>
      </c>
      <c r="GV32" s="20" t="n">
        <f aca="false">IF(AND(Slot19_On=1,Slot19_Age&gt;D32),1,0)</f>
        <v>0</v>
      </c>
      <c r="GW32" s="20" t="n">
        <f aca="false">TG31</f>
        <v>0</v>
      </c>
      <c r="GX32" s="20" t="n">
        <f aca="false">GU32*MIN(Slot19_Cost,GW32)</f>
        <v>0</v>
      </c>
      <c r="GY32" s="20" t="n">
        <f aca="false">GU32*Slot19_SpendLike*MIN(Slot19_Cost-GX32,GQ32)</f>
        <v>0</v>
      </c>
      <c r="GZ32" s="20" t="n">
        <f aca="false">GX32+GY32</f>
        <v>0</v>
      </c>
      <c r="HA32" s="20" t="n">
        <f aca="false">GQ32-GY32+GU32*IF(Slot19_SpendLike=1,GW32-GX32,IF(Slot19_PotFree=1,GW32,0))</f>
        <v>85385.5866112641</v>
      </c>
      <c r="HB32" s="20" t="n">
        <f aca="false">GR32+GU32*Slot19_BufPot*GW32</f>
        <v>19425.0357072729</v>
      </c>
      <c r="HC32" s="20" t="n">
        <f aca="false">IF(AND(GU32=1,Slot19_IsMfree=1),IF(GZ32&gt;=Slot19_Cost-1,0,MAX(0,GS32-GZ32)),GS32)</f>
        <v>0</v>
      </c>
      <c r="HD32" s="20" t="n">
        <f aca="false">GU32*(Slot19_Cost-GZ32)</f>
        <v>0</v>
      </c>
      <c r="HE32" s="20" t="n">
        <f aca="false">IF(AND(Slot20_On=1,D32=Slot20_Age),1,0)</f>
        <v>0</v>
      </c>
      <c r="HF32" s="20" t="n">
        <f aca="false">IF(AND(Slot20_On=1,Slot20_Age&gt;D32),1,0)</f>
        <v>0</v>
      </c>
      <c r="HG32" s="20" t="n">
        <f aca="false">TK31</f>
        <v>0</v>
      </c>
      <c r="HH32" s="20" t="n">
        <f aca="false">HE32*MIN(Slot20_Cost,HG32)</f>
        <v>0</v>
      </c>
      <c r="HI32" s="20" t="n">
        <f aca="false">HE32*Slot20_SpendLike*MIN(Slot20_Cost-HH32,HA32)</f>
        <v>0</v>
      </c>
      <c r="HJ32" s="20" t="n">
        <f aca="false">HH32+HI32</f>
        <v>0</v>
      </c>
      <c r="HK32" s="20" t="n">
        <f aca="false">HA32-HI32+HE32*IF(Slot20_SpendLike=1,HG32-HH32,IF(Slot20_PotFree=1,HG32,0))</f>
        <v>85385.5866112641</v>
      </c>
      <c r="HL32" s="20" t="n">
        <f aca="false">HB32+HE32*Slot20_BufPot*HG32</f>
        <v>19425.0357072729</v>
      </c>
      <c r="HM32" s="20" t="n">
        <f aca="false">IF(AND(HE32=1,Slot20_IsMfree=1),IF(HJ32&gt;=Slot20_Cost-1,0,MAX(0,HC32-HJ32)),HC32)</f>
        <v>0</v>
      </c>
      <c r="HN32" s="20" t="n">
        <f aca="false">HE32*(Slot20_Cost-HJ32)</f>
        <v>0</v>
      </c>
      <c r="HO32" s="20" t="n">
        <f aca="false">V32*Slot1_SpendLike*AA32+AG32*Slot2_SpendLike*AL32+AQ32*Slot3_SpendLike*AV32+BA32*Slot4_SpendLike*BF32+BK32*Slot5_SpendLike*BP32+BU32*Slot6_SpendLike*BZ32+CE32*Slot7_SpendLike*CJ32+CO32*Slot8_SpendLike*CT32+CY32*Slot9_SpendLike*DD32+DI32*Slot10_SpendLike*DN32+DS32*Slot11_SpendLike*DX32+EC32*Slot12_SpendLike*EH32+EM32*Slot13_SpendLike*ER32+EW32*Slot14_SpendLike*FB32+FG32*Slot15_SpendLike*FL32+FQ32*Slot16_SpendLike*FV32+GA32*Slot17_SpendLike*GF32+GK32*Slot18_SpendLike*GP32+GU32*Slot19_SpendLike*GZ32+HE32*Slot20_SpendLike*HJ32</f>
        <v>0</v>
      </c>
      <c r="HP32" s="20" t="n">
        <f aca="false">AE32+AP32+AZ32+BJ32+BT32+CD32+CN32+CX32+DH32+DR32+EB32+EL32+EV32+FF32+FP32+FZ32+GJ32+GT32+HD32+HN32</f>
        <v>0</v>
      </c>
      <c r="HQ32" s="20" t="n">
        <f aca="false">V32*Slot1_Cost+AG32*Slot2_Cost+AQ32*Slot3_Cost+BA32*Slot4_Cost+BK32*Slot5_Cost+BU32*Slot6_Cost+CE32*Slot7_Cost+CO32*Slot8_Cost+CY32*Slot9_Cost+DI32*Slot10_Cost+DS32*Slot11_Cost+EC32*Slot12_Cost+EM32*Slot13_Cost+EW32*Slot14_Cost+FG32*Slot15_Cost+FQ32*Slot16_Cost+GA32*Slot17_Cost+GK32*Slot18_Cost+GU32*Slot19_Cost+HE32*Slot20_Cost</f>
        <v>0</v>
      </c>
      <c r="HR32" s="20" t="n">
        <f aca="false">HM32</f>
        <v>0</v>
      </c>
      <c r="HS32" s="20" t="n">
        <f aca="false">H32-I32-S32</f>
        <v>46059.4971478524</v>
      </c>
      <c r="HT32" s="20" t="n">
        <f aca="false">IF(B32=0,IF(AND(Has_q6=1,In_q6=4),PR_ShareVaries*(MAX(0,HS32)/12),MIN(IF(Has_q6=1,CHOOSE(In_q6+1,PR_SaveB1,PR_SaveB2,PR_SaveB3,PR_SaveB4,0),AS_NoAnswer),AS_SaveShare*(MAX(0,HS32)/12))),HT31)</f>
        <v>62.3316893520437</v>
      </c>
      <c r="HU32" s="20" t="n">
        <f aca="false">IF(HS32&gt;=0,1,0)</f>
        <v>1</v>
      </c>
      <c r="HV32" s="20" t="n">
        <f aca="false">MAX(0,HS32/12/F32)</f>
        <v>2386.34825837314</v>
      </c>
      <c r="HW32" s="20" t="n">
        <f aca="false">IF(AND(Has_q6=1,In_q6=4),PR_ShareVaries*(HV32),MIN(IF(Has_q6=1,CHOOSE(In_q6+1,PR_SaveB1,PR_SaveB2,PR_SaveB3,PR_SaveB4,0),AS_NoAnswer),AS_SaveShare*(HV32)))</f>
        <v>500</v>
      </c>
      <c r="HX32" s="20" t="n">
        <f aca="false">IF(Has_saveM=1,IF(In_saveUp="Yes",1,IF(In_saveUp="No",0,IF(In_saveM&gt;=HT32-0.5,1,0))),0)</f>
        <v>0</v>
      </c>
      <c r="HY32" s="20" t="n">
        <f aca="false">IF(Has_saveM=1,MIN(HV32,IF(HX32=1,MAX(In_saveM,HW32),MIN(In_saveM,HW32))),HW32)</f>
        <v>500</v>
      </c>
      <c r="HZ32" s="20" t="n">
        <f aca="false">IF(G32=1,HY32*12*F32,0)</f>
        <v>9650.62349685136</v>
      </c>
      <c r="IA32" s="20" t="n">
        <f aca="false">MAX(0,HZ32+IF(AND(WI_Retire=0,WI_M&lt;0,G32=1),WI_M*12*F32,0))</f>
        <v>9650.62349685136</v>
      </c>
      <c r="IB32" s="20" t="n">
        <f aca="false">Slot1_IsWG*W32+Slot2_IsWG*AH32+Slot3_IsWG*AR32+Slot4_IsWG*BB32+Slot5_IsWG*BL32+Slot6_IsWG*BV32+Slot7_IsWG*CF32+Slot8_IsWG*CP32+Slot9_IsWG*CZ32+Slot10_IsWG*DJ32+Slot11_IsWG*DT32+Slot12_IsWG*ED32+Slot13_IsWG*EN32+Slot14_IsWG*EX32+Slot15_IsWG*FH32+Slot16_IsWG*FR32+Slot17_IsWG*GB32+Slot18_IsWG*GL32+Slot19_IsWG*GV32+Slot20_IsWG*HF32</f>
        <v>0</v>
      </c>
      <c r="IC32" s="20" t="n">
        <f aca="false">IF(AND(WI_Retire=0,WI_M&gt;0,G32=1,IB32&gt;=1),WI_M*12*F32,0)</f>
        <v>0</v>
      </c>
      <c r="ID32" s="20" t="n">
        <f aca="false">IF(HU32=1,MIN(IA32,HS32),0)</f>
        <v>9650.62349685136</v>
      </c>
      <c r="IE32" s="20" t="n">
        <f aca="false">IF(HU32=1,MIN(IC32,HS32-ID32),0)</f>
        <v>0</v>
      </c>
      <c r="IF32" s="20" t="n">
        <f aca="false">IF(W32=1,IF(ABS((1+AS_Wage)/(1+Slot1_Rate)-1)&lt;0.000000000001,(Slot1_Age-D32)*(1+Slot1_Rate)^(Slot1_Age-D32),(1+Slot1_Rate)^(Slot1_Age-D32)*(1-((1+AS_Wage)/(1+Slot1_Rate))^(Slot1_Age-D32))/(1-(1+AS_Wage)/(1+Slot1_Rate))),1)</f>
        <v>1</v>
      </c>
      <c r="IG32" s="20" t="n">
        <f aca="false">IF(AND(HU32=1,IE32&gt;0,Slot1_IsWG=1,W32=1),MAX(0,(Slot1_Cost-X32*(1+Slot1_Rate)^(Slot1_Age-D32))/IF32),0)</f>
        <v>0</v>
      </c>
      <c r="IH32" s="20" t="n">
        <f aca="false">IF(AND(HU32=1,IE32&gt;0,Slot1_IsWG=1,W32=1),MIN(IE32,IG32),0)</f>
        <v>0</v>
      </c>
      <c r="II32" s="20" t="n">
        <f aca="false">X32+IH32</f>
        <v>0</v>
      </c>
      <c r="IJ32" s="20" t="n">
        <f aca="false">IF(W32=1,MAX(0,(Slot1_Cost-II32*(1+Slot1_Rate)^(Slot1_Age-D32))/IF32),0)</f>
        <v>0</v>
      </c>
      <c r="IK32" s="20" t="n">
        <f aca="false">IF(W32=1,MAX(0,(Slot1_Cost-X32*(1+Slot1_Rate)^(Slot1_Age-D32))/IF32),0)</f>
        <v>0</v>
      </c>
      <c r="IL32" s="20" t="n">
        <f aca="false">IF(AND(HU32=1,W32=1),MIN(ID32,IJ32),0)</f>
        <v>0</v>
      </c>
      <c r="IM32" s="20" t="n">
        <f aca="false">ID32-IL32</f>
        <v>9650.62349685136</v>
      </c>
      <c r="IN32" s="20" t="n">
        <f aca="false">IF(AH32=1,IF(ABS((1+AS_Wage)/(1+Slot2_Rate)-1)&lt;0.000000000001,(Slot2_Age-D32)*(1+Slot2_Rate)^(Slot2_Age-D32),(1+Slot2_Rate)^(Slot2_Age-D32)*(1-((1+AS_Wage)/(1+Slot2_Rate))^(Slot2_Age-D32))/(1-(1+AS_Wage)/(1+Slot2_Rate))),1)</f>
        <v>1</v>
      </c>
      <c r="IO32" s="20" t="n">
        <f aca="false">IF(AND(HU32=1,IE32&gt;0,Slot2_IsWG=1,AH32=1),MAX(0,(Slot2_Cost-AI32*(1+Slot2_Rate)^(Slot2_Age-D32))/IN32),0)</f>
        <v>0</v>
      </c>
      <c r="IP32" s="20" t="n">
        <f aca="false">IF(AND(HU32=1,IE32&gt;0,Slot2_IsWG=1,AH32=1),MIN(IE32,IO32),0)</f>
        <v>0</v>
      </c>
      <c r="IQ32" s="20" t="n">
        <f aca="false">AI32+IP32</f>
        <v>0</v>
      </c>
      <c r="IR32" s="20" t="n">
        <f aca="false">IF(AH32=1,MAX(0,(Slot2_Cost-IQ32*(1+Slot2_Rate)^(Slot2_Age-D32))/IN32),0)</f>
        <v>0</v>
      </c>
      <c r="IS32" s="20" t="n">
        <f aca="false">IF(AH32=1,MAX(0,(Slot2_Cost-AI32*(1+Slot2_Rate)^(Slot2_Age-D32))/IN32),0)</f>
        <v>0</v>
      </c>
      <c r="IT32" s="20" t="n">
        <f aca="false">IF(AND(HU32=1,AH32=1),MIN(IM32,IR32),0)</f>
        <v>0</v>
      </c>
      <c r="IU32" s="20" t="n">
        <f aca="false">IM32-IT32</f>
        <v>9650.62349685136</v>
      </c>
      <c r="IV32" s="20" t="n">
        <f aca="false">IF(AR32=1,IF(ABS((1+AS_Wage)/(1+Slot3_Rate)-1)&lt;0.000000000001,(Slot3_Age-D32)*(1+Slot3_Rate)^(Slot3_Age-D32),(1+Slot3_Rate)^(Slot3_Age-D32)*(1-((1+AS_Wage)/(1+Slot3_Rate))^(Slot3_Age-D32))/(1-(1+AS_Wage)/(1+Slot3_Rate))),1)</f>
        <v>1</v>
      </c>
      <c r="IW32" s="20" t="n">
        <f aca="false">IF(AND(HU32=1,IE32&gt;0,Slot3_IsWG=1,AR32=1),MAX(0,(Slot3_Cost-AS32*(1+Slot3_Rate)^(Slot3_Age-D32))/IV32),0)</f>
        <v>0</v>
      </c>
      <c r="IX32" s="20" t="n">
        <f aca="false">IF(AND(HU32=1,IE32&gt;0,Slot3_IsWG=1,AR32=1),MIN(IE32,IW32),0)</f>
        <v>0</v>
      </c>
      <c r="IY32" s="20" t="n">
        <f aca="false">AS32+IX32</f>
        <v>0</v>
      </c>
      <c r="IZ32" s="20" t="n">
        <f aca="false">IF(AR32=1,MAX(0,(Slot3_Cost-IY32*(1+Slot3_Rate)^(Slot3_Age-D32))/IV32),0)</f>
        <v>0</v>
      </c>
      <c r="JA32" s="20" t="n">
        <f aca="false">IF(AR32=1,MAX(0,(Slot3_Cost-AS32*(1+Slot3_Rate)^(Slot3_Age-D32))/IV32),0)</f>
        <v>0</v>
      </c>
      <c r="JB32" s="20" t="n">
        <f aca="false">IF(AND(HU32=1,AR32=1),MIN(IU32,IZ32),0)</f>
        <v>0</v>
      </c>
      <c r="JC32" s="20" t="n">
        <f aca="false">IU32-JB32</f>
        <v>9650.62349685136</v>
      </c>
      <c r="JD32" s="20" t="n">
        <f aca="false">IF(BB32=1,IF(ABS((1+AS_Wage)/(1+Slot4_Rate)-1)&lt;0.000000000001,(Slot4_Age-D32)*(1+Slot4_Rate)^(Slot4_Age-D32),(1+Slot4_Rate)^(Slot4_Age-D32)*(1-((1+AS_Wage)/(1+Slot4_Rate))^(Slot4_Age-D32))/(1-(1+AS_Wage)/(1+Slot4_Rate))),1)</f>
        <v>1</v>
      </c>
      <c r="JE32" s="20" t="n">
        <f aca="false">IF(AND(HU32=1,IE32&gt;0,Slot4_IsWG=1,BB32=1),MAX(0,(Slot4_Cost-BC32*(1+Slot4_Rate)^(Slot4_Age-D32))/JD32),0)</f>
        <v>0</v>
      </c>
      <c r="JF32" s="20" t="n">
        <f aca="false">IF(AND(HU32=1,IE32&gt;0,Slot4_IsWG=1,BB32=1),MIN(IE32,JE32),0)</f>
        <v>0</v>
      </c>
      <c r="JG32" s="20" t="n">
        <f aca="false">BC32+JF32</f>
        <v>0</v>
      </c>
      <c r="JH32" s="20" t="n">
        <f aca="false">IF(BB32=1,MAX(0,(Slot4_Cost-JG32*(1+Slot4_Rate)^(Slot4_Age-D32))/JD32),0)</f>
        <v>0</v>
      </c>
      <c r="JI32" s="20" t="n">
        <f aca="false">IF(BB32=1,MAX(0,(Slot4_Cost-BC32*(1+Slot4_Rate)^(Slot4_Age-D32))/JD32),0)</f>
        <v>0</v>
      </c>
      <c r="JJ32" s="20" t="n">
        <f aca="false">IF(AND(HU32=1,BB32=1),MIN(JC32,JH32),0)</f>
        <v>0</v>
      </c>
      <c r="JK32" s="20" t="n">
        <f aca="false">JC32-JJ32</f>
        <v>9650.62349685136</v>
      </c>
      <c r="JL32" s="20" t="n">
        <f aca="false">IF(BL32=1,IF(ABS((1+AS_Wage)/(1+Slot5_Rate)-1)&lt;0.000000000001,(Slot5_Age-D32)*(1+Slot5_Rate)^(Slot5_Age-D32),(1+Slot5_Rate)^(Slot5_Age-D32)*(1-((1+AS_Wage)/(1+Slot5_Rate))^(Slot5_Age-D32))/(1-(1+AS_Wage)/(1+Slot5_Rate))),1)</f>
        <v>1</v>
      </c>
      <c r="JM32" s="20" t="n">
        <f aca="false">IF(AND(HU32=1,IE32&gt;0,Slot5_IsWG=1,BL32=1),MAX(0,(Slot5_Cost-BM32*(1+Slot5_Rate)^(Slot5_Age-D32))/JL32),0)</f>
        <v>0</v>
      </c>
      <c r="JN32" s="20" t="n">
        <f aca="false">IF(AND(HU32=1,IE32&gt;0,Slot5_IsWG=1,BL32=1),MIN(IE32,JM32),0)</f>
        <v>0</v>
      </c>
      <c r="JO32" s="20" t="n">
        <f aca="false">BM32+JN32</f>
        <v>0</v>
      </c>
      <c r="JP32" s="20" t="n">
        <f aca="false">IF(BL32=1,MAX(0,(Slot5_Cost-JO32*(1+Slot5_Rate)^(Slot5_Age-D32))/JL32),0)</f>
        <v>0</v>
      </c>
      <c r="JQ32" s="20" t="n">
        <f aca="false">IF(BL32=1,MAX(0,(Slot5_Cost-BM32*(1+Slot5_Rate)^(Slot5_Age-D32))/JL32),0)</f>
        <v>0</v>
      </c>
      <c r="JR32" s="20" t="n">
        <f aca="false">IF(AND(HU32=1,BL32=1),MIN(JK32,JP32),0)</f>
        <v>0</v>
      </c>
      <c r="JS32" s="20" t="n">
        <f aca="false">JK32-JR32</f>
        <v>9650.62349685136</v>
      </c>
      <c r="JT32" s="20" t="n">
        <f aca="false">IF(BV32=1,IF(ABS((1+AS_Wage)/(1+Slot6_Rate)-1)&lt;0.000000000001,(Slot6_Age-D32)*(1+Slot6_Rate)^(Slot6_Age-D32),(1+Slot6_Rate)^(Slot6_Age-D32)*(1-((1+AS_Wage)/(1+Slot6_Rate))^(Slot6_Age-D32))/(1-(1+AS_Wage)/(1+Slot6_Rate))),1)</f>
        <v>1</v>
      </c>
      <c r="JU32" s="20" t="n">
        <f aca="false">IF(AND(HU32=1,IE32&gt;0,Slot6_IsWG=1,BV32=1),MAX(0,(Slot6_Cost-BW32*(1+Slot6_Rate)^(Slot6_Age-D32))/JT32),0)</f>
        <v>0</v>
      </c>
      <c r="JV32" s="20" t="n">
        <f aca="false">IF(AND(HU32=1,IE32&gt;0,Slot6_IsWG=1,BV32=1),MIN(IE32,JU32),0)</f>
        <v>0</v>
      </c>
      <c r="JW32" s="20" t="n">
        <f aca="false">BW32+JV32</f>
        <v>0</v>
      </c>
      <c r="JX32" s="20" t="n">
        <f aca="false">IF(BV32=1,MAX(0,(Slot6_Cost-JW32*(1+Slot6_Rate)^(Slot6_Age-D32))/JT32),0)</f>
        <v>0</v>
      </c>
      <c r="JY32" s="20" t="n">
        <f aca="false">IF(BV32=1,MAX(0,(Slot6_Cost-BW32*(1+Slot6_Rate)^(Slot6_Age-D32))/JT32),0)</f>
        <v>0</v>
      </c>
      <c r="JZ32" s="20" t="n">
        <f aca="false">IF(AND(HU32=1,BV32=1),MIN(JS32,JX32),0)</f>
        <v>0</v>
      </c>
      <c r="KA32" s="20" t="n">
        <f aca="false">JS32-JZ32</f>
        <v>9650.62349685136</v>
      </c>
      <c r="KB32" s="20" t="n">
        <f aca="false">IF(CF32=1,IF(ABS((1+AS_Wage)/(1+Slot7_Rate)-1)&lt;0.000000000001,(Slot7_Age-D32)*(1+Slot7_Rate)^(Slot7_Age-D32),(1+Slot7_Rate)^(Slot7_Age-D32)*(1-((1+AS_Wage)/(1+Slot7_Rate))^(Slot7_Age-D32))/(1-(1+AS_Wage)/(1+Slot7_Rate))),1)</f>
        <v>1</v>
      </c>
      <c r="KC32" s="20" t="n">
        <f aca="false">IF(AND(HU32=1,IE32&gt;0,Slot7_IsWG=1,CF32=1),MAX(0,(Slot7_Cost-CG32*(1+Slot7_Rate)^(Slot7_Age-D32))/KB32),0)</f>
        <v>0</v>
      </c>
      <c r="KD32" s="20" t="n">
        <f aca="false">IF(AND(HU32=1,IE32&gt;0,Slot7_IsWG=1,CF32=1),MIN(IE32,KC32),0)</f>
        <v>0</v>
      </c>
      <c r="KE32" s="20" t="n">
        <f aca="false">CG32+KD32</f>
        <v>0</v>
      </c>
      <c r="KF32" s="20" t="n">
        <f aca="false">IF(CF32=1,MAX(0,(Slot7_Cost-KE32*(1+Slot7_Rate)^(Slot7_Age-D32))/KB32),0)</f>
        <v>0</v>
      </c>
      <c r="KG32" s="20" t="n">
        <f aca="false">IF(CF32=1,MAX(0,(Slot7_Cost-CG32*(1+Slot7_Rate)^(Slot7_Age-D32))/KB32),0)</f>
        <v>0</v>
      </c>
      <c r="KH32" s="20" t="n">
        <f aca="false">IF(AND(HU32=1,CF32=1),MIN(KA32,KF32),0)</f>
        <v>0</v>
      </c>
      <c r="KI32" s="20" t="n">
        <f aca="false">KA32-KH32</f>
        <v>9650.62349685136</v>
      </c>
      <c r="KJ32" s="20" t="n">
        <f aca="false">IF(CP32=1,IF(ABS((1+AS_Wage)/(1+Slot8_Rate)-1)&lt;0.000000000001,(Slot8_Age-D32)*(1+Slot8_Rate)^(Slot8_Age-D32),(1+Slot8_Rate)^(Slot8_Age-D32)*(1-((1+AS_Wage)/(1+Slot8_Rate))^(Slot8_Age-D32))/(1-(1+AS_Wage)/(1+Slot8_Rate))),1)</f>
        <v>1</v>
      </c>
      <c r="KK32" s="20" t="n">
        <f aca="false">IF(AND(HU32=1,IE32&gt;0,Slot8_IsWG=1,CP32=1),MAX(0,(Slot8_Cost-CQ32*(1+Slot8_Rate)^(Slot8_Age-D32))/KJ32),0)</f>
        <v>0</v>
      </c>
      <c r="KL32" s="20" t="n">
        <f aca="false">IF(AND(HU32=1,IE32&gt;0,Slot8_IsWG=1,CP32=1),MIN(IE32,KK32),0)</f>
        <v>0</v>
      </c>
      <c r="KM32" s="20" t="n">
        <f aca="false">CQ32+KL32</f>
        <v>0</v>
      </c>
      <c r="KN32" s="20" t="n">
        <f aca="false">IF(CP32=1,MAX(0,(Slot8_Cost-KM32*(1+Slot8_Rate)^(Slot8_Age-D32))/KJ32),0)</f>
        <v>0</v>
      </c>
      <c r="KO32" s="20" t="n">
        <f aca="false">IF(CP32=1,MAX(0,(Slot8_Cost-CQ32*(1+Slot8_Rate)^(Slot8_Age-D32))/KJ32),0)</f>
        <v>0</v>
      </c>
      <c r="KP32" s="20" t="n">
        <f aca="false">IF(AND(HU32=1,CP32=1),MIN(KI32,KN32),0)</f>
        <v>0</v>
      </c>
      <c r="KQ32" s="20" t="n">
        <f aca="false">KI32-KP32</f>
        <v>9650.62349685136</v>
      </c>
      <c r="KR32" s="20" t="n">
        <f aca="false">IF(CZ32=1,IF(ABS((1+AS_Wage)/(1+Slot9_Rate)-1)&lt;0.000000000001,(Slot9_Age-D32)*(1+Slot9_Rate)^(Slot9_Age-D32),(1+Slot9_Rate)^(Slot9_Age-D32)*(1-((1+AS_Wage)/(1+Slot9_Rate))^(Slot9_Age-D32))/(1-(1+AS_Wage)/(1+Slot9_Rate))),1)</f>
        <v>1</v>
      </c>
      <c r="KS32" s="20" t="n">
        <f aca="false">IF(AND(HU32=1,IE32&gt;0,Slot9_IsWG=1,CZ32=1),MAX(0,(Slot9_Cost-DA32*(1+Slot9_Rate)^(Slot9_Age-D32))/KR32),0)</f>
        <v>0</v>
      </c>
      <c r="KT32" s="20" t="n">
        <f aca="false">IF(AND(HU32=1,IE32&gt;0,Slot9_IsWG=1,CZ32=1),MIN(IE32,KS32),0)</f>
        <v>0</v>
      </c>
      <c r="KU32" s="20" t="n">
        <f aca="false">DA32+KT32</f>
        <v>0</v>
      </c>
      <c r="KV32" s="20" t="n">
        <f aca="false">IF(CZ32=1,MAX(0,(Slot9_Cost-KU32*(1+Slot9_Rate)^(Slot9_Age-D32))/KR32),0)</f>
        <v>0</v>
      </c>
      <c r="KW32" s="20" t="n">
        <f aca="false">IF(CZ32=1,MAX(0,(Slot9_Cost-DA32*(1+Slot9_Rate)^(Slot9_Age-D32))/KR32),0)</f>
        <v>0</v>
      </c>
      <c r="KX32" s="20" t="n">
        <f aca="false">IF(AND(HU32=1,CZ32=1),MIN(KQ32,KV32),0)</f>
        <v>0</v>
      </c>
      <c r="KY32" s="20" t="n">
        <f aca="false">KQ32-KX32</f>
        <v>9650.62349685136</v>
      </c>
      <c r="KZ32" s="20" t="n">
        <f aca="false">IF(DJ32=1,IF(ABS((1+AS_Wage)/(1+Slot10_Rate)-1)&lt;0.000000000001,(Slot10_Age-D32)*(1+Slot10_Rate)^(Slot10_Age-D32),(1+Slot10_Rate)^(Slot10_Age-D32)*(1-((1+AS_Wage)/(1+Slot10_Rate))^(Slot10_Age-D32))/(1-(1+AS_Wage)/(1+Slot10_Rate))),1)</f>
        <v>1</v>
      </c>
      <c r="LA32" s="20" t="n">
        <f aca="false">IF(AND(HU32=1,IE32&gt;0,Slot10_IsWG=1,DJ32=1),MAX(0,(Slot10_Cost-DK32*(1+Slot10_Rate)^(Slot10_Age-D32))/KZ32),0)</f>
        <v>0</v>
      </c>
      <c r="LB32" s="20" t="n">
        <f aca="false">IF(AND(HU32=1,IE32&gt;0,Slot10_IsWG=1,DJ32=1),MIN(IE32,LA32),0)</f>
        <v>0</v>
      </c>
      <c r="LC32" s="20" t="n">
        <f aca="false">DK32+LB32</f>
        <v>0</v>
      </c>
      <c r="LD32" s="20" t="n">
        <f aca="false">IF(DJ32=1,MAX(0,(Slot10_Cost-LC32*(1+Slot10_Rate)^(Slot10_Age-D32))/KZ32),0)</f>
        <v>0</v>
      </c>
      <c r="LE32" s="20" t="n">
        <f aca="false">IF(DJ32=1,MAX(0,(Slot10_Cost-DK32*(1+Slot10_Rate)^(Slot10_Age-D32))/KZ32),0)</f>
        <v>0</v>
      </c>
      <c r="LF32" s="20" t="n">
        <f aca="false">IF(AND(HU32=1,DJ32=1),MIN(KY32,LD32),0)</f>
        <v>0</v>
      </c>
      <c r="LG32" s="20" t="n">
        <f aca="false">KY32-LF32</f>
        <v>9650.62349685136</v>
      </c>
      <c r="LH32" s="20" t="n">
        <f aca="false">IF(DT32=1,IF(ABS((1+AS_Wage)/(1+Slot11_Rate)-1)&lt;0.000000000001,(Slot11_Age-D32)*(1+Slot11_Rate)^(Slot11_Age-D32),(1+Slot11_Rate)^(Slot11_Age-D32)*(1-((1+AS_Wage)/(1+Slot11_Rate))^(Slot11_Age-D32))/(1-(1+AS_Wage)/(1+Slot11_Rate))),1)</f>
        <v>1</v>
      </c>
      <c r="LI32" s="20" t="n">
        <f aca="false">IF(AND(HU32=1,IE32&gt;0,Slot11_IsWG=1,DT32=1),MAX(0,(Slot11_Cost-DU32*(1+Slot11_Rate)^(Slot11_Age-D32))/LH32),0)</f>
        <v>0</v>
      </c>
      <c r="LJ32" s="20" t="n">
        <f aca="false">IF(AND(HU32=1,IE32&gt;0,Slot11_IsWG=1,DT32=1),MIN(IE32,LI32),0)</f>
        <v>0</v>
      </c>
      <c r="LK32" s="20" t="n">
        <f aca="false">DU32+LJ32</f>
        <v>0</v>
      </c>
      <c r="LL32" s="20" t="n">
        <f aca="false">IF(DT32=1,MAX(0,(Slot11_Cost-LK32*(1+Slot11_Rate)^(Slot11_Age-D32))/LH32),0)</f>
        <v>0</v>
      </c>
      <c r="LM32" s="20" t="n">
        <f aca="false">IF(DT32=1,MAX(0,(Slot11_Cost-DU32*(1+Slot11_Rate)^(Slot11_Age-D32))/LH32),0)</f>
        <v>0</v>
      </c>
      <c r="LN32" s="20" t="n">
        <f aca="false">IF(AND(HU32=1,DT32=1),MIN(LG32,LL32),0)</f>
        <v>0</v>
      </c>
      <c r="LO32" s="20" t="n">
        <f aca="false">LG32-LN32</f>
        <v>9650.62349685136</v>
      </c>
      <c r="LP32" s="20" t="n">
        <f aca="false">IF(ED32=1,IF(ABS((1+AS_Wage)/(1+Slot12_Rate)-1)&lt;0.000000000001,(Slot12_Age-D32)*(1+Slot12_Rate)^(Slot12_Age-D32),(1+Slot12_Rate)^(Slot12_Age-D32)*(1-((1+AS_Wage)/(1+Slot12_Rate))^(Slot12_Age-D32))/(1-(1+AS_Wage)/(1+Slot12_Rate))),1)</f>
        <v>1</v>
      </c>
      <c r="LQ32" s="20" t="n">
        <f aca="false">IF(AND(HU32=1,IE32&gt;0,Slot12_IsWG=1,ED32=1),MAX(0,(Slot12_Cost-EE32*(1+Slot12_Rate)^(Slot12_Age-D32))/LP32),0)</f>
        <v>0</v>
      </c>
      <c r="LR32" s="20" t="n">
        <f aca="false">IF(AND(HU32=1,IE32&gt;0,Slot12_IsWG=1,ED32=1),MIN(IE32,LQ32),0)</f>
        <v>0</v>
      </c>
      <c r="LS32" s="20" t="n">
        <f aca="false">EE32+LR32</f>
        <v>0</v>
      </c>
      <c r="LT32" s="20" t="n">
        <f aca="false">IF(ED32=1,MAX(0,(Slot12_Cost-LS32*(1+Slot12_Rate)^(Slot12_Age-D32))/LP32),0)</f>
        <v>0</v>
      </c>
      <c r="LU32" s="20" t="n">
        <f aca="false">IF(ED32=1,MAX(0,(Slot12_Cost-EE32*(1+Slot12_Rate)^(Slot12_Age-D32))/LP32),0)</f>
        <v>0</v>
      </c>
      <c r="LV32" s="20" t="n">
        <f aca="false">IF(AND(HU32=1,ED32=1),MIN(LO32,LT32),0)</f>
        <v>0</v>
      </c>
      <c r="LW32" s="20" t="n">
        <f aca="false">LO32-LV32</f>
        <v>9650.62349685136</v>
      </c>
      <c r="LX32" s="20" t="n">
        <f aca="false">IF(EN32=1,IF(ABS((1+AS_Wage)/(1+Slot13_Rate)-1)&lt;0.000000000001,(Slot13_Age-D32)*(1+Slot13_Rate)^(Slot13_Age-D32),(1+Slot13_Rate)^(Slot13_Age-D32)*(1-((1+AS_Wage)/(1+Slot13_Rate))^(Slot13_Age-D32))/(1-(1+AS_Wage)/(1+Slot13_Rate))),1)</f>
        <v>1</v>
      </c>
      <c r="LY32" s="20" t="n">
        <f aca="false">IF(AND(HU32=1,IE32&gt;0,Slot13_IsWG=1,EN32=1),MAX(0,(Slot13_Cost-EO32*(1+Slot13_Rate)^(Slot13_Age-D32))/LX32),0)</f>
        <v>0</v>
      </c>
      <c r="LZ32" s="20" t="n">
        <f aca="false">IF(AND(HU32=1,IE32&gt;0,Slot13_IsWG=1,EN32=1),MIN(IE32,LY32),0)</f>
        <v>0</v>
      </c>
      <c r="MA32" s="20" t="n">
        <f aca="false">EO32+LZ32</f>
        <v>0</v>
      </c>
      <c r="MB32" s="20" t="n">
        <f aca="false">IF(EN32=1,MAX(0,(Slot13_Cost-MA32*(1+Slot13_Rate)^(Slot13_Age-D32))/LX32),0)</f>
        <v>0</v>
      </c>
      <c r="MC32" s="20" t="n">
        <f aca="false">IF(EN32=1,MAX(0,(Slot13_Cost-EO32*(1+Slot13_Rate)^(Slot13_Age-D32))/LX32),0)</f>
        <v>0</v>
      </c>
      <c r="MD32" s="20" t="n">
        <f aca="false">IF(AND(HU32=1,EN32=1),MIN(LW32,MB32),0)</f>
        <v>0</v>
      </c>
      <c r="ME32" s="20" t="n">
        <f aca="false">LW32-MD32</f>
        <v>9650.62349685136</v>
      </c>
      <c r="MF32" s="20" t="n">
        <f aca="false">IF(EX32=1,IF(ABS((1+AS_Wage)/(1+Slot14_Rate)-1)&lt;0.000000000001,(Slot14_Age-D32)*(1+Slot14_Rate)^(Slot14_Age-D32),(1+Slot14_Rate)^(Slot14_Age-D32)*(1-((1+AS_Wage)/(1+Slot14_Rate))^(Slot14_Age-D32))/(1-(1+AS_Wage)/(1+Slot14_Rate))),1)</f>
        <v>1</v>
      </c>
      <c r="MG32" s="20" t="n">
        <f aca="false">IF(AND(HU32=1,IE32&gt;0,Slot14_IsWG=1,EX32=1),MAX(0,(Slot14_Cost-EY32*(1+Slot14_Rate)^(Slot14_Age-D32))/MF32),0)</f>
        <v>0</v>
      </c>
      <c r="MH32" s="20" t="n">
        <f aca="false">IF(AND(HU32=1,IE32&gt;0,Slot14_IsWG=1,EX32=1),MIN(IE32,MG32),0)</f>
        <v>0</v>
      </c>
      <c r="MI32" s="20" t="n">
        <f aca="false">EY32+MH32</f>
        <v>0</v>
      </c>
      <c r="MJ32" s="20" t="n">
        <f aca="false">IF(EX32=1,MAX(0,(Slot14_Cost-MI32*(1+Slot14_Rate)^(Slot14_Age-D32))/MF32),0)</f>
        <v>0</v>
      </c>
      <c r="MK32" s="20" t="n">
        <f aca="false">IF(EX32=1,MAX(0,(Slot14_Cost-EY32*(1+Slot14_Rate)^(Slot14_Age-D32))/MF32),0)</f>
        <v>0</v>
      </c>
      <c r="ML32" s="20" t="n">
        <f aca="false">IF(AND(HU32=1,EX32=1),MIN(ME32,MJ32),0)</f>
        <v>0</v>
      </c>
      <c r="MM32" s="20" t="n">
        <f aca="false">ME32-ML32</f>
        <v>9650.62349685136</v>
      </c>
      <c r="MN32" s="20" t="n">
        <f aca="false">IF(FH32=1,IF(ABS((1+AS_Wage)/(1+Slot15_Rate)-1)&lt;0.000000000001,(Slot15_Age-D32)*(1+Slot15_Rate)^(Slot15_Age-D32),(1+Slot15_Rate)^(Slot15_Age-D32)*(1-((1+AS_Wage)/(1+Slot15_Rate))^(Slot15_Age-D32))/(1-(1+AS_Wage)/(1+Slot15_Rate))),1)</f>
        <v>1</v>
      </c>
      <c r="MO32" s="20" t="n">
        <f aca="false">IF(AND(HU32=1,IE32&gt;0,Slot15_IsWG=1,FH32=1),MAX(0,(Slot15_Cost-FI32*(1+Slot15_Rate)^(Slot15_Age-D32))/MN32),0)</f>
        <v>0</v>
      </c>
      <c r="MP32" s="20" t="n">
        <f aca="false">IF(AND(HU32=1,IE32&gt;0,Slot15_IsWG=1,FH32=1),MIN(IE32,MO32),0)</f>
        <v>0</v>
      </c>
      <c r="MQ32" s="20" t="n">
        <f aca="false">FI32+MP32</f>
        <v>0</v>
      </c>
      <c r="MR32" s="20" t="n">
        <f aca="false">IF(FH32=1,MAX(0,(Slot15_Cost-MQ32*(1+Slot15_Rate)^(Slot15_Age-D32))/MN32),0)</f>
        <v>0</v>
      </c>
      <c r="MS32" s="20" t="n">
        <f aca="false">IF(FH32=1,MAX(0,(Slot15_Cost-FI32*(1+Slot15_Rate)^(Slot15_Age-D32))/MN32),0)</f>
        <v>0</v>
      </c>
      <c r="MT32" s="20" t="n">
        <f aca="false">IF(AND(HU32=1,FH32=1),MIN(MM32,MR32),0)</f>
        <v>0</v>
      </c>
      <c r="MU32" s="20" t="n">
        <f aca="false">MM32-MT32</f>
        <v>9650.62349685136</v>
      </c>
      <c r="MV32" s="20" t="n">
        <f aca="false">IF(FR32=1,IF(ABS((1+AS_Wage)/(1+Slot16_Rate)-1)&lt;0.000000000001,(Slot16_Age-D32)*(1+Slot16_Rate)^(Slot16_Age-D32),(1+Slot16_Rate)^(Slot16_Age-D32)*(1-((1+AS_Wage)/(1+Slot16_Rate))^(Slot16_Age-D32))/(1-(1+AS_Wage)/(1+Slot16_Rate))),1)</f>
        <v>1</v>
      </c>
      <c r="MW32" s="20" t="n">
        <f aca="false">IF(AND(HU32=1,IE32&gt;0,Slot16_IsWG=1,FR32=1),MAX(0,(Slot16_Cost-FS32*(1+Slot16_Rate)^(Slot16_Age-D32))/MV32),0)</f>
        <v>0</v>
      </c>
      <c r="MX32" s="20" t="n">
        <f aca="false">IF(AND(HU32=1,IE32&gt;0,Slot16_IsWG=1,FR32=1),MIN(IE32,MW32),0)</f>
        <v>0</v>
      </c>
      <c r="MY32" s="20" t="n">
        <f aca="false">FS32+MX32</f>
        <v>0</v>
      </c>
      <c r="MZ32" s="20" t="n">
        <f aca="false">IF(FR32=1,MAX(0,(Slot16_Cost-MY32*(1+Slot16_Rate)^(Slot16_Age-D32))/MV32),0)</f>
        <v>0</v>
      </c>
      <c r="NA32" s="20" t="n">
        <f aca="false">IF(FR32=1,MAX(0,(Slot16_Cost-FS32*(1+Slot16_Rate)^(Slot16_Age-D32))/MV32),0)</f>
        <v>0</v>
      </c>
      <c r="NB32" s="20" t="n">
        <f aca="false">IF(AND(HU32=1,FR32=1),MIN(MU32,MZ32),0)</f>
        <v>0</v>
      </c>
      <c r="NC32" s="20" t="n">
        <f aca="false">MU32-NB32</f>
        <v>9650.62349685136</v>
      </c>
      <c r="ND32" s="20" t="n">
        <f aca="false">IF(GB32=1,IF(ABS((1+AS_Wage)/(1+Slot17_Rate)-1)&lt;0.000000000001,(Slot17_Age-D32)*(1+Slot17_Rate)^(Slot17_Age-D32),(1+Slot17_Rate)^(Slot17_Age-D32)*(1-((1+AS_Wage)/(1+Slot17_Rate))^(Slot17_Age-D32))/(1-(1+AS_Wage)/(1+Slot17_Rate))),1)</f>
        <v>1</v>
      </c>
      <c r="NE32" s="20" t="n">
        <f aca="false">IF(AND(HU32=1,IE32&gt;0,Slot17_IsWG=1,GB32=1),MAX(0,(Slot17_Cost-GC32*(1+Slot17_Rate)^(Slot17_Age-D32))/ND32),0)</f>
        <v>0</v>
      </c>
      <c r="NF32" s="20" t="n">
        <f aca="false">IF(AND(HU32=1,IE32&gt;0,Slot17_IsWG=1,GB32=1),MIN(IE32,NE32),0)</f>
        <v>0</v>
      </c>
      <c r="NG32" s="20" t="n">
        <f aca="false">GC32+NF32</f>
        <v>0</v>
      </c>
      <c r="NH32" s="20" t="n">
        <f aca="false">IF(GB32=1,MAX(0,(Slot17_Cost-NG32*(1+Slot17_Rate)^(Slot17_Age-D32))/ND32),0)</f>
        <v>0</v>
      </c>
      <c r="NI32" s="20" t="n">
        <f aca="false">IF(GB32=1,MAX(0,(Slot17_Cost-GC32*(1+Slot17_Rate)^(Slot17_Age-D32))/ND32),0)</f>
        <v>0</v>
      </c>
      <c r="NJ32" s="20" t="n">
        <f aca="false">IF(AND(HU32=1,GB32=1),MIN(NC32,NH32),0)</f>
        <v>0</v>
      </c>
      <c r="NK32" s="20" t="n">
        <f aca="false">NC32-NJ32</f>
        <v>9650.62349685136</v>
      </c>
      <c r="NL32" s="20" t="n">
        <f aca="false">IF(GL32=1,IF(ABS((1+AS_Wage)/(1+Slot18_Rate)-1)&lt;0.000000000001,(Slot18_Age-D32)*(1+Slot18_Rate)^(Slot18_Age-D32),(1+Slot18_Rate)^(Slot18_Age-D32)*(1-((1+AS_Wage)/(1+Slot18_Rate))^(Slot18_Age-D32))/(1-(1+AS_Wage)/(1+Slot18_Rate))),1)</f>
        <v>1</v>
      </c>
      <c r="NM32" s="20" t="n">
        <f aca="false">IF(AND(HU32=1,IE32&gt;0,Slot18_IsWG=1,GL32=1),MAX(0,(Slot18_Cost-GM32*(1+Slot18_Rate)^(Slot18_Age-D32))/NL32),0)</f>
        <v>0</v>
      </c>
      <c r="NN32" s="20" t="n">
        <f aca="false">IF(AND(HU32=1,IE32&gt;0,Slot18_IsWG=1,GL32=1),MIN(IE32,NM32),0)</f>
        <v>0</v>
      </c>
      <c r="NO32" s="20" t="n">
        <f aca="false">GM32+NN32</f>
        <v>0</v>
      </c>
      <c r="NP32" s="20" t="n">
        <f aca="false">IF(GL32=1,MAX(0,(Slot18_Cost-NO32*(1+Slot18_Rate)^(Slot18_Age-D32))/NL32),0)</f>
        <v>0</v>
      </c>
      <c r="NQ32" s="20" t="n">
        <f aca="false">IF(GL32=1,MAX(0,(Slot18_Cost-GM32*(1+Slot18_Rate)^(Slot18_Age-D32))/NL32),0)</f>
        <v>0</v>
      </c>
      <c r="NR32" s="20" t="n">
        <f aca="false">IF(AND(HU32=1,GL32=1),MIN(NK32,NP32),0)</f>
        <v>0</v>
      </c>
      <c r="NS32" s="20" t="n">
        <f aca="false">NK32-NR32</f>
        <v>9650.62349685136</v>
      </c>
      <c r="NT32" s="20" t="n">
        <f aca="false">IF(GV32=1,IF(ABS((1+AS_Wage)/(1+Slot19_Rate)-1)&lt;0.000000000001,(Slot19_Age-D32)*(1+Slot19_Rate)^(Slot19_Age-D32),(1+Slot19_Rate)^(Slot19_Age-D32)*(1-((1+AS_Wage)/(1+Slot19_Rate))^(Slot19_Age-D32))/(1-(1+AS_Wage)/(1+Slot19_Rate))),1)</f>
        <v>1</v>
      </c>
      <c r="NU32" s="20" t="n">
        <f aca="false">IF(AND(HU32=1,IE32&gt;0,Slot19_IsWG=1,GV32=1),MAX(0,(Slot19_Cost-GW32*(1+Slot19_Rate)^(Slot19_Age-D32))/NT32),0)</f>
        <v>0</v>
      </c>
      <c r="NV32" s="20" t="n">
        <f aca="false">IF(AND(HU32=1,IE32&gt;0,Slot19_IsWG=1,GV32=1),MIN(IE32,NU32),0)</f>
        <v>0</v>
      </c>
      <c r="NW32" s="20" t="n">
        <f aca="false">GW32+NV32</f>
        <v>0</v>
      </c>
      <c r="NX32" s="20" t="n">
        <f aca="false">IF(GV32=1,MAX(0,(Slot19_Cost-NW32*(1+Slot19_Rate)^(Slot19_Age-D32))/NT32),0)</f>
        <v>0</v>
      </c>
      <c r="NY32" s="20" t="n">
        <f aca="false">IF(GV32=1,MAX(0,(Slot19_Cost-GW32*(1+Slot19_Rate)^(Slot19_Age-D32))/NT32),0)</f>
        <v>0</v>
      </c>
      <c r="NZ32" s="20" t="n">
        <f aca="false">IF(AND(HU32=1,GV32=1),MIN(NS32,NX32),0)</f>
        <v>0</v>
      </c>
      <c r="OA32" s="20" t="n">
        <f aca="false">NS32-NZ32</f>
        <v>9650.62349685136</v>
      </c>
      <c r="OB32" s="20" t="n">
        <f aca="false">IF(HF32=1,IF(ABS((1+AS_Wage)/(1+Slot20_Rate)-1)&lt;0.000000000001,(Slot20_Age-D32)*(1+Slot20_Rate)^(Slot20_Age-D32),(1+Slot20_Rate)^(Slot20_Age-D32)*(1-((1+AS_Wage)/(1+Slot20_Rate))^(Slot20_Age-D32))/(1-(1+AS_Wage)/(1+Slot20_Rate))),1)</f>
        <v>1</v>
      </c>
      <c r="OC32" s="20" t="n">
        <f aca="false">IF(AND(HU32=1,IE32&gt;0,Slot20_IsWG=1,HF32=1),MAX(0,(Slot20_Cost-HG32*(1+Slot20_Rate)^(Slot20_Age-D32))/OB32),0)</f>
        <v>0</v>
      </c>
      <c r="OD32" s="20" t="n">
        <f aca="false">IF(AND(HU32=1,IE32&gt;0,Slot20_IsWG=1,HF32=1),MIN(IE32,OC32),0)</f>
        <v>0</v>
      </c>
      <c r="OE32" s="20" t="n">
        <f aca="false">HG32+OD32</f>
        <v>0</v>
      </c>
      <c r="OF32" s="20" t="n">
        <f aca="false">IF(HF32=1,MAX(0,(Slot20_Cost-OE32*(1+Slot20_Rate)^(Slot20_Age-D32))/OB32),0)</f>
        <v>0</v>
      </c>
      <c r="OG32" s="20" t="n">
        <f aca="false">IF(HF32=1,MAX(0,(Slot20_Cost-HG32*(1+Slot20_Rate)^(Slot20_Age-D32))/OB32),0)</f>
        <v>0</v>
      </c>
      <c r="OH32" s="20" t="n">
        <f aca="false">IF(AND(HU32=1,HF32=1),MIN(OA32,OF32),0)</f>
        <v>0</v>
      </c>
      <c r="OI32" s="20" t="n">
        <f aca="false">OA32-OH32</f>
        <v>9650.62349685136</v>
      </c>
      <c r="OJ32" s="20" t="n">
        <f aca="false">IE32-(IH32+IP32+IX32+JF32+JN32+JV32+KD32+KL32+KT32+LB32+LJ32+LR32+LZ32+MH32+MP32+MX32+NF32+NN32+NV32+OD32)</f>
        <v>0</v>
      </c>
      <c r="OK32" s="20" t="n">
        <f aca="false">IF(HU32=1,HS32-ID32-IE32,0)</f>
        <v>36408.873651001</v>
      </c>
      <c r="OL32" s="20" t="n">
        <f aca="false">IF(HU32=0,-HS32,0)</f>
        <v>0</v>
      </c>
      <c r="OM32" s="20" t="n">
        <f aca="false">MIN(OL32,HK32)</f>
        <v>0</v>
      </c>
      <c r="ON32" s="20" t="n">
        <f aca="false">OL32-OM32</f>
        <v>0</v>
      </c>
      <c r="OO32" s="20" t="n">
        <f aca="false">MIN(ON32,HL32)</f>
        <v>0</v>
      </c>
      <c r="OP32" s="20" t="n">
        <f aca="false">ON32-OO32</f>
        <v>0</v>
      </c>
      <c r="OQ32" s="20" t="n">
        <f aca="false">IF(AND(HU32=0,HF32=1,OP32&gt;0),MIN(OP32,HG32),0)</f>
        <v>0</v>
      </c>
      <c r="OR32" s="20" t="n">
        <f aca="false">OP32-OQ32</f>
        <v>0</v>
      </c>
      <c r="OS32" s="20" t="n">
        <f aca="false">IF(AND(HU32=0,GV32=1,OR32&gt;0),MIN(OR32,GW32),0)</f>
        <v>0</v>
      </c>
      <c r="OT32" s="20" t="n">
        <f aca="false">OR32-OS32</f>
        <v>0</v>
      </c>
      <c r="OU32" s="20" t="n">
        <f aca="false">IF(AND(HU32=0,GL32=1,OT32&gt;0),MIN(OT32,GM32),0)</f>
        <v>0</v>
      </c>
      <c r="OV32" s="20" t="n">
        <f aca="false">OT32-OU32</f>
        <v>0</v>
      </c>
      <c r="OW32" s="20" t="n">
        <f aca="false">IF(AND(HU32=0,GB32=1,OV32&gt;0),MIN(OV32,GC32),0)</f>
        <v>0</v>
      </c>
      <c r="OX32" s="20" t="n">
        <f aca="false">OV32-OW32</f>
        <v>0</v>
      </c>
      <c r="OY32" s="20" t="n">
        <f aca="false">IF(AND(HU32=0,FR32=1,OX32&gt;0),MIN(OX32,FS32),0)</f>
        <v>0</v>
      </c>
      <c r="OZ32" s="20" t="n">
        <f aca="false">OX32-OY32</f>
        <v>0</v>
      </c>
      <c r="PA32" s="20" t="n">
        <f aca="false">IF(AND(HU32=0,FH32=1,OZ32&gt;0),MIN(OZ32,FI32),0)</f>
        <v>0</v>
      </c>
      <c r="PB32" s="20" t="n">
        <f aca="false">OZ32-PA32</f>
        <v>0</v>
      </c>
      <c r="PC32" s="20" t="n">
        <f aca="false">IF(AND(HU32=0,EX32=1,PB32&gt;0),MIN(PB32,EY32),0)</f>
        <v>0</v>
      </c>
      <c r="PD32" s="20" t="n">
        <f aca="false">PB32-PC32</f>
        <v>0</v>
      </c>
      <c r="PE32" s="20" t="n">
        <f aca="false">IF(AND(HU32=0,EN32=1,PD32&gt;0),MIN(PD32,EO32),0)</f>
        <v>0</v>
      </c>
      <c r="PF32" s="20" t="n">
        <f aca="false">PD32-PE32</f>
        <v>0</v>
      </c>
      <c r="PG32" s="20" t="n">
        <f aca="false">IF(AND(HU32=0,ED32=1,PF32&gt;0),MIN(PF32,EE32),0)</f>
        <v>0</v>
      </c>
      <c r="PH32" s="20" t="n">
        <f aca="false">PF32-PG32</f>
        <v>0</v>
      </c>
      <c r="PI32" s="20" t="n">
        <f aca="false">IF(AND(HU32=0,DT32=1,PH32&gt;0),MIN(PH32,DU32),0)</f>
        <v>0</v>
      </c>
      <c r="PJ32" s="20" t="n">
        <f aca="false">PH32-PI32</f>
        <v>0</v>
      </c>
      <c r="PK32" s="20" t="n">
        <f aca="false">IF(AND(HU32=0,DJ32=1,PJ32&gt;0),MIN(PJ32,DK32),0)</f>
        <v>0</v>
      </c>
      <c r="PL32" s="20" t="n">
        <f aca="false">PJ32-PK32</f>
        <v>0</v>
      </c>
      <c r="PM32" s="20" t="n">
        <f aca="false">IF(AND(HU32=0,CZ32=1,PL32&gt;0),MIN(PL32,DA32),0)</f>
        <v>0</v>
      </c>
      <c r="PN32" s="20" t="n">
        <f aca="false">PL32-PM32</f>
        <v>0</v>
      </c>
      <c r="PO32" s="20" t="n">
        <f aca="false">IF(AND(HU32=0,CP32=1,PN32&gt;0),MIN(PN32,CQ32),0)</f>
        <v>0</v>
      </c>
      <c r="PP32" s="20" t="n">
        <f aca="false">PN32-PO32</f>
        <v>0</v>
      </c>
      <c r="PQ32" s="20" t="n">
        <f aca="false">IF(AND(HU32=0,CF32=1,PP32&gt;0),MIN(PP32,CG32),0)</f>
        <v>0</v>
      </c>
      <c r="PR32" s="20" t="n">
        <f aca="false">PP32-PQ32</f>
        <v>0</v>
      </c>
      <c r="PS32" s="20" t="n">
        <f aca="false">IF(AND(HU32=0,BV32=1,PR32&gt;0),MIN(PR32,BW32),0)</f>
        <v>0</v>
      </c>
      <c r="PT32" s="20" t="n">
        <f aca="false">PR32-PS32</f>
        <v>0</v>
      </c>
      <c r="PU32" s="20" t="n">
        <f aca="false">IF(AND(HU32=0,BL32=1,PT32&gt;0),MIN(PT32,BM32),0)</f>
        <v>0</v>
      </c>
      <c r="PV32" s="20" t="n">
        <f aca="false">PT32-PU32</f>
        <v>0</v>
      </c>
      <c r="PW32" s="20" t="n">
        <f aca="false">IF(AND(HU32=0,BB32=1,PV32&gt;0),MIN(PV32,BC32),0)</f>
        <v>0</v>
      </c>
      <c r="PX32" s="20" t="n">
        <f aca="false">PV32-PW32</f>
        <v>0</v>
      </c>
      <c r="PY32" s="20" t="n">
        <f aca="false">IF(AND(HU32=0,AR32=1,PX32&gt;0),MIN(PX32,AS32),0)</f>
        <v>0</v>
      </c>
      <c r="PZ32" s="20" t="n">
        <f aca="false">PX32-PY32</f>
        <v>0</v>
      </c>
      <c r="QA32" s="20" t="n">
        <f aca="false">IF(AND(HU32=0,AH32=1,PZ32&gt;0),MIN(PZ32,AI32),0)</f>
        <v>0</v>
      </c>
      <c r="QB32" s="20" t="n">
        <f aca="false">PZ32-QA32</f>
        <v>0</v>
      </c>
      <c r="QC32" s="20" t="n">
        <f aca="false">IF(AND(HU32=0,W32=1,QB32&gt;0),MIN(QB32,X32),0)</f>
        <v>0</v>
      </c>
      <c r="QD32" s="20" t="n">
        <f aca="false">QB32-QC32</f>
        <v>0</v>
      </c>
      <c r="QE32" s="20" t="n">
        <f aca="false">IF(HU32=0,QD32,0)</f>
        <v>0</v>
      </c>
      <c r="QF32" s="20" t="n">
        <f aca="false">OM32+OO32+QC32+QA32+PY32+PW32+PU32+PS32+PQ32+PO32+PM32+PK32+PI32+PG32+PE32+PC32+PA32+OY32+OW32+OU32+OS32+OQ32</f>
        <v>0</v>
      </c>
      <c r="QG32" s="20" t="n">
        <f aca="false">IF(HU32=1,HK32+OJ32+OI32+IF(G32=1,0,OK32),HK32-OM32)</f>
        <v>95036.2101081155</v>
      </c>
      <c r="QH32" s="20" t="n">
        <f aca="false">HL32-OO32</f>
        <v>19425.0357072729</v>
      </c>
      <c r="QI32" s="20" t="n">
        <f aca="false">IF(HU32=1,IF(G32=1,ID32+IE32,HS32),0)</f>
        <v>9650.62349685136</v>
      </c>
      <c r="QJ32" s="20" t="n">
        <f aca="false">IF(HU32=1,IF(G32=1,HS32-ID32-IE32,0),0)</f>
        <v>36408.873651001</v>
      </c>
      <c r="QK32" s="20" t="n">
        <f aca="false">QG32*(1+GR)</f>
        <v>96594.8039538886</v>
      </c>
      <c r="QL32" s="20" t="n">
        <f aca="false">QH32*(1+AS_Cash)</f>
        <v>19619.2860643456</v>
      </c>
      <c r="QM32" s="20" t="n">
        <f aca="false">IF(W32=1,IF(HU32=1,II32+IL32,X32-QC32)*(1+Slot1_Rate),0)</f>
        <v>0</v>
      </c>
      <c r="QN32" s="20" t="n">
        <f aca="false">IF(AND(HU32=1,W32=1),(IH32+IL32)/F32,0)</f>
        <v>0</v>
      </c>
      <c r="QO32" s="20" t="n">
        <f aca="false">IF(B32=0,IH32+IL32,0)</f>
        <v>0</v>
      </c>
      <c r="QP32" s="20" t="n">
        <f aca="false">IF(B32=0,IF(HU32=1,IJ32,IK32),0)</f>
        <v>0</v>
      </c>
      <c r="QQ32" s="20" t="n">
        <f aca="false">IF(AH32=1,IF(HU32=1,IQ32+IT32,AI32-QA32)*(1+Slot2_Rate),0)</f>
        <v>0</v>
      </c>
      <c r="QR32" s="20" t="n">
        <f aca="false">IF(AND(HU32=1,AH32=1),(IP32+IT32)/F32,0)</f>
        <v>0</v>
      </c>
      <c r="QS32" s="20" t="n">
        <f aca="false">IF(B32=0,IP32+IT32,0)</f>
        <v>0</v>
      </c>
      <c r="QT32" s="20" t="n">
        <f aca="false">IF(B32=0,IF(HU32=1,IR32,IS32),0)</f>
        <v>0</v>
      </c>
      <c r="QU32" s="20" t="n">
        <f aca="false">IF(AR32=1,IF(HU32=1,IY32+JB32,AS32-PY32)*(1+Slot3_Rate),0)</f>
        <v>0</v>
      </c>
      <c r="QV32" s="20" t="n">
        <f aca="false">IF(AND(HU32=1,AR32=1),(IX32+JB32)/F32,0)</f>
        <v>0</v>
      </c>
      <c r="QW32" s="20" t="n">
        <f aca="false">IF(B32=0,IX32+JB32,0)</f>
        <v>0</v>
      </c>
      <c r="QX32" s="20" t="n">
        <f aca="false">IF(B32=0,IF(HU32=1,IZ32,JA32),0)</f>
        <v>0</v>
      </c>
      <c r="QY32" s="20" t="n">
        <f aca="false">IF(BB32=1,IF(HU32=1,JG32+JJ32,BC32-PW32)*(1+Slot4_Rate),0)</f>
        <v>0</v>
      </c>
      <c r="QZ32" s="20" t="n">
        <f aca="false">IF(AND(HU32=1,BB32=1),(JF32+JJ32)/F32,0)</f>
        <v>0</v>
      </c>
      <c r="RA32" s="20" t="n">
        <f aca="false">IF(B32=0,JF32+JJ32,0)</f>
        <v>0</v>
      </c>
      <c r="RB32" s="20" t="n">
        <f aca="false">IF(B32=0,IF(HU32=1,JH32,JI32),0)</f>
        <v>0</v>
      </c>
      <c r="RC32" s="20" t="n">
        <f aca="false">IF(BL32=1,IF(HU32=1,JO32+JR32,BM32-PU32)*(1+Slot5_Rate),0)</f>
        <v>0</v>
      </c>
      <c r="RD32" s="20" t="n">
        <f aca="false">IF(AND(HU32=1,BL32=1),(JN32+JR32)/F32,0)</f>
        <v>0</v>
      </c>
      <c r="RE32" s="20" t="n">
        <f aca="false">IF(B32=0,JN32+JR32,0)</f>
        <v>0</v>
      </c>
      <c r="RF32" s="20" t="n">
        <f aca="false">IF(B32=0,IF(HU32=1,JP32,JQ32),0)</f>
        <v>0</v>
      </c>
      <c r="RG32" s="20" t="n">
        <f aca="false">IF(BV32=1,IF(HU32=1,JW32+JZ32,BW32-PS32)*(1+Slot6_Rate),0)</f>
        <v>0</v>
      </c>
      <c r="RH32" s="20" t="n">
        <f aca="false">IF(AND(HU32=1,BV32=1),(JV32+JZ32)/F32,0)</f>
        <v>0</v>
      </c>
      <c r="RI32" s="20" t="n">
        <f aca="false">IF(B32=0,JV32+JZ32,0)</f>
        <v>0</v>
      </c>
      <c r="RJ32" s="20" t="n">
        <f aca="false">IF(B32=0,IF(HU32=1,JX32,JY32),0)</f>
        <v>0</v>
      </c>
      <c r="RK32" s="20" t="n">
        <f aca="false">IF(CF32=1,IF(HU32=1,KE32+KH32,CG32-PQ32)*(1+Slot7_Rate),0)</f>
        <v>0</v>
      </c>
      <c r="RL32" s="20" t="n">
        <f aca="false">IF(AND(HU32=1,CF32=1),(KD32+KH32)/F32,0)</f>
        <v>0</v>
      </c>
      <c r="RM32" s="20" t="n">
        <f aca="false">IF(B32=0,KD32+KH32,0)</f>
        <v>0</v>
      </c>
      <c r="RN32" s="20" t="n">
        <f aca="false">IF(B32=0,IF(HU32=1,KF32,KG32),0)</f>
        <v>0</v>
      </c>
      <c r="RO32" s="20" t="n">
        <f aca="false">IF(CP32=1,IF(HU32=1,KM32+KP32,CQ32-PO32)*(1+Slot8_Rate),0)</f>
        <v>0</v>
      </c>
      <c r="RP32" s="20" t="n">
        <f aca="false">IF(AND(HU32=1,CP32=1),(KL32+KP32)/F32,0)</f>
        <v>0</v>
      </c>
      <c r="RQ32" s="20" t="n">
        <f aca="false">IF(B32=0,KL32+KP32,0)</f>
        <v>0</v>
      </c>
      <c r="RR32" s="20" t="n">
        <f aca="false">IF(B32=0,IF(HU32=1,KN32,KO32),0)</f>
        <v>0</v>
      </c>
      <c r="RS32" s="20" t="n">
        <f aca="false">IF(CZ32=1,IF(HU32=1,KU32+KX32,DA32-PM32)*(1+Slot9_Rate),0)</f>
        <v>0</v>
      </c>
      <c r="RT32" s="20" t="n">
        <f aca="false">IF(AND(HU32=1,CZ32=1),(KT32+KX32)/F32,0)</f>
        <v>0</v>
      </c>
      <c r="RU32" s="20" t="n">
        <f aca="false">IF(B32=0,KT32+KX32,0)</f>
        <v>0</v>
      </c>
      <c r="RV32" s="20" t="n">
        <f aca="false">IF(B32=0,IF(HU32=1,KV32,KW32),0)</f>
        <v>0</v>
      </c>
      <c r="RW32" s="20" t="n">
        <f aca="false">IF(DJ32=1,IF(HU32=1,LC32+LF32,DK32-PK32)*(1+Slot10_Rate),0)</f>
        <v>0</v>
      </c>
      <c r="RX32" s="20" t="n">
        <f aca="false">IF(AND(HU32=1,DJ32=1),(LB32+LF32)/F32,0)</f>
        <v>0</v>
      </c>
      <c r="RY32" s="20" t="n">
        <f aca="false">IF(B32=0,LB32+LF32,0)</f>
        <v>0</v>
      </c>
      <c r="RZ32" s="20" t="n">
        <f aca="false">IF(B32=0,IF(HU32=1,LD32,LE32),0)</f>
        <v>0</v>
      </c>
      <c r="SA32" s="20" t="n">
        <f aca="false">IF(DT32=1,IF(HU32=1,LK32+LN32,DU32-PI32)*(1+Slot11_Rate),0)</f>
        <v>0</v>
      </c>
      <c r="SB32" s="20" t="n">
        <f aca="false">IF(AND(HU32=1,DT32=1),(LJ32+LN32)/F32,0)</f>
        <v>0</v>
      </c>
      <c r="SC32" s="20" t="n">
        <f aca="false">IF(B32=0,LJ32+LN32,0)</f>
        <v>0</v>
      </c>
      <c r="SD32" s="20" t="n">
        <f aca="false">IF(B32=0,IF(HU32=1,LL32,LM32),0)</f>
        <v>0</v>
      </c>
      <c r="SE32" s="20" t="n">
        <f aca="false">IF(ED32=1,IF(HU32=1,LS32+LV32,EE32-PG32)*(1+Slot12_Rate),0)</f>
        <v>0</v>
      </c>
      <c r="SF32" s="20" t="n">
        <f aca="false">IF(AND(HU32=1,ED32=1),(LR32+LV32)/F32,0)</f>
        <v>0</v>
      </c>
      <c r="SG32" s="20" t="n">
        <f aca="false">IF(B32=0,LR32+LV32,0)</f>
        <v>0</v>
      </c>
      <c r="SH32" s="20" t="n">
        <f aca="false">IF(B32=0,IF(HU32=1,LT32,LU32),0)</f>
        <v>0</v>
      </c>
      <c r="SI32" s="20" t="n">
        <f aca="false">IF(EN32=1,IF(HU32=1,MA32+MD32,EO32-PE32)*(1+Slot13_Rate),0)</f>
        <v>0</v>
      </c>
      <c r="SJ32" s="20" t="n">
        <f aca="false">IF(AND(HU32=1,EN32=1),(LZ32+MD32)/F32,0)</f>
        <v>0</v>
      </c>
      <c r="SK32" s="20" t="n">
        <f aca="false">IF(B32=0,LZ32+MD32,0)</f>
        <v>0</v>
      </c>
      <c r="SL32" s="20" t="n">
        <f aca="false">IF(B32=0,IF(HU32=1,MB32,MC32),0)</f>
        <v>0</v>
      </c>
      <c r="SM32" s="20" t="n">
        <f aca="false">IF(EX32=1,IF(HU32=1,MI32+ML32,EY32-PC32)*(1+Slot14_Rate),0)</f>
        <v>0</v>
      </c>
      <c r="SN32" s="20" t="n">
        <f aca="false">IF(AND(HU32=1,EX32=1),(MH32+ML32)/F32,0)</f>
        <v>0</v>
      </c>
      <c r="SO32" s="20" t="n">
        <f aca="false">IF(B32=0,MH32+ML32,0)</f>
        <v>0</v>
      </c>
      <c r="SP32" s="20" t="n">
        <f aca="false">IF(B32=0,IF(HU32=1,MJ32,MK32),0)</f>
        <v>0</v>
      </c>
      <c r="SQ32" s="20" t="n">
        <f aca="false">IF(FH32=1,IF(HU32=1,MQ32+MT32,FI32-PA32)*(1+Slot15_Rate),0)</f>
        <v>0</v>
      </c>
      <c r="SR32" s="20" t="n">
        <f aca="false">IF(AND(HU32=1,FH32=1),(MP32+MT32)/F32,0)</f>
        <v>0</v>
      </c>
      <c r="SS32" s="20" t="n">
        <f aca="false">IF(B32=0,MP32+MT32,0)</f>
        <v>0</v>
      </c>
      <c r="ST32" s="20" t="n">
        <f aca="false">IF(B32=0,IF(HU32=1,MR32,MS32),0)</f>
        <v>0</v>
      </c>
      <c r="SU32" s="20" t="n">
        <f aca="false">IF(FR32=1,IF(HU32=1,MY32+NB32,FS32-OY32)*(1+Slot16_Rate),0)</f>
        <v>0</v>
      </c>
      <c r="SV32" s="20" t="n">
        <f aca="false">IF(AND(HU32=1,FR32=1),(MX32+NB32)/F32,0)</f>
        <v>0</v>
      </c>
      <c r="SW32" s="20" t="n">
        <f aca="false">IF(B32=0,MX32+NB32,0)</f>
        <v>0</v>
      </c>
      <c r="SX32" s="20" t="n">
        <f aca="false">IF(B32=0,IF(HU32=1,MZ32,NA32),0)</f>
        <v>0</v>
      </c>
      <c r="SY32" s="20" t="n">
        <f aca="false">IF(GB32=1,IF(HU32=1,NG32+NJ32,GC32-OW32)*(1+Slot17_Rate),0)</f>
        <v>0</v>
      </c>
      <c r="SZ32" s="20" t="n">
        <f aca="false">IF(AND(HU32=1,GB32=1),(NF32+NJ32)/F32,0)</f>
        <v>0</v>
      </c>
      <c r="TA32" s="20" t="n">
        <f aca="false">IF(B32=0,NF32+NJ32,0)</f>
        <v>0</v>
      </c>
      <c r="TB32" s="20" t="n">
        <f aca="false">IF(B32=0,IF(HU32=1,NH32,NI32),0)</f>
        <v>0</v>
      </c>
      <c r="TC32" s="20" t="n">
        <f aca="false">IF(GL32=1,IF(HU32=1,NO32+NR32,GM32-OU32)*(1+Slot18_Rate),0)</f>
        <v>0</v>
      </c>
      <c r="TD32" s="20" t="n">
        <f aca="false">IF(AND(HU32=1,GL32=1),(NN32+NR32)/F32,0)</f>
        <v>0</v>
      </c>
      <c r="TE32" s="20" t="n">
        <f aca="false">IF(B32=0,NN32+NR32,0)</f>
        <v>0</v>
      </c>
      <c r="TF32" s="20" t="n">
        <f aca="false">IF(B32=0,IF(HU32=1,NP32,NQ32),0)</f>
        <v>0</v>
      </c>
      <c r="TG32" s="20" t="n">
        <f aca="false">IF(GV32=1,IF(HU32=1,NW32+NZ32,GW32-OS32)*(1+Slot19_Rate),0)</f>
        <v>0</v>
      </c>
      <c r="TH32" s="20" t="n">
        <f aca="false">IF(AND(HU32=1,GV32=1),(NV32+NZ32)/F32,0)</f>
        <v>0</v>
      </c>
      <c r="TI32" s="20" t="n">
        <f aca="false">IF(B32=0,NV32+NZ32,0)</f>
        <v>0</v>
      </c>
      <c r="TJ32" s="20" t="n">
        <f aca="false">IF(B32=0,IF(HU32=1,NX32,NY32),0)</f>
        <v>0</v>
      </c>
      <c r="TK32" s="20" t="n">
        <f aca="false">IF(HF32=1,IF(HU32=1,OE32+OH32,HG32-OQ32)*(1+Slot20_Rate),0)</f>
        <v>0</v>
      </c>
      <c r="TL32" s="20" t="n">
        <f aca="false">IF(AND(HU32=1,HF32=1),(OD32+OH32)/F32,0)</f>
        <v>0</v>
      </c>
      <c r="TM32" s="20" t="n">
        <f aca="false">IF(B32=0,OD32+OH32,0)</f>
        <v>0</v>
      </c>
      <c r="TN32" s="20" t="n">
        <f aca="false">IF(B32=0,IF(HU32=1,OF32,OG32),0)</f>
        <v>0</v>
      </c>
      <c r="TO32" s="20" t="n">
        <f aca="false">QK32+QL32+QM32+QQ32+QU32+QY32+RC32+RG32+RK32+RO32+RS32+RW32+SA32+SE32+SI32+SM32+SQ32+SU32+SY32+TC32+TG32+TK32</f>
        <v>116214.090018234</v>
      </c>
      <c r="TP32" s="20" t="n">
        <f aca="false">QE32+HP32</f>
        <v>0</v>
      </c>
      <c r="TQ32" s="20" t="n">
        <f aca="false">I32+S32</f>
        <v>72379.6762263852</v>
      </c>
      <c r="TR32" s="20" t="n">
        <f aca="false">1-G32</f>
        <v>0</v>
      </c>
      <c r="TS32" s="20" t="n">
        <f aca="false">IF(AND(RG_Exists=1,G32=0,C32=1),I32,0)</f>
        <v>0</v>
      </c>
      <c r="TT32" s="20" t="n">
        <f aca="false">IF(AND(RG_Exists=1,G32=0,C32=1),I32-MIN(QE32,I32),0)</f>
        <v>0</v>
      </c>
      <c r="TU32" s="20" t="n">
        <f aca="false">'Plan pay &amp; tax'!AD258</f>
        <v>595640.396053951</v>
      </c>
      <c r="TV32" s="20" t="n">
        <f aca="false">IF(AND(C32=1,QE32&gt;MAX(PR_Short1,TQ32*PR_Short2)),1,0)</f>
        <v>0</v>
      </c>
      <c r="TW32" s="20" t="n">
        <f aca="false">MIN(H32,I32+S32)</f>
        <v>72379.6762263852</v>
      </c>
      <c r="TX32" s="20" t="n">
        <f aca="false">QF32+MAX(0,HQ32-HP32)</f>
        <v>0</v>
      </c>
      <c r="TY32" s="20" t="n">
        <f aca="false">QE32+HP32</f>
        <v>0</v>
      </c>
      <c r="TZ32" s="20" t="n">
        <f aca="false">IF(AND(C32=1,TY32&gt;PR_MinShort),1,0)</f>
        <v>0</v>
      </c>
      <c r="UA32" s="20" t="n">
        <f aca="false">IF(AND(C32=1,TZ32=0,TX32&gt;PR_MinShort),1,0)</f>
        <v>0</v>
      </c>
      <c r="UB32" s="20" t="n">
        <f aca="false">IF(AND(C32=1,QE32&gt;PR_MinShort),1,0)</f>
        <v>0</v>
      </c>
      <c r="UC32" s="20" t="n">
        <f aca="false">IF(AND(C32=1,QF32&gt;1,UJ32=0),1,0)</f>
        <v>0</v>
      </c>
      <c r="UD32" s="20" t="str">
        <f aca="false">IF(C32=0,"",IF(UJ32=1,"Gap to plan for: short "&amp;"€"&amp;TEXT(ROUND(TP32,0),"#,##0"),IF(QF32&gt;1,"Using savings","Comfortable")))</f>
        <v>Comfortable</v>
      </c>
      <c r="UE32" s="20" t="n">
        <f aca="false">IF(AND(INT(D32/10)*10=90,B32&gt;0),80,INT(D32/10)*10)</f>
        <v>60</v>
      </c>
      <c r="UF32" s="20" t="n">
        <f aca="false">IF(B32=0,1,IF(UE32&lt;&gt;UE31,UF31+1,UF31))</f>
        <v>4</v>
      </c>
      <c r="UG32" s="20" t="n">
        <f aca="false">IF(AND(C32=1,G32=1,QE32&gt;MAX(PR_Short1,TQ32*PR_Short2)),1,0)</f>
        <v>0</v>
      </c>
      <c r="UH32" s="20" t="n">
        <f aca="false">TR32*TV32</f>
        <v>0</v>
      </c>
      <c r="UI32" s="20" t="n">
        <f aca="false">IF(AND(V32=1,Slot1_PctLow=1),1,0)+IF(AND(AG32=1,Slot2_PctLow=1),1,0)+IF(AND(AQ32=1,Slot3_PctLow=1),1,0)+IF(AND(BA32=1,Slot4_PctLow=1),1,0)+IF(AND(BK32=1,Slot5_PctLow=1),1,0)+IF(AND(BU32=1,Slot6_PctLow=1),1,0)+IF(AND(CE32=1,Slot7_PctLow=1),1,0)+IF(AND(CO32=1,Slot8_PctLow=1),1,0)+IF(AND(CY32=1,Slot9_PctLow=1),1,0)+IF(AND(DI32=1,Slot10_PctLow=1),1,0)+IF(AND(DS32=1,Slot11_PctLow=1),1,0)+IF(AND(EC32=1,Slot12_PctLow=1),1,0)+IF(AND(EM32=1,Slot13_PctLow=1),1,0)+IF(AND(EW32=1,Slot14_PctLow=1),1,0)+IF(AND(FG32=1,Slot15_PctLow=1),1,0)+IF(AND(FQ32=1,Slot16_PctLow=1),1,0)+IF(AND(GA32=1,Slot17_PctLow=1),1,0)+IF(AND(GK32=1,Slot18_PctLow=1),1,0)+IF(AND(GU32=1,Slot19_PctLow=1),1,0)+IF(AND(HE32=1,Slot20_PctLow=1),1,0)</f>
        <v>0</v>
      </c>
      <c r="UJ32" s="20" t="n">
        <f aca="false">IF(C32=1,IF(OR(TV32=1,UI32&gt;0),1,0),0)</f>
        <v>0</v>
      </c>
    </row>
    <row r="33" customFormat="false" ht="15" hidden="false" customHeight="true" outlineLevel="0" collapsed="false">
      <c r="B33" s="20" t="n">
        <v>25</v>
      </c>
      <c r="C33" s="20" t="n">
        <f aca="false">IF(B33&lt;=F_N,1,0)</f>
        <v>1</v>
      </c>
      <c r="D33" s="20" t="n">
        <f aca="false">'Plan pay &amp; tax'!C259</f>
        <v>63</v>
      </c>
      <c r="E33" s="20" t="str">
        <f aca="false">IF($C33=1,"Income tax "&amp;TEXT(N('Plan pay &amp; tax'!BK259),"#,##0")&amp;"; USC "&amp;TEXT(N('Plan pay &amp; tax'!BM259)+N('Plan pay &amp; tax'!BO259),"#,##0")&amp;"; PRSI "&amp;TEXT(N('Plan pay &amp; tax'!BP259)+N('Plan pay &amp; tax'!BQ259),"#,##0")&amp;". DIRT and exit tax are inside the growth rates here.","")</f>
        <v>Income tax 1,615; USC 381; PRSI 1,832. DIRT and exit tax are inside the growth rates here.</v>
      </c>
      <c r="F33" s="44" t="n">
        <f aca="false">'Plan pay &amp; tax'!E259</f>
        <v>1.64060599446473</v>
      </c>
      <c r="G33" s="20" t="n">
        <f aca="false">'Plan pay &amp; tax'!G259</f>
        <v>0</v>
      </c>
      <c r="H33" s="20" t="n">
        <f aca="false">'Plan pay &amp; tax'!BT259-'Plan pay &amp; tax'!BS259-'Plan pay &amp; tax'!R259</f>
        <v>57651.6501827279</v>
      </c>
      <c r="I33" s="20" t="n">
        <f aca="false">IF(G33=1,F_CostsM*12,IF(RG_Exists=1,RG_Amount,F_CostsM*12*AS_RetireSpend))*F33+F_OneOffY*F33</f>
        <v>78420.9665354141</v>
      </c>
      <c r="J33" s="20" t="n">
        <f aca="false">HR32</f>
        <v>0</v>
      </c>
      <c r="K33" s="20" t="n">
        <f aca="false">IF(J33&gt;1,'Plan debt months'!AC33,0)</f>
        <v>0</v>
      </c>
      <c r="L33" s="20" t="n">
        <f aca="false">IF(J33&gt;1,'Plan debt months'!AB33,J33)</f>
        <v>0</v>
      </c>
      <c r="M33" s="20" t="n">
        <f aca="false">O32</f>
        <v>0</v>
      </c>
      <c r="N33" s="20" t="n">
        <f aca="false">IF(M33&gt;1,'Plan debt months'!BD33,0)</f>
        <v>0</v>
      </c>
      <c r="O33" s="20" t="n">
        <f aca="false">IF(M33&gt;1,'Plan debt months'!BC33,M33)</f>
        <v>0</v>
      </c>
      <c r="P33" s="20" t="n">
        <f aca="false">R32</f>
        <v>0</v>
      </c>
      <c r="Q33" s="20" t="n">
        <f aca="false">IF(P33&gt;1,'Plan debt months'!CE33,0)</f>
        <v>0</v>
      </c>
      <c r="R33" s="20" t="n">
        <f aca="false">IF(P33&gt;1,'Plan debt months'!CD33,P33)</f>
        <v>0</v>
      </c>
      <c r="S33" s="20" t="n">
        <f aca="false">K33+N33+Q33</f>
        <v>0</v>
      </c>
      <c r="T33" s="20" t="n">
        <f aca="false">QK32+'Plan pay &amp; tax'!Y259</f>
        <v>245504.902967376</v>
      </c>
      <c r="U33" s="20" t="n">
        <f aca="false">QK32</f>
        <v>96594.8039538886</v>
      </c>
      <c r="V33" s="20" t="n">
        <f aca="false">IF(AND(Slot1_On=1,D33=Slot1_Age),1,0)</f>
        <v>0</v>
      </c>
      <c r="W33" s="20" t="n">
        <f aca="false">IF(AND(Slot1_On=1,Slot1_Age&gt;D33),1,0)</f>
        <v>0</v>
      </c>
      <c r="X33" s="20" t="n">
        <f aca="false">QM32</f>
        <v>0</v>
      </c>
      <c r="Y33" s="20" t="n">
        <f aca="false">V33*MIN(Slot1_Cost,X33)</f>
        <v>0</v>
      </c>
      <c r="Z33" s="20" t="n">
        <f aca="false">V33*Slot1_SpendLike*MIN(Slot1_Cost-Y33,T33)</f>
        <v>0</v>
      </c>
      <c r="AA33" s="20" t="n">
        <f aca="false">Y33+Z33</f>
        <v>0</v>
      </c>
      <c r="AB33" s="20" t="n">
        <f aca="false">T33-Z33+V33*IF(Slot1_SpendLike=1,X33-Y33,IF(Slot1_PotFree=1,X33,0))</f>
        <v>245504.902967376</v>
      </c>
      <c r="AC33" s="20" t="n">
        <f aca="false">AF33+V33*Slot1_BufPot*X33</f>
        <v>19619.2860643456</v>
      </c>
      <c r="AD33" s="20" t="n">
        <f aca="false">IF(AND(V33=1,Slot1_IsMfree=1),IF(AA33&gt;=Slot1_Cost-1,0,MAX(0,L33-AA33)),L33)</f>
        <v>0</v>
      </c>
      <c r="AE33" s="20" t="n">
        <f aca="false">V33*(Slot1_Cost-AA33)</f>
        <v>0</v>
      </c>
      <c r="AF33" s="20" t="n">
        <f aca="false">QL32</f>
        <v>19619.2860643456</v>
      </c>
      <c r="AG33" s="20" t="n">
        <f aca="false">IF(AND(Slot2_On=1,D33=Slot2_Age),1,0)</f>
        <v>0</v>
      </c>
      <c r="AH33" s="20" t="n">
        <f aca="false">IF(AND(Slot2_On=1,Slot2_Age&gt;D33),1,0)</f>
        <v>0</v>
      </c>
      <c r="AI33" s="20" t="n">
        <f aca="false">QQ32</f>
        <v>0</v>
      </c>
      <c r="AJ33" s="20" t="n">
        <f aca="false">AG33*MIN(Slot2_Cost,AI33)</f>
        <v>0</v>
      </c>
      <c r="AK33" s="20" t="n">
        <f aca="false">AG33*Slot2_SpendLike*MIN(Slot2_Cost-AJ33,AB33)</f>
        <v>0</v>
      </c>
      <c r="AL33" s="20" t="n">
        <f aca="false">AJ33+AK33</f>
        <v>0</v>
      </c>
      <c r="AM33" s="20" t="n">
        <f aca="false">AB33-AK33+AG33*IF(Slot2_SpendLike=1,AI33-AJ33,IF(Slot2_PotFree=1,AI33,0))</f>
        <v>245504.902967376</v>
      </c>
      <c r="AN33" s="20" t="n">
        <f aca="false">AC33+AG33*Slot2_BufPot*AI33</f>
        <v>19619.2860643456</v>
      </c>
      <c r="AO33" s="20" t="n">
        <f aca="false">IF(AND(AG33=1,Slot2_IsMfree=1),IF(AL33&gt;=Slot2_Cost-1,0,MAX(0,AD33-AL33)),AD33)</f>
        <v>0</v>
      </c>
      <c r="AP33" s="20" t="n">
        <f aca="false">AG33*(Slot2_Cost-AL33)</f>
        <v>0</v>
      </c>
      <c r="AQ33" s="20" t="n">
        <f aca="false">IF(AND(Slot3_On=1,D33=Slot3_Age),1,0)</f>
        <v>0</v>
      </c>
      <c r="AR33" s="20" t="n">
        <f aca="false">IF(AND(Slot3_On=1,Slot3_Age&gt;D33),1,0)</f>
        <v>0</v>
      </c>
      <c r="AS33" s="20" t="n">
        <f aca="false">QU32</f>
        <v>0</v>
      </c>
      <c r="AT33" s="20" t="n">
        <f aca="false">AQ33*MIN(Slot3_Cost,AS33)</f>
        <v>0</v>
      </c>
      <c r="AU33" s="20" t="n">
        <f aca="false">AQ33*Slot3_SpendLike*MIN(Slot3_Cost-AT33,AM33)</f>
        <v>0</v>
      </c>
      <c r="AV33" s="20" t="n">
        <f aca="false">AT33+AU33</f>
        <v>0</v>
      </c>
      <c r="AW33" s="20" t="n">
        <f aca="false">AM33-AU33+AQ33*IF(Slot3_SpendLike=1,AS33-AT33,IF(Slot3_PotFree=1,AS33,0))</f>
        <v>245504.902967376</v>
      </c>
      <c r="AX33" s="20" t="n">
        <f aca="false">AN33+AQ33*Slot3_BufPot*AS33</f>
        <v>19619.2860643456</v>
      </c>
      <c r="AY33" s="20" t="n">
        <f aca="false">IF(AND(AQ33=1,Slot3_IsMfree=1),IF(AV33&gt;=Slot3_Cost-1,0,MAX(0,AO33-AV33)),AO33)</f>
        <v>0</v>
      </c>
      <c r="AZ33" s="20" t="n">
        <f aca="false">AQ33*(Slot3_Cost-AV33)</f>
        <v>0</v>
      </c>
      <c r="BA33" s="20" t="n">
        <f aca="false">IF(AND(Slot4_On=1,D33=Slot4_Age),1,0)</f>
        <v>0</v>
      </c>
      <c r="BB33" s="20" t="n">
        <f aca="false">IF(AND(Slot4_On=1,Slot4_Age&gt;D33),1,0)</f>
        <v>0</v>
      </c>
      <c r="BC33" s="20" t="n">
        <f aca="false">QY32</f>
        <v>0</v>
      </c>
      <c r="BD33" s="20" t="n">
        <f aca="false">BA33*MIN(Slot4_Cost,BC33)</f>
        <v>0</v>
      </c>
      <c r="BE33" s="20" t="n">
        <f aca="false">BA33*Slot4_SpendLike*MIN(Slot4_Cost-BD33,AW33)</f>
        <v>0</v>
      </c>
      <c r="BF33" s="20" t="n">
        <f aca="false">BD33+BE33</f>
        <v>0</v>
      </c>
      <c r="BG33" s="20" t="n">
        <f aca="false">AW33-BE33+BA33*IF(Slot4_SpendLike=1,BC33-BD33,IF(Slot4_PotFree=1,BC33,0))</f>
        <v>245504.902967376</v>
      </c>
      <c r="BH33" s="20" t="n">
        <f aca="false">AX33+BA33*Slot4_BufPot*BC33</f>
        <v>19619.2860643456</v>
      </c>
      <c r="BI33" s="20" t="n">
        <f aca="false">IF(AND(BA33=1,Slot4_IsMfree=1),IF(BF33&gt;=Slot4_Cost-1,0,MAX(0,AY33-BF33)),AY33)</f>
        <v>0</v>
      </c>
      <c r="BJ33" s="20" t="n">
        <f aca="false">BA33*(Slot4_Cost-BF33)</f>
        <v>0</v>
      </c>
      <c r="BK33" s="20" t="n">
        <f aca="false">IF(AND(Slot5_On=1,D33=Slot5_Age),1,0)</f>
        <v>0</v>
      </c>
      <c r="BL33" s="20" t="n">
        <f aca="false">IF(AND(Slot5_On=1,Slot5_Age&gt;D33),1,0)</f>
        <v>0</v>
      </c>
      <c r="BM33" s="20" t="n">
        <f aca="false">RC32</f>
        <v>0</v>
      </c>
      <c r="BN33" s="20" t="n">
        <f aca="false">BK33*MIN(Slot5_Cost,BM33)</f>
        <v>0</v>
      </c>
      <c r="BO33" s="20" t="n">
        <f aca="false">BK33*Slot5_SpendLike*MIN(Slot5_Cost-BN33,BG33)</f>
        <v>0</v>
      </c>
      <c r="BP33" s="20" t="n">
        <f aca="false">BN33+BO33</f>
        <v>0</v>
      </c>
      <c r="BQ33" s="20" t="n">
        <f aca="false">BG33-BO33+BK33*IF(Slot5_SpendLike=1,BM33-BN33,IF(Slot5_PotFree=1,BM33,0))</f>
        <v>245504.902967376</v>
      </c>
      <c r="BR33" s="20" t="n">
        <f aca="false">BH33+BK33*Slot5_BufPot*BM33</f>
        <v>19619.2860643456</v>
      </c>
      <c r="BS33" s="20" t="n">
        <f aca="false">IF(AND(BK33=1,Slot5_IsMfree=1),IF(BP33&gt;=Slot5_Cost-1,0,MAX(0,BI33-BP33)),BI33)</f>
        <v>0</v>
      </c>
      <c r="BT33" s="20" t="n">
        <f aca="false">BK33*(Slot5_Cost-BP33)</f>
        <v>0</v>
      </c>
      <c r="BU33" s="20" t="n">
        <f aca="false">IF(AND(Slot6_On=1,D33=Slot6_Age),1,0)</f>
        <v>0</v>
      </c>
      <c r="BV33" s="20" t="n">
        <f aca="false">IF(AND(Slot6_On=1,Slot6_Age&gt;D33),1,0)</f>
        <v>0</v>
      </c>
      <c r="BW33" s="20" t="n">
        <f aca="false">RG32</f>
        <v>0</v>
      </c>
      <c r="BX33" s="20" t="n">
        <f aca="false">BU33*MIN(Slot6_Cost,BW33)</f>
        <v>0</v>
      </c>
      <c r="BY33" s="20" t="n">
        <f aca="false">BU33*Slot6_SpendLike*MIN(Slot6_Cost-BX33,BQ33)</f>
        <v>0</v>
      </c>
      <c r="BZ33" s="20" t="n">
        <f aca="false">BX33+BY33</f>
        <v>0</v>
      </c>
      <c r="CA33" s="20" t="n">
        <f aca="false">BQ33-BY33+BU33*IF(Slot6_SpendLike=1,BW33-BX33,IF(Slot6_PotFree=1,BW33,0))</f>
        <v>245504.902967376</v>
      </c>
      <c r="CB33" s="20" t="n">
        <f aca="false">BR33+BU33*Slot6_BufPot*BW33</f>
        <v>19619.2860643456</v>
      </c>
      <c r="CC33" s="20" t="n">
        <f aca="false">IF(AND(BU33=1,Slot6_IsMfree=1),IF(BZ33&gt;=Slot6_Cost-1,0,MAX(0,BS33-BZ33)),BS33)</f>
        <v>0</v>
      </c>
      <c r="CD33" s="20" t="n">
        <f aca="false">BU33*(Slot6_Cost-BZ33)</f>
        <v>0</v>
      </c>
      <c r="CE33" s="20" t="n">
        <f aca="false">IF(AND(Slot7_On=1,D33=Slot7_Age),1,0)</f>
        <v>0</v>
      </c>
      <c r="CF33" s="20" t="n">
        <f aca="false">IF(AND(Slot7_On=1,Slot7_Age&gt;D33),1,0)</f>
        <v>0</v>
      </c>
      <c r="CG33" s="20" t="n">
        <f aca="false">RK32</f>
        <v>0</v>
      </c>
      <c r="CH33" s="20" t="n">
        <f aca="false">CE33*MIN(Slot7_Cost,CG33)</f>
        <v>0</v>
      </c>
      <c r="CI33" s="20" t="n">
        <f aca="false">CE33*Slot7_SpendLike*MIN(Slot7_Cost-CH33,CA33)</f>
        <v>0</v>
      </c>
      <c r="CJ33" s="20" t="n">
        <f aca="false">CH33+CI33</f>
        <v>0</v>
      </c>
      <c r="CK33" s="20" t="n">
        <f aca="false">CA33-CI33+CE33*IF(Slot7_SpendLike=1,CG33-CH33,IF(Slot7_PotFree=1,CG33,0))</f>
        <v>245504.902967376</v>
      </c>
      <c r="CL33" s="20" t="n">
        <f aca="false">CB33+CE33*Slot7_BufPot*CG33</f>
        <v>19619.2860643456</v>
      </c>
      <c r="CM33" s="20" t="n">
        <f aca="false">IF(AND(CE33=1,Slot7_IsMfree=1),IF(CJ33&gt;=Slot7_Cost-1,0,MAX(0,CC33-CJ33)),CC33)</f>
        <v>0</v>
      </c>
      <c r="CN33" s="20" t="n">
        <f aca="false">CE33*(Slot7_Cost-CJ33)</f>
        <v>0</v>
      </c>
      <c r="CO33" s="20" t="n">
        <f aca="false">IF(AND(Slot8_On=1,D33=Slot8_Age),1,0)</f>
        <v>0</v>
      </c>
      <c r="CP33" s="20" t="n">
        <f aca="false">IF(AND(Slot8_On=1,Slot8_Age&gt;D33),1,0)</f>
        <v>0</v>
      </c>
      <c r="CQ33" s="20" t="n">
        <f aca="false">RO32</f>
        <v>0</v>
      </c>
      <c r="CR33" s="20" t="n">
        <f aca="false">CO33*MIN(Slot8_Cost,CQ33)</f>
        <v>0</v>
      </c>
      <c r="CS33" s="20" t="n">
        <f aca="false">CO33*Slot8_SpendLike*MIN(Slot8_Cost-CR33,CK33)</f>
        <v>0</v>
      </c>
      <c r="CT33" s="20" t="n">
        <f aca="false">CR33+CS33</f>
        <v>0</v>
      </c>
      <c r="CU33" s="20" t="n">
        <f aca="false">CK33-CS33+CO33*IF(Slot8_SpendLike=1,CQ33-CR33,IF(Slot8_PotFree=1,CQ33,0))</f>
        <v>245504.902967376</v>
      </c>
      <c r="CV33" s="20" t="n">
        <f aca="false">CL33+CO33*Slot8_BufPot*CQ33</f>
        <v>19619.2860643456</v>
      </c>
      <c r="CW33" s="20" t="n">
        <f aca="false">IF(AND(CO33=1,Slot8_IsMfree=1),IF(CT33&gt;=Slot8_Cost-1,0,MAX(0,CM33-CT33)),CM33)</f>
        <v>0</v>
      </c>
      <c r="CX33" s="20" t="n">
        <f aca="false">CO33*(Slot8_Cost-CT33)</f>
        <v>0</v>
      </c>
      <c r="CY33" s="20" t="n">
        <f aca="false">IF(AND(Slot9_On=1,D33=Slot9_Age),1,0)</f>
        <v>0</v>
      </c>
      <c r="CZ33" s="20" t="n">
        <f aca="false">IF(AND(Slot9_On=1,Slot9_Age&gt;D33),1,0)</f>
        <v>0</v>
      </c>
      <c r="DA33" s="20" t="n">
        <f aca="false">RS32</f>
        <v>0</v>
      </c>
      <c r="DB33" s="20" t="n">
        <f aca="false">CY33*MIN(Slot9_Cost,DA33)</f>
        <v>0</v>
      </c>
      <c r="DC33" s="20" t="n">
        <f aca="false">CY33*Slot9_SpendLike*MIN(Slot9_Cost-DB33,CU33)</f>
        <v>0</v>
      </c>
      <c r="DD33" s="20" t="n">
        <f aca="false">DB33+DC33</f>
        <v>0</v>
      </c>
      <c r="DE33" s="20" t="n">
        <f aca="false">CU33-DC33+CY33*IF(Slot9_SpendLike=1,DA33-DB33,IF(Slot9_PotFree=1,DA33,0))</f>
        <v>245504.902967376</v>
      </c>
      <c r="DF33" s="20" t="n">
        <f aca="false">CV33+CY33*Slot9_BufPot*DA33</f>
        <v>19619.2860643456</v>
      </c>
      <c r="DG33" s="20" t="n">
        <f aca="false">IF(AND(CY33=1,Slot9_IsMfree=1),IF(DD33&gt;=Slot9_Cost-1,0,MAX(0,CW33-DD33)),CW33)</f>
        <v>0</v>
      </c>
      <c r="DH33" s="20" t="n">
        <f aca="false">CY33*(Slot9_Cost-DD33)</f>
        <v>0</v>
      </c>
      <c r="DI33" s="20" t="n">
        <f aca="false">IF(AND(Slot10_On=1,D33=Slot10_Age),1,0)</f>
        <v>0</v>
      </c>
      <c r="DJ33" s="20" t="n">
        <f aca="false">IF(AND(Slot10_On=1,Slot10_Age&gt;D33),1,0)</f>
        <v>0</v>
      </c>
      <c r="DK33" s="20" t="n">
        <f aca="false">RW32</f>
        <v>0</v>
      </c>
      <c r="DL33" s="20" t="n">
        <f aca="false">DI33*MIN(Slot10_Cost,DK33)</f>
        <v>0</v>
      </c>
      <c r="DM33" s="20" t="n">
        <f aca="false">DI33*Slot10_SpendLike*MIN(Slot10_Cost-DL33,DE33)</f>
        <v>0</v>
      </c>
      <c r="DN33" s="20" t="n">
        <f aca="false">DL33+DM33</f>
        <v>0</v>
      </c>
      <c r="DO33" s="20" t="n">
        <f aca="false">DE33-DM33+DI33*IF(Slot10_SpendLike=1,DK33-DL33,IF(Slot10_PotFree=1,DK33,0))</f>
        <v>245504.902967376</v>
      </c>
      <c r="DP33" s="20" t="n">
        <f aca="false">DF33+DI33*Slot10_BufPot*DK33</f>
        <v>19619.2860643456</v>
      </c>
      <c r="DQ33" s="20" t="n">
        <f aca="false">IF(AND(DI33=1,Slot10_IsMfree=1),IF(DN33&gt;=Slot10_Cost-1,0,MAX(0,DG33-DN33)),DG33)</f>
        <v>0</v>
      </c>
      <c r="DR33" s="20" t="n">
        <f aca="false">DI33*(Slot10_Cost-DN33)</f>
        <v>0</v>
      </c>
      <c r="DS33" s="20" t="n">
        <f aca="false">IF(AND(Slot11_On=1,D33=Slot11_Age),1,0)</f>
        <v>0</v>
      </c>
      <c r="DT33" s="20" t="n">
        <f aca="false">IF(AND(Slot11_On=1,Slot11_Age&gt;D33),1,0)</f>
        <v>0</v>
      </c>
      <c r="DU33" s="20" t="n">
        <f aca="false">SA32</f>
        <v>0</v>
      </c>
      <c r="DV33" s="20" t="n">
        <f aca="false">DS33*MIN(Slot11_Cost,DU33)</f>
        <v>0</v>
      </c>
      <c r="DW33" s="20" t="n">
        <f aca="false">DS33*Slot11_SpendLike*MIN(Slot11_Cost-DV33,DO33)</f>
        <v>0</v>
      </c>
      <c r="DX33" s="20" t="n">
        <f aca="false">DV33+DW33</f>
        <v>0</v>
      </c>
      <c r="DY33" s="20" t="n">
        <f aca="false">DO33-DW33+DS33*IF(Slot11_SpendLike=1,DU33-DV33,IF(Slot11_PotFree=1,DU33,0))</f>
        <v>245504.902967376</v>
      </c>
      <c r="DZ33" s="20" t="n">
        <f aca="false">DP33+DS33*Slot11_BufPot*DU33</f>
        <v>19619.2860643456</v>
      </c>
      <c r="EA33" s="20" t="n">
        <f aca="false">IF(AND(DS33=1,Slot11_IsMfree=1),IF(DX33&gt;=Slot11_Cost-1,0,MAX(0,DQ33-DX33)),DQ33)</f>
        <v>0</v>
      </c>
      <c r="EB33" s="20" t="n">
        <f aca="false">DS33*(Slot11_Cost-DX33)</f>
        <v>0</v>
      </c>
      <c r="EC33" s="20" t="n">
        <f aca="false">IF(AND(Slot12_On=1,D33=Slot12_Age),1,0)</f>
        <v>0</v>
      </c>
      <c r="ED33" s="20" t="n">
        <f aca="false">IF(AND(Slot12_On=1,Slot12_Age&gt;D33),1,0)</f>
        <v>0</v>
      </c>
      <c r="EE33" s="20" t="n">
        <f aca="false">SE32</f>
        <v>0</v>
      </c>
      <c r="EF33" s="20" t="n">
        <f aca="false">EC33*MIN(Slot12_Cost,EE33)</f>
        <v>0</v>
      </c>
      <c r="EG33" s="20" t="n">
        <f aca="false">EC33*Slot12_SpendLike*MIN(Slot12_Cost-EF33,DY33)</f>
        <v>0</v>
      </c>
      <c r="EH33" s="20" t="n">
        <f aca="false">EF33+EG33</f>
        <v>0</v>
      </c>
      <c r="EI33" s="20" t="n">
        <f aca="false">DY33-EG33+EC33*IF(Slot12_SpendLike=1,EE33-EF33,IF(Slot12_PotFree=1,EE33,0))</f>
        <v>245504.902967376</v>
      </c>
      <c r="EJ33" s="20" t="n">
        <f aca="false">DZ33+EC33*Slot12_BufPot*EE33</f>
        <v>19619.2860643456</v>
      </c>
      <c r="EK33" s="20" t="n">
        <f aca="false">IF(AND(EC33=1,Slot12_IsMfree=1),IF(EH33&gt;=Slot12_Cost-1,0,MAX(0,EA33-EH33)),EA33)</f>
        <v>0</v>
      </c>
      <c r="EL33" s="20" t="n">
        <f aca="false">EC33*(Slot12_Cost-EH33)</f>
        <v>0</v>
      </c>
      <c r="EM33" s="20" t="n">
        <f aca="false">IF(AND(Slot13_On=1,D33=Slot13_Age),1,0)</f>
        <v>0</v>
      </c>
      <c r="EN33" s="20" t="n">
        <f aca="false">IF(AND(Slot13_On=1,Slot13_Age&gt;D33),1,0)</f>
        <v>0</v>
      </c>
      <c r="EO33" s="20" t="n">
        <f aca="false">SI32</f>
        <v>0</v>
      </c>
      <c r="EP33" s="20" t="n">
        <f aca="false">EM33*MIN(Slot13_Cost,EO33)</f>
        <v>0</v>
      </c>
      <c r="EQ33" s="20" t="n">
        <f aca="false">EM33*Slot13_SpendLike*MIN(Slot13_Cost-EP33,EI33)</f>
        <v>0</v>
      </c>
      <c r="ER33" s="20" t="n">
        <f aca="false">EP33+EQ33</f>
        <v>0</v>
      </c>
      <c r="ES33" s="20" t="n">
        <f aca="false">EI33-EQ33+EM33*IF(Slot13_SpendLike=1,EO33-EP33,IF(Slot13_PotFree=1,EO33,0))</f>
        <v>245504.902967376</v>
      </c>
      <c r="ET33" s="20" t="n">
        <f aca="false">EJ33+EM33*Slot13_BufPot*EO33</f>
        <v>19619.2860643456</v>
      </c>
      <c r="EU33" s="20" t="n">
        <f aca="false">IF(AND(EM33=1,Slot13_IsMfree=1),IF(ER33&gt;=Slot13_Cost-1,0,MAX(0,EK33-ER33)),EK33)</f>
        <v>0</v>
      </c>
      <c r="EV33" s="20" t="n">
        <f aca="false">EM33*(Slot13_Cost-ER33)</f>
        <v>0</v>
      </c>
      <c r="EW33" s="20" t="n">
        <f aca="false">IF(AND(Slot14_On=1,D33=Slot14_Age),1,0)</f>
        <v>0</v>
      </c>
      <c r="EX33" s="20" t="n">
        <f aca="false">IF(AND(Slot14_On=1,Slot14_Age&gt;D33),1,0)</f>
        <v>0</v>
      </c>
      <c r="EY33" s="20" t="n">
        <f aca="false">SM32</f>
        <v>0</v>
      </c>
      <c r="EZ33" s="20" t="n">
        <f aca="false">EW33*MIN(Slot14_Cost,EY33)</f>
        <v>0</v>
      </c>
      <c r="FA33" s="20" t="n">
        <f aca="false">EW33*Slot14_SpendLike*MIN(Slot14_Cost-EZ33,ES33)</f>
        <v>0</v>
      </c>
      <c r="FB33" s="20" t="n">
        <f aca="false">EZ33+FA33</f>
        <v>0</v>
      </c>
      <c r="FC33" s="20" t="n">
        <f aca="false">ES33-FA33+EW33*IF(Slot14_SpendLike=1,EY33-EZ33,IF(Slot14_PotFree=1,EY33,0))</f>
        <v>245504.902967376</v>
      </c>
      <c r="FD33" s="20" t="n">
        <f aca="false">ET33+EW33*Slot14_BufPot*EY33</f>
        <v>19619.2860643456</v>
      </c>
      <c r="FE33" s="20" t="n">
        <f aca="false">IF(AND(EW33=1,Slot14_IsMfree=1),IF(FB33&gt;=Slot14_Cost-1,0,MAX(0,EU33-FB33)),EU33)</f>
        <v>0</v>
      </c>
      <c r="FF33" s="20" t="n">
        <f aca="false">EW33*(Slot14_Cost-FB33)</f>
        <v>0</v>
      </c>
      <c r="FG33" s="20" t="n">
        <f aca="false">IF(AND(Slot15_On=1,D33=Slot15_Age),1,0)</f>
        <v>0</v>
      </c>
      <c r="FH33" s="20" t="n">
        <f aca="false">IF(AND(Slot15_On=1,Slot15_Age&gt;D33),1,0)</f>
        <v>0</v>
      </c>
      <c r="FI33" s="20" t="n">
        <f aca="false">SQ32</f>
        <v>0</v>
      </c>
      <c r="FJ33" s="20" t="n">
        <f aca="false">FG33*MIN(Slot15_Cost,FI33)</f>
        <v>0</v>
      </c>
      <c r="FK33" s="20" t="n">
        <f aca="false">FG33*Slot15_SpendLike*MIN(Slot15_Cost-FJ33,FC33)</f>
        <v>0</v>
      </c>
      <c r="FL33" s="20" t="n">
        <f aca="false">FJ33+FK33</f>
        <v>0</v>
      </c>
      <c r="FM33" s="20" t="n">
        <f aca="false">FC33-FK33+FG33*IF(Slot15_SpendLike=1,FI33-FJ33,IF(Slot15_PotFree=1,FI33,0))</f>
        <v>245504.902967376</v>
      </c>
      <c r="FN33" s="20" t="n">
        <f aca="false">FD33+FG33*Slot15_BufPot*FI33</f>
        <v>19619.2860643456</v>
      </c>
      <c r="FO33" s="20" t="n">
        <f aca="false">IF(AND(FG33=1,Slot15_IsMfree=1),IF(FL33&gt;=Slot15_Cost-1,0,MAX(0,FE33-FL33)),FE33)</f>
        <v>0</v>
      </c>
      <c r="FP33" s="20" t="n">
        <f aca="false">FG33*(Slot15_Cost-FL33)</f>
        <v>0</v>
      </c>
      <c r="FQ33" s="20" t="n">
        <f aca="false">IF(AND(Slot16_On=1,D33=Slot16_Age),1,0)</f>
        <v>0</v>
      </c>
      <c r="FR33" s="20" t="n">
        <f aca="false">IF(AND(Slot16_On=1,Slot16_Age&gt;D33),1,0)</f>
        <v>0</v>
      </c>
      <c r="FS33" s="20" t="n">
        <f aca="false">SU32</f>
        <v>0</v>
      </c>
      <c r="FT33" s="20" t="n">
        <f aca="false">FQ33*MIN(Slot16_Cost,FS33)</f>
        <v>0</v>
      </c>
      <c r="FU33" s="20" t="n">
        <f aca="false">FQ33*Slot16_SpendLike*MIN(Slot16_Cost-FT33,FM33)</f>
        <v>0</v>
      </c>
      <c r="FV33" s="20" t="n">
        <f aca="false">FT33+FU33</f>
        <v>0</v>
      </c>
      <c r="FW33" s="20" t="n">
        <f aca="false">FM33-FU33+FQ33*IF(Slot16_SpendLike=1,FS33-FT33,IF(Slot16_PotFree=1,FS33,0))</f>
        <v>245504.902967376</v>
      </c>
      <c r="FX33" s="20" t="n">
        <f aca="false">FN33+FQ33*Slot16_BufPot*FS33</f>
        <v>19619.2860643456</v>
      </c>
      <c r="FY33" s="20" t="n">
        <f aca="false">IF(AND(FQ33=1,Slot16_IsMfree=1),IF(FV33&gt;=Slot16_Cost-1,0,MAX(0,FO33-FV33)),FO33)</f>
        <v>0</v>
      </c>
      <c r="FZ33" s="20" t="n">
        <f aca="false">FQ33*(Slot16_Cost-FV33)</f>
        <v>0</v>
      </c>
      <c r="GA33" s="20" t="n">
        <f aca="false">IF(AND(Slot17_On=1,D33=Slot17_Age),1,0)</f>
        <v>0</v>
      </c>
      <c r="GB33" s="20" t="n">
        <f aca="false">IF(AND(Slot17_On=1,Slot17_Age&gt;D33),1,0)</f>
        <v>0</v>
      </c>
      <c r="GC33" s="20" t="n">
        <f aca="false">SY32</f>
        <v>0</v>
      </c>
      <c r="GD33" s="20" t="n">
        <f aca="false">GA33*MIN(Slot17_Cost,GC33)</f>
        <v>0</v>
      </c>
      <c r="GE33" s="20" t="n">
        <f aca="false">GA33*Slot17_SpendLike*MIN(Slot17_Cost-GD33,FW33)</f>
        <v>0</v>
      </c>
      <c r="GF33" s="20" t="n">
        <f aca="false">GD33+GE33</f>
        <v>0</v>
      </c>
      <c r="GG33" s="20" t="n">
        <f aca="false">FW33-GE33+GA33*IF(Slot17_SpendLike=1,GC33-GD33,IF(Slot17_PotFree=1,GC33,0))</f>
        <v>245504.902967376</v>
      </c>
      <c r="GH33" s="20" t="n">
        <f aca="false">FX33+GA33*Slot17_BufPot*GC33</f>
        <v>19619.2860643456</v>
      </c>
      <c r="GI33" s="20" t="n">
        <f aca="false">IF(AND(GA33=1,Slot17_IsMfree=1),IF(GF33&gt;=Slot17_Cost-1,0,MAX(0,FY33-GF33)),FY33)</f>
        <v>0</v>
      </c>
      <c r="GJ33" s="20" t="n">
        <f aca="false">GA33*(Slot17_Cost-GF33)</f>
        <v>0</v>
      </c>
      <c r="GK33" s="20" t="n">
        <f aca="false">IF(AND(Slot18_On=1,D33=Slot18_Age),1,0)</f>
        <v>0</v>
      </c>
      <c r="GL33" s="20" t="n">
        <f aca="false">IF(AND(Slot18_On=1,Slot18_Age&gt;D33),1,0)</f>
        <v>0</v>
      </c>
      <c r="GM33" s="20" t="n">
        <f aca="false">TC32</f>
        <v>0</v>
      </c>
      <c r="GN33" s="20" t="n">
        <f aca="false">GK33*MIN(Slot18_Cost,GM33)</f>
        <v>0</v>
      </c>
      <c r="GO33" s="20" t="n">
        <f aca="false">GK33*Slot18_SpendLike*MIN(Slot18_Cost-GN33,GG33)</f>
        <v>0</v>
      </c>
      <c r="GP33" s="20" t="n">
        <f aca="false">GN33+GO33</f>
        <v>0</v>
      </c>
      <c r="GQ33" s="20" t="n">
        <f aca="false">GG33-GO33+GK33*IF(Slot18_SpendLike=1,GM33-GN33,IF(Slot18_PotFree=1,GM33,0))</f>
        <v>245504.902967376</v>
      </c>
      <c r="GR33" s="20" t="n">
        <f aca="false">GH33+GK33*Slot18_BufPot*GM33</f>
        <v>19619.2860643456</v>
      </c>
      <c r="GS33" s="20" t="n">
        <f aca="false">IF(AND(GK33=1,Slot18_IsMfree=1),IF(GP33&gt;=Slot18_Cost-1,0,MAX(0,GI33-GP33)),GI33)</f>
        <v>0</v>
      </c>
      <c r="GT33" s="20" t="n">
        <f aca="false">GK33*(Slot18_Cost-GP33)</f>
        <v>0</v>
      </c>
      <c r="GU33" s="20" t="n">
        <f aca="false">IF(AND(Slot19_On=1,D33=Slot19_Age),1,0)</f>
        <v>0</v>
      </c>
      <c r="GV33" s="20" t="n">
        <f aca="false">IF(AND(Slot19_On=1,Slot19_Age&gt;D33),1,0)</f>
        <v>0</v>
      </c>
      <c r="GW33" s="20" t="n">
        <f aca="false">TG32</f>
        <v>0</v>
      </c>
      <c r="GX33" s="20" t="n">
        <f aca="false">GU33*MIN(Slot19_Cost,GW33)</f>
        <v>0</v>
      </c>
      <c r="GY33" s="20" t="n">
        <f aca="false">GU33*Slot19_SpendLike*MIN(Slot19_Cost-GX33,GQ33)</f>
        <v>0</v>
      </c>
      <c r="GZ33" s="20" t="n">
        <f aca="false">GX33+GY33</f>
        <v>0</v>
      </c>
      <c r="HA33" s="20" t="n">
        <f aca="false">GQ33-GY33+GU33*IF(Slot19_SpendLike=1,GW33-GX33,IF(Slot19_PotFree=1,GW33,0))</f>
        <v>245504.902967376</v>
      </c>
      <c r="HB33" s="20" t="n">
        <f aca="false">GR33+GU33*Slot19_BufPot*GW33</f>
        <v>19619.2860643456</v>
      </c>
      <c r="HC33" s="20" t="n">
        <f aca="false">IF(AND(GU33=1,Slot19_IsMfree=1),IF(GZ33&gt;=Slot19_Cost-1,0,MAX(0,GS33-GZ33)),GS33)</f>
        <v>0</v>
      </c>
      <c r="HD33" s="20" t="n">
        <f aca="false">GU33*(Slot19_Cost-GZ33)</f>
        <v>0</v>
      </c>
      <c r="HE33" s="20" t="n">
        <f aca="false">IF(AND(Slot20_On=1,D33=Slot20_Age),1,0)</f>
        <v>0</v>
      </c>
      <c r="HF33" s="20" t="n">
        <f aca="false">IF(AND(Slot20_On=1,Slot20_Age&gt;D33),1,0)</f>
        <v>0</v>
      </c>
      <c r="HG33" s="20" t="n">
        <f aca="false">TK32</f>
        <v>0</v>
      </c>
      <c r="HH33" s="20" t="n">
        <f aca="false">HE33*MIN(Slot20_Cost,HG33)</f>
        <v>0</v>
      </c>
      <c r="HI33" s="20" t="n">
        <f aca="false">HE33*Slot20_SpendLike*MIN(Slot20_Cost-HH33,HA33)</f>
        <v>0</v>
      </c>
      <c r="HJ33" s="20" t="n">
        <f aca="false">HH33+HI33</f>
        <v>0</v>
      </c>
      <c r="HK33" s="20" t="n">
        <f aca="false">HA33-HI33+HE33*IF(Slot20_SpendLike=1,HG33-HH33,IF(Slot20_PotFree=1,HG33,0))</f>
        <v>245504.902967376</v>
      </c>
      <c r="HL33" s="20" t="n">
        <f aca="false">HB33+HE33*Slot20_BufPot*HG33</f>
        <v>19619.2860643456</v>
      </c>
      <c r="HM33" s="20" t="n">
        <f aca="false">IF(AND(HE33=1,Slot20_IsMfree=1),IF(HJ33&gt;=Slot20_Cost-1,0,MAX(0,HC33-HJ33)),HC33)</f>
        <v>0</v>
      </c>
      <c r="HN33" s="20" t="n">
        <f aca="false">HE33*(Slot20_Cost-HJ33)</f>
        <v>0</v>
      </c>
      <c r="HO33" s="20" t="n">
        <f aca="false">V33*Slot1_SpendLike*AA33+AG33*Slot2_SpendLike*AL33+AQ33*Slot3_SpendLike*AV33+BA33*Slot4_SpendLike*BF33+BK33*Slot5_SpendLike*BP33+BU33*Slot6_SpendLike*BZ33+CE33*Slot7_SpendLike*CJ33+CO33*Slot8_SpendLike*CT33+CY33*Slot9_SpendLike*DD33+DI33*Slot10_SpendLike*DN33+DS33*Slot11_SpendLike*DX33+EC33*Slot12_SpendLike*EH33+EM33*Slot13_SpendLike*ER33+EW33*Slot14_SpendLike*FB33+FG33*Slot15_SpendLike*FL33+FQ33*Slot16_SpendLike*FV33+GA33*Slot17_SpendLike*GF33+GK33*Slot18_SpendLike*GP33+GU33*Slot19_SpendLike*GZ33+HE33*Slot20_SpendLike*HJ33</f>
        <v>0</v>
      </c>
      <c r="HP33" s="20" t="n">
        <f aca="false">AE33+AP33+AZ33+BJ33+BT33+CD33+CN33+CX33+DH33+DR33+EB33+EL33+EV33+FF33+FP33+FZ33+GJ33+GT33+HD33+HN33</f>
        <v>0</v>
      </c>
      <c r="HQ33" s="20" t="n">
        <f aca="false">V33*Slot1_Cost+AG33*Slot2_Cost+AQ33*Slot3_Cost+BA33*Slot4_Cost+BK33*Slot5_Cost+BU33*Slot6_Cost+CE33*Slot7_Cost+CO33*Slot8_Cost+CY33*Slot9_Cost+DI33*Slot10_Cost+DS33*Slot11_Cost+EC33*Slot12_Cost+EM33*Slot13_Cost+EW33*Slot14_Cost+FG33*Slot15_Cost+FQ33*Slot16_Cost+GA33*Slot17_Cost+GK33*Slot18_Cost+GU33*Slot19_Cost+HE33*Slot20_Cost</f>
        <v>0</v>
      </c>
      <c r="HR33" s="20" t="n">
        <f aca="false">HM33</f>
        <v>0</v>
      </c>
      <c r="HS33" s="20" t="n">
        <f aca="false">H33-I33-S33</f>
        <v>-20769.3163526862</v>
      </c>
      <c r="HT33" s="20" t="n">
        <f aca="false">IF(B33=0,IF(AND(Has_q6=1,In_q6=4),PR_ShareVaries*(MAX(0,HS33)/12),MIN(IF(Has_q6=1,CHOOSE(In_q6+1,PR_SaveB1,PR_SaveB2,PR_SaveB3,PR_SaveB4,0),AS_NoAnswer),AS_SaveShare*(MAX(0,HS33)/12))),HT32)</f>
        <v>62.3316893520437</v>
      </c>
      <c r="HU33" s="20" t="n">
        <f aca="false">IF(HS33&gt;=0,1,0)</f>
        <v>0</v>
      </c>
      <c r="HV33" s="20" t="n">
        <f aca="false">MAX(0,HS33/12/F33)</f>
        <v>0</v>
      </c>
      <c r="HW33" s="20" t="n">
        <f aca="false">IF(AND(Has_q6=1,In_q6=4),PR_ShareVaries*(HV33),MIN(IF(Has_q6=1,CHOOSE(In_q6+1,PR_SaveB1,PR_SaveB2,PR_SaveB3,PR_SaveB4,0),AS_NoAnswer),AS_SaveShare*(HV33)))</f>
        <v>0</v>
      </c>
      <c r="HX33" s="20" t="n">
        <f aca="false">IF(Has_saveM=1,IF(In_saveUp="Yes",1,IF(In_saveUp="No",0,IF(In_saveM&gt;=HT33-0.5,1,0))),0)</f>
        <v>0</v>
      </c>
      <c r="HY33" s="20" t="n">
        <f aca="false">IF(Has_saveM=1,MIN(HV33,IF(HX33=1,MAX(In_saveM,HW33),MIN(In_saveM,HW33))),HW33)</f>
        <v>0</v>
      </c>
      <c r="HZ33" s="20" t="n">
        <f aca="false">IF(G33=1,HY33*12*F33,0)</f>
        <v>0</v>
      </c>
      <c r="IA33" s="20" t="n">
        <f aca="false">MAX(0,HZ33+IF(AND(WI_Retire=0,WI_M&lt;0,G33=1),WI_M*12*F33,0))</f>
        <v>0</v>
      </c>
      <c r="IB33" s="20" t="n">
        <f aca="false">Slot1_IsWG*W33+Slot2_IsWG*AH33+Slot3_IsWG*AR33+Slot4_IsWG*BB33+Slot5_IsWG*BL33+Slot6_IsWG*BV33+Slot7_IsWG*CF33+Slot8_IsWG*CP33+Slot9_IsWG*CZ33+Slot10_IsWG*DJ33+Slot11_IsWG*DT33+Slot12_IsWG*ED33+Slot13_IsWG*EN33+Slot14_IsWG*EX33+Slot15_IsWG*FH33+Slot16_IsWG*FR33+Slot17_IsWG*GB33+Slot18_IsWG*GL33+Slot19_IsWG*GV33+Slot20_IsWG*HF33</f>
        <v>0</v>
      </c>
      <c r="IC33" s="20" t="n">
        <f aca="false">IF(AND(WI_Retire=0,WI_M&gt;0,G33=1,IB33&gt;=1),WI_M*12*F33,0)</f>
        <v>0</v>
      </c>
      <c r="ID33" s="20" t="n">
        <f aca="false">IF(HU33=1,MIN(IA33,HS33),0)</f>
        <v>0</v>
      </c>
      <c r="IE33" s="20" t="n">
        <f aca="false">IF(HU33=1,MIN(IC33,HS33-ID33),0)</f>
        <v>0</v>
      </c>
      <c r="IF33" s="20" t="n">
        <f aca="false">IF(W33=1,IF(ABS((1+AS_Wage)/(1+Slot1_Rate)-1)&lt;0.000000000001,(Slot1_Age-D33)*(1+Slot1_Rate)^(Slot1_Age-D33),(1+Slot1_Rate)^(Slot1_Age-D33)*(1-((1+AS_Wage)/(1+Slot1_Rate))^(Slot1_Age-D33))/(1-(1+AS_Wage)/(1+Slot1_Rate))),1)</f>
        <v>1</v>
      </c>
      <c r="IG33" s="20" t="n">
        <f aca="false">IF(AND(HU33=1,IE33&gt;0,Slot1_IsWG=1,W33=1),MAX(0,(Slot1_Cost-X33*(1+Slot1_Rate)^(Slot1_Age-D33))/IF33),0)</f>
        <v>0</v>
      </c>
      <c r="IH33" s="20" t="n">
        <f aca="false">IF(AND(HU33=1,IE33&gt;0,Slot1_IsWG=1,W33=1),MIN(IE33,IG33),0)</f>
        <v>0</v>
      </c>
      <c r="II33" s="20" t="n">
        <f aca="false">X33+IH33</f>
        <v>0</v>
      </c>
      <c r="IJ33" s="20" t="n">
        <f aca="false">IF(W33=1,MAX(0,(Slot1_Cost-II33*(1+Slot1_Rate)^(Slot1_Age-D33))/IF33),0)</f>
        <v>0</v>
      </c>
      <c r="IK33" s="20" t="n">
        <f aca="false">IF(W33=1,MAX(0,(Slot1_Cost-X33*(1+Slot1_Rate)^(Slot1_Age-D33))/IF33),0)</f>
        <v>0</v>
      </c>
      <c r="IL33" s="20" t="n">
        <f aca="false">IF(AND(HU33=1,W33=1),MIN(ID33,IJ33),0)</f>
        <v>0</v>
      </c>
      <c r="IM33" s="20" t="n">
        <f aca="false">ID33-IL33</f>
        <v>0</v>
      </c>
      <c r="IN33" s="20" t="n">
        <f aca="false">IF(AH33=1,IF(ABS((1+AS_Wage)/(1+Slot2_Rate)-1)&lt;0.000000000001,(Slot2_Age-D33)*(1+Slot2_Rate)^(Slot2_Age-D33),(1+Slot2_Rate)^(Slot2_Age-D33)*(1-((1+AS_Wage)/(1+Slot2_Rate))^(Slot2_Age-D33))/(1-(1+AS_Wage)/(1+Slot2_Rate))),1)</f>
        <v>1</v>
      </c>
      <c r="IO33" s="20" t="n">
        <f aca="false">IF(AND(HU33=1,IE33&gt;0,Slot2_IsWG=1,AH33=1),MAX(0,(Slot2_Cost-AI33*(1+Slot2_Rate)^(Slot2_Age-D33))/IN33),0)</f>
        <v>0</v>
      </c>
      <c r="IP33" s="20" t="n">
        <f aca="false">IF(AND(HU33=1,IE33&gt;0,Slot2_IsWG=1,AH33=1),MIN(IE33,IO33),0)</f>
        <v>0</v>
      </c>
      <c r="IQ33" s="20" t="n">
        <f aca="false">AI33+IP33</f>
        <v>0</v>
      </c>
      <c r="IR33" s="20" t="n">
        <f aca="false">IF(AH33=1,MAX(0,(Slot2_Cost-IQ33*(1+Slot2_Rate)^(Slot2_Age-D33))/IN33),0)</f>
        <v>0</v>
      </c>
      <c r="IS33" s="20" t="n">
        <f aca="false">IF(AH33=1,MAX(0,(Slot2_Cost-AI33*(1+Slot2_Rate)^(Slot2_Age-D33))/IN33),0)</f>
        <v>0</v>
      </c>
      <c r="IT33" s="20" t="n">
        <f aca="false">IF(AND(HU33=1,AH33=1),MIN(IM33,IR33),0)</f>
        <v>0</v>
      </c>
      <c r="IU33" s="20" t="n">
        <f aca="false">IM33-IT33</f>
        <v>0</v>
      </c>
      <c r="IV33" s="20" t="n">
        <f aca="false">IF(AR33=1,IF(ABS((1+AS_Wage)/(1+Slot3_Rate)-1)&lt;0.000000000001,(Slot3_Age-D33)*(1+Slot3_Rate)^(Slot3_Age-D33),(1+Slot3_Rate)^(Slot3_Age-D33)*(1-((1+AS_Wage)/(1+Slot3_Rate))^(Slot3_Age-D33))/(1-(1+AS_Wage)/(1+Slot3_Rate))),1)</f>
        <v>1</v>
      </c>
      <c r="IW33" s="20" t="n">
        <f aca="false">IF(AND(HU33=1,IE33&gt;0,Slot3_IsWG=1,AR33=1),MAX(0,(Slot3_Cost-AS33*(1+Slot3_Rate)^(Slot3_Age-D33))/IV33),0)</f>
        <v>0</v>
      </c>
      <c r="IX33" s="20" t="n">
        <f aca="false">IF(AND(HU33=1,IE33&gt;0,Slot3_IsWG=1,AR33=1),MIN(IE33,IW33),0)</f>
        <v>0</v>
      </c>
      <c r="IY33" s="20" t="n">
        <f aca="false">AS33+IX33</f>
        <v>0</v>
      </c>
      <c r="IZ33" s="20" t="n">
        <f aca="false">IF(AR33=1,MAX(0,(Slot3_Cost-IY33*(1+Slot3_Rate)^(Slot3_Age-D33))/IV33),0)</f>
        <v>0</v>
      </c>
      <c r="JA33" s="20" t="n">
        <f aca="false">IF(AR33=1,MAX(0,(Slot3_Cost-AS33*(1+Slot3_Rate)^(Slot3_Age-D33))/IV33),0)</f>
        <v>0</v>
      </c>
      <c r="JB33" s="20" t="n">
        <f aca="false">IF(AND(HU33=1,AR33=1),MIN(IU33,IZ33),0)</f>
        <v>0</v>
      </c>
      <c r="JC33" s="20" t="n">
        <f aca="false">IU33-JB33</f>
        <v>0</v>
      </c>
      <c r="JD33" s="20" t="n">
        <f aca="false">IF(BB33=1,IF(ABS((1+AS_Wage)/(1+Slot4_Rate)-1)&lt;0.000000000001,(Slot4_Age-D33)*(1+Slot4_Rate)^(Slot4_Age-D33),(1+Slot4_Rate)^(Slot4_Age-D33)*(1-((1+AS_Wage)/(1+Slot4_Rate))^(Slot4_Age-D33))/(1-(1+AS_Wage)/(1+Slot4_Rate))),1)</f>
        <v>1</v>
      </c>
      <c r="JE33" s="20" t="n">
        <f aca="false">IF(AND(HU33=1,IE33&gt;0,Slot4_IsWG=1,BB33=1),MAX(0,(Slot4_Cost-BC33*(1+Slot4_Rate)^(Slot4_Age-D33))/JD33),0)</f>
        <v>0</v>
      </c>
      <c r="JF33" s="20" t="n">
        <f aca="false">IF(AND(HU33=1,IE33&gt;0,Slot4_IsWG=1,BB33=1),MIN(IE33,JE33),0)</f>
        <v>0</v>
      </c>
      <c r="JG33" s="20" t="n">
        <f aca="false">BC33+JF33</f>
        <v>0</v>
      </c>
      <c r="JH33" s="20" t="n">
        <f aca="false">IF(BB33=1,MAX(0,(Slot4_Cost-JG33*(1+Slot4_Rate)^(Slot4_Age-D33))/JD33),0)</f>
        <v>0</v>
      </c>
      <c r="JI33" s="20" t="n">
        <f aca="false">IF(BB33=1,MAX(0,(Slot4_Cost-BC33*(1+Slot4_Rate)^(Slot4_Age-D33))/JD33),0)</f>
        <v>0</v>
      </c>
      <c r="JJ33" s="20" t="n">
        <f aca="false">IF(AND(HU33=1,BB33=1),MIN(JC33,JH33),0)</f>
        <v>0</v>
      </c>
      <c r="JK33" s="20" t="n">
        <f aca="false">JC33-JJ33</f>
        <v>0</v>
      </c>
      <c r="JL33" s="20" t="n">
        <f aca="false">IF(BL33=1,IF(ABS((1+AS_Wage)/(1+Slot5_Rate)-1)&lt;0.000000000001,(Slot5_Age-D33)*(1+Slot5_Rate)^(Slot5_Age-D33),(1+Slot5_Rate)^(Slot5_Age-D33)*(1-((1+AS_Wage)/(1+Slot5_Rate))^(Slot5_Age-D33))/(1-(1+AS_Wage)/(1+Slot5_Rate))),1)</f>
        <v>1</v>
      </c>
      <c r="JM33" s="20" t="n">
        <f aca="false">IF(AND(HU33=1,IE33&gt;0,Slot5_IsWG=1,BL33=1),MAX(0,(Slot5_Cost-BM33*(1+Slot5_Rate)^(Slot5_Age-D33))/JL33),0)</f>
        <v>0</v>
      </c>
      <c r="JN33" s="20" t="n">
        <f aca="false">IF(AND(HU33=1,IE33&gt;0,Slot5_IsWG=1,BL33=1),MIN(IE33,JM33),0)</f>
        <v>0</v>
      </c>
      <c r="JO33" s="20" t="n">
        <f aca="false">BM33+JN33</f>
        <v>0</v>
      </c>
      <c r="JP33" s="20" t="n">
        <f aca="false">IF(BL33=1,MAX(0,(Slot5_Cost-JO33*(1+Slot5_Rate)^(Slot5_Age-D33))/JL33),0)</f>
        <v>0</v>
      </c>
      <c r="JQ33" s="20" t="n">
        <f aca="false">IF(BL33=1,MAX(0,(Slot5_Cost-BM33*(1+Slot5_Rate)^(Slot5_Age-D33))/JL33),0)</f>
        <v>0</v>
      </c>
      <c r="JR33" s="20" t="n">
        <f aca="false">IF(AND(HU33=1,BL33=1),MIN(JK33,JP33),0)</f>
        <v>0</v>
      </c>
      <c r="JS33" s="20" t="n">
        <f aca="false">JK33-JR33</f>
        <v>0</v>
      </c>
      <c r="JT33" s="20" t="n">
        <f aca="false">IF(BV33=1,IF(ABS((1+AS_Wage)/(1+Slot6_Rate)-1)&lt;0.000000000001,(Slot6_Age-D33)*(1+Slot6_Rate)^(Slot6_Age-D33),(1+Slot6_Rate)^(Slot6_Age-D33)*(1-((1+AS_Wage)/(1+Slot6_Rate))^(Slot6_Age-D33))/(1-(1+AS_Wage)/(1+Slot6_Rate))),1)</f>
        <v>1</v>
      </c>
      <c r="JU33" s="20" t="n">
        <f aca="false">IF(AND(HU33=1,IE33&gt;0,Slot6_IsWG=1,BV33=1),MAX(0,(Slot6_Cost-BW33*(1+Slot6_Rate)^(Slot6_Age-D33))/JT33),0)</f>
        <v>0</v>
      </c>
      <c r="JV33" s="20" t="n">
        <f aca="false">IF(AND(HU33=1,IE33&gt;0,Slot6_IsWG=1,BV33=1),MIN(IE33,JU33),0)</f>
        <v>0</v>
      </c>
      <c r="JW33" s="20" t="n">
        <f aca="false">BW33+JV33</f>
        <v>0</v>
      </c>
      <c r="JX33" s="20" t="n">
        <f aca="false">IF(BV33=1,MAX(0,(Slot6_Cost-JW33*(1+Slot6_Rate)^(Slot6_Age-D33))/JT33),0)</f>
        <v>0</v>
      </c>
      <c r="JY33" s="20" t="n">
        <f aca="false">IF(BV33=1,MAX(0,(Slot6_Cost-BW33*(1+Slot6_Rate)^(Slot6_Age-D33))/JT33),0)</f>
        <v>0</v>
      </c>
      <c r="JZ33" s="20" t="n">
        <f aca="false">IF(AND(HU33=1,BV33=1),MIN(JS33,JX33),0)</f>
        <v>0</v>
      </c>
      <c r="KA33" s="20" t="n">
        <f aca="false">JS33-JZ33</f>
        <v>0</v>
      </c>
      <c r="KB33" s="20" t="n">
        <f aca="false">IF(CF33=1,IF(ABS((1+AS_Wage)/(1+Slot7_Rate)-1)&lt;0.000000000001,(Slot7_Age-D33)*(1+Slot7_Rate)^(Slot7_Age-D33),(1+Slot7_Rate)^(Slot7_Age-D33)*(1-((1+AS_Wage)/(1+Slot7_Rate))^(Slot7_Age-D33))/(1-(1+AS_Wage)/(1+Slot7_Rate))),1)</f>
        <v>1</v>
      </c>
      <c r="KC33" s="20" t="n">
        <f aca="false">IF(AND(HU33=1,IE33&gt;0,Slot7_IsWG=1,CF33=1),MAX(0,(Slot7_Cost-CG33*(1+Slot7_Rate)^(Slot7_Age-D33))/KB33),0)</f>
        <v>0</v>
      </c>
      <c r="KD33" s="20" t="n">
        <f aca="false">IF(AND(HU33=1,IE33&gt;0,Slot7_IsWG=1,CF33=1),MIN(IE33,KC33),0)</f>
        <v>0</v>
      </c>
      <c r="KE33" s="20" t="n">
        <f aca="false">CG33+KD33</f>
        <v>0</v>
      </c>
      <c r="KF33" s="20" t="n">
        <f aca="false">IF(CF33=1,MAX(0,(Slot7_Cost-KE33*(1+Slot7_Rate)^(Slot7_Age-D33))/KB33),0)</f>
        <v>0</v>
      </c>
      <c r="KG33" s="20" t="n">
        <f aca="false">IF(CF33=1,MAX(0,(Slot7_Cost-CG33*(1+Slot7_Rate)^(Slot7_Age-D33))/KB33),0)</f>
        <v>0</v>
      </c>
      <c r="KH33" s="20" t="n">
        <f aca="false">IF(AND(HU33=1,CF33=1),MIN(KA33,KF33),0)</f>
        <v>0</v>
      </c>
      <c r="KI33" s="20" t="n">
        <f aca="false">KA33-KH33</f>
        <v>0</v>
      </c>
      <c r="KJ33" s="20" t="n">
        <f aca="false">IF(CP33=1,IF(ABS((1+AS_Wage)/(1+Slot8_Rate)-1)&lt;0.000000000001,(Slot8_Age-D33)*(1+Slot8_Rate)^(Slot8_Age-D33),(1+Slot8_Rate)^(Slot8_Age-D33)*(1-((1+AS_Wage)/(1+Slot8_Rate))^(Slot8_Age-D33))/(1-(1+AS_Wage)/(1+Slot8_Rate))),1)</f>
        <v>1</v>
      </c>
      <c r="KK33" s="20" t="n">
        <f aca="false">IF(AND(HU33=1,IE33&gt;0,Slot8_IsWG=1,CP33=1),MAX(0,(Slot8_Cost-CQ33*(1+Slot8_Rate)^(Slot8_Age-D33))/KJ33),0)</f>
        <v>0</v>
      </c>
      <c r="KL33" s="20" t="n">
        <f aca="false">IF(AND(HU33=1,IE33&gt;0,Slot8_IsWG=1,CP33=1),MIN(IE33,KK33),0)</f>
        <v>0</v>
      </c>
      <c r="KM33" s="20" t="n">
        <f aca="false">CQ33+KL33</f>
        <v>0</v>
      </c>
      <c r="KN33" s="20" t="n">
        <f aca="false">IF(CP33=1,MAX(0,(Slot8_Cost-KM33*(1+Slot8_Rate)^(Slot8_Age-D33))/KJ33),0)</f>
        <v>0</v>
      </c>
      <c r="KO33" s="20" t="n">
        <f aca="false">IF(CP33=1,MAX(0,(Slot8_Cost-CQ33*(1+Slot8_Rate)^(Slot8_Age-D33))/KJ33),0)</f>
        <v>0</v>
      </c>
      <c r="KP33" s="20" t="n">
        <f aca="false">IF(AND(HU33=1,CP33=1),MIN(KI33,KN33),0)</f>
        <v>0</v>
      </c>
      <c r="KQ33" s="20" t="n">
        <f aca="false">KI33-KP33</f>
        <v>0</v>
      </c>
      <c r="KR33" s="20" t="n">
        <f aca="false">IF(CZ33=1,IF(ABS((1+AS_Wage)/(1+Slot9_Rate)-1)&lt;0.000000000001,(Slot9_Age-D33)*(1+Slot9_Rate)^(Slot9_Age-D33),(1+Slot9_Rate)^(Slot9_Age-D33)*(1-((1+AS_Wage)/(1+Slot9_Rate))^(Slot9_Age-D33))/(1-(1+AS_Wage)/(1+Slot9_Rate))),1)</f>
        <v>1</v>
      </c>
      <c r="KS33" s="20" t="n">
        <f aca="false">IF(AND(HU33=1,IE33&gt;0,Slot9_IsWG=1,CZ33=1),MAX(0,(Slot9_Cost-DA33*(1+Slot9_Rate)^(Slot9_Age-D33))/KR33),0)</f>
        <v>0</v>
      </c>
      <c r="KT33" s="20" t="n">
        <f aca="false">IF(AND(HU33=1,IE33&gt;0,Slot9_IsWG=1,CZ33=1),MIN(IE33,KS33),0)</f>
        <v>0</v>
      </c>
      <c r="KU33" s="20" t="n">
        <f aca="false">DA33+KT33</f>
        <v>0</v>
      </c>
      <c r="KV33" s="20" t="n">
        <f aca="false">IF(CZ33=1,MAX(0,(Slot9_Cost-KU33*(1+Slot9_Rate)^(Slot9_Age-D33))/KR33),0)</f>
        <v>0</v>
      </c>
      <c r="KW33" s="20" t="n">
        <f aca="false">IF(CZ33=1,MAX(0,(Slot9_Cost-DA33*(1+Slot9_Rate)^(Slot9_Age-D33))/KR33),0)</f>
        <v>0</v>
      </c>
      <c r="KX33" s="20" t="n">
        <f aca="false">IF(AND(HU33=1,CZ33=1),MIN(KQ33,KV33),0)</f>
        <v>0</v>
      </c>
      <c r="KY33" s="20" t="n">
        <f aca="false">KQ33-KX33</f>
        <v>0</v>
      </c>
      <c r="KZ33" s="20" t="n">
        <f aca="false">IF(DJ33=1,IF(ABS((1+AS_Wage)/(1+Slot10_Rate)-1)&lt;0.000000000001,(Slot10_Age-D33)*(1+Slot10_Rate)^(Slot10_Age-D33),(1+Slot10_Rate)^(Slot10_Age-D33)*(1-((1+AS_Wage)/(1+Slot10_Rate))^(Slot10_Age-D33))/(1-(1+AS_Wage)/(1+Slot10_Rate))),1)</f>
        <v>1</v>
      </c>
      <c r="LA33" s="20" t="n">
        <f aca="false">IF(AND(HU33=1,IE33&gt;0,Slot10_IsWG=1,DJ33=1),MAX(0,(Slot10_Cost-DK33*(1+Slot10_Rate)^(Slot10_Age-D33))/KZ33),0)</f>
        <v>0</v>
      </c>
      <c r="LB33" s="20" t="n">
        <f aca="false">IF(AND(HU33=1,IE33&gt;0,Slot10_IsWG=1,DJ33=1),MIN(IE33,LA33),0)</f>
        <v>0</v>
      </c>
      <c r="LC33" s="20" t="n">
        <f aca="false">DK33+LB33</f>
        <v>0</v>
      </c>
      <c r="LD33" s="20" t="n">
        <f aca="false">IF(DJ33=1,MAX(0,(Slot10_Cost-LC33*(1+Slot10_Rate)^(Slot10_Age-D33))/KZ33),0)</f>
        <v>0</v>
      </c>
      <c r="LE33" s="20" t="n">
        <f aca="false">IF(DJ33=1,MAX(0,(Slot10_Cost-DK33*(1+Slot10_Rate)^(Slot10_Age-D33))/KZ33),0)</f>
        <v>0</v>
      </c>
      <c r="LF33" s="20" t="n">
        <f aca="false">IF(AND(HU33=1,DJ33=1),MIN(KY33,LD33),0)</f>
        <v>0</v>
      </c>
      <c r="LG33" s="20" t="n">
        <f aca="false">KY33-LF33</f>
        <v>0</v>
      </c>
      <c r="LH33" s="20" t="n">
        <f aca="false">IF(DT33=1,IF(ABS((1+AS_Wage)/(1+Slot11_Rate)-1)&lt;0.000000000001,(Slot11_Age-D33)*(1+Slot11_Rate)^(Slot11_Age-D33),(1+Slot11_Rate)^(Slot11_Age-D33)*(1-((1+AS_Wage)/(1+Slot11_Rate))^(Slot11_Age-D33))/(1-(1+AS_Wage)/(1+Slot11_Rate))),1)</f>
        <v>1</v>
      </c>
      <c r="LI33" s="20" t="n">
        <f aca="false">IF(AND(HU33=1,IE33&gt;0,Slot11_IsWG=1,DT33=1),MAX(0,(Slot11_Cost-DU33*(1+Slot11_Rate)^(Slot11_Age-D33))/LH33),0)</f>
        <v>0</v>
      </c>
      <c r="LJ33" s="20" t="n">
        <f aca="false">IF(AND(HU33=1,IE33&gt;0,Slot11_IsWG=1,DT33=1),MIN(IE33,LI33),0)</f>
        <v>0</v>
      </c>
      <c r="LK33" s="20" t="n">
        <f aca="false">DU33+LJ33</f>
        <v>0</v>
      </c>
      <c r="LL33" s="20" t="n">
        <f aca="false">IF(DT33=1,MAX(0,(Slot11_Cost-LK33*(1+Slot11_Rate)^(Slot11_Age-D33))/LH33),0)</f>
        <v>0</v>
      </c>
      <c r="LM33" s="20" t="n">
        <f aca="false">IF(DT33=1,MAX(0,(Slot11_Cost-DU33*(1+Slot11_Rate)^(Slot11_Age-D33))/LH33),0)</f>
        <v>0</v>
      </c>
      <c r="LN33" s="20" t="n">
        <f aca="false">IF(AND(HU33=1,DT33=1),MIN(LG33,LL33),0)</f>
        <v>0</v>
      </c>
      <c r="LO33" s="20" t="n">
        <f aca="false">LG33-LN33</f>
        <v>0</v>
      </c>
      <c r="LP33" s="20" t="n">
        <f aca="false">IF(ED33=1,IF(ABS((1+AS_Wage)/(1+Slot12_Rate)-1)&lt;0.000000000001,(Slot12_Age-D33)*(1+Slot12_Rate)^(Slot12_Age-D33),(1+Slot12_Rate)^(Slot12_Age-D33)*(1-((1+AS_Wage)/(1+Slot12_Rate))^(Slot12_Age-D33))/(1-(1+AS_Wage)/(1+Slot12_Rate))),1)</f>
        <v>1</v>
      </c>
      <c r="LQ33" s="20" t="n">
        <f aca="false">IF(AND(HU33=1,IE33&gt;0,Slot12_IsWG=1,ED33=1),MAX(0,(Slot12_Cost-EE33*(1+Slot12_Rate)^(Slot12_Age-D33))/LP33),0)</f>
        <v>0</v>
      </c>
      <c r="LR33" s="20" t="n">
        <f aca="false">IF(AND(HU33=1,IE33&gt;0,Slot12_IsWG=1,ED33=1),MIN(IE33,LQ33),0)</f>
        <v>0</v>
      </c>
      <c r="LS33" s="20" t="n">
        <f aca="false">EE33+LR33</f>
        <v>0</v>
      </c>
      <c r="LT33" s="20" t="n">
        <f aca="false">IF(ED33=1,MAX(0,(Slot12_Cost-LS33*(1+Slot12_Rate)^(Slot12_Age-D33))/LP33),0)</f>
        <v>0</v>
      </c>
      <c r="LU33" s="20" t="n">
        <f aca="false">IF(ED33=1,MAX(0,(Slot12_Cost-EE33*(1+Slot12_Rate)^(Slot12_Age-D33))/LP33),0)</f>
        <v>0</v>
      </c>
      <c r="LV33" s="20" t="n">
        <f aca="false">IF(AND(HU33=1,ED33=1),MIN(LO33,LT33),0)</f>
        <v>0</v>
      </c>
      <c r="LW33" s="20" t="n">
        <f aca="false">LO33-LV33</f>
        <v>0</v>
      </c>
      <c r="LX33" s="20" t="n">
        <f aca="false">IF(EN33=1,IF(ABS((1+AS_Wage)/(1+Slot13_Rate)-1)&lt;0.000000000001,(Slot13_Age-D33)*(1+Slot13_Rate)^(Slot13_Age-D33),(1+Slot13_Rate)^(Slot13_Age-D33)*(1-((1+AS_Wage)/(1+Slot13_Rate))^(Slot13_Age-D33))/(1-(1+AS_Wage)/(1+Slot13_Rate))),1)</f>
        <v>1</v>
      </c>
      <c r="LY33" s="20" t="n">
        <f aca="false">IF(AND(HU33=1,IE33&gt;0,Slot13_IsWG=1,EN33=1),MAX(0,(Slot13_Cost-EO33*(1+Slot13_Rate)^(Slot13_Age-D33))/LX33),0)</f>
        <v>0</v>
      </c>
      <c r="LZ33" s="20" t="n">
        <f aca="false">IF(AND(HU33=1,IE33&gt;0,Slot13_IsWG=1,EN33=1),MIN(IE33,LY33),0)</f>
        <v>0</v>
      </c>
      <c r="MA33" s="20" t="n">
        <f aca="false">EO33+LZ33</f>
        <v>0</v>
      </c>
      <c r="MB33" s="20" t="n">
        <f aca="false">IF(EN33=1,MAX(0,(Slot13_Cost-MA33*(1+Slot13_Rate)^(Slot13_Age-D33))/LX33),0)</f>
        <v>0</v>
      </c>
      <c r="MC33" s="20" t="n">
        <f aca="false">IF(EN33=1,MAX(0,(Slot13_Cost-EO33*(1+Slot13_Rate)^(Slot13_Age-D33))/LX33),0)</f>
        <v>0</v>
      </c>
      <c r="MD33" s="20" t="n">
        <f aca="false">IF(AND(HU33=1,EN33=1),MIN(LW33,MB33),0)</f>
        <v>0</v>
      </c>
      <c r="ME33" s="20" t="n">
        <f aca="false">LW33-MD33</f>
        <v>0</v>
      </c>
      <c r="MF33" s="20" t="n">
        <f aca="false">IF(EX33=1,IF(ABS((1+AS_Wage)/(1+Slot14_Rate)-1)&lt;0.000000000001,(Slot14_Age-D33)*(1+Slot14_Rate)^(Slot14_Age-D33),(1+Slot14_Rate)^(Slot14_Age-D33)*(1-((1+AS_Wage)/(1+Slot14_Rate))^(Slot14_Age-D33))/(1-(1+AS_Wage)/(1+Slot14_Rate))),1)</f>
        <v>1</v>
      </c>
      <c r="MG33" s="20" t="n">
        <f aca="false">IF(AND(HU33=1,IE33&gt;0,Slot14_IsWG=1,EX33=1),MAX(0,(Slot14_Cost-EY33*(1+Slot14_Rate)^(Slot14_Age-D33))/MF33),0)</f>
        <v>0</v>
      </c>
      <c r="MH33" s="20" t="n">
        <f aca="false">IF(AND(HU33=1,IE33&gt;0,Slot14_IsWG=1,EX33=1),MIN(IE33,MG33),0)</f>
        <v>0</v>
      </c>
      <c r="MI33" s="20" t="n">
        <f aca="false">EY33+MH33</f>
        <v>0</v>
      </c>
      <c r="MJ33" s="20" t="n">
        <f aca="false">IF(EX33=1,MAX(0,(Slot14_Cost-MI33*(1+Slot14_Rate)^(Slot14_Age-D33))/MF33),0)</f>
        <v>0</v>
      </c>
      <c r="MK33" s="20" t="n">
        <f aca="false">IF(EX33=1,MAX(0,(Slot14_Cost-EY33*(1+Slot14_Rate)^(Slot14_Age-D33))/MF33),0)</f>
        <v>0</v>
      </c>
      <c r="ML33" s="20" t="n">
        <f aca="false">IF(AND(HU33=1,EX33=1),MIN(ME33,MJ33),0)</f>
        <v>0</v>
      </c>
      <c r="MM33" s="20" t="n">
        <f aca="false">ME33-ML33</f>
        <v>0</v>
      </c>
      <c r="MN33" s="20" t="n">
        <f aca="false">IF(FH33=1,IF(ABS((1+AS_Wage)/(1+Slot15_Rate)-1)&lt;0.000000000001,(Slot15_Age-D33)*(1+Slot15_Rate)^(Slot15_Age-D33),(1+Slot15_Rate)^(Slot15_Age-D33)*(1-((1+AS_Wage)/(1+Slot15_Rate))^(Slot15_Age-D33))/(1-(1+AS_Wage)/(1+Slot15_Rate))),1)</f>
        <v>1</v>
      </c>
      <c r="MO33" s="20" t="n">
        <f aca="false">IF(AND(HU33=1,IE33&gt;0,Slot15_IsWG=1,FH33=1),MAX(0,(Slot15_Cost-FI33*(1+Slot15_Rate)^(Slot15_Age-D33))/MN33),0)</f>
        <v>0</v>
      </c>
      <c r="MP33" s="20" t="n">
        <f aca="false">IF(AND(HU33=1,IE33&gt;0,Slot15_IsWG=1,FH33=1),MIN(IE33,MO33),0)</f>
        <v>0</v>
      </c>
      <c r="MQ33" s="20" t="n">
        <f aca="false">FI33+MP33</f>
        <v>0</v>
      </c>
      <c r="MR33" s="20" t="n">
        <f aca="false">IF(FH33=1,MAX(0,(Slot15_Cost-MQ33*(1+Slot15_Rate)^(Slot15_Age-D33))/MN33),0)</f>
        <v>0</v>
      </c>
      <c r="MS33" s="20" t="n">
        <f aca="false">IF(FH33=1,MAX(0,(Slot15_Cost-FI33*(1+Slot15_Rate)^(Slot15_Age-D33))/MN33),0)</f>
        <v>0</v>
      </c>
      <c r="MT33" s="20" t="n">
        <f aca="false">IF(AND(HU33=1,FH33=1),MIN(MM33,MR33),0)</f>
        <v>0</v>
      </c>
      <c r="MU33" s="20" t="n">
        <f aca="false">MM33-MT33</f>
        <v>0</v>
      </c>
      <c r="MV33" s="20" t="n">
        <f aca="false">IF(FR33=1,IF(ABS((1+AS_Wage)/(1+Slot16_Rate)-1)&lt;0.000000000001,(Slot16_Age-D33)*(1+Slot16_Rate)^(Slot16_Age-D33),(1+Slot16_Rate)^(Slot16_Age-D33)*(1-((1+AS_Wage)/(1+Slot16_Rate))^(Slot16_Age-D33))/(1-(1+AS_Wage)/(1+Slot16_Rate))),1)</f>
        <v>1</v>
      </c>
      <c r="MW33" s="20" t="n">
        <f aca="false">IF(AND(HU33=1,IE33&gt;0,Slot16_IsWG=1,FR33=1),MAX(0,(Slot16_Cost-FS33*(1+Slot16_Rate)^(Slot16_Age-D33))/MV33),0)</f>
        <v>0</v>
      </c>
      <c r="MX33" s="20" t="n">
        <f aca="false">IF(AND(HU33=1,IE33&gt;0,Slot16_IsWG=1,FR33=1),MIN(IE33,MW33),0)</f>
        <v>0</v>
      </c>
      <c r="MY33" s="20" t="n">
        <f aca="false">FS33+MX33</f>
        <v>0</v>
      </c>
      <c r="MZ33" s="20" t="n">
        <f aca="false">IF(FR33=1,MAX(0,(Slot16_Cost-MY33*(1+Slot16_Rate)^(Slot16_Age-D33))/MV33),0)</f>
        <v>0</v>
      </c>
      <c r="NA33" s="20" t="n">
        <f aca="false">IF(FR33=1,MAX(0,(Slot16_Cost-FS33*(1+Slot16_Rate)^(Slot16_Age-D33))/MV33),0)</f>
        <v>0</v>
      </c>
      <c r="NB33" s="20" t="n">
        <f aca="false">IF(AND(HU33=1,FR33=1),MIN(MU33,MZ33),0)</f>
        <v>0</v>
      </c>
      <c r="NC33" s="20" t="n">
        <f aca="false">MU33-NB33</f>
        <v>0</v>
      </c>
      <c r="ND33" s="20" t="n">
        <f aca="false">IF(GB33=1,IF(ABS((1+AS_Wage)/(1+Slot17_Rate)-1)&lt;0.000000000001,(Slot17_Age-D33)*(1+Slot17_Rate)^(Slot17_Age-D33),(1+Slot17_Rate)^(Slot17_Age-D33)*(1-((1+AS_Wage)/(1+Slot17_Rate))^(Slot17_Age-D33))/(1-(1+AS_Wage)/(1+Slot17_Rate))),1)</f>
        <v>1</v>
      </c>
      <c r="NE33" s="20" t="n">
        <f aca="false">IF(AND(HU33=1,IE33&gt;0,Slot17_IsWG=1,GB33=1),MAX(0,(Slot17_Cost-GC33*(1+Slot17_Rate)^(Slot17_Age-D33))/ND33),0)</f>
        <v>0</v>
      </c>
      <c r="NF33" s="20" t="n">
        <f aca="false">IF(AND(HU33=1,IE33&gt;0,Slot17_IsWG=1,GB33=1),MIN(IE33,NE33),0)</f>
        <v>0</v>
      </c>
      <c r="NG33" s="20" t="n">
        <f aca="false">GC33+NF33</f>
        <v>0</v>
      </c>
      <c r="NH33" s="20" t="n">
        <f aca="false">IF(GB33=1,MAX(0,(Slot17_Cost-NG33*(1+Slot17_Rate)^(Slot17_Age-D33))/ND33),0)</f>
        <v>0</v>
      </c>
      <c r="NI33" s="20" t="n">
        <f aca="false">IF(GB33=1,MAX(0,(Slot17_Cost-GC33*(1+Slot17_Rate)^(Slot17_Age-D33))/ND33),0)</f>
        <v>0</v>
      </c>
      <c r="NJ33" s="20" t="n">
        <f aca="false">IF(AND(HU33=1,GB33=1),MIN(NC33,NH33),0)</f>
        <v>0</v>
      </c>
      <c r="NK33" s="20" t="n">
        <f aca="false">NC33-NJ33</f>
        <v>0</v>
      </c>
      <c r="NL33" s="20" t="n">
        <f aca="false">IF(GL33=1,IF(ABS((1+AS_Wage)/(1+Slot18_Rate)-1)&lt;0.000000000001,(Slot18_Age-D33)*(1+Slot18_Rate)^(Slot18_Age-D33),(1+Slot18_Rate)^(Slot18_Age-D33)*(1-((1+AS_Wage)/(1+Slot18_Rate))^(Slot18_Age-D33))/(1-(1+AS_Wage)/(1+Slot18_Rate))),1)</f>
        <v>1</v>
      </c>
      <c r="NM33" s="20" t="n">
        <f aca="false">IF(AND(HU33=1,IE33&gt;0,Slot18_IsWG=1,GL33=1),MAX(0,(Slot18_Cost-GM33*(1+Slot18_Rate)^(Slot18_Age-D33))/NL33),0)</f>
        <v>0</v>
      </c>
      <c r="NN33" s="20" t="n">
        <f aca="false">IF(AND(HU33=1,IE33&gt;0,Slot18_IsWG=1,GL33=1),MIN(IE33,NM33),0)</f>
        <v>0</v>
      </c>
      <c r="NO33" s="20" t="n">
        <f aca="false">GM33+NN33</f>
        <v>0</v>
      </c>
      <c r="NP33" s="20" t="n">
        <f aca="false">IF(GL33=1,MAX(0,(Slot18_Cost-NO33*(1+Slot18_Rate)^(Slot18_Age-D33))/NL33),0)</f>
        <v>0</v>
      </c>
      <c r="NQ33" s="20" t="n">
        <f aca="false">IF(GL33=1,MAX(0,(Slot18_Cost-GM33*(1+Slot18_Rate)^(Slot18_Age-D33))/NL33),0)</f>
        <v>0</v>
      </c>
      <c r="NR33" s="20" t="n">
        <f aca="false">IF(AND(HU33=1,GL33=1),MIN(NK33,NP33),0)</f>
        <v>0</v>
      </c>
      <c r="NS33" s="20" t="n">
        <f aca="false">NK33-NR33</f>
        <v>0</v>
      </c>
      <c r="NT33" s="20" t="n">
        <f aca="false">IF(GV33=1,IF(ABS((1+AS_Wage)/(1+Slot19_Rate)-1)&lt;0.000000000001,(Slot19_Age-D33)*(1+Slot19_Rate)^(Slot19_Age-D33),(1+Slot19_Rate)^(Slot19_Age-D33)*(1-((1+AS_Wage)/(1+Slot19_Rate))^(Slot19_Age-D33))/(1-(1+AS_Wage)/(1+Slot19_Rate))),1)</f>
        <v>1</v>
      </c>
      <c r="NU33" s="20" t="n">
        <f aca="false">IF(AND(HU33=1,IE33&gt;0,Slot19_IsWG=1,GV33=1),MAX(0,(Slot19_Cost-GW33*(1+Slot19_Rate)^(Slot19_Age-D33))/NT33),0)</f>
        <v>0</v>
      </c>
      <c r="NV33" s="20" t="n">
        <f aca="false">IF(AND(HU33=1,IE33&gt;0,Slot19_IsWG=1,GV33=1),MIN(IE33,NU33),0)</f>
        <v>0</v>
      </c>
      <c r="NW33" s="20" t="n">
        <f aca="false">GW33+NV33</f>
        <v>0</v>
      </c>
      <c r="NX33" s="20" t="n">
        <f aca="false">IF(GV33=1,MAX(0,(Slot19_Cost-NW33*(1+Slot19_Rate)^(Slot19_Age-D33))/NT33),0)</f>
        <v>0</v>
      </c>
      <c r="NY33" s="20" t="n">
        <f aca="false">IF(GV33=1,MAX(0,(Slot19_Cost-GW33*(1+Slot19_Rate)^(Slot19_Age-D33))/NT33),0)</f>
        <v>0</v>
      </c>
      <c r="NZ33" s="20" t="n">
        <f aca="false">IF(AND(HU33=1,GV33=1),MIN(NS33,NX33),0)</f>
        <v>0</v>
      </c>
      <c r="OA33" s="20" t="n">
        <f aca="false">NS33-NZ33</f>
        <v>0</v>
      </c>
      <c r="OB33" s="20" t="n">
        <f aca="false">IF(HF33=1,IF(ABS((1+AS_Wage)/(1+Slot20_Rate)-1)&lt;0.000000000001,(Slot20_Age-D33)*(1+Slot20_Rate)^(Slot20_Age-D33),(1+Slot20_Rate)^(Slot20_Age-D33)*(1-((1+AS_Wage)/(1+Slot20_Rate))^(Slot20_Age-D33))/(1-(1+AS_Wage)/(1+Slot20_Rate))),1)</f>
        <v>1</v>
      </c>
      <c r="OC33" s="20" t="n">
        <f aca="false">IF(AND(HU33=1,IE33&gt;0,Slot20_IsWG=1,HF33=1),MAX(0,(Slot20_Cost-HG33*(1+Slot20_Rate)^(Slot20_Age-D33))/OB33),0)</f>
        <v>0</v>
      </c>
      <c r="OD33" s="20" t="n">
        <f aca="false">IF(AND(HU33=1,IE33&gt;0,Slot20_IsWG=1,HF33=1),MIN(IE33,OC33),0)</f>
        <v>0</v>
      </c>
      <c r="OE33" s="20" t="n">
        <f aca="false">HG33+OD33</f>
        <v>0</v>
      </c>
      <c r="OF33" s="20" t="n">
        <f aca="false">IF(HF33=1,MAX(0,(Slot20_Cost-OE33*(1+Slot20_Rate)^(Slot20_Age-D33))/OB33),0)</f>
        <v>0</v>
      </c>
      <c r="OG33" s="20" t="n">
        <f aca="false">IF(HF33=1,MAX(0,(Slot20_Cost-HG33*(1+Slot20_Rate)^(Slot20_Age-D33))/OB33),0)</f>
        <v>0</v>
      </c>
      <c r="OH33" s="20" t="n">
        <f aca="false">IF(AND(HU33=1,HF33=1),MIN(OA33,OF33),0)</f>
        <v>0</v>
      </c>
      <c r="OI33" s="20" t="n">
        <f aca="false">OA33-OH33</f>
        <v>0</v>
      </c>
      <c r="OJ33" s="20" t="n">
        <f aca="false">IE33-(IH33+IP33+IX33+JF33+JN33+JV33+KD33+KL33+KT33+LB33+LJ33+LR33+LZ33+MH33+MP33+MX33+NF33+NN33+NV33+OD33)</f>
        <v>0</v>
      </c>
      <c r="OK33" s="20" t="n">
        <f aca="false">IF(HU33=1,HS33-ID33-IE33,0)</f>
        <v>0</v>
      </c>
      <c r="OL33" s="20" t="n">
        <f aca="false">IF(HU33=0,-HS33,0)</f>
        <v>20769.3163526862</v>
      </c>
      <c r="OM33" s="20" t="n">
        <f aca="false">MIN(OL33,HK33)</f>
        <v>20769.3163526862</v>
      </c>
      <c r="ON33" s="20" t="n">
        <f aca="false">OL33-OM33</f>
        <v>0</v>
      </c>
      <c r="OO33" s="20" t="n">
        <f aca="false">MIN(ON33,HL33)</f>
        <v>0</v>
      </c>
      <c r="OP33" s="20" t="n">
        <f aca="false">ON33-OO33</f>
        <v>0</v>
      </c>
      <c r="OQ33" s="20" t="n">
        <f aca="false">IF(AND(HU33=0,HF33=1,OP33&gt;0),MIN(OP33,HG33),0)</f>
        <v>0</v>
      </c>
      <c r="OR33" s="20" t="n">
        <f aca="false">OP33-OQ33</f>
        <v>0</v>
      </c>
      <c r="OS33" s="20" t="n">
        <f aca="false">IF(AND(HU33=0,GV33=1,OR33&gt;0),MIN(OR33,GW33),0)</f>
        <v>0</v>
      </c>
      <c r="OT33" s="20" t="n">
        <f aca="false">OR33-OS33</f>
        <v>0</v>
      </c>
      <c r="OU33" s="20" t="n">
        <f aca="false">IF(AND(HU33=0,GL33=1,OT33&gt;0),MIN(OT33,GM33),0)</f>
        <v>0</v>
      </c>
      <c r="OV33" s="20" t="n">
        <f aca="false">OT33-OU33</f>
        <v>0</v>
      </c>
      <c r="OW33" s="20" t="n">
        <f aca="false">IF(AND(HU33=0,GB33=1,OV33&gt;0),MIN(OV33,GC33),0)</f>
        <v>0</v>
      </c>
      <c r="OX33" s="20" t="n">
        <f aca="false">OV33-OW33</f>
        <v>0</v>
      </c>
      <c r="OY33" s="20" t="n">
        <f aca="false">IF(AND(HU33=0,FR33=1,OX33&gt;0),MIN(OX33,FS33),0)</f>
        <v>0</v>
      </c>
      <c r="OZ33" s="20" t="n">
        <f aca="false">OX33-OY33</f>
        <v>0</v>
      </c>
      <c r="PA33" s="20" t="n">
        <f aca="false">IF(AND(HU33=0,FH33=1,OZ33&gt;0),MIN(OZ33,FI33),0)</f>
        <v>0</v>
      </c>
      <c r="PB33" s="20" t="n">
        <f aca="false">OZ33-PA33</f>
        <v>0</v>
      </c>
      <c r="PC33" s="20" t="n">
        <f aca="false">IF(AND(HU33=0,EX33=1,PB33&gt;0),MIN(PB33,EY33),0)</f>
        <v>0</v>
      </c>
      <c r="PD33" s="20" t="n">
        <f aca="false">PB33-PC33</f>
        <v>0</v>
      </c>
      <c r="PE33" s="20" t="n">
        <f aca="false">IF(AND(HU33=0,EN33=1,PD33&gt;0),MIN(PD33,EO33),0)</f>
        <v>0</v>
      </c>
      <c r="PF33" s="20" t="n">
        <f aca="false">PD33-PE33</f>
        <v>0</v>
      </c>
      <c r="PG33" s="20" t="n">
        <f aca="false">IF(AND(HU33=0,ED33=1,PF33&gt;0),MIN(PF33,EE33),0)</f>
        <v>0</v>
      </c>
      <c r="PH33" s="20" t="n">
        <f aca="false">PF33-PG33</f>
        <v>0</v>
      </c>
      <c r="PI33" s="20" t="n">
        <f aca="false">IF(AND(HU33=0,DT33=1,PH33&gt;0),MIN(PH33,DU33),0)</f>
        <v>0</v>
      </c>
      <c r="PJ33" s="20" t="n">
        <f aca="false">PH33-PI33</f>
        <v>0</v>
      </c>
      <c r="PK33" s="20" t="n">
        <f aca="false">IF(AND(HU33=0,DJ33=1,PJ33&gt;0),MIN(PJ33,DK33),0)</f>
        <v>0</v>
      </c>
      <c r="PL33" s="20" t="n">
        <f aca="false">PJ33-PK33</f>
        <v>0</v>
      </c>
      <c r="PM33" s="20" t="n">
        <f aca="false">IF(AND(HU33=0,CZ33=1,PL33&gt;0),MIN(PL33,DA33),0)</f>
        <v>0</v>
      </c>
      <c r="PN33" s="20" t="n">
        <f aca="false">PL33-PM33</f>
        <v>0</v>
      </c>
      <c r="PO33" s="20" t="n">
        <f aca="false">IF(AND(HU33=0,CP33=1,PN33&gt;0),MIN(PN33,CQ33),0)</f>
        <v>0</v>
      </c>
      <c r="PP33" s="20" t="n">
        <f aca="false">PN33-PO33</f>
        <v>0</v>
      </c>
      <c r="PQ33" s="20" t="n">
        <f aca="false">IF(AND(HU33=0,CF33=1,PP33&gt;0),MIN(PP33,CG33),0)</f>
        <v>0</v>
      </c>
      <c r="PR33" s="20" t="n">
        <f aca="false">PP33-PQ33</f>
        <v>0</v>
      </c>
      <c r="PS33" s="20" t="n">
        <f aca="false">IF(AND(HU33=0,BV33=1,PR33&gt;0),MIN(PR33,BW33),0)</f>
        <v>0</v>
      </c>
      <c r="PT33" s="20" t="n">
        <f aca="false">PR33-PS33</f>
        <v>0</v>
      </c>
      <c r="PU33" s="20" t="n">
        <f aca="false">IF(AND(HU33=0,BL33=1,PT33&gt;0),MIN(PT33,BM33),0)</f>
        <v>0</v>
      </c>
      <c r="PV33" s="20" t="n">
        <f aca="false">PT33-PU33</f>
        <v>0</v>
      </c>
      <c r="PW33" s="20" t="n">
        <f aca="false">IF(AND(HU33=0,BB33=1,PV33&gt;0),MIN(PV33,BC33),0)</f>
        <v>0</v>
      </c>
      <c r="PX33" s="20" t="n">
        <f aca="false">PV33-PW33</f>
        <v>0</v>
      </c>
      <c r="PY33" s="20" t="n">
        <f aca="false">IF(AND(HU33=0,AR33=1,PX33&gt;0),MIN(PX33,AS33),0)</f>
        <v>0</v>
      </c>
      <c r="PZ33" s="20" t="n">
        <f aca="false">PX33-PY33</f>
        <v>0</v>
      </c>
      <c r="QA33" s="20" t="n">
        <f aca="false">IF(AND(HU33=0,AH33=1,PZ33&gt;0),MIN(PZ33,AI33),0)</f>
        <v>0</v>
      </c>
      <c r="QB33" s="20" t="n">
        <f aca="false">PZ33-QA33</f>
        <v>0</v>
      </c>
      <c r="QC33" s="20" t="n">
        <f aca="false">IF(AND(HU33=0,W33=1,QB33&gt;0),MIN(QB33,X33),0)</f>
        <v>0</v>
      </c>
      <c r="QD33" s="20" t="n">
        <f aca="false">QB33-QC33</f>
        <v>0</v>
      </c>
      <c r="QE33" s="20" t="n">
        <f aca="false">IF(HU33=0,QD33,0)</f>
        <v>0</v>
      </c>
      <c r="QF33" s="20" t="n">
        <f aca="false">OM33+OO33+QC33+QA33+PY33+PW33+PU33+PS33+PQ33+PO33+PM33+PK33+PI33+PG33+PE33+PC33+PA33+OY33+OW33+OU33+OS33+OQ33</f>
        <v>20769.3163526862</v>
      </c>
      <c r="QG33" s="20" t="n">
        <f aca="false">IF(HU33=1,HK33+OJ33+OI33+IF(G33=1,0,OK33),HK33-OM33)</f>
        <v>224735.58661469</v>
      </c>
      <c r="QH33" s="20" t="n">
        <f aca="false">HL33-OO33</f>
        <v>19619.2860643456</v>
      </c>
      <c r="QI33" s="20" t="n">
        <f aca="false">IF(HU33=1,IF(G33=1,ID33+IE33,HS33),0)</f>
        <v>0</v>
      </c>
      <c r="QJ33" s="20" t="n">
        <f aca="false">IF(HU33=1,IF(G33=1,HS33-ID33-IE33,0),0)</f>
        <v>0</v>
      </c>
      <c r="QK33" s="20" t="n">
        <f aca="false">QG33*(1+GR)</f>
        <v>228421.250235171</v>
      </c>
      <c r="QL33" s="20" t="n">
        <f aca="false">QH33*(1+AS_Cash)</f>
        <v>19815.4789249891</v>
      </c>
      <c r="QM33" s="20" t="n">
        <f aca="false">IF(W33=1,IF(HU33=1,II33+IL33,X33-QC33)*(1+Slot1_Rate),0)</f>
        <v>0</v>
      </c>
      <c r="QN33" s="20" t="n">
        <f aca="false">IF(AND(HU33=1,W33=1),(IH33+IL33)/F33,0)</f>
        <v>0</v>
      </c>
      <c r="QO33" s="20" t="n">
        <f aca="false">IF(B33=0,IH33+IL33,0)</f>
        <v>0</v>
      </c>
      <c r="QP33" s="20" t="n">
        <f aca="false">IF(B33=0,IF(HU33=1,IJ33,IK33),0)</f>
        <v>0</v>
      </c>
      <c r="QQ33" s="20" t="n">
        <f aca="false">IF(AH33=1,IF(HU33=1,IQ33+IT33,AI33-QA33)*(1+Slot2_Rate),0)</f>
        <v>0</v>
      </c>
      <c r="QR33" s="20" t="n">
        <f aca="false">IF(AND(HU33=1,AH33=1),(IP33+IT33)/F33,0)</f>
        <v>0</v>
      </c>
      <c r="QS33" s="20" t="n">
        <f aca="false">IF(B33=0,IP33+IT33,0)</f>
        <v>0</v>
      </c>
      <c r="QT33" s="20" t="n">
        <f aca="false">IF(B33=0,IF(HU33=1,IR33,IS33),0)</f>
        <v>0</v>
      </c>
      <c r="QU33" s="20" t="n">
        <f aca="false">IF(AR33=1,IF(HU33=1,IY33+JB33,AS33-PY33)*(1+Slot3_Rate),0)</f>
        <v>0</v>
      </c>
      <c r="QV33" s="20" t="n">
        <f aca="false">IF(AND(HU33=1,AR33=1),(IX33+JB33)/F33,0)</f>
        <v>0</v>
      </c>
      <c r="QW33" s="20" t="n">
        <f aca="false">IF(B33=0,IX33+JB33,0)</f>
        <v>0</v>
      </c>
      <c r="QX33" s="20" t="n">
        <f aca="false">IF(B33=0,IF(HU33=1,IZ33,JA33),0)</f>
        <v>0</v>
      </c>
      <c r="QY33" s="20" t="n">
        <f aca="false">IF(BB33=1,IF(HU33=1,JG33+JJ33,BC33-PW33)*(1+Slot4_Rate),0)</f>
        <v>0</v>
      </c>
      <c r="QZ33" s="20" t="n">
        <f aca="false">IF(AND(HU33=1,BB33=1),(JF33+JJ33)/F33,0)</f>
        <v>0</v>
      </c>
      <c r="RA33" s="20" t="n">
        <f aca="false">IF(B33=0,JF33+JJ33,0)</f>
        <v>0</v>
      </c>
      <c r="RB33" s="20" t="n">
        <f aca="false">IF(B33=0,IF(HU33=1,JH33,JI33),0)</f>
        <v>0</v>
      </c>
      <c r="RC33" s="20" t="n">
        <f aca="false">IF(BL33=1,IF(HU33=1,JO33+JR33,BM33-PU33)*(1+Slot5_Rate),0)</f>
        <v>0</v>
      </c>
      <c r="RD33" s="20" t="n">
        <f aca="false">IF(AND(HU33=1,BL33=1),(JN33+JR33)/F33,0)</f>
        <v>0</v>
      </c>
      <c r="RE33" s="20" t="n">
        <f aca="false">IF(B33=0,JN33+JR33,0)</f>
        <v>0</v>
      </c>
      <c r="RF33" s="20" t="n">
        <f aca="false">IF(B33=0,IF(HU33=1,JP33,JQ33),0)</f>
        <v>0</v>
      </c>
      <c r="RG33" s="20" t="n">
        <f aca="false">IF(BV33=1,IF(HU33=1,JW33+JZ33,BW33-PS33)*(1+Slot6_Rate),0)</f>
        <v>0</v>
      </c>
      <c r="RH33" s="20" t="n">
        <f aca="false">IF(AND(HU33=1,BV33=1),(JV33+JZ33)/F33,0)</f>
        <v>0</v>
      </c>
      <c r="RI33" s="20" t="n">
        <f aca="false">IF(B33=0,JV33+JZ33,0)</f>
        <v>0</v>
      </c>
      <c r="RJ33" s="20" t="n">
        <f aca="false">IF(B33=0,IF(HU33=1,JX33,JY33),0)</f>
        <v>0</v>
      </c>
      <c r="RK33" s="20" t="n">
        <f aca="false">IF(CF33=1,IF(HU33=1,KE33+KH33,CG33-PQ33)*(1+Slot7_Rate),0)</f>
        <v>0</v>
      </c>
      <c r="RL33" s="20" t="n">
        <f aca="false">IF(AND(HU33=1,CF33=1),(KD33+KH33)/F33,0)</f>
        <v>0</v>
      </c>
      <c r="RM33" s="20" t="n">
        <f aca="false">IF(B33=0,KD33+KH33,0)</f>
        <v>0</v>
      </c>
      <c r="RN33" s="20" t="n">
        <f aca="false">IF(B33=0,IF(HU33=1,KF33,KG33),0)</f>
        <v>0</v>
      </c>
      <c r="RO33" s="20" t="n">
        <f aca="false">IF(CP33=1,IF(HU33=1,KM33+KP33,CQ33-PO33)*(1+Slot8_Rate),0)</f>
        <v>0</v>
      </c>
      <c r="RP33" s="20" t="n">
        <f aca="false">IF(AND(HU33=1,CP33=1),(KL33+KP33)/F33,0)</f>
        <v>0</v>
      </c>
      <c r="RQ33" s="20" t="n">
        <f aca="false">IF(B33=0,KL33+KP33,0)</f>
        <v>0</v>
      </c>
      <c r="RR33" s="20" t="n">
        <f aca="false">IF(B33=0,IF(HU33=1,KN33,KO33),0)</f>
        <v>0</v>
      </c>
      <c r="RS33" s="20" t="n">
        <f aca="false">IF(CZ33=1,IF(HU33=1,KU33+KX33,DA33-PM33)*(1+Slot9_Rate),0)</f>
        <v>0</v>
      </c>
      <c r="RT33" s="20" t="n">
        <f aca="false">IF(AND(HU33=1,CZ33=1),(KT33+KX33)/F33,0)</f>
        <v>0</v>
      </c>
      <c r="RU33" s="20" t="n">
        <f aca="false">IF(B33=0,KT33+KX33,0)</f>
        <v>0</v>
      </c>
      <c r="RV33" s="20" t="n">
        <f aca="false">IF(B33=0,IF(HU33=1,KV33,KW33),0)</f>
        <v>0</v>
      </c>
      <c r="RW33" s="20" t="n">
        <f aca="false">IF(DJ33=1,IF(HU33=1,LC33+LF33,DK33-PK33)*(1+Slot10_Rate),0)</f>
        <v>0</v>
      </c>
      <c r="RX33" s="20" t="n">
        <f aca="false">IF(AND(HU33=1,DJ33=1),(LB33+LF33)/F33,0)</f>
        <v>0</v>
      </c>
      <c r="RY33" s="20" t="n">
        <f aca="false">IF(B33=0,LB33+LF33,0)</f>
        <v>0</v>
      </c>
      <c r="RZ33" s="20" t="n">
        <f aca="false">IF(B33=0,IF(HU33=1,LD33,LE33),0)</f>
        <v>0</v>
      </c>
      <c r="SA33" s="20" t="n">
        <f aca="false">IF(DT33=1,IF(HU33=1,LK33+LN33,DU33-PI33)*(1+Slot11_Rate),0)</f>
        <v>0</v>
      </c>
      <c r="SB33" s="20" t="n">
        <f aca="false">IF(AND(HU33=1,DT33=1),(LJ33+LN33)/F33,0)</f>
        <v>0</v>
      </c>
      <c r="SC33" s="20" t="n">
        <f aca="false">IF(B33=0,LJ33+LN33,0)</f>
        <v>0</v>
      </c>
      <c r="SD33" s="20" t="n">
        <f aca="false">IF(B33=0,IF(HU33=1,LL33,LM33),0)</f>
        <v>0</v>
      </c>
      <c r="SE33" s="20" t="n">
        <f aca="false">IF(ED33=1,IF(HU33=1,LS33+LV33,EE33-PG33)*(1+Slot12_Rate),0)</f>
        <v>0</v>
      </c>
      <c r="SF33" s="20" t="n">
        <f aca="false">IF(AND(HU33=1,ED33=1),(LR33+LV33)/F33,0)</f>
        <v>0</v>
      </c>
      <c r="SG33" s="20" t="n">
        <f aca="false">IF(B33=0,LR33+LV33,0)</f>
        <v>0</v>
      </c>
      <c r="SH33" s="20" t="n">
        <f aca="false">IF(B33=0,IF(HU33=1,LT33,LU33),0)</f>
        <v>0</v>
      </c>
      <c r="SI33" s="20" t="n">
        <f aca="false">IF(EN33=1,IF(HU33=1,MA33+MD33,EO33-PE33)*(1+Slot13_Rate),0)</f>
        <v>0</v>
      </c>
      <c r="SJ33" s="20" t="n">
        <f aca="false">IF(AND(HU33=1,EN33=1),(LZ33+MD33)/F33,0)</f>
        <v>0</v>
      </c>
      <c r="SK33" s="20" t="n">
        <f aca="false">IF(B33=0,LZ33+MD33,0)</f>
        <v>0</v>
      </c>
      <c r="SL33" s="20" t="n">
        <f aca="false">IF(B33=0,IF(HU33=1,MB33,MC33),0)</f>
        <v>0</v>
      </c>
      <c r="SM33" s="20" t="n">
        <f aca="false">IF(EX33=1,IF(HU33=1,MI33+ML33,EY33-PC33)*(1+Slot14_Rate),0)</f>
        <v>0</v>
      </c>
      <c r="SN33" s="20" t="n">
        <f aca="false">IF(AND(HU33=1,EX33=1),(MH33+ML33)/F33,0)</f>
        <v>0</v>
      </c>
      <c r="SO33" s="20" t="n">
        <f aca="false">IF(B33=0,MH33+ML33,0)</f>
        <v>0</v>
      </c>
      <c r="SP33" s="20" t="n">
        <f aca="false">IF(B33=0,IF(HU33=1,MJ33,MK33),0)</f>
        <v>0</v>
      </c>
      <c r="SQ33" s="20" t="n">
        <f aca="false">IF(FH33=1,IF(HU33=1,MQ33+MT33,FI33-PA33)*(1+Slot15_Rate),0)</f>
        <v>0</v>
      </c>
      <c r="SR33" s="20" t="n">
        <f aca="false">IF(AND(HU33=1,FH33=1),(MP33+MT33)/F33,0)</f>
        <v>0</v>
      </c>
      <c r="SS33" s="20" t="n">
        <f aca="false">IF(B33=0,MP33+MT33,0)</f>
        <v>0</v>
      </c>
      <c r="ST33" s="20" t="n">
        <f aca="false">IF(B33=0,IF(HU33=1,MR33,MS33),0)</f>
        <v>0</v>
      </c>
      <c r="SU33" s="20" t="n">
        <f aca="false">IF(FR33=1,IF(HU33=1,MY33+NB33,FS33-OY33)*(1+Slot16_Rate),0)</f>
        <v>0</v>
      </c>
      <c r="SV33" s="20" t="n">
        <f aca="false">IF(AND(HU33=1,FR33=1),(MX33+NB33)/F33,0)</f>
        <v>0</v>
      </c>
      <c r="SW33" s="20" t="n">
        <f aca="false">IF(B33=0,MX33+NB33,0)</f>
        <v>0</v>
      </c>
      <c r="SX33" s="20" t="n">
        <f aca="false">IF(B33=0,IF(HU33=1,MZ33,NA33),0)</f>
        <v>0</v>
      </c>
      <c r="SY33" s="20" t="n">
        <f aca="false">IF(GB33=1,IF(HU33=1,NG33+NJ33,GC33-OW33)*(1+Slot17_Rate),0)</f>
        <v>0</v>
      </c>
      <c r="SZ33" s="20" t="n">
        <f aca="false">IF(AND(HU33=1,GB33=1),(NF33+NJ33)/F33,0)</f>
        <v>0</v>
      </c>
      <c r="TA33" s="20" t="n">
        <f aca="false">IF(B33=0,NF33+NJ33,0)</f>
        <v>0</v>
      </c>
      <c r="TB33" s="20" t="n">
        <f aca="false">IF(B33=0,IF(HU33=1,NH33,NI33),0)</f>
        <v>0</v>
      </c>
      <c r="TC33" s="20" t="n">
        <f aca="false">IF(GL33=1,IF(HU33=1,NO33+NR33,GM33-OU33)*(1+Slot18_Rate),0)</f>
        <v>0</v>
      </c>
      <c r="TD33" s="20" t="n">
        <f aca="false">IF(AND(HU33=1,GL33=1),(NN33+NR33)/F33,0)</f>
        <v>0</v>
      </c>
      <c r="TE33" s="20" t="n">
        <f aca="false">IF(B33=0,NN33+NR33,0)</f>
        <v>0</v>
      </c>
      <c r="TF33" s="20" t="n">
        <f aca="false">IF(B33=0,IF(HU33=1,NP33,NQ33),0)</f>
        <v>0</v>
      </c>
      <c r="TG33" s="20" t="n">
        <f aca="false">IF(GV33=1,IF(HU33=1,NW33+NZ33,GW33-OS33)*(1+Slot19_Rate),0)</f>
        <v>0</v>
      </c>
      <c r="TH33" s="20" t="n">
        <f aca="false">IF(AND(HU33=1,GV33=1),(NV33+NZ33)/F33,0)</f>
        <v>0</v>
      </c>
      <c r="TI33" s="20" t="n">
        <f aca="false">IF(B33=0,NV33+NZ33,0)</f>
        <v>0</v>
      </c>
      <c r="TJ33" s="20" t="n">
        <f aca="false">IF(B33=0,IF(HU33=1,NX33,NY33),0)</f>
        <v>0</v>
      </c>
      <c r="TK33" s="20" t="n">
        <f aca="false">IF(HF33=1,IF(HU33=1,OE33+OH33,HG33-OQ33)*(1+Slot20_Rate),0)</f>
        <v>0</v>
      </c>
      <c r="TL33" s="20" t="n">
        <f aca="false">IF(AND(HU33=1,HF33=1),(OD33+OH33)/F33,0)</f>
        <v>0</v>
      </c>
      <c r="TM33" s="20" t="n">
        <f aca="false">IF(B33=0,OD33+OH33,0)</f>
        <v>0</v>
      </c>
      <c r="TN33" s="20" t="n">
        <f aca="false">IF(B33=0,IF(HU33=1,OF33,OG33),0)</f>
        <v>0</v>
      </c>
      <c r="TO33" s="20" t="n">
        <f aca="false">QK33+QL33+QM33+QQ33+QU33+QY33+RC33+RG33+RK33+RO33+RS33+RW33+SA33+SE33+SI33+SM33+SQ33+SU33+SY33+TC33+TG33+TK33</f>
        <v>248236.72916016</v>
      </c>
      <c r="TP33" s="20" t="n">
        <f aca="false">QE33+HP33</f>
        <v>0</v>
      </c>
      <c r="TQ33" s="20" t="n">
        <f aca="false">I33+S33</f>
        <v>78420.9665354141</v>
      </c>
      <c r="TR33" s="20" t="n">
        <f aca="false">1-G33</f>
        <v>1</v>
      </c>
      <c r="TS33" s="20" t="n">
        <f aca="false">IF(AND(RG_Exists=1,G33=0,C33=1),I33,0)</f>
        <v>78420.9665354141</v>
      </c>
      <c r="TT33" s="20" t="n">
        <f aca="false">IF(AND(RG_Exists=1,G33=0,C33=1),I33-MIN(QE33,I33),0)</f>
        <v>78420.9665354141</v>
      </c>
      <c r="TU33" s="20" t="n">
        <f aca="false">'Plan pay &amp; tax'!AD259</f>
        <v>442370.209341348</v>
      </c>
      <c r="TV33" s="20" t="n">
        <f aca="false">IF(AND(C33=1,QE33&gt;MAX(PR_Short1,TQ33*PR_Short2)),1,0)</f>
        <v>0</v>
      </c>
      <c r="TW33" s="20" t="n">
        <f aca="false">MIN(H33,I33+S33)</f>
        <v>57651.6501827279</v>
      </c>
      <c r="TX33" s="20" t="n">
        <f aca="false">QF33+MAX(0,HQ33-HP33)</f>
        <v>20769.3163526862</v>
      </c>
      <c r="TY33" s="20" t="n">
        <f aca="false">QE33+HP33</f>
        <v>0</v>
      </c>
      <c r="TZ33" s="20" t="n">
        <f aca="false">IF(AND(C33=1,TY33&gt;PR_MinShort),1,0)</f>
        <v>0</v>
      </c>
      <c r="UA33" s="20" t="n">
        <f aca="false">IF(AND(C33=1,TZ33=0,TX33&gt;PR_MinShort),1,0)</f>
        <v>1</v>
      </c>
      <c r="UB33" s="20" t="n">
        <f aca="false">IF(AND(C33=1,QE33&gt;PR_MinShort),1,0)</f>
        <v>0</v>
      </c>
      <c r="UC33" s="20" t="n">
        <f aca="false">IF(AND(C33=1,QF33&gt;1,UJ33=0),1,0)</f>
        <v>1</v>
      </c>
      <c r="UD33" s="20" t="str">
        <f aca="false">IF(C33=0,"",IF(UJ33=1,"Gap to plan for: short "&amp;"€"&amp;TEXT(ROUND(TP33,0),"#,##0"),IF(QF33&gt;1,"Using savings","Comfortable")))</f>
        <v>Using savings</v>
      </c>
      <c r="UE33" s="20" t="n">
        <f aca="false">IF(AND(INT(D33/10)*10=90,B33&gt;0),80,INT(D33/10)*10)</f>
        <v>60</v>
      </c>
      <c r="UF33" s="20" t="n">
        <f aca="false">IF(B33=0,1,IF(UE33&lt;&gt;UE32,UF32+1,UF32))</f>
        <v>4</v>
      </c>
      <c r="UG33" s="20" t="n">
        <f aca="false">IF(AND(C33=1,G33=1,QE33&gt;MAX(PR_Short1,TQ33*PR_Short2)),1,0)</f>
        <v>0</v>
      </c>
      <c r="UH33" s="20" t="n">
        <f aca="false">TR33*TV33</f>
        <v>0</v>
      </c>
      <c r="UI33" s="20" t="n">
        <f aca="false">IF(AND(V33=1,Slot1_PctLow=1),1,0)+IF(AND(AG33=1,Slot2_PctLow=1),1,0)+IF(AND(AQ33=1,Slot3_PctLow=1),1,0)+IF(AND(BA33=1,Slot4_PctLow=1),1,0)+IF(AND(BK33=1,Slot5_PctLow=1),1,0)+IF(AND(BU33=1,Slot6_PctLow=1),1,0)+IF(AND(CE33=1,Slot7_PctLow=1),1,0)+IF(AND(CO33=1,Slot8_PctLow=1),1,0)+IF(AND(CY33=1,Slot9_PctLow=1),1,0)+IF(AND(DI33=1,Slot10_PctLow=1),1,0)+IF(AND(DS33=1,Slot11_PctLow=1),1,0)+IF(AND(EC33=1,Slot12_PctLow=1),1,0)+IF(AND(EM33=1,Slot13_PctLow=1),1,0)+IF(AND(EW33=1,Slot14_PctLow=1),1,0)+IF(AND(FG33=1,Slot15_PctLow=1),1,0)+IF(AND(FQ33=1,Slot16_PctLow=1),1,0)+IF(AND(GA33=1,Slot17_PctLow=1),1,0)+IF(AND(GK33=1,Slot18_PctLow=1),1,0)+IF(AND(GU33=1,Slot19_PctLow=1),1,0)+IF(AND(HE33=1,Slot20_PctLow=1),1,0)</f>
        <v>0</v>
      </c>
      <c r="UJ33" s="20" t="n">
        <f aca="false">IF(C33=1,IF(OR(TV33=1,UI33&gt;0),1,0),0)</f>
        <v>0</v>
      </c>
    </row>
    <row r="34" customFormat="false" ht="15" hidden="false" customHeight="true" outlineLevel="0" collapsed="false">
      <c r="B34" s="20" t="n">
        <v>26</v>
      </c>
      <c r="C34" s="20" t="n">
        <f aca="false">IF(B34&lt;=F_N,1,0)</f>
        <v>1</v>
      </c>
      <c r="D34" s="20" t="n">
        <f aca="false">'Plan pay &amp; tax'!C260</f>
        <v>64</v>
      </c>
      <c r="E34" s="20" t="str">
        <f aca="false">IF($C34=1,"Income tax "&amp;TEXT(N('Plan pay &amp; tax'!BK260),"#,##0")&amp;"; USC "&amp;TEXT(N('Plan pay &amp; tax'!BM260)+N('Plan pay &amp; tax'!BO260),"#,##0")&amp;"; PRSI "&amp;TEXT(N('Plan pay &amp; tax'!BP260)+N('Plan pay &amp; tax'!BQ260),"#,##0")&amp;". DIRT and exit tax are inside the growth rates here.","")</f>
        <v>Income tax 1,670; USC 387; PRSI 1,830. DIRT and exit tax are inside the growth rates here.</v>
      </c>
      <c r="F34" s="44" t="n">
        <f aca="false">'Plan pay &amp; tax'!E260</f>
        <v>1.67341811435403</v>
      </c>
      <c r="G34" s="20" t="n">
        <f aca="false">'Plan pay &amp; tax'!G260</f>
        <v>0</v>
      </c>
      <c r="H34" s="20" t="n">
        <f aca="false">'Plan pay &amp; tax'!BT260-'Plan pay &amp; tax'!BS260-'Plan pay &amp; tax'!R260</f>
        <v>58635.5320937646</v>
      </c>
      <c r="I34" s="20" t="n">
        <f aca="false">IF(G34=1,F_CostsM*12,IF(RG_Exists=1,RG_Amount,F_CostsM*12*AS_RetireSpend))*F34+F_OneOffY*F34</f>
        <v>79989.3858661224</v>
      </c>
      <c r="J34" s="20" t="n">
        <f aca="false">HR33</f>
        <v>0</v>
      </c>
      <c r="K34" s="20" t="n">
        <f aca="false">IF(J34&gt;1,'Plan debt months'!AC34,0)</f>
        <v>0</v>
      </c>
      <c r="L34" s="20" t="n">
        <f aca="false">IF(J34&gt;1,'Plan debt months'!AB34,J34)</f>
        <v>0</v>
      </c>
      <c r="M34" s="20" t="n">
        <f aca="false">O33</f>
        <v>0</v>
      </c>
      <c r="N34" s="20" t="n">
        <f aca="false">IF(M34&gt;1,'Plan debt months'!BD34,0)</f>
        <v>0</v>
      </c>
      <c r="O34" s="20" t="n">
        <f aca="false">IF(M34&gt;1,'Plan debt months'!BC34,M34)</f>
        <v>0</v>
      </c>
      <c r="P34" s="20" t="n">
        <f aca="false">R33</f>
        <v>0</v>
      </c>
      <c r="Q34" s="20" t="n">
        <f aca="false">IF(P34&gt;1,'Plan debt months'!CE34,0)</f>
        <v>0</v>
      </c>
      <c r="R34" s="20" t="n">
        <f aca="false">IF(P34&gt;1,'Plan debt months'!CD34,P34)</f>
        <v>0</v>
      </c>
      <c r="S34" s="20" t="n">
        <f aca="false">K34+N34+Q34</f>
        <v>0</v>
      </c>
      <c r="T34" s="20" t="n">
        <f aca="false">QK33+'Plan pay &amp; tax'!Y260</f>
        <v>228421.250235171</v>
      </c>
      <c r="U34" s="20" t="n">
        <f aca="false">QK33</f>
        <v>228421.250235171</v>
      </c>
      <c r="V34" s="20" t="n">
        <f aca="false">IF(AND(Slot1_On=1,D34=Slot1_Age),1,0)</f>
        <v>0</v>
      </c>
      <c r="W34" s="20" t="n">
        <f aca="false">IF(AND(Slot1_On=1,Slot1_Age&gt;D34),1,0)</f>
        <v>0</v>
      </c>
      <c r="X34" s="20" t="n">
        <f aca="false">QM33</f>
        <v>0</v>
      </c>
      <c r="Y34" s="20" t="n">
        <f aca="false">V34*MIN(Slot1_Cost,X34)</f>
        <v>0</v>
      </c>
      <c r="Z34" s="20" t="n">
        <f aca="false">V34*Slot1_SpendLike*MIN(Slot1_Cost-Y34,T34)</f>
        <v>0</v>
      </c>
      <c r="AA34" s="20" t="n">
        <f aca="false">Y34+Z34</f>
        <v>0</v>
      </c>
      <c r="AB34" s="20" t="n">
        <f aca="false">T34-Z34+V34*IF(Slot1_SpendLike=1,X34-Y34,IF(Slot1_PotFree=1,X34,0))</f>
        <v>228421.250235171</v>
      </c>
      <c r="AC34" s="20" t="n">
        <f aca="false">AF34+V34*Slot1_BufPot*X34</f>
        <v>19815.4789249891</v>
      </c>
      <c r="AD34" s="20" t="n">
        <f aca="false">IF(AND(V34=1,Slot1_IsMfree=1),IF(AA34&gt;=Slot1_Cost-1,0,MAX(0,L34-AA34)),L34)</f>
        <v>0</v>
      </c>
      <c r="AE34" s="20" t="n">
        <f aca="false">V34*(Slot1_Cost-AA34)</f>
        <v>0</v>
      </c>
      <c r="AF34" s="20" t="n">
        <f aca="false">QL33</f>
        <v>19815.4789249891</v>
      </c>
      <c r="AG34" s="20" t="n">
        <f aca="false">IF(AND(Slot2_On=1,D34=Slot2_Age),1,0)</f>
        <v>0</v>
      </c>
      <c r="AH34" s="20" t="n">
        <f aca="false">IF(AND(Slot2_On=1,Slot2_Age&gt;D34),1,0)</f>
        <v>0</v>
      </c>
      <c r="AI34" s="20" t="n">
        <f aca="false">QQ33</f>
        <v>0</v>
      </c>
      <c r="AJ34" s="20" t="n">
        <f aca="false">AG34*MIN(Slot2_Cost,AI34)</f>
        <v>0</v>
      </c>
      <c r="AK34" s="20" t="n">
        <f aca="false">AG34*Slot2_SpendLike*MIN(Slot2_Cost-AJ34,AB34)</f>
        <v>0</v>
      </c>
      <c r="AL34" s="20" t="n">
        <f aca="false">AJ34+AK34</f>
        <v>0</v>
      </c>
      <c r="AM34" s="20" t="n">
        <f aca="false">AB34-AK34+AG34*IF(Slot2_SpendLike=1,AI34-AJ34,IF(Slot2_PotFree=1,AI34,0))</f>
        <v>228421.250235171</v>
      </c>
      <c r="AN34" s="20" t="n">
        <f aca="false">AC34+AG34*Slot2_BufPot*AI34</f>
        <v>19815.4789249891</v>
      </c>
      <c r="AO34" s="20" t="n">
        <f aca="false">IF(AND(AG34=1,Slot2_IsMfree=1),IF(AL34&gt;=Slot2_Cost-1,0,MAX(0,AD34-AL34)),AD34)</f>
        <v>0</v>
      </c>
      <c r="AP34" s="20" t="n">
        <f aca="false">AG34*(Slot2_Cost-AL34)</f>
        <v>0</v>
      </c>
      <c r="AQ34" s="20" t="n">
        <f aca="false">IF(AND(Slot3_On=1,D34=Slot3_Age),1,0)</f>
        <v>0</v>
      </c>
      <c r="AR34" s="20" t="n">
        <f aca="false">IF(AND(Slot3_On=1,Slot3_Age&gt;D34),1,0)</f>
        <v>0</v>
      </c>
      <c r="AS34" s="20" t="n">
        <f aca="false">QU33</f>
        <v>0</v>
      </c>
      <c r="AT34" s="20" t="n">
        <f aca="false">AQ34*MIN(Slot3_Cost,AS34)</f>
        <v>0</v>
      </c>
      <c r="AU34" s="20" t="n">
        <f aca="false">AQ34*Slot3_SpendLike*MIN(Slot3_Cost-AT34,AM34)</f>
        <v>0</v>
      </c>
      <c r="AV34" s="20" t="n">
        <f aca="false">AT34+AU34</f>
        <v>0</v>
      </c>
      <c r="AW34" s="20" t="n">
        <f aca="false">AM34-AU34+AQ34*IF(Slot3_SpendLike=1,AS34-AT34,IF(Slot3_PotFree=1,AS34,0))</f>
        <v>228421.250235171</v>
      </c>
      <c r="AX34" s="20" t="n">
        <f aca="false">AN34+AQ34*Slot3_BufPot*AS34</f>
        <v>19815.4789249891</v>
      </c>
      <c r="AY34" s="20" t="n">
        <f aca="false">IF(AND(AQ34=1,Slot3_IsMfree=1),IF(AV34&gt;=Slot3_Cost-1,0,MAX(0,AO34-AV34)),AO34)</f>
        <v>0</v>
      </c>
      <c r="AZ34" s="20" t="n">
        <f aca="false">AQ34*(Slot3_Cost-AV34)</f>
        <v>0</v>
      </c>
      <c r="BA34" s="20" t="n">
        <f aca="false">IF(AND(Slot4_On=1,D34=Slot4_Age),1,0)</f>
        <v>0</v>
      </c>
      <c r="BB34" s="20" t="n">
        <f aca="false">IF(AND(Slot4_On=1,Slot4_Age&gt;D34),1,0)</f>
        <v>0</v>
      </c>
      <c r="BC34" s="20" t="n">
        <f aca="false">QY33</f>
        <v>0</v>
      </c>
      <c r="BD34" s="20" t="n">
        <f aca="false">BA34*MIN(Slot4_Cost,BC34)</f>
        <v>0</v>
      </c>
      <c r="BE34" s="20" t="n">
        <f aca="false">BA34*Slot4_SpendLike*MIN(Slot4_Cost-BD34,AW34)</f>
        <v>0</v>
      </c>
      <c r="BF34" s="20" t="n">
        <f aca="false">BD34+BE34</f>
        <v>0</v>
      </c>
      <c r="BG34" s="20" t="n">
        <f aca="false">AW34-BE34+BA34*IF(Slot4_SpendLike=1,BC34-BD34,IF(Slot4_PotFree=1,BC34,0))</f>
        <v>228421.250235171</v>
      </c>
      <c r="BH34" s="20" t="n">
        <f aca="false">AX34+BA34*Slot4_BufPot*BC34</f>
        <v>19815.4789249891</v>
      </c>
      <c r="BI34" s="20" t="n">
        <f aca="false">IF(AND(BA34=1,Slot4_IsMfree=1),IF(BF34&gt;=Slot4_Cost-1,0,MAX(0,AY34-BF34)),AY34)</f>
        <v>0</v>
      </c>
      <c r="BJ34" s="20" t="n">
        <f aca="false">BA34*(Slot4_Cost-BF34)</f>
        <v>0</v>
      </c>
      <c r="BK34" s="20" t="n">
        <f aca="false">IF(AND(Slot5_On=1,D34=Slot5_Age),1,0)</f>
        <v>0</v>
      </c>
      <c r="BL34" s="20" t="n">
        <f aca="false">IF(AND(Slot5_On=1,Slot5_Age&gt;D34),1,0)</f>
        <v>0</v>
      </c>
      <c r="BM34" s="20" t="n">
        <f aca="false">RC33</f>
        <v>0</v>
      </c>
      <c r="BN34" s="20" t="n">
        <f aca="false">BK34*MIN(Slot5_Cost,BM34)</f>
        <v>0</v>
      </c>
      <c r="BO34" s="20" t="n">
        <f aca="false">BK34*Slot5_SpendLike*MIN(Slot5_Cost-BN34,BG34)</f>
        <v>0</v>
      </c>
      <c r="BP34" s="20" t="n">
        <f aca="false">BN34+BO34</f>
        <v>0</v>
      </c>
      <c r="BQ34" s="20" t="n">
        <f aca="false">BG34-BO34+BK34*IF(Slot5_SpendLike=1,BM34-BN34,IF(Slot5_PotFree=1,BM34,0))</f>
        <v>228421.250235171</v>
      </c>
      <c r="BR34" s="20" t="n">
        <f aca="false">BH34+BK34*Slot5_BufPot*BM34</f>
        <v>19815.4789249891</v>
      </c>
      <c r="BS34" s="20" t="n">
        <f aca="false">IF(AND(BK34=1,Slot5_IsMfree=1),IF(BP34&gt;=Slot5_Cost-1,0,MAX(0,BI34-BP34)),BI34)</f>
        <v>0</v>
      </c>
      <c r="BT34" s="20" t="n">
        <f aca="false">BK34*(Slot5_Cost-BP34)</f>
        <v>0</v>
      </c>
      <c r="BU34" s="20" t="n">
        <f aca="false">IF(AND(Slot6_On=1,D34=Slot6_Age),1,0)</f>
        <v>0</v>
      </c>
      <c r="BV34" s="20" t="n">
        <f aca="false">IF(AND(Slot6_On=1,Slot6_Age&gt;D34),1,0)</f>
        <v>0</v>
      </c>
      <c r="BW34" s="20" t="n">
        <f aca="false">RG33</f>
        <v>0</v>
      </c>
      <c r="BX34" s="20" t="n">
        <f aca="false">BU34*MIN(Slot6_Cost,BW34)</f>
        <v>0</v>
      </c>
      <c r="BY34" s="20" t="n">
        <f aca="false">BU34*Slot6_SpendLike*MIN(Slot6_Cost-BX34,BQ34)</f>
        <v>0</v>
      </c>
      <c r="BZ34" s="20" t="n">
        <f aca="false">BX34+BY34</f>
        <v>0</v>
      </c>
      <c r="CA34" s="20" t="n">
        <f aca="false">BQ34-BY34+BU34*IF(Slot6_SpendLike=1,BW34-BX34,IF(Slot6_PotFree=1,BW34,0))</f>
        <v>228421.250235171</v>
      </c>
      <c r="CB34" s="20" t="n">
        <f aca="false">BR34+BU34*Slot6_BufPot*BW34</f>
        <v>19815.4789249891</v>
      </c>
      <c r="CC34" s="20" t="n">
        <f aca="false">IF(AND(BU34=1,Slot6_IsMfree=1),IF(BZ34&gt;=Slot6_Cost-1,0,MAX(0,BS34-BZ34)),BS34)</f>
        <v>0</v>
      </c>
      <c r="CD34" s="20" t="n">
        <f aca="false">BU34*(Slot6_Cost-BZ34)</f>
        <v>0</v>
      </c>
      <c r="CE34" s="20" t="n">
        <f aca="false">IF(AND(Slot7_On=1,D34=Slot7_Age),1,0)</f>
        <v>0</v>
      </c>
      <c r="CF34" s="20" t="n">
        <f aca="false">IF(AND(Slot7_On=1,Slot7_Age&gt;D34),1,0)</f>
        <v>0</v>
      </c>
      <c r="CG34" s="20" t="n">
        <f aca="false">RK33</f>
        <v>0</v>
      </c>
      <c r="CH34" s="20" t="n">
        <f aca="false">CE34*MIN(Slot7_Cost,CG34)</f>
        <v>0</v>
      </c>
      <c r="CI34" s="20" t="n">
        <f aca="false">CE34*Slot7_SpendLike*MIN(Slot7_Cost-CH34,CA34)</f>
        <v>0</v>
      </c>
      <c r="CJ34" s="20" t="n">
        <f aca="false">CH34+CI34</f>
        <v>0</v>
      </c>
      <c r="CK34" s="20" t="n">
        <f aca="false">CA34-CI34+CE34*IF(Slot7_SpendLike=1,CG34-CH34,IF(Slot7_PotFree=1,CG34,0))</f>
        <v>228421.250235171</v>
      </c>
      <c r="CL34" s="20" t="n">
        <f aca="false">CB34+CE34*Slot7_BufPot*CG34</f>
        <v>19815.4789249891</v>
      </c>
      <c r="CM34" s="20" t="n">
        <f aca="false">IF(AND(CE34=1,Slot7_IsMfree=1),IF(CJ34&gt;=Slot7_Cost-1,0,MAX(0,CC34-CJ34)),CC34)</f>
        <v>0</v>
      </c>
      <c r="CN34" s="20" t="n">
        <f aca="false">CE34*(Slot7_Cost-CJ34)</f>
        <v>0</v>
      </c>
      <c r="CO34" s="20" t="n">
        <f aca="false">IF(AND(Slot8_On=1,D34=Slot8_Age),1,0)</f>
        <v>0</v>
      </c>
      <c r="CP34" s="20" t="n">
        <f aca="false">IF(AND(Slot8_On=1,Slot8_Age&gt;D34),1,0)</f>
        <v>0</v>
      </c>
      <c r="CQ34" s="20" t="n">
        <f aca="false">RO33</f>
        <v>0</v>
      </c>
      <c r="CR34" s="20" t="n">
        <f aca="false">CO34*MIN(Slot8_Cost,CQ34)</f>
        <v>0</v>
      </c>
      <c r="CS34" s="20" t="n">
        <f aca="false">CO34*Slot8_SpendLike*MIN(Slot8_Cost-CR34,CK34)</f>
        <v>0</v>
      </c>
      <c r="CT34" s="20" t="n">
        <f aca="false">CR34+CS34</f>
        <v>0</v>
      </c>
      <c r="CU34" s="20" t="n">
        <f aca="false">CK34-CS34+CO34*IF(Slot8_SpendLike=1,CQ34-CR34,IF(Slot8_PotFree=1,CQ34,0))</f>
        <v>228421.250235171</v>
      </c>
      <c r="CV34" s="20" t="n">
        <f aca="false">CL34+CO34*Slot8_BufPot*CQ34</f>
        <v>19815.4789249891</v>
      </c>
      <c r="CW34" s="20" t="n">
        <f aca="false">IF(AND(CO34=1,Slot8_IsMfree=1),IF(CT34&gt;=Slot8_Cost-1,0,MAX(0,CM34-CT34)),CM34)</f>
        <v>0</v>
      </c>
      <c r="CX34" s="20" t="n">
        <f aca="false">CO34*(Slot8_Cost-CT34)</f>
        <v>0</v>
      </c>
      <c r="CY34" s="20" t="n">
        <f aca="false">IF(AND(Slot9_On=1,D34=Slot9_Age),1,0)</f>
        <v>0</v>
      </c>
      <c r="CZ34" s="20" t="n">
        <f aca="false">IF(AND(Slot9_On=1,Slot9_Age&gt;D34),1,0)</f>
        <v>0</v>
      </c>
      <c r="DA34" s="20" t="n">
        <f aca="false">RS33</f>
        <v>0</v>
      </c>
      <c r="DB34" s="20" t="n">
        <f aca="false">CY34*MIN(Slot9_Cost,DA34)</f>
        <v>0</v>
      </c>
      <c r="DC34" s="20" t="n">
        <f aca="false">CY34*Slot9_SpendLike*MIN(Slot9_Cost-DB34,CU34)</f>
        <v>0</v>
      </c>
      <c r="DD34" s="20" t="n">
        <f aca="false">DB34+DC34</f>
        <v>0</v>
      </c>
      <c r="DE34" s="20" t="n">
        <f aca="false">CU34-DC34+CY34*IF(Slot9_SpendLike=1,DA34-DB34,IF(Slot9_PotFree=1,DA34,0))</f>
        <v>228421.250235171</v>
      </c>
      <c r="DF34" s="20" t="n">
        <f aca="false">CV34+CY34*Slot9_BufPot*DA34</f>
        <v>19815.4789249891</v>
      </c>
      <c r="DG34" s="20" t="n">
        <f aca="false">IF(AND(CY34=1,Slot9_IsMfree=1),IF(DD34&gt;=Slot9_Cost-1,0,MAX(0,CW34-DD34)),CW34)</f>
        <v>0</v>
      </c>
      <c r="DH34" s="20" t="n">
        <f aca="false">CY34*(Slot9_Cost-DD34)</f>
        <v>0</v>
      </c>
      <c r="DI34" s="20" t="n">
        <f aca="false">IF(AND(Slot10_On=1,D34=Slot10_Age),1,0)</f>
        <v>0</v>
      </c>
      <c r="DJ34" s="20" t="n">
        <f aca="false">IF(AND(Slot10_On=1,Slot10_Age&gt;D34),1,0)</f>
        <v>0</v>
      </c>
      <c r="DK34" s="20" t="n">
        <f aca="false">RW33</f>
        <v>0</v>
      </c>
      <c r="DL34" s="20" t="n">
        <f aca="false">DI34*MIN(Slot10_Cost,DK34)</f>
        <v>0</v>
      </c>
      <c r="DM34" s="20" t="n">
        <f aca="false">DI34*Slot10_SpendLike*MIN(Slot10_Cost-DL34,DE34)</f>
        <v>0</v>
      </c>
      <c r="DN34" s="20" t="n">
        <f aca="false">DL34+DM34</f>
        <v>0</v>
      </c>
      <c r="DO34" s="20" t="n">
        <f aca="false">DE34-DM34+DI34*IF(Slot10_SpendLike=1,DK34-DL34,IF(Slot10_PotFree=1,DK34,0))</f>
        <v>228421.250235171</v>
      </c>
      <c r="DP34" s="20" t="n">
        <f aca="false">DF34+DI34*Slot10_BufPot*DK34</f>
        <v>19815.4789249891</v>
      </c>
      <c r="DQ34" s="20" t="n">
        <f aca="false">IF(AND(DI34=1,Slot10_IsMfree=1),IF(DN34&gt;=Slot10_Cost-1,0,MAX(0,DG34-DN34)),DG34)</f>
        <v>0</v>
      </c>
      <c r="DR34" s="20" t="n">
        <f aca="false">DI34*(Slot10_Cost-DN34)</f>
        <v>0</v>
      </c>
      <c r="DS34" s="20" t="n">
        <f aca="false">IF(AND(Slot11_On=1,D34=Slot11_Age),1,0)</f>
        <v>0</v>
      </c>
      <c r="DT34" s="20" t="n">
        <f aca="false">IF(AND(Slot11_On=1,Slot11_Age&gt;D34),1,0)</f>
        <v>0</v>
      </c>
      <c r="DU34" s="20" t="n">
        <f aca="false">SA33</f>
        <v>0</v>
      </c>
      <c r="DV34" s="20" t="n">
        <f aca="false">DS34*MIN(Slot11_Cost,DU34)</f>
        <v>0</v>
      </c>
      <c r="DW34" s="20" t="n">
        <f aca="false">DS34*Slot11_SpendLike*MIN(Slot11_Cost-DV34,DO34)</f>
        <v>0</v>
      </c>
      <c r="DX34" s="20" t="n">
        <f aca="false">DV34+DW34</f>
        <v>0</v>
      </c>
      <c r="DY34" s="20" t="n">
        <f aca="false">DO34-DW34+DS34*IF(Slot11_SpendLike=1,DU34-DV34,IF(Slot11_PotFree=1,DU34,0))</f>
        <v>228421.250235171</v>
      </c>
      <c r="DZ34" s="20" t="n">
        <f aca="false">DP34+DS34*Slot11_BufPot*DU34</f>
        <v>19815.4789249891</v>
      </c>
      <c r="EA34" s="20" t="n">
        <f aca="false">IF(AND(DS34=1,Slot11_IsMfree=1),IF(DX34&gt;=Slot11_Cost-1,0,MAX(0,DQ34-DX34)),DQ34)</f>
        <v>0</v>
      </c>
      <c r="EB34" s="20" t="n">
        <f aca="false">DS34*(Slot11_Cost-DX34)</f>
        <v>0</v>
      </c>
      <c r="EC34" s="20" t="n">
        <f aca="false">IF(AND(Slot12_On=1,D34=Slot12_Age),1,0)</f>
        <v>0</v>
      </c>
      <c r="ED34" s="20" t="n">
        <f aca="false">IF(AND(Slot12_On=1,Slot12_Age&gt;D34),1,0)</f>
        <v>0</v>
      </c>
      <c r="EE34" s="20" t="n">
        <f aca="false">SE33</f>
        <v>0</v>
      </c>
      <c r="EF34" s="20" t="n">
        <f aca="false">EC34*MIN(Slot12_Cost,EE34)</f>
        <v>0</v>
      </c>
      <c r="EG34" s="20" t="n">
        <f aca="false">EC34*Slot12_SpendLike*MIN(Slot12_Cost-EF34,DY34)</f>
        <v>0</v>
      </c>
      <c r="EH34" s="20" t="n">
        <f aca="false">EF34+EG34</f>
        <v>0</v>
      </c>
      <c r="EI34" s="20" t="n">
        <f aca="false">DY34-EG34+EC34*IF(Slot12_SpendLike=1,EE34-EF34,IF(Slot12_PotFree=1,EE34,0))</f>
        <v>228421.250235171</v>
      </c>
      <c r="EJ34" s="20" t="n">
        <f aca="false">DZ34+EC34*Slot12_BufPot*EE34</f>
        <v>19815.4789249891</v>
      </c>
      <c r="EK34" s="20" t="n">
        <f aca="false">IF(AND(EC34=1,Slot12_IsMfree=1),IF(EH34&gt;=Slot12_Cost-1,0,MAX(0,EA34-EH34)),EA34)</f>
        <v>0</v>
      </c>
      <c r="EL34" s="20" t="n">
        <f aca="false">EC34*(Slot12_Cost-EH34)</f>
        <v>0</v>
      </c>
      <c r="EM34" s="20" t="n">
        <f aca="false">IF(AND(Slot13_On=1,D34=Slot13_Age),1,0)</f>
        <v>0</v>
      </c>
      <c r="EN34" s="20" t="n">
        <f aca="false">IF(AND(Slot13_On=1,Slot13_Age&gt;D34),1,0)</f>
        <v>0</v>
      </c>
      <c r="EO34" s="20" t="n">
        <f aca="false">SI33</f>
        <v>0</v>
      </c>
      <c r="EP34" s="20" t="n">
        <f aca="false">EM34*MIN(Slot13_Cost,EO34)</f>
        <v>0</v>
      </c>
      <c r="EQ34" s="20" t="n">
        <f aca="false">EM34*Slot13_SpendLike*MIN(Slot13_Cost-EP34,EI34)</f>
        <v>0</v>
      </c>
      <c r="ER34" s="20" t="n">
        <f aca="false">EP34+EQ34</f>
        <v>0</v>
      </c>
      <c r="ES34" s="20" t="n">
        <f aca="false">EI34-EQ34+EM34*IF(Slot13_SpendLike=1,EO34-EP34,IF(Slot13_PotFree=1,EO34,0))</f>
        <v>228421.250235171</v>
      </c>
      <c r="ET34" s="20" t="n">
        <f aca="false">EJ34+EM34*Slot13_BufPot*EO34</f>
        <v>19815.4789249891</v>
      </c>
      <c r="EU34" s="20" t="n">
        <f aca="false">IF(AND(EM34=1,Slot13_IsMfree=1),IF(ER34&gt;=Slot13_Cost-1,0,MAX(0,EK34-ER34)),EK34)</f>
        <v>0</v>
      </c>
      <c r="EV34" s="20" t="n">
        <f aca="false">EM34*(Slot13_Cost-ER34)</f>
        <v>0</v>
      </c>
      <c r="EW34" s="20" t="n">
        <f aca="false">IF(AND(Slot14_On=1,D34=Slot14_Age),1,0)</f>
        <v>0</v>
      </c>
      <c r="EX34" s="20" t="n">
        <f aca="false">IF(AND(Slot14_On=1,Slot14_Age&gt;D34),1,0)</f>
        <v>0</v>
      </c>
      <c r="EY34" s="20" t="n">
        <f aca="false">SM33</f>
        <v>0</v>
      </c>
      <c r="EZ34" s="20" t="n">
        <f aca="false">EW34*MIN(Slot14_Cost,EY34)</f>
        <v>0</v>
      </c>
      <c r="FA34" s="20" t="n">
        <f aca="false">EW34*Slot14_SpendLike*MIN(Slot14_Cost-EZ34,ES34)</f>
        <v>0</v>
      </c>
      <c r="FB34" s="20" t="n">
        <f aca="false">EZ34+FA34</f>
        <v>0</v>
      </c>
      <c r="FC34" s="20" t="n">
        <f aca="false">ES34-FA34+EW34*IF(Slot14_SpendLike=1,EY34-EZ34,IF(Slot14_PotFree=1,EY34,0))</f>
        <v>228421.250235171</v>
      </c>
      <c r="FD34" s="20" t="n">
        <f aca="false">ET34+EW34*Slot14_BufPot*EY34</f>
        <v>19815.4789249891</v>
      </c>
      <c r="FE34" s="20" t="n">
        <f aca="false">IF(AND(EW34=1,Slot14_IsMfree=1),IF(FB34&gt;=Slot14_Cost-1,0,MAX(0,EU34-FB34)),EU34)</f>
        <v>0</v>
      </c>
      <c r="FF34" s="20" t="n">
        <f aca="false">EW34*(Slot14_Cost-FB34)</f>
        <v>0</v>
      </c>
      <c r="FG34" s="20" t="n">
        <f aca="false">IF(AND(Slot15_On=1,D34=Slot15_Age),1,0)</f>
        <v>0</v>
      </c>
      <c r="FH34" s="20" t="n">
        <f aca="false">IF(AND(Slot15_On=1,Slot15_Age&gt;D34),1,0)</f>
        <v>0</v>
      </c>
      <c r="FI34" s="20" t="n">
        <f aca="false">SQ33</f>
        <v>0</v>
      </c>
      <c r="FJ34" s="20" t="n">
        <f aca="false">FG34*MIN(Slot15_Cost,FI34)</f>
        <v>0</v>
      </c>
      <c r="FK34" s="20" t="n">
        <f aca="false">FG34*Slot15_SpendLike*MIN(Slot15_Cost-FJ34,FC34)</f>
        <v>0</v>
      </c>
      <c r="FL34" s="20" t="n">
        <f aca="false">FJ34+FK34</f>
        <v>0</v>
      </c>
      <c r="FM34" s="20" t="n">
        <f aca="false">FC34-FK34+FG34*IF(Slot15_SpendLike=1,FI34-FJ34,IF(Slot15_PotFree=1,FI34,0))</f>
        <v>228421.250235171</v>
      </c>
      <c r="FN34" s="20" t="n">
        <f aca="false">FD34+FG34*Slot15_BufPot*FI34</f>
        <v>19815.4789249891</v>
      </c>
      <c r="FO34" s="20" t="n">
        <f aca="false">IF(AND(FG34=1,Slot15_IsMfree=1),IF(FL34&gt;=Slot15_Cost-1,0,MAX(0,FE34-FL34)),FE34)</f>
        <v>0</v>
      </c>
      <c r="FP34" s="20" t="n">
        <f aca="false">FG34*(Slot15_Cost-FL34)</f>
        <v>0</v>
      </c>
      <c r="FQ34" s="20" t="n">
        <f aca="false">IF(AND(Slot16_On=1,D34=Slot16_Age),1,0)</f>
        <v>0</v>
      </c>
      <c r="FR34" s="20" t="n">
        <f aca="false">IF(AND(Slot16_On=1,Slot16_Age&gt;D34),1,0)</f>
        <v>0</v>
      </c>
      <c r="FS34" s="20" t="n">
        <f aca="false">SU33</f>
        <v>0</v>
      </c>
      <c r="FT34" s="20" t="n">
        <f aca="false">FQ34*MIN(Slot16_Cost,FS34)</f>
        <v>0</v>
      </c>
      <c r="FU34" s="20" t="n">
        <f aca="false">FQ34*Slot16_SpendLike*MIN(Slot16_Cost-FT34,FM34)</f>
        <v>0</v>
      </c>
      <c r="FV34" s="20" t="n">
        <f aca="false">FT34+FU34</f>
        <v>0</v>
      </c>
      <c r="FW34" s="20" t="n">
        <f aca="false">FM34-FU34+FQ34*IF(Slot16_SpendLike=1,FS34-FT34,IF(Slot16_PotFree=1,FS34,0))</f>
        <v>228421.250235171</v>
      </c>
      <c r="FX34" s="20" t="n">
        <f aca="false">FN34+FQ34*Slot16_BufPot*FS34</f>
        <v>19815.4789249891</v>
      </c>
      <c r="FY34" s="20" t="n">
        <f aca="false">IF(AND(FQ34=1,Slot16_IsMfree=1),IF(FV34&gt;=Slot16_Cost-1,0,MAX(0,FO34-FV34)),FO34)</f>
        <v>0</v>
      </c>
      <c r="FZ34" s="20" t="n">
        <f aca="false">FQ34*(Slot16_Cost-FV34)</f>
        <v>0</v>
      </c>
      <c r="GA34" s="20" t="n">
        <f aca="false">IF(AND(Slot17_On=1,D34=Slot17_Age),1,0)</f>
        <v>0</v>
      </c>
      <c r="GB34" s="20" t="n">
        <f aca="false">IF(AND(Slot17_On=1,Slot17_Age&gt;D34),1,0)</f>
        <v>0</v>
      </c>
      <c r="GC34" s="20" t="n">
        <f aca="false">SY33</f>
        <v>0</v>
      </c>
      <c r="GD34" s="20" t="n">
        <f aca="false">GA34*MIN(Slot17_Cost,GC34)</f>
        <v>0</v>
      </c>
      <c r="GE34" s="20" t="n">
        <f aca="false">GA34*Slot17_SpendLike*MIN(Slot17_Cost-GD34,FW34)</f>
        <v>0</v>
      </c>
      <c r="GF34" s="20" t="n">
        <f aca="false">GD34+GE34</f>
        <v>0</v>
      </c>
      <c r="GG34" s="20" t="n">
        <f aca="false">FW34-GE34+GA34*IF(Slot17_SpendLike=1,GC34-GD34,IF(Slot17_PotFree=1,GC34,0))</f>
        <v>228421.250235171</v>
      </c>
      <c r="GH34" s="20" t="n">
        <f aca="false">FX34+GA34*Slot17_BufPot*GC34</f>
        <v>19815.4789249891</v>
      </c>
      <c r="GI34" s="20" t="n">
        <f aca="false">IF(AND(GA34=1,Slot17_IsMfree=1),IF(GF34&gt;=Slot17_Cost-1,0,MAX(0,FY34-GF34)),FY34)</f>
        <v>0</v>
      </c>
      <c r="GJ34" s="20" t="n">
        <f aca="false">GA34*(Slot17_Cost-GF34)</f>
        <v>0</v>
      </c>
      <c r="GK34" s="20" t="n">
        <f aca="false">IF(AND(Slot18_On=1,D34=Slot18_Age),1,0)</f>
        <v>0</v>
      </c>
      <c r="GL34" s="20" t="n">
        <f aca="false">IF(AND(Slot18_On=1,Slot18_Age&gt;D34),1,0)</f>
        <v>0</v>
      </c>
      <c r="GM34" s="20" t="n">
        <f aca="false">TC33</f>
        <v>0</v>
      </c>
      <c r="GN34" s="20" t="n">
        <f aca="false">GK34*MIN(Slot18_Cost,GM34)</f>
        <v>0</v>
      </c>
      <c r="GO34" s="20" t="n">
        <f aca="false">GK34*Slot18_SpendLike*MIN(Slot18_Cost-GN34,GG34)</f>
        <v>0</v>
      </c>
      <c r="GP34" s="20" t="n">
        <f aca="false">GN34+GO34</f>
        <v>0</v>
      </c>
      <c r="GQ34" s="20" t="n">
        <f aca="false">GG34-GO34+GK34*IF(Slot18_SpendLike=1,GM34-GN34,IF(Slot18_PotFree=1,GM34,0))</f>
        <v>228421.250235171</v>
      </c>
      <c r="GR34" s="20" t="n">
        <f aca="false">GH34+GK34*Slot18_BufPot*GM34</f>
        <v>19815.4789249891</v>
      </c>
      <c r="GS34" s="20" t="n">
        <f aca="false">IF(AND(GK34=1,Slot18_IsMfree=1),IF(GP34&gt;=Slot18_Cost-1,0,MAX(0,GI34-GP34)),GI34)</f>
        <v>0</v>
      </c>
      <c r="GT34" s="20" t="n">
        <f aca="false">GK34*(Slot18_Cost-GP34)</f>
        <v>0</v>
      </c>
      <c r="GU34" s="20" t="n">
        <f aca="false">IF(AND(Slot19_On=1,D34=Slot19_Age),1,0)</f>
        <v>0</v>
      </c>
      <c r="GV34" s="20" t="n">
        <f aca="false">IF(AND(Slot19_On=1,Slot19_Age&gt;D34),1,0)</f>
        <v>0</v>
      </c>
      <c r="GW34" s="20" t="n">
        <f aca="false">TG33</f>
        <v>0</v>
      </c>
      <c r="GX34" s="20" t="n">
        <f aca="false">GU34*MIN(Slot19_Cost,GW34)</f>
        <v>0</v>
      </c>
      <c r="GY34" s="20" t="n">
        <f aca="false">GU34*Slot19_SpendLike*MIN(Slot19_Cost-GX34,GQ34)</f>
        <v>0</v>
      </c>
      <c r="GZ34" s="20" t="n">
        <f aca="false">GX34+GY34</f>
        <v>0</v>
      </c>
      <c r="HA34" s="20" t="n">
        <f aca="false">GQ34-GY34+GU34*IF(Slot19_SpendLike=1,GW34-GX34,IF(Slot19_PotFree=1,GW34,0))</f>
        <v>228421.250235171</v>
      </c>
      <c r="HB34" s="20" t="n">
        <f aca="false">GR34+GU34*Slot19_BufPot*GW34</f>
        <v>19815.4789249891</v>
      </c>
      <c r="HC34" s="20" t="n">
        <f aca="false">IF(AND(GU34=1,Slot19_IsMfree=1),IF(GZ34&gt;=Slot19_Cost-1,0,MAX(0,GS34-GZ34)),GS34)</f>
        <v>0</v>
      </c>
      <c r="HD34" s="20" t="n">
        <f aca="false">GU34*(Slot19_Cost-GZ34)</f>
        <v>0</v>
      </c>
      <c r="HE34" s="20" t="n">
        <f aca="false">IF(AND(Slot20_On=1,D34=Slot20_Age),1,0)</f>
        <v>0</v>
      </c>
      <c r="HF34" s="20" t="n">
        <f aca="false">IF(AND(Slot20_On=1,Slot20_Age&gt;D34),1,0)</f>
        <v>0</v>
      </c>
      <c r="HG34" s="20" t="n">
        <f aca="false">TK33</f>
        <v>0</v>
      </c>
      <c r="HH34" s="20" t="n">
        <f aca="false">HE34*MIN(Slot20_Cost,HG34)</f>
        <v>0</v>
      </c>
      <c r="HI34" s="20" t="n">
        <f aca="false">HE34*Slot20_SpendLike*MIN(Slot20_Cost-HH34,HA34)</f>
        <v>0</v>
      </c>
      <c r="HJ34" s="20" t="n">
        <f aca="false">HH34+HI34</f>
        <v>0</v>
      </c>
      <c r="HK34" s="20" t="n">
        <f aca="false">HA34-HI34+HE34*IF(Slot20_SpendLike=1,HG34-HH34,IF(Slot20_PotFree=1,HG34,0))</f>
        <v>228421.250235171</v>
      </c>
      <c r="HL34" s="20" t="n">
        <f aca="false">HB34+HE34*Slot20_BufPot*HG34</f>
        <v>19815.4789249891</v>
      </c>
      <c r="HM34" s="20" t="n">
        <f aca="false">IF(AND(HE34=1,Slot20_IsMfree=1),IF(HJ34&gt;=Slot20_Cost-1,0,MAX(0,HC34-HJ34)),HC34)</f>
        <v>0</v>
      </c>
      <c r="HN34" s="20" t="n">
        <f aca="false">HE34*(Slot20_Cost-HJ34)</f>
        <v>0</v>
      </c>
      <c r="HO34" s="20" t="n">
        <f aca="false">V34*Slot1_SpendLike*AA34+AG34*Slot2_SpendLike*AL34+AQ34*Slot3_SpendLike*AV34+BA34*Slot4_SpendLike*BF34+BK34*Slot5_SpendLike*BP34+BU34*Slot6_SpendLike*BZ34+CE34*Slot7_SpendLike*CJ34+CO34*Slot8_SpendLike*CT34+CY34*Slot9_SpendLike*DD34+DI34*Slot10_SpendLike*DN34+DS34*Slot11_SpendLike*DX34+EC34*Slot12_SpendLike*EH34+EM34*Slot13_SpendLike*ER34+EW34*Slot14_SpendLike*FB34+FG34*Slot15_SpendLike*FL34+FQ34*Slot16_SpendLike*FV34+GA34*Slot17_SpendLike*GF34+GK34*Slot18_SpendLike*GP34+GU34*Slot19_SpendLike*GZ34+HE34*Slot20_SpendLike*HJ34</f>
        <v>0</v>
      </c>
      <c r="HP34" s="20" t="n">
        <f aca="false">AE34+AP34+AZ34+BJ34+BT34+CD34+CN34+CX34+DH34+DR34+EB34+EL34+EV34+FF34+FP34+FZ34+GJ34+GT34+HD34+HN34</f>
        <v>0</v>
      </c>
      <c r="HQ34" s="20" t="n">
        <f aca="false">V34*Slot1_Cost+AG34*Slot2_Cost+AQ34*Slot3_Cost+BA34*Slot4_Cost+BK34*Slot5_Cost+BU34*Slot6_Cost+CE34*Slot7_Cost+CO34*Slot8_Cost+CY34*Slot9_Cost+DI34*Slot10_Cost+DS34*Slot11_Cost+EC34*Slot12_Cost+EM34*Slot13_Cost+EW34*Slot14_Cost+FG34*Slot15_Cost+FQ34*Slot16_Cost+GA34*Slot17_Cost+GK34*Slot18_Cost+GU34*Slot19_Cost+HE34*Slot20_Cost</f>
        <v>0</v>
      </c>
      <c r="HR34" s="20" t="n">
        <f aca="false">HM34</f>
        <v>0</v>
      </c>
      <c r="HS34" s="20" t="n">
        <f aca="false">H34-I34-S34</f>
        <v>-21353.8537723578</v>
      </c>
      <c r="HT34" s="20" t="n">
        <f aca="false">IF(B34=0,IF(AND(Has_q6=1,In_q6=4),PR_ShareVaries*(MAX(0,HS34)/12),MIN(IF(Has_q6=1,CHOOSE(In_q6+1,PR_SaveB1,PR_SaveB2,PR_SaveB3,PR_SaveB4,0),AS_NoAnswer),AS_SaveShare*(MAX(0,HS34)/12))),HT33)</f>
        <v>62.3316893520437</v>
      </c>
      <c r="HU34" s="20" t="n">
        <f aca="false">IF(HS34&gt;=0,1,0)</f>
        <v>0</v>
      </c>
      <c r="HV34" s="20" t="n">
        <f aca="false">MAX(0,HS34/12/F34)</f>
        <v>0</v>
      </c>
      <c r="HW34" s="20" t="n">
        <f aca="false">IF(AND(Has_q6=1,In_q6=4),PR_ShareVaries*(HV34),MIN(IF(Has_q6=1,CHOOSE(In_q6+1,PR_SaveB1,PR_SaveB2,PR_SaveB3,PR_SaveB4,0),AS_NoAnswer),AS_SaveShare*(HV34)))</f>
        <v>0</v>
      </c>
      <c r="HX34" s="20" t="n">
        <f aca="false">IF(Has_saveM=1,IF(In_saveUp="Yes",1,IF(In_saveUp="No",0,IF(In_saveM&gt;=HT34-0.5,1,0))),0)</f>
        <v>0</v>
      </c>
      <c r="HY34" s="20" t="n">
        <f aca="false">IF(Has_saveM=1,MIN(HV34,IF(HX34=1,MAX(In_saveM,HW34),MIN(In_saveM,HW34))),HW34)</f>
        <v>0</v>
      </c>
      <c r="HZ34" s="20" t="n">
        <f aca="false">IF(G34=1,HY34*12*F34,0)</f>
        <v>0</v>
      </c>
      <c r="IA34" s="20" t="n">
        <f aca="false">MAX(0,HZ34+IF(AND(WI_Retire=0,WI_M&lt;0,G34=1),WI_M*12*F34,0))</f>
        <v>0</v>
      </c>
      <c r="IB34" s="20" t="n">
        <f aca="false">Slot1_IsWG*W34+Slot2_IsWG*AH34+Slot3_IsWG*AR34+Slot4_IsWG*BB34+Slot5_IsWG*BL34+Slot6_IsWG*BV34+Slot7_IsWG*CF34+Slot8_IsWG*CP34+Slot9_IsWG*CZ34+Slot10_IsWG*DJ34+Slot11_IsWG*DT34+Slot12_IsWG*ED34+Slot13_IsWG*EN34+Slot14_IsWG*EX34+Slot15_IsWG*FH34+Slot16_IsWG*FR34+Slot17_IsWG*GB34+Slot18_IsWG*GL34+Slot19_IsWG*GV34+Slot20_IsWG*HF34</f>
        <v>0</v>
      </c>
      <c r="IC34" s="20" t="n">
        <f aca="false">IF(AND(WI_Retire=0,WI_M&gt;0,G34=1,IB34&gt;=1),WI_M*12*F34,0)</f>
        <v>0</v>
      </c>
      <c r="ID34" s="20" t="n">
        <f aca="false">IF(HU34=1,MIN(IA34,HS34),0)</f>
        <v>0</v>
      </c>
      <c r="IE34" s="20" t="n">
        <f aca="false">IF(HU34=1,MIN(IC34,HS34-ID34),0)</f>
        <v>0</v>
      </c>
      <c r="IF34" s="20" t="n">
        <f aca="false">IF(W34=1,IF(ABS((1+AS_Wage)/(1+Slot1_Rate)-1)&lt;0.000000000001,(Slot1_Age-D34)*(1+Slot1_Rate)^(Slot1_Age-D34),(1+Slot1_Rate)^(Slot1_Age-D34)*(1-((1+AS_Wage)/(1+Slot1_Rate))^(Slot1_Age-D34))/(1-(1+AS_Wage)/(1+Slot1_Rate))),1)</f>
        <v>1</v>
      </c>
      <c r="IG34" s="20" t="n">
        <f aca="false">IF(AND(HU34=1,IE34&gt;0,Slot1_IsWG=1,W34=1),MAX(0,(Slot1_Cost-X34*(1+Slot1_Rate)^(Slot1_Age-D34))/IF34),0)</f>
        <v>0</v>
      </c>
      <c r="IH34" s="20" t="n">
        <f aca="false">IF(AND(HU34=1,IE34&gt;0,Slot1_IsWG=1,W34=1),MIN(IE34,IG34),0)</f>
        <v>0</v>
      </c>
      <c r="II34" s="20" t="n">
        <f aca="false">X34+IH34</f>
        <v>0</v>
      </c>
      <c r="IJ34" s="20" t="n">
        <f aca="false">IF(W34=1,MAX(0,(Slot1_Cost-II34*(1+Slot1_Rate)^(Slot1_Age-D34))/IF34),0)</f>
        <v>0</v>
      </c>
      <c r="IK34" s="20" t="n">
        <f aca="false">IF(W34=1,MAX(0,(Slot1_Cost-X34*(1+Slot1_Rate)^(Slot1_Age-D34))/IF34),0)</f>
        <v>0</v>
      </c>
      <c r="IL34" s="20" t="n">
        <f aca="false">IF(AND(HU34=1,W34=1),MIN(ID34,IJ34),0)</f>
        <v>0</v>
      </c>
      <c r="IM34" s="20" t="n">
        <f aca="false">ID34-IL34</f>
        <v>0</v>
      </c>
      <c r="IN34" s="20" t="n">
        <f aca="false">IF(AH34=1,IF(ABS((1+AS_Wage)/(1+Slot2_Rate)-1)&lt;0.000000000001,(Slot2_Age-D34)*(1+Slot2_Rate)^(Slot2_Age-D34),(1+Slot2_Rate)^(Slot2_Age-D34)*(1-((1+AS_Wage)/(1+Slot2_Rate))^(Slot2_Age-D34))/(1-(1+AS_Wage)/(1+Slot2_Rate))),1)</f>
        <v>1</v>
      </c>
      <c r="IO34" s="20" t="n">
        <f aca="false">IF(AND(HU34=1,IE34&gt;0,Slot2_IsWG=1,AH34=1),MAX(0,(Slot2_Cost-AI34*(1+Slot2_Rate)^(Slot2_Age-D34))/IN34),0)</f>
        <v>0</v>
      </c>
      <c r="IP34" s="20" t="n">
        <f aca="false">IF(AND(HU34=1,IE34&gt;0,Slot2_IsWG=1,AH34=1),MIN(IE34,IO34),0)</f>
        <v>0</v>
      </c>
      <c r="IQ34" s="20" t="n">
        <f aca="false">AI34+IP34</f>
        <v>0</v>
      </c>
      <c r="IR34" s="20" t="n">
        <f aca="false">IF(AH34=1,MAX(0,(Slot2_Cost-IQ34*(1+Slot2_Rate)^(Slot2_Age-D34))/IN34),0)</f>
        <v>0</v>
      </c>
      <c r="IS34" s="20" t="n">
        <f aca="false">IF(AH34=1,MAX(0,(Slot2_Cost-AI34*(1+Slot2_Rate)^(Slot2_Age-D34))/IN34),0)</f>
        <v>0</v>
      </c>
      <c r="IT34" s="20" t="n">
        <f aca="false">IF(AND(HU34=1,AH34=1),MIN(IM34,IR34),0)</f>
        <v>0</v>
      </c>
      <c r="IU34" s="20" t="n">
        <f aca="false">IM34-IT34</f>
        <v>0</v>
      </c>
      <c r="IV34" s="20" t="n">
        <f aca="false">IF(AR34=1,IF(ABS((1+AS_Wage)/(1+Slot3_Rate)-1)&lt;0.000000000001,(Slot3_Age-D34)*(1+Slot3_Rate)^(Slot3_Age-D34),(1+Slot3_Rate)^(Slot3_Age-D34)*(1-((1+AS_Wage)/(1+Slot3_Rate))^(Slot3_Age-D34))/(1-(1+AS_Wage)/(1+Slot3_Rate))),1)</f>
        <v>1</v>
      </c>
      <c r="IW34" s="20" t="n">
        <f aca="false">IF(AND(HU34=1,IE34&gt;0,Slot3_IsWG=1,AR34=1),MAX(0,(Slot3_Cost-AS34*(1+Slot3_Rate)^(Slot3_Age-D34))/IV34),0)</f>
        <v>0</v>
      </c>
      <c r="IX34" s="20" t="n">
        <f aca="false">IF(AND(HU34=1,IE34&gt;0,Slot3_IsWG=1,AR34=1),MIN(IE34,IW34),0)</f>
        <v>0</v>
      </c>
      <c r="IY34" s="20" t="n">
        <f aca="false">AS34+IX34</f>
        <v>0</v>
      </c>
      <c r="IZ34" s="20" t="n">
        <f aca="false">IF(AR34=1,MAX(0,(Slot3_Cost-IY34*(1+Slot3_Rate)^(Slot3_Age-D34))/IV34),0)</f>
        <v>0</v>
      </c>
      <c r="JA34" s="20" t="n">
        <f aca="false">IF(AR34=1,MAX(0,(Slot3_Cost-AS34*(1+Slot3_Rate)^(Slot3_Age-D34))/IV34),0)</f>
        <v>0</v>
      </c>
      <c r="JB34" s="20" t="n">
        <f aca="false">IF(AND(HU34=1,AR34=1),MIN(IU34,IZ34),0)</f>
        <v>0</v>
      </c>
      <c r="JC34" s="20" t="n">
        <f aca="false">IU34-JB34</f>
        <v>0</v>
      </c>
      <c r="JD34" s="20" t="n">
        <f aca="false">IF(BB34=1,IF(ABS((1+AS_Wage)/(1+Slot4_Rate)-1)&lt;0.000000000001,(Slot4_Age-D34)*(1+Slot4_Rate)^(Slot4_Age-D34),(1+Slot4_Rate)^(Slot4_Age-D34)*(1-((1+AS_Wage)/(1+Slot4_Rate))^(Slot4_Age-D34))/(1-(1+AS_Wage)/(1+Slot4_Rate))),1)</f>
        <v>1</v>
      </c>
      <c r="JE34" s="20" t="n">
        <f aca="false">IF(AND(HU34=1,IE34&gt;0,Slot4_IsWG=1,BB34=1),MAX(0,(Slot4_Cost-BC34*(1+Slot4_Rate)^(Slot4_Age-D34))/JD34),0)</f>
        <v>0</v>
      </c>
      <c r="JF34" s="20" t="n">
        <f aca="false">IF(AND(HU34=1,IE34&gt;0,Slot4_IsWG=1,BB34=1),MIN(IE34,JE34),0)</f>
        <v>0</v>
      </c>
      <c r="JG34" s="20" t="n">
        <f aca="false">BC34+JF34</f>
        <v>0</v>
      </c>
      <c r="JH34" s="20" t="n">
        <f aca="false">IF(BB34=1,MAX(0,(Slot4_Cost-JG34*(1+Slot4_Rate)^(Slot4_Age-D34))/JD34),0)</f>
        <v>0</v>
      </c>
      <c r="JI34" s="20" t="n">
        <f aca="false">IF(BB34=1,MAX(0,(Slot4_Cost-BC34*(1+Slot4_Rate)^(Slot4_Age-D34))/JD34),0)</f>
        <v>0</v>
      </c>
      <c r="JJ34" s="20" t="n">
        <f aca="false">IF(AND(HU34=1,BB34=1),MIN(JC34,JH34),0)</f>
        <v>0</v>
      </c>
      <c r="JK34" s="20" t="n">
        <f aca="false">JC34-JJ34</f>
        <v>0</v>
      </c>
      <c r="JL34" s="20" t="n">
        <f aca="false">IF(BL34=1,IF(ABS((1+AS_Wage)/(1+Slot5_Rate)-1)&lt;0.000000000001,(Slot5_Age-D34)*(1+Slot5_Rate)^(Slot5_Age-D34),(1+Slot5_Rate)^(Slot5_Age-D34)*(1-((1+AS_Wage)/(1+Slot5_Rate))^(Slot5_Age-D34))/(1-(1+AS_Wage)/(1+Slot5_Rate))),1)</f>
        <v>1</v>
      </c>
      <c r="JM34" s="20" t="n">
        <f aca="false">IF(AND(HU34=1,IE34&gt;0,Slot5_IsWG=1,BL34=1),MAX(0,(Slot5_Cost-BM34*(1+Slot5_Rate)^(Slot5_Age-D34))/JL34),0)</f>
        <v>0</v>
      </c>
      <c r="JN34" s="20" t="n">
        <f aca="false">IF(AND(HU34=1,IE34&gt;0,Slot5_IsWG=1,BL34=1),MIN(IE34,JM34),0)</f>
        <v>0</v>
      </c>
      <c r="JO34" s="20" t="n">
        <f aca="false">BM34+JN34</f>
        <v>0</v>
      </c>
      <c r="JP34" s="20" t="n">
        <f aca="false">IF(BL34=1,MAX(0,(Slot5_Cost-JO34*(1+Slot5_Rate)^(Slot5_Age-D34))/JL34),0)</f>
        <v>0</v>
      </c>
      <c r="JQ34" s="20" t="n">
        <f aca="false">IF(BL34=1,MAX(0,(Slot5_Cost-BM34*(1+Slot5_Rate)^(Slot5_Age-D34))/JL34),0)</f>
        <v>0</v>
      </c>
      <c r="JR34" s="20" t="n">
        <f aca="false">IF(AND(HU34=1,BL34=1),MIN(JK34,JP34),0)</f>
        <v>0</v>
      </c>
      <c r="JS34" s="20" t="n">
        <f aca="false">JK34-JR34</f>
        <v>0</v>
      </c>
      <c r="JT34" s="20" t="n">
        <f aca="false">IF(BV34=1,IF(ABS((1+AS_Wage)/(1+Slot6_Rate)-1)&lt;0.000000000001,(Slot6_Age-D34)*(1+Slot6_Rate)^(Slot6_Age-D34),(1+Slot6_Rate)^(Slot6_Age-D34)*(1-((1+AS_Wage)/(1+Slot6_Rate))^(Slot6_Age-D34))/(1-(1+AS_Wage)/(1+Slot6_Rate))),1)</f>
        <v>1</v>
      </c>
      <c r="JU34" s="20" t="n">
        <f aca="false">IF(AND(HU34=1,IE34&gt;0,Slot6_IsWG=1,BV34=1),MAX(0,(Slot6_Cost-BW34*(1+Slot6_Rate)^(Slot6_Age-D34))/JT34),0)</f>
        <v>0</v>
      </c>
      <c r="JV34" s="20" t="n">
        <f aca="false">IF(AND(HU34=1,IE34&gt;0,Slot6_IsWG=1,BV34=1),MIN(IE34,JU34),0)</f>
        <v>0</v>
      </c>
      <c r="JW34" s="20" t="n">
        <f aca="false">BW34+JV34</f>
        <v>0</v>
      </c>
      <c r="JX34" s="20" t="n">
        <f aca="false">IF(BV34=1,MAX(0,(Slot6_Cost-JW34*(1+Slot6_Rate)^(Slot6_Age-D34))/JT34),0)</f>
        <v>0</v>
      </c>
      <c r="JY34" s="20" t="n">
        <f aca="false">IF(BV34=1,MAX(0,(Slot6_Cost-BW34*(1+Slot6_Rate)^(Slot6_Age-D34))/JT34),0)</f>
        <v>0</v>
      </c>
      <c r="JZ34" s="20" t="n">
        <f aca="false">IF(AND(HU34=1,BV34=1),MIN(JS34,JX34),0)</f>
        <v>0</v>
      </c>
      <c r="KA34" s="20" t="n">
        <f aca="false">JS34-JZ34</f>
        <v>0</v>
      </c>
      <c r="KB34" s="20" t="n">
        <f aca="false">IF(CF34=1,IF(ABS((1+AS_Wage)/(1+Slot7_Rate)-1)&lt;0.000000000001,(Slot7_Age-D34)*(1+Slot7_Rate)^(Slot7_Age-D34),(1+Slot7_Rate)^(Slot7_Age-D34)*(1-((1+AS_Wage)/(1+Slot7_Rate))^(Slot7_Age-D34))/(1-(1+AS_Wage)/(1+Slot7_Rate))),1)</f>
        <v>1</v>
      </c>
      <c r="KC34" s="20" t="n">
        <f aca="false">IF(AND(HU34=1,IE34&gt;0,Slot7_IsWG=1,CF34=1),MAX(0,(Slot7_Cost-CG34*(1+Slot7_Rate)^(Slot7_Age-D34))/KB34),0)</f>
        <v>0</v>
      </c>
      <c r="KD34" s="20" t="n">
        <f aca="false">IF(AND(HU34=1,IE34&gt;0,Slot7_IsWG=1,CF34=1),MIN(IE34,KC34),0)</f>
        <v>0</v>
      </c>
      <c r="KE34" s="20" t="n">
        <f aca="false">CG34+KD34</f>
        <v>0</v>
      </c>
      <c r="KF34" s="20" t="n">
        <f aca="false">IF(CF34=1,MAX(0,(Slot7_Cost-KE34*(1+Slot7_Rate)^(Slot7_Age-D34))/KB34),0)</f>
        <v>0</v>
      </c>
      <c r="KG34" s="20" t="n">
        <f aca="false">IF(CF34=1,MAX(0,(Slot7_Cost-CG34*(1+Slot7_Rate)^(Slot7_Age-D34))/KB34),0)</f>
        <v>0</v>
      </c>
      <c r="KH34" s="20" t="n">
        <f aca="false">IF(AND(HU34=1,CF34=1),MIN(KA34,KF34),0)</f>
        <v>0</v>
      </c>
      <c r="KI34" s="20" t="n">
        <f aca="false">KA34-KH34</f>
        <v>0</v>
      </c>
      <c r="KJ34" s="20" t="n">
        <f aca="false">IF(CP34=1,IF(ABS((1+AS_Wage)/(1+Slot8_Rate)-1)&lt;0.000000000001,(Slot8_Age-D34)*(1+Slot8_Rate)^(Slot8_Age-D34),(1+Slot8_Rate)^(Slot8_Age-D34)*(1-((1+AS_Wage)/(1+Slot8_Rate))^(Slot8_Age-D34))/(1-(1+AS_Wage)/(1+Slot8_Rate))),1)</f>
        <v>1</v>
      </c>
      <c r="KK34" s="20" t="n">
        <f aca="false">IF(AND(HU34=1,IE34&gt;0,Slot8_IsWG=1,CP34=1),MAX(0,(Slot8_Cost-CQ34*(1+Slot8_Rate)^(Slot8_Age-D34))/KJ34),0)</f>
        <v>0</v>
      </c>
      <c r="KL34" s="20" t="n">
        <f aca="false">IF(AND(HU34=1,IE34&gt;0,Slot8_IsWG=1,CP34=1),MIN(IE34,KK34),0)</f>
        <v>0</v>
      </c>
      <c r="KM34" s="20" t="n">
        <f aca="false">CQ34+KL34</f>
        <v>0</v>
      </c>
      <c r="KN34" s="20" t="n">
        <f aca="false">IF(CP34=1,MAX(0,(Slot8_Cost-KM34*(1+Slot8_Rate)^(Slot8_Age-D34))/KJ34),0)</f>
        <v>0</v>
      </c>
      <c r="KO34" s="20" t="n">
        <f aca="false">IF(CP34=1,MAX(0,(Slot8_Cost-CQ34*(1+Slot8_Rate)^(Slot8_Age-D34))/KJ34),0)</f>
        <v>0</v>
      </c>
      <c r="KP34" s="20" t="n">
        <f aca="false">IF(AND(HU34=1,CP34=1),MIN(KI34,KN34),0)</f>
        <v>0</v>
      </c>
      <c r="KQ34" s="20" t="n">
        <f aca="false">KI34-KP34</f>
        <v>0</v>
      </c>
      <c r="KR34" s="20" t="n">
        <f aca="false">IF(CZ34=1,IF(ABS((1+AS_Wage)/(1+Slot9_Rate)-1)&lt;0.000000000001,(Slot9_Age-D34)*(1+Slot9_Rate)^(Slot9_Age-D34),(1+Slot9_Rate)^(Slot9_Age-D34)*(1-((1+AS_Wage)/(1+Slot9_Rate))^(Slot9_Age-D34))/(1-(1+AS_Wage)/(1+Slot9_Rate))),1)</f>
        <v>1</v>
      </c>
      <c r="KS34" s="20" t="n">
        <f aca="false">IF(AND(HU34=1,IE34&gt;0,Slot9_IsWG=1,CZ34=1),MAX(0,(Slot9_Cost-DA34*(1+Slot9_Rate)^(Slot9_Age-D34))/KR34),0)</f>
        <v>0</v>
      </c>
      <c r="KT34" s="20" t="n">
        <f aca="false">IF(AND(HU34=1,IE34&gt;0,Slot9_IsWG=1,CZ34=1),MIN(IE34,KS34),0)</f>
        <v>0</v>
      </c>
      <c r="KU34" s="20" t="n">
        <f aca="false">DA34+KT34</f>
        <v>0</v>
      </c>
      <c r="KV34" s="20" t="n">
        <f aca="false">IF(CZ34=1,MAX(0,(Slot9_Cost-KU34*(1+Slot9_Rate)^(Slot9_Age-D34))/KR34),0)</f>
        <v>0</v>
      </c>
      <c r="KW34" s="20" t="n">
        <f aca="false">IF(CZ34=1,MAX(0,(Slot9_Cost-DA34*(1+Slot9_Rate)^(Slot9_Age-D34))/KR34),0)</f>
        <v>0</v>
      </c>
      <c r="KX34" s="20" t="n">
        <f aca="false">IF(AND(HU34=1,CZ34=1),MIN(KQ34,KV34),0)</f>
        <v>0</v>
      </c>
      <c r="KY34" s="20" t="n">
        <f aca="false">KQ34-KX34</f>
        <v>0</v>
      </c>
      <c r="KZ34" s="20" t="n">
        <f aca="false">IF(DJ34=1,IF(ABS((1+AS_Wage)/(1+Slot10_Rate)-1)&lt;0.000000000001,(Slot10_Age-D34)*(1+Slot10_Rate)^(Slot10_Age-D34),(1+Slot10_Rate)^(Slot10_Age-D34)*(1-((1+AS_Wage)/(1+Slot10_Rate))^(Slot10_Age-D34))/(1-(1+AS_Wage)/(1+Slot10_Rate))),1)</f>
        <v>1</v>
      </c>
      <c r="LA34" s="20" t="n">
        <f aca="false">IF(AND(HU34=1,IE34&gt;0,Slot10_IsWG=1,DJ34=1),MAX(0,(Slot10_Cost-DK34*(1+Slot10_Rate)^(Slot10_Age-D34))/KZ34),0)</f>
        <v>0</v>
      </c>
      <c r="LB34" s="20" t="n">
        <f aca="false">IF(AND(HU34=1,IE34&gt;0,Slot10_IsWG=1,DJ34=1),MIN(IE34,LA34),0)</f>
        <v>0</v>
      </c>
      <c r="LC34" s="20" t="n">
        <f aca="false">DK34+LB34</f>
        <v>0</v>
      </c>
      <c r="LD34" s="20" t="n">
        <f aca="false">IF(DJ34=1,MAX(0,(Slot10_Cost-LC34*(1+Slot10_Rate)^(Slot10_Age-D34))/KZ34),0)</f>
        <v>0</v>
      </c>
      <c r="LE34" s="20" t="n">
        <f aca="false">IF(DJ34=1,MAX(0,(Slot10_Cost-DK34*(1+Slot10_Rate)^(Slot10_Age-D34))/KZ34),0)</f>
        <v>0</v>
      </c>
      <c r="LF34" s="20" t="n">
        <f aca="false">IF(AND(HU34=1,DJ34=1),MIN(KY34,LD34),0)</f>
        <v>0</v>
      </c>
      <c r="LG34" s="20" t="n">
        <f aca="false">KY34-LF34</f>
        <v>0</v>
      </c>
      <c r="LH34" s="20" t="n">
        <f aca="false">IF(DT34=1,IF(ABS((1+AS_Wage)/(1+Slot11_Rate)-1)&lt;0.000000000001,(Slot11_Age-D34)*(1+Slot11_Rate)^(Slot11_Age-D34),(1+Slot11_Rate)^(Slot11_Age-D34)*(1-((1+AS_Wage)/(1+Slot11_Rate))^(Slot11_Age-D34))/(1-(1+AS_Wage)/(1+Slot11_Rate))),1)</f>
        <v>1</v>
      </c>
      <c r="LI34" s="20" t="n">
        <f aca="false">IF(AND(HU34=1,IE34&gt;0,Slot11_IsWG=1,DT34=1),MAX(0,(Slot11_Cost-DU34*(1+Slot11_Rate)^(Slot11_Age-D34))/LH34),0)</f>
        <v>0</v>
      </c>
      <c r="LJ34" s="20" t="n">
        <f aca="false">IF(AND(HU34=1,IE34&gt;0,Slot11_IsWG=1,DT34=1),MIN(IE34,LI34),0)</f>
        <v>0</v>
      </c>
      <c r="LK34" s="20" t="n">
        <f aca="false">DU34+LJ34</f>
        <v>0</v>
      </c>
      <c r="LL34" s="20" t="n">
        <f aca="false">IF(DT34=1,MAX(0,(Slot11_Cost-LK34*(1+Slot11_Rate)^(Slot11_Age-D34))/LH34),0)</f>
        <v>0</v>
      </c>
      <c r="LM34" s="20" t="n">
        <f aca="false">IF(DT34=1,MAX(0,(Slot11_Cost-DU34*(1+Slot11_Rate)^(Slot11_Age-D34))/LH34),0)</f>
        <v>0</v>
      </c>
      <c r="LN34" s="20" t="n">
        <f aca="false">IF(AND(HU34=1,DT34=1),MIN(LG34,LL34),0)</f>
        <v>0</v>
      </c>
      <c r="LO34" s="20" t="n">
        <f aca="false">LG34-LN34</f>
        <v>0</v>
      </c>
      <c r="LP34" s="20" t="n">
        <f aca="false">IF(ED34=1,IF(ABS((1+AS_Wage)/(1+Slot12_Rate)-1)&lt;0.000000000001,(Slot12_Age-D34)*(1+Slot12_Rate)^(Slot12_Age-D34),(1+Slot12_Rate)^(Slot12_Age-D34)*(1-((1+AS_Wage)/(1+Slot12_Rate))^(Slot12_Age-D34))/(1-(1+AS_Wage)/(1+Slot12_Rate))),1)</f>
        <v>1</v>
      </c>
      <c r="LQ34" s="20" t="n">
        <f aca="false">IF(AND(HU34=1,IE34&gt;0,Slot12_IsWG=1,ED34=1),MAX(0,(Slot12_Cost-EE34*(1+Slot12_Rate)^(Slot12_Age-D34))/LP34),0)</f>
        <v>0</v>
      </c>
      <c r="LR34" s="20" t="n">
        <f aca="false">IF(AND(HU34=1,IE34&gt;0,Slot12_IsWG=1,ED34=1),MIN(IE34,LQ34),0)</f>
        <v>0</v>
      </c>
      <c r="LS34" s="20" t="n">
        <f aca="false">EE34+LR34</f>
        <v>0</v>
      </c>
      <c r="LT34" s="20" t="n">
        <f aca="false">IF(ED34=1,MAX(0,(Slot12_Cost-LS34*(1+Slot12_Rate)^(Slot12_Age-D34))/LP34),0)</f>
        <v>0</v>
      </c>
      <c r="LU34" s="20" t="n">
        <f aca="false">IF(ED34=1,MAX(0,(Slot12_Cost-EE34*(1+Slot12_Rate)^(Slot12_Age-D34))/LP34),0)</f>
        <v>0</v>
      </c>
      <c r="LV34" s="20" t="n">
        <f aca="false">IF(AND(HU34=1,ED34=1),MIN(LO34,LT34),0)</f>
        <v>0</v>
      </c>
      <c r="LW34" s="20" t="n">
        <f aca="false">LO34-LV34</f>
        <v>0</v>
      </c>
      <c r="LX34" s="20" t="n">
        <f aca="false">IF(EN34=1,IF(ABS((1+AS_Wage)/(1+Slot13_Rate)-1)&lt;0.000000000001,(Slot13_Age-D34)*(1+Slot13_Rate)^(Slot13_Age-D34),(1+Slot13_Rate)^(Slot13_Age-D34)*(1-((1+AS_Wage)/(1+Slot13_Rate))^(Slot13_Age-D34))/(1-(1+AS_Wage)/(1+Slot13_Rate))),1)</f>
        <v>1</v>
      </c>
      <c r="LY34" s="20" t="n">
        <f aca="false">IF(AND(HU34=1,IE34&gt;0,Slot13_IsWG=1,EN34=1),MAX(0,(Slot13_Cost-EO34*(1+Slot13_Rate)^(Slot13_Age-D34))/LX34),0)</f>
        <v>0</v>
      </c>
      <c r="LZ34" s="20" t="n">
        <f aca="false">IF(AND(HU34=1,IE34&gt;0,Slot13_IsWG=1,EN34=1),MIN(IE34,LY34),0)</f>
        <v>0</v>
      </c>
      <c r="MA34" s="20" t="n">
        <f aca="false">EO34+LZ34</f>
        <v>0</v>
      </c>
      <c r="MB34" s="20" t="n">
        <f aca="false">IF(EN34=1,MAX(0,(Slot13_Cost-MA34*(1+Slot13_Rate)^(Slot13_Age-D34))/LX34),0)</f>
        <v>0</v>
      </c>
      <c r="MC34" s="20" t="n">
        <f aca="false">IF(EN34=1,MAX(0,(Slot13_Cost-EO34*(1+Slot13_Rate)^(Slot13_Age-D34))/LX34),0)</f>
        <v>0</v>
      </c>
      <c r="MD34" s="20" t="n">
        <f aca="false">IF(AND(HU34=1,EN34=1),MIN(LW34,MB34),0)</f>
        <v>0</v>
      </c>
      <c r="ME34" s="20" t="n">
        <f aca="false">LW34-MD34</f>
        <v>0</v>
      </c>
      <c r="MF34" s="20" t="n">
        <f aca="false">IF(EX34=1,IF(ABS((1+AS_Wage)/(1+Slot14_Rate)-1)&lt;0.000000000001,(Slot14_Age-D34)*(1+Slot14_Rate)^(Slot14_Age-D34),(1+Slot14_Rate)^(Slot14_Age-D34)*(1-((1+AS_Wage)/(1+Slot14_Rate))^(Slot14_Age-D34))/(1-(1+AS_Wage)/(1+Slot14_Rate))),1)</f>
        <v>1</v>
      </c>
      <c r="MG34" s="20" t="n">
        <f aca="false">IF(AND(HU34=1,IE34&gt;0,Slot14_IsWG=1,EX34=1),MAX(0,(Slot14_Cost-EY34*(1+Slot14_Rate)^(Slot14_Age-D34))/MF34),0)</f>
        <v>0</v>
      </c>
      <c r="MH34" s="20" t="n">
        <f aca="false">IF(AND(HU34=1,IE34&gt;0,Slot14_IsWG=1,EX34=1),MIN(IE34,MG34),0)</f>
        <v>0</v>
      </c>
      <c r="MI34" s="20" t="n">
        <f aca="false">EY34+MH34</f>
        <v>0</v>
      </c>
      <c r="MJ34" s="20" t="n">
        <f aca="false">IF(EX34=1,MAX(0,(Slot14_Cost-MI34*(1+Slot14_Rate)^(Slot14_Age-D34))/MF34),0)</f>
        <v>0</v>
      </c>
      <c r="MK34" s="20" t="n">
        <f aca="false">IF(EX34=1,MAX(0,(Slot14_Cost-EY34*(1+Slot14_Rate)^(Slot14_Age-D34))/MF34),0)</f>
        <v>0</v>
      </c>
      <c r="ML34" s="20" t="n">
        <f aca="false">IF(AND(HU34=1,EX34=1),MIN(ME34,MJ34),0)</f>
        <v>0</v>
      </c>
      <c r="MM34" s="20" t="n">
        <f aca="false">ME34-ML34</f>
        <v>0</v>
      </c>
      <c r="MN34" s="20" t="n">
        <f aca="false">IF(FH34=1,IF(ABS((1+AS_Wage)/(1+Slot15_Rate)-1)&lt;0.000000000001,(Slot15_Age-D34)*(1+Slot15_Rate)^(Slot15_Age-D34),(1+Slot15_Rate)^(Slot15_Age-D34)*(1-((1+AS_Wage)/(1+Slot15_Rate))^(Slot15_Age-D34))/(1-(1+AS_Wage)/(1+Slot15_Rate))),1)</f>
        <v>1</v>
      </c>
      <c r="MO34" s="20" t="n">
        <f aca="false">IF(AND(HU34=1,IE34&gt;0,Slot15_IsWG=1,FH34=1),MAX(0,(Slot15_Cost-FI34*(1+Slot15_Rate)^(Slot15_Age-D34))/MN34),0)</f>
        <v>0</v>
      </c>
      <c r="MP34" s="20" t="n">
        <f aca="false">IF(AND(HU34=1,IE34&gt;0,Slot15_IsWG=1,FH34=1),MIN(IE34,MO34),0)</f>
        <v>0</v>
      </c>
      <c r="MQ34" s="20" t="n">
        <f aca="false">FI34+MP34</f>
        <v>0</v>
      </c>
      <c r="MR34" s="20" t="n">
        <f aca="false">IF(FH34=1,MAX(0,(Slot15_Cost-MQ34*(1+Slot15_Rate)^(Slot15_Age-D34))/MN34),0)</f>
        <v>0</v>
      </c>
      <c r="MS34" s="20" t="n">
        <f aca="false">IF(FH34=1,MAX(0,(Slot15_Cost-FI34*(1+Slot15_Rate)^(Slot15_Age-D34))/MN34),0)</f>
        <v>0</v>
      </c>
      <c r="MT34" s="20" t="n">
        <f aca="false">IF(AND(HU34=1,FH34=1),MIN(MM34,MR34),0)</f>
        <v>0</v>
      </c>
      <c r="MU34" s="20" t="n">
        <f aca="false">MM34-MT34</f>
        <v>0</v>
      </c>
      <c r="MV34" s="20" t="n">
        <f aca="false">IF(FR34=1,IF(ABS((1+AS_Wage)/(1+Slot16_Rate)-1)&lt;0.000000000001,(Slot16_Age-D34)*(1+Slot16_Rate)^(Slot16_Age-D34),(1+Slot16_Rate)^(Slot16_Age-D34)*(1-((1+AS_Wage)/(1+Slot16_Rate))^(Slot16_Age-D34))/(1-(1+AS_Wage)/(1+Slot16_Rate))),1)</f>
        <v>1</v>
      </c>
      <c r="MW34" s="20" t="n">
        <f aca="false">IF(AND(HU34=1,IE34&gt;0,Slot16_IsWG=1,FR34=1),MAX(0,(Slot16_Cost-FS34*(1+Slot16_Rate)^(Slot16_Age-D34))/MV34),0)</f>
        <v>0</v>
      </c>
      <c r="MX34" s="20" t="n">
        <f aca="false">IF(AND(HU34=1,IE34&gt;0,Slot16_IsWG=1,FR34=1),MIN(IE34,MW34),0)</f>
        <v>0</v>
      </c>
      <c r="MY34" s="20" t="n">
        <f aca="false">FS34+MX34</f>
        <v>0</v>
      </c>
      <c r="MZ34" s="20" t="n">
        <f aca="false">IF(FR34=1,MAX(0,(Slot16_Cost-MY34*(1+Slot16_Rate)^(Slot16_Age-D34))/MV34),0)</f>
        <v>0</v>
      </c>
      <c r="NA34" s="20" t="n">
        <f aca="false">IF(FR34=1,MAX(0,(Slot16_Cost-FS34*(1+Slot16_Rate)^(Slot16_Age-D34))/MV34),0)</f>
        <v>0</v>
      </c>
      <c r="NB34" s="20" t="n">
        <f aca="false">IF(AND(HU34=1,FR34=1),MIN(MU34,MZ34),0)</f>
        <v>0</v>
      </c>
      <c r="NC34" s="20" t="n">
        <f aca="false">MU34-NB34</f>
        <v>0</v>
      </c>
      <c r="ND34" s="20" t="n">
        <f aca="false">IF(GB34=1,IF(ABS((1+AS_Wage)/(1+Slot17_Rate)-1)&lt;0.000000000001,(Slot17_Age-D34)*(1+Slot17_Rate)^(Slot17_Age-D34),(1+Slot17_Rate)^(Slot17_Age-D34)*(1-((1+AS_Wage)/(1+Slot17_Rate))^(Slot17_Age-D34))/(1-(1+AS_Wage)/(1+Slot17_Rate))),1)</f>
        <v>1</v>
      </c>
      <c r="NE34" s="20" t="n">
        <f aca="false">IF(AND(HU34=1,IE34&gt;0,Slot17_IsWG=1,GB34=1),MAX(0,(Slot17_Cost-GC34*(1+Slot17_Rate)^(Slot17_Age-D34))/ND34),0)</f>
        <v>0</v>
      </c>
      <c r="NF34" s="20" t="n">
        <f aca="false">IF(AND(HU34=1,IE34&gt;0,Slot17_IsWG=1,GB34=1),MIN(IE34,NE34),0)</f>
        <v>0</v>
      </c>
      <c r="NG34" s="20" t="n">
        <f aca="false">GC34+NF34</f>
        <v>0</v>
      </c>
      <c r="NH34" s="20" t="n">
        <f aca="false">IF(GB34=1,MAX(0,(Slot17_Cost-NG34*(1+Slot17_Rate)^(Slot17_Age-D34))/ND34),0)</f>
        <v>0</v>
      </c>
      <c r="NI34" s="20" t="n">
        <f aca="false">IF(GB34=1,MAX(0,(Slot17_Cost-GC34*(1+Slot17_Rate)^(Slot17_Age-D34))/ND34),0)</f>
        <v>0</v>
      </c>
      <c r="NJ34" s="20" t="n">
        <f aca="false">IF(AND(HU34=1,GB34=1),MIN(NC34,NH34),0)</f>
        <v>0</v>
      </c>
      <c r="NK34" s="20" t="n">
        <f aca="false">NC34-NJ34</f>
        <v>0</v>
      </c>
      <c r="NL34" s="20" t="n">
        <f aca="false">IF(GL34=1,IF(ABS((1+AS_Wage)/(1+Slot18_Rate)-1)&lt;0.000000000001,(Slot18_Age-D34)*(1+Slot18_Rate)^(Slot18_Age-D34),(1+Slot18_Rate)^(Slot18_Age-D34)*(1-((1+AS_Wage)/(1+Slot18_Rate))^(Slot18_Age-D34))/(1-(1+AS_Wage)/(1+Slot18_Rate))),1)</f>
        <v>1</v>
      </c>
      <c r="NM34" s="20" t="n">
        <f aca="false">IF(AND(HU34=1,IE34&gt;0,Slot18_IsWG=1,GL34=1),MAX(0,(Slot18_Cost-GM34*(1+Slot18_Rate)^(Slot18_Age-D34))/NL34),0)</f>
        <v>0</v>
      </c>
      <c r="NN34" s="20" t="n">
        <f aca="false">IF(AND(HU34=1,IE34&gt;0,Slot18_IsWG=1,GL34=1),MIN(IE34,NM34),0)</f>
        <v>0</v>
      </c>
      <c r="NO34" s="20" t="n">
        <f aca="false">GM34+NN34</f>
        <v>0</v>
      </c>
      <c r="NP34" s="20" t="n">
        <f aca="false">IF(GL34=1,MAX(0,(Slot18_Cost-NO34*(1+Slot18_Rate)^(Slot18_Age-D34))/NL34),0)</f>
        <v>0</v>
      </c>
      <c r="NQ34" s="20" t="n">
        <f aca="false">IF(GL34=1,MAX(0,(Slot18_Cost-GM34*(1+Slot18_Rate)^(Slot18_Age-D34))/NL34),0)</f>
        <v>0</v>
      </c>
      <c r="NR34" s="20" t="n">
        <f aca="false">IF(AND(HU34=1,GL34=1),MIN(NK34,NP34),0)</f>
        <v>0</v>
      </c>
      <c r="NS34" s="20" t="n">
        <f aca="false">NK34-NR34</f>
        <v>0</v>
      </c>
      <c r="NT34" s="20" t="n">
        <f aca="false">IF(GV34=1,IF(ABS((1+AS_Wage)/(1+Slot19_Rate)-1)&lt;0.000000000001,(Slot19_Age-D34)*(1+Slot19_Rate)^(Slot19_Age-D34),(1+Slot19_Rate)^(Slot19_Age-D34)*(1-((1+AS_Wage)/(1+Slot19_Rate))^(Slot19_Age-D34))/(1-(1+AS_Wage)/(1+Slot19_Rate))),1)</f>
        <v>1</v>
      </c>
      <c r="NU34" s="20" t="n">
        <f aca="false">IF(AND(HU34=1,IE34&gt;0,Slot19_IsWG=1,GV34=1),MAX(0,(Slot19_Cost-GW34*(1+Slot19_Rate)^(Slot19_Age-D34))/NT34),0)</f>
        <v>0</v>
      </c>
      <c r="NV34" s="20" t="n">
        <f aca="false">IF(AND(HU34=1,IE34&gt;0,Slot19_IsWG=1,GV34=1),MIN(IE34,NU34),0)</f>
        <v>0</v>
      </c>
      <c r="NW34" s="20" t="n">
        <f aca="false">GW34+NV34</f>
        <v>0</v>
      </c>
      <c r="NX34" s="20" t="n">
        <f aca="false">IF(GV34=1,MAX(0,(Slot19_Cost-NW34*(1+Slot19_Rate)^(Slot19_Age-D34))/NT34),0)</f>
        <v>0</v>
      </c>
      <c r="NY34" s="20" t="n">
        <f aca="false">IF(GV34=1,MAX(0,(Slot19_Cost-GW34*(1+Slot19_Rate)^(Slot19_Age-D34))/NT34),0)</f>
        <v>0</v>
      </c>
      <c r="NZ34" s="20" t="n">
        <f aca="false">IF(AND(HU34=1,GV34=1),MIN(NS34,NX34),0)</f>
        <v>0</v>
      </c>
      <c r="OA34" s="20" t="n">
        <f aca="false">NS34-NZ34</f>
        <v>0</v>
      </c>
      <c r="OB34" s="20" t="n">
        <f aca="false">IF(HF34=1,IF(ABS((1+AS_Wage)/(1+Slot20_Rate)-1)&lt;0.000000000001,(Slot20_Age-D34)*(1+Slot20_Rate)^(Slot20_Age-D34),(1+Slot20_Rate)^(Slot20_Age-D34)*(1-((1+AS_Wage)/(1+Slot20_Rate))^(Slot20_Age-D34))/(1-(1+AS_Wage)/(1+Slot20_Rate))),1)</f>
        <v>1</v>
      </c>
      <c r="OC34" s="20" t="n">
        <f aca="false">IF(AND(HU34=1,IE34&gt;0,Slot20_IsWG=1,HF34=1),MAX(0,(Slot20_Cost-HG34*(1+Slot20_Rate)^(Slot20_Age-D34))/OB34),0)</f>
        <v>0</v>
      </c>
      <c r="OD34" s="20" t="n">
        <f aca="false">IF(AND(HU34=1,IE34&gt;0,Slot20_IsWG=1,HF34=1),MIN(IE34,OC34),0)</f>
        <v>0</v>
      </c>
      <c r="OE34" s="20" t="n">
        <f aca="false">HG34+OD34</f>
        <v>0</v>
      </c>
      <c r="OF34" s="20" t="n">
        <f aca="false">IF(HF34=1,MAX(0,(Slot20_Cost-OE34*(1+Slot20_Rate)^(Slot20_Age-D34))/OB34),0)</f>
        <v>0</v>
      </c>
      <c r="OG34" s="20" t="n">
        <f aca="false">IF(HF34=1,MAX(0,(Slot20_Cost-HG34*(1+Slot20_Rate)^(Slot20_Age-D34))/OB34),0)</f>
        <v>0</v>
      </c>
      <c r="OH34" s="20" t="n">
        <f aca="false">IF(AND(HU34=1,HF34=1),MIN(OA34,OF34),0)</f>
        <v>0</v>
      </c>
      <c r="OI34" s="20" t="n">
        <f aca="false">OA34-OH34</f>
        <v>0</v>
      </c>
      <c r="OJ34" s="20" t="n">
        <f aca="false">IE34-(IH34+IP34+IX34+JF34+JN34+JV34+KD34+KL34+KT34+LB34+LJ34+LR34+LZ34+MH34+MP34+MX34+NF34+NN34+NV34+OD34)</f>
        <v>0</v>
      </c>
      <c r="OK34" s="20" t="n">
        <f aca="false">IF(HU34=1,HS34-ID34-IE34,0)</f>
        <v>0</v>
      </c>
      <c r="OL34" s="20" t="n">
        <f aca="false">IF(HU34=0,-HS34,0)</f>
        <v>21353.8537723578</v>
      </c>
      <c r="OM34" s="20" t="n">
        <f aca="false">MIN(OL34,HK34)</f>
        <v>21353.8537723578</v>
      </c>
      <c r="ON34" s="20" t="n">
        <f aca="false">OL34-OM34</f>
        <v>0</v>
      </c>
      <c r="OO34" s="20" t="n">
        <f aca="false">MIN(ON34,HL34)</f>
        <v>0</v>
      </c>
      <c r="OP34" s="20" t="n">
        <f aca="false">ON34-OO34</f>
        <v>0</v>
      </c>
      <c r="OQ34" s="20" t="n">
        <f aca="false">IF(AND(HU34=0,HF34=1,OP34&gt;0),MIN(OP34,HG34),0)</f>
        <v>0</v>
      </c>
      <c r="OR34" s="20" t="n">
        <f aca="false">OP34-OQ34</f>
        <v>0</v>
      </c>
      <c r="OS34" s="20" t="n">
        <f aca="false">IF(AND(HU34=0,GV34=1,OR34&gt;0),MIN(OR34,GW34),0)</f>
        <v>0</v>
      </c>
      <c r="OT34" s="20" t="n">
        <f aca="false">OR34-OS34</f>
        <v>0</v>
      </c>
      <c r="OU34" s="20" t="n">
        <f aca="false">IF(AND(HU34=0,GL34=1,OT34&gt;0),MIN(OT34,GM34),0)</f>
        <v>0</v>
      </c>
      <c r="OV34" s="20" t="n">
        <f aca="false">OT34-OU34</f>
        <v>0</v>
      </c>
      <c r="OW34" s="20" t="n">
        <f aca="false">IF(AND(HU34=0,GB34=1,OV34&gt;0),MIN(OV34,GC34),0)</f>
        <v>0</v>
      </c>
      <c r="OX34" s="20" t="n">
        <f aca="false">OV34-OW34</f>
        <v>0</v>
      </c>
      <c r="OY34" s="20" t="n">
        <f aca="false">IF(AND(HU34=0,FR34=1,OX34&gt;0),MIN(OX34,FS34),0)</f>
        <v>0</v>
      </c>
      <c r="OZ34" s="20" t="n">
        <f aca="false">OX34-OY34</f>
        <v>0</v>
      </c>
      <c r="PA34" s="20" t="n">
        <f aca="false">IF(AND(HU34=0,FH34=1,OZ34&gt;0),MIN(OZ34,FI34),0)</f>
        <v>0</v>
      </c>
      <c r="PB34" s="20" t="n">
        <f aca="false">OZ34-PA34</f>
        <v>0</v>
      </c>
      <c r="PC34" s="20" t="n">
        <f aca="false">IF(AND(HU34=0,EX34=1,PB34&gt;0),MIN(PB34,EY34),0)</f>
        <v>0</v>
      </c>
      <c r="PD34" s="20" t="n">
        <f aca="false">PB34-PC34</f>
        <v>0</v>
      </c>
      <c r="PE34" s="20" t="n">
        <f aca="false">IF(AND(HU34=0,EN34=1,PD34&gt;0),MIN(PD34,EO34),0)</f>
        <v>0</v>
      </c>
      <c r="PF34" s="20" t="n">
        <f aca="false">PD34-PE34</f>
        <v>0</v>
      </c>
      <c r="PG34" s="20" t="n">
        <f aca="false">IF(AND(HU34=0,ED34=1,PF34&gt;0),MIN(PF34,EE34),0)</f>
        <v>0</v>
      </c>
      <c r="PH34" s="20" t="n">
        <f aca="false">PF34-PG34</f>
        <v>0</v>
      </c>
      <c r="PI34" s="20" t="n">
        <f aca="false">IF(AND(HU34=0,DT34=1,PH34&gt;0),MIN(PH34,DU34),0)</f>
        <v>0</v>
      </c>
      <c r="PJ34" s="20" t="n">
        <f aca="false">PH34-PI34</f>
        <v>0</v>
      </c>
      <c r="PK34" s="20" t="n">
        <f aca="false">IF(AND(HU34=0,DJ34=1,PJ34&gt;0),MIN(PJ34,DK34),0)</f>
        <v>0</v>
      </c>
      <c r="PL34" s="20" t="n">
        <f aca="false">PJ34-PK34</f>
        <v>0</v>
      </c>
      <c r="PM34" s="20" t="n">
        <f aca="false">IF(AND(HU34=0,CZ34=1,PL34&gt;0),MIN(PL34,DA34),0)</f>
        <v>0</v>
      </c>
      <c r="PN34" s="20" t="n">
        <f aca="false">PL34-PM34</f>
        <v>0</v>
      </c>
      <c r="PO34" s="20" t="n">
        <f aca="false">IF(AND(HU34=0,CP34=1,PN34&gt;0),MIN(PN34,CQ34),0)</f>
        <v>0</v>
      </c>
      <c r="PP34" s="20" t="n">
        <f aca="false">PN34-PO34</f>
        <v>0</v>
      </c>
      <c r="PQ34" s="20" t="n">
        <f aca="false">IF(AND(HU34=0,CF34=1,PP34&gt;0),MIN(PP34,CG34),0)</f>
        <v>0</v>
      </c>
      <c r="PR34" s="20" t="n">
        <f aca="false">PP34-PQ34</f>
        <v>0</v>
      </c>
      <c r="PS34" s="20" t="n">
        <f aca="false">IF(AND(HU34=0,BV34=1,PR34&gt;0),MIN(PR34,BW34),0)</f>
        <v>0</v>
      </c>
      <c r="PT34" s="20" t="n">
        <f aca="false">PR34-PS34</f>
        <v>0</v>
      </c>
      <c r="PU34" s="20" t="n">
        <f aca="false">IF(AND(HU34=0,BL34=1,PT34&gt;0),MIN(PT34,BM34),0)</f>
        <v>0</v>
      </c>
      <c r="PV34" s="20" t="n">
        <f aca="false">PT34-PU34</f>
        <v>0</v>
      </c>
      <c r="PW34" s="20" t="n">
        <f aca="false">IF(AND(HU34=0,BB34=1,PV34&gt;0),MIN(PV34,BC34),0)</f>
        <v>0</v>
      </c>
      <c r="PX34" s="20" t="n">
        <f aca="false">PV34-PW34</f>
        <v>0</v>
      </c>
      <c r="PY34" s="20" t="n">
        <f aca="false">IF(AND(HU34=0,AR34=1,PX34&gt;0),MIN(PX34,AS34),0)</f>
        <v>0</v>
      </c>
      <c r="PZ34" s="20" t="n">
        <f aca="false">PX34-PY34</f>
        <v>0</v>
      </c>
      <c r="QA34" s="20" t="n">
        <f aca="false">IF(AND(HU34=0,AH34=1,PZ34&gt;0),MIN(PZ34,AI34),0)</f>
        <v>0</v>
      </c>
      <c r="QB34" s="20" t="n">
        <f aca="false">PZ34-QA34</f>
        <v>0</v>
      </c>
      <c r="QC34" s="20" t="n">
        <f aca="false">IF(AND(HU34=0,W34=1,QB34&gt;0),MIN(QB34,X34),0)</f>
        <v>0</v>
      </c>
      <c r="QD34" s="20" t="n">
        <f aca="false">QB34-QC34</f>
        <v>0</v>
      </c>
      <c r="QE34" s="20" t="n">
        <f aca="false">IF(HU34=0,QD34,0)</f>
        <v>0</v>
      </c>
      <c r="QF34" s="20" t="n">
        <f aca="false">OM34+OO34+QC34+QA34+PY34+PW34+PU34+PS34+PQ34+PO34+PM34+PK34+PI34+PG34+PE34+PC34+PA34+OY34+OW34+OU34+OS34+OQ34</f>
        <v>21353.8537723578</v>
      </c>
      <c r="QG34" s="20" t="n">
        <f aca="false">IF(HU34=1,HK34+OJ34+OI34+IF(G34=1,0,OK34),HK34-OM34)</f>
        <v>207067.396462813</v>
      </c>
      <c r="QH34" s="20" t="n">
        <f aca="false">HL34-OO34</f>
        <v>19815.4789249891</v>
      </c>
      <c r="QI34" s="20" t="n">
        <f aca="false">IF(HU34=1,IF(G34=1,ID34+IE34,HS34),0)</f>
        <v>0</v>
      </c>
      <c r="QJ34" s="20" t="n">
        <f aca="false">IF(HU34=1,IF(G34=1,HS34-ID34-IE34,0),0)</f>
        <v>0</v>
      </c>
      <c r="QK34" s="20" t="n">
        <f aca="false">QG34*(1+GR)</f>
        <v>210463.301764803</v>
      </c>
      <c r="QL34" s="20" t="n">
        <f aca="false">QH34*(1+AS_Cash)</f>
        <v>20013.6337142389</v>
      </c>
      <c r="QM34" s="20" t="n">
        <f aca="false">IF(W34=1,IF(HU34=1,II34+IL34,X34-QC34)*(1+Slot1_Rate),0)</f>
        <v>0</v>
      </c>
      <c r="QN34" s="20" t="n">
        <f aca="false">IF(AND(HU34=1,W34=1),(IH34+IL34)/F34,0)</f>
        <v>0</v>
      </c>
      <c r="QO34" s="20" t="n">
        <f aca="false">IF(B34=0,IH34+IL34,0)</f>
        <v>0</v>
      </c>
      <c r="QP34" s="20" t="n">
        <f aca="false">IF(B34=0,IF(HU34=1,IJ34,IK34),0)</f>
        <v>0</v>
      </c>
      <c r="QQ34" s="20" t="n">
        <f aca="false">IF(AH34=1,IF(HU34=1,IQ34+IT34,AI34-QA34)*(1+Slot2_Rate),0)</f>
        <v>0</v>
      </c>
      <c r="QR34" s="20" t="n">
        <f aca="false">IF(AND(HU34=1,AH34=1),(IP34+IT34)/F34,0)</f>
        <v>0</v>
      </c>
      <c r="QS34" s="20" t="n">
        <f aca="false">IF(B34=0,IP34+IT34,0)</f>
        <v>0</v>
      </c>
      <c r="QT34" s="20" t="n">
        <f aca="false">IF(B34=0,IF(HU34=1,IR34,IS34),0)</f>
        <v>0</v>
      </c>
      <c r="QU34" s="20" t="n">
        <f aca="false">IF(AR34=1,IF(HU34=1,IY34+JB34,AS34-PY34)*(1+Slot3_Rate),0)</f>
        <v>0</v>
      </c>
      <c r="QV34" s="20" t="n">
        <f aca="false">IF(AND(HU34=1,AR34=1),(IX34+JB34)/F34,0)</f>
        <v>0</v>
      </c>
      <c r="QW34" s="20" t="n">
        <f aca="false">IF(B34=0,IX34+JB34,0)</f>
        <v>0</v>
      </c>
      <c r="QX34" s="20" t="n">
        <f aca="false">IF(B34=0,IF(HU34=1,IZ34,JA34),0)</f>
        <v>0</v>
      </c>
      <c r="QY34" s="20" t="n">
        <f aca="false">IF(BB34=1,IF(HU34=1,JG34+JJ34,BC34-PW34)*(1+Slot4_Rate),0)</f>
        <v>0</v>
      </c>
      <c r="QZ34" s="20" t="n">
        <f aca="false">IF(AND(HU34=1,BB34=1),(JF34+JJ34)/F34,0)</f>
        <v>0</v>
      </c>
      <c r="RA34" s="20" t="n">
        <f aca="false">IF(B34=0,JF34+JJ34,0)</f>
        <v>0</v>
      </c>
      <c r="RB34" s="20" t="n">
        <f aca="false">IF(B34=0,IF(HU34=1,JH34,JI34),0)</f>
        <v>0</v>
      </c>
      <c r="RC34" s="20" t="n">
        <f aca="false">IF(BL34=1,IF(HU34=1,JO34+JR34,BM34-PU34)*(1+Slot5_Rate),0)</f>
        <v>0</v>
      </c>
      <c r="RD34" s="20" t="n">
        <f aca="false">IF(AND(HU34=1,BL34=1),(JN34+JR34)/F34,0)</f>
        <v>0</v>
      </c>
      <c r="RE34" s="20" t="n">
        <f aca="false">IF(B34=0,JN34+JR34,0)</f>
        <v>0</v>
      </c>
      <c r="RF34" s="20" t="n">
        <f aca="false">IF(B34=0,IF(HU34=1,JP34,JQ34),0)</f>
        <v>0</v>
      </c>
      <c r="RG34" s="20" t="n">
        <f aca="false">IF(BV34=1,IF(HU34=1,JW34+JZ34,BW34-PS34)*(1+Slot6_Rate),0)</f>
        <v>0</v>
      </c>
      <c r="RH34" s="20" t="n">
        <f aca="false">IF(AND(HU34=1,BV34=1),(JV34+JZ34)/F34,0)</f>
        <v>0</v>
      </c>
      <c r="RI34" s="20" t="n">
        <f aca="false">IF(B34=0,JV34+JZ34,0)</f>
        <v>0</v>
      </c>
      <c r="RJ34" s="20" t="n">
        <f aca="false">IF(B34=0,IF(HU34=1,JX34,JY34),0)</f>
        <v>0</v>
      </c>
      <c r="RK34" s="20" t="n">
        <f aca="false">IF(CF34=1,IF(HU34=1,KE34+KH34,CG34-PQ34)*(1+Slot7_Rate),0)</f>
        <v>0</v>
      </c>
      <c r="RL34" s="20" t="n">
        <f aca="false">IF(AND(HU34=1,CF34=1),(KD34+KH34)/F34,0)</f>
        <v>0</v>
      </c>
      <c r="RM34" s="20" t="n">
        <f aca="false">IF(B34=0,KD34+KH34,0)</f>
        <v>0</v>
      </c>
      <c r="RN34" s="20" t="n">
        <f aca="false">IF(B34=0,IF(HU34=1,KF34,KG34),0)</f>
        <v>0</v>
      </c>
      <c r="RO34" s="20" t="n">
        <f aca="false">IF(CP34=1,IF(HU34=1,KM34+KP34,CQ34-PO34)*(1+Slot8_Rate),0)</f>
        <v>0</v>
      </c>
      <c r="RP34" s="20" t="n">
        <f aca="false">IF(AND(HU34=1,CP34=1),(KL34+KP34)/F34,0)</f>
        <v>0</v>
      </c>
      <c r="RQ34" s="20" t="n">
        <f aca="false">IF(B34=0,KL34+KP34,0)</f>
        <v>0</v>
      </c>
      <c r="RR34" s="20" t="n">
        <f aca="false">IF(B34=0,IF(HU34=1,KN34,KO34),0)</f>
        <v>0</v>
      </c>
      <c r="RS34" s="20" t="n">
        <f aca="false">IF(CZ34=1,IF(HU34=1,KU34+KX34,DA34-PM34)*(1+Slot9_Rate),0)</f>
        <v>0</v>
      </c>
      <c r="RT34" s="20" t="n">
        <f aca="false">IF(AND(HU34=1,CZ34=1),(KT34+KX34)/F34,0)</f>
        <v>0</v>
      </c>
      <c r="RU34" s="20" t="n">
        <f aca="false">IF(B34=0,KT34+KX34,0)</f>
        <v>0</v>
      </c>
      <c r="RV34" s="20" t="n">
        <f aca="false">IF(B34=0,IF(HU34=1,KV34,KW34),0)</f>
        <v>0</v>
      </c>
      <c r="RW34" s="20" t="n">
        <f aca="false">IF(DJ34=1,IF(HU34=1,LC34+LF34,DK34-PK34)*(1+Slot10_Rate),0)</f>
        <v>0</v>
      </c>
      <c r="RX34" s="20" t="n">
        <f aca="false">IF(AND(HU34=1,DJ34=1),(LB34+LF34)/F34,0)</f>
        <v>0</v>
      </c>
      <c r="RY34" s="20" t="n">
        <f aca="false">IF(B34=0,LB34+LF34,0)</f>
        <v>0</v>
      </c>
      <c r="RZ34" s="20" t="n">
        <f aca="false">IF(B34=0,IF(HU34=1,LD34,LE34),0)</f>
        <v>0</v>
      </c>
      <c r="SA34" s="20" t="n">
        <f aca="false">IF(DT34=1,IF(HU34=1,LK34+LN34,DU34-PI34)*(1+Slot11_Rate),0)</f>
        <v>0</v>
      </c>
      <c r="SB34" s="20" t="n">
        <f aca="false">IF(AND(HU34=1,DT34=1),(LJ34+LN34)/F34,0)</f>
        <v>0</v>
      </c>
      <c r="SC34" s="20" t="n">
        <f aca="false">IF(B34=0,LJ34+LN34,0)</f>
        <v>0</v>
      </c>
      <c r="SD34" s="20" t="n">
        <f aca="false">IF(B34=0,IF(HU34=1,LL34,LM34),0)</f>
        <v>0</v>
      </c>
      <c r="SE34" s="20" t="n">
        <f aca="false">IF(ED34=1,IF(HU34=1,LS34+LV34,EE34-PG34)*(1+Slot12_Rate),0)</f>
        <v>0</v>
      </c>
      <c r="SF34" s="20" t="n">
        <f aca="false">IF(AND(HU34=1,ED34=1),(LR34+LV34)/F34,0)</f>
        <v>0</v>
      </c>
      <c r="SG34" s="20" t="n">
        <f aca="false">IF(B34=0,LR34+LV34,0)</f>
        <v>0</v>
      </c>
      <c r="SH34" s="20" t="n">
        <f aca="false">IF(B34=0,IF(HU34=1,LT34,LU34),0)</f>
        <v>0</v>
      </c>
      <c r="SI34" s="20" t="n">
        <f aca="false">IF(EN34=1,IF(HU34=1,MA34+MD34,EO34-PE34)*(1+Slot13_Rate),0)</f>
        <v>0</v>
      </c>
      <c r="SJ34" s="20" t="n">
        <f aca="false">IF(AND(HU34=1,EN34=1),(LZ34+MD34)/F34,0)</f>
        <v>0</v>
      </c>
      <c r="SK34" s="20" t="n">
        <f aca="false">IF(B34=0,LZ34+MD34,0)</f>
        <v>0</v>
      </c>
      <c r="SL34" s="20" t="n">
        <f aca="false">IF(B34=0,IF(HU34=1,MB34,MC34),0)</f>
        <v>0</v>
      </c>
      <c r="SM34" s="20" t="n">
        <f aca="false">IF(EX34=1,IF(HU34=1,MI34+ML34,EY34-PC34)*(1+Slot14_Rate),0)</f>
        <v>0</v>
      </c>
      <c r="SN34" s="20" t="n">
        <f aca="false">IF(AND(HU34=1,EX34=1),(MH34+ML34)/F34,0)</f>
        <v>0</v>
      </c>
      <c r="SO34" s="20" t="n">
        <f aca="false">IF(B34=0,MH34+ML34,0)</f>
        <v>0</v>
      </c>
      <c r="SP34" s="20" t="n">
        <f aca="false">IF(B34=0,IF(HU34=1,MJ34,MK34),0)</f>
        <v>0</v>
      </c>
      <c r="SQ34" s="20" t="n">
        <f aca="false">IF(FH34=1,IF(HU34=1,MQ34+MT34,FI34-PA34)*(1+Slot15_Rate),0)</f>
        <v>0</v>
      </c>
      <c r="SR34" s="20" t="n">
        <f aca="false">IF(AND(HU34=1,FH34=1),(MP34+MT34)/F34,0)</f>
        <v>0</v>
      </c>
      <c r="SS34" s="20" t="n">
        <f aca="false">IF(B34=0,MP34+MT34,0)</f>
        <v>0</v>
      </c>
      <c r="ST34" s="20" t="n">
        <f aca="false">IF(B34=0,IF(HU34=1,MR34,MS34),0)</f>
        <v>0</v>
      </c>
      <c r="SU34" s="20" t="n">
        <f aca="false">IF(FR34=1,IF(HU34=1,MY34+NB34,FS34-OY34)*(1+Slot16_Rate),0)</f>
        <v>0</v>
      </c>
      <c r="SV34" s="20" t="n">
        <f aca="false">IF(AND(HU34=1,FR34=1),(MX34+NB34)/F34,0)</f>
        <v>0</v>
      </c>
      <c r="SW34" s="20" t="n">
        <f aca="false">IF(B34=0,MX34+NB34,0)</f>
        <v>0</v>
      </c>
      <c r="SX34" s="20" t="n">
        <f aca="false">IF(B34=0,IF(HU34=1,MZ34,NA34),0)</f>
        <v>0</v>
      </c>
      <c r="SY34" s="20" t="n">
        <f aca="false">IF(GB34=1,IF(HU34=1,NG34+NJ34,GC34-OW34)*(1+Slot17_Rate),0)</f>
        <v>0</v>
      </c>
      <c r="SZ34" s="20" t="n">
        <f aca="false">IF(AND(HU34=1,GB34=1),(NF34+NJ34)/F34,0)</f>
        <v>0</v>
      </c>
      <c r="TA34" s="20" t="n">
        <f aca="false">IF(B34=0,NF34+NJ34,0)</f>
        <v>0</v>
      </c>
      <c r="TB34" s="20" t="n">
        <f aca="false">IF(B34=0,IF(HU34=1,NH34,NI34),0)</f>
        <v>0</v>
      </c>
      <c r="TC34" s="20" t="n">
        <f aca="false">IF(GL34=1,IF(HU34=1,NO34+NR34,GM34-OU34)*(1+Slot18_Rate),0)</f>
        <v>0</v>
      </c>
      <c r="TD34" s="20" t="n">
        <f aca="false">IF(AND(HU34=1,GL34=1),(NN34+NR34)/F34,0)</f>
        <v>0</v>
      </c>
      <c r="TE34" s="20" t="n">
        <f aca="false">IF(B34=0,NN34+NR34,0)</f>
        <v>0</v>
      </c>
      <c r="TF34" s="20" t="n">
        <f aca="false">IF(B34=0,IF(HU34=1,NP34,NQ34),0)</f>
        <v>0</v>
      </c>
      <c r="TG34" s="20" t="n">
        <f aca="false">IF(GV34=1,IF(HU34=1,NW34+NZ34,GW34-OS34)*(1+Slot19_Rate),0)</f>
        <v>0</v>
      </c>
      <c r="TH34" s="20" t="n">
        <f aca="false">IF(AND(HU34=1,GV34=1),(NV34+NZ34)/F34,0)</f>
        <v>0</v>
      </c>
      <c r="TI34" s="20" t="n">
        <f aca="false">IF(B34=0,NV34+NZ34,0)</f>
        <v>0</v>
      </c>
      <c r="TJ34" s="20" t="n">
        <f aca="false">IF(B34=0,IF(HU34=1,NX34,NY34),0)</f>
        <v>0</v>
      </c>
      <c r="TK34" s="20" t="n">
        <f aca="false">IF(HF34=1,IF(HU34=1,OE34+OH34,HG34-OQ34)*(1+Slot20_Rate),0)</f>
        <v>0</v>
      </c>
      <c r="TL34" s="20" t="n">
        <f aca="false">IF(AND(HU34=1,HF34=1),(OD34+OH34)/F34,0)</f>
        <v>0</v>
      </c>
      <c r="TM34" s="20" t="n">
        <f aca="false">IF(B34=0,OD34+OH34,0)</f>
        <v>0</v>
      </c>
      <c r="TN34" s="20" t="n">
        <f aca="false">IF(B34=0,IF(HU34=1,OF34,OG34),0)</f>
        <v>0</v>
      </c>
      <c r="TO34" s="20" t="n">
        <f aca="false">QK34+QL34+QM34+QQ34+QU34+QY34+RC34+RG34+RK34+RO34+RS34+RW34+SA34+SE34+SI34+SM34+SQ34+SU34+SY34+TC34+TG34+TK34</f>
        <v>230476.935479042</v>
      </c>
      <c r="TP34" s="20" t="n">
        <f aca="false">QE34+HP34</f>
        <v>0</v>
      </c>
      <c r="TQ34" s="20" t="n">
        <f aca="false">I34+S34</f>
        <v>79989.3858661224</v>
      </c>
      <c r="TR34" s="20" t="n">
        <f aca="false">1-G34</f>
        <v>1</v>
      </c>
      <c r="TS34" s="20" t="n">
        <f aca="false">IF(AND(RG_Exists=1,G34=0,C34=1),I34,0)</f>
        <v>79989.3858661224</v>
      </c>
      <c r="TT34" s="20" t="n">
        <f aca="false">IF(AND(RG_Exists=1,G34=0,C34=1),I34-MIN(QE34,I34),0)</f>
        <v>79989.3858661224</v>
      </c>
      <c r="TU34" s="20" t="n">
        <f aca="false">'Plan pay &amp; tax'!AD260</f>
        <v>438052.676098176</v>
      </c>
      <c r="TV34" s="20" t="n">
        <f aca="false">IF(AND(C34=1,QE34&gt;MAX(PR_Short1,TQ34*PR_Short2)),1,0)</f>
        <v>0</v>
      </c>
      <c r="TW34" s="20" t="n">
        <f aca="false">MIN(H34,I34+S34)</f>
        <v>58635.5320937646</v>
      </c>
      <c r="TX34" s="20" t="n">
        <f aca="false">QF34+MAX(0,HQ34-HP34)</f>
        <v>21353.8537723578</v>
      </c>
      <c r="TY34" s="20" t="n">
        <f aca="false">QE34+HP34</f>
        <v>0</v>
      </c>
      <c r="TZ34" s="20" t="n">
        <f aca="false">IF(AND(C34=1,TY34&gt;PR_MinShort),1,0)</f>
        <v>0</v>
      </c>
      <c r="UA34" s="20" t="n">
        <f aca="false">IF(AND(C34=1,TZ34=0,TX34&gt;PR_MinShort),1,0)</f>
        <v>1</v>
      </c>
      <c r="UB34" s="20" t="n">
        <f aca="false">IF(AND(C34=1,QE34&gt;PR_MinShort),1,0)</f>
        <v>0</v>
      </c>
      <c r="UC34" s="20" t="n">
        <f aca="false">IF(AND(C34=1,QF34&gt;1,UJ34=0),1,0)</f>
        <v>1</v>
      </c>
      <c r="UD34" s="20" t="str">
        <f aca="false">IF(C34=0,"",IF(UJ34=1,"Gap to plan for: short "&amp;"€"&amp;TEXT(ROUND(TP34,0),"#,##0"),IF(QF34&gt;1,"Using savings","Comfortable")))</f>
        <v>Using savings</v>
      </c>
      <c r="UE34" s="20" t="n">
        <f aca="false">IF(AND(INT(D34/10)*10=90,B34&gt;0),80,INT(D34/10)*10)</f>
        <v>60</v>
      </c>
      <c r="UF34" s="20" t="n">
        <f aca="false">IF(B34=0,1,IF(UE34&lt;&gt;UE33,UF33+1,UF33))</f>
        <v>4</v>
      </c>
      <c r="UG34" s="20" t="n">
        <f aca="false">IF(AND(C34=1,G34=1,QE34&gt;MAX(PR_Short1,TQ34*PR_Short2)),1,0)</f>
        <v>0</v>
      </c>
      <c r="UH34" s="20" t="n">
        <f aca="false">TR34*TV34</f>
        <v>0</v>
      </c>
      <c r="UI34" s="20" t="n">
        <f aca="false">IF(AND(V34=1,Slot1_PctLow=1),1,0)+IF(AND(AG34=1,Slot2_PctLow=1),1,0)+IF(AND(AQ34=1,Slot3_PctLow=1),1,0)+IF(AND(BA34=1,Slot4_PctLow=1),1,0)+IF(AND(BK34=1,Slot5_PctLow=1),1,0)+IF(AND(BU34=1,Slot6_PctLow=1),1,0)+IF(AND(CE34=1,Slot7_PctLow=1),1,0)+IF(AND(CO34=1,Slot8_PctLow=1),1,0)+IF(AND(CY34=1,Slot9_PctLow=1),1,0)+IF(AND(DI34=1,Slot10_PctLow=1),1,0)+IF(AND(DS34=1,Slot11_PctLow=1),1,0)+IF(AND(EC34=1,Slot12_PctLow=1),1,0)+IF(AND(EM34=1,Slot13_PctLow=1),1,0)+IF(AND(EW34=1,Slot14_PctLow=1),1,0)+IF(AND(FG34=1,Slot15_PctLow=1),1,0)+IF(AND(FQ34=1,Slot16_PctLow=1),1,0)+IF(AND(GA34=1,Slot17_PctLow=1),1,0)+IF(AND(GK34=1,Slot18_PctLow=1),1,0)+IF(AND(GU34=1,Slot19_PctLow=1),1,0)+IF(AND(HE34=1,Slot20_PctLow=1),1,0)</f>
        <v>0</v>
      </c>
      <c r="UJ34" s="20" t="n">
        <f aca="false">IF(C34=1,IF(OR(TV34=1,UI34&gt;0),1,0),0)</f>
        <v>0</v>
      </c>
    </row>
    <row r="35" customFormat="false" ht="15" hidden="false" customHeight="true" outlineLevel="0" collapsed="false">
      <c r="B35" s="20" t="n">
        <v>27</v>
      </c>
      <c r="C35" s="20" t="n">
        <f aca="false">IF(B35&lt;=F_N,1,0)</f>
        <v>1</v>
      </c>
      <c r="D35" s="20" t="n">
        <f aca="false">'Plan pay &amp; tax'!C261</f>
        <v>65</v>
      </c>
      <c r="E35" s="20" t="str">
        <f aca="false">IF($C35=1,"Income tax "&amp;TEXT(N('Plan pay &amp; tax'!BK261),"#,##0")&amp;"; USC "&amp;TEXT(N('Plan pay &amp; tax'!BM261)+N('Plan pay &amp; tax'!BO261),"#,##0")&amp;"; PRSI "&amp;TEXT(N('Plan pay &amp; tax'!BP261)+N('Plan pay &amp; tax'!BQ261),"#,##0")&amp;". DIRT and exit tax are inside the growth rates here.","")</f>
        <v>Income tax 1,726; USC 392; PRSI 1,828. DIRT and exit tax are inside the growth rates here.</v>
      </c>
      <c r="F35" s="44" t="n">
        <f aca="false">'Plan pay &amp; tax'!E261</f>
        <v>1.70688647664111</v>
      </c>
      <c r="G35" s="20" t="n">
        <f aca="false">'Plan pay &amp; tax'!G261</f>
        <v>0</v>
      </c>
      <c r="H35" s="20" t="n">
        <f aca="false">'Plan pay &amp; tax'!BT261-'Plan pay &amp; tax'!BS261-'Plan pay &amp; tax'!R261</f>
        <v>59654.1672286125</v>
      </c>
      <c r="I35" s="20" t="n">
        <f aca="false">IF(G35=1,F_CostsM*12,IF(RG_Exists=1,RG_Amount,F_CostsM*12*AS_RetireSpend))*F35+F_OneOffY*F35</f>
        <v>81589.1735834449</v>
      </c>
      <c r="J35" s="20" t="n">
        <f aca="false">HR34</f>
        <v>0</v>
      </c>
      <c r="K35" s="20" t="n">
        <f aca="false">IF(J35&gt;1,'Plan debt months'!AC35,0)</f>
        <v>0</v>
      </c>
      <c r="L35" s="20" t="n">
        <f aca="false">IF(J35&gt;1,'Plan debt months'!AB35,J35)</f>
        <v>0</v>
      </c>
      <c r="M35" s="20" t="n">
        <f aca="false">O34</f>
        <v>0</v>
      </c>
      <c r="N35" s="20" t="n">
        <f aca="false">IF(M35&gt;1,'Plan debt months'!BD35,0)</f>
        <v>0</v>
      </c>
      <c r="O35" s="20" t="n">
        <f aca="false">IF(M35&gt;1,'Plan debt months'!BC35,M35)</f>
        <v>0</v>
      </c>
      <c r="P35" s="20" t="n">
        <f aca="false">R34</f>
        <v>0</v>
      </c>
      <c r="Q35" s="20" t="n">
        <f aca="false">IF(P35&gt;1,'Plan debt months'!CE35,0)</f>
        <v>0</v>
      </c>
      <c r="R35" s="20" t="n">
        <f aca="false">IF(P35&gt;1,'Plan debt months'!CD35,P35)</f>
        <v>0</v>
      </c>
      <c r="S35" s="20" t="n">
        <f aca="false">K35+N35+Q35</f>
        <v>0</v>
      </c>
      <c r="T35" s="20" t="n">
        <f aca="false">QK34+'Plan pay &amp; tax'!Y261</f>
        <v>210463.301764803</v>
      </c>
      <c r="U35" s="20" t="n">
        <f aca="false">QK34</f>
        <v>210463.301764803</v>
      </c>
      <c r="V35" s="20" t="n">
        <f aca="false">IF(AND(Slot1_On=1,D35=Slot1_Age),1,0)</f>
        <v>0</v>
      </c>
      <c r="W35" s="20" t="n">
        <f aca="false">IF(AND(Slot1_On=1,Slot1_Age&gt;D35),1,0)</f>
        <v>0</v>
      </c>
      <c r="X35" s="20" t="n">
        <f aca="false">QM34</f>
        <v>0</v>
      </c>
      <c r="Y35" s="20" t="n">
        <f aca="false">V35*MIN(Slot1_Cost,X35)</f>
        <v>0</v>
      </c>
      <c r="Z35" s="20" t="n">
        <f aca="false">V35*Slot1_SpendLike*MIN(Slot1_Cost-Y35,T35)</f>
        <v>0</v>
      </c>
      <c r="AA35" s="20" t="n">
        <f aca="false">Y35+Z35</f>
        <v>0</v>
      </c>
      <c r="AB35" s="20" t="n">
        <f aca="false">T35-Z35+V35*IF(Slot1_SpendLike=1,X35-Y35,IF(Slot1_PotFree=1,X35,0))</f>
        <v>210463.301764803</v>
      </c>
      <c r="AC35" s="20" t="n">
        <f aca="false">AF35+V35*Slot1_BufPot*X35</f>
        <v>20013.6337142389</v>
      </c>
      <c r="AD35" s="20" t="n">
        <f aca="false">IF(AND(V35=1,Slot1_IsMfree=1),IF(AA35&gt;=Slot1_Cost-1,0,MAX(0,L35-AA35)),L35)</f>
        <v>0</v>
      </c>
      <c r="AE35" s="20" t="n">
        <f aca="false">V35*(Slot1_Cost-AA35)</f>
        <v>0</v>
      </c>
      <c r="AF35" s="20" t="n">
        <f aca="false">QL34</f>
        <v>20013.6337142389</v>
      </c>
      <c r="AG35" s="20" t="n">
        <f aca="false">IF(AND(Slot2_On=1,D35=Slot2_Age),1,0)</f>
        <v>0</v>
      </c>
      <c r="AH35" s="20" t="n">
        <f aca="false">IF(AND(Slot2_On=1,Slot2_Age&gt;D35),1,0)</f>
        <v>0</v>
      </c>
      <c r="AI35" s="20" t="n">
        <f aca="false">QQ34</f>
        <v>0</v>
      </c>
      <c r="AJ35" s="20" t="n">
        <f aca="false">AG35*MIN(Slot2_Cost,AI35)</f>
        <v>0</v>
      </c>
      <c r="AK35" s="20" t="n">
        <f aca="false">AG35*Slot2_SpendLike*MIN(Slot2_Cost-AJ35,AB35)</f>
        <v>0</v>
      </c>
      <c r="AL35" s="20" t="n">
        <f aca="false">AJ35+AK35</f>
        <v>0</v>
      </c>
      <c r="AM35" s="20" t="n">
        <f aca="false">AB35-AK35+AG35*IF(Slot2_SpendLike=1,AI35-AJ35,IF(Slot2_PotFree=1,AI35,0))</f>
        <v>210463.301764803</v>
      </c>
      <c r="AN35" s="20" t="n">
        <f aca="false">AC35+AG35*Slot2_BufPot*AI35</f>
        <v>20013.6337142389</v>
      </c>
      <c r="AO35" s="20" t="n">
        <f aca="false">IF(AND(AG35=1,Slot2_IsMfree=1),IF(AL35&gt;=Slot2_Cost-1,0,MAX(0,AD35-AL35)),AD35)</f>
        <v>0</v>
      </c>
      <c r="AP35" s="20" t="n">
        <f aca="false">AG35*(Slot2_Cost-AL35)</f>
        <v>0</v>
      </c>
      <c r="AQ35" s="20" t="n">
        <f aca="false">IF(AND(Slot3_On=1,D35=Slot3_Age),1,0)</f>
        <v>0</v>
      </c>
      <c r="AR35" s="20" t="n">
        <f aca="false">IF(AND(Slot3_On=1,Slot3_Age&gt;D35),1,0)</f>
        <v>0</v>
      </c>
      <c r="AS35" s="20" t="n">
        <f aca="false">QU34</f>
        <v>0</v>
      </c>
      <c r="AT35" s="20" t="n">
        <f aca="false">AQ35*MIN(Slot3_Cost,AS35)</f>
        <v>0</v>
      </c>
      <c r="AU35" s="20" t="n">
        <f aca="false">AQ35*Slot3_SpendLike*MIN(Slot3_Cost-AT35,AM35)</f>
        <v>0</v>
      </c>
      <c r="AV35" s="20" t="n">
        <f aca="false">AT35+AU35</f>
        <v>0</v>
      </c>
      <c r="AW35" s="20" t="n">
        <f aca="false">AM35-AU35+AQ35*IF(Slot3_SpendLike=1,AS35-AT35,IF(Slot3_PotFree=1,AS35,0))</f>
        <v>210463.301764803</v>
      </c>
      <c r="AX35" s="20" t="n">
        <f aca="false">AN35+AQ35*Slot3_BufPot*AS35</f>
        <v>20013.6337142389</v>
      </c>
      <c r="AY35" s="20" t="n">
        <f aca="false">IF(AND(AQ35=1,Slot3_IsMfree=1),IF(AV35&gt;=Slot3_Cost-1,0,MAX(0,AO35-AV35)),AO35)</f>
        <v>0</v>
      </c>
      <c r="AZ35" s="20" t="n">
        <f aca="false">AQ35*(Slot3_Cost-AV35)</f>
        <v>0</v>
      </c>
      <c r="BA35" s="20" t="n">
        <f aca="false">IF(AND(Slot4_On=1,D35=Slot4_Age),1,0)</f>
        <v>0</v>
      </c>
      <c r="BB35" s="20" t="n">
        <f aca="false">IF(AND(Slot4_On=1,Slot4_Age&gt;D35),1,0)</f>
        <v>0</v>
      </c>
      <c r="BC35" s="20" t="n">
        <f aca="false">QY34</f>
        <v>0</v>
      </c>
      <c r="BD35" s="20" t="n">
        <f aca="false">BA35*MIN(Slot4_Cost,BC35)</f>
        <v>0</v>
      </c>
      <c r="BE35" s="20" t="n">
        <f aca="false">BA35*Slot4_SpendLike*MIN(Slot4_Cost-BD35,AW35)</f>
        <v>0</v>
      </c>
      <c r="BF35" s="20" t="n">
        <f aca="false">BD35+BE35</f>
        <v>0</v>
      </c>
      <c r="BG35" s="20" t="n">
        <f aca="false">AW35-BE35+BA35*IF(Slot4_SpendLike=1,BC35-BD35,IF(Slot4_PotFree=1,BC35,0))</f>
        <v>210463.301764803</v>
      </c>
      <c r="BH35" s="20" t="n">
        <f aca="false">AX35+BA35*Slot4_BufPot*BC35</f>
        <v>20013.6337142389</v>
      </c>
      <c r="BI35" s="20" t="n">
        <f aca="false">IF(AND(BA35=1,Slot4_IsMfree=1),IF(BF35&gt;=Slot4_Cost-1,0,MAX(0,AY35-BF35)),AY35)</f>
        <v>0</v>
      </c>
      <c r="BJ35" s="20" t="n">
        <f aca="false">BA35*(Slot4_Cost-BF35)</f>
        <v>0</v>
      </c>
      <c r="BK35" s="20" t="n">
        <f aca="false">IF(AND(Slot5_On=1,D35=Slot5_Age),1,0)</f>
        <v>0</v>
      </c>
      <c r="BL35" s="20" t="n">
        <f aca="false">IF(AND(Slot5_On=1,Slot5_Age&gt;D35),1,0)</f>
        <v>0</v>
      </c>
      <c r="BM35" s="20" t="n">
        <f aca="false">RC34</f>
        <v>0</v>
      </c>
      <c r="BN35" s="20" t="n">
        <f aca="false">BK35*MIN(Slot5_Cost,BM35)</f>
        <v>0</v>
      </c>
      <c r="BO35" s="20" t="n">
        <f aca="false">BK35*Slot5_SpendLike*MIN(Slot5_Cost-BN35,BG35)</f>
        <v>0</v>
      </c>
      <c r="BP35" s="20" t="n">
        <f aca="false">BN35+BO35</f>
        <v>0</v>
      </c>
      <c r="BQ35" s="20" t="n">
        <f aca="false">BG35-BO35+BK35*IF(Slot5_SpendLike=1,BM35-BN35,IF(Slot5_PotFree=1,BM35,0))</f>
        <v>210463.301764803</v>
      </c>
      <c r="BR35" s="20" t="n">
        <f aca="false">BH35+BK35*Slot5_BufPot*BM35</f>
        <v>20013.6337142389</v>
      </c>
      <c r="BS35" s="20" t="n">
        <f aca="false">IF(AND(BK35=1,Slot5_IsMfree=1),IF(BP35&gt;=Slot5_Cost-1,0,MAX(0,BI35-BP35)),BI35)</f>
        <v>0</v>
      </c>
      <c r="BT35" s="20" t="n">
        <f aca="false">BK35*(Slot5_Cost-BP35)</f>
        <v>0</v>
      </c>
      <c r="BU35" s="20" t="n">
        <f aca="false">IF(AND(Slot6_On=1,D35=Slot6_Age),1,0)</f>
        <v>0</v>
      </c>
      <c r="BV35" s="20" t="n">
        <f aca="false">IF(AND(Slot6_On=1,Slot6_Age&gt;D35),1,0)</f>
        <v>0</v>
      </c>
      <c r="BW35" s="20" t="n">
        <f aca="false">RG34</f>
        <v>0</v>
      </c>
      <c r="BX35" s="20" t="n">
        <f aca="false">BU35*MIN(Slot6_Cost,BW35)</f>
        <v>0</v>
      </c>
      <c r="BY35" s="20" t="n">
        <f aca="false">BU35*Slot6_SpendLike*MIN(Slot6_Cost-BX35,BQ35)</f>
        <v>0</v>
      </c>
      <c r="BZ35" s="20" t="n">
        <f aca="false">BX35+BY35</f>
        <v>0</v>
      </c>
      <c r="CA35" s="20" t="n">
        <f aca="false">BQ35-BY35+BU35*IF(Slot6_SpendLike=1,BW35-BX35,IF(Slot6_PotFree=1,BW35,0))</f>
        <v>210463.301764803</v>
      </c>
      <c r="CB35" s="20" t="n">
        <f aca="false">BR35+BU35*Slot6_BufPot*BW35</f>
        <v>20013.6337142389</v>
      </c>
      <c r="CC35" s="20" t="n">
        <f aca="false">IF(AND(BU35=1,Slot6_IsMfree=1),IF(BZ35&gt;=Slot6_Cost-1,0,MAX(0,BS35-BZ35)),BS35)</f>
        <v>0</v>
      </c>
      <c r="CD35" s="20" t="n">
        <f aca="false">BU35*(Slot6_Cost-BZ35)</f>
        <v>0</v>
      </c>
      <c r="CE35" s="20" t="n">
        <f aca="false">IF(AND(Slot7_On=1,D35=Slot7_Age),1,0)</f>
        <v>0</v>
      </c>
      <c r="CF35" s="20" t="n">
        <f aca="false">IF(AND(Slot7_On=1,Slot7_Age&gt;D35),1,0)</f>
        <v>0</v>
      </c>
      <c r="CG35" s="20" t="n">
        <f aca="false">RK34</f>
        <v>0</v>
      </c>
      <c r="CH35" s="20" t="n">
        <f aca="false">CE35*MIN(Slot7_Cost,CG35)</f>
        <v>0</v>
      </c>
      <c r="CI35" s="20" t="n">
        <f aca="false">CE35*Slot7_SpendLike*MIN(Slot7_Cost-CH35,CA35)</f>
        <v>0</v>
      </c>
      <c r="CJ35" s="20" t="n">
        <f aca="false">CH35+CI35</f>
        <v>0</v>
      </c>
      <c r="CK35" s="20" t="n">
        <f aca="false">CA35-CI35+CE35*IF(Slot7_SpendLike=1,CG35-CH35,IF(Slot7_PotFree=1,CG35,0))</f>
        <v>210463.301764803</v>
      </c>
      <c r="CL35" s="20" t="n">
        <f aca="false">CB35+CE35*Slot7_BufPot*CG35</f>
        <v>20013.6337142389</v>
      </c>
      <c r="CM35" s="20" t="n">
        <f aca="false">IF(AND(CE35=1,Slot7_IsMfree=1),IF(CJ35&gt;=Slot7_Cost-1,0,MAX(0,CC35-CJ35)),CC35)</f>
        <v>0</v>
      </c>
      <c r="CN35" s="20" t="n">
        <f aca="false">CE35*(Slot7_Cost-CJ35)</f>
        <v>0</v>
      </c>
      <c r="CO35" s="20" t="n">
        <f aca="false">IF(AND(Slot8_On=1,D35=Slot8_Age),1,0)</f>
        <v>0</v>
      </c>
      <c r="CP35" s="20" t="n">
        <f aca="false">IF(AND(Slot8_On=1,Slot8_Age&gt;D35),1,0)</f>
        <v>0</v>
      </c>
      <c r="CQ35" s="20" t="n">
        <f aca="false">RO34</f>
        <v>0</v>
      </c>
      <c r="CR35" s="20" t="n">
        <f aca="false">CO35*MIN(Slot8_Cost,CQ35)</f>
        <v>0</v>
      </c>
      <c r="CS35" s="20" t="n">
        <f aca="false">CO35*Slot8_SpendLike*MIN(Slot8_Cost-CR35,CK35)</f>
        <v>0</v>
      </c>
      <c r="CT35" s="20" t="n">
        <f aca="false">CR35+CS35</f>
        <v>0</v>
      </c>
      <c r="CU35" s="20" t="n">
        <f aca="false">CK35-CS35+CO35*IF(Slot8_SpendLike=1,CQ35-CR35,IF(Slot8_PotFree=1,CQ35,0))</f>
        <v>210463.301764803</v>
      </c>
      <c r="CV35" s="20" t="n">
        <f aca="false">CL35+CO35*Slot8_BufPot*CQ35</f>
        <v>20013.6337142389</v>
      </c>
      <c r="CW35" s="20" t="n">
        <f aca="false">IF(AND(CO35=1,Slot8_IsMfree=1),IF(CT35&gt;=Slot8_Cost-1,0,MAX(0,CM35-CT35)),CM35)</f>
        <v>0</v>
      </c>
      <c r="CX35" s="20" t="n">
        <f aca="false">CO35*(Slot8_Cost-CT35)</f>
        <v>0</v>
      </c>
      <c r="CY35" s="20" t="n">
        <f aca="false">IF(AND(Slot9_On=1,D35=Slot9_Age),1,0)</f>
        <v>0</v>
      </c>
      <c r="CZ35" s="20" t="n">
        <f aca="false">IF(AND(Slot9_On=1,Slot9_Age&gt;D35),1,0)</f>
        <v>0</v>
      </c>
      <c r="DA35" s="20" t="n">
        <f aca="false">RS34</f>
        <v>0</v>
      </c>
      <c r="DB35" s="20" t="n">
        <f aca="false">CY35*MIN(Slot9_Cost,DA35)</f>
        <v>0</v>
      </c>
      <c r="DC35" s="20" t="n">
        <f aca="false">CY35*Slot9_SpendLike*MIN(Slot9_Cost-DB35,CU35)</f>
        <v>0</v>
      </c>
      <c r="DD35" s="20" t="n">
        <f aca="false">DB35+DC35</f>
        <v>0</v>
      </c>
      <c r="DE35" s="20" t="n">
        <f aca="false">CU35-DC35+CY35*IF(Slot9_SpendLike=1,DA35-DB35,IF(Slot9_PotFree=1,DA35,0))</f>
        <v>210463.301764803</v>
      </c>
      <c r="DF35" s="20" t="n">
        <f aca="false">CV35+CY35*Slot9_BufPot*DA35</f>
        <v>20013.6337142389</v>
      </c>
      <c r="DG35" s="20" t="n">
        <f aca="false">IF(AND(CY35=1,Slot9_IsMfree=1),IF(DD35&gt;=Slot9_Cost-1,0,MAX(0,CW35-DD35)),CW35)</f>
        <v>0</v>
      </c>
      <c r="DH35" s="20" t="n">
        <f aca="false">CY35*(Slot9_Cost-DD35)</f>
        <v>0</v>
      </c>
      <c r="DI35" s="20" t="n">
        <f aca="false">IF(AND(Slot10_On=1,D35=Slot10_Age),1,0)</f>
        <v>0</v>
      </c>
      <c r="DJ35" s="20" t="n">
        <f aca="false">IF(AND(Slot10_On=1,Slot10_Age&gt;D35),1,0)</f>
        <v>0</v>
      </c>
      <c r="DK35" s="20" t="n">
        <f aca="false">RW34</f>
        <v>0</v>
      </c>
      <c r="DL35" s="20" t="n">
        <f aca="false">DI35*MIN(Slot10_Cost,DK35)</f>
        <v>0</v>
      </c>
      <c r="DM35" s="20" t="n">
        <f aca="false">DI35*Slot10_SpendLike*MIN(Slot10_Cost-DL35,DE35)</f>
        <v>0</v>
      </c>
      <c r="DN35" s="20" t="n">
        <f aca="false">DL35+DM35</f>
        <v>0</v>
      </c>
      <c r="DO35" s="20" t="n">
        <f aca="false">DE35-DM35+DI35*IF(Slot10_SpendLike=1,DK35-DL35,IF(Slot10_PotFree=1,DK35,0))</f>
        <v>210463.301764803</v>
      </c>
      <c r="DP35" s="20" t="n">
        <f aca="false">DF35+DI35*Slot10_BufPot*DK35</f>
        <v>20013.6337142389</v>
      </c>
      <c r="DQ35" s="20" t="n">
        <f aca="false">IF(AND(DI35=1,Slot10_IsMfree=1),IF(DN35&gt;=Slot10_Cost-1,0,MAX(0,DG35-DN35)),DG35)</f>
        <v>0</v>
      </c>
      <c r="DR35" s="20" t="n">
        <f aca="false">DI35*(Slot10_Cost-DN35)</f>
        <v>0</v>
      </c>
      <c r="DS35" s="20" t="n">
        <f aca="false">IF(AND(Slot11_On=1,D35=Slot11_Age),1,0)</f>
        <v>0</v>
      </c>
      <c r="DT35" s="20" t="n">
        <f aca="false">IF(AND(Slot11_On=1,Slot11_Age&gt;D35),1,0)</f>
        <v>0</v>
      </c>
      <c r="DU35" s="20" t="n">
        <f aca="false">SA34</f>
        <v>0</v>
      </c>
      <c r="DV35" s="20" t="n">
        <f aca="false">DS35*MIN(Slot11_Cost,DU35)</f>
        <v>0</v>
      </c>
      <c r="DW35" s="20" t="n">
        <f aca="false">DS35*Slot11_SpendLike*MIN(Slot11_Cost-DV35,DO35)</f>
        <v>0</v>
      </c>
      <c r="DX35" s="20" t="n">
        <f aca="false">DV35+DW35</f>
        <v>0</v>
      </c>
      <c r="DY35" s="20" t="n">
        <f aca="false">DO35-DW35+DS35*IF(Slot11_SpendLike=1,DU35-DV35,IF(Slot11_PotFree=1,DU35,0))</f>
        <v>210463.301764803</v>
      </c>
      <c r="DZ35" s="20" t="n">
        <f aca="false">DP35+DS35*Slot11_BufPot*DU35</f>
        <v>20013.6337142389</v>
      </c>
      <c r="EA35" s="20" t="n">
        <f aca="false">IF(AND(DS35=1,Slot11_IsMfree=1),IF(DX35&gt;=Slot11_Cost-1,0,MAX(0,DQ35-DX35)),DQ35)</f>
        <v>0</v>
      </c>
      <c r="EB35" s="20" t="n">
        <f aca="false">DS35*(Slot11_Cost-DX35)</f>
        <v>0</v>
      </c>
      <c r="EC35" s="20" t="n">
        <f aca="false">IF(AND(Slot12_On=1,D35=Slot12_Age),1,0)</f>
        <v>0</v>
      </c>
      <c r="ED35" s="20" t="n">
        <f aca="false">IF(AND(Slot12_On=1,Slot12_Age&gt;D35),1,0)</f>
        <v>0</v>
      </c>
      <c r="EE35" s="20" t="n">
        <f aca="false">SE34</f>
        <v>0</v>
      </c>
      <c r="EF35" s="20" t="n">
        <f aca="false">EC35*MIN(Slot12_Cost,EE35)</f>
        <v>0</v>
      </c>
      <c r="EG35" s="20" t="n">
        <f aca="false">EC35*Slot12_SpendLike*MIN(Slot12_Cost-EF35,DY35)</f>
        <v>0</v>
      </c>
      <c r="EH35" s="20" t="n">
        <f aca="false">EF35+EG35</f>
        <v>0</v>
      </c>
      <c r="EI35" s="20" t="n">
        <f aca="false">DY35-EG35+EC35*IF(Slot12_SpendLike=1,EE35-EF35,IF(Slot12_PotFree=1,EE35,0))</f>
        <v>210463.301764803</v>
      </c>
      <c r="EJ35" s="20" t="n">
        <f aca="false">DZ35+EC35*Slot12_BufPot*EE35</f>
        <v>20013.6337142389</v>
      </c>
      <c r="EK35" s="20" t="n">
        <f aca="false">IF(AND(EC35=1,Slot12_IsMfree=1),IF(EH35&gt;=Slot12_Cost-1,0,MAX(0,EA35-EH35)),EA35)</f>
        <v>0</v>
      </c>
      <c r="EL35" s="20" t="n">
        <f aca="false">EC35*(Slot12_Cost-EH35)</f>
        <v>0</v>
      </c>
      <c r="EM35" s="20" t="n">
        <f aca="false">IF(AND(Slot13_On=1,D35=Slot13_Age),1,0)</f>
        <v>0</v>
      </c>
      <c r="EN35" s="20" t="n">
        <f aca="false">IF(AND(Slot13_On=1,Slot13_Age&gt;D35),1,0)</f>
        <v>0</v>
      </c>
      <c r="EO35" s="20" t="n">
        <f aca="false">SI34</f>
        <v>0</v>
      </c>
      <c r="EP35" s="20" t="n">
        <f aca="false">EM35*MIN(Slot13_Cost,EO35)</f>
        <v>0</v>
      </c>
      <c r="EQ35" s="20" t="n">
        <f aca="false">EM35*Slot13_SpendLike*MIN(Slot13_Cost-EP35,EI35)</f>
        <v>0</v>
      </c>
      <c r="ER35" s="20" t="n">
        <f aca="false">EP35+EQ35</f>
        <v>0</v>
      </c>
      <c r="ES35" s="20" t="n">
        <f aca="false">EI35-EQ35+EM35*IF(Slot13_SpendLike=1,EO35-EP35,IF(Slot13_PotFree=1,EO35,0))</f>
        <v>210463.301764803</v>
      </c>
      <c r="ET35" s="20" t="n">
        <f aca="false">EJ35+EM35*Slot13_BufPot*EO35</f>
        <v>20013.6337142389</v>
      </c>
      <c r="EU35" s="20" t="n">
        <f aca="false">IF(AND(EM35=1,Slot13_IsMfree=1),IF(ER35&gt;=Slot13_Cost-1,0,MAX(0,EK35-ER35)),EK35)</f>
        <v>0</v>
      </c>
      <c r="EV35" s="20" t="n">
        <f aca="false">EM35*(Slot13_Cost-ER35)</f>
        <v>0</v>
      </c>
      <c r="EW35" s="20" t="n">
        <f aca="false">IF(AND(Slot14_On=1,D35=Slot14_Age),1,0)</f>
        <v>0</v>
      </c>
      <c r="EX35" s="20" t="n">
        <f aca="false">IF(AND(Slot14_On=1,Slot14_Age&gt;D35),1,0)</f>
        <v>0</v>
      </c>
      <c r="EY35" s="20" t="n">
        <f aca="false">SM34</f>
        <v>0</v>
      </c>
      <c r="EZ35" s="20" t="n">
        <f aca="false">EW35*MIN(Slot14_Cost,EY35)</f>
        <v>0</v>
      </c>
      <c r="FA35" s="20" t="n">
        <f aca="false">EW35*Slot14_SpendLike*MIN(Slot14_Cost-EZ35,ES35)</f>
        <v>0</v>
      </c>
      <c r="FB35" s="20" t="n">
        <f aca="false">EZ35+FA35</f>
        <v>0</v>
      </c>
      <c r="FC35" s="20" t="n">
        <f aca="false">ES35-FA35+EW35*IF(Slot14_SpendLike=1,EY35-EZ35,IF(Slot14_PotFree=1,EY35,0))</f>
        <v>210463.301764803</v>
      </c>
      <c r="FD35" s="20" t="n">
        <f aca="false">ET35+EW35*Slot14_BufPot*EY35</f>
        <v>20013.6337142389</v>
      </c>
      <c r="FE35" s="20" t="n">
        <f aca="false">IF(AND(EW35=1,Slot14_IsMfree=1),IF(FB35&gt;=Slot14_Cost-1,0,MAX(0,EU35-FB35)),EU35)</f>
        <v>0</v>
      </c>
      <c r="FF35" s="20" t="n">
        <f aca="false">EW35*(Slot14_Cost-FB35)</f>
        <v>0</v>
      </c>
      <c r="FG35" s="20" t="n">
        <f aca="false">IF(AND(Slot15_On=1,D35=Slot15_Age),1,0)</f>
        <v>0</v>
      </c>
      <c r="FH35" s="20" t="n">
        <f aca="false">IF(AND(Slot15_On=1,Slot15_Age&gt;D35),1,0)</f>
        <v>0</v>
      </c>
      <c r="FI35" s="20" t="n">
        <f aca="false">SQ34</f>
        <v>0</v>
      </c>
      <c r="FJ35" s="20" t="n">
        <f aca="false">FG35*MIN(Slot15_Cost,FI35)</f>
        <v>0</v>
      </c>
      <c r="FK35" s="20" t="n">
        <f aca="false">FG35*Slot15_SpendLike*MIN(Slot15_Cost-FJ35,FC35)</f>
        <v>0</v>
      </c>
      <c r="FL35" s="20" t="n">
        <f aca="false">FJ35+FK35</f>
        <v>0</v>
      </c>
      <c r="FM35" s="20" t="n">
        <f aca="false">FC35-FK35+FG35*IF(Slot15_SpendLike=1,FI35-FJ35,IF(Slot15_PotFree=1,FI35,0))</f>
        <v>210463.301764803</v>
      </c>
      <c r="FN35" s="20" t="n">
        <f aca="false">FD35+FG35*Slot15_BufPot*FI35</f>
        <v>20013.6337142389</v>
      </c>
      <c r="FO35" s="20" t="n">
        <f aca="false">IF(AND(FG35=1,Slot15_IsMfree=1),IF(FL35&gt;=Slot15_Cost-1,0,MAX(0,FE35-FL35)),FE35)</f>
        <v>0</v>
      </c>
      <c r="FP35" s="20" t="n">
        <f aca="false">FG35*(Slot15_Cost-FL35)</f>
        <v>0</v>
      </c>
      <c r="FQ35" s="20" t="n">
        <f aca="false">IF(AND(Slot16_On=1,D35=Slot16_Age),1,0)</f>
        <v>0</v>
      </c>
      <c r="FR35" s="20" t="n">
        <f aca="false">IF(AND(Slot16_On=1,Slot16_Age&gt;D35),1,0)</f>
        <v>0</v>
      </c>
      <c r="FS35" s="20" t="n">
        <f aca="false">SU34</f>
        <v>0</v>
      </c>
      <c r="FT35" s="20" t="n">
        <f aca="false">FQ35*MIN(Slot16_Cost,FS35)</f>
        <v>0</v>
      </c>
      <c r="FU35" s="20" t="n">
        <f aca="false">FQ35*Slot16_SpendLike*MIN(Slot16_Cost-FT35,FM35)</f>
        <v>0</v>
      </c>
      <c r="FV35" s="20" t="n">
        <f aca="false">FT35+FU35</f>
        <v>0</v>
      </c>
      <c r="FW35" s="20" t="n">
        <f aca="false">FM35-FU35+FQ35*IF(Slot16_SpendLike=1,FS35-FT35,IF(Slot16_PotFree=1,FS35,0))</f>
        <v>210463.301764803</v>
      </c>
      <c r="FX35" s="20" t="n">
        <f aca="false">FN35+FQ35*Slot16_BufPot*FS35</f>
        <v>20013.6337142389</v>
      </c>
      <c r="FY35" s="20" t="n">
        <f aca="false">IF(AND(FQ35=1,Slot16_IsMfree=1),IF(FV35&gt;=Slot16_Cost-1,0,MAX(0,FO35-FV35)),FO35)</f>
        <v>0</v>
      </c>
      <c r="FZ35" s="20" t="n">
        <f aca="false">FQ35*(Slot16_Cost-FV35)</f>
        <v>0</v>
      </c>
      <c r="GA35" s="20" t="n">
        <f aca="false">IF(AND(Slot17_On=1,D35=Slot17_Age),1,0)</f>
        <v>0</v>
      </c>
      <c r="GB35" s="20" t="n">
        <f aca="false">IF(AND(Slot17_On=1,Slot17_Age&gt;D35),1,0)</f>
        <v>0</v>
      </c>
      <c r="GC35" s="20" t="n">
        <f aca="false">SY34</f>
        <v>0</v>
      </c>
      <c r="GD35" s="20" t="n">
        <f aca="false">GA35*MIN(Slot17_Cost,GC35)</f>
        <v>0</v>
      </c>
      <c r="GE35" s="20" t="n">
        <f aca="false">GA35*Slot17_SpendLike*MIN(Slot17_Cost-GD35,FW35)</f>
        <v>0</v>
      </c>
      <c r="GF35" s="20" t="n">
        <f aca="false">GD35+GE35</f>
        <v>0</v>
      </c>
      <c r="GG35" s="20" t="n">
        <f aca="false">FW35-GE35+GA35*IF(Slot17_SpendLike=1,GC35-GD35,IF(Slot17_PotFree=1,GC35,0))</f>
        <v>210463.301764803</v>
      </c>
      <c r="GH35" s="20" t="n">
        <f aca="false">FX35+GA35*Slot17_BufPot*GC35</f>
        <v>20013.6337142389</v>
      </c>
      <c r="GI35" s="20" t="n">
        <f aca="false">IF(AND(GA35=1,Slot17_IsMfree=1),IF(GF35&gt;=Slot17_Cost-1,0,MAX(0,FY35-GF35)),FY35)</f>
        <v>0</v>
      </c>
      <c r="GJ35" s="20" t="n">
        <f aca="false">GA35*(Slot17_Cost-GF35)</f>
        <v>0</v>
      </c>
      <c r="GK35" s="20" t="n">
        <f aca="false">IF(AND(Slot18_On=1,D35=Slot18_Age),1,0)</f>
        <v>0</v>
      </c>
      <c r="GL35" s="20" t="n">
        <f aca="false">IF(AND(Slot18_On=1,Slot18_Age&gt;D35),1,0)</f>
        <v>0</v>
      </c>
      <c r="GM35" s="20" t="n">
        <f aca="false">TC34</f>
        <v>0</v>
      </c>
      <c r="GN35" s="20" t="n">
        <f aca="false">GK35*MIN(Slot18_Cost,GM35)</f>
        <v>0</v>
      </c>
      <c r="GO35" s="20" t="n">
        <f aca="false">GK35*Slot18_SpendLike*MIN(Slot18_Cost-GN35,GG35)</f>
        <v>0</v>
      </c>
      <c r="GP35" s="20" t="n">
        <f aca="false">GN35+GO35</f>
        <v>0</v>
      </c>
      <c r="GQ35" s="20" t="n">
        <f aca="false">GG35-GO35+GK35*IF(Slot18_SpendLike=1,GM35-GN35,IF(Slot18_PotFree=1,GM35,0))</f>
        <v>210463.301764803</v>
      </c>
      <c r="GR35" s="20" t="n">
        <f aca="false">GH35+GK35*Slot18_BufPot*GM35</f>
        <v>20013.6337142389</v>
      </c>
      <c r="GS35" s="20" t="n">
        <f aca="false">IF(AND(GK35=1,Slot18_IsMfree=1),IF(GP35&gt;=Slot18_Cost-1,0,MAX(0,GI35-GP35)),GI35)</f>
        <v>0</v>
      </c>
      <c r="GT35" s="20" t="n">
        <f aca="false">GK35*(Slot18_Cost-GP35)</f>
        <v>0</v>
      </c>
      <c r="GU35" s="20" t="n">
        <f aca="false">IF(AND(Slot19_On=1,D35=Slot19_Age),1,0)</f>
        <v>0</v>
      </c>
      <c r="GV35" s="20" t="n">
        <f aca="false">IF(AND(Slot19_On=1,Slot19_Age&gt;D35),1,0)</f>
        <v>0</v>
      </c>
      <c r="GW35" s="20" t="n">
        <f aca="false">TG34</f>
        <v>0</v>
      </c>
      <c r="GX35" s="20" t="n">
        <f aca="false">GU35*MIN(Slot19_Cost,GW35)</f>
        <v>0</v>
      </c>
      <c r="GY35" s="20" t="n">
        <f aca="false">GU35*Slot19_SpendLike*MIN(Slot19_Cost-GX35,GQ35)</f>
        <v>0</v>
      </c>
      <c r="GZ35" s="20" t="n">
        <f aca="false">GX35+GY35</f>
        <v>0</v>
      </c>
      <c r="HA35" s="20" t="n">
        <f aca="false">GQ35-GY35+GU35*IF(Slot19_SpendLike=1,GW35-GX35,IF(Slot19_PotFree=1,GW35,0))</f>
        <v>210463.301764803</v>
      </c>
      <c r="HB35" s="20" t="n">
        <f aca="false">GR35+GU35*Slot19_BufPot*GW35</f>
        <v>20013.6337142389</v>
      </c>
      <c r="HC35" s="20" t="n">
        <f aca="false">IF(AND(GU35=1,Slot19_IsMfree=1),IF(GZ35&gt;=Slot19_Cost-1,0,MAX(0,GS35-GZ35)),GS35)</f>
        <v>0</v>
      </c>
      <c r="HD35" s="20" t="n">
        <f aca="false">GU35*(Slot19_Cost-GZ35)</f>
        <v>0</v>
      </c>
      <c r="HE35" s="20" t="n">
        <f aca="false">IF(AND(Slot20_On=1,D35=Slot20_Age),1,0)</f>
        <v>0</v>
      </c>
      <c r="HF35" s="20" t="n">
        <f aca="false">IF(AND(Slot20_On=1,Slot20_Age&gt;D35),1,0)</f>
        <v>0</v>
      </c>
      <c r="HG35" s="20" t="n">
        <f aca="false">TK34</f>
        <v>0</v>
      </c>
      <c r="HH35" s="20" t="n">
        <f aca="false">HE35*MIN(Slot20_Cost,HG35)</f>
        <v>0</v>
      </c>
      <c r="HI35" s="20" t="n">
        <f aca="false">HE35*Slot20_SpendLike*MIN(Slot20_Cost-HH35,HA35)</f>
        <v>0</v>
      </c>
      <c r="HJ35" s="20" t="n">
        <f aca="false">HH35+HI35</f>
        <v>0</v>
      </c>
      <c r="HK35" s="20" t="n">
        <f aca="false">HA35-HI35+HE35*IF(Slot20_SpendLike=1,HG35-HH35,IF(Slot20_PotFree=1,HG35,0))</f>
        <v>210463.301764803</v>
      </c>
      <c r="HL35" s="20" t="n">
        <f aca="false">HB35+HE35*Slot20_BufPot*HG35</f>
        <v>20013.6337142389</v>
      </c>
      <c r="HM35" s="20" t="n">
        <f aca="false">IF(AND(HE35=1,Slot20_IsMfree=1),IF(HJ35&gt;=Slot20_Cost-1,0,MAX(0,HC35-HJ35)),HC35)</f>
        <v>0</v>
      </c>
      <c r="HN35" s="20" t="n">
        <f aca="false">HE35*(Slot20_Cost-HJ35)</f>
        <v>0</v>
      </c>
      <c r="HO35" s="20" t="n">
        <f aca="false">V35*Slot1_SpendLike*AA35+AG35*Slot2_SpendLike*AL35+AQ35*Slot3_SpendLike*AV35+BA35*Slot4_SpendLike*BF35+BK35*Slot5_SpendLike*BP35+BU35*Slot6_SpendLike*BZ35+CE35*Slot7_SpendLike*CJ35+CO35*Slot8_SpendLike*CT35+CY35*Slot9_SpendLike*DD35+DI35*Slot10_SpendLike*DN35+DS35*Slot11_SpendLike*DX35+EC35*Slot12_SpendLike*EH35+EM35*Slot13_SpendLike*ER35+EW35*Slot14_SpendLike*FB35+FG35*Slot15_SpendLike*FL35+FQ35*Slot16_SpendLike*FV35+GA35*Slot17_SpendLike*GF35+GK35*Slot18_SpendLike*GP35+GU35*Slot19_SpendLike*GZ35+HE35*Slot20_SpendLike*HJ35</f>
        <v>0</v>
      </c>
      <c r="HP35" s="20" t="n">
        <f aca="false">AE35+AP35+AZ35+BJ35+BT35+CD35+CN35+CX35+DH35+DR35+EB35+EL35+EV35+FF35+FP35+FZ35+GJ35+GT35+HD35+HN35</f>
        <v>0</v>
      </c>
      <c r="HQ35" s="20" t="n">
        <f aca="false">V35*Slot1_Cost+AG35*Slot2_Cost+AQ35*Slot3_Cost+BA35*Slot4_Cost+BK35*Slot5_Cost+BU35*Slot6_Cost+CE35*Slot7_Cost+CO35*Slot8_Cost+CY35*Slot9_Cost+DI35*Slot10_Cost+DS35*Slot11_Cost+EC35*Slot12_Cost+EM35*Slot13_Cost+EW35*Slot14_Cost+FG35*Slot15_Cost+FQ35*Slot16_Cost+GA35*Slot17_Cost+GK35*Slot18_Cost+GU35*Slot19_Cost+HE35*Slot20_Cost</f>
        <v>0</v>
      </c>
      <c r="HR35" s="20" t="n">
        <f aca="false">HM35</f>
        <v>0</v>
      </c>
      <c r="HS35" s="20" t="n">
        <f aca="false">H35-I35-S35</f>
        <v>-21935.0063548324</v>
      </c>
      <c r="HT35" s="20" t="n">
        <f aca="false">IF(B35=0,IF(AND(Has_q6=1,In_q6=4),PR_ShareVaries*(MAX(0,HS35)/12),MIN(IF(Has_q6=1,CHOOSE(In_q6+1,PR_SaveB1,PR_SaveB2,PR_SaveB3,PR_SaveB4,0),AS_NoAnswer),AS_SaveShare*(MAX(0,HS35)/12))),HT34)</f>
        <v>62.3316893520437</v>
      </c>
      <c r="HU35" s="20" t="n">
        <f aca="false">IF(HS35&gt;=0,1,0)</f>
        <v>0</v>
      </c>
      <c r="HV35" s="20" t="n">
        <f aca="false">MAX(0,HS35/12/F35)</f>
        <v>0</v>
      </c>
      <c r="HW35" s="20" t="n">
        <f aca="false">IF(AND(Has_q6=1,In_q6=4),PR_ShareVaries*(HV35),MIN(IF(Has_q6=1,CHOOSE(In_q6+1,PR_SaveB1,PR_SaveB2,PR_SaveB3,PR_SaveB4,0),AS_NoAnswer),AS_SaveShare*(HV35)))</f>
        <v>0</v>
      </c>
      <c r="HX35" s="20" t="n">
        <f aca="false">IF(Has_saveM=1,IF(In_saveUp="Yes",1,IF(In_saveUp="No",0,IF(In_saveM&gt;=HT35-0.5,1,0))),0)</f>
        <v>0</v>
      </c>
      <c r="HY35" s="20" t="n">
        <f aca="false">IF(Has_saveM=1,MIN(HV35,IF(HX35=1,MAX(In_saveM,HW35),MIN(In_saveM,HW35))),HW35)</f>
        <v>0</v>
      </c>
      <c r="HZ35" s="20" t="n">
        <f aca="false">IF(G35=1,HY35*12*F35,0)</f>
        <v>0</v>
      </c>
      <c r="IA35" s="20" t="n">
        <f aca="false">MAX(0,HZ35+IF(AND(WI_Retire=0,WI_M&lt;0,G35=1),WI_M*12*F35,0))</f>
        <v>0</v>
      </c>
      <c r="IB35" s="20" t="n">
        <f aca="false">Slot1_IsWG*W35+Slot2_IsWG*AH35+Slot3_IsWG*AR35+Slot4_IsWG*BB35+Slot5_IsWG*BL35+Slot6_IsWG*BV35+Slot7_IsWG*CF35+Slot8_IsWG*CP35+Slot9_IsWG*CZ35+Slot10_IsWG*DJ35+Slot11_IsWG*DT35+Slot12_IsWG*ED35+Slot13_IsWG*EN35+Slot14_IsWG*EX35+Slot15_IsWG*FH35+Slot16_IsWG*FR35+Slot17_IsWG*GB35+Slot18_IsWG*GL35+Slot19_IsWG*GV35+Slot20_IsWG*HF35</f>
        <v>0</v>
      </c>
      <c r="IC35" s="20" t="n">
        <f aca="false">IF(AND(WI_Retire=0,WI_M&gt;0,G35=1,IB35&gt;=1),WI_M*12*F35,0)</f>
        <v>0</v>
      </c>
      <c r="ID35" s="20" t="n">
        <f aca="false">IF(HU35=1,MIN(IA35,HS35),0)</f>
        <v>0</v>
      </c>
      <c r="IE35" s="20" t="n">
        <f aca="false">IF(HU35=1,MIN(IC35,HS35-ID35),0)</f>
        <v>0</v>
      </c>
      <c r="IF35" s="20" t="n">
        <f aca="false">IF(W35=1,IF(ABS((1+AS_Wage)/(1+Slot1_Rate)-1)&lt;0.000000000001,(Slot1_Age-D35)*(1+Slot1_Rate)^(Slot1_Age-D35),(1+Slot1_Rate)^(Slot1_Age-D35)*(1-((1+AS_Wage)/(1+Slot1_Rate))^(Slot1_Age-D35))/(1-(1+AS_Wage)/(1+Slot1_Rate))),1)</f>
        <v>1</v>
      </c>
      <c r="IG35" s="20" t="n">
        <f aca="false">IF(AND(HU35=1,IE35&gt;0,Slot1_IsWG=1,W35=1),MAX(0,(Slot1_Cost-X35*(1+Slot1_Rate)^(Slot1_Age-D35))/IF35),0)</f>
        <v>0</v>
      </c>
      <c r="IH35" s="20" t="n">
        <f aca="false">IF(AND(HU35=1,IE35&gt;0,Slot1_IsWG=1,W35=1),MIN(IE35,IG35),0)</f>
        <v>0</v>
      </c>
      <c r="II35" s="20" t="n">
        <f aca="false">X35+IH35</f>
        <v>0</v>
      </c>
      <c r="IJ35" s="20" t="n">
        <f aca="false">IF(W35=1,MAX(0,(Slot1_Cost-II35*(1+Slot1_Rate)^(Slot1_Age-D35))/IF35),0)</f>
        <v>0</v>
      </c>
      <c r="IK35" s="20" t="n">
        <f aca="false">IF(W35=1,MAX(0,(Slot1_Cost-X35*(1+Slot1_Rate)^(Slot1_Age-D35))/IF35),0)</f>
        <v>0</v>
      </c>
      <c r="IL35" s="20" t="n">
        <f aca="false">IF(AND(HU35=1,W35=1),MIN(ID35,IJ35),0)</f>
        <v>0</v>
      </c>
      <c r="IM35" s="20" t="n">
        <f aca="false">ID35-IL35</f>
        <v>0</v>
      </c>
      <c r="IN35" s="20" t="n">
        <f aca="false">IF(AH35=1,IF(ABS((1+AS_Wage)/(1+Slot2_Rate)-1)&lt;0.000000000001,(Slot2_Age-D35)*(1+Slot2_Rate)^(Slot2_Age-D35),(1+Slot2_Rate)^(Slot2_Age-D35)*(1-((1+AS_Wage)/(1+Slot2_Rate))^(Slot2_Age-D35))/(1-(1+AS_Wage)/(1+Slot2_Rate))),1)</f>
        <v>1</v>
      </c>
      <c r="IO35" s="20" t="n">
        <f aca="false">IF(AND(HU35=1,IE35&gt;0,Slot2_IsWG=1,AH35=1),MAX(0,(Slot2_Cost-AI35*(1+Slot2_Rate)^(Slot2_Age-D35))/IN35),0)</f>
        <v>0</v>
      </c>
      <c r="IP35" s="20" t="n">
        <f aca="false">IF(AND(HU35=1,IE35&gt;0,Slot2_IsWG=1,AH35=1),MIN(IE35,IO35),0)</f>
        <v>0</v>
      </c>
      <c r="IQ35" s="20" t="n">
        <f aca="false">AI35+IP35</f>
        <v>0</v>
      </c>
      <c r="IR35" s="20" t="n">
        <f aca="false">IF(AH35=1,MAX(0,(Slot2_Cost-IQ35*(1+Slot2_Rate)^(Slot2_Age-D35))/IN35),0)</f>
        <v>0</v>
      </c>
      <c r="IS35" s="20" t="n">
        <f aca="false">IF(AH35=1,MAX(0,(Slot2_Cost-AI35*(1+Slot2_Rate)^(Slot2_Age-D35))/IN35),0)</f>
        <v>0</v>
      </c>
      <c r="IT35" s="20" t="n">
        <f aca="false">IF(AND(HU35=1,AH35=1),MIN(IM35,IR35),0)</f>
        <v>0</v>
      </c>
      <c r="IU35" s="20" t="n">
        <f aca="false">IM35-IT35</f>
        <v>0</v>
      </c>
      <c r="IV35" s="20" t="n">
        <f aca="false">IF(AR35=1,IF(ABS((1+AS_Wage)/(1+Slot3_Rate)-1)&lt;0.000000000001,(Slot3_Age-D35)*(1+Slot3_Rate)^(Slot3_Age-D35),(1+Slot3_Rate)^(Slot3_Age-D35)*(1-((1+AS_Wage)/(1+Slot3_Rate))^(Slot3_Age-D35))/(1-(1+AS_Wage)/(1+Slot3_Rate))),1)</f>
        <v>1</v>
      </c>
      <c r="IW35" s="20" t="n">
        <f aca="false">IF(AND(HU35=1,IE35&gt;0,Slot3_IsWG=1,AR35=1),MAX(0,(Slot3_Cost-AS35*(1+Slot3_Rate)^(Slot3_Age-D35))/IV35),0)</f>
        <v>0</v>
      </c>
      <c r="IX35" s="20" t="n">
        <f aca="false">IF(AND(HU35=1,IE35&gt;0,Slot3_IsWG=1,AR35=1),MIN(IE35,IW35),0)</f>
        <v>0</v>
      </c>
      <c r="IY35" s="20" t="n">
        <f aca="false">AS35+IX35</f>
        <v>0</v>
      </c>
      <c r="IZ35" s="20" t="n">
        <f aca="false">IF(AR35=1,MAX(0,(Slot3_Cost-IY35*(1+Slot3_Rate)^(Slot3_Age-D35))/IV35),0)</f>
        <v>0</v>
      </c>
      <c r="JA35" s="20" t="n">
        <f aca="false">IF(AR35=1,MAX(0,(Slot3_Cost-AS35*(1+Slot3_Rate)^(Slot3_Age-D35))/IV35),0)</f>
        <v>0</v>
      </c>
      <c r="JB35" s="20" t="n">
        <f aca="false">IF(AND(HU35=1,AR35=1),MIN(IU35,IZ35),0)</f>
        <v>0</v>
      </c>
      <c r="JC35" s="20" t="n">
        <f aca="false">IU35-JB35</f>
        <v>0</v>
      </c>
      <c r="JD35" s="20" t="n">
        <f aca="false">IF(BB35=1,IF(ABS((1+AS_Wage)/(1+Slot4_Rate)-1)&lt;0.000000000001,(Slot4_Age-D35)*(1+Slot4_Rate)^(Slot4_Age-D35),(1+Slot4_Rate)^(Slot4_Age-D35)*(1-((1+AS_Wage)/(1+Slot4_Rate))^(Slot4_Age-D35))/(1-(1+AS_Wage)/(1+Slot4_Rate))),1)</f>
        <v>1</v>
      </c>
      <c r="JE35" s="20" t="n">
        <f aca="false">IF(AND(HU35=1,IE35&gt;0,Slot4_IsWG=1,BB35=1),MAX(0,(Slot4_Cost-BC35*(1+Slot4_Rate)^(Slot4_Age-D35))/JD35),0)</f>
        <v>0</v>
      </c>
      <c r="JF35" s="20" t="n">
        <f aca="false">IF(AND(HU35=1,IE35&gt;0,Slot4_IsWG=1,BB35=1),MIN(IE35,JE35),0)</f>
        <v>0</v>
      </c>
      <c r="JG35" s="20" t="n">
        <f aca="false">BC35+JF35</f>
        <v>0</v>
      </c>
      <c r="JH35" s="20" t="n">
        <f aca="false">IF(BB35=1,MAX(0,(Slot4_Cost-JG35*(1+Slot4_Rate)^(Slot4_Age-D35))/JD35),0)</f>
        <v>0</v>
      </c>
      <c r="JI35" s="20" t="n">
        <f aca="false">IF(BB35=1,MAX(0,(Slot4_Cost-BC35*(1+Slot4_Rate)^(Slot4_Age-D35))/JD35),0)</f>
        <v>0</v>
      </c>
      <c r="JJ35" s="20" t="n">
        <f aca="false">IF(AND(HU35=1,BB35=1),MIN(JC35,JH35),0)</f>
        <v>0</v>
      </c>
      <c r="JK35" s="20" t="n">
        <f aca="false">JC35-JJ35</f>
        <v>0</v>
      </c>
      <c r="JL35" s="20" t="n">
        <f aca="false">IF(BL35=1,IF(ABS((1+AS_Wage)/(1+Slot5_Rate)-1)&lt;0.000000000001,(Slot5_Age-D35)*(1+Slot5_Rate)^(Slot5_Age-D35),(1+Slot5_Rate)^(Slot5_Age-D35)*(1-((1+AS_Wage)/(1+Slot5_Rate))^(Slot5_Age-D35))/(1-(1+AS_Wage)/(1+Slot5_Rate))),1)</f>
        <v>1</v>
      </c>
      <c r="JM35" s="20" t="n">
        <f aca="false">IF(AND(HU35=1,IE35&gt;0,Slot5_IsWG=1,BL35=1),MAX(0,(Slot5_Cost-BM35*(1+Slot5_Rate)^(Slot5_Age-D35))/JL35),0)</f>
        <v>0</v>
      </c>
      <c r="JN35" s="20" t="n">
        <f aca="false">IF(AND(HU35=1,IE35&gt;0,Slot5_IsWG=1,BL35=1),MIN(IE35,JM35),0)</f>
        <v>0</v>
      </c>
      <c r="JO35" s="20" t="n">
        <f aca="false">BM35+JN35</f>
        <v>0</v>
      </c>
      <c r="JP35" s="20" t="n">
        <f aca="false">IF(BL35=1,MAX(0,(Slot5_Cost-JO35*(1+Slot5_Rate)^(Slot5_Age-D35))/JL35),0)</f>
        <v>0</v>
      </c>
      <c r="JQ35" s="20" t="n">
        <f aca="false">IF(BL35=1,MAX(0,(Slot5_Cost-BM35*(1+Slot5_Rate)^(Slot5_Age-D35))/JL35),0)</f>
        <v>0</v>
      </c>
      <c r="JR35" s="20" t="n">
        <f aca="false">IF(AND(HU35=1,BL35=1),MIN(JK35,JP35),0)</f>
        <v>0</v>
      </c>
      <c r="JS35" s="20" t="n">
        <f aca="false">JK35-JR35</f>
        <v>0</v>
      </c>
      <c r="JT35" s="20" t="n">
        <f aca="false">IF(BV35=1,IF(ABS((1+AS_Wage)/(1+Slot6_Rate)-1)&lt;0.000000000001,(Slot6_Age-D35)*(1+Slot6_Rate)^(Slot6_Age-D35),(1+Slot6_Rate)^(Slot6_Age-D35)*(1-((1+AS_Wage)/(1+Slot6_Rate))^(Slot6_Age-D35))/(1-(1+AS_Wage)/(1+Slot6_Rate))),1)</f>
        <v>1</v>
      </c>
      <c r="JU35" s="20" t="n">
        <f aca="false">IF(AND(HU35=1,IE35&gt;0,Slot6_IsWG=1,BV35=1),MAX(0,(Slot6_Cost-BW35*(1+Slot6_Rate)^(Slot6_Age-D35))/JT35),0)</f>
        <v>0</v>
      </c>
      <c r="JV35" s="20" t="n">
        <f aca="false">IF(AND(HU35=1,IE35&gt;0,Slot6_IsWG=1,BV35=1),MIN(IE35,JU35),0)</f>
        <v>0</v>
      </c>
      <c r="JW35" s="20" t="n">
        <f aca="false">BW35+JV35</f>
        <v>0</v>
      </c>
      <c r="JX35" s="20" t="n">
        <f aca="false">IF(BV35=1,MAX(0,(Slot6_Cost-JW35*(1+Slot6_Rate)^(Slot6_Age-D35))/JT35),0)</f>
        <v>0</v>
      </c>
      <c r="JY35" s="20" t="n">
        <f aca="false">IF(BV35=1,MAX(0,(Slot6_Cost-BW35*(1+Slot6_Rate)^(Slot6_Age-D35))/JT35),0)</f>
        <v>0</v>
      </c>
      <c r="JZ35" s="20" t="n">
        <f aca="false">IF(AND(HU35=1,BV35=1),MIN(JS35,JX35),0)</f>
        <v>0</v>
      </c>
      <c r="KA35" s="20" t="n">
        <f aca="false">JS35-JZ35</f>
        <v>0</v>
      </c>
      <c r="KB35" s="20" t="n">
        <f aca="false">IF(CF35=1,IF(ABS((1+AS_Wage)/(1+Slot7_Rate)-1)&lt;0.000000000001,(Slot7_Age-D35)*(1+Slot7_Rate)^(Slot7_Age-D35),(1+Slot7_Rate)^(Slot7_Age-D35)*(1-((1+AS_Wage)/(1+Slot7_Rate))^(Slot7_Age-D35))/(1-(1+AS_Wage)/(1+Slot7_Rate))),1)</f>
        <v>1</v>
      </c>
      <c r="KC35" s="20" t="n">
        <f aca="false">IF(AND(HU35=1,IE35&gt;0,Slot7_IsWG=1,CF35=1),MAX(0,(Slot7_Cost-CG35*(1+Slot7_Rate)^(Slot7_Age-D35))/KB35),0)</f>
        <v>0</v>
      </c>
      <c r="KD35" s="20" t="n">
        <f aca="false">IF(AND(HU35=1,IE35&gt;0,Slot7_IsWG=1,CF35=1),MIN(IE35,KC35),0)</f>
        <v>0</v>
      </c>
      <c r="KE35" s="20" t="n">
        <f aca="false">CG35+KD35</f>
        <v>0</v>
      </c>
      <c r="KF35" s="20" t="n">
        <f aca="false">IF(CF35=1,MAX(0,(Slot7_Cost-KE35*(1+Slot7_Rate)^(Slot7_Age-D35))/KB35),0)</f>
        <v>0</v>
      </c>
      <c r="KG35" s="20" t="n">
        <f aca="false">IF(CF35=1,MAX(0,(Slot7_Cost-CG35*(1+Slot7_Rate)^(Slot7_Age-D35))/KB35),0)</f>
        <v>0</v>
      </c>
      <c r="KH35" s="20" t="n">
        <f aca="false">IF(AND(HU35=1,CF35=1),MIN(KA35,KF35),0)</f>
        <v>0</v>
      </c>
      <c r="KI35" s="20" t="n">
        <f aca="false">KA35-KH35</f>
        <v>0</v>
      </c>
      <c r="KJ35" s="20" t="n">
        <f aca="false">IF(CP35=1,IF(ABS((1+AS_Wage)/(1+Slot8_Rate)-1)&lt;0.000000000001,(Slot8_Age-D35)*(1+Slot8_Rate)^(Slot8_Age-D35),(1+Slot8_Rate)^(Slot8_Age-D35)*(1-((1+AS_Wage)/(1+Slot8_Rate))^(Slot8_Age-D35))/(1-(1+AS_Wage)/(1+Slot8_Rate))),1)</f>
        <v>1</v>
      </c>
      <c r="KK35" s="20" t="n">
        <f aca="false">IF(AND(HU35=1,IE35&gt;0,Slot8_IsWG=1,CP35=1),MAX(0,(Slot8_Cost-CQ35*(1+Slot8_Rate)^(Slot8_Age-D35))/KJ35),0)</f>
        <v>0</v>
      </c>
      <c r="KL35" s="20" t="n">
        <f aca="false">IF(AND(HU35=1,IE35&gt;0,Slot8_IsWG=1,CP35=1),MIN(IE35,KK35),0)</f>
        <v>0</v>
      </c>
      <c r="KM35" s="20" t="n">
        <f aca="false">CQ35+KL35</f>
        <v>0</v>
      </c>
      <c r="KN35" s="20" t="n">
        <f aca="false">IF(CP35=1,MAX(0,(Slot8_Cost-KM35*(1+Slot8_Rate)^(Slot8_Age-D35))/KJ35),0)</f>
        <v>0</v>
      </c>
      <c r="KO35" s="20" t="n">
        <f aca="false">IF(CP35=1,MAX(0,(Slot8_Cost-CQ35*(1+Slot8_Rate)^(Slot8_Age-D35))/KJ35),0)</f>
        <v>0</v>
      </c>
      <c r="KP35" s="20" t="n">
        <f aca="false">IF(AND(HU35=1,CP35=1),MIN(KI35,KN35),0)</f>
        <v>0</v>
      </c>
      <c r="KQ35" s="20" t="n">
        <f aca="false">KI35-KP35</f>
        <v>0</v>
      </c>
      <c r="KR35" s="20" t="n">
        <f aca="false">IF(CZ35=1,IF(ABS((1+AS_Wage)/(1+Slot9_Rate)-1)&lt;0.000000000001,(Slot9_Age-D35)*(1+Slot9_Rate)^(Slot9_Age-D35),(1+Slot9_Rate)^(Slot9_Age-D35)*(1-((1+AS_Wage)/(1+Slot9_Rate))^(Slot9_Age-D35))/(1-(1+AS_Wage)/(1+Slot9_Rate))),1)</f>
        <v>1</v>
      </c>
      <c r="KS35" s="20" t="n">
        <f aca="false">IF(AND(HU35=1,IE35&gt;0,Slot9_IsWG=1,CZ35=1),MAX(0,(Slot9_Cost-DA35*(1+Slot9_Rate)^(Slot9_Age-D35))/KR35),0)</f>
        <v>0</v>
      </c>
      <c r="KT35" s="20" t="n">
        <f aca="false">IF(AND(HU35=1,IE35&gt;0,Slot9_IsWG=1,CZ35=1),MIN(IE35,KS35),0)</f>
        <v>0</v>
      </c>
      <c r="KU35" s="20" t="n">
        <f aca="false">DA35+KT35</f>
        <v>0</v>
      </c>
      <c r="KV35" s="20" t="n">
        <f aca="false">IF(CZ35=1,MAX(0,(Slot9_Cost-KU35*(1+Slot9_Rate)^(Slot9_Age-D35))/KR35),0)</f>
        <v>0</v>
      </c>
      <c r="KW35" s="20" t="n">
        <f aca="false">IF(CZ35=1,MAX(0,(Slot9_Cost-DA35*(1+Slot9_Rate)^(Slot9_Age-D35))/KR35),0)</f>
        <v>0</v>
      </c>
      <c r="KX35" s="20" t="n">
        <f aca="false">IF(AND(HU35=1,CZ35=1),MIN(KQ35,KV35),0)</f>
        <v>0</v>
      </c>
      <c r="KY35" s="20" t="n">
        <f aca="false">KQ35-KX35</f>
        <v>0</v>
      </c>
      <c r="KZ35" s="20" t="n">
        <f aca="false">IF(DJ35=1,IF(ABS((1+AS_Wage)/(1+Slot10_Rate)-1)&lt;0.000000000001,(Slot10_Age-D35)*(1+Slot10_Rate)^(Slot10_Age-D35),(1+Slot10_Rate)^(Slot10_Age-D35)*(1-((1+AS_Wage)/(1+Slot10_Rate))^(Slot10_Age-D35))/(1-(1+AS_Wage)/(1+Slot10_Rate))),1)</f>
        <v>1</v>
      </c>
      <c r="LA35" s="20" t="n">
        <f aca="false">IF(AND(HU35=1,IE35&gt;0,Slot10_IsWG=1,DJ35=1),MAX(0,(Slot10_Cost-DK35*(1+Slot10_Rate)^(Slot10_Age-D35))/KZ35),0)</f>
        <v>0</v>
      </c>
      <c r="LB35" s="20" t="n">
        <f aca="false">IF(AND(HU35=1,IE35&gt;0,Slot10_IsWG=1,DJ35=1),MIN(IE35,LA35),0)</f>
        <v>0</v>
      </c>
      <c r="LC35" s="20" t="n">
        <f aca="false">DK35+LB35</f>
        <v>0</v>
      </c>
      <c r="LD35" s="20" t="n">
        <f aca="false">IF(DJ35=1,MAX(0,(Slot10_Cost-LC35*(1+Slot10_Rate)^(Slot10_Age-D35))/KZ35),0)</f>
        <v>0</v>
      </c>
      <c r="LE35" s="20" t="n">
        <f aca="false">IF(DJ35=1,MAX(0,(Slot10_Cost-DK35*(1+Slot10_Rate)^(Slot10_Age-D35))/KZ35),0)</f>
        <v>0</v>
      </c>
      <c r="LF35" s="20" t="n">
        <f aca="false">IF(AND(HU35=1,DJ35=1),MIN(KY35,LD35),0)</f>
        <v>0</v>
      </c>
      <c r="LG35" s="20" t="n">
        <f aca="false">KY35-LF35</f>
        <v>0</v>
      </c>
      <c r="LH35" s="20" t="n">
        <f aca="false">IF(DT35=1,IF(ABS((1+AS_Wage)/(1+Slot11_Rate)-1)&lt;0.000000000001,(Slot11_Age-D35)*(1+Slot11_Rate)^(Slot11_Age-D35),(1+Slot11_Rate)^(Slot11_Age-D35)*(1-((1+AS_Wage)/(1+Slot11_Rate))^(Slot11_Age-D35))/(1-(1+AS_Wage)/(1+Slot11_Rate))),1)</f>
        <v>1</v>
      </c>
      <c r="LI35" s="20" t="n">
        <f aca="false">IF(AND(HU35=1,IE35&gt;0,Slot11_IsWG=1,DT35=1),MAX(0,(Slot11_Cost-DU35*(1+Slot11_Rate)^(Slot11_Age-D35))/LH35),0)</f>
        <v>0</v>
      </c>
      <c r="LJ35" s="20" t="n">
        <f aca="false">IF(AND(HU35=1,IE35&gt;0,Slot11_IsWG=1,DT35=1),MIN(IE35,LI35),0)</f>
        <v>0</v>
      </c>
      <c r="LK35" s="20" t="n">
        <f aca="false">DU35+LJ35</f>
        <v>0</v>
      </c>
      <c r="LL35" s="20" t="n">
        <f aca="false">IF(DT35=1,MAX(0,(Slot11_Cost-LK35*(1+Slot11_Rate)^(Slot11_Age-D35))/LH35),0)</f>
        <v>0</v>
      </c>
      <c r="LM35" s="20" t="n">
        <f aca="false">IF(DT35=1,MAX(0,(Slot11_Cost-DU35*(1+Slot11_Rate)^(Slot11_Age-D35))/LH35),0)</f>
        <v>0</v>
      </c>
      <c r="LN35" s="20" t="n">
        <f aca="false">IF(AND(HU35=1,DT35=1),MIN(LG35,LL35),0)</f>
        <v>0</v>
      </c>
      <c r="LO35" s="20" t="n">
        <f aca="false">LG35-LN35</f>
        <v>0</v>
      </c>
      <c r="LP35" s="20" t="n">
        <f aca="false">IF(ED35=1,IF(ABS((1+AS_Wage)/(1+Slot12_Rate)-1)&lt;0.000000000001,(Slot12_Age-D35)*(1+Slot12_Rate)^(Slot12_Age-D35),(1+Slot12_Rate)^(Slot12_Age-D35)*(1-((1+AS_Wage)/(1+Slot12_Rate))^(Slot12_Age-D35))/(1-(1+AS_Wage)/(1+Slot12_Rate))),1)</f>
        <v>1</v>
      </c>
      <c r="LQ35" s="20" t="n">
        <f aca="false">IF(AND(HU35=1,IE35&gt;0,Slot12_IsWG=1,ED35=1),MAX(0,(Slot12_Cost-EE35*(1+Slot12_Rate)^(Slot12_Age-D35))/LP35),0)</f>
        <v>0</v>
      </c>
      <c r="LR35" s="20" t="n">
        <f aca="false">IF(AND(HU35=1,IE35&gt;0,Slot12_IsWG=1,ED35=1),MIN(IE35,LQ35),0)</f>
        <v>0</v>
      </c>
      <c r="LS35" s="20" t="n">
        <f aca="false">EE35+LR35</f>
        <v>0</v>
      </c>
      <c r="LT35" s="20" t="n">
        <f aca="false">IF(ED35=1,MAX(0,(Slot12_Cost-LS35*(1+Slot12_Rate)^(Slot12_Age-D35))/LP35),0)</f>
        <v>0</v>
      </c>
      <c r="LU35" s="20" t="n">
        <f aca="false">IF(ED35=1,MAX(0,(Slot12_Cost-EE35*(1+Slot12_Rate)^(Slot12_Age-D35))/LP35),0)</f>
        <v>0</v>
      </c>
      <c r="LV35" s="20" t="n">
        <f aca="false">IF(AND(HU35=1,ED35=1),MIN(LO35,LT35),0)</f>
        <v>0</v>
      </c>
      <c r="LW35" s="20" t="n">
        <f aca="false">LO35-LV35</f>
        <v>0</v>
      </c>
      <c r="LX35" s="20" t="n">
        <f aca="false">IF(EN35=1,IF(ABS((1+AS_Wage)/(1+Slot13_Rate)-1)&lt;0.000000000001,(Slot13_Age-D35)*(1+Slot13_Rate)^(Slot13_Age-D35),(1+Slot13_Rate)^(Slot13_Age-D35)*(1-((1+AS_Wage)/(1+Slot13_Rate))^(Slot13_Age-D35))/(1-(1+AS_Wage)/(1+Slot13_Rate))),1)</f>
        <v>1</v>
      </c>
      <c r="LY35" s="20" t="n">
        <f aca="false">IF(AND(HU35=1,IE35&gt;0,Slot13_IsWG=1,EN35=1),MAX(0,(Slot13_Cost-EO35*(1+Slot13_Rate)^(Slot13_Age-D35))/LX35),0)</f>
        <v>0</v>
      </c>
      <c r="LZ35" s="20" t="n">
        <f aca="false">IF(AND(HU35=1,IE35&gt;0,Slot13_IsWG=1,EN35=1),MIN(IE35,LY35),0)</f>
        <v>0</v>
      </c>
      <c r="MA35" s="20" t="n">
        <f aca="false">EO35+LZ35</f>
        <v>0</v>
      </c>
      <c r="MB35" s="20" t="n">
        <f aca="false">IF(EN35=1,MAX(0,(Slot13_Cost-MA35*(1+Slot13_Rate)^(Slot13_Age-D35))/LX35),0)</f>
        <v>0</v>
      </c>
      <c r="MC35" s="20" t="n">
        <f aca="false">IF(EN35=1,MAX(0,(Slot13_Cost-EO35*(1+Slot13_Rate)^(Slot13_Age-D35))/LX35),0)</f>
        <v>0</v>
      </c>
      <c r="MD35" s="20" t="n">
        <f aca="false">IF(AND(HU35=1,EN35=1),MIN(LW35,MB35),0)</f>
        <v>0</v>
      </c>
      <c r="ME35" s="20" t="n">
        <f aca="false">LW35-MD35</f>
        <v>0</v>
      </c>
      <c r="MF35" s="20" t="n">
        <f aca="false">IF(EX35=1,IF(ABS((1+AS_Wage)/(1+Slot14_Rate)-1)&lt;0.000000000001,(Slot14_Age-D35)*(1+Slot14_Rate)^(Slot14_Age-D35),(1+Slot14_Rate)^(Slot14_Age-D35)*(1-((1+AS_Wage)/(1+Slot14_Rate))^(Slot14_Age-D35))/(1-(1+AS_Wage)/(1+Slot14_Rate))),1)</f>
        <v>1</v>
      </c>
      <c r="MG35" s="20" t="n">
        <f aca="false">IF(AND(HU35=1,IE35&gt;0,Slot14_IsWG=1,EX35=1),MAX(0,(Slot14_Cost-EY35*(1+Slot14_Rate)^(Slot14_Age-D35))/MF35),0)</f>
        <v>0</v>
      </c>
      <c r="MH35" s="20" t="n">
        <f aca="false">IF(AND(HU35=1,IE35&gt;0,Slot14_IsWG=1,EX35=1),MIN(IE35,MG35),0)</f>
        <v>0</v>
      </c>
      <c r="MI35" s="20" t="n">
        <f aca="false">EY35+MH35</f>
        <v>0</v>
      </c>
      <c r="MJ35" s="20" t="n">
        <f aca="false">IF(EX35=1,MAX(0,(Slot14_Cost-MI35*(1+Slot14_Rate)^(Slot14_Age-D35))/MF35),0)</f>
        <v>0</v>
      </c>
      <c r="MK35" s="20" t="n">
        <f aca="false">IF(EX35=1,MAX(0,(Slot14_Cost-EY35*(1+Slot14_Rate)^(Slot14_Age-D35))/MF35),0)</f>
        <v>0</v>
      </c>
      <c r="ML35" s="20" t="n">
        <f aca="false">IF(AND(HU35=1,EX35=1),MIN(ME35,MJ35),0)</f>
        <v>0</v>
      </c>
      <c r="MM35" s="20" t="n">
        <f aca="false">ME35-ML35</f>
        <v>0</v>
      </c>
      <c r="MN35" s="20" t="n">
        <f aca="false">IF(FH35=1,IF(ABS((1+AS_Wage)/(1+Slot15_Rate)-1)&lt;0.000000000001,(Slot15_Age-D35)*(1+Slot15_Rate)^(Slot15_Age-D35),(1+Slot15_Rate)^(Slot15_Age-D35)*(1-((1+AS_Wage)/(1+Slot15_Rate))^(Slot15_Age-D35))/(1-(1+AS_Wage)/(1+Slot15_Rate))),1)</f>
        <v>1</v>
      </c>
      <c r="MO35" s="20" t="n">
        <f aca="false">IF(AND(HU35=1,IE35&gt;0,Slot15_IsWG=1,FH35=1),MAX(0,(Slot15_Cost-FI35*(1+Slot15_Rate)^(Slot15_Age-D35))/MN35),0)</f>
        <v>0</v>
      </c>
      <c r="MP35" s="20" t="n">
        <f aca="false">IF(AND(HU35=1,IE35&gt;0,Slot15_IsWG=1,FH35=1),MIN(IE35,MO35),0)</f>
        <v>0</v>
      </c>
      <c r="MQ35" s="20" t="n">
        <f aca="false">FI35+MP35</f>
        <v>0</v>
      </c>
      <c r="MR35" s="20" t="n">
        <f aca="false">IF(FH35=1,MAX(0,(Slot15_Cost-MQ35*(1+Slot15_Rate)^(Slot15_Age-D35))/MN35),0)</f>
        <v>0</v>
      </c>
      <c r="MS35" s="20" t="n">
        <f aca="false">IF(FH35=1,MAX(0,(Slot15_Cost-FI35*(1+Slot15_Rate)^(Slot15_Age-D35))/MN35),0)</f>
        <v>0</v>
      </c>
      <c r="MT35" s="20" t="n">
        <f aca="false">IF(AND(HU35=1,FH35=1),MIN(MM35,MR35),0)</f>
        <v>0</v>
      </c>
      <c r="MU35" s="20" t="n">
        <f aca="false">MM35-MT35</f>
        <v>0</v>
      </c>
      <c r="MV35" s="20" t="n">
        <f aca="false">IF(FR35=1,IF(ABS((1+AS_Wage)/(1+Slot16_Rate)-1)&lt;0.000000000001,(Slot16_Age-D35)*(1+Slot16_Rate)^(Slot16_Age-D35),(1+Slot16_Rate)^(Slot16_Age-D35)*(1-((1+AS_Wage)/(1+Slot16_Rate))^(Slot16_Age-D35))/(1-(1+AS_Wage)/(1+Slot16_Rate))),1)</f>
        <v>1</v>
      </c>
      <c r="MW35" s="20" t="n">
        <f aca="false">IF(AND(HU35=1,IE35&gt;0,Slot16_IsWG=1,FR35=1),MAX(0,(Slot16_Cost-FS35*(1+Slot16_Rate)^(Slot16_Age-D35))/MV35),0)</f>
        <v>0</v>
      </c>
      <c r="MX35" s="20" t="n">
        <f aca="false">IF(AND(HU35=1,IE35&gt;0,Slot16_IsWG=1,FR35=1),MIN(IE35,MW35),0)</f>
        <v>0</v>
      </c>
      <c r="MY35" s="20" t="n">
        <f aca="false">FS35+MX35</f>
        <v>0</v>
      </c>
      <c r="MZ35" s="20" t="n">
        <f aca="false">IF(FR35=1,MAX(0,(Slot16_Cost-MY35*(1+Slot16_Rate)^(Slot16_Age-D35))/MV35),0)</f>
        <v>0</v>
      </c>
      <c r="NA35" s="20" t="n">
        <f aca="false">IF(FR35=1,MAX(0,(Slot16_Cost-FS35*(1+Slot16_Rate)^(Slot16_Age-D35))/MV35),0)</f>
        <v>0</v>
      </c>
      <c r="NB35" s="20" t="n">
        <f aca="false">IF(AND(HU35=1,FR35=1),MIN(MU35,MZ35),0)</f>
        <v>0</v>
      </c>
      <c r="NC35" s="20" t="n">
        <f aca="false">MU35-NB35</f>
        <v>0</v>
      </c>
      <c r="ND35" s="20" t="n">
        <f aca="false">IF(GB35=1,IF(ABS((1+AS_Wage)/(1+Slot17_Rate)-1)&lt;0.000000000001,(Slot17_Age-D35)*(1+Slot17_Rate)^(Slot17_Age-D35),(1+Slot17_Rate)^(Slot17_Age-D35)*(1-((1+AS_Wage)/(1+Slot17_Rate))^(Slot17_Age-D35))/(1-(1+AS_Wage)/(1+Slot17_Rate))),1)</f>
        <v>1</v>
      </c>
      <c r="NE35" s="20" t="n">
        <f aca="false">IF(AND(HU35=1,IE35&gt;0,Slot17_IsWG=1,GB35=1),MAX(0,(Slot17_Cost-GC35*(1+Slot17_Rate)^(Slot17_Age-D35))/ND35),0)</f>
        <v>0</v>
      </c>
      <c r="NF35" s="20" t="n">
        <f aca="false">IF(AND(HU35=1,IE35&gt;0,Slot17_IsWG=1,GB35=1),MIN(IE35,NE35),0)</f>
        <v>0</v>
      </c>
      <c r="NG35" s="20" t="n">
        <f aca="false">GC35+NF35</f>
        <v>0</v>
      </c>
      <c r="NH35" s="20" t="n">
        <f aca="false">IF(GB35=1,MAX(0,(Slot17_Cost-NG35*(1+Slot17_Rate)^(Slot17_Age-D35))/ND35),0)</f>
        <v>0</v>
      </c>
      <c r="NI35" s="20" t="n">
        <f aca="false">IF(GB35=1,MAX(0,(Slot17_Cost-GC35*(1+Slot17_Rate)^(Slot17_Age-D35))/ND35),0)</f>
        <v>0</v>
      </c>
      <c r="NJ35" s="20" t="n">
        <f aca="false">IF(AND(HU35=1,GB35=1),MIN(NC35,NH35),0)</f>
        <v>0</v>
      </c>
      <c r="NK35" s="20" t="n">
        <f aca="false">NC35-NJ35</f>
        <v>0</v>
      </c>
      <c r="NL35" s="20" t="n">
        <f aca="false">IF(GL35=1,IF(ABS((1+AS_Wage)/(1+Slot18_Rate)-1)&lt;0.000000000001,(Slot18_Age-D35)*(1+Slot18_Rate)^(Slot18_Age-D35),(1+Slot18_Rate)^(Slot18_Age-D35)*(1-((1+AS_Wage)/(1+Slot18_Rate))^(Slot18_Age-D35))/(1-(1+AS_Wage)/(1+Slot18_Rate))),1)</f>
        <v>1</v>
      </c>
      <c r="NM35" s="20" t="n">
        <f aca="false">IF(AND(HU35=1,IE35&gt;0,Slot18_IsWG=1,GL35=1),MAX(0,(Slot18_Cost-GM35*(1+Slot18_Rate)^(Slot18_Age-D35))/NL35),0)</f>
        <v>0</v>
      </c>
      <c r="NN35" s="20" t="n">
        <f aca="false">IF(AND(HU35=1,IE35&gt;0,Slot18_IsWG=1,GL35=1),MIN(IE35,NM35),0)</f>
        <v>0</v>
      </c>
      <c r="NO35" s="20" t="n">
        <f aca="false">GM35+NN35</f>
        <v>0</v>
      </c>
      <c r="NP35" s="20" t="n">
        <f aca="false">IF(GL35=1,MAX(0,(Slot18_Cost-NO35*(1+Slot18_Rate)^(Slot18_Age-D35))/NL35),0)</f>
        <v>0</v>
      </c>
      <c r="NQ35" s="20" t="n">
        <f aca="false">IF(GL35=1,MAX(0,(Slot18_Cost-GM35*(1+Slot18_Rate)^(Slot18_Age-D35))/NL35),0)</f>
        <v>0</v>
      </c>
      <c r="NR35" s="20" t="n">
        <f aca="false">IF(AND(HU35=1,GL35=1),MIN(NK35,NP35),0)</f>
        <v>0</v>
      </c>
      <c r="NS35" s="20" t="n">
        <f aca="false">NK35-NR35</f>
        <v>0</v>
      </c>
      <c r="NT35" s="20" t="n">
        <f aca="false">IF(GV35=1,IF(ABS((1+AS_Wage)/(1+Slot19_Rate)-1)&lt;0.000000000001,(Slot19_Age-D35)*(1+Slot19_Rate)^(Slot19_Age-D35),(1+Slot19_Rate)^(Slot19_Age-D35)*(1-((1+AS_Wage)/(1+Slot19_Rate))^(Slot19_Age-D35))/(1-(1+AS_Wage)/(1+Slot19_Rate))),1)</f>
        <v>1</v>
      </c>
      <c r="NU35" s="20" t="n">
        <f aca="false">IF(AND(HU35=1,IE35&gt;0,Slot19_IsWG=1,GV35=1),MAX(0,(Slot19_Cost-GW35*(1+Slot19_Rate)^(Slot19_Age-D35))/NT35),0)</f>
        <v>0</v>
      </c>
      <c r="NV35" s="20" t="n">
        <f aca="false">IF(AND(HU35=1,IE35&gt;0,Slot19_IsWG=1,GV35=1),MIN(IE35,NU35),0)</f>
        <v>0</v>
      </c>
      <c r="NW35" s="20" t="n">
        <f aca="false">GW35+NV35</f>
        <v>0</v>
      </c>
      <c r="NX35" s="20" t="n">
        <f aca="false">IF(GV35=1,MAX(0,(Slot19_Cost-NW35*(1+Slot19_Rate)^(Slot19_Age-D35))/NT35),0)</f>
        <v>0</v>
      </c>
      <c r="NY35" s="20" t="n">
        <f aca="false">IF(GV35=1,MAX(0,(Slot19_Cost-GW35*(1+Slot19_Rate)^(Slot19_Age-D35))/NT35),0)</f>
        <v>0</v>
      </c>
      <c r="NZ35" s="20" t="n">
        <f aca="false">IF(AND(HU35=1,GV35=1),MIN(NS35,NX35),0)</f>
        <v>0</v>
      </c>
      <c r="OA35" s="20" t="n">
        <f aca="false">NS35-NZ35</f>
        <v>0</v>
      </c>
      <c r="OB35" s="20" t="n">
        <f aca="false">IF(HF35=1,IF(ABS((1+AS_Wage)/(1+Slot20_Rate)-1)&lt;0.000000000001,(Slot20_Age-D35)*(1+Slot20_Rate)^(Slot20_Age-D35),(1+Slot20_Rate)^(Slot20_Age-D35)*(1-((1+AS_Wage)/(1+Slot20_Rate))^(Slot20_Age-D35))/(1-(1+AS_Wage)/(1+Slot20_Rate))),1)</f>
        <v>1</v>
      </c>
      <c r="OC35" s="20" t="n">
        <f aca="false">IF(AND(HU35=1,IE35&gt;0,Slot20_IsWG=1,HF35=1),MAX(0,(Slot20_Cost-HG35*(1+Slot20_Rate)^(Slot20_Age-D35))/OB35),0)</f>
        <v>0</v>
      </c>
      <c r="OD35" s="20" t="n">
        <f aca="false">IF(AND(HU35=1,IE35&gt;0,Slot20_IsWG=1,HF35=1),MIN(IE35,OC35),0)</f>
        <v>0</v>
      </c>
      <c r="OE35" s="20" t="n">
        <f aca="false">HG35+OD35</f>
        <v>0</v>
      </c>
      <c r="OF35" s="20" t="n">
        <f aca="false">IF(HF35=1,MAX(0,(Slot20_Cost-OE35*(1+Slot20_Rate)^(Slot20_Age-D35))/OB35),0)</f>
        <v>0</v>
      </c>
      <c r="OG35" s="20" t="n">
        <f aca="false">IF(HF35=1,MAX(0,(Slot20_Cost-HG35*(1+Slot20_Rate)^(Slot20_Age-D35))/OB35),0)</f>
        <v>0</v>
      </c>
      <c r="OH35" s="20" t="n">
        <f aca="false">IF(AND(HU35=1,HF35=1),MIN(OA35,OF35),0)</f>
        <v>0</v>
      </c>
      <c r="OI35" s="20" t="n">
        <f aca="false">OA35-OH35</f>
        <v>0</v>
      </c>
      <c r="OJ35" s="20" t="n">
        <f aca="false">IE35-(IH35+IP35+IX35+JF35+JN35+JV35+KD35+KL35+KT35+LB35+LJ35+LR35+LZ35+MH35+MP35+MX35+NF35+NN35+NV35+OD35)</f>
        <v>0</v>
      </c>
      <c r="OK35" s="20" t="n">
        <f aca="false">IF(HU35=1,HS35-ID35-IE35,0)</f>
        <v>0</v>
      </c>
      <c r="OL35" s="20" t="n">
        <f aca="false">IF(HU35=0,-HS35,0)</f>
        <v>21935.0063548324</v>
      </c>
      <c r="OM35" s="20" t="n">
        <f aca="false">MIN(OL35,HK35)</f>
        <v>21935.0063548324</v>
      </c>
      <c r="ON35" s="20" t="n">
        <f aca="false">OL35-OM35</f>
        <v>0</v>
      </c>
      <c r="OO35" s="20" t="n">
        <f aca="false">MIN(ON35,HL35)</f>
        <v>0</v>
      </c>
      <c r="OP35" s="20" t="n">
        <f aca="false">ON35-OO35</f>
        <v>0</v>
      </c>
      <c r="OQ35" s="20" t="n">
        <f aca="false">IF(AND(HU35=0,HF35=1,OP35&gt;0),MIN(OP35,HG35),0)</f>
        <v>0</v>
      </c>
      <c r="OR35" s="20" t="n">
        <f aca="false">OP35-OQ35</f>
        <v>0</v>
      </c>
      <c r="OS35" s="20" t="n">
        <f aca="false">IF(AND(HU35=0,GV35=1,OR35&gt;0),MIN(OR35,GW35),0)</f>
        <v>0</v>
      </c>
      <c r="OT35" s="20" t="n">
        <f aca="false">OR35-OS35</f>
        <v>0</v>
      </c>
      <c r="OU35" s="20" t="n">
        <f aca="false">IF(AND(HU35=0,GL35=1,OT35&gt;0),MIN(OT35,GM35),0)</f>
        <v>0</v>
      </c>
      <c r="OV35" s="20" t="n">
        <f aca="false">OT35-OU35</f>
        <v>0</v>
      </c>
      <c r="OW35" s="20" t="n">
        <f aca="false">IF(AND(HU35=0,GB35=1,OV35&gt;0),MIN(OV35,GC35),0)</f>
        <v>0</v>
      </c>
      <c r="OX35" s="20" t="n">
        <f aca="false">OV35-OW35</f>
        <v>0</v>
      </c>
      <c r="OY35" s="20" t="n">
        <f aca="false">IF(AND(HU35=0,FR35=1,OX35&gt;0),MIN(OX35,FS35),0)</f>
        <v>0</v>
      </c>
      <c r="OZ35" s="20" t="n">
        <f aca="false">OX35-OY35</f>
        <v>0</v>
      </c>
      <c r="PA35" s="20" t="n">
        <f aca="false">IF(AND(HU35=0,FH35=1,OZ35&gt;0),MIN(OZ35,FI35),0)</f>
        <v>0</v>
      </c>
      <c r="PB35" s="20" t="n">
        <f aca="false">OZ35-PA35</f>
        <v>0</v>
      </c>
      <c r="PC35" s="20" t="n">
        <f aca="false">IF(AND(HU35=0,EX35=1,PB35&gt;0),MIN(PB35,EY35),0)</f>
        <v>0</v>
      </c>
      <c r="PD35" s="20" t="n">
        <f aca="false">PB35-PC35</f>
        <v>0</v>
      </c>
      <c r="PE35" s="20" t="n">
        <f aca="false">IF(AND(HU35=0,EN35=1,PD35&gt;0),MIN(PD35,EO35),0)</f>
        <v>0</v>
      </c>
      <c r="PF35" s="20" t="n">
        <f aca="false">PD35-PE35</f>
        <v>0</v>
      </c>
      <c r="PG35" s="20" t="n">
        <f aca="false">IF(AND(HU35=0,ED35=1,PF35&gt;0),MIN(PF35,EE35),0)</f>
        <v>0</v>
      </c>
      <c r="PH35" s="20" t="n">
        <f aca="false">PF35-PG35</f>
        <v>0</v>
      </c>
      <c r="PI35" s="20" t="n">
        <f aca="false">IF(AND(HU35=0,DT35=1,PH35&gt;0),MIN(PH35,DU35),0)</f>
        <v>0</v>
      </c>
      <c r="PJ35" s="20" t="n">
        <f aca="false">PH35-PI35</f>
        <v>0</v>
      </c>
      <c r="PK35" s="20" t="n">
        <f aca="false">IF(AND(HU35=0,DJ35=1,PJ35&gt;0),MIN(PJ35,DK35),0)</f>
        <v>0</v>
      </c>
      <c r="PL35" s="20" t="n">
        <f aca="false">PJ35-PK35</f>
        <v>0</v>
      </c>
      <c r="PM35" s="20" t="n">
        <f aca="false">IF(AND(HU35=0,CZ35=1,PL35&gt;0),MIN(PL35,DA35),0)</f>
        <v>0</v>
      </c>
      <c r="PN35" s="20" t="n">
        <f aca="false">PL35-PM35</f>
        <v>0</v>
      </c>
      <c r="PO35" s="20" t="n">
        <f aca="false">IF(AND(HU35=0,CP35=1,PN35&gt;0),MIN(PN35,CQ35),0)</f>
        <v>0</v>
      </c>
      <c r="PP35" s="20" t="n">
        <f aca="false">PN35-PO35</f>
        <v>0</v>
      </c>
      <c r="PQ35" s="20" t="n">
        <f aca="false">IF(AND(HU35=0,CF35=1,PP35&gt;0),MIN(PP35,CG35),0)</f>
        <v>0</v>
      </c>
      <c r="PR35" s="20" t="n">
        <f aca="false">PP35-PQ35</f>
        <v>0</v>
      </c>
      <c r="PS35" s="20" t="n">
        <f aca="false">IF(AND(HU35=0,BV35=1,PR35&gt;0),MIN(PR35,BW35),0)</f>
        <v>0</v>
      </c>
      <c r="PT35" s="20" t="n">
        <f aca="false">PR35-PS35</f>
        <v>0</v>
      </c>
      <c r="PU35" s="20" t="n">
        <f aca="false">IF(AND(HU35=0,BL35=1,PT35&gt;0),MIN(PT35,BM35),0)</f>
        <v>0</v>
      </c>
      <c r="PV35" s="20" t="n">
        <f aca="false">PT35-PU35</f>
        <v>0</v>
      </c>
      <c r="PW35" s="20" t="n">
        <f aca="false">IF(AND(HU35=0,BB35=1,PV35&gt;0),MIN(PV35,BC35),0)</f>
        <v>0</v>
      </c>
      <c r="PX35" s="20" t="n">
        <f aca="false">PV35-PW35</f>
        <v>0</v>
      </c>
      <c r="PY35" s="20" t="n">
        <f aca="false">IF(AND(HU35=0,AR35=1,PX35&gt;0),MIN(PX35,AS35),0)</f>
        <v>0</v>
      </c>
      <c r="PZ35" s="20" t="n">
        <f aca="false">PX35-PY35</f>
        <v>0</v>
      </c>
      <c r="QA35" s="20" t="n">
        <f aca="false">IF(AND(HU35=0,AH35=1,PZ35&gt;0),MIN(PZ35,AI35),0)</f>
        <v>0</v>
      </c>
      <c r="QB35" s="20" t="n">
        <f aca="false">PZ35-QA35</f>
        <v>0</v>
      </c>
      <c r="QC35" s="20" t="n">
        <f aca="false">IF(AND(HU35=0,W35=1,QB35&gt;0),MIN(QB35,X35),0)</f>
        <v>0</v>
      </c>
      <c r="QD35" s="20" t="n">
        <f aca="false">QB35-QC35</f>
        <v>0</v>
      </c>
      <c r="QE35" s="20" t="n">
        <f aca="false">IF(HU35=0,QD35,0)</f>
        <v>0</v>
      </c>
      <c r="QF35" s="20" t="n">
        <f aca="false">OM35+OO35+QC35+QA35+PY35+PW35+PU35+PS35+PQ35+PO35+PM35+PK35+PI35+PG35+PE35+PC35+PA35+OY35+OW35+OU35+OS35+OQ35</f>
        <v>21935.0063548324</v>
      </c>
      <c r="QG35" s="20" t="n">
        <f aca="false">IF(HU35=1,HK35+OJ35+OI35+IF(G35=1,0,OK35),HK35-OM35)</f>
        <v>188528.295409971</v>
      </c>
      <c r="QH35" s="20" t="n">
        <f aca="false">HL35-OO35</f>
        <v>20013.6337142389</v>
      </c>
      <c r="QI35" s="20" t="n">
        <f aca="false">IF(HU35=1,IF(G35=1,ID35+IE35,HS35),0)</f>
        <v>0</v>
      </c>
      <c r="QJ35" s="20" t="n">
        <f aca="false">IF(HU35=1,IF(G35=1,HS35-ID35-IE35,0),0)</f>
        <v>0</v>
      </c>
      <c r="QK35" s="20" t="n">
        <f aca="false">QG35*(1+GR)</f>
        <v>191620.159454694</v>
      </c>
      <c r="QL35" s="20" t="n">
        <f aca="false">QH35*(1+AS_Cash)</f>
        <v>20213.7700513813</v>
      </c>
      <c r="QM35" s="20" t="n">
        <f aca="false">IF(W35=1,IF(HU35=1,II35+IL35,X35-QC35)*(1+Slot1_Rate),0)</f>
        <v>0</v>
      </c>
      <c r="QN35" s="20" t="n">
        <f aca="false">IF(AND(HU35=1,W35=1),(IH35+IL35)/F35,0)</f>
        <v>0</v>
      </c>
      <c r="QO35" s="20" t="n">
        <f aca="false">IF(B35=0,IH35+IL35,0)</f>
        <v>0</v>
      </c>
      <c r="QP35" s="20" t="n">
        <f aca="false">IF(B35=0,IF(HU35=1,IJ35,IK35),0)</f>
        <v>0</v>
      </c>
      <c r="QQ35" s="20" t="n">
        <f aca="false">IF(AH35=1,IF(HU35=1,IQ35+IT35,AI35-QA35)*(1+Slot2_Rate),0)</f>
        <v>0</v>
      </c>
      <c r="QR35" s="20" t="n">
        <f aca="false">IF(AND(HU35=1,AH35=1),(IP35+IT35)/F35,0)</f>
        <v>0</v>
      </c>
      <c r="QS35" s="20" t="n">
        <f aca="false">IF(B35=0,IP35+IT35,0)</f>
        <v>0</v>
      </c>
      <c r="QT35" s="20" t="n">
        <f aca="false">IF(B35=0,IF(HU35=1,IR35,IS35),0)</f>
        <v>0</v>
      </c>
      <c r="QU35" s="20" t="n">
        <f aca="false">IF(AR35=1,IF(HU35=1,IY35+JB35,AS35-PY35)*(1+Slot3_Rate),0)</f>
        <v>0</v>
      </c>
      <c r="QV35" s="20" t="n">
        <f aca="false">IF(AND(HU35=1,AR35=1),(IX35+JB35)/F35,0)</f>
        <v>0</v>
      </c>
      <c r="QW35" s="20" t="n">
        <f aca="false">IF(B35=0,IX35+JB35,0)</f>
        <v>0</v>
      </c>
      <c r="QX35" s="20" t="n">
        <f aca="false">IF(B35=0,IF(HU35=1,IZ35,JA35),0)</f>
        <v>0</v>
      </c>
      <c r="QY35" s="20" t="n">
        <f aca="false">IF(BB35=1,IF(HU35=1,JG35+JJ35,BC35-PW35)*(1+Slot4_Rate),0)</f>
        <v>0</v>
      </c>
      <c r="QZ35" s="20" t="n">
        <f aca="false">IF(AND(HU35=1,BB35=1),(JF35+JJ35)/F35,0)</f>
        <v>0</v>
      </c>
      <c r="RA35" s="20" t="n">
        <f aca="false">IF(B35=0,JF35+JJ35,0)</f>
        <v>0</v>
      </c>
      <c r="RB35" s="20" t="n">
        <f aca="false">IF(B35=0,IF(HU35=1,JH35,JI35),0)</f>
        <v>0</v>
      </c>
      <c r="RC35" s="20" t="n">
        <f aca="false">IF(BL35=1,IF(HU35=1,JO35+JR35,BM35-PU35)*(1+Slot5_Rate),0)</f>
        <v>0</v>
      </c>
      <c r="RD35" s="20" t="n">
        <f aca="false">IF(AND(HU35=1,BL35=1),(JN35+JR35)/F35,0)</f>
        <v>0</v>
      </c>
      <c r="RE35" s="20" t="n">
        <f aca="false">IF(B35=0,JN35+JR35,0)</f>
        <v>0</v>
      </c>
      <c r="RF35" s="20" t="n">
        <f aca="false">IF(B35=0,IF(HU35=1,JP35,JQ35),0)</f>
        <v>0</v>
      </c>
      <c r="RG35" s="20" t="n">
        <f aca="false">IF(BV35=1,IF(HU35=1,JW35+JZ35,BW35-PS35)*(1+Slot6_Rate),0)</f>
        <v>0</v>
      </c>
      <c r="RH35" s="20" t="n">
        <f aca="false">IF(AND(HU35=1,BV35=1),(JV35+JZ35)/F35,0)</f>
        <v>0</v>
      </c>
      <c r="RI35" s="20" t="n">
        <f aca="false">IF(B35=0,JV35+JZ35,0)</f>
        <v>0</v>
      </c>
      <c r="RJ35" s="20" t="n">
        <f aca="false">IF(B35=0,IF(HU35=1,JX35,JY35),0)</f>
        <v>0</v>
      </c>
      <c r="RK35" s="20" t="n">
        <f aca="false">IF(CF35=1,IF(HU35=1,KE35+KH35,CG35-PQ35)*(1+Slot7_Rate),0)</f>
        <v>0</v>
      </c>
      <c r="RL35" s="20" t="n">
        <f aca="false">IF(AND(HU35=1,CF35=1),(KD35+KH35)/F35,0)</f>
        <v>0</v>
      </c>
      <c r="RM35" s="20" t="n">
        <f aca="false">IF(B35=0,KD35+KH35,0)</f>
        <v>0</v>
      </c>
      <c r="RN35" s="20" t="n">
        <f aca="false">IF(B35=0,IF(HU35=1,KF35,KG35),0)</f>
        <v>0</v>
      </c>
      <c r="RO35" s="20" t="n">
        <f aca="false">IF(CP35=1,IF(HU35=1,KM35+KP35,CQ35-PO35)*(1+Slot8_Rate),0)</f>
        <v>0</v>
      </c>
      <c r="RP35" s="20" t="n">
        <f aca="false">IF(AND(HU35=1,CP35=1),(KL35+KP35)/F35,0)</f>
        <v>0</v>
      </c>
      <c r="RQ35" s="20" t="n">
        <f aca="false">IF(B35=0,KL35+KP35,0)</f>
        <v>0</v>
      </c>
      <c r="RR35" s="20" t="n">
        <f aca="false">IF(B35=0,IF(HU35=1,KN35,KO35),0)</f>
        <v>0</v>
      </c>
      <c r="RS35" s="20" t="n">
        <f aca="false">IF(CZ35=1,IF(HU35=1,KU35+KX35,DA35-PM35)*(1+Slot9_Rate),0)</f>
        <v>0</v>
      </c>
      <c r="RT35" s="20" t="n">
        <f aca="false">IF(AND(HU35=1,CZ35=1),(KT35+KX35)/F35,0)</f>
        <v>0</v>
      </c>
      <c r="RU35" s="20" t="n">
        <f aca="false">IF(B35=0,KT35+KX35,0)</f>
        <v>0</v>
      </c>
      <c r="RV35" s="20" t="n">
        <f aca="false">IF(B35=0,IF(HU35=1,KV35,KW35),0)</f>
        <v>0</v>
      </c>
      <c r="RW35" s="20" t="n">
        <f aca="false">IF(DJ35=1,IF(HU35=1,LC35+LF35,DK35-PK35)*(1+Slot10_Rate),0)</f>
        <v>0</v>
      </c>
      <c r="RX35" s="20" t="n">
        <f aca="false">IF(AND(HU35=1,DJ35=1),(LB35+LF35)/F35,0)</f>
        <v>0</v>
      </c>
      <c r="RY35" s="20" t="n">
        <f aca="false">IF(B35=0,LB35+LF35,0)</f>
        <v>0</v>
      </c>
      <c r="RZ35" s="20" t="n">
        <f aca="false">IF(B35=0,IF(HU35=1,LD35,LE35),0)</f>
        <v>0</v>
      </c>
      <c r="SA35" s="20" t="n">
        <f aca="false">IF(DT35=1,IF(HU35=1,LK35+LN35,DU35-PI35)*(1+Slot11_Rate),0)</f>
        <v>0</v>
      </c>
      <c r="SB35" s="20" t="n">
        <f aca="false">IF(AND(HU35=1,DT35=1),(LJ35+LN35)/F35,0)</f>
        <v>0</v>
      </c>
      <c r="SC35" s="20" t="n">
        <f aca="false">IF(B35=0,LJ35+LN35,0)</f>
        <v>0</v>
      </c>
      <c r="SD35" s="20" t="n">
        <f aca="false">IF(B35=0,IF(HU35=1,LL35,LM35),0)</f>
        <v>0</v>
      </c>
      <c r="SE35" s="20" t="n">
        <f aca="false">IF(ED35=1,IF(HU35=1,LS35+LV35,EE35-PG35)*(1+Slot12_Rate),0)</f>
        <v>0</v>
      </c>
      <c r="SF35" s="20" t="n">
        <f aca="false">IF(AND(HU35=1,ED35=1),(LR35+LV35)/F35,0)</f>
        <v>0</v>
      </c>
      <c r="SG35" s="20" t="n">
        <f aca="false">IF(B35=0,LR35+LV35,0)</f>
        <v>0</v>
      </c>
      <c r="SH35" s="20" t="n">
        <f aca="false">IF(B35=0,IF(HU35=1,LT35,LU35),0)</f>
        <v>0</v>
      </c>
      <c r="SI35" s="20" t="n">
        <f aca="false">IF(EN35=1,IF(HU35=1,MA35+MD35,EO35-PE35)*(1+Slot13_Rate),0)</f>
        <v>0</v>
      </c>
      <c r="SJ35" s="20" t="n">
        <f aca="false">IF(AND(HU35=1,EN35=1),(LZ35+MD35)/F35,0)</f>
        <v>0</v>
      </c>
      <c r="SK35" s="20" t="n">
        <f aca="false">IF(B35=0,LZ35+MD35,0)</f>
        <v>0</v>
      </c>
      <c r="SL35" s="20" t="n">
        <f aca="false">IF(B35=0,IF(HU35=1,MB35,MC35),0)</f>
        <v>0</v>
      </c>
      <c r="SM35" s="20" t="n">
        <f aca="false">IF(EX35=1,IF(HU35=1,MI35+ML35,EY35-PC35)*(1+Slot14_Rate),0)</f>
        <v>0</v>
      </c>
      <c r="SN35" s="20" t="n">
        <f aca="false">IF(AND(HU35=1,EX35=1),(MH35+ML35)/F35,0)</f>
        <v>0</v>
      </c>
      <c r="SO35" s="20" t="n">
        <f aca="false">IF(B35=0,MH35+ML35,0)</f>
        <v>0</v>
      </c>
      <c r="SP35" s="20" t="n">
        <f aca="false">IF(B35=0,IF(HU35=1,MJ35,MK35),0)</f>
        <v>0</v>
      </c>
      <c r="SQ35" s="20" t="n">
        <f aca="false">IF(FH35=1,IF(HU35=1,MQ35+MT35,FI35-PA35)*(1+Slot15_Rate),0)</f>
        <v>0</v>
      </c>
      <c r="SR35" s="20" t="n">
        <f aca="false">IF(AND(HU35=1,FH35=1),(MP35+MT35)/F35,0)</f>
        <v>0</v>
      </c>
      <c r="SS35" s="20" t="n">
        <f aca="false">IF(B35=0,MP35+MT35,0)</f>
        <v>0</v>
      </c>
      <c r="ST35" s="20" t="n">
        <f aca="false">IF(B35=0,IF(HU35=1,MR35,MS35),0)</f>
        <v>0</v>
      </c>
      <c r="SU35" s="20" t="n">
        <f aca="false">IF(FR35=1,IF(HU35=1,MY35+NB35,FS35-OY35)*(1+Slot16_Rate),0)</f>
        <v>0</v>
      </c>
      <c r="SV35" s="20" t="n">
        <f aca="false">IF(AND(HU35=1,FR35=1),(MX35+NB35)/F35,0)</f>
        <v>0</v>
      </c>
      <c r="SW35" s="20" t="n">
        <f aca="false">IF(B35=0,MX35+NB35,0)</f>
        <v>0</v>
      </c>
      <c r="SX35" s="20" t="n">
        <f aca="false">IF(B35=0,IF(HU35=1,MZ35,NA35),0)</f>
        <v>0</v>
      </c>
      <c r="SY35" s="20" t="n">
        <f aca="false">IF(GB35=1,IF(HU35=1,NG35+NJ35,GC35-OW35)*(1+Slot17_Rate),0)</f>
        <v>0</v>
      </c>
      <c r="SZ35" s="20" t="n">
        <f aca="false">IF(AND(HU35=1,GB35=1),(NF35+NJ35)/F35,0)</f>
        <v>0</v>
      </c>
      <c r="TA35" s="20" t="n">
        <f aca="false">IF(B35=0,NF35+NJ35,0)</f>
        <v>0</v>
      </c>
      <c r="TB35" s="20" t="n">
        <f aca="false">IF(B35=0,IF(HU35=1,NH35,NI35),0)</f>
        <v>0</v>
      </c>
      <c r="TC35" s="20" t="n">
        <f aca="false">IF(GL35=1,IF(HU35=1,NO35+NR35,GM35-OU35)*(1+Slot18_Rate),0)</f>
        <v>0</v>
      </c>
      <c r="TD35" s="20" t="n">
        <f aca="false">IF(AND(HU35=1,GL35=1),(NN35+NR35)/F35,0)</f>
        <v>0</v>
      </c>
      <c r="TE35" s="20" t="n">
        <f aca="false">IF(B35=0,NN35+NR35,0)</f>
        <v>0</v>
      </c>
      <c r="TF35" s="20" t="n">
        <f aca="false">IF(B35=0,IF(HU35=1,NP35,NQ35),0)</f>
        <v>0</v>
      </c>
      <c r="TG35" s="20" t="n">
        <f aca="false">IF(GV35=1,IF(HU35=1,NW35+NZ35,GW35-OS35)*(1+Slot19_Rate),0)</f>
        <v>0</v>
      </c>
      <c r="TH35" s="20" t="n">
        <f aca="false">IF(AND(HU35=1,GV35=1),(NV35+NZ35)/F35,0)</f>
        <v>0</v>
      </c>
      <c r="TI35" s="20" t="n">
        <f aca="false">IF(B35=0,NV35+NZ35,0)</f>
        <v>0</v>
      </c>
      <c r="TJ35" s="20" t="n">
        <f aca="false">IF(B35=0,IF(HU35=1,NX35,NY35),0)</f>
        <v>0</v>
      </c>
      <c r="TK35" s="20" t="n">
        <f aca="false">IF(HF35=1,IF(HU35=1,OE35+OH35,HG35-OQ35)*(1+Slot20_Rate),0)</f>
        <v>0</v>
      </c>
      <c r="TL35" s="20" t="n">
        <f aca="false">IF(AND(HU35=1,HF35=1),(OD35+OH35)/F35,0)</f>
        <v>0</v>
      </c>
      <c r="TM35" s="20" t="n">
        <f aca="false">IF(B35=0,OD35+OH35,0)</f>
        <v>0</v>
      </c>
      <c r="TN35" s="20" t="n">
        <f aca="false">IF(B35=0,IF(HU35=1,OF35,OG35),0)</f>
        <v>0</v>
      </c>
      <c r="TO35" s="20" t="n">
        <f aca="false">QK35+QL35+QM35+QQ35+QU35+QY35+RC35+RG35+RK35+RO35+RS35+RW35+SA35+SE35+SI35+SM35+SQ35+SU35+SY35+TC35+TG35+TK35</f>
        <v>211833.929506076</v>
      </c>
      <c r="TP35" s="20" t="n">
        <f aca="false">QE35+HP35</f>
        <v>0</v>
      </c>
      <c r="TQ35" s="20" t="n">
        <f aca="false">I35+S35</f>
        <v>81589.1735834449</v>
      </c>
      <c r="TR35" s="20" t="n">
        <f aca="false">1-G35</f>
        <v>1</v>
      </c>
      <c r="TS35" s="20" t="n">
        <f aca="false">IF(AND(RG_Exists=1,G35=0,C35=1),I35,0)</f>
        <v>81589.1735834449</v>
      </c>
      <c r="TT35" s="20" t="n">
        <f aca="false">IF(AND(RG_Exists=1,G35=0,C35=1),I35-MIN(QE35,I35),0)</f>
        <v>81589.1735834449</v>
      </c>
      <c r="TU35" s="20" t="n">
        <f aca="false">'Plan pay &amp; tax'!AD261</f>
        <v>433777.281979458</v>
      </c>
      <c r="TV35" s="20" t="n">
        <f aca="false">IF(AND(C35=1,QE35&gt;MAX(PR_Short1,TQ35*PR_Short2)),1,0)</f>
        <v>0</v>
      </c>
      <c r="TW35" s="20" t="n">
        <f aca="false">MIN(H35,I35+S35)</f>
        <v>59654.1672286125</v>
      </c>
      <c r="TX35" s="20" t="n">
        <f aca="false">QF35+MAX(0,HQ35-HP35)</f>
        <v>21935.0063548324</v>
      </c>
      <c r="TY35" s="20" t="n">
        <f aca="false">QE35+HP35</f>
        <v>0</v>
      </c>
      <c r="TZ35" s="20" t="n">
        <f aca="false">IF(AND(C35=1,TY35&gt;PR_MinShort),1,0)</f>
        <v>0</v>
      </c>
      <c r="UA35" s="20" t="n">
        <f aca="false">IF(AND(C35=1,TZ35=0,TX35&gt;PR_MinShort),1,0)</f>
        <v>1</v>
      </c>
      <c r="UB35" s="20" t="n">
        <f aca="false">IF(AND(C35=1,QE35&gt;PR_MinShort),1,0)</f>
        <v>0</v>
      </c>
      <c r="UC35" s="20" t="n">
        <f aca="false">IF(AND(C35=1,QF35&gt;1,UJ35=0),1,0)</f>
        <v>1</v>
      </c>
      <c r="UD35" s="20" t="str">
        <f aca="false">IF(C35=0,"",IF(UJ35=1,"Gap to plan for: short "&amp;"€"&amp;TEXT(ROUND(TP35,0),"#,##0"),IF(QF35&gt;1,"Using savings","Comfortable")))</f>
        <v>Using savings</v>
      </c>
      <c r="UE35" s="20" t="n">
        <f aca="false">IF(AND(INT(D35/10)*10=90,B35&gt;0),80,INT(D35/10)*10)</f>
        <v>60</v>
      </c>
      <c r="UF35" s="20" t="n">
        <f aca="false">IF(B35=0,1,IF(UE35&lt;&gt;UE34,UF34+1,UF34))</f>
        <v>4</v>
      </c>
      <c r="UG35" s="20" t="n">
        <f aca="false">IF(AND(C35=1,G35=1,QE35&gt;MAX(PR_Short1,TQ35*PR_Short2)),1,0)</f>
        <v>0</v>
      </c>
      <c r="UH35" s="20" t="n">
        <f aca="false">TR35*TV35</f>
        <v>0</v>
      </c>
      <c r="UI35" s="20" t="n">
        <f aca="false">IF(AND(V35=1,Slot1_PctLow=1),1,0)+IF(AND(AG35=1,Slot2_PctLow=1),1,0)+IF(AND(AQ35=1,Slot3_PctLow=1),1,0)+IF(AND(BA35=1,Slot4_PctLow=1),1,0)+IF(AND(BK35=1,Slot5_PctLow=1),1,0)+IF(AND(BU35=1,Slot6_PctLow=1),1,0)+IF(AND(CE35=1,Slot7_PctLow=1),1,0)+IF(AND(CO35=1,Slot8_PctLow=1),1,0)+IF(AND(CY35=1,Slot9_PctLow=1),1,0)+IF(AND(DI35=1,Slot10_PctLow=1),1,0)+IF(AND(DS35=1,Slot11_PctLow=1),1,0)+IF(AND(EC35=1,Slot12_PctLow=1),1,0)+IF(AND(EM35=1,Slot13_PctLow=1),1,0)+IF(AND(EW35=1,Slot14_PctLow=1),1,0)+IF(AND(FG35=1,Slot15_PctLow=1),1,0)+IF(AND(FQ35=1,Slot16_PctLow=1),1,0)+IF(AND(GA35=1,Slot17_PctLow=1),1,0)+IF(AND(GK35=1,Slot18_PctLow=1),1,0)+IF(AND(GU35=1,Slot19_PctLow=1),1,0)+IF(AND(HE35=1,Slot20_PctLow=1),1,0)</f>
        <v>0</v>
      </c>
      <c r="UJ35" s="20" t="n">
        <f aca="false">IF(C35=1,IF(OR(TV35=1,UI35&gt;0),1,0),0)</f>
        <v>0</v>
      </c>
    </row>
    <row r="36" customFormat="false" ht="15" hidden="false" customHeight="true" outlineLevel="0" collapsed="false">
      <c r="B36" s="20" t="n">
        <v>28</v>
      </c>
      <c r="C36" s="20" t="n">
        <f aca="false">IF(B36&lt;=F_N,1,0)</f>
        <v>1</v>
      </c>
      <c r="D36" s="20" t="n">
        <f aca="false">'Plan pay &amp; tax'!C262</f>
        <v>66</v>
      </c>
      <c r="E36" s="20" t="str">
        <f aca="false">IF($C36=1,"Income tax "&amp;TEXT(N('Plan pay &amp; tax'!BK262),"#,##0")&amp;"; USC "&amp;TEXT(N('Plan pay &amp; tax'!BM262)+N('Plan pay &amp; tax'!BO262),"#,##0")&amp;"; PRSI "&amp;TEXT(N('Plan pay &amp; tax'!BP262)+N('Plan pay &amp; tax'!BQ262),"#,##0")&amp;". DIRT and exit tax are inside the growth rates here.","")</f>
        <v>Income tax 2,398; USC 400; PRSI 1,359. DIRT and exit tax are inside the growth rates here.</v>
      </c>
      <c r="F36" s="44" t="n">
        <f aca="false">'Plan pay &amp; tax'!E262</f>
        <v>1.74102420617393</v>
      </c>
      <c r="G36" s="20" t="n">
        <f aca="false">'Plan pay &amp; tax'!G262</f>
        <v>0</v>
      </c>
      <c r="H36" s="20" t="n">
        <f aca="false">'Plan pay &amp; tax'!BT262-'Plan pay &amp; tax'!BS262-'Plan pay &amp; tax'!R262</f>
        <v>87544.6013008434</v>
      </c>
      <c r="I36" s="20" t="n">
        <f aca="false">IF(G36=1,F_CostsM*12,IF(RG_Exists=1,RG_Amount,F_CostsM*12*AS_RetireSpend))*F36+F_OneOffY*F36</f>
        <v>83220.9570551138</v>
      </c>
      <c r="J36" s="20" t="n">
        <f aca="false">HR35</f>
        <v>0</v>
      </c>
      <c r="K36" s="20" t="n">
        <f aca="false">IF(J36&gt;1,'Plan debt months'!AC36,0)</f>
        <v>0</v>
      </c>
      <c r="L36" s="20" t="n">
        <f aca="false">IF(J36&gt;1,'Plan debt months'!AB36,J36)</f>
        <v>0</v>
      </c>
      <c r="M36" s="20" t="n">
        <f aca="false">O35</f>
        <v>0</v>
      </c>
      <c r="N36" s="20" t="n">
        <f aca="false">IF(M36&gt;1,'Plan debt months'!BD36,0)</f>
        <v>0</v>
      </c>
      <c r="O36" s="20" t="n">
        <f aca="false">IF(M36&gt;1,'Plan debt months'!BC36,M36)</f>
        <v>0</v>
      </c>
      <c r="P36" s="20" t="n">
        <f aca="false">R35</f>
        <v>0</v>
      </c>
      <c r="Q36" s="20" t="n">
        <f aca="false">IF(P36&gt;1,'Plan debt months'!CE36,0)</f>
        <v>0</v>
      </c>
      <c r="R36" s="20" t="n">
        <f aca="false">IF(P36&gt;1,'Plan debt months'!CD36,P36)</f>
        <v>0</v>
      </c>
      <c r="S36" s="20" t="n">
        <f aca="false">K36+N36+Q36</f>
        <v>0</v>
      </c>
      <c r="T36" s="20" t="n">
        <f aca="false">QK35+'Plan pay &amp; tax'!Y262</f>
        <v>191620.159454694</v>
      </c>
      <c r="U36" s="20" t="n">
        <f aca="false">QK35</f>
        <v>191620.159454694</v>
      </c>
      <c r="V36" s="20" t="n">
        <f aca="false">IF(AND(Slot1_On=1,D36=Slot1_Age),1,0)</f>
        <v>0</v>
      </c>
      <c r="W36" s="20" t="n">
        <f aca="false">IF(AND(Slot1_On=1,Slot1_Age&gt;D36),1,0)</f>
        <v>0</v>
      </c>
      <c r="X36" s="20" t="n">
        <f aca="false">QM35</f>
        <v>0</v>
      </c>
      <c r="Y36" s="20" t="n">
        <f aca="false">V36*MIN(Slot1_Cost,X36)</f>
        <v>0</v>
      </c>
      <c r="Z36" s="20" t="n">
        <f aca="false">V36*Slot1_SpendLike*MIN(Slot1_Cost-Y36,T36)</f>
        <v>0</v>
      </c>
      <c r="AA36" s="20" t="n">
        <f aca="false">Y36+Z36</f>
        <v>0</v>
      </c>
      <c r="AB36" s="20" t="n">
        <f aca="false">T36-Z36+V36*IF(Slot1_SpendLike=1,X36-Y36,IF(Slot1_PotFree=1,X36,0))</f>
        <v>191620.159454694</v>
      </c>
      <c r="AC36" s="20" t="n">
        <f aca="false">AF36+V36*Slot1_BufPot*X36</f>
        <v>20213.7700513813</v>
      </c>
      <c r="AD36" s="20" t="n">
        <f aca="false">IF(AND(V36=1,Slot1_IsMfree=1),IF(AA36&gt;=Slot1_Cost-1,0,MAX(0,L36-AA36)),L36)</f>
        <v>0</v>
      </c>
      <c r="AE36" s="20" t="n">
        <f aca="false">V36*(Slot1_Cost-AA36)</f>
        <v>0</v>
      </c>
      <c r="AF36" s="20" t="n">
        <f aca="false">QL35</f>
        <v>20213.7700513813</v>
      </c>
      <c r="AG36" s="20" t="n">
        <f aca="false">IF(AND(Slot2_On=1,D36=Slot2_Age),1,0)</f>
        <v>0</v>
      </c>
      <c r="AH36" s="20" t="n">
        <f aca="false">IF(AND(Slot2_On=1,Slot2_Age&gt;D36),1,0)</f>
        <v>0</v>
      </c>
      <c r="AI36" s="20" t="n">
        <f aca="false">QQ35</f>
        <v>0</v>
      </c>
      <c r="AJ36" s="20" t="n">
        <f aca="false">AG36*MIN(Slot2_Cost,AI36)</f>
        <v>0</v>
      </c>
      <c r="AK36" s="20" t="n">
        <f aca="false">AG36*Slot2_SpendLike*MIN(Slot2_Cost-AJ36,AB36)</f>
        <v>0</v>
      </c>
      <c r="AL36" s="20" t="n">
        <f aca="false">AJ36+AK36</f>
        <v>0</v>
      </c>
      <c r="AM36" s="20" t="n">
        <f aca="false">AB36-AK36+AG36*IF(Slot2_SpendLike=1,AI36-AJ36,IF(Slot2_PotFree=1,AI36,0))</f>
        <v>191620.159454694</v>
      </c>
      <c r="AN36" s="20" t="n">
        <f aca="false">AC36+AG36*Slot2_BufPot*AI36</f>
        <v>20213.7700513813</v>
      </c>
      <c r="AO36" s="20" t="n">
        <f aca="false">IF(AND(AG36=1,Slot2_IsMfree=1),IF(AL36&gt;=Slot2_Cost-1,0,MAX(0,AD36-AL36)),AD36)</f>
        <v>0</v>
      </c>
      <c r="AP36" s="20" t="n">
        <f aca="false">AG36*(Slot2_Cost-AL36)</f>
        <v>0</v>
      </c>
      <c r="AQ36" s="20" t="n">
        <f aca="false">IF(AND(Slot3_On=1,D36=Slot3_Age),1,0)</f>
        <v>0</v>
      </c>
      <c r="AR36" s="20" t="n">
        <f aca="false">IF(AND(Slot3_On=1,Slot3_Age&gt;D36),1,0)</f>
        <v>0</v>
      </c>
      <c r="AS36" s="20" t="n">
        <f aca="false">QU35</f>
        <v>0</v>
      </c>
      <c r="AT36" s="20" t="n">
        <f aca="false">AQ36*MIN(Slot3_Cost,AS36)</f>
        <v>0</v>
      </c>
      <c r="AU36" s="20" t="n">
        <f aca="false">AQ36*Slot3_SpendLike*MIN(Slot3_Cost-AT36,AM36)</f>
        <v>0</v>
      </c>
      <c r="AV36" s="20" t="n">
        <f aca="false">AT36+AU36</f>
        <v>0</v>
      </c>
      <c r="AW36" s="20" t="n">
        <f aca="false">AM36-AU36+AQ36*IF(Slot3_SpendLike=1,AS36-AT36,IF(Slot3_PotFree=1,AS36,0))</f>
        <v>191620.159454694</v>
      </c>
      <c r="AX36" s="20" t="n">
        <f aca="false">AN36+AQ36*Slot3_BufPot*AS36</f>
        <v>20213.7700513813</v>
      </c>
      <c r="AY36" s="20" t="n">
        <f aca="false">IF(AND(AQ36=1,Slot3_IsMfree=1),IF(AV36&gt;=Slot3_Cost-1,0,MAX(0,AO36-AV36)),AO36)</f>
        <v>0</v>
      </c>
      <c r="AZ36" s="20" t="n">
        <f aca="false">AQ36*(Slot3_Cost-AV36)</f>
        <v>0</v>
      </c>
      <c r="BA36" s="20" t="n">
        <f aca="false">IF(AND(Slot4_On=1,D36=Slot4_Age),1,0)</f>
        <v>0</v>
      </c>
      <c r="BB36" s="20" t="n">
        <f aca="false">IF(AND(Slot4_On=1,Slot4_Age&gt;D36),1,0)</f>
        <v>0</v>
      </c>
      <c r="BC36" s="20" t="n">
        <f aca="false">QY35</f>
        <v>0</v>
      </c>
      <c r="BD36" s="20" t="n">
        <f aca="false">BA36*MIN(Slot4_Cost,BC36)</f>
        <v>0</v>
      </c>
      <c r="BE36" s="20" t="n">
        <f aca="false">BA36*Slot4_SpendLike*MIN(Slot4_Cost-BD36,AW36)</f>
        <v>0</v>
      </c>
      <c r="BF36" s="20" t="n">
        <f aca="false">BD36+BE36</f>
        <v>0</v>
      </c>
      <c r="BG36" s="20" t="n">
        <f aca="false">AW36-BE36+BA36*IF(Slot4_SpendLike=1,BC36-BD36,IF(Slot4_PotFree=1,BC36,0))</f>
        <v>191620.159454694</v>
      </c>
      <c r="BH36" s="20" t="n">
        <f aca="false">AX36+BA36*Slot4_BufPot*BC36</f>
        <v>20213.7700513813</v>
      </c>
      <c r="BI36" s="20" t="n">
        <f aca="false">IF(AND(BA36=1,Slot4_IsMfree=1),IF(BF36&gt;=Slot4_Cost-1,0,MAX(0,AY36-BF36)),AY36)</f>
        <v>0</v>
      </c>
      <c r="BJ36" s="20" t="n">
        <f aca="false">BA36*(Slot4_Cost-BF36)</f>
        <v>0</v>
      </c>
      <c r="BK36" s="20" t="n">
        <f aca="false">IF(AND(Slot5_On=1,D36=Slot5_Age),1,0)</f>
        <v>0</v>
      </c>
      <c r="BL36" s="20" t="n">
        <f aca="false">IF(AND(Slot5_On=1,Slot5_Age&gt;D36),1,0)</f>
        <v>0</v>
      </c>
      <c r="BM36" s="20" t="n">
        <f aca="false">RC35</f>
        <v>0</v>
      </c>
      <c r="BN36" s="20" t="n">
        <f aca="false">BK36*MIN(Slot5_Cost,BM36)</f>
        <v>0</v>
      </c>
      <c r="BO36" s="20" t="n">
        <f aca="false">BK36*Slot5_SpendLike*MIN(Slot5_Cost-BN36,BG36)</f>
        <v>0</v>
      </c>
      <c r="BP36" s="20" t="n">
        <f aca="false">BN36+BO36</f>
        <v>0</v>
      </c>
      <c r="BQ36" s="20" t="n">
        <f aca="false">BG36-BO36+BK36*IF(Slot5_SpendLike=1,BM36-BN36,IF(Slot5_PotFree=1,BM36,0))</f>
        <v>191620.159454694</v>
      </c>
      <c r="BR36" s="20" t="n">
        <f aca="false">BH36+BK36*Slot5_BufPot*BM36</f>
        <v>20213.7700513813</v>
      </c>
      <c r="BS36" s="20" t="n">
        <f aca="false">IF(AND(BK36=1,Slot5_IsMfree=1),IF(BP36&gt;=Slot5_Cost-1,0,MAX(0,BI36-BP36)),BI36)</f>
        <v>0</v>
      </c>
      <c r="BT36" s="20" t="n">
        <f aca="false">BK36*(Slot5_Cost-BP36)</f>
        <v>0</v>
      </c>
      <c r="BU36" s="20" t="n">
        <f aca="false">IF(AND(Slot6_On=1,D36=Slot6_Age),1,0)</f>
        <v>0</v>
      </c>
      <c r="BV36" s="20" t="n">
        <f aca="false">IF(AND(Slot6_On=1,Slot6_Age&gt;D36),1,0)</f>
        <v>0</v>
      </c>
      <c r="BW36" s="20" t="n">
        <f aca="false">RG35</f>
        <v>0</v>
      </c>
      <c r="BX36" s="20" t="n">
        <f aca="false">BU36*MIN(Slot6_Cost,BW36)</f>
        <v>0</v>
      </c>
      <c r="BY36" s="20" t="n">
        <f aca="false">BU36*Slot6_SpendLike*MIN(Slot6_Cost-BX36,BQ36)</f>
        <v>0</v>
      </c>
      <c r="BZ36" s="20" t="n">
        <f aca="false">BX36+BY36</f>
        <v>0</v>
      </c>
      <c r="CA36" s="20" t="n">
        <f aca="false">BQ36-BY36+BU36*IF(Slot6_SpendLike=1,BW36-BX36,IF(Slot6_PotFree=1,BW36,0))</f>
        <v>191620.159454694</v>
      </c>
      <c r="CB36" s="20" t="n">
        <f aca="false">BR36+BU36*Slot6_BufPot*BW36</f>
        <v>20213.7700513813</v>
      </c>
      <c r="CC36" s="20" t="n">
        <f aca="false">IF(AND(BU36=1,Slot6_IsMfree=1),IF(BZ36&gt;=Slot6_Cost-1,0,MAX(0,BS36-BZ36)),BS36)</f>
        <v>0</v>
      </c>
      <c r="CD36" s="20" t="n">
        <f aca="false">BU36*(Slot6_Cost-BZ36)</f>
        <v>0</v>
      </c>
      <c r="CE36" s="20" t="n">
        <f aca="false">IF(AND(Slot7_On=1,D36=Slot7_Age),1,0)</f>
        <v>0</v>
      </c>
      <c r="CF36" s="20" t="n">
        <f aca="false">IF(AND(Slot7_On=1,Slot7_Age&gt;D36),1,0)</f>
        <v>0</v>
      </c>
      <c r="CG36" s="20" t="n">
        <f aca="false">RK35</f>
        <v>0</v>
      </c>
      <c r="CH36" s="20" t="n">
        <f aca="false">CE36*MIN(Slot7_Cost,CG36)</f>
        <v>0</v>
      </c>
      <c r="CI36" s="20" t="n">
        <f aca="false">CE36*Slot7_SpendLike*MIN(Slot7_Cost-CH36,CA36)</f>
        <v>0</v>
      </c>
      <c r="CJ36" s="20" t="n">
        <f aca="false">CH36+CI36</f>
        <v>0</v>
      </c>
      <c r="CK36" s="20" t="n">
        <f aca="false">CA36-CI36+CE36*IF(Slot7_SpendLike=1,CG36-CH36,IF(Slot7_PotFree=1,CG36,0))</f>
        <v>191620.159454694</v>
      </c>
      <c r="CL36" s="20" t="n">
        <f aca="false">CB36+CE36*Slot7_BufPot*CG36</f>
        <v>20213.7700513813</v>
      </c>
      <c r="CM36" s="20" t="n">
        <f aca="false">IF(AND(CE36=1,Slot7_IsMfree=1),IF(CJ36&gt;=Slot7_Cost-1,0,MAX(0,CC36-CJ36)),CC36)</f>
        <v>0</v>
      </c>
      <c r="CN36" s="20" t="n">
        <f aca="false">CE36*(Slot7_Cost-CJ36)</f>
        <v>0</v>
      </c>
      <c r="CO36" s="20" t="n">
        <f aca="false">IF(AND(Slot8_On=1,D36=Slot8_Age),1,0)</f>
        <v>0</v>
      </c>
      <c r="CP36" s="20" t="n">
        <f aca="false">IF(AND(Slot8_On=1,Slot8_Age&gt;D36),1,0)</f>
        <v>0</v>
      </c>
      <c r="CQ36" s="20" t="n">
        <f aca="false">RO35</f>
        <v>0</v>
      </c>
      <c r="CR36" s="20" t="n">
        <f aca="false">CO36*MIN(Slot8_Cost,CQ36)</f>
        <v>0</v>
      </c>
      <c r="CS36" s="20" t="n">
        <f aca="false">CO36*Slot8_SpendLike*MIN(Slot8_Cost-CR36,CK36)</f>
        <v>0</v>
      </c>
      <c r="CT36" s="20" t="n">
        <f aca="false">CR36+CS36</f>
        <v>0</v>
      </c>
      <c r="CU36" s="20" t="n">
        <f aca="false">CK36-CS36+CO36*IF(Slot8_SpendLike=1,CQ36-CR36,IF(Slot8_PotFree=1,CQ36,0))</f>
        <v>191620.159454694</v>
      </c>
      <c r="CV36" s="20" t="n">
        <f aca="false">CL36+CO36*Slot8_BufPot*CQ36</f>
        <v>20213.7700513813</v>
      </c>
      <c r="CW36" s="20" t="n">
        <f aca="false">IF(AND(CO36=1,Slot8_IsMfree=1),IF(CT36&gt;=Slot8_Cost-1,0,MAX(0,CM36-CT36)),CM36)</f>
        <v>0</v>
      </c>
      <c r="CX36" s="20" t="n">
        <f aca="false">CO36*(Slot8_Cost-CT36)</f>
        <v>0</v>
      </c>
      <c r="CY36" s="20" t="n">
        <f aca="false">IF(AND(Slot9_On=1,D36=Slot9_Age),1,0)</f>
        <v>0</v>
      </c>
      <c r="CZ36" s="20" t="n">
        <f aca="false">IF(AND(Slot9_On=1,Slot9_Age&gt;D36),1,0)</f>
        <v>0</v>
      </c>
      <c r="DA36" s="20" t="n">
        <f aca="false">RS35</f>
        <v>0</v>
      </c>
      <c r="DB36" s="20" t="n">
        <f aca="false">CY36*MIN(Slot9_Cost,DA36)</f>
        <v>0</v>
      </c>
      <c r="DC36" s="20" t="n">
        <f aca="false">CY36*Slot9_SpendLike*MIN(Slot9_Cost-DB36,CU36)</f>
        <v>0</v>
      </c>
      <c r="DD36" s="20" t="n">
        <f aca="false">DB36+DC36</f>
        <v>0</v>
      </c>
      <c r="DE36" s="20" t="n">
        <f aca="false">CU36-DC36+CY36*IF(Slot9_SpendLike=1,DA36-DB36,IF(Slot9_PotFree=1,DA36,0))</f>
        <v>191620.159454694</v>
      </c>
      <c r="DF36" s="20" t="n">
        <f aca="false">CV36+CY36*Slot9_BufPot*DA36</f>
        <v>20213.7700513813</v>
      </c>
      <c r="DG36" s="20" t="n">
        <f aca="false">IF(AND(CY36=1,Slot9_IsMfree=1),IF(DD36&gt;=Slot9_Cost-1,0,MAX(0,CW36-DD36)),CW36)</f>
        <v>0</v>
      </c>
      <c r="DH36" s="20" t="n">
        <f aca="false">CY36*(Slot9_Cost-DD36)</f>
        <v>0</v>
      </c>
      <c r="DI36" s="20" t="n">
        <f aca="false">IF(AND(Slot10_On=1,D36=Slot10_Age),1,0)</f>
        <v>0</v>
      </c>
      <c r="DJ36" s="20" t="n">
        <f aca="false">IF(AND(Slot10_On=1,Slot10_Age&gt;D36),1,0)</f>
        <v>0</v>
      </c>
      <c r="DK36" s="20" t="n">
        <f aca="false">RW35</f>
        <v>0</v>
      </c>
      <c r="DL36" s="20" t="n">
        <f aca="false">DI36*MIN(Slot10_Cost,DK36)</f>
        <v>0</v>
      </c>
      <c r="DM36" s="20" t="n">
        <f aca="false">DI36*Slot10_SpendLike*MIN(Slot10_Cost-DL36,DE36)</f>
        <v>0</v>
      </c>
      <c r="DN36" s="20" t="n">
        <f aca="false">DL36+DM36</f>
        <v>0</v>
      </c>
      <c r="DO36" s="20" t="n">
        <f aca="false">DE36-DM36+DI36*IF(Slot10_SpendLike=1,DK36-DL36,IF(Slot10_PotFree=1,DK36,0))</f>
        <v>191620.159454694</v>
      </c>
      <c r="DP36" s="20" t="n">
        <f aca="false">DF36+DI36*Slot10_BufPot*DK36</f>
        <v>20213.7700513813</v>
      </c>
      <c r="DQ36" s="20" t="n">
        <f aca="false">IF(AND(DI36=1,Slot10_IsMfree=1),IF(DN36&gt;=Slot10_Cost-1,0,MAX(0,DG36-DN36)),DG36)</f>
        <v>0</v>
      </c>
      <c r="DR36" s="20" t="n">
        <f aca="false">DI36*(Slot10_Cost-DN36)</f>
        <v>0</v>
      </c>
      <c r="DS36" s="20" t="n">
        <f aca="false">IF(AND(Slot11_On=1,D36=Slot11_Age),1,0)</f>
        <v>0</v>
      </c>
      <c r="DT36" s="20" t="n">
        <f aca="false">IF(AND(Slot11_On=1,Slot11_Age&gt;D36),1,0)</f>
        <v>0</v>
      </c>
      <c r="DU36" s="20" t="n">
        <f aca="false">SA35</f>
        <v>0</v>
      </c>
      <c r="DV36" s="20" t="n">
        <f aca="false">DS36*MIN(Slot11_Cost,DU36)</f>
        <v>0</v>
      </c>
      <c r="DW36" s="20" t="n">
        <f aca="false">DS36*Slot11_SpendLike*MIN(Slot11_Cost-DV36,DO36)</f>
        <v>0</v>
      </c>
      <c r="DX36" s="20" t="n">
        <f aca="false">DV36+DW36</f>
        <v>0</v>
      </c>
      <c r="DY36" s="20" t="n">
        <f aca="false">DO36-DW36+DS36*IF(Slot11_SpendLike=1,DU36-DV36,IF(Slot11_PotFree=1,DU36,0))</f>
        <v>191620.159454694</v>
      </c>
      <c r="DZ36" s="20" t="n">
        <f aca="false">DP36+DS36*Slot11_BufPot*DU36</f>
        <v>20213.7700513813</v>
      </c>
      <c r="EA36" s="20" t="n">
        <f aca="false">IF(AND(DS36=1,Slot11_IsMfree=1),IF(DX36&gt;=Slot11_Cost-1,0,MAX(0,DQ36-DX36)),DQ36)</f>
        <v>0</v>
      </c>
      <c r="EB36" s="20" t="n">
        <f aca="false">DS36*(Slot11_Cost-DX36)</f>
        <v>0</v>
      </c>
      <c r="EC36" s="20" t="n">
        <f aca="false">IF(AND(Slot12_On=1,D36=Slot12_Age),1,0)</f>
        <v>0</v>
      </c>
      <c r="ED36" s="20" t="n">
        <f aca="false">IF(AND(Slot12_On=1,Slot12_Age&gt;D36),1,0)</f>
        <v>0</v>
      </c>
      <c r="EE36" s="20" t="n">
        <f aca="false">SE35</f>
        <v>0</v>
      </c>
      <c r="EF36" s="20" t="n">
        <f aca="false">EC36*MIN(Slot12_Cost,EE36)</f>
        <v>0</v>
      </c>
      <c r="EG36" s="20" t="n">
        <f aca="false">EC36*Slot12_SpendLike*MIN(Slot12_Cost-EF36,DY36)</f>
        <v>0</v>
      </c>
      <c r="EH36" s="20" t="n">
        <f aca="false">EF36+EG36</f>
        <v>0</v>
      </c>
      <c r="EI36" s="20" t="n">
        <f aca="false">DY36-EG36+EC36*IF(Slot12_SpendLike=1,EE36-EF36,IF(Slot12_PotFree=1,EE36,0))</f>
        <v>191620.159454694</v>
      </c>
      <c r="EJ36" s="20" t="n">
        <f aca="false">DZ36+EC36*Slot12_BufPot*EE36</f>
        <v>20213.7700513813</v>
      </c>
      <c r="EK36" s="20" t="n">
        <f aca="false">IF(AND(EC36=1,Slot12_IsMfree=1),IF(EH36&gt;=Slot12_Cost-1,0,MAX(0,EA36-EH36)),EA36)</f>
        <v>0</v>
      </c>
      <c r="EL36" s="20" t="n">
        <f aca="false">EC36*(Slot12_Cost-EH36)</f>
        <v>0</v>
      </c>
      <c r="EM36" s="20" t="n">
        <f aca="false">IF(AND(Slot13_On=1,D36=Slot13_Age),1,0)</f>
        <v>0</v>
      </c>
      <c r="EN36" s="20" t="n">
        <f aca="false">IF(AND(Slot13_On=1,Slot13_Age&gt;D36),1,0)</f>
        <v>0</v>
      </c>
      <c r="EO36" s="20" t="n">
        <f aca="false">SI35</f>
        <v>0</v>
      </c>
      <c r="EP36" s="20" t="n">
        <f aca="false">EM36*MIN(Slot13_Cost,EO36)</f>
        <v>0</v>
      </c>
      <c r="EQ36" s="20" t="n">
        <f aca="false">EM36*Slot13_SpendLike*MIN(Slot13_Cost-EP36,EI36)</f>
        <v>0</v>
      </c>
      <c r="ER36" s="20" t="n">
        <f aca="false">EP36+EQ36</f>
        <v>0</v>
      </c>
      <c r="ES36" s="20" t="n">
        <f aca="false">EI36-EQ36+EM36*IF(Slot13_SpendLike=1,EO36-EP36,IF(Slot13_PotFree=1,EO36,0))</f>
        <v>191620.159454694</v>
      </c>
      <c r="ET36" s="20" t="n">
        <f aca="false">EJ36+EM36*Slot13_BufPot*EO36</f>
        <v>20213.7700513813</v>
      </c>
      <c r="EU36" s="20" t="n">
        <f aca="false">IF(AND(EM36=1,Slot13_IsMfree=1),IF(ER36&gt;=Slot13_Cost-1,0,MAX(0,EK36-ER36)),EK36)</f>
        <v>0</v>
      </c>
      <c r="EV36" s="20" t="n">
        <f aca="false">EM36*(Slot13_Cost-ER36)</f>
        <v>0</v>
      </c>
      <c r="EW36" s="20" t="n">
        <f aca="false">IF(AND(Slot14_On=1,D36=Slot14_Age),1,0)</f>
        <v>0</v>
      </c>
      <c r="EX36" s="20" t="n">
        <f aca="false">IF(AND(Slot14_On=1,Slot14_Age&gt;D36),1,0)</f>
        <v>0</v>
      </c>
      <c r="EY36" s="20" t="n">
        <f aca="false">SM35</f>
        <v>0</v>
      </c>
      <c r="EZ36" s="20" t="n">
        <f aca="false">EW36*MIN(Slot14_Cost,EY36)</f>
        <v>0</v>
      </c>
      <c r="FA36" s="20" t="n">
        <f aca="false">EW36*Slot14_SpendLike*MIN(Slot14_Cost-EZ36,ES36)</f>
        <v>0</v>
      </c>
      <c r="FB36" s="20" t="n">
        <f aca="false">EZ36+FA36</f>
        <v>0</v>
      </c>
      <c r="FC36" s="20" t="n">
        <f aca="false">ES36-FA36+EW36*IF(Slot14_SpendLike=1,EY36-EZ36,IF(Slot14_PotFree=1,EY36,0))</f>
        <v>191620.159454694</v>
      </c>
      <c r="FD36" s="20" t="n">
        <f aca="false">ET36+EW36*Slot14_BufPot*EY36</f>
        <v>20213.7700513813</v>
      </c>
      <c r="FE36" s="20" t="n">
        <f aca="false">IF(AND(EW36=1,Slot14_IsMfree=1),IF(FB36&gt;=Slot14_Cost-1,0,MAX(0,EU36-FB36)),EU36)</f>
        <v>0</v>
      </c>
      <c r="FF36" s="20" t="n">
        <f aca="false">EW36*(Slot14_Cost-FB36)</f>
        <v>0</v>
      </c>
      <c r="FG36" s="20" t="n">
        <f aca="false">IF(AND(Slot15_On=1,D36=Slot15_Age),1,0)</f>
        <v>0</v>
      </c>
      <c r="FH36" s="20" t="n">
        <f aca="false">IF(AND(Slot15_On=1,Slot15_Age&gt;D36),1,0)</f>
        <v>0</v>
      </c>
      <c r="FI36" s="20" t="n">
        <f aca="false">SQ35</f>
        <v>0</v>
      </c>
      <c r="FJ36" s="20" t="n">
        <f aca="false">FG36*MIN(Slot15_Cost,FI36)</f>
        <v>0</v>
      </c>
      <c r="FK36" s="20" t="n">
        <f aca="false">FG36*Slot15_SpendLike*MIN(Slot15_Cost-FJ36,FC36)</f>
        <v>0</v>
      </c>
      <c r="FL36" s="20" t="n">
        <f aca="false">FJ36+FK36</f>
        <v>0</v>
      </c>
      <c r="FM36" s="20" t="n">
        <f aca="false">FC36-FK36+FG36*IF(Slot15_SpendLike=1,FI36-FJ36,IF(Slot15_PotFree=1,FI36,0))</f>
        <v>191620.159454694</v>
      </c>
      <c r="FN36" s="20" t="n">
        <f aca="false">FD36+FG36*Slot15_BufPot*FI36</f>
        <v>20213.7700513813</v>
      </c>
      <c r="FO36" s="20" t="n">
        <f aca="false">IF(AND(FG36=1,Slot15_IsMfree=1),IF(FL36&gt;=Slot15_Cost-1,0,MAX(0,FE36-FL36)),FE36)</f>
        <v>0</v>
      </c>
      <c r="FP36" s="20" t="n">
        <f aca="false">FG36*(Slot15_Cost-FL36)</f>
        <v>0</v>
      </c>
      <c r="FQ36" s="20" t="n">
        <f aca="false">IF(AND(Slot16_On=1,D36=Slot16_Age),1,0)</f>
        <v>0</v>
      </c>
      <c r="FR36" s="20" t="n">
        <f aca="false">IF(AND(Slot16_On=1,Slot16_Age&gt;D36),1,0)</f>
        <v>0</v>
      </c>
      <c r="FS36" s="20" t="n">
        <f aca="false">SU35</f>
        <v>0</v>
      </c>
      <c r="FT36" s="20" t="n">
        <f aca="false">FQ36*MIN(Slot16_Cost,FS36)</f>
        <v>0</v>
      </c>
      <c r="FU36" s="20" t="n">
        <f aca="false">FQ36*Slot16_SpendLike*MIN(Slot16_Cost-FT36,FM36)</f>
        <v>0</v>
      </c>
      <c r="FV36" s="20" t="n">
        <f aca="false">FT36+FU36</f>
        <v>0</v>
      </c>
      <c r="FW36" s="20" t="n">
        <f aca="false">FM36-FU36+FQ36*IF(Slot16_SpendLike=1,FS36-FT36,IF(Slot16_PotFree=1,FS36,0))</f>
        <v>191620.159454694</v>
      </c>
      <c r="FX36" s="20" t="n">
        <f aca="false">FN36+FQ36*Slot16_BufPot*FS36</f>
        <v>20213.7700513813</v>
      </c>
      <c r="FY36" s="20" t="n">
        <f aca="false">IF(AND(FQ36=1,Slot16_IsMfree=1),IF(FV36&gt;=Slot16_Cost-1,0,MAX(0,FO36-FV36)),FO36)</f>
        <v>0</v>
      </c>
      <c r="FZ36" s="20" t="n">
        <f aca="false">FQ36*(Slot16_Cost-FV36)</f>
        <v>0</v>
      </c>
      <c r="GA36" s="20" t="n">
        <f aca="false">IF(AND(Slot17_On=1,D36=Slot17_Age),1,0)</f>
        <v>0</v>
      </c>
      <c r="GB36" s="20" t="n">
        <f aca="false">IF(AND(Slot17_On=1,Slot17_Age&gt;D36),1,0)</f>
        <v>0</v>
      </c>
      <c r="GC36" s="20" t="n">
        <f aca="false">SY35</f>
        <v>0</v>
      </c>
      <c r="GD36" s="20" t="n">
        <f aca="false">GA36*MIN(Slot17_Cost,GC36)</f>
        <v>0</v>
      </c>
      <c r="GE36" s="20" t="n">
        <f aca="false">GA36*Slot17_SpendLike*MIN(Slot17_Cost-GD36,FW36)</f>
        <v>0</v>
      </c>
      <c r="GF36" s="20" t="n">
        <f aca="false">GD36+GE36</f>
        <v>0</v>
      </c>
      <c r="GG36" s="20" t="n">
        <f aca="false">FW36-GE36+GA36*IF(Slot17_SpendLike=1,GC36-GD36,IF(Slot17_PotFree=1,GC36,0))</f>
        <v>191620.159454694</v>
      </c>
      <c r="GH36" s="20" t="n">
        <f aca="false">FX36+GA36*Slot17_BufPot*GC36</f>
        <v>20213.7700513813</v>
      </c>
      <c r="GI36" s="20" t="n">
        <f aca="false">IF(AND(GA36=1,Slot17_IsMfree=1),IF(GF36&gt;=Slot17_Cost-1,0,MAX(0,FY36-GF36)),FY36)</f>
        <v>0</v>
      </c>
      <c r="GJ36" s="20" t="n">
        <f aca="false">GA36*(Slot17_Cost-GF36)</f>
        <v>0</v>
      </c>
      <c r="GK36" s="20" t="n">
        <f aca="false">IF(AND(Slot18_On=1,D36=Slot18_Age),1,0)</f>
        <v>0</v>
      </c>
      <c r="GL36" s="20" t="n">
        <f aca="false">IF(AND(Slot18_On=1,Slot18_Age&gt;D36),1,0)</f>
        <v>0</v>
      </c>
      <c r="GM36" s="20" t="n">
        <f aca="false">TC35</f>
        <v>0</v>
      </c>
      <c r="GN36" s="20" t="n">
        <f aca="false">GK36*MIN(Slot18_Cost,GM36)</f>
        <v>0</v>
      </c>
      <c r="GO36" s="20" t="n">
        <f aca="false">GK36*Slot18_SpendLike*MIN(Slot18_Cost-GN36,GG36)</f>
        <v>0</v>
      </c>
      <c r="GP36" s="20" t="n">
        <f aca="false">GN36+GO36</f>
        <v>0</v>
      </c>
      <c r="GQ36" s="20" t="n">
        <f aca="false">GG36-GO36+GK36*IF(Slot18_SpendLike=1,GM36-GN36,IF(Slot18_PotFree=1,GM36,0))</f>
        <v>191620.159454694</v>
      </c>
      <c r="GR36" s="20" t="n">
        <f aca="false">GH36+GK36*Slot18_BufPot*GM36</f>
        <v>20213.7700513813</v>
      </c>
      <c r="GS36" s="20" t="n">
        <f aca="false">IF(AND(GK36=1,Slot18_IsMfree=1),IF(GP36&gt;=Slot18_Cost-1,0,MAX(0,GI36-GP36)),GI36)</f>
        <v>0</v>
      </c>
      <c r="GT36" s="20" t="n">
        <f aca="false">GK36*(Slot18_Cost-GP36)</f>
        <v>0</v>
      </c>
      <c r="GU36" s="20" t="n">
        <f aca="false">IF(AND(Slot19_On=1,D36=Slot19_Age),1,0)</f>
        <v>0</v>
      </c>
      <c r="GV36" s="20" t="n">
        <f aca="false">IF(AND(Slot19_On=1,Slot19_Age&gt;D36),1,0)</f>
        <v>0</v>
      </c>
      <c r="GW36" s="20" t="n">
        <f aca="false">TG35</f>
        <v>0</v>
      </c>
      <c r="GX36" s="20" t="n">
        <f aca="false">GU36*MIN(Slot19_Cost,GW36)</f>
        <v>0</v>
      </c>
      <c r="GY36" s="20" t="n">
        <f aca="false">GU36*Slot19_SpendLike*MIN(Slot19_Cost-GX36,GQ36)</f>
        <v>0</v>
      </c>
      <c r="GZ36" s="20" t="n">
        <f aca="false">GX36+GY36</f>
        <v>0</v>
      </c>
      <c r="HA36" s="20" t="n">
        <f aca="false">GQ36-GY36+GU36*IF(Slot19_SpendLike=1,GW36-GX36,IF(Slot19_PotFree=1,GW36,0))</f>
        <v>191620.159454694</v>
      </c>
      <c r="HB36" s="20" t="n">
        <f aca="false">GR36+GU36*Slot19_BufPot*GW36</f>
        <v>20213.7700513813</v>
      </c>
      <c r="HC36" s="20" t="n">
        <f aca="false">IF(AND(GU36=1,Slot19_IsMfree=1),IF(GZ36&gt;=Slot19_Cost-1,0,MAX(0,GS36-GZ36)),GS36)</f>
        <v>0</v>
      </c>
      <c r="HD36" s="20" t="n">
        <f aca="false">GU36*(Slot19_Cost-GZ36)</f>
        <v>0</v>
      </c>
      <c r="HE36" s="20" t="n">
        <f aca="false">IF(AND(Slot20_On=1,D36=Slot20_Age),1,0)</f>
        <v>0</v>
      </c>
      <c r="HF36" s="20" t="n">
        <f aca="false">IF(AND(Slot20_On=1,Slot20_Age&gt;D36),1,0)</f>
        <v>0</v>
      </c>
      <c r="HG36" s="20" t="n">
        <f aca="false">TK35</f>
        <v>0</v>
      </c>
      <c r="HH36" s="20" t="n">
        <f aca="false">HE36*MIN(Slot20_Cost,HG36)</f>
        <v>0</v>
      </c>
      <c r="HI36" s="20" t="n">
        <f aca="false">HE36*Slot20_SpendLike*MIN(Slot20_Cost-HH36,HA36)</f>
        <v>0</v>
      </c>
      <c r="HJ36" s="20" t="n">
        <f aca="false">HH36+HI36</f>
        <v>0</v>
      </c>
      <c r="HK36" s="20" t="n">
        <f aca="false">HA36-HI36+HE36*IF(Slot20_SpendLike=1,HG36-HH36,IF(Slot20_PotFree=1,HG36,0))</f>
        <v>191620.159454694</v>
      </c>
      <c r="HL36" s="20" t="n">
        <f aca="false">HB36+HE36*Slot20_BufPot*HG36</f>
        <v>20213.7700513813</v>
      </c>
      <c r="HM36" s="20" t="n">
        <f aca="false">IF(AND(HE36=1,Slot20_IsMfree=1),IF(HJ36&gt;=Slot20_Cost-1,0,MAX(0,HC36-HJ36)),HC36)</f>
        <v>0</v>
      </c>
      <c r="HN36" s="20" t="n">
        <f aca="false">HE36*(Slot20_Cost-HJ36)</f>
        <v>0</v>
      </c>
      <c r="HO36" s="20" t="n">
        <f aca="false">V36*Slot1_SpendLike*AA36+AG36*Slot2_SpendLike*AL36+AQ36*Slot3_SpendLike*AV36+BA36*Slot4_SpendLike*BF36+BK36*Slot5_SpendLike*BP36+BU36*Slot6_SpendLike*BZ36+CE36*Slot7_SpendLike*CJ36+CO36*Slot8_SpendLike*CT36+CY36*Slot9_SpendLike*DD36+DI36*Slot10_SpendLike*DN36+DS36*Slot11_SpendLike*DX36+EC36*Slot12_SpendLike*EH36+EM36*Slot13_SpendLike*ER36+EW36*Slot14_SpendLike*FB36+FG36*Slot15_SpendLike*FL36+FQ36*Slot16_SpendLike*FV36+GA36*Slot17_SpendLike*GF36+GK36*Slot18_SpendLike*GP36+GU36*Slot19_SpendLike*GZ36+HE36*Slot20_SpendLike*HJ36</f>
        <v>0</v>
      </c>
      <c r="HP36" s="20" t="n">
        <f aca="false">AE36+AP36+AZ36+BJ36+BT36+CD36+CN36+CX36+DH36+DR36+EB36+EL36+EV36+FF36+FP36+FZ36+GJ36+GT36+HD36+HN36</f>
        <v>0</v>
      </c>
      <c r="HQ36" s="20" t="n">
        <f aca="false">V36*Slot1_Cost+AG36*Slot2_Cost+AQ36*Slot3_Cost+BA36*Slot4_Cost+BK36*Slot5_Cost+BU36*Slot6_Cost+CE36*Slot7_Cost+CO36*Slot8_Cost+CY36*Slot9_Cost+DI36*Slot10_Cost+DS36*Slot11_Cost+EC36*Slot12_Cost+EM36*Slot13_Cost+EW36*Slot14_Cost+FG36*Slot15_Cost+FQ36*Slot16_Cost+GA36*Slot17_Cost+GK36*Slot18_Cost+GU36*Slot19_Cost+HE36*Slot20_Cost</f>
        <v>0</v>
      </c>
      <c r="HR36" s="20" t="n">
        <f aca="false">HM36</f>
        <v>0</v>
      </c>
      <c r="HS36" s="20" t="n">
        <f aca="false">H36-I36-S36</f>
        <v>4323.64424572962</v>
      </c>
      <c r="HT36" s="20" t="n">
        <f aca="false">IF(B36=0,IF(AND(Has_q6=1,In_q6=4),PR_ShareVaries*(MAX(0,HS36)/12),MIN(IF(Has_q6=1,CHOOSE(In_q6+1,PR_SaveB1,PR_SaveB2,PR_SaveB3,PR_SaveB4,0),AS_NoAnswer),AS_SaveShare*(MAX(0,HS36)/12))),HT35)</f>
        <v>62.3316893520437</v>
      </c>
      <c r="HU36" s="20" t="n">
        <f aca="false">IF(HS36&gt;=0,1,0)</f>
        <v>1</v>
      </c>
      <c r="HV36" s="20" t="n">
        <f aca="false">MAX(0,HS36/12/F36)</f>
        <v>206.949269209725</v>
      </c>
      <c r="HW36" s="20" t="n">
        <f aca="false">IF(AND(Has_q6=1,In_q6=4),PR_ShareVaries*(HV36),MIN(IF(Has_q6=1,CHOOSE(In_q6+1,PR_SaveB1,PR_SaveB2,PR_SaveB3,PR_SaveB4,0),AS_NoAnswer),AS_SaveShare*(HV36)))</f>
        <v>103.474634604862</v>
      </c>
      <c r="HX36" s="20" t="n">
        <f aca="false">IF(Has_saveM=1,IF(In_saveUp="Yes",1,IF(In_saveUp="No",0,IF(In_saveM&gt;=HT36-0.5,1,0))),0)</f>
        <v>0</v>
      </c>
      <c r="HY36" s="20" t="n">
        <f aca="false">IF(Has_saveM=1,MIN(HV36,IF(HX36=1,MAX(In_saveM,HW36),MIN(In_saveM,HW36))),HW36)</f>
        <v>103.474634604862</v>
      </c>
      <c r="HZ36" s="20" t="n">
        <f aca="false">IF(G36=1,HY36*12*F36,0)</f>
        <v>0</v>
      </c>
      <c r="IA36" s="20" t="n">
        <f aca="false">MAX(0,HZ36+IF(AND(WI_Retire=0,WI_M&lt;0,G36=1),WI_M*12*F36,0))</f>
        <v>0</v>
      </c>
      <c r="IB36" s="20" t="n">
        <f aca="false">Slot1_IsWG*W36+Slot2_IsWG*AH36+Slot3_IsWG*AR36+Slot4_IsWG*BB36+Slot5_IsWG*BL36+Slot6_IsWG*BV36+Slot7_IsWG*CF36+Slot8_IsWG*CP36+Slot9_IsWG*CZ36+Slot10_IsWG*DJ36+Slot11_IsWG*DT36+Slot12_IsWG*ED36+Slot13_IsWG*EN36+Slot14_IsWG*EX36+Slot15_IsWG*FH36+Slot16_IsWG*FR36+Slot17_IsWG*GB36+Slot18_IsWG*GL36+Slot19_IsWG*GV36+Slot20_IsWG*HF36</f>
        <v>0</v>
      </c>
      <c r="IC36" s="20" t="n">
        <f aca="false">IF(AND(WI_Retire=0,WI_M&gt;0,G36=1,IB36&gt;=1),WI_M*12*F36,0)</f>
        <v>0</v>
      </c>
      <c r="ID36" s="20" t="n">
        <f aca="false">IF(HU36=1,MIN(IA36,HS36),0)</f>
        <v>0</v>
      </c>
      <c r="IE36" s="20" t="n">
        <f aca="false">IF(HU36=1,MIN(IC36,HS36-ID36),0)</f>
        <v>0</v>
      </c>
      <c r="IF36" s="20" t="n">
        <f aca="false">IF(W36=1,IF(ABS((1+AS_Wage)/(1+Slot1_Rate)-1)&lt;0.000000000001,(Slot1_Age-D36)*(1+Slot1_Rate)^(Slot1_Age-D36),(1+Slot1_Rate)^(Slot1_Age-D36)*(1-((1+AS_Wage)/(1+Slot1_Rate))^(Slot1_Age-D36))/(1-(1+AS_Wage)/(1+Slot1_Rate))),1)</f>
        <v>1</v>
      </c>
      <c r="IG36" s="20" t="n">
        <f aca="false">IF(AND(HU36=1,IE36&gt;0,Slot1_IsWG=1,W36=1),MAX(0,(Slot1_Cost-X36*(1+Slot1_Rate)^(Slot1_Age-D36))/IF36),0)</f>
        <v>0</v>
      </c>
      <c r="IH36" s="20" t="n">
        <f aca="false">IF(AND(HU36=1,IE36&gt;0,Slot1_IsWG=1,W36=1),MIN(IE36,IG36),0)</f>
        <v>0</v>
      </c>
      <c r="II36" s="20" t="n">
        <f aca="false">X36+IH36</f>
        <v>0</v>
      </c>
      <c r="IJ36" s="20" t="n">
        <f aca="false">IF(W36=1,MAX(0,(Slot1_Cost-II36*(1+Slot1_Rate)^(Slot1_Age-D36))/IF36),0)</f>
        <v>0</v>
      </c>
      <c r="IK36" s="20" t="n">
        <f aca="false">IF(W36=1,MAX(0,(Slot1_Cost-X36*(1+Slot1_Rate)^(Slot1_Age-D36))/IF36),0)</f>
        <v>0</v>
      </c>
      <c r="IL36" s="20" t="n">
        <f aca="false">IF(AND(HU36=1,W36=1),MIN(ID36,IJ36),0)</f>
        <v>0</v>
      </c>
      <c r="IM36" s="20" t="n">
        <f aca="false">ID36-IL36</f>
        <v>0</v>
      </c>
      <c r="IN36" s="20" t="n">
        <f aca="false">IF(AH36=1,IF(ABS((1+AS_Wage)/(1+Slot2_Rate)-1)&lt;0.000000000001,(Slot2_Age-D36)*(1+Slot2_Rate)^(Slot2_Age-D36),(1+Slot2_Rate)^(Slot2_Age-D36)*(1-((1+AS_Wage)/(1+Slot2_Rate))^(Slot2_Age-D36))/(1-(1+AS_Wage)/(1+Slot2_Rate))),1)</f>
        <v>1</v>
      </c>
      <c r="IO36" s="20" t="n">
        <f aca="false">IF(AND(HU36=1,IE36&gt;0,Slot2_IsWG=1,AH36=1),MAX(0,(Slot2_Cost-AI36*(1+Slot2_Rate)^(Slot2_Age-D36))/IN36),0)</f>
        <v>0</v>
      </c>
      <c r="IP36" s="20" t="n">
        <f aca="false">IF(AND(HU36=1,IE36&gt;0,Slot2_IsWG=1,AH36=1),MIN(IE36,IO36),0)</f>
        <v>0</v>
      </c>
      <c r="IQ36" s="20" t="n">
        <f aca="false">AI36+IP36</f>
        <v>0</v>
      </c>
      <c r="IR36" s="20" t="n">
        <f aca="false">IF(AH36=1,MAX(0,(Slot2_Cost-IQ36*(1+Slot2_Rate)^(Slot2_Age-D36))/IN36),0)</f>
        <v>0</v>
      </c>
      <c r="IS36" s="20" t="n">
        <f aca="false">IF(AH36=1,MAX(0,(Slot2_Cost-AI36*(1+Slot2_Rate)^(Slot2_Age-D36))/IN36),0)</f>
        <v>0</v>
      </c>
      <c r="IT36" s="20" t="n">
        <f aca="false">IF(AND(HU36=1,AH36=1),MIN(IM36,IR36),0)</f>
        <v>0</v>
      </c>
      <c r="IU36" s="20" t="n">
        <f aca="false">IM36-IT36</f>
        <v>0</v>
      </c>
      <c r="IV36" s="20" t="n">
        <f aca="false">IF(AR36=1,IF(ABS((1+AS_Wage)/(1+Slot3_Rate)-1)&lt;0.000000000001,(Slot3_Age-D36)*(1+Slot3_Rate)^(Slot3_Age-D36),(1+Slot3_Rate)^(Slot3_Age-D36)*(1-((1+AS_Wage)/(1+Slot3_Rate))^(Slot3_Age-D36))/(1-(1+AS_Wage)/(1+Slot3_Rate))),1)</f>
        <v>1</v>
      </c>
      <c r="IW36" s="20" t="n">
        <f aca="false">IF(AND(HU36=1,IE36&gt;0,Slot3_IsWG=1,AR36=1),MAX(0,(Slot3_Cost-AS36*(1+Slot3_Rate)^(Slot3_Age-D36))/IV36),0)</f>
        <v>0</v>
      </c>
      <c r="IX36" s="20" t="n">
        <f aca="false">IF(AND(HU36=1,IE36&gt;0,Slot3_IsWG=1,AR36=1),MIN(IE36,IW36),0)</f>
        <v>0</v>
      </c>
      <c r="IY36" s="20" t="n">
        <f aca="false">AS36+IX36</f>
        <v>0</v>
      </c>
      <c r="IZ36" s="20" t="n">
        <f aca="false">IF(AR36=1,MAX(0,(Slot3_Cost-IY36*(1+Slot3_Rate)^(Slot3_Age-D36))/IV36),0)</f>
        <v>0</v>
      </c>
      <c r="JA36" s="20" t="n">
        <f aca="false">IF(AR36=1,MAX(0,(Slot3_Cost-AS36*(1+Slot3_Rate)^(Slot3_Age-D36))/IV36),0)</f>
        <v>0</v>
      </c>
      <c r="JB36" s="20" t="n">
        <f aca="false">IF(AND(HU36=1,AR36=1),MIN(IU36,IZ36),0)</f>
        <v>0</v>
      </c>
      <c r="JC36" s="20" t="n">
        <f aca="false">IU36-JB36</f>
        <v>0</v>
      </c>
      <c r="JD36" s="20" t="n">
        <f aca="false">IF(BB36=1,IF(ABS((1+AS_Wage)/(1+Slot4_Rate)-1)&lt;0.000000000001,(Slot4_Age-D36)*(1+Slot4_Rate)^(Slot4_Age-D36),(1+Slot4_Rate)^(Slot4_Age-D36)*(1-((1+AS_Wage)/(1+Slot4_Rate))^(Slot4_Age-D36))/(1-(1+AS_Wage)/(1+Slot4_Rate))),1)</f>
        <v>1</v>
      </c>
      <c r="JE36" s="20" t="n">
        <f aca="false">IF(AND(HU36=1,IE36&gt;0,Slot4_IsWG=1,BB36=1),MAX(0,(Slot4_Cost-BC36*(1+Slot4_Rate)^(Slot4_Age-D36))/JD36),0)</f>
        <v>0</v>
      </c>
      <c r="JF36" s="20" t="n">
        <f aca="false">IF(AND(HU36=1,IE36&gt;0,Slot4_IsWG=1,BB36=1),MIN(IE36,JE36),0)</f>
        <v>0</v>
      </c>
      <c r="JG36" s="20" t="n">
        <f aca="false">BC36+JF36</f>
        <v>0</v>
      </c>
      <c r="JH36" s="20" t="n">
        <f aca="false">IF(BB36=1,MAX(0,(Slot4_Cost-JG36*(1+Slot4_Rate)^(Slot4_Age-D36))/JD36),0)</f>
        <v>0</v>
      </c>
      <c r="JI36" s="20" t="n">
        <f aca="false">IF(BB36=1,MAX(0,(Slot4_Cost-BC36*(1+Slot4_Rate)^(Slot4_Age-D36))/JD36),0)</f>
        <v>0</v>
      </c>
      <c r="JJ36" s="20" t="n">
        <f aca="false">IF(AND(HU36=1,BB36=1),MIN(JC36,JH36),0)</f>
        <v>0</v>
      </c>
      <c r="JK36" s="20" t="n">
        <f aca="false">JC36-JJ36</f>
        <v>0</v>
      </c>
      <c r="JL36" s="20" t="n">
        <f aca="false">IF(BL36=1,IF(ABS((1+AS_Wage)/(1+Slot5_Rate)-1)&lt;0.000000000001,(Slot5_Age-D36)*(1+Slot5_Rate)^(Slot5_Age-D36),(1+Slot5_Rate)^(Slot5_Age-D36)*(1-((1+AS_Wage)/(1+Slot5_Rate))^(Slot5_Age-D36))/(1-(1+AS_Wage)/(1+Slot5_Rate))),1)</f>
        <v>1</v>
      </c>
      <c r="JM36" s="20" t="n">
        <f aca="false">IF(AND(HU36=1,IE36&gt;0,Slot5_IsWG=1,BL36=1),MAX(0,(Slot5_Cost-BM36*(1+Slot5_Rate)^(Slot5_Age-D36))/JL36),0)</f>
        <v>0</v>
      </c>
      <c r="JN36" s="20" t="n">
        <f aca="false">IF(AND(HU36=1,IE36&gt;0,Slot5_IsWG=1,BL36=1),MIN(IE36,JM36),0)</f>
        <v>0</v>
      </c>
      <c r="JO36" s="20" t="n">
        <f aca="false">BM36+JN36</f>
        <v>0</v>
      </c>
      <c r="JP36" s="20" t="n">
        <f aca="false">IF(BL36=1,MAX(0,(Slot5_Cost-JO36*(1+Slot5_Rate)^(Slot5_Age-D36))/JL36),0)</f>
        <v>0</v>
      </c>
      <c r="JQ36" s="20" t="n">
        <f aca="false">IF(BL36=1,MAX(0,(Slot5_Cost-BM36*(1+Slot5_Rate)^(Slot5_Age-D36))/JL36),0)</f>
        <v>0</v>
      </c>
      <c r="JR36" s="20" t="n">
        <f aca="false">IF(AND(HU36=1,BL36=1),MIN(JK36,JP36),0)</f>
        <v>0</v>
      </c>
      <c r="JS36" s="20" t="n">
        <f aca="false">JK36-JR36</f>
        <v>0</v>
      </c>
      <c r="JT36" s="20" t="n">
        <f aca="false">IF(BV36=1,IF(ABS((1+AS_Wage)/(1+Slot6_Rate)-1)&lt;0.000000000001,(Slot6_Age-D36)*(1+Slot6_Rate)^(Slot6_Age-D36),(1+Slot6_Rate)^(Slot6_Age-D36)*(1-((1+AS_Wage)/(1+Slot6_Rate))^(Slot6_Age-D36))/(1-(1+AS_Wage)/(1+Slot6_Rate))),1)</f>
        <v>1</v>
      </c>
      <c r="JU36" s="20" t="n">
        <f aca="false">IF(AND(HU36=1,IE36&gt;0,Slot6_IsWG=1,BV36=1),MAX(0,(Slot6_Cost-BW36*(1+Slot6_Rate)^(Slot6_Age-D36))/JT36),0)</f>
        <v>0</v>
      </c>
      <c r="JV36" s="20" t="n">
        <f aca="false">IF(AND(HU36=1,IE36&gt;0,Slot6_IsWG=1,BV36=1),MIN(IE36,JU36),0)</f>
        <v>0</v>
      </c>
      <c r="JW36" s="20" t="n">
        <f aca="false">BW36+JV36</f>
        <v>0</v>
      </c>
      <c r="JX36" s="20" t="n">
        <f aca="false">IF(BV36=1,MAX(0,(Slot6_Cost-JW36*(1+Slot6_Rate)^(Slot6_Age-D36))/JT36),0)</f>
        <v>0</v>
      </c>
      <c r="JY36" s="20" t="n">
        <f aca="false">IF(BV36=1,MAX(0,(Slot6_Cost-BW36*(1+Slot6_Rate)^(Slot6_Age-D36))/JT36),0)</f>
        <v>0</v>
      </c>
      <c r="JZ36" s="20" t="n">
        <f aca="false">IF(AND(HU36=1,BV36=1),MIN(JS36,JX36),0)</f>
        <v>0</v>
      </c>
      <c r="KA36" s="20" t="n">
        <f aca="false">JS36-JZ36</f>
        <v>0</v>
      </c>
      <c r="KB36" s="20" t="n">
        <f aca="false">IF(CF36=1,IF(ABS((1+AS_Wage)/(1+Slot7_Rate)-1)&lt;0.000000000001,(Slot7_Age-D36)*(1+Slot7_Rate)^(Slot7_Age-D36),(1+Slot7_Rate)^(Slot7_Age-D36)*(1-((1+AS_Wage)/(1+Slot7_Rate))^(Slot7_Age-D36))/(1-(1+AS_Wage)/(1+Slot7_Rate))),1)</f>
        <v>1</v>
      </c>
      <c r="KC36" s="20" t="n">
        <f aca="false">IF(AND(HU36=1,IE36&gt;0,Slot7_IsWG=1,CF36=1),MAX(0,(Slot7_Cost-CG36*(1+Slot7_Rate)^(Slot7_Age-D36))/KB36),0)</f>
        <v>0</v>
      </c>
      <c r="KD36" s="20" t="n">
        <f aca="false">IF(AND(HU36=1,IE36&gt;0,Slot7_IsWG=1,CF36=1),MIN(IE36,KC36),0)</f>
        <v>0</v>
      </c>
      <c r="KE36" s="20" t="n">
        <f aca="false">CG36+KD36</f>
        <v>0</v>
      </c>
      <c r="KF36" s="20" t="n">
        <f aca="false">IF(CF36=1,MAX(0,(Slot7_Cost-KE36*(1+Slot7_Rate)^(Slot7_Age-D36))/KB36),0)</f>
        <v>0</v>
      </c>
      <c r="KG36" s="20" t="n">
        <f aca="false">IF(CF36=1,MAX(0,(Slot7_Cost-CG36*(1+Slot7_Rate)^(Slot7_Age-D36))/KB36),0)</f>
        <v>0</v>
      </c>
      <c r="KH36" s="20" t="n">
        <f aca="false">IF(AND(HU36=1,CF36=1),MIN(KA36,KF36),0)</f>
        <v>0</v>
      </c>
      <c r="KI36" s="20" t="n">
        <f aca="false">KA36-KH36</f>
        <v>0</v>
      </c>
      <c r="KJ36" s="20" t="n">
        <f aca="false">IF(CP36=1,IF(ABS((1+AS_Wage)/(1+Slot8_Rate)-1)&lt;0.000000000001,(Slot8_Age-D36)*(1+Slot8_Rate)^(Slot8_Age-D36),(1+Slot8_Rate)^(Slot8_Age-D36)*(1-((1+AS_Wage)/(1+Slot8_Rate))^(Slot8_Age-D36))/(1-(1+AS_Wage)/(1+Slot8_Rate))),1)</f>
        <v>1</v>
      </c>
      <c r="KK36" s="20" t="n">
        <f aca="false">IF(AND(HU36=1,IE36&gt;0,Slot8_IsWG=1,CP36=1),MAX(0,(Slot8_Cost-CQ36*(1+Slot8_Rate)^(Slot8_Age-D36))/KJ36),0)</f>
        <v>0</v>
      </c>
      <c r="KL36" s="20" t="n">
        <f aca="false">IF(AND(HU36=1,IE36&gt;0,Slot8_IsWG=1,CP36=1),MIN(IE36,KK36),0)</f>
        <v>0</v>
      </c>
      <c r="KM36" s="20" t="n">
        <f aca="false">CQ36+KL36</f>
        <v>0</v>
      </c>
      <c r="KN36" s="20" t="n">
        <f aca="false">IF(CP36=1,MAX(0,(Slot8_Cost-KM36*(1+Slot8_Rate)^(Slot8_Age-D36))/KJ36),0)</f>
        <v>0</v>
      </c>
      <c r="KO36" s="20" t="n">
        <f aca="false">IF(CP36=1,MAX(0,(Slot8_Cost-CQ36*(1+Slot8_Rate)^(Slot8_Age-D36))/KJ36),0)</f>
        <v>0</v>
      </c>
      <c r="KP36" s="20" t="n">
        <f aca="false">IF(AND(HU36=1,CP36=1),MIN(KI36,KN36),0)</f>
        <v>0</v>
      </c>
      <c r="KQ36" s="20" t="n">
        <f aca="false">KI36-KP36</f>
        <v>0</v>
      </c>
      <c r="KR36" s="20" t="n">
        <f aca="false">IF(CZ36=1,IF(ABS((1+AS_Wage)/(1+Slot9_Rate)-1)&lt;0.000000000001,(Slot9_Age-D36)*(1+Slot9_Rate)^(Slot9_Age-D36),(1+Slot9_Rate)^(Slot9_Age-D36)*(1-((1+AS_Wage)/(1+Slot9_Rate))^(Slot9_Age-D36))/(1-(1+AS_Wage)/(1+Slot9_Rate))),1)</f>
        <v>1</v>
      </c>
      <c r="KS36" s="20" t="n">
        <f aca="false">IF(AND(HU36=1,IE36&gt;0,Slot9_IsWG=1,CZ36=1),MAX(0,(Slot9_Cost-DA36*(1+Slot9_Rate)^(Slot9_Age-D36))/KR36),0)</f>
        <v>0</v>
      </c>
      <c r="KT36" s="20" t="n">
        <f aca="false">IF(AND(HU36=1,IE36&gt;0,Slot9_IsWG=1,CZ36=1),MIN(IE36,KS36),0)</f>
        <v>0</v>
      </c>
      <c r="KU36" s="20" t="n">
        <f aca="false">DA36+KT36</f>
        <v>0</v>
      </c>
      <c r="KV36" s="20" t="n">
        <f aca="false">IF(CZ36=1,MAX(0,(Slot9_Cost-KU36*(1+Slot9_Rate)^(Slot9_Age-D36))/KR36),0)</f>
        <v>0</v>
      </c>
      <c r="KW36" s="20" t="n">
        <f aca="false">IF(CZ36=1,MAX(0,(Slot9_Cost-DA36*(1+Slot9_Rate)^(Slot9_Age-D36))/KR36),0)</f>
        <v>0</v>
      </c>
      <c r="KX36" s="20" t="n">
        <f aca="false">IF(AND(HU36=1,CZ36=1),MIN(KQ36,KV36),0)</f>
        <v>0</v>
      </c>
      <c r="KY36" s="20" t="n">
        <f aca="false">KQ36-KX36</f>
        <v>0</v>
      </c>
      <c r="KZ36" s="20" t="n">
        <f aca="false">IF(DJ36=1,IF(ABS((1+AS_Wage)/(1+Slot10_Rate)-1)&lt;0.000000000001,(Slot10_Age-D36)*(1+Slot10_Rate)^(Slot10_Age-D36),(1+Slot10_Rate)^(Slot10_Age-D36)*(1-((1+AS_Wage)/(1+Slot10_Rate))^(Slot10_Age-D36))/(1-(1+AS_Wage)/(1+Slot10_Rate))),1)</f>
        <v>1</v>
      </c>
      <c r="LA36" s="20" t="n">
        <f aca="false">IF(AND(HU36=1,IE36&gt;0,Slot10_IsWG=1,DJ36=1),MAX(0,(Slot10_Cost-DK36*(1+Slot10_Rate)^(Slot10_Age-D36))/KZ36),0)</f>
        <v>0</v>
      </c>
      <c r="LB36" s="20" t="n">
        <f aca="false">IF(AND(HU36=1,IE36&gt;0,Slot10_IsWG=1,DJ36=1),MIN(IE36,LA36),0)</f>
        <v>0</v>
      </c>
      <c r="LC36" s="20" t="n">
        <f aca="false">DK36+LB36</f>
        <v>0</v>
      </c>
      <c r="LD36" s="20" t="n">
        <f aca="false">IF(DJ36=1,MAX(0,(Slot10_Cost-LC36*(1+Slot10_Rate)^(Slot10_Age-D36))/KZ36),0)</f>
        <v>0</v>
      </c>
      <c r="LE36" s="20" t="n">
        <f aca="false">IF(DJ36=1,MAX(0,(Slot10_Cost-DK36*(1+Slot10_Rate)^(Slot10_Age-D36))/KZ36),0)</f>
        <v>0</v>
      </c>
      <c r="LF36" s="20" t="n">
        <f aca="false">IF(AND(HU36=1,DJ36=1),MIN(KY36,LD36),0)</f>
        <v>0</v>
      </c>
      <c r="LG36" s="20" t="n">
        <f aca="false">KY36-LF36</f>
        <v>0</v>
      </c>
      <c r="LH36" s="20" t="n">
        <f aca="false">IF(DT36=1,IF(ABS((1+AS_Wage)/(1+Slot11_Rate)-1)&lt;0.000000000001,(Slot11_Age-D36)*(1+Slot11_Rate)^(Slot11_Age-D36),(1+Slot11_Rate)^(Slot11_Age-D36)*(1-((1+AS_Wage)/(1+Slot11_Rate))^(Slot11_Age-D36))/(1-(1+AS_Wage)/(1+Slot11_Rate))),1)</f>
        <v>1</v>
      </c>
      <c r="LI36" s="20" t="n">
        <f aca="false">IF(AND(HU36=1,IE36&gt;0,Slot11_IsWG=1,DT36=1),MAX(0,(Slot11_Cost-DU36*(1+Slot11_Rate)^(Slot11_Age-D36))/LH36),0)</f>
        <v>0</v>
      </c>
      <c r="LJ36" s="20" t="n">
        <f aca="false">IF(AND(HU36=1,IE36&gt;0,Slot11_IsWG=1,DT36=1),MIN(IE36,LI36),0)</f>
        <v>0</v>
      </c>
      <c r="LK36" s="20" t="n">
        <f aca="false">DU36+LJ36</f>
        <v>0</v>
      </c>
      <c r="LL36" s="20" t="n">
        <f aca="false">IF(DT36=1,MAX(0,(Slot11_Cost-LK36*(1+Slot11_Rate)^(Slot11_Age-D36))/LH36),0)</f>
        <v>0</v>
      </c>
      <c r="LM36" s="20" t="n">
        <f aca="false">IF(DT36=1,MAX(0,(Slot11_Cost-DU36*(1+Slot11_Rate)^(Slot11_Age-D36))/LH36),0)</f>
        <v>0</v>
      </c>
      <c r="LN36" s="20" t="n">
        <f aca="false">IF(AND(HU36=1,DT36=1),MIN(LG36,LL36),0)</f>
        <v>0</v>
      </c>
      <c r="LO36" s="20" t="n">
        <f aca="false">LG36-LN36</f>
        <v>0</v>
      </c>
      <c r="LP36" s="20" t="n">
        <f aca="false">IF(ED36=1,IF(ABS((1+AS_Wage)/(1+Slot12_Rate)-1)&lt;0.000000000001,(Slot12_Age-D36)*(1+Slot12_Rate)^(Slot12_Age-D36),(1+Slot12_Rate)^(Slot12_Age-D36)*(1-((1+AS_Wage)/(1+Slot12_Rate))^(Slot12_Age-D36))/(1-(1+AS_Wage)/(1+Slot12_Rate))),1)</f>
        <v>1</v>
      </c>
      <c r="LQ36" s="20" t="n">
        <f aca="false">IF(AND(HU36=1,IE36&gt;0,Slot12_IsWG=1,ED36=1),MAX(0,(Slot12_Cost-EE36*(1+Slot12_Rate)^(Slot12_Age-D36))/LP36),0)</f>
        <v>0</v>
      </c>
      <c r="LR36" s="20" t="n">
        <f aca="false">IF(AND(HU36=1,IE36&gt;0,Slot12_IsWG=1,ED36=1),MIN(IE36,LQ36),0)</f>
        <v>0</v>
      </c>
      <c r="LS36" s="20" t="n">
        <f aca="false">EE36+LR36</f>
        <v>0</v>
      </c>
      <c r="LT36" s="20" t="n">
        <f aca="false">IF(ED36=1,MAX(0,(Slot12_Cost-LS36*(1+Slot12_Rate)^(Slot12_Age-D36))/LP36),0)</f>
        <v>0</v>
      </c>
      <c r="LU36" s="20" t="n">
        <f aca="false">IF(ED36=1,MAX(0,(Slot12_Cost-EE36*(1+Slot12_Rate)^(Slot12_Age-D36))/LP36),0)</f>
        <v>0</v>
      </c>
      <c r="LV36" s="20" t="n">
        <f aca="false">IF(AND(HU36=1,ED36=1),MIN(LO36,LT36),0)</f>
        <v>0</v>
      </c>
      <c r="LW36" s="20" t="n">
        <f aca="false">LO36-LV36</f>
        <v>0</v>
      </c>
      <c r="LX36" s="20" t="n">
        <f aca="false">IF(EN36=1,IF(ABS((1+AS_Wage)/(1+Slot13_Rate)-1)&lt;0.000000000001,(Slot13_Age-D36)*(1+Slot13_Rate)^(Slot13_Age-D36),(1+Slot13_Rate)^(Slot13_Age-D36)*(1-((1+AS_Wage)/(1+Slot13_Rate))^(Slot13_Age-D36))/(1-(1+AS_Wage)/(1+Slot13_Rate))),1)</f>
        <v>1</v>
      </c>
      <c r="LY36" s="20" t="n">
        <f aca="false">IF(AND(HU36=1,IE36&gt;0,Slot13_IsWG=1,EN36=1),MAX(0,(Slot13_Cost-EO36*(1+Slot13_Rate)^(Slot13_Age-D36))/LX36),0)</f>
        <v>0</v>
      </c>
      <c r="LZ36" s="20" t="n">
        <f aca="false">IF(AND(HU36=1,IE36&gt;0,Slot13_IsWG=1,EN36=1),MIN(IE36,LY36),0)</f>
        <v>0</v>
      </c>
      <c r="MA36" s="20" t="n">
        <f aca="false">EO36+LZ36</f>
        <v>0</v>
      </c>
      <c r="MB36" s="20" t="n">
        <f aca="false">IF(EN36=1,MAX(0,(Slot13_Cost-MA36*(1+Slot13_Rate)^(Slot13_Age-D36))/LX36),0)</f>
        <v>0</v>
      </c>
      <c r="MC36" s="20" t="n">
        <f aca="false">IF(EN36=1,MAX(0,(Slot13_Cost-EO36*(1+Slot13_Rate)^(Slot13_Age-D36))/LX36),0)</f>
        <v>0</v>
      </c>
      <c r="MD36" s="20" t="n">
        <f aca="false">IF(AND(HU36=1,EN36=1),MIN(LW36,MB36),0)</f>
        <v>0</v>
      </c>
      <c r="ME36" s="20" t="n">
        <f aca="false">LW36-MD36</f>
        <v>0</v>
      </c>
      <c r="MF36" s="20" t="n">
        <f aca="false">IF(EX36=1,IF(ABS((1+AS_Wage)/(1+Slot14_Rate)-1)&lt;0.000000000001,(Slot14_Age-D36)*(1+Slot14_Rate)^(Slot14_Age-D36),(1+Slot14_Rate)^(Slot14_Age-D36)*(1-((1+AS_Wage)/(1+Slot14_Rate))^(Slot14_Age-D36))/(1-(1+AS_Wage)/(1+Slot14_Rate))),1)</f>
        <v>1</v>
      </c>
      <c r="MG36" s="20" t="n">
        <f aca="false">IF(AND(HU36=1,IE36&gt;0,Slot14_IsWG=1,EX36=1),MAX(0,(Slot14_Cost-EY36*(1+Slot14_Rate)^(Slot14_Age-D36))/MF36),0)</f>
        <v>0</v>
      </c>
      <c r="MH36" s="20" t="n">
        <f aca="false">IF(AND(HU36=1,IE36&gt;0,Slot14_IsWG=1,EX36=1),MIN(IE36,MG36),0)</f>
        <v>0</v>
      </c>
      <c r="MI36" s="20" t="n">
        <f aca="false">EY36+MH36</f>
        <v>0</v>
      </c>
      <c r="MJ36" s="20" t="n">
        <f aca="false">IF(EX36=1,MAX(0,(Slot14_Cost-MI36*(1+Slot14_Rate)^(Slot14_Age-D36))/MF36),0)</f>
        <v>0</v>
      </c>
      <c r="MK36" s="20" t="n">
        <f aca="false">IF(EX36=1,MAX(0,(Slot14_Cost-EY36*(1+Slot14_Rate)^(Slot14_Age-D36))/MF36),0)</f>
        <v>0</v>
      </c>
      <c r="ML36" s="20" t="n">
        <f aca="false">IF(AND(HU36=1,EX36=1),MIN(ME36,MJ36),0)</f>
        <v>0</v>
      </c>
      <c r="MM36" s="20" t="n">
        <f aca="false">ME36-ML36</f>
        <v>0</v>
      </c>
      <c r="MN36" s="20" t="n">
        <f aca="false">IF(FH36=1,IF(ABS((1+AS_Wage)/(1+Slot15_Rate)-1)&lt;0.000000000001,(Slot15_Age-D36)*(1+Slot15_Rate)^(Slot15_Age-D36),(1+Slot15_Rate)^(Slot15_Age-D36)*(1-((1+AS_Wage)/(1+Slot15_Rate))^(Slot15_Age-D36))/(1-(1+AS_Wage)/(1+Slot15_Rate))),1)</f>
        <v>1</v>
      </c>
      <c r="MO36" s="20" t="n">
        <f aca="false">IF(AND(HU36=1,IE36&gt;0,Slot15_IsWG=1,FH36=1),MAX(0,(Slot15_Cost-FI36*(1+Slot15_Rate)^(Slot15_Age-D36))/MN36),0)</f>
        <v>0</v>
      </c>
      <c r="MP36" s="20" t="n">
        <f aca="false">IF(AND(HU36=1,IE36&gt;0,Slot15_IsWG=1,FH36=1),MIN(IE36,MO36),0)</f>
        <v>0</v>
      </c>
      <c r="MQ36" s="20" t="n">
        <f aca="false">FI36+MP36</f>
        <v>0</v>
      </c>
      <c r="MR36" s="20" t="n">
        <f aca="false">IF(FH36=1,MAX(0,(Slot15_Cost-MQ36*(1+Slot15_Rate)^(Slot15_Age-D36))/MN36),0)</f>
        <v>0</v>
      </c>
      <c r="MS36" s="20" t="n">
        <f aca="false">IF(FH36=1,MAX(0,(Slot15_Cost-FI36*(1+Slot15_Rate)^(Slot15_Age-D36))/MN36),0)</f>
        <v>0</v>
      </c>
      <c r="MT36" s="20" t="n">
        <f aca="false">IF(AND(HU36=1,FH36=1),MIN(MM36,MR36),0)</f>
        <v>0</v>
      </c>
      <c r="MU36" s="20" t="n">
        <f aca="false">MM36-MT36</f>
        <v>0</v>
      </c>
      <c r="MV36" s="20" t="n">
        <f aca="false">IF(FR36=1,IF(ABS((1+AS_Wage)/(1+Slot16_Rate)-1)&lt;0.000000000001,(Slot16_Age-D36)*(1+Slot16_Rate)^(Slot16_Age-D36),(1+Slot16_Rate)^(Slot16_Age-D36)*(1-((1+AS_Wage)/(1+Slot16_Rate))^(Slot16_Age-D36))/(1-(1+AS_Wage)/(1+Slot16_Rate))),1)</f>
        <v>1</v>
      </c>
      <c r="MW36" s="20" t="n">
        <f aca="false">IF(AND(HU36=1,IE36&gt;0,Slot16_IsWG=1,FR36=1),MAX(0,(Slot16_Cost-FS36*(1+Slot16_Rate)^(Slot16_Age-D36))/MV36),0)</f>
        <v>0</v>
      </c>
      <c r="MX36" s="20" t="n">
        <f aca="false">IF(AND(HU36=1,IE36&gt;0,Slot16_IsWG=1,FR36=1),MIN(IE36,MW36),0)</f>
        <v>0</v>
      </c>
      <c r="MY36" s="20" t="n">
        <f aca="false">FS36+MX36</f>
        <v>0</v>
      </c>
      <c r="MZ36" s="20" t="n">
        <f aca="false">IF(FR36=1,MAX(0,(Slot16_Cost-MY36*(1+Slot16_Rate)^(Slot16_Age-D36))/MV36),0)</f>
        <v>0</v>
      </c>
      <c r="NA36" s="20" t="n">
        <f aca="false">IF(FR36=1,MAX(0,(Slot16_Cost-FS36*(1+Slot16_Rate)^(Slot16_Age-D36))/MV36),0)</f>
        <v>0</v>
      </c>
      <c r="NB36" s="20" t="n">
        <f aca="false">IF(AND(HU36=1,FR36=1),MIN(MU36,MZ36),0)</f>
        <v>0</v>
      </c>
      <c r="NC36" s="20" t="n">
        <f aca="false">MU36-NB36</f>
        <v>0</v>
      </c>
      <c r="ND36" s="20" t="n">
        <f aca="false">IF(GB36=1,IF(ABS((1+AS_Wage)/(1+Slot17_Rate)-1)&lt;0.000000000001,(Slot17_Age-D36)*(1+Slot17_Rate)^(Slot17_Age-D36),(1+Slot17_Rate)^(Slot17_Age-D36)*(1-((1+AS_Wage)/(1+Slot17_Rate))^(Slot17_Age-D36))/(1-(1+AS_Wage)/(1+Slot17_Rate))),1)</f>
        <v>1</v>
      </c>
      <c r="NE36" s="20" t="n">
        <f aca="false">IF(AND(HU36=1,IE36&gt;0,Slot17_IsWG=1,GB36=1),MAX(0,(Slot17_Cost-GC36*(1+Slot17_Rate)^(Slot17_Age-D36))/ND36),0)</f>
        <v>0</v>
      </c>
      <c r="NF36" s="20" t="n">
        <f aca="false">IF(AND(HU36=1,IE36&gt;0,Slot17_IsWG=1,GB36=1),MIN(IE36,NE36),0)</f>
        <v>0</v>
      </c>
      <c r="NG36" s="20" t="n">
        <f aca="false">GC36+NF36</f>
        <v>0</v>
      </c>
      <c r="NH36" s="20" t="n">
        <f aca="false">IF(GB36=1,MAX(0,(Slot17_Cost-NG36*(1+Slot17_Rate)^(Slot17_Age-D36))/ND36),0)</f>
        <v>0</v>
      </c>
      <c r="NI36" s="20" t="n">
        <f aca="false">IF(GB36=1,MAX(0,(Slot17_Cost-GC36*(1+Slot17_Rate)^(Slot17_Age-D36))/ND36),0)</f>
        <v>0</v>
      </c>
      <c r="NJ36" s="20" t="n">
        <f aca="false">IF(AND(HU36=1,GB36=1),MIN(NC36,NH36),0)</f>
        <v>0</v>
      </c>
      <c r="NK36" s="20" t="n">
        <f aca="false">NC36-NJ36</f>
        <v>0</v>
      </c>
      <c r="NL36" s="20" t="n">
        <f aca="false">IF(GL36=1,IF(ABS((1+AS_Wage)/(1+Slot18_Rate)-1)&lt;0.000000000001,(Slot18_Age-D36)*(1+Slot18_Rate)^(Slot18_Age-D36),(1+Slot18_Rate)^(Slot18_Age-D36)*(1-((1+AS_Wage)/(1+Slot18_Rate))^(Slot18_Age-D36))/(1-(1+AS_Wage)/(1+Slot18_Rate))),1)</f>
        <v>1</v>
      </c>
      <c r="NM36" s="20" t="n">
        <f aca="false">IF(AND(HU36=1,IE36&gt;0,Slot18_IsWG=1,GL36=1),MAX(0,(Slot18_Cost-GM36*(1+Slot18_Rate)^(Slot18_Age-D36))/NL36),0)</f>
        <v>0</v>
      </c>
      <c r="NN36" s="20" t="n">
        <f aca="false">IF(AND(HU36=1,IE36&gt;0,Slot18_IsWG=1,GL36=1),MIN(IE36,NM36),0)</f>
        <v>0</v>
      </c>
      <c r="NO36" s="20" t="n">
        <f aca="false">GM36+NN36</f>
        <v>0</v>
      </c>
      <c r="NP36" s="20" t="n">
        <f aca="false">IF(GL36=1,MAX(0,(Slot18_Cost-NO36*(1+Slot18_Rate)^(Slot18_Age-D36))/NL36),0)</f>
        <v>0</v>
      </c>
      <c r="NQ36" s="20" t="n">
        <f aca="false">IF(GL36=1,MAX(0,(Slot18_Cost-GM36*(1+Slot18_Rate)^(Slot18_Age-D36))/NL36),0)</f>
        <v>0</v>
      </c>
      <c r="NR36" s="20" t="n">
        <f aca="false">IF(AND(HU36=1,GL36=1),MIN(NK36,NP36),0)</f>
        <v>0</v>
      </c>
      <c r="NS36" s="20" t="n">
        <f aca="false">NK36-NR36</f>
        <v>0</v>
      </c>
      <c r="NT36" s="20" t="n">
        <f aca="false">IF(GV36=1,IF(ABS((1+AS_Wage)/(1+Slot19_Rate)-1)&lt;0.000000000001,(Slot19_Age-D36)*(1+Slot19_Rate)^(Slot19_Age-D36),(1+Slot19_Rate)^(Slot19_Age-D36)*(1-((1+AS_Wage)/(1+Slot19_Rate))^(Slot19_Age-D36))/(1-(1+AS_Wage)/(1+Slot19_Rate))),1)</f>
        <v>1</v>
      </c>
      <c r="NU36" s="20" t="n">
        <f aca="false">IF(AND(HU36=1,IE36&gt;0,Slot19_IsWG=1,GV36=1),MAX(0,(Slot19_Cost-GW36*(1+Slot19_Rate)^(Slot19_Age-D36))/NT36),0)</f>
        <v>0</v>
      </c>
      <c r="NV36" s="20" t="n">
        <f aca="false">IF(AND(HU36=1,IE36&gt;0,Slot19_IsWG=1,GV36=1),MIN(IE36,NU36),0)</f>
        <v>0</v>
      </c>
      <c r="NW36" s="20" t="n">
        <f aca="false">GW36+NV36</f>
        <v>0</v>
      </c>
      <c r="NX36" s="20" t="n">
        <f aca="false">IF(GV36=1,MAX(0,(Slot19_Cost-NW36*(1+Slot19_Rate)^(Slot19_Age-D36))/NT36),0)</f>
        <v>0</v>
      </c>
      <c r="NY36" s="20" t="n">
        <f aca="false">IF(GV36=1,MAX(0,(Slot19_Cost-GW36*(1+Slot19_Rate)^(Slot19_Age-D36))/NT36),0)</f>
        <v>0</v>
      </c>
      <c r="NZ36" s="20" t="n">
        <f aca="false">IF(AND(HU36=1,GV36=1),MIN(NS36,NX36),0)</f>
        <v>0</v>
      </c>
      <c r="OA36" s="20" t="n">
        <f aca="false">NS36-NZ36</f>
        <v>0</v>
      </c>
      <c r="OB36" s="20" t="n">
        <f aca="false">IF(HF36=1,IF(ABS((1+AS_Wage)/(1+Slot20_Rate)-1)&lt;0.000000000001,(Slot20_Age-D36)*(1+Slot20_Rate)^(Slot20_Age-D36),(1+Slot20_Rate)^(Slot20_Age-D36)*(1-((1+AS_Wage)/(1+Slot20_Rate))^(Slot20_Age-D36))/(1-(1+AS_Wage)/(1+Slot20_Rate))),1)</f>
        <v>1</v>
      </c>
      <c r="OC36" s="20" t="n">
        <f aca="false">IF(AND(HU36=1,IE36&gt;0,Slot20_IsWG=1,HF36=1),MAX(0,(Slot20_Cost-HG36*(1+Slot20_Rate)^(Slot20_Age-D36))/OB36),0)</f>
        <v>0</v>
      </c>
      <c r="OD36" s="20" t="n">
        <f aca="false">IF(AND(HU36=1,IE36&gt;0,Slot20_IsWG=1,HF36=1),MIN(IE36,OC36),0)</f>
        <v>0</v>
      </c>
      <c r="OE36" s="20" t="n">
        <f aca="false">HG36+OD36</f>
        <v>0</v>
      </c>
      <c r="OF36" s="20" t="n">
        <f aca="false">IF(HF36=1,MAX(0,(Slot20_Cost-OE36*(1+Slot20_Rate)^(Slot20_Age-D36))/OB36),0)</f>
        <v>0</v>
      </c>
      <c r="OG36" s="20" t="n">
        <f aca="false">IF(HF36=1,MAX(0,(Slot20_Cost-HG36*(1+Slot20_Rate)^(Slot20_Age-D36))/OB36),0)</f>
        <v>0</v>
      </c>
      <c r="OH36" s="20" t="n">
        <f aca="false">IF(AND(HU36=1,HF36=1),MIN(OA36,OF36),0)</f>
        <v>0</v>
      </c>
      <c r="OI36" s="20" t="n">
        <f aca="false">OA36-OH36</f>
        <v>0</v>
      </c>
      <c r="OJ36" s="20" t="n">
        <f aca="false">IE36-(IH36+IP36+IX36+JF36+JN36+JV36+KD36+KL36+KT36+LB36+LJ36+LR36+LZ36+MH36+MP36+MX36+NF36+NN36+NV36+OD36)</f>
        <v>0</v>
      </c>
      <c r="OK36" s="20" t="n">
        <f aca="false">IF(HU36=1,HS36-ID36-IE36,0)</f>
        <v>4323.64424572962</v>
      </c>
      <c r="OL36" s="20" t="n">
        <f aca="false">IF(HU36=0,-HS36,0)</f>
        <v>0</v>
      </c>
      <c r="OM36" s="20" t="n">
        <f aca="false">MIN(OL36,HK36)</f>
        <v>0</v>
      </c>
      <c r="ON36" s="20" t="n">
        <f aca="false">OL36-OM36</f>
        <v>0</v>
      </c>
      <c r="OO36" s="20" t="n">
        <f aca="false">MIN(ON36,HL36)</f>
        <v>0</v>
      </c>
      <c r="OP36" s="20" t="n">
        <f aca="false">ON36-OO36</f>
        <v>0</v>
      </c>
      <c r="OQ36" s="20" t="n">
        <f aca="false">IF(AND(HU36=0,HF36=1,OP36&gt;0),MIN(OP36,HG36),0)</f>
        <v>0</v>
      </c>
      <c r="OR36" s="20" t="n">
        <f aca="false">OP36-OQ36</f>
        <v>0</v>
      </c>
      <c r="OS36" s="20" t="n">
        <f aca="false">IF(AND(HU36=0,GV36=1,OR36&gt;0),MIN(OR36,GW36),0)</f>
        <v>0</v>
      </c>
      <c r="OT36" s="20" t="n">
        <f aca="false">OR36-OS36</f>
        <v>0</v>
      </c>
      <c r="OU36" s="20" t="n">
        <f aca="false">IF(AND(HU36=0,GL36=1,OT36&gt;0),MIN(OT36,GM36),0)</f>
        <v>0</v>
      </c>
      <c r="OV36" s="20" t="n">
        <f aca="false">OT36-OU36</f>
        <v>0</v>
      </c>
      <c r="OW36" s="20" t="n">
        <f aca="false">IF(AND(HU36=0,GB36=1,OV36&gt;0),MIN(OV36,GC36),0)</f>
        <v>0</v>
      </c>
      <c r="OX36" s="20" t="n">
        <f aca="false">OV36-OW36</f>
        <v>0</v>
      </c>
      <c r="OY36" s="20" t="n">
        <f aca="false">IF(AND(HU36=0,FR36=1,OX36&gt;0),MIN(OX36,FS36),0)</f>
        <v>0</v>
      </c>
      <c r="OZ36" s="20" t="n">
        <f aca="false">OX36-OY36</f>
        <v>0</v>
      </c>
      <c r="PA36" s="20" t="n">
        <f aca="false">IF(AND(HU36=0,FH36=1,OZ36&gt;0),MIN(OZ36,FI36),0)</f>
        <v>0</v>
      </c>
      <c r="PB36" s="20" t="n">
        <f aca="false">OZ36-PA36</f>
        <v>0</v>
      </c>
      <c r="PC36" s="20" t="n">
        <f aca="false">IF(AND(HU36=0,EX36=1,PB36&gt;0),MIN(PB36,EY36),0)</f>
        <v>0</v>
      </c>
      <c r="PD36" s="20" t="n">
        <f aca="false">PB36-PC36</f>
        <v>0</v>
      </c>
      <c r="PE36" s="20" t="n">
        <f aca="false">IF(AND(HU36=0,EN36=1,PD36&gt;0),MIN(PD36,EO36),0)</f>
        <v>0</v>
      </c>
      <c r="PF36" s="20" t="n">
        <f aca="false">PD36-PE36</f>
        <v>0</v>
      </c>
      <c r="PG36" s="20" t="n">
        <f aca="false">IF(AND(HU36=0,ED36=1,PF36&gt;0),MIN(PF36,EE36),0)</f>
        <v>0</v>
      </c>
      <c r="PH36" s="20" t="n">
        <f aca="false">PF36-PG36</f>
        <v>0</v>
      </c>
      <c r="PI36" s="20" t="n">
        <f aca="false">IF(AND(HU36=0,DT36=1,PH36&gt;0),MIN(PH36,DU36),0)</f>
        <v>0</v>
      </c>
      <c r="PJ36" s="20" t="n">
        <f aca="false">PH36-PI36</f>
        <v>0</v>
      </c>
      <c r="PK36" s="20" t="n">
        <f aca="false">IF(AND(HU36=0,DJ36=1,PJ36&gt;0),MIN(PJ36,DK36),0)</f>
        <v>0</v>
      </c>
      <c r="PL36" s="20" t="n">
        <f aca="false">PJ36-PK36</f>
        <v>0</v>
      </c>
      <c r="PM36" s="20" t="n">
        <f aca="false">IF(AND(HU36=0,CZ36=1,PL36&gt;0),MIN(PL36,DA36),0)</f>
        <v>0</v>
      </c>
      <c r="PN36" s="20" t="n">
        <f aca="false">PL36-PM36</f>
        <v>0</v>
      </c>
      <c r="PO36" s="20" t="n">
        <f aca="false">IF(AND(HU36=0,CP36=1,PN36&gt;0),MIN(PN36,CQ36),0)</f>
        <v>0</v>
      </c>
      <c r="PP36" s="20" t="n">
        <f aca="false">PN36-PO36</f>
        <v>0</v>
      </c>
      <c r="PQ36" s="20" t="n">
        <f aca="false">IF(AND(HU36=0,CF36=1,PP36&gt;0),MIN(PP36,CG36),0)</f>
        <v>0</v>
      </c>
      <c r="PR36" s="20" t="n">
        <f aca="false">PP36-PQ36</f>
        <v>0</v>
      </c>
      <c r="PS36" s="20" t="n">
        <f aca="false">IF(AND(HU36=0,BV36=1,PR36&gt;0),MIN(PR36,BW36),0)</f>
        <v>0</v>
      </c>
      <c r="PT36" s="20" t="n">
        <f aca="false">PR36-PS36</f>
        <v>0</v>
      </c>
      <c r="PU36" s="20" t="n">
        <f aca="false">IF(AND(HU36=0,BL36=1,PT36&gt;0),MIN(PT36,BM36),0)</f>
        <v>0</v>
      </c>
      <c r="PV36" s="20" t="n">
        <f aca="false">PT36-PU36</f>
        <v>0</v>
      </c>
      <c r="PW36" s="20" t="n">
        <f aca="false">IF(AND(HU36=0,BB36=1,PV36&gt;0),MIN(PV36,BC36),0)</f>
        <v>0</v>
      </c>
      <c r="PX36" s="20" t="n">
        <f aca="false">PV36-PW36</f>
        <v>0</v>
      </c>
      <c r="PY36" s="20" t="n">
        <f aca="false">IF(AND(HU36=0,AR36=1,PX36&gt;0),MIN(PX36,AS36),0)</f>
        <v>0</v>
      </c>
      <c r="PZ36" s="20" t="n">
        <f aca="false">PX36-PY36</f>
        <v>0</v>
      </c>
      <c r="QA36" s="20" t="n">
        <f aca="false">IF(AND(HU36=0,AH36=1,PZ36&gt;0),MIN(PZ36,AI36),0)</f>
        <v>0</v>
      </c>
      <c r="QB36" s="20" t="n">
        <f aca="false">PZ36-QA36</f>
        <v>0</v>
      </c>
      <c r="QC36" s="20" t="n">
        <f aca="false">IF(AND(HU36=0,W36=1,QB36&gt;0),MIN(QB36,X36),0)</f>
        <v>0</v>
      </c>
      <c r="QD36" s="20" t="n">
        <f aca="false">QB36-QC36</f>
        <v>0</v>
      </c>
      <c r="QE36" s="20" t="n">
        <f aca="false">IF(HU36=0,QD36,0)</f>
        <v>0</v>
      </c>
      <c r="QF36" s="20" t="n">
        <f aca="false">OM36+OO36+QC36+QA36+PY36+PW36+PU36+PS36+PQ36+PO36+PM36+PK36+PI36+PG36+PE36+PC36+PA36+OY36+OW36+OU36+OS36+OQ36</f>
        <v>0</v>
      </c>
      <c r="QG36" s="20" t="n">
        <f aca="false">IF(HU36=1,HK36+OJ36+OI36+IF(G36=1,0,OK36),HK36-OM36)</f>
        <v>195943.803700424</v>
      </c>
      <c r="QH36" s="20" t="n">
        <f aca="false">HL36-OO36</f>
        <v>20213.7700513813</v>
      </c>
      <c r="QI36" s="20" t="n">
        <f aca="false">IF(HU36=1,IF(G36=1,ID36+IE36,HS36),0)</f>
        <v>4323.64424572962</v>
      </c>
      <c r="QJ36" s="20" t="n">
        <f aca="false">IF(HU36=1,IF(G36=1,HS36-ID36-IE36,0),0)</f>
        <v>0</v>
      </c>
      <c r="QK36" s="20" t="n">
        <f aca="false">QG36*(1+GR)</f>
        <v>199157.282081111</v>
      </c>
      <c r="QL36" s="20" t="n">
        <f aca="false">QH36*(1+AS_Cash)</f>
        <v>20415.9077518951</v>
      </c>
      <c r="QM36" s="20" t="n">
        <f aca="false">IF(W36=1,IF(HU36=1,II36+IL36,X36-QC36)*(1+Slot1_Rate),0)</f>
        <v>0</v>
      </c>
      <c r="QN36" s="20" t="n">
        <f aca="false">IF(AND(HU36=1,W36=1),(IH36+IL36)/F36,0)</f>
        <v>0</v>
      </c>
      <c r="QO36" s="20" t="n">
        <f aca="false">IF(B36=0,IH36+IL36,0)</f>
        <v>0</v>
      </c>
      <c r="QP36" s="20" t="n">
        <f aca="false">IF(B36=0,IF(HU36=1,IJ36,IK36),0)</f>
        <v>0</v>
      </c>
      <c r="QQ36" s="20" t="n">
        <f aca="false">IF(AH36=1,IF(HU36=1,IQ36+IT36,AI36-QA36)*(1+Slot2_Rate),0)</f>
        <v>0</v>
      </c>
      <c r="QR36" s="20" t="n">
        <f aca="false">IF(AND(HU36=1,AH36=1),(IP36+IT36)/F36,0)</f>
        <v>0</v>
      </c>
      <c r="QS36" s="20" t="n">
        <f aca="false">IF(B36=0,IP36+IT36,0)</f>
        <v>0</v>
      </c>
      <c r="QT36" s="20" t="n">
        <f aca="false">IF(B36=0,IF(HU36=1,IR36,IS36),0)</f>
        <v>0</v>
      </c>
      <c r="QU36" s="20" t="n">
        <f aca="false">IF(AR36=1,IF(HU36=1,IY36+JB36,AS36-PY36)*(1+Slot3_Rate),0)</f>
        <v>0</v>
      </c>
      <c r="QV36" s="20" t="n">
        <f aca="false">IF(AND(HU36=1,AR36=1),(IX36+JB36)/F36,0)</f>
        <v>0</v>
      </c>
      <c r="QW36" s="20" t="n">
        <f aca="false">IF(B36=0,IX36+JB36,0)</f>
        <v>0</v>
      </c>
      <c r="QX36" s="20" t="n">
        <f aca="false">IF(B36=0,IF(HU36=1,IZ36,JA36),0)</f>
        <v>0</v>
      </c>
      <c r="QY36" s="20" t="n">
        <f aca="false">IF(BB36=1,IF(HU36=1,JG36+JJ36,BC36-PW36)*(1+Slot4_Rate),0)</f>
        <v>0</v>
      </c>
      <c r="QZ36" s="20" t="n">
        <f aca="false">IF(AND(HU36=1,BB36=1),(JF36+JJ36)/F36,0)</f>
        <v>0</v>
      </c>
      <c r="RA36" s="20" t="n">
        <f aca="false">IF(B36=0,JF36+JJ36,0)</f>
        <v>0</v>
      </c>
      <c r="RB36" s="20" t="n">
        <f aca="false">IF(B36=0,IF(HU36=1,JH36,JI36),0)</f>
        <v>0</v>
      </c>
      <c r="RC36" s="20" t="n">
        <f aca="false">IF(BL36=1,IF(HU36=1,JO36+JR36,BM36-PU36)*(1+Slot5_Rate),0)</f>
        <v>0</v>
      </c>
      <c r="RD36" s="20" t="n">
        <f aca="false">IF(AND(HU36=1,BL36=1),(JN36+JR36)/F36,0)</f>
        <v>0</v>
      </c>
      <c r="RE36" s="20" t="n">
        <f aca="false">IF(B36=0,JN36+JR36,0)</f>
        <v>0</v>
      </c>
      <c r="RF36" s="20" t="n">
        <f aca="false">IF(B36=0,IF(HU36=1,JP36,JQ36),0)</f>
        <v>0</v>
      </c>
      <c r="RG36" s="20" t="n">
        <f aca="false">IF(BV36=1,IF(HU36=1,JW36+JZ36,BW36-PS36)*(1+Slot6_Rate),0)</f>
        <v>0</v>
      </c>
      <c r="RH36" s="20" t="n">
        <f aca="false">IF(AND(HU36=1,BV36=1),(JV36+JZ36)/F36,0)</f>
        <v>0</v>
      </c>
      <c r="RI36" s="20" t="n">
        <f aca="false">IF(B36=0,JV36+JZ36,0)</f>
        <v>0</v>
      </c>
      <c r="RJ36" s="20" t="n">
        <f aca="false">IF(B36=0,IF(HU36=1,JX36,JY36),0)</f>
        <v>0</v>
      </c>
      <c r="RK36" s="20" t="n">
        <f aca="false">IF(CF36=1,IF(HU36=1,KE36+KH36,CG36-PQ36)*(1+Slot7_Rate),0)</f>
        <v>0</v>
      </c>
      <c r="RL36" s="20" t="n">
        <f aca="false">IF(AND(HU36=1,CF36=1),(KD36+KH36)/F36,0)</f>
        <v>0</v>
      </c>
      <c r="RM36" s="20" t="n">
        <f aca="false">IF(B36=0,KD36+KH36,0)</f>
        <v>0</v>
      </c>
      <c r="RN36" s="20" t="n">
        <f aca="false">IF(B36=0,IF(HU36=1,KF36,KG36),0)</f>
        <v>0</v>
      </c>
      <c r="RO36" s="20" t="n">
        <f aca="false">IF(CP36=1,IF(HU36=1,KM36+KP36,CQ36-PO36)*(1+Slot8_Rate),0)</f>
        <v>0</v>
      </c>
      <c r="RP36" s="20" t="n">
        <f aca="false">IF(AND(HU36=1,CP36=1),(KL36+KP36)/F36,0)</f>
        <v>0</v>
      </c>
      <c r="RQ36" s="20" t="n">
        <f aca="false">IF(B36=0,KL36+KP36,0)</f>
        <v>0</v>
      </c>
      <c r="RR36" s="20" t="n">
        <f aca="false">IF(B36=0,IF(HU36=1,KN36,KO36),0)</f>
        <v>0</v>
      </c>
      <c r="RS36" s="20" t="n">
        <f aca="false">IF(CZ36=1,IF(HU36=1,KU36+KX36,DA36-PM36)*(1+Slot9_Rate),0)</f>
        <v>0</v>
      </c>
      <c r="RT36" s="20" t="n">
        <f aca="false">IF(AND(HU36=1,CZ36=1),(KT36+KX36)/F36,0)</f>
        <v>0</v>
      </c>
      <c r="RU36" s="20" t="n">
        <f aca="false">IF(B36=0,KT36+KX36,0)</f>
        <v>0</v>
      </c>
      <c r="RV36" s="20" t="n">
        <f aca="false">IF(B36=0,IF(HU36=1,KV36,KW36),0)</f>
        <v>0</v>
      </c>
      <c r="RW36" s="20" t="n">
        <f aca="false">IF(DJ36=1,IF(HU36=1,LC36+LF36,DK36-PK36)*(1+Slot10_Rate),0)</f>
        <v>0</v>
      </c>
      <c r="RX36" s="20" t="n">
        <f aca="false">IF(AND(HU36=1,DJ36=1),(LB36+LF36)/F36,0)</f>
        <v>0</v>
      </c>
      <c r="RY36" s="20" t="n">
        <f aca="false">IF(B36=0,LB36+LF36,0)</f>
        <v>0</v>
      </c>
      <c r="RZ36" s="20" t="n">
        <f aca="false">IF(B36=0,IF(HU36=1,LD36,LE36),0)</f>
        <v>0</v>
      </c>
      <c r="SA36" s="20" t="n">
        <f aca="false">IF(DT36=1,IF(HU36=1,LK36+LN36,DU36-PI36)*(1+Slot11_Rate),0)</f>
        <v>0</v>
      </c>
      <c r="SB36" s="20" t="n">
        <f aca="false">IF(AND(HU36=1,DT36=1),(LJ36+LN36)/F36,0)</f>
        <v>0</v>
      </c>
      <c r="SC36" s="20" t="n">
        <f aca="false">IF(B36=0,LJ36+LN36,0)</f>
        <v>0</v>
      </c>
      <c r="SD36" s="20" t="n">
        <f aca="false">IF(B36=0,IF(HU36=1,LL36,LM36),0)</f>
        <v>0</v>
      </c>
      <c r="SE36" s="20" t="n">
        <f aca="false">IF(ED36=1,IF(HU36=1,LS36+LV36,EE36-PG36)*(1+Slot12_Rate),0)</f>
        <v>0</v>
      </c>
      <c r="SF36" s="20" t="n">
        <f aca="false">IF(AND(HU36=1,ED36=1),(LR36+LV36)/F36,0)</f>
        <v>0</v>
      </c>
      <c r="SG36" s="20" t="n">
        <f aca="false">IF(B36=0,LR36+LV36,0)</f>
        <v>0</v>
      </c>
      <c r="SH36" s="20" t="n">
        <f aca="false">IF(B36=0,IF(HU36=1,LT36,LU36),0)</f>
        <v>0</v>
      </c>
      <c r="SI36" s="20" t="n">
        <f aca="false">IF(EN36=1,IF(HU36=1,MA36+MD36,EO36-PE36)*(1+Slot13_Rate),0)</f>
        <v>0</v>
      </c>
      <c r="SJ36" s="20" t="n">
        <f aca="false">IF(AND(HU36=1,EN36=1),(LZ36+MD36)/F36,0)</f>
        <v>0</v>
      </c>
      <c r="SK36" s="20" t="n">
        <f aca="false">IF(B36=0,LZ36+MD36,0)</f>
        <v>0</v>
      </c>
      <c r="SL36" s="20" t="n">
        <f aca="false">IF(B36=0,IF(HU36=1,MB36,MC36),0)</f>
        <v>0</v>
      </c>
      <c r="SM36" s="20" t="n">
        <f aca="false">IF(EX36=1,IF(HU36=1,MI36+ML36,EY36-PC36)*(1+Slot14_Rate),0)</f>
        <v>0</v>
      </c>
      <c r="SN36" s="20" t="n">
        <f aca="false">IF(AND(HU36=1,EX36=1),(MH36+ML36)/F36,0)</f>
        <v>0</v>
      </c>
      <c r="SO36" s="20" t="n">
        <f aca="false">IF(B36=0,MH36+ML36,0)</f>
        <v>0</v>
      </c>
      <c r="SP36" s="20" t="n">
        <f aca="false">IF(B36=0,IF(HU36=1,MJ36,MK36),0)</f>
        <v>0</v>
      </c>
      <c r="SQ36" s="20" t="n">
        <f aca="false">IF(FH36=1,IF(HU36=1,MQ36+MT36,FI36-PA36)*(1+Slot15_Rate),0)</f>
        <v>0</v>
      </c>
      <c r="SR36" s="20" t="n">
        <f aca="false">IF(AND(HU36=1,FH36=1),(MP36+MT36)/F36,0)</f>
        <v>0</v>
      </c>
      <c r="SS36" s="20" t="n">
        <f aca="false">IF(B36=0,MP36+MT36,0)</f>
        <v>0</v>
      </c>
      <c r="ST36" s="20" t="n">
        <f aca="false">IF(B36=0,IF(HU36=1,MR36,MS36),0)</f>
        <v>0</v>
      </c>
      <c r="SU36" s="20" t="n">
        <f aca="false">IF(FR36=1,IF(HU36=1,MY36+NB36,FS36-OY36)*(1+Slot16_Rate),0)</f>
        <v>0</v>
      </c>
      <c r="SV36" s="20" t="n">
        <f aca="false">IF(AND(HU36=1,FR36=1),(MX36+NB36)/F36,0)</f>
        <v>0</v>
      </c>
      <c r="SW36" s="20" t="n">
        <f aca="false">IF(B36=0,MX36+NB36,0)</f>
        <v>0</v>
      </c>
      <c r="SX36" s="20" t="n">
        <f aca="false">IF(B36=0,IF(HU36=1,MZ36,NA36),0)</f>
        <v>0</v>
      </c>
      <c r="SY36" s="20" t="n">
        <f aca="false">IF(GB36=1,IF(HU36=1,NG36+NJ36,GC36-OW36)*(1+Slot17_Rate),0)</f>
        <v>0</v>
      </c>
      <c r="SZ36" s="20" t="n">
        <f aca="false">IF(AND(HU36=1,GB36=1),(NF36+NJ36)/F36,0)</f>
        <v>0</v>
      </c>
      <c r="TA36" s="20" t="n">
        <f aca="false">IF(B36=0,NF36+NJ36,0)</f>
        <v>0</v>
      </c>
      <c r="TB36" s="20" t="n">
        <f aca="false">IF(B36=0,IF(HU36=1,NH36,NI36),0)</f>
        <v>0</v>
      </c>
      <c r="TC36" s="20" t="n">
        <f aca="false">IF(GL36=1,IF(HU36=1,NO36+NR36,GM36-OU36)*(1+Slot18_Rate),0)</f>
        <v>0</v>
      </c>
      <c r="TD36" s="20" t="n">
        <f aca="false">IF(AND(HU36=1,GL36=1),(NN36+NR36)/F36,0)</f>
        <v>0</v>
      </c>
      <c r="TE36" s="20" t="n">
        <f aca="false">IF(B36=0,NN36+NR36,0)</f>
        <v>0</v>
      </c>
      <c r="TF36" s="20" t="n">
        <f aca="false">IF(B36=0,IF(HU36=1,NP36,NQ36),0)</f>
        <v>0</v>
      </c>
      <c r="TG36" s="20" t="n">
        <f aca="false">IF(GV36=1,IF(HU36=1,NW36+NZ36,GW36-OS36)*(1+Slot19_Rate),0)</f>
        <v>0</v>
      </c>
      <c r="TH36" s="20" t="n">
        <f aca="false">IF(AND(HU36=1,GV36=1),(NV36+NZ36)/F36,0)</f>
        <v>0</v>
      </c>
      <c r="TI36" s="20" t="n">
        <f aca="false">IF(B36=0,NV36+NZ36,0)</f>
        <v>0</v>
      </c>
      <c r="TJ36" s="20" t="n">
        <f aca="false">IF(B36=0,IF(HU36=1,NX36,NY36),0)</f>
        <v>0</v>
      </c>
      <c r="TK36" s="20" t="n">
        <f aca="false">IF(HF36=1,IF(HU36=1,OE36+OH36,HG36-OQ36)*(1+Slot20_Rate),0)</f>
        <v>0</v>
      </c>
      <c r="TL36" s="20" t="n">
        <f aca="false">IF(AND(HU36=1,HF36=1),(OD36+OH36)/F36,0)</f>
        <v>0</v>
      </c>
      <c r="TM36" s="20" t="n">
        <f aca="false">IF(B36=0,OD36+OH36,0)</f>
        <v>0</v>
      </c>
      <c r="TN36" s="20" t="n">
        <f aca="false">IF(B36=0,IF(HU36=1,OF36,OG36),0)</f>
        <v>0</v>
      </c>
      <c r="TO36" s="20" t="n">
        <f aca="false">QK36+QL36+QM36+QQ36+QU36+QY36+RC36+RG36+RK36+RO36+RS36+RW36+SA36+SE36+SI36+SM36+SQ36+SU36+SY36+TC36+TG36+TK36</f>
        <v>219573.189833006</v>
      </c>
      <c r="TP36" s="20" t="n">
        <f aca="false">QE36+HP36</f>
        <v>0</v>
      </c>
      <c r="TQ36" s="20" t="n">
        <f aca="false">I36+S36</f>
        <v>83220.9570551138</v>
      </c>
      <c r="TR36" s="20" t="n">
        <f aca="false">1-G36</f>
        <v>1</v>
      </c>
      <c r="TS36" s="20" t="n">
        <f aca="false">IF(AND(RG_Exists=1,G36=0,C36=1),I36,0)</f>
        <v>83220.9570551138</v>
      </c>
      <c r="TT36" s="20" t="n">
        <f aca="false">IF(AND(RG_Exists=1,G36=0,C36=1),I36-MIN(QE36,I36),0)</f>
        <v>83220.9570551138</v>
      </c>
      <c r="TU36" s="20" t="n">
        <f aca="false">'Plan pay &amp; tax'!AD262</f>
        <v>429543.615707339</v>
      </c>
      <c r="TV36" s="20" t="n">
        <f aca="false">IF(AND(C36=1,QE36&gt;MAX(PR_Short1,TQ36*PR_Short2)),1,0)</f>
        <v>0</v>
      </c>
      <c r="TW36" s="20" t="n">
        <f aca="false">MIN(H36,I36+S36)</f>
        <v>83220.9570551138</v>
      </c>
      <c r="TX36" s="20" t="n">
        <f aca="false">QF36+MAX(0,HQ36-HP36)</f>
        <v>0</v>
      </c>
      <c r="TY36" s="20" t="n">
        <f aca="false">QE36+HP36</f>
        <v>0</v>
      </c>
      <c r="TZ36" s="20" t="n">
        <f aca="false">IF(AND(C36=1,TY36&gt;PR_MinShort),1,0)</f>
        <v>0</v>
      </c>
      <c r="UA36" s="20" t="n">
        <f aca="false">IF(AND(C36=1,TZ36=0,TX36&gt;PR_MinShort),1,0)</f>
        <v>0</v>
      </c>
      <c r="UB36" s="20" t="n">
        <f aca="false">IF(AND(C36=1,QE36&gt;PR_MinShort),1,0)</f>
        <v>0</v>
      </c>
      <c r="UC36" s="20" t="n">
        <f aca="false">IF(AND(C36=1,QF36&gt;1,UJ36=0),1,0)</f>
        <v>0</v>
      </c>
      <c r="UD36" s="20" t="str">
        <f aca="false">IF(C36=0,"",IF(UJ36=1,"Gap to plan for: short "&amp;"€"&amp;TEXT(ROUND(TP36,0),"#,##0"),IF(QF36&gt;1,"Using savings","Comfortable")))</f>
        <v>Comfortable</v>
      </c>
      <c r="UE36" s="20" t="n">
        <f aca="false">IF(AND(INT(D36/10)*10=90,B36&gt;0),80,INT(D36/10)*10)</f>
        <v>60</v>
      </c>
      <c r="UF36" s="20" t="n">
        <f aca="false">IF(B36=0,1,IF(UE36&lt;&gt;UE35,UF35+1,UF35))</f>
        <v>4</v>
      </c>
      <c r="UG36" s="20" t="n">
        <f aca="false">IF(AND(C36=1,G36=1,QE36&gt;MAX(PR_Short1,TQ36*PR_Short2)),1,0)</f>
        <v>0</v>
      </c>
      <c r="UH36" s="20" t="n">
        <f aca="false">TR36*TV36</f>
        <v>0</v>
      </c>
      <c r="UI36" s="20" t="n">
        <f aca="false">IF(AND(V36=1,Slot1_PctLow=1),1,0)+IF(AND(AG36=1,Slot2_PctLow=1),1,0)+IF(AND(AQ36=1,Slot3_PctLow=1),1,0)+IF(AND(BA36=1,Slot4_PctLow=1),1,0)+IF(AND(BK36=1,Slot5_PctLow=1),1,0)+IF(AND(BU36=1,Slot6_PctLow=1),1,0)+IF(AND(CE36=1,Slot7_PctLow=1),1,0)+IF(AND(CO36=1,Slot8_PctLow=1),1,0)+IF(AND(CY36=1,Slot9_PctLow=1),1,0)+IF(AND(DI36=1,Slot10_PctLow=1),1,0)+IF(AND(DS36=1,Slot11_PctLow=1),1,0)+IF(AND(EC36=1,Slot12_PctLow=1),1,0)+IF(AND(EM36=1,Slot13_PctLow=1),1,0)+IF(AND(EW36=1,Slot14_PctLow=1),1,0)+IF(AND(FG36=1,Slot15_PctLow=1),1,0)+IF(AND(FQ36=1,Slot16_PctLow=1),1,0)+IF(AND(GA36=1,Slot17_PctLow=1),1,0)+IF(AND(GK36=1,Slot18_PctLow=1),1,0)+IF(AND(GU36=1,Slot19_PctLow=1),1,0)+IF(AND(HE36=1,Slot20_PctLow=1),1,0)</f>
        <v>0</v>
      </c>
      <c r="UJ36" s="20" t="n">
        <f aca="false">IF(C36=1,IF(OR(TV36=1,UI36&gt;0),1,0),0)</f>
        <v>0</v>
      </c>
    </row>
    <row r="37" customFormat="false" ht="15" hidden="false" customHeight="true" outlineLevel="0" collapsed="false">
      <c r="B37" s="20" t="n">
        <v>29</v>
      </c>
      <c r="C37" s="20" t="n">
        <f aca="false">IF(B37&lt;=F_N,1,0)</f>
        <v>1</v>
      </c>
      <c r="D37" s="20" t="n">
        <f aca="false">'Plan pay &amp; tax'!C263</f>
        <v>67</v>
      </c>
      <c r="E37" s="20" t="str">
        <f aca="false">IF($C37=1,"Income tax "&amp;TEXT(N('Plan pay &amp; tax'!BK263),"#,##0")&amp;"; USC "&amp;TEXT(N('Plan pay &amp; tax'!BM263)+N('Plan pay &amp; tax'!BO263),"#,##0")&amp;"; PRSI "&amp;TEXT(N('Plan pay &amp; tax'!BP263)+N('Plan pay &amp; tax'!BQ263),"#,##0")&amp;". DIRT and exit tax are inside the growth rates here.","")</f>
        <v>Income tax 803; USC 0; PRSI 0. DIRT and exit tax are inside the growth rates here.</v>
      </c>
      <c r="F37" s="44" t="n">
        <f aca="false">'Plan pay &amp; tax'!E263</f>
        <v>1.77584469029741</v>
      </c>
      <c r="G37" s="20" t="n">
        <f aca="false">'Plan pay &amp; tax'!G263</f>
        <v>0</v>
      </c>
      <c r="H37" s="20" t="n">
        <f aca="false">'Plan pay &amp; tax'!BT263-'Plan pay &amp; tax'!BS263-'Plan pay &amp; tax'!R263</f>
        <v>65505.5146880077</v>
      </c>
      <c r="I37" s="20" t="n">
        <f aca="false">IF(G37=1,F_CostsM*12,IF(RG_Exists=1,RG_Amount,F_CostsM*12*AS_RetireSpend))*F37+F_OneOffY*F37</f>
        <v>84885.376196216</v>
      </c>
      <c r="J37" s="20" t="n">
        <f aca="false">HR36</f>
        <v>0</v>
      </c>
      <c r="K37" s="20" t="n">
        <f aca="false">IF(J37&gt;1,'Plan debt months'!AC37,0)</f>
        <v>0</v>
      </c>
      <c r="L37" s="20" t="n">
        <f aca="false">IF(J37&gt;1,'Plan debt months'!AB37,J37)</f>
        <v>0</v>
      </c>
      <c r="M37" s="20" t="n">
        <f aca="false">O36</f>
        <v>0</v>
      </c>
      <c r="N37" s="20" t="n">
        <f aca="false">IF(M37&gt;1,'Plan debt months'!BD37,0)</f>
        <v>0</v>
      </c>
      <c r="O37" s="20" t="n">
        <f aca="false">IF(M37&gt;1,'Plan debt months'!BC37,M37)</f>
        <v>0</v>
      </c>
      <c r="P37" s="20" t="n">
        <f aca="false">R36</f>
        <v>0</v>
      </c>
      <c r="Q37" s="20" t="n">
        <f aca="false">IF(P37&gt;1,'Plan debt months'!CE37,0)</f>
        <v>0</v>
      </c>
      <c r="R37" s="20" t="n">
        <f aca="false">IF(P37&gt;1,'Plan debt months'!CD37,P37)</f>
        <v>0</v>
      </c>
      <c r="S37" s="20" t="n">
        <f aca="false">K37+N37+Q37</f>
        <v>0</v>
      </c>
      <c r="T37" s="20" t="n">
        <f aca="false">QK36+'Plan pay &amp; tax'!Y263</f>
        <v>199157.282081111</v>
      </c>
      <c r="U37" s="20" t="n">
        <f aca="false">QK36</f>
        <v>199157.282081111</v>
      </c>
      <c r="V37" s="20" t="n">
        <f aca="false">IF(AND(Slot1_On=1,D37=Slot1_Age),1,0)</f>
        <v>0</v>
      </c>
      <c r="W37" s="20" t="n">
        <f aca="false">IF(AND(Slot1_On=1,Slot1_Age&gt;D37),1,0)</f>
        <v>0</v>
      </c>
      <c r="X37" s="20" t="n">
        <f aca="false">QM36</f>
        <v>0</v>
      </c>
      <c r="Y37" s="20" t="n">
        <f aca="false">V37*MIN(Slot1_Cost,X37)</f>
        <v>0</v>
      </c>
      <c r="Z37" s="20" t="n">
        <f aca="false">V37*Slot1_SpendLike*MIN(Slot1_Cost-Y37,T37)</f>
        <v>0</v>
      </c>
      <c r="AA37" s="20" t="n">
        <f aca="false">Y37+Z37</f>
        <v>0</v>
      </c>
      <c r="AB37" s="20" t="n">
        <f aca="false">T37-Z37+V37*IF(Slot1_SpendLike=1,X37-Y37,IF(Slot1_PotFree=1,X37,0))</f>
        <v>199157.282081111</v>
      </c>
      <c r="AC37" s="20" t="n">
        <f aca="false">AF37+V37*Slot1_BufPot*X37</f>
        <v>20415.9077518951</v>
      </c>
      <c r="AD37" s="20" t="n">
        <f aca="false">IF(AND(V37=1,Slot1_IsMfree=1),IF(AA37&gt;=Slot1_Cost-1,0,MAX(0,L37-AA37)),L37)</f>
        <v>0</v>
      </c>
      <c r="AE37" s="20" t="n">
        <f aca="false">V37*(Slot1_Cost-AA37)</f>
        <v>0</v>
      </c>
      <c r="AF37" s="20" t="n">
        <f aca="false">QL36</f>
        <v>20415.9077518951</v>
      </c>
      <c r="AG37" s="20" t="n">
        <f aca="false">IF(AND(Slot2_On=1,D37=Slot2_Age),1,0)</f>
        <v>0</v>
      </c>
      <c r="AH37" s="20" t="n">
        <f aca="false">IF(AND(Slot2_On=1,Slot2_Age&gt;D37),1,0)</f>
        <v>0</v>
      </c>
      <c r="AI37" s="20" t="n">
        <f aca="false">QQ36</f>
        <v>0</v>
      </c>
      <c r="AJ37" s="20" t="n">
        <f aca="false">AG37*MIN(Slot2_Cost,AI37)</f>
        <v>0</v>
      </c>
      <c r="AK37" s="20" t="n">
        <f aca="false">AG37*Slot2_SpendLike*MIN(Slot2_Cost-AJ37,AB37)</f>
        <v>0</v>
      </c>
      <c r="AL37" s="20" t="n">
        <f aca="false">AJ37+AK37</f>
        <v>0</v>
      </c>
      <c r="AM37" s="20" t="n">
        <f aca="false">AB37-AK37+AG37*IF(Slot2_SpendLike=1,AI37-AJ37,IF(Slot2_PotFree=1,AI37,0))</f>
        <v>199157.282081111</v>
      </c>
      <c r="AN37" s="20" t="n">
        <f aca="false">AC37+AG37*Slot2_BufPot*AI37</f>
        <v>20415.9077518951</v>
      </c>
      <c r="AO37" s="20" t="n">
        <f aca="false">IF(AND(AG37=1,Slot2_IsMfree=1),IF(AL37&gt;=Slot2_Cost-1,0,MAX(0,AD37-AL37)),AD37)</f>
        <v>0</v>
      </c>
      <c r="AP37" s="20" t="n">
        <f aca="false">AG37*(Slot2_Cost-AL37)</f>
        <v>0</v>
      </c>
      <c r="AQ37" s="20" t="n">
        <f aca="false">IF(AND(Slot3_On=1,D37=Slot3_Age),1,0)</f>
        <v>0</v>
      </c>
      <c r="AR37" s="20" t="n">
        <f aca="false">IF(AND(Slot3_On=1,Slot3_Age&gt;D37),1,0)</f>
        <v>0</v>
      </c>
      <c r="AS37" s="20" t="n">
        <f aca="false">QU36</f>
        <v>0</v>
      </c>
      <c r="AT37" s="20" t="n">
        <f aca="false">AQ37*MIN(Slot3_Cost,AS37)</f>
        <v>0</v>
      </c>
      <c r="AU37" s="20" t="n">
        <f aca="false">AQ37*Slot3_SpendLike*MIN(Slot3_Cost-AT37,AM37)</f>
        <v>0</v>
      </c>
      <c r="AV37" s="20" t="n">
        <f aca="false">AT37+AU37</f>
        <v>0</v>
      </c>
      <c r="AW37" s="20" t="n">
        <f aca="false">AM37-AU37+AQ37*IF(Slot3_SpendLike=1,AS37-AT37,IF(Slot3_PotFree=1,AS37,0))</f>
        <v>199157.282081111</v>
      </c>
      <c r="AX37" s="20" t="n">
        <f aca="false">AN37+AQ37*Slot3_BufPot*AS37</f>
        <v>20415.9077518951</v>
      </c>
      <c r="AY37" s="20" t="n">
        <f aca="false">IF(AND(AQ37=1,Slot3_IsMfree=1),IF(AV37&gt;=Slot3_Cost-1,0,MAX(0,AO37-AV37)),AO37)</f>
        <v>0</v>
      </c>
      <c r="AZ37" s="20" t="n">
        <f aca="false">AQ37*(Slot3_Cost-AV37)</f>
        <v>0</v>
      </c>
      <c r="BA37" s="20" t="n">
        <f aca="false">IF(AND(Slot4_On=1,D37=Slot4_Age),1,0)</f>
        <v>0</v>
      </c>
      <c r="BB37" s="20" t="n">
        <f aca="false">IF(AND(Slot4_On=1,Slot4_Age&gt;D37),1,0)</f>
        <v>0</v>
      </c>
      <c r="BC37" s="20" t="n">
        <f aca="false">QY36</f>
        <v>0</v>
      </c>
      <c r="BD37" s="20" t="n">
        <f aca="false">BA37*MIN(Slot4_Cost,BC37)</f>
        <v>0</v>
      </c>
      <c r="BE37" s="20" t="n">
        <f aca="false">BA37*Slot4_SpendLike*MIN(Slot4_Cost-BD37,AW37)</f>
        <v>0</v>
      </c>
      <c r="BF37" s="20" t="n">
        <f aca="false">BD37+BE37</f>
        <v>0</v>
      </c>
      <c r="BG37" s="20" t="n">
        <f aca="false">AW37-BE37+BA37*IF(Slot4_SpendLike=1,BC37-BD37,IF(Slot4_PotFree=1,BC37,0))</f>
        <v>199157.282081111</v>
      </c>
      <c r="BH37" s="20" t="n">
        <f aca="false">AX37+BA37*Slot4_BufPot*BC37</f>
        <v>20415.9077518951</v>
      </c>
      <c r="BI37" s="20" t="n">
        <f aca="false">IF(AND(BA37=1,Slot4_IsMfree=1),IF(BF37&gt;=Slot4_Cost-1,0,MAX(0,AY37-BF37)),AY37)</f>
        <v>0</v>
      </c>
      <c r="BJ37" s="20" t="n">
        <f aca="false">BA37*(Slot4_Cost-BF37)</f>
        <v>0</v>
      </c>
      <c r="BK37" s="20" t="n">
        <f aca="false">IF(AND(Slot5_On=1,D37=Slot5_Age),1,0)</f>
        <v>0</v>
      </c>
      <c r="BL37" s="20" t="n">
        <f aca="false">IF(AND(Slot5_On=1,Slot5_Age&gt;D37),1,0)</f>
        <v>0</v>
      </c>
      <c r="BM37" s="20" t="n">
        <f aca="false">RC36</f>
        <v>0</v>
      </c>
      <c r="BN37" s="20" t="n">
        <f aca="false">BK37*MIN(Slot5_Cost,BM37)</f>
        <v>0</v>
      </c>
      <c r="BO37" s="20" t="n">
        <f aca="false">BK37*Slot5_SpendLike*MIN(Slot5_Cost-BN37,BG37)</f>
        <v>0</v>
      </c>
      <c r="BP37" s="20" t="n">
        <f aca="false">BN37+BO37</f>
        <v>0</v>
      </c>
      <c r="BQ37" s="20" t="n">
        <f aca="false">BG37-BO37+BK37*IF(Slot5_SpendLike=1,BM37-BN37,IF(Slot5_PotFree=1,BM37,0))</f>
        <v>199157.282081111</v>
      </c>
      <c r="BR37" s="20" t="n">
        <f aca="false">BH37+BK37*Slot5_BufPot*BM37</f>
        <v>20415.9077518951</v>
      </c>
      <c r="BS37" s="20" t="n">
        <f aca="false">IF(AND(BK37=1,Slot5_IsMfree=1),IF(BP37&gt;=Slot5_Cost-1,0,MAX(0,BI37-BP37)),BI37)</f>
        <v>0</v>
      </c>
      <c r="BT37" s="20" t="n">
        <f aca="false">BK37*(Slot5_Cost-BP37)</f>
        <v>0</v>
      </c>
      <c r="BU37" s="20" t="n">
        <f aca="false">IF(AND(Slot6_On=1,D37=Slot6_Age),1,0)</f>
        <v>0</v>
      </c>
      <c r="BV37" s="20" t="n">
        <f aca="false">IF(AND(Slot6_On=1,Slot6_Age&gt;D37),1,0)</f>
        <v>0</v>
      </c>
      <c r="BW37" s="20" t="n">
        <f aca="false">RG36</f>
        <v>0</v>
      </c>
      <c r="BX37" s="20" t="n">
        <f aca="false">BU37*MIN(Slot6_Cost,BW37)</f>
        <v>0</v>
      </c>
      <c r="BY37" s="20" t="n">
        <f aca="false">BU37*Slot6_SpendLike*MIN(Slot6_Cost-BX37,BQ37)</f>
        <v>0</v>
      </c>
      <c r="BZ37" s="20" t="n">
        <f aca="false">BX37+BY37</f>
        <v>0</v>
      </c>
      <c r="CA37" s="20" t="n">
        <f aca="false">BQ37-BY37+BU37*IF(Slot6_SpendLike=1,BW37-BX37,IF(Slot6_PotFree=1,BW37,0))</f>
        <v>199157.282081111</v>
      </c>
      <c r="CB37" s="20" t="n">
        <f aca="false">BR37+BU37*Slot6_BufPot*BW37</f>
        <v>20415.9077518951</v>
      </c>
      <c r="CC37" s="20" t="n">
        <f aca="false">IF(AND(BU37=1,Slot6_IsMfree=1),IF(BZ37&gt;=Slot6_Cost-1,0,MAX(0,BS37-BZ37)),BS37)</f>
        <v>0</v>
      </c>
      <c r="CD37" s="20" t="n">
        <f aca="false">BU37*(Slot6_Cost-BZ37)</f>
        <v>0</v>
      </c>
      <c r="CE37" s="20" t="n">
        <f aca="false">IF(AND(Slot7_On=1,D37=Slot7_Age),1,0)</f>
        <v>0</v>
      </c>
      <c r="CF37" s="20" t="n">
        <f aca="false">IF(AND(Slot7_On=1,Slot7_Age&gt;D37),1,0)</f>
        <v>0</v>
      </c>
      <c r="CG37" s="20" t="n">
        <f aca="false">RK36</f>
        <v>0</v>
      </c>
      <c r="CH37" s="20" t="n">
        <f aca="false">CE37*MIN(Slot7_Cost,CG37)</f>
        <v>0</v>
      </c>
      <c r="CI37" s="20" t="n">
        <f aca="false">CE37*Slot7_SpendLike*MIN(Slot7_Cost-CH37,CA37)</f>
        <v>0</v>
      </c>
      <c r="CJ37" s="20" t="n">
        <f aca="false">CH37+CI37</f>
        <v>0</v>
      </c>
      <c r="CK37" s="20" t="n">
        <f aca="false">CA37-CI37+CE37*IF(Slot7_SpendLike=1,CG37-CH37,IF(Slot7_PotFree=1,CG37,0))</f>
        <v>199157.282081111</v>
      </c>
      <c r="CL37" s="20" t="n">
        <f aca="false">CB37+CE37*Slot7_BufPot*CG37</f>
        <v>20415.9077518951</v>
      </c>
      <c r="CM37" s="20" t="n">
        <f aca="false">IF(AND(CE37=1,Slot7_IsMfree=1),IF(CJ37&gt;=Slot7_Cost-1,0,MAX(0,CC37-CJ37)),CC37)</f>
        <v>0</v>
      </c>
      <c r="CN37" s="20" t="n">
        <f aca="false">CE37*(Slot7_Cost-CJ37)</f>
        <v>0</v>
      </c>
      <c r="CO37" s="20" t="n">
        <f aca="false">IF(AND(Slot8_On=1,D37=Slot8_Age),1,0)</f>
        <v>0</v>
      </c>
      <c r="CP37" s="20" t="n">
        <f aca="false">IF(AND(Slot8_On=1,Slot8_Age&gt;D37),1,0)</f>
        <v>0</v>
      </c>
      <c r="CQ37" s="20" t="n">
        <f aca="false">RO36</f>
        <v>0</v>
      </c>
      <c r="CR37" s="20" t="n">
        <f aca="false">CO37*MIN(Slot8_Cost,CQ37)</f>
        <v>0</v>
      </c>
      <c r="CS37" s="20" t="n">
        <f aca="false">CO37*Slot8_SpendLike*MIN(Slot8_Cost-CR37,CK37)</f>
        <v>0</v>
      </c>
      <c r="CT37" s="20" t="n">
        <f aca="false">CR37+CS37</f>
        <v>0</v>
      </c>
      <c r="CU37" s="20" t="n">
        <f aca="false">CK37-CS37+CO37*IF(Slot8_SpendLike=1,CQ37-CR37,IF(Slot8_PotFree=1,CQ37,0))</f>
        <v>199157.282081111</v>
      </c>
      <c r="CV37" s="20" t="n">
        <f aca="false">CL37+CO37*Slot8_BufPot*CQ37</f>
        <v>20415.9077518951</v>
      </c>
      <c r="CW37" s="20" t="n">
        <f aca="false">IF(AND(CO37=1,Slot8_IsMfree=1),IF(CT37&gt;=Slot8_Cost-1,0,MAX(0,CM37-CT37)),CM37)</f>
        <v>0</v>
      </c>
      <c r="CX37" s="20" t="n">
        <f aca="false">CO37*(Slot8_Cost-CT37)</f>
        <v>0</v>
      </c>
      <c r="CY37" s="20" t="n">
        <f aca="false">IF(AND(Slot9_On=1,D37=Slot9_Age),1,0)</f>
        <v>0</v>
      </c>
      <c r="CZ37" s="20" t="n">
        <f aca="false">IF(AND(Slot9_On=1,Slot9_Age&gt;D37),1,0)</f>
        <v>0</v>
      </c>
      <c r="DA37" s="20" t="n">
        <f aca="false">RS36</f>
        <v>0</v>
      </c>
      <c r="DB37" s="20" t="n">
        <f aca="false">CY37*MIN(Slot9_Cost,DA37)</f>
        <v>0</v>
      </c>
      <c r="DC37" s="20" t="n">
        <f aca="false">CY37*Slot9_SpendLike*MIN(Slot9_Cost-DB37,CU37)</f>
        <v>0</v>
      </c>
      <c r="DD37" s="20" t="n">
        <f aca="false">DB37+DC37</f>
        <v>0</v>
      </c>
      <c r="DE37" s="20" t="n">
        <f aca="false">CU37-DC37+CY37*IF(Slot9_SpendLike=1,DA37-DB37,IF(Slot9_PotFree=1,DA37,0))</f>
        <v>199157.282081111</v>
      </c>
      <c r="DF37" s="20" t="n">
        <f aca="false">CV37+CY37*Slot9_BufPot*DA37</f>
        <v>20415.9077518951</v>
      </c>
      <c r="DG37" s="20" t="n">
        <f aca="false">IF(AND(CY37=1,Slot9_IsMfree=1),IF(DD37&gt;=Slot9_Cost-1,0,MAX(0,CW37-DD37)),CW37)</f>
        <v>0</v>
      </c>
      <c r="DH37" s="20" t="n">
        <f aca="false">CY37*(Slot9_Cost-DD37)</f>
        <v>0</v>
      </c>
      <c r="DI37" s="20" t="n">
        <f aca="false">IF(AND(Slot10_On=1,D37=Slot10_Age),1,0)</f>
        <v>0</v>
      </c>
      <c r="DJ37" s="20" t="n">
        <f aca="false">IF(AND(Slot10_On=1,Slot10_Age&gt;D37),1,0)</f>
        <v>0</v>
      </c>
      <c r="DK37" s="20" t="n">
        <f aca="false">RW36</f>
        <v>0</v>
      </c>
      <c r="DL37" s="20" t="n">
        <f aca="false">DI37*MIN(Slot10_Cost,DK37)</f>
        <v>0</v>
      </c>
      <c r="DM37" s="20" t="n">
        <f aca="false">DI37*Slot10_SpendLike*MIN(Slot10_Cost-DL37,DE37)</f>
        <v>0</v>
      </c>
      <c r="DN37" s="20" t="n">
        <f aca="false">DL37+DM37</f>
        <v>0</v>
      </c>
      <c r="DO37" s="20" t="n">
        <f aca="false">DE37-DM37+DI37*IF(Slot10_SpendLike=1,DK37-DL37,IF(Slot10_PotFree=1,DK37,0))</f>
        <v>199157.282081111</v>
      </c>
      <c r="DP37" s="20" t="n">
        <f aca="false">DF37+DI37*Slot10_BufPot*DK37</f>
        <v>20415.9077518951</v>
      </c>
      <c r="DQ37" s="20" t="n">
        <f aca="false">IF(AND(DI37=1,Slot10_IsMfree=1),IF(DN37&gt;=Slot10_Cost-1,0,MAX(0,DG37-DN37)),DG37)</f>
        <v>0</v>
      </c>
      <c r="DR37" s="20" t="n">
        <f aca="false">DI37*(Slot10_Cost-DN37)</f>
        <v>0</v>
      </c>
      <c r="DS37" s="20" t="n">
        <f aca="false">IF(AND(Slot11_On=1,D37=Slot11_Age),1,0)</f>
        <v>0</v>
      </c>
      <c r="DT37" s="20" t="n">
        <f aca="false">IF(AND(Slot11_On=1,Slot11_Age&gt;D37),1,0)</f>
        <v>0</v>
      </c>
      <c r="DU37" s="20" t="n">
        <f aca="false">SA36</f>
        <v>0</v>
      </c>
      <c r="DV37" s="20" t="n">
        <f aca="false">DS37*MIN(Slot11_Cost,DU37)</f>
        <v>0</v>
      </c>
      <c r="DW37" s="20" t="n">
        <f aca="false">DS37*Slot11_SpendLike*MIN(Slot11_Cost-DV37,DO37)</f>
        <v>0</v>
      </c>
      <c r="DX37" s="20" t="n">
        <f aca="false">DV37+DW37</f>
        <v>0</v>
      </c>
      <c r="DY37" s="20" t="n">
        <f aca="false">DO37-DW37+DS37*IF(Slot11_SpendLike=1,DU37-DV37,IF(Slot11_PotFree=1,DU37,0))</f>
        <v>199157.282081111</v>
      </c>
      <c r="DZ37" s="20" t="n">
        <f aca="false">DP37+DS37*Slot11_BufPot*DU37</f>
        <v>20415.9077518951</v>
      </c>
      <c r="EA37" s="20" t="n">
        <f aca="false">IF(AND(DS37=1,Slot11_IsMfree=1),IF(DX37&gt;=Slot11_Cost-1,0,MAX(0,DQ37-DX37)),DQ37)</f>
        <v>0</v>
      </c>
      <c r="EB37" s="20" t="n">
        <f aca="false">DS37*(Slot11_Cost-DX37)</f>
        <v>0</v>
      </c>
      <c r="EC37" s="20" t="n">
        <f aca="false">IF(AND(Slot12_On=1,D37=Slot12_Age),1,0)</f>
        <v>0</v>
      </c>
      <c r="ED37" s="20" t="n">
        <f aca="false">IF(AND(Slot12_On=1,Slot12_Age&gt;D37),1,0)</f>
        <v>0</v>
      </c>
      <c r="EE37" s="20" t="n">
        <f aca="false">SE36</f>
        <v>0</v>
      </c>
      <c r="EF37" s="20" t="n">
        <f aca="false">EC37*MIN(Slot12_Cost,EE37)</f>
        <v>0</v>
      </c>
      <c r="EG37" s="20" t="n">
        <f aca="false">EC37*Slot12_SpendLike*MIN(Slot12_Cost-EF37,DY37)</f>
        <v>0</v>
      </c>
      <c r="EH37" s="20" t="n">
        <f aca="false">EF37+EG37</f>
        <v>0</v>
      </c>
      <c r="EI37" s="20" t="n">
        <f aca="false">DY37-EG37+EC37*IF(Slot12_SpendLike=1,EE37-EF37,IF(Slot12_PotFree=1,EE37,0))</f>
        <v>199157.282081111</v>
      </c>
      <c r="EJ37" s="20" t="n">
        <f aca="false">DZ37+EC37*Slot12_BufPot*EE37</f>
        <v>20415.9077518951</v>
      </c>
      <c r="EK37" s="20" t="n">
        <f aca="false">IF(AND(EC37=1,Slot12_IsMfree=1),IF(EH37&gt;=Slot12_Cost-1,0,MAX(0,EA37-EH37)),EA37)</f>
        <v>0</v>
      </c>
      <c r="EL37" s="20" t="n">
        <f aca="false">EC37*(Slot12_Cost-EH37)</f>
        <v>0</v>
      </c>
      <c r="EM37" s="20" t="n">
        <f aca="false">IF(AND(Slot13_On=1,D37=Slot13_Age),1,0)</f>
        <v>0</v>
      </c>
      <c r="EN37" s="20" t="n">
        <f aca="false">IF(AND(Slot13_On=1,Slot13_Age&gt;D37),1,0)</f>
        <v>0</v>
      </c>
      <c r="EO37" s="20" t="n">
        <f aca="false">SI36</f>
        <v>0</v>
      </c>
      <c r="EP37" s="20" t="n">
        <f aca="false">EM37*MIN(Slot13_Cost,EO37)</f>
        <v>0</v>
      </c>
      <c r="EQ37" s="20" t="n">
        <f aca="false">EM37*Slot13_SpendLike*MIN(Slot13_Cost-EP37,EI37)</f>
        <v>0</v>
      </c>
      <c r="ER37" s="20" t="n">
        <f aca="false">EP37+EQ37</f>
        <v>0</v>
      </c>
      <c r="ES37" s="20" t="n">
        <f aca="false">EI37-EQ37+EM37*IF(Slot13_SpendLike=1,EO37-EP37,IF(Slot13_PotFree=1,EO37,0))</f>
        <v>199157.282081111</v>
      </c>
      <c r="ET37" s="20" t="n">
        <f aca="false">EJ37+EM37*Slot13_BufPot*EO37</f>
        <v>20415.9077518951</v>
      </c>
      <c r="EU37" s="20" t="n">
        <f aca="false">IF(AND(EM37=1,Slot13_IsMfree=1),IF(ER37&gt;=Slot13_Cost-1,0,MAX(0,EK37-ER37)),EK37)</f>
        <v>0</v>
      </c>
      <c r="EV37" s="20" t="n">
        <f aca="false">EM37*(Slot13_Cost-ER37)</f>
        <v>0</v>
      </c>
      <c r="EW37" s="20" t="n">
        <f aca="false">IF(AND(Slot14_On=1,D37=Slot14_Age),1,0)</f>
        <v>0</v>
      </c>
      <c r="EX37" s="20" t="n">
        <f aca="false">IF(AND(Slot14_On=1,Slot14_Age&gt;D37),1,0)</f>
        <v>0</v>
      </c>
      <c r="EY37" s="20" t="n">
        <f aca="false">SM36</f>
        <v>0</v>
      </c>
      <c r="EZ37" s="20" t="n">
        <f aca="false">EW37*MIN(Slot14_Cost,EY37)</f>
        <v>0</v>
      </c>
      <c r="FA37" s="20" t="n">
        <f aca="false">EW37*Slot14_SpendLike*MIN(Slot14_Cost-EZ37,ES37)</f>
        <v>0</v>
      </c>
      <c r="FB37" s="20" t="n">
        <f aca="false">EZ37+FA37</f>
        <v>0</v>
      </c>
      <c r="FC37" s="20" t="n">
        <f aca="false">ES37-FA37+EW37*IF(Slot14_SpendLike=1,EY37-EZ37,IF(Slot14_PotFree=1,EY37,0))</f>
        <v>199157.282081111</v>
      </c>
      <c r="FD37" s="20" t="n">
        <f aca="false">ET37+EW37*Slot14_BufPot*EY37</f>
        <v>20415.9077518951</v>
      </c>
      <c r="FE37" s="20" t="n">
        <f aca="false">IF(AND(EW37=1,Slot14_IsMfree=1),IF(FB37&gt;=Slot14_Cost-1,0,MAX(0,EU37-FB37)),EU37)</f>
        <v>0</v>
      </c>
      <c r="FF37" s="20" t="n">
        <f aca="false">EW37*(Slot14_Cost-FB37)</f>
        <v>0</v>
      </c>
      <c r="FG37" s="20" t="n">
        <f aca="false">IF(AND(Slot15_On=1,D37=Slot15_Age),1,0)</f>
        <v>0</v>
      </c>
      <c r="FH37" s="20" t="n">
        <f aca="false">IF(AND(Slot15_On=1,Slot15_Age&gt;D37),1,0)</f>
        <v>0</v>
      </c>
      <c r="FI37" s="20" t="n">
        <f aca="false">SQ36</f>
        <v>0</v>
      </c>
      <c r="FJ37" s="20" t="n">
        <f aca="false">FG37*MIN(Slot15_Cost,FI37)</f>
        <v>0</v>
      </c>
      <c r="FK37" s="20" t="n">
        <f aca="false">FG37*Slot15_SpendLike*MIN(Slot15_Cost-FJ37,FC37)</f>
        <v>0</v>
      </c>
      <c r="FL37" s="20" t="n">
        <f aca="false">FJ37+FK37</f>
        <v>0</v>
      </c>
      <c r="FM37" s="20" t="n">
        <f aca="false">FC37-FK37+FG37*IF(Slot15_SpendLike=1,FI37-FJ37,IF(Slot15_PotFree=1,FI37,0))</f>
        <v>199157.282081111</v>
      </c>
      <c r="FN37" s="20" t="n">
        <f aca="false">FD37+FG37*Slot15_BufPot*FI37</f>
        <v>20415.9077518951</v>
      </c>
      <c r="FO37" s="20" t="n">
        <f aca="false">IF(AND(FG37=1,Slot15_IsMfree=1),IF(FL37&gt;=Slot15_Cost-1,0,MAX(0,FE37-FL37)),FE37)</f>
        <v>0</v>
      </c>
      <c r="FP37" s="20" t="n">
        <f aca="false">FG37*(Slot15_Cost-FL37)</f>
        <v>0</v>
      </c>
      <c r="FQ37" s="20" t="n">
        <f aca="false">IF(AND(Slot16_On=1,D37=Slot16_Age),1,0)</f>
        <v>0</v>
      </c>
      <c r="FR37" s="20" t="n">
        <f aca="false">IF(AND(Slot16_On=1,Slot16_Age&gt;D37),1,0)</f>
        <v>0</v>
      </c>
      <c r="FS37" s="20" t="n">
        <f aca="false">SU36</f>
        <v>0</v>
      </c>
      <c r="FT37" s="20" t="n">
        <f aca="false">FQ37*MIN(Slot16_Cost,FS37)</f>
        <v>0</v>
      </c>
      <c r="FU37" s="20" t="n">
        <f aca="false">FQ37*Slot16_SpendLike*MIN(Slot16_Cost-FT37,FM37)</f>
        <v>0</v>
      </c>
      <c r="FV37" s="20" t="n">
        <f aca="false">FT37+FU37</f>
        <v>0</v>
      </c>
      <c r="FW37" s="20" t="n">
        <f aca="false">FM37-FU37+FQ37*IF(Slot16_SpendLike=1,FS37-FT37,IF(Slot16_PotFree=1,FS37,0))</f>
        <v>199157.282081111</v>
      </c>
      <c r="FX37" s="20" t="n">
        <f aca="false">FN37+FQ37*Slot16_BufPot*FS37</f>
        <v>20415.9077518951</v>
      </c>
      <c r="FY37" s="20" t="n">
        <f aca="false">IF(AND(FQ37=1,Slot16_IsMfree=1),IF(FV37&gt;=Slot16_Cost-1,0,MAX(0,FO37-FV37)),FO37)</f>
        <v>0</v>
      </c>
      <c r="FZ37" s="20" t="n">
        <f aca="false">FQ37*(Slot16_Cost-FV37)</f>
        <v>0</v>
      </c>
      <c r="GA37" s="20" t="n">
        <f aca="false">IF(AND(Slot17_On=1,D37=Slot17_Age),1,0)</f>
        <v>0</v>
      </c>
      <c r="GB37" s="20" t="n">
        <f aca="false">IF(AND(Slot17_On=1,Slot17_Age&gt;D37),1,0)</f>
        <v>0</v>
      </c>
      <c r="GC37" s="20" t="n">
        <f aca="false">SY36</f>
        <v>0</v>
      </c>
      <c r="GD37" s="20" t="n">
        <f aca="false">GA37*MIN(Slot17_Cost,GC37)</f>
        <v>0</v>
      </c>
      <c r="GE37" s="20" t="n">
        <f aca="false">GA37*Slot17_SpendLike*MIN(Slot17_Cost-GD37,FW37)</f>
        <v>0</v>
      </c>
      <c r="GF37" s="20" t="n">
        <f aca="false">GD37+GE37</f>
        <v>0</v>
      </c>
      <c r="GG37" s="20" t="n">
        <f aca="false">FW37-GE37+GA37*IF(Slot17_SpendLike=1,GC37-GD37,IF(Slot17_PotFree=1,GC37,0))</f>
        <v>199157.282081111</v>
      </c>
      <c r="GH37" s="20" t="n">
        <f aca="false">FX37+GA37*Slot17_BufPot*GC37</f>
        <v>20415.9077518951</v>
      </c>
      <c r="GI37" s="20" t="n">
        <f aca="false">IF(AND(GA37=1,Slot17_IsMfree=1),IF(GF37&gt;=Slot17_Cost-1,0,MAX(0,FY37-GF37)),FY37)</f>
        <v>0</v>
      </c>
      <c r="GJ37" s="20" t="n">
        <f aca="false">GA37*(Slot17_Cost-GF37)</f>
        <v>0</v>
      </c>
      <c r="GK37" s="20" t="n">
        <f aca="false">IF(AND(Slot18_On=1,D37=Slot18_Age),1,0)</f>
        <v>0</v>
      </c>
      <c r="GL37" s="20" t="n">
        <f aca="false">IF(AND(Slot18_On=1,Slot18_Age&gt;D37),1,0)</f>
        <v>0</v>
      </c>
      <c r="GM37" s="20" t="n">
        <f aca="false">TC36</f>
        <v>0</v>
      </c>
      <c r="GN37" s="20" t="n">
        <f aca="false">GK37*MIN(Slot18_Cost,GM37)</f>
        <v>0</v>
      </c>
      <c r="GO37" s="20" t="n">
        <f aca="false">GK37*Slot18_SpendLike*MIN(Slot18_Cost-GN37,GG37)</f>
        <v>0</v>
      </c>
      <c r="GP37" s="20" t="n">
        <f aca="false">GN37+GO37</f>
        <v>0</v>
      </c>
      <c r="GQ37" s="20" t="n">
        <f aca="false">GG37-GO37+GK37*IF(Slot18_SpendLike=1,GM37-GN37,IF(Slot18_PotFree=1,GM37,0))</f>
        <v>199157.282081111</v>
      </c>
      <c r="GR37" s="20" t="n">
        <f aca="false">GH37+GK37*Slot18_BufPot*GM37</f>
        <v>20415.9077518951</v>
      </c>
      <c r="GS37" s="20" t="n">
        <f aca="false">IF(AND(GK37=1,Slot18_IsMfree=1),IF(GP37&gt;=Slot18_Cost-1,0,MAX(0,GI37-GP37)),GI37)</f>
        <v>0</v>
      </c>
      <c r="GT37" s="20" t="n">
        <f aca="false">GK37*(Slot18_Cost-GP37)</f>
        <v>0</v>
      </c>
      <c r="GU37" s="20" t="n">
        <f aca="false">IF(AND(Slot19_On=1,D37=Slot19_Age),1,0)</f>
        <v>0</v>
      </c>
      <c r="GV37" s="20" t="n">
        <f aca="false">IF(AND(Slot19_On=1,Slot19_Age&gt;D37),1,0)</f>
        <v>0</v>
      </c>
      <c r="GW37" s="20" t="n">
        <f aca="false">TG36</f>
        <v>0</v>
      </c>
      <c r="GX37" s="20" t="n">
        <f aca="false">GU37*MIN(Slot19_Cost,GW37)</f>
        <v>0</v>
      </c>
      <c r="GY37" s="20" t="n">
        <f aca="false">GU37*Slot19_SpendLike*MIN(Slot19_Cost-GX37,GQ37)</f>
        <v>0</v>
      </c>
      <c r="GZ37" s="20" t="n">
        <f aca="false">GX37+GY37</f>
        <v>0</v>
      </c>
      <c r="HA37" s="20" t="n">
        <f aca="false">GQ37-GY37+GU37*IF(Slot19_SpendLike=1,GW37-GX37,IF(Slot19_PotFree=1,GW37,0))</f>
        <v>199157.282081111</v>
      </c>
      <c r="HB37" s="20" t="n">
        <f aca="false">GR37+GU37*Slot19_BufPot*GW37</f>
        <v>20415.9077518951</v>
      </c>
      <c r="HC37" s="20" t="n">
        <f aca="false">IF(AND(GU37=1,Slot19_IsMfree=1),IF(GZ37&gt;=Slot19_Cost-1,0,MAX(0,GS37-GZ37)),GS37)</f>
        <v>0</v>
      </c>
      <c r="HD37" s="20" t="n">
        <f aca="false">GU37*(Slot19_Cost-GZ37)</f>
        <v>0</v>
      </c>
      <c r="HE37" s="20" t="n">
        <f aca="false">IF(AND(Slot20_On=1,D37=Slot20_Age),1,0)</f>
        <v>0</v>
      </c>
      <c r="HF37" s="20" t="n">
        <f aca="false">IF(AND(Slot20_On=1,Slot20_Age&gt;D37),1,0)</f>
        <v>0</v>
      </c>
      <c r="HG37" s="20" t="n">
        <f aca="false">TK36</f>
        <v>0</v>
      </c>
      <c r="HH37" s="20" t="n">
        <f aca="false">HE37*MIN(Slot20_Cost,HG37)</f>
        <v>0</v>
      </c>
      <c r="HI37" s="20" t="n">
        <f aca="false">HE37*Slot20_SpendLike*MIN(Slot20_Cost-HH37,HA37)</f>
        <v>0</v>
      </c>
      <c r="HJ37" s="20" t="n">
        <f aca="false">HH37+HI37</f>
        <v>0</v>
      </c>
      <c r="HK37" s="20" t="n">
        <f aca="false">HA37-HI37+HE37*IF(Slot20_SpendLike=1,HG37-HH37,IF(Slot20_PotFree=1,HG37,0))</f>
        <v>199157.282081111</v>
      </c>
      <c r="HL37" s="20" t="n">
        <f aca="false">HB37+HE37*Slot20_BufPot*HG37</f>
        <v>20415.9077518951</v>
      </c>
      <c r="HM37" s="20" t="n">
        <f aca="false">IF(AND(HE37=1,Slot20_IsMfree=1),IF(HJ37&gt;=Slot20_Cost-1,0,MAX(0,HC37-HJ37)),HC37)</f>
        <v>0</v>
      </c>
      <c r="HN37" s="20" t="n">
        <f aca="false">HE37*(Slot20_Cost-HJ37)</f>
        <v>0</v>
      </c>
      <c r="HO37" s="20" t="n">
        <f aca="false">V37*Slot1_SpendLike*AA37+AG37*Slot2_SpendLike*AL37+AQ37*Slot3_SpendLike*AV37+BA37*Slot4_SpendLike*BF37+BK37*Slot5_SpendLike*BP37+BU37*Slot6_SpendLike*BZ37+CE37*Slot7_SpendLike*CJ37+CO37*Slot8_SpendLike*CT37+CY37*Slot9_SpendLike*DD37+DI37*Slot10_SpendLike*DN37+DS37*Slot11_SpendLike*DX37+EC37*Slot12_SpendLike*EH37+EM37*Slot13_SpendLike*ER37+EW37*Slot14_SpendLike*FB37+FG37*Slot15_SpendLike*FL37+FQ37*Slot16_SpendLike*FV37+GA37*Slot17_SpendLike*GF37+GK37*Slot18_SpendLike*GP37+GU37*Slot19_SpendLike*GZ37+HE37*Slot20_SpendLike*HJ37</f>
        <v>0</v>
      </c>
      <c r="HP37" s="20" t="n">
        <f aca="false">AE37+AP37+AZ37+BJ37+BT37+CD37+CN37+CX37+DH37+DR37+EB37+EL37+EV37+FF37+FP37+FZ37+GJ37+GT37+HD37+HN37</f>
        <v>0</v>
      </c>
      <c r="HQ37" s="20" t="n">
        <f aca="false">V37*Slot1_Cost+AG37*Slot2_Cost+AQ37*Slot3_Cost+BA37*Slot4_Cost+BK37*Slot5_Cost+BU37*Slot6_Cost+CE37*Slot7_Cost+CO37*Slot8_Cost+CY37*Slot9_Cost+DI37*Slot10_Cost+DS37*Slot11_Cost+EC37*Slot12_Cost+EM37*Slot13_Cost+EW37*Slot14_Cost+FG37*Slot15_Cost+FQ37*Slot16_Cost+GA37*Slot17_Cost+GK37*Slot18_Cost+GU37*Slot19_Cost+HE37*Slot20_Cost</f>
        <v>0</v>
      </c>
      <c r="HR37" s="20" t="n">
        <f aca="false">HM37</f>
        <v>0</v>
      </c>
      <c r="HS37" s="20" t="n">
        <f aca="false">H37-I37-S37</f>
        <v>-19379.8615082084</v>
      </c>
      <c r="HT37" s="20" t="n">
        <f aca="false">IF(B37=0,IF(AND(Has_q6=1,In_q6=4),PR_ShareVaries*(MAX(0,HS37)/12),MIN(IF(Has_q6=1,CHOOSE(In_q6+1,PR_SaveB1,PR_SaveB2,PR_SaveB3,PR_SaveB4,0),AS_NoAnswer),AS_SaveShare*(MAX(0,HS37)/12))),HT36)</f>
        <v>62.3316893520437</v>
      </c>
      <c r="HU37" s="20" t="n">
        <f aca="false">IF(HS37&gt;=0,1,0)</f>
        <v>0</v>
      </c>
      <c r="HV37" s="20" t="n">
        <f aca="false">MAX(0,HS37/12/F37)</f>
        <v>0</v>
      </c>
      <c r="HW37" s="20" t="n">
        <f aca="false">IF(AND(Has_q6=1,In_q6=4),PR_ShareVaries*(HV37),MIN(IF(Has_q6=1,CHOOSE(In_q6+1,PR_SaveB1,PR_SaveB2,PR_SaveB3,PR_SaveB4,0),AS_NoAnswer),AS_SaveShare*(HV37)))</f>
        <v>0</v>
      </c>
      <c r="HX37" s="20" t="n">
        <f aca="false">IF(Has_saveM=1,IF(In_saveUp="Yes",1,IF(In_saveUp="No",0,IF(In_saveM&gt;=HT37-0.5,1,0))),0)</f>
        <v>0</v>
      </c>
      <c r="HY37" s="20" t="n">
        <f aca="false">IF(Has_saveM=1,MIN(HV37,IF(HX37=1,MAX(In_saveM,HW37),MIN(In_saveM,HW37))),HW37)</f>
        <v>0</v>
      </c>
      <c r="HZ37" s="20" t="n">
        <f aca="false">IF(G37=1,HY37*12*F37,0)</f>
        <v>0</v>
      </c>
      <c r="IA37" s="20" t="n">
        <f aca="false">MAX(0,HZ37+IF(AND(WI_Retire=0,WI_M&lt;0,G37=1),WI_M*12*F37,0))</f>
        <v>0</v>
      </c>
      <c r="IB37" s="20" t="n">
        <f aca="false">Slot1_IsWG*W37+Slot2_IsWG*AH37+Slot3_IsWG*AR37+Slot4_IsWG*BB37+Slot5_IsWG*BL37+Slot6_IsWG*BV37+Slot7_IsWG*CF37+Slot8_IsWG*CP37+Slot9_IsWG*CZ37+Slot10_IsWG*DJ37+Slot11_IsWG*DT37+Slot12_IsWG*ED37+Slot13_IsWG*EN37+Slot14_IsWG*EX37+Slot15_IsWG*FH37+Slot16_IsWG*FR37+Slot17_IsWG*GB37+Slot18_IsWG*GL37+Slot19_IsWG*GV37+Slot20_IsWG*HF37</f>
        <v>0</v>
      </c>
      <c r="IC37" s="20" t="n">
        <f aca="false">IF(AND(WI_Retire=0,WI_M&gt;0,G37=1,IB37&gt;=1),WI_M*12*F37,0)</f>
        <v>0</v>
      </c>
      <c r="ID37" s="20" t="n">
        <f aca="false">IF(HU37=1,MIN(IA37,HS37),0)</f>
        <v>0</v>
      </c>
      <c r="IE37" s="20" t="n">
        <f aca="false">IF(HU37=1,MIN(IC37,HS37-ID37),0)</f>
        <v>0</v>
      </c>
      <c r="IF37" s="20" t="n">
        <f aca="false">IF(W37=1,IF(ABS((1+AS_Wage)/(1+Slot1_Rate)-1)&lt;0.000000000001,(Slot1_Age-D37)*(1+Slot1_Rate)^(Slot1_Age-D37),(1+Slot1_Rate)^(Slot1_Age-D37)*(1-((1+AS_Wage)/(1+Slot1_Rate))^(Slot1_Age-D37))/(1-(1+AS_Wage)/(1+Slot1_Rate))),1)</f>
        <v>1</v>
      </c>
      <c r="IG37" s="20" t="n">
        <f aca="false">IF(AND(HU37=1,IE37&gt;0,Slot1_IsWG=1,W37=1),MAX(0,(Slot1_Cost-X37*(1+Slot1_Rate)^(Slot1_Age-D37))/IF37),0)</f>
        <v>0</v>
      </c>
      <c r="IH37" s="20" t="n">
        <f aca="false">IF(AND(HU37=1,IE37&gt;0,Slot1_IsWG=1,W37=1),MIN(IE37,IG37),0)</f>
        <v>0</v>
      </c>
      <c r="II37" s="20" t="n">
        <f aca="false">X37+IH37</f>
        <v>0</v>
      </c>
      <c r="IJ37" s="20" t="n">
        <f aca="false">IF(W37=1,MAX(0,(Slot1_Cost-II37*(1+Slot1_Rate)^(Slot1_Age-D37))/IF37),0)</f>
        <v>0</v>
      </c>
      <c r="IK37" s="20" t="n">
        <f aca="false">IF(W37=1,MAX(0,(Slot1_Cost-X37*(1+Slot1_Rate)^(Slot1_Age-D37))/IF37),0)</f>
        <v>0</v>
      </c>
      <c r="IL37" s="20" t="n">
        <f aca="false">IF(AND(HU37=1,W37=1),MIN(ID37,IJ37),0)</f>
        <v>0</v>
      </c>
      <c r="IM37" s="20" t="n">
        <f aca="false">ID37-IL37</f>
        <v>0</v>
      </c>
      <c r="IN37" s="20" t="n">
        <f aca="false">IF(AH37=1,IF(ABS((1+AS_Wage)/(1+Slot2_Rate)-1)&lt;0.000000000001,(Slot2_Age-D37)*(1+Slot2_Rate)^(Slot2_Age-D37),(1+Slot2_Rate)^(Slot2_Age-D37)*(1-((1+AS_Wage)/(1+Slot2_Rate))^(Slot2_Age-D37))/(1-(1+AS_Wage)/(1+Slot2_Rate))),1)</f>
        <v>1</v>
      </c>
      <c r="IO37" s="20" t="n">
        <f aca="false">IF(AND(HU37=1,IE37&gt;0,Slot2_IsWG=1,AH37=1),MAX(0,(Slot2_Cost-AI37*(1+Slot2_Rate)^(Slot2_Age-D37))/IN37),0)</f>
        <v>0</v>
      </c>
      <c r="IP37" s="20" t="n">
        <f aca="false">IF(AND(HU37=1,IE37&gt;0,Slot2_IsWG=1,AH37=1),MIN(IE37,IO37),0)</f>
        <v>0</v>
      </c>
      <c r="IQ37" s="20" t="n">
        <f aca="false">AI37+IP37</f>
        <v>0</v>
      </c>
      <c r="IR37" s="20" t="n">
        <f aca="false">IF(AH37=1,MAX(0,(Slot2_Cost-IQ37*(1+Slot2_Rate)^(Slot2_Age-D37))/IN37),0)</f>
        <v>0</v>
      </c>
      <c r="IS37" s="20" t="n">
        <f aca="false">IF(AH37=1,MAX(0,(Slot2_Cost-AI37*(1+Slot2_Rate)^(Slot2_Age-D37))/IN37),0)</f>
        <v>0</v>
      </c>
      <c r="IT37" s="20" t="n">
        <f aca="false">IF(AND(HU37=1,AH37=1),MIN(IM37,IR37),0)</f>
        <v>0</v>
      </c>
      <c r="IU37" s="20" t="n">
        <f aca="false">IM37-IT37</f>
        <v>0</v>
      </c>
      <c r="IV37" s="20" t="n">
        <f aca="false">IF(AR37=1,IF(ABS((1+AS_Wage)/(1+Slot3_Rate)-1)&lt;0.000000000001,(Slot3_Age-D37)*(1+Slot3_Rate)^(Slot3_Age-D37),(1+Slot3_Rate)^(Slot3_Age-D37)*(1-((1+AS_Wage)/(1+Slot3_Rate))^(Slot3_Age-D37))/(1-(1+AS_Wage)/(1+Slot3_Rate))),1)</f>
        <v>1</v>
      </c>
      <c r="IW37" s="20" t="n">
        <f aca="false">IF(AND(HU37=1,IE37&gt;0,Slot3_IsWG=1,AR37=1),MAX(0,(Slot3_Cost-AS37*(1+Slot3_Rate)^(Slot3_Age-D37))/IV37),0)</f>
        <v>0</v>
      </c>
      <c r="IX37" s="20" t="n">
        <f aca="false">IF(AND(HU37=1,IE37&gt;0,Slot3_IsWG=1,AR37=1),MIN(IE37,IW37),0)</f>
        <v>0</v>
      </c>
      <c r="IY37" s="20" t="n">
        <f aca="false">AS37+IX37</f>
        <v>0</v>
      </c>
      <c r="IZ37" s="20" t="n">
        <f aca="false">IF(AR37=1,MAX(0,(Slot3_Cost-IY37*(1+Slot3_Rate)^(Slot3_Age-D37))/IV37),0)</f>
        <v>0</v>
      </c>
      <c r="JA37" s="20" t="n">
        <f aca="false">IF(AR37=1,MAX(0,(Slot3_Cost-AS37*(1+Slot3_Rate)^(Slot3_Age-D37))/IV37),0)</f>
        <v>0</v>
      </c>
      <c r="JB37" s="20" t="n">
        <f aca="false">IF(AND(HU37=1,AR37=1),MIN(IU37,IZ37),0)</f>
        <v>0</v>
      </c>
      <c r="JC37" s="20" t="n">
        <f aca="false">IU37-JB37</f>
        <v>0</v>
      </c>
      <c r="JD37" s="20" t="n">
        <f aca="false">IF(BB37=1,IF(ABS((1+AS_Wage)/(1+Slot4_Rate)-1)&lt;0.000000000001,(Slot4_Age-D37)*(1+Slot4_Rate)^(Slot4_Age-D37),(1+Slot4_Rate)^(Slot4_Age-D37)*(1-((1+AS_Wage)/(1+Slot4_Rate))^(Slot4_Age-D37))/(1-(1+AS_Wage)/(1+Slot4_Rate))),1)</f>
        <v>1</v>
      </c>
      <c r="JE37" s="20" t="n">
        <f aca="false">IF(AND(HU37=1,IE37&gt;0,Slot4_IsWG=1,BB37=1),MAX(0,(Slot4_Cost-BC37*(1+Slot4_Rate)^(Slot4_Age-D37))/JD37),0)</f>
        <v>0</v>
      </c>
      <c r="JF37" s="20" t="n">
        <f aca="false">IF(AND(HU37=1,IE37&gt;0,Slot4_IsWG=1,BB37=1),MIN(IE37,JE37),0)</f>
        <v>0</v>
      </c>
      <c r="JG37" s="20" t="n">
        <f aca="false">BC37+JF37</f>
        <v>0</v>
      </c>
      <c r="JH37" s="20" t="n">
        <f aca="false">IF(BB37=1,MAX(0,(Slot4_Cost-JG37*(1+Slot4_Rate)^(Slot4_Age-D37))/JD37),0)</f>
        <v>0</v>
      </c>
      <c r="JI37" s="20" t="n">
        <f aca="false">IF(BB37=1,MAX(0,(Slot4_Cost-BC37*(1+Slot4_Rate)^(Slot4_Age-D37))/JD37),0)</f>
        <v>0</v>
      </c>
      <c r="JJ37" s="20" t="n">
        <f aca="false">IF(AND(HU37=1,BB37=1),MIN(JC37,JH37),0)</f>
        <v>0</v>
      </c>
      <c r="JK37" s="20" t="n">
        <f aca="false">JC37-JJ37</f>
        <v>0</v>
      </c>
      <c r="JL37" s="20" t="n">
        <f aca="false">IF(BL37=1,IF(ABS((1+AS_Wage)/(1+Slot5_Rate)-1)&lt;0.000000000001,(Slot5_Age-D37)*(1+Slot5_Rate)^(Slot5_Age-D37),(1+Slot5_Rate)^(Slot5_Age-D37)*(1-((1+AS_Wage)/(1+Slot5_Rate))^(Slot5_Age-D37))/(1-(1+AS_Wage)/(1+Slot5_Rate))),1)</f>
        <v>1</v>
      </c>
      <c r="JM37" s="20" t="n">
        <f aca="false">IF(AND(HU37=1,IE37&gt;0,Slot5_IsWG=1,BL37=1),MAX(0,(Slot5_Cost-BM37*(1+Slot5_Rate)^(Slot5_Age-D37))/JL37),0)</f>
        <v>0</v>
      </c>
      <c r="JN37" s="20" t="n">
        <f aca="false">IF(AND(HU37=1,IE37&gt;0,Slot5_IsWG=1,BL37=1),MIN(IE37,JM37),0)</f>
        <v>0</v>
      </c>
      <c r="JO37" s="20" t="n">
        <f aca="false">BM37+JN37</f>
        <v>0</v>
      </c>
      <c r="JP37" s="20" t="n">
        <f aca="false">IF(BL37=1,MAX(0,(Slot5_Cost-JO37*(1+Slot5_Rate)^(Slot5_Age-D37))/JL37),0)</f>
        <v>0</v>
      </c>
      <c r="JQ37" s="20" t="n">
        <f aca="false">IF(BL37=1,MAX(0,(Slot5_Cost-BM37*(1+Slot5_Rate)^(Slot5_Age-D37))/JL37),0)</f>
        <v>0</v>
      </c>
      <c r="JR37" s="20" t="n">
        <f aca="false">IF(AND(HU37=1,BL37=1),MIN(JK37,JP37),0)</f>
        <v>0</v>
      </c>
      <c r="JS37" s="20" t="n">
        <f aca="false">JK37-JR37</f>
        <v>0</v>
      </c>
      <c r="JT37" s="20" t="n">
        <f aca="false">IF(BV37=1,IF(ABS((1+AS_Wage)/(1+Slot6_Rate)-1)&lt;0.000000000001,(Slot6_Age-D37)*(1+Slot6_Rate)^(Slot6_Age-D37),(1+Slot6_Rate)^(Slot6_Age-D37)*(1-((1+AS_Wage)/(1+Slot6_Rate))^(Slot6_Age-D37))/(1-(1+AS_Wage)/(1+Slot6_Rate))),1)</f>
        <v>1</v>
      </c>
      <c r="JU37" s="20" t="n">
        <f aca="false">IF(AND(HU37=1,IE37&gt;0,Slot6_IsWG=1,BV37=1),MAX(0,(Slot6_Cost-BW37*(1+Slot6_Rate)^(Slot6_Age-D37))/JT37),0)</f>
        <v>0</v>
      </c>
      <c r="JV37" s="20" t="n">
        <f aca="false">IF(AND(HU37=1,IE37&gt;0,Slot6_IsWG=1,BV37=1),MIN(IE37,JU37),0)</f>
        <v>0</v>
      </c>
      <c r="JW37" s="20" t="n">
        <f aca="false">BW37+JV37</f>
        <v>0</v>
      </c>
      <c r="JX37" s="20" t="n">
        <f aca="false">IF(BV37=1,MAX(0,(Slot6_Cost-JW37*(1+Slot6_Rate)^(Slot6_Age-D37))/JT37),0)</f>
        <v>0</v>
      </c>
      <c r="JY37" s="20" t="n">
        <f aca="false">IF(BV37=1,MAX(0,(Slot6_Cost-BW37*(1+Slot6_Rate)^(Slot6_Age-D37))/JT37),0)</f>
        <v>0</v>
      </c>
      <c r="JZ37" s="20" t="n">
        <f aca="false">IF(AND(HU37=1,BV37=1),MIN(JS37,JX37),0)</f>
        <v>0</v>
      </c>
      <c r="KA37" s="20" t="n">
        <f aca="false">JS37-JZ37</f>
        <v>0</v>
      </c>
      <c r="KB37" s="20" t="n">
        <f aca="false">IF(CF37=1,IF(ABS((1+AS_Wage)/(1+Slot7_Rate)-1)&lt;0.000000000001,(Slot7_Age-D37)*(1+Slot7_Rate)^(Slot7_Age-D37),(1+Slot7_Rate)^(Slot7_Age-D37)*(1-((1+AS_Wage)/(1+Slot7_Rate))^(Slot7_Age-D37))/(1-(1+AS_Wage)/(1+Slot7_Rate))),1)</f>
        <v>1</v>
      </c>
      <c r="KC37" s="20" t="n">
        <f aca="false">IF(AND(HU37=1,IE37&gt;0,Slot7_IsWG=1,CF37=1),MAX(0,(Slot7_Cost-CG37*(1+Slot7_Rate)^(Slot7_Age-D37))/KB37),0)</f>
        <v>0</v>
      </c>
      <c r="KD37" s="20" t="n">
        <f aca="false">IF(AND(HU37=1,IE37&gt;0,Slot7_IsWG=1,CF37=1),MIN(IE37,KC37),0)</f>
        <v>0</v>
      </c>
      <c r="KE37" s="20" t="n">
        <f aca="false">CG37+KD37</f>
        <v>0</v>
      </c>
      <c r="KF37" s="20" t="n">
        <f aca="false">IF(CF37=1,MAX(0,(Slot7_Cost-KE37*(1+Slot7_Rate)^(Slot7_Age-D37))/KB37),0)</f>
        <v>0</v>
      </c>
      <c r="KG37" s="20" t="n">
        <f aca="false">IF(CF37=1,MAX(0,(Slot7_Cost-CG37*(1+Slot7_Rate)^(Slot7_Age-D37))/KB37),0)</f>
        <v>0</v>
      </c>
      <c r="KH37" s="20" t="n">
        <f aca="false">IF(AND(HU37=1,CF37=1),MIN(KA37,KF37),0)</f>
        <v>0</v>
      </c>
      <c r="KI37" s="20" t="n">
        <f aca="false">KA37-KH37</f>
        <v>0</v>
      </c>
      <c r="KJ37" s="20" t="n">
        <f aca="false">IF(CP37=1,IF(ABS((1+AS_Wage)/(1+Slot8_Rate)-1)&lt;0.000000000001,(Slot8_Age-D37)*(1+Slot8_Rate)^(Slot8_Age-D37),(1+Slot8_Rate)^(Slot8_Age-D37)*(1-((1+AS_Wage)/(1+Slot8_Rate))^(Slot8_Age-D37))/(1-(1+AS_Wage)/(1+Slot8_Rate))),1)</f>
        <v>1</v>
      </c>
      <c r="KK37" s="20" t="n">
        <f aca="false">IF(AND(HU37=1,IE37&gt;0,Slot8_IsWG=1,CP37=1),MAX(0,(Slot8_Cost-CQ37*(1+Slot8_Rate)^(Slot8_Age-D37))/KJ37),0)</f>
        <v>0</v>
      </c>
      <c r="KL37" s="20" t="n">
        <f aca="false">IF(AND(HU37=1,IE37&gt;0,Slot8_IsWG=1,CP37=1),MIN(IE37,KK37),0)</f>
        <v>0</v>
      </c>
      <c r="KM37" s="20" t="n">
        <f aca="false">CQ37+KL37</f>
        <v>0</v>
      </c>
      <c r="KN37" s="20" t="n">
        <f aca="false">IF(CP37=1,MAX(0,(Slot8_Cost-KM37*(1+Slot8_Rate)^(Slot8_Age-D37))/KJ37),0)</f>
        <v>0</v>
      </c>
      <c r="KO37" s="20" t="n">
        <f aca="false">IF(CP37=1,MAX(0,(Slot8_Cost-CQ37*(1+Slot8_Rate)^(Slot8_Age-D37))/KJ37),0)</f>
        <v>0</v>
      </c>
      <c r="KP37" s="20" t="n">
        <f aca="false">IF(AND(HU37=1,CP37=1),MIN(KI37,KN37),0)</f>
        <v>0</v>
      </c>
      <c r="KQ37" s="20" t="n">
        <f aca="false">KI37-KP37</f>
        <v>0</v>
      </c>
      <c r="KR37" s="20" t="n">
        <f aca="false">IF(CZ37=1,IF(ABS((1+AS_Wage)/(1+Slot9_Rate)-1)&lt;0.000000000001,(Slot9_Age-D37)*(1+Slot9_Rate)^(Slot9_Age-D37),(1+Slot9_Rate)^(Slot9_Age-D37)*(1-((1+AS_Wage)/(1+Slot9_Rate))^(Slot9_Age-D37))/(1-(1+AS_Wage)/(1+Slot9_Rate))),1)</f>
        <v>1</v>
      </c>
      <c r="KS37" s="20" t="n">
        <f aca="false">IF(AND(HU37=1,IE37&gt;0,Slot9_IsWG=1,CZ37=1),MAX(0,(Slot9_Cost-DA37*(1+Slot9_Rate)^(Slot9_Age-D37))/KR37),0)</f>
        <v>0</v>
      </c>
      <c r="KT37" s="20" t="n">
        <f aca="false">IF(AND(HU37=1,IE37&gt;0,Slot9_IsWG=1,CZ37=1),MIN(IE37,KS37),0)</f>
        <v>0</v>
      </c>
      <c r="KU37" s="20" t="n">
        <f aca="false">DA37+KT37</f>
        <v>0</v>
      </c>
      <c r="KV37" s="20" t="n">
        <f aca="false">IF(CZ37=1,MAX(0,(Slot9_Cost-KU37*(1+Slot9_Rate)^(Slot9_Age-D37))/KR37),0)</f>
        <v>0</v>
      </c>
      <c r="KW37" s="20" t="n">
        <f aca="false">IF(CZ37=1,MAX(0,(Slot9_Cost-DA37*(1+Slot9_Rate)^(Slot9_Age-D37))/KR37),0)</f>
        <v>0</v>
      </c>
      <c r="KX37" s="20" t="n">
        <f aca="false">IF(AND(HU37=1,CZ37=1),MIN(KQ37,KV37),0)</f>
        <v>0</v>
      </c>
      <c r="KY37" s="20" t="n">
        <f aca="false">KQ37-KX37</f>
        <v>0</v>
      </c>
      <c r="KZ37" s="20" t="n">
        <f aca="false">IF(DJ37=1,IF(ABS((1+AS_Wage)/(1+Slot10_Rate)-1)&lt;0.000000000001,(Slot10_Age-D37)*(1+Slot10_Rate)^(Slot10_Age-D37),(1+Slot10_Rate)^(Slot10_Age-D37)*(1-((1+AS_Wage)/(1+Slot10_Rate))^(Slot10_Age-D37))/(1-(1+AS_Wage)/(1+Slot10_Rate))),1)</f>
        <v>1</v>
      </c>
      <c r="LA37" s="20" t="n">
        <f aca="false">IF(AND(HU37=1,IE37&gt;0,Slot10_IsWG=1,DJ37=1),MAX(0,(Slot10_Cost-DK37*(1+Slot10_Rate)^(Slot10_Age-D37))/KZ37),0)</f>
        <v>0</v>
      </c>
      <c r="LB37" s="20" t="n">
        <f aca="false">IF(AND(HU37=1,IE37&gt;0,Slot10_IsWG=1,DJ37=1),MIN(IE37,LA37),0)</f>
        <v>0</v>
      </c>
      <c r="LC37" s="20" t="n">
        <f aca="false">DK37+LB37</f>
        <v>0</v>
      </c>
      <c r="LD37" s="20" t="n">
        <f aca="false">IF(DJ37=1,MAX(0,(Slot10_Cost-LC37*(1+Slot10_Rate)^(Slot10_Age-D37))/KZ37),0)</f>
        <v>0</v>
      </c>
      <c r="LE37" s="20" t="n">
        <f aca="false">IF(DJ37=1,MAX(0,(Slot10_Cost-DK37*(1+Slot10_Rate)^(Slot10_Age-D37))/KZ37),0)</f>
        <v>0</v>
      </c>
      <c r="LF37" s="20" t="n">
        <f aca="false">IF(AND(HU37=1,DJ37=1),MIN(KY37,LD37),0)</f>
        <v>0</v>
      </c>
      <c r="LG37" s="20" t="n">
        <f aca="false">KY37-LF37</f>
        <v>0</v>
      </c>
      <c r="LH37" s="20" t="n">
        <f aca="false">IF(DT37=1,IF(ABS((1+AS_Wage)/(1+Slot11_Rate)-1)&lt;0.000000000001,(Slot11_Age-D37)*(1+Slot11_Rate)^(Slot11_Age-D37),(1+Slot11_Rate)^(Slot11_Age-D37)*(1-((1+AS_Wage)/(1+Slot11_Rate))^(Slot11_Age-D37))/(1-(1+AS_Wage)/(1+Slot11_Rate))),1)</f>
        <v>1</v>
      </c>
      <c r="LI37" s="20" t="n">
        <f aca="false">IF(AND(HU37=1,IE37&gt;0,Slot11_IsWG=1,DT37=1),MAX(0,(Slot11_Cost-DU37*(1+Slot11_Rate)^(Slot11_Age-D37))/LH37),0)</f>
        <v>0</v>
      </c>
      <c r="LJ37" s="20" t="n">
        <f aca="false">IF(AND(HU37=1,IE37&gt;0,Slot11_IsWG=1,DT37=1),MIN(IE37,LI37),0)</f>
        <v>0</v>
      </c>
      <c r="LK37" s="20" t="n">
        <f aca="false">DU37+LJ37</f>
        <v>0</v>
      </c>
      <c r="LL37" s="20" t="n">
        <f aca="false">IF(DT37=1,MAX(0,(Slot11_Cost-LK37*(1+Slot11_Rate)^(Slot11_Age-D37))/LH37),0)</f>
        <v>0</v>
      </c>
      <c r="LM37" s="20" t="n">
        <f aca="false">IF(DT37=1,MAX(0,(Slot11_Cost-DU37*(1+Slot11_Rate)^(Slot11_Age-D37))/LH37),0)</f>
        <v>0</v>
      </c>
      <c r="LN37" s="20" t="n">
        <f aca="false">IF(AND(HU37=1,DT37=1),MIN(LG37,LL37),0)</f>
        <v>0</v>
      </c>
      <c r="LO37" s="20" t="n">
        <f aca="false">LG37-LN37</f>
        <v>0</v>
      </c>
      <c r="LP37" s="20" t="n">
        <f aca="false">IF(ED37=1,IF(ABS((1+AS_Wage)/(1+Slot12_Rate)-1)&lt;0.000000000001,(Slot12_Age-D37)*(1+Slot12_Rate)^(Slot12_Age-D37),(1+Slot12_Rate)^(Slot12_Age-D37)*(1-((1+AS_Wage)/(1+Slot12_Rate))^(Slot12_Age-D37))/(1-(1+AS_Wage)/(1+Slot12_Rate))),1)</f>
        <v>1</v>
      </c>
      <c r="LQ37" s="20" t="n">
        <f aca="false">IF(AND(HU37=1,IE37&gt;0,Slot12_IsWG=1,ED37=1),MAX(0,(Slot12_Cost-EE37*(1+Slot12_Rate)^(Slot12_Age-D37))/LP37),0)</f>
        <v>0</v>
      </c>
      <c r="LR37" s="20" t="n">
        <f aca="false">IF(AND(HU37=1,IE37&gt;0,Slot12_IsWG=1,ED37=1),MIN(IE37,LQ37),0)</f>
        <v>0</v>
      </c>
      <c r="LS37" s="20" t="n">
        <f aca="false">EE37+LR37</f>
        <v>0</v>
      </c>
      <c r="LT37" s="20" t="n">
        <f aca="false">IF(ED37=1,MAX(0,(Slot12_Cost-LS37*(1+Slot12_Rate)^(Slot12_Age-D37))/LP37),0)</f>
        <v>0</v>
      </c>
      <c r="LU37" s="20" t="n">
        <f aca="false">IF(ED37=1,MAX(0,(Slot12_Cost-EE37*(1+Slot12_Rate)^(Slot12_Age-D37))/LP37),0)</f>
        <v>0</v>
      </c>
      <c r="LV37" s="20" t="n">
        <f aca="false">IF(AND(HU37=1,ED37=1),MIN(LO37,LT37),0)</f>
        <v>0</v>
      </c>
      <c r="LW37" s="20" t="n">
        <f aca="false">LO37-LV37</f>
        <v>0</v>
      </c>
      <c r="LX37" s="20" t="n">
        <f aca="false">IF(EN37=1,IF(ABS((1+AS_Wage)/(1+Slot13_Rate)-1)&lt;0.000000000001,(Slot13_Age-D37)*(1+Slot13_Rate)^(Slot13_Age-D37),(1+Slot13_Rate)^(Slot13_Age-D37)*(1-((1+AS_Wage)/(1+Slot13_Rate))^(Slot13_Age-D37))/(1-(1+AS_Wage)/(1+Slot13_Rate))),1)</f>
        <v>1</v>
      </c>
      <c r="LY37" s="20" t="n">
        <f aca="false">IF(AND(HU37=1,IE37&gt;0,Slot13_IsWG=1,EN37=1),MAX(0,(Slot13_Cost-EO37*(1+Slot13_Rate)^(Slot13_Age-D37))/LX37),0)</f>
        <v>0</v>
      </c>
      <c r="LZ37" s="20" t="n">
        <f aca="false">IF(AND(HU37=1,IE37&gt;0,Slot13_IsWG=1,EN37=1),MIN(IE37,LY37),0)</f>
        <v>0</v>
      </c>
      <c r="MA37" s="20" t="n">
        <f aca="false">EO37+LZ37</f>
        <v>0</v>
      </c>
      <c r="MB37" s="20" t="n">
        <f aca="false">IF(EN37=1,MAX(0,(Slot13_Cost-MA37*(1+Slot13_Rate)^(Slot13_Age-D37))/LX37),0)</f>
        <v>0</v>
      </c>
      <c r="MC37" s="20" t="n">
        <f aca="false">IF(EN37=1,MAX(0,(Slot13_Cost-EO37*(1+Slot13_Rate)^(Slot13_Age-D37))/LX37),0)</f>
        <v>0</v>
      </c>
      <c r="MD37" s="20" t="n">
        <f aca="false">IF(AND(HU37=1,EN37=1),MIN(LW37,MB37),0)</f>
        <v>0</v>
      </c>
      <c r="ME37" s="20" t="n">
        <f aca="false">LW37-MD37</f>
        <v>0</v>
      </c>
      <c r="MF37" s="20" t="n">
        <f aca="false">IF(EX37=1,IF(ABS((1+AS_Wage)/(1+Slot14_Rate)-1)&lt;0.000000000001,(Slot14_Age-D37)*(1+Slot14_Rate)^(Slot14_Age-D37),(1+Slot14_Rate)^(Slot14_Age-D37)*(1-((1+AS_Wage)/(1+Slot14_Rate))^(Slot14_Age-D37))/(1-(1+AS_Wage)/(1+Slot14_Rate))),1)</f>
        <v>1</v>
      </c>
      <c r="MG37" s="20" t="n">
        <f aca="false">IF(AND(HU37=1,IE37&gt;0,Slot14_IsWG=1,EX37=1),MAX(0,(Slot14_Cost-EY37*(1+Slot14_Rate)^(Slot14_Age-D37))/MF37),0)</f>
        <v>0</v>
      </c>
      <c r="MH37" s="20" t="n">
        <f aca="false">IF(AND(HU37=1,IE37&gt;0,Slot14_IsWG=1,EX37=1),MIN(IE37,MG37),0)</f>
        <v>0</v>
      </c>
      <c r="MI37" s="20" t="n">
        <f aca="false">EY37+MH37</f>
        <v>0</v>
      </c>
      <c r="MJ37" s="20" t="n">
        <f aca="false">IF(EX37=1,MAX(0,(Slot14_Cost-MI37*(1+Slot14_Rate)^(Slot14_Age-D37))/MF37),0)</f>
        <v>0</v>
      </c>
      <c r="MK37" s="20" t="n">
        <f aca="false">IF(EX37=1,MAX(0,(Slot14_Cost-EY37*(1+Slot14_Rate)^(Slot14_Age-D37))/MF37),0)</f>
        <v>0</v>
      </c>
      <c r="ML37" s="20" t="n">
        <f aca="false">IF(AND(HU37=1,EX37=1),MIN(ME37,MJ37),0)</f>
        <v>0</v>
      </c>
      <c r="MM37" s="20" t="n">
        <f aca="false">ME37-ML37</f>
        <v>0</v>
      </c>
      <c r="MN37" s="20" t="n">
        <f aca="false">IF(FH37=1,IF(ABS((1+AS_Wage)/(1+Slot15_Rate)-1)&lt;0.000000000001,(Slot15_Age-D37)*(1+Slot15_Rate)^(Slot15_Age-D37),(1+Slot15_Rate)^(Slot15_Age-D37)*(1-((1+AS_Wage)/(1+Slot15_Rate))^(Slot15_Age-D37))/(1-(1+AS_Wage)/(1+Slot15_Rate))),1)</f>
        <v>1</v>
      </c>
      <c r="MO37" s="20" t="n">
        <f aca="false">IF(AND(HU37=1,IE37&gt;0,Slot15_IsWG=1,FH37=1),MAX(0,(Slot15_Cost-FI37*(1+Slot15_Rate)^(Slot15_Age-D37))/MN37),0)</f>
        <v>0</v>
      </c>
      <c r="MP37" s="20" t="n">
        <f aca="false">IF(AND(HU37=1,IE37&gt;0,Slot15_IsWG=1,FH37=1),MIN(IE37,MO37),0)</f>
        <v>0</v>
      </c>
      <c r="MQ37" s="20" t="n">
        <f aca="false">FI37+MP37</f>
        <v>0</v>
      </c>
      <c r="MR37" s="20" t="n">
        <f aca="false">IF(FH37=1,MAX(0,(Slot15_Cost-MQ37*(1+Slot15_Rate)^(Slot15_Age-D37))/MN37),0)</f>
        <v>0</v>
      </c>
      <c r="MS37" s="20" t="n">
        <f aca="false">IF(FH37=1,MAX(0,(Slot15_Cost-FI37*(1+Slot15_Rate)^(Slot15_Age-D37))/MN37),0)</f>
        <v>0</v>
      </c>
      <c r="MT37" s="20" t="n">
        <f aca="false">IF(AND(HU37=1,FH37=1),MIN(MM37,MR37),0)</f>
        <v>0</v>
      </c>
      <c r="MU37" s="20" t="n">
        <f aca="false">MM37-MT37</f>
        <v>0</v>
      </c>
      <c r="MV37" s="20" t="n">
        <f aca="false">IF(FR37=1,IF(ABS((1+AS_Wage)/(1+Slot16_Rate)-1)&lt;0.000000000001,(Slot16_Age-D37)*(1+Slot16_Rate)^(Slot16_Age-D37),(1+Slot16_Rate)^(Slot16_Age-D37)*(1-((1+AS_Wage)/(1+Slot16_Rate))^(Slot16_Age-D37))/(1-(1+AS_Wage)/(1+Slot16_Rate))),1)</f>
        <v>1</v>
      </c>
      <c r="MW37" s="20" t="n">
        <f aca="false">IF(AND(HU37=1,IE37&gt;0,Slot16_IsWG=1,FR37=1),MAX(0,(Slot16_Cost-FS37*(1+Slot16_Rate)^(Slot16_Age-D37))/MV37),0)</f>
        <v>0</v>
      </c>
      <c r="MX37" s="20" t="n">
        <f aca="false">IF(AND(HU37=1,IE37&gt;0,Slot16_IsWG=1,FR37=1),MIN(IE37,MW37),0)</f>
        <v>0</v>
      </c>
      <c r="MY37" s="20" t="n">
        <f aca="false">FS37+MX37</f>
        <v>0</v>
      </c>
      <c r="MZ37" s="20" t="n">
        <f aca="false">IF(FR37=1,MAX(0,(Slot16_Cost-MY37*(1+Slot16_Rate)^(Slot16_Age-D37))/MV37),0)</f>
        <v>0</v>
      </c>
      <c r="NA37" s="20" t="n">
        <f aca="false">IF(FR37=1,MAX(0,(Slot16_Cost-FS37*(1+Slot16_Rate)^(Slot16_Age-D37))/MV37),0)</f>
        <v>0</v>
      </c>
      <c r="NB37" s="20" t="n">
        <f aca="false">IF(AND(HU37=1,FR37=1),MIN(MU37,MZ37),0)</f>
        <v>0</v>
      </c>
      <c r="NC37" s="20" t="n">
        <f aca="false">MU37-NB37</f>
        <v>0</v>
      </c>
      <c r="ND37" s="20" t="n">
        <f aca="false">IF(GB37=1,IF(ABS((1+AS_Wage)/(1+Slot17_Rate)-1)&lt;0.000000000001,(Slot17_Age-D37)*(1+Slot17_Rate)^(Slot17_Age-D37),(1+Slot17_Rate)^(Slot17_Age-D37)*(1-((1+AS_Wage)/(1+Slot17_Rate))^(Slot17_Age-D37))/(1-(1+AS_Wage)/(1+Slot17_Rate))),1)</f>
        <v>1</v>
      </c>
      <c r="NE37" s="20" t="n">
        <f aca="false">IF(AND(HU37=1,IE37&gt;0,Slot17_IsWG=1,GB37=1),MAX(0,(Slot17_Cost-GC37*(1+Slot17_Rate)^(Slot17_Age-D37))/ND37),0)</f>
        <v>0</v>
      </c>
      <c r="NF37" s="20" t="n">
        <f aca="false">IF(AND(HU37=1,IE37&gt;0,Slot17_IsWG=1,GB37=1),MIN(IE37,NE37),0)</f>
        <v>0</v>
      </c>
      <c r="NG37" s="20" t="n">
        <f aca="false">GC37+NF37</f>
        <v>0</v>
      </c>
      <c r="NH37" s="20" t="n">
        <f aca="false">IF(GB37=1,MAX(0,(Slot17_Cost-NG37*(1+Slot17_Rate)^(Slot17_Age-D37))/ND37),0)</f>
        <v>0</v>
      </c>
      <c r="NI37" s="20" t="n">
        <f aca="false">IF(GB37=1,MAX(0,(Slot17_Cost-GC37*(1+Slot17_Rate)^(Slot17_Age-D37))/ND37),0)</f>
        <v>0</v>
      </c>
      <c r="NJ37" s="20" t="n">
        <f aca="false">IF(AND(HU37=1,GB37=1),MIN(NC37,NH37),0)</f>
        <v>0</v>
      </c>
      <c r="NK37" s="20" t="n">
        <f aca="false">NC37-NJ37</f>
        <v>0</v>
      </c>
      <c r="NL37" s="20" t="n">
        <f aca="false">IF(GL37=1,IF(ABS((1+AS_Wage)/(1+Slot18_Rate)-1)&lt;0.000000000001,(Slot18_Age-D37)*(1+Slot18_Rate)^(Slot18_Age-D37),(1+Slot18_Rate)^(Slot18_Age-D37)*(1-((1+AS_Wage)/(1+Slot18_Rate))^(Slot18_Age-D37))/(1-(1+AS_Wage)/(1+Slot18_Rate))),1)</f>
        <v>1</v>
      </c>
      <c r="NM37" s="20" t="n">
        <f aca="false">IF(AND(HU37=1,IE37&gt;0,Slot18_IsWG=1,GL37=1),MAX(0,(Slot18_Cost-GM37*(1+Slot18_Rate)^(Slot18_Age-D37))/NL37),0)</f>
        <v>0</v>
      </c>
      <c r="NN37" s="20" t="n">
        <f aca="false">IF(AND(HU37=1,IE37&gt;0,Slot18_IsWG=1,GL37=1),MIN(IE37,NM37),0)</f>
        <v>0</v>
      </c>
      <c r="NO37" s="20" t="n">
        <f aca="false">GM37+NN37</f>
        <v>0</v>
      </c>
      <c r="NP37" s="20" t="n">
        <f aca="false">IF(GL37=1,MAX(0,(Slot18_Cost-NO37*(1+Slot18_Rate)^(Slot18_Age-D37))/NL37),0)</f>
        <v>0</v>
      </c>
      <c r="NQ37" s="20" t="n">
        <f aca="false">IF(GL37=1,MAX(0,(Slot18_Cost-GM37*(1+Slot18_Rate)^(Slot18_Age-D37))/NL37),0)</f>
        <v>0</v>
      </c>
      <c r="NR37" s="20" t="n">
        <f aca="false">IF(AND(HU37=1,GL37=1),MIN(NK37,NP37),0)</f>
        <v>0</v>
      </c>
      <c r="NS37" s="20" t="n">
        <f aca="false">NK37-NR37</f>
        <v>0</v>
      </c>
      <c r="NT37" s="20" t="n">
        <f aca="false">IF(GV37=1,IF(ABS((1+AS_Wage)/(1+Slot19_Rate)-1)&lt;0.000000000001,(Slot19_Age-D37)*(1+Slot19_Rate)^(Slot19_Age-D37),(1+Slot19_Rate)^(Slot19_Age-D37)*(1-((1+AS_Wage)/(1+Slot19_Rate))^(Slot19_Age-D37))/(1-(1+AS_Wage)/(1+Slot19_Rate))),1)</f>
        <v>1</v>
      </c>
      <c r="NU37" s="20" t="n">
        <f aca="false">IF(AND(HU37=1,IE37&gt;0,Slot19_IsWG=1,GV37=1),MAX(0,(Slot19_Cost-GW37*(1+Slot19_Rate)^(Slot19_Age-D37))/NT37),0)</f>
        <v>0</v>
      </c>
      <c r="NV37" s="20" t="n">
        <f aca="false">IF(AND(HU37=1,IE37&gt;0,Slot19_IsWG=1,GV37=1),MIN(IE37,NU37),0)</f>
        <v>0</v>
      </c>
      <c r="NW37" s="20" t="n">
        <f aca="false">GW37+NV37</f>
        <v>0</v>
      </c>
      <c r="NX37" s="20" t="n">
        <f aca="false">IF(GV37=1,MAX(0,(Slot19_Cost-NW37*(1+Slot19_Rate)^(Slot19_Age-D37))/NT37),0)</f>
        <v>0</v>
      </c>
      <c r="NY37" s="20" t="n">
        <f aca="false">IF(GV37=1,MAX(0,(Slot19_Cost-GW37*(1+Slot19_Rate)^(Slot19_Age-D37))/NT37),0)</f>
        <v>0</v>
      </c>
      <c r="NZ37" s="20" t="n">
        <f aca="false">IF(AND(HU37=1,GV37=1),MIN(NS37,NX37),0)</f>
        <v>0</v>
      </c>
      <c r="OA37" s="20" t="n">
        <f aca="false">NS37-NZ37</f>
        <v>0</v>
      </c>
      <c r="OB37" s="20" t="n">
        <f aca="false">IF(HF37=1,IF(ABS((1+AS_Wage)/(1+Slot20_Rate)-1)&lt;0.000000000001,(Slot20_Age-D37)*(1+Slot20_Rate)^(Slot20_Age-D37),(1+Slot20_Rate)^(Slot20_Age-D37)*(1-((1+AS_Wage)/(1+Slot20_Rate))^(Slot20_Age-D37))/(1-(1+AS_Wage)/(1+Slot20_Rate))),1)</f>
        <v>1</v>
      </c>
      <c r="OC37" s="20" t="n">
        <f aca="false">IF(AND(HU37=1,IE37&gt;0,Slot20_IsWG=1,HF37=1),MAX(0,(Slot20_Cost-HG37*(1+Slot20_Rate)^(Slot20_Age-D37))/OB37),0)</f>
        <v>0</v>
      </c>
      <c r="OD37" s="20" t="n">
        <f aca="false">IF(AND(HU37=1,IE37&gt;0,Slot20_IsWG=1,HF37=1),MIN(IE37,OC37),0)</f>
        <v>0</v>
      </c>
      <c r="OE37" s="20" t="n">
        <f aca="false">HG37+OD37</f>
        <v>0</v>
      </c>
      <c r="OF37" s="20" t="n">
        <f aca="false">IF(HF37=1,MAX(0,(Slot20_Cost-OE37*(1+Slot20_Rate)^(Slot20_Age-D37))/OB37),0)</f>
        <v>0</v>
      </c>
      <c r="OG37" s="20" t="n">
        <f aca="false">IF(HF37=1,MAX(0,(Slot20_Cost-HG37*(1+Slot20_Rate)^(Slot20_Age-D37))/OB37),0)</f>
        <v>0</v>
      </c>
      <c r="OH37" s="20" t="n">
        <f aca="false">IF(AND(HU37=1,HF37=1),MIN(OA37,OF37),0)</f>
        <v>0</v>
      </c>
      <c r="OI37" s="20" t="n">
        <f aca="false">OA37-OH37</f>
        <v>0</v>
      </c>
      <c r="OJ37" s="20" t="n">
        <f aca="false">IE37-(IH37+IP37+IX37+JF37+JN37+JV37+KD37+KL37+KT37+LB37+LJ37+LR37+LZ37+MH37+MP37+MX37+NF37+NN37+NV37+OD37)</f>
        <v>0</v>
      </c>
      <c r="OK37" s="20" t="n">
        <f aca="false">IF(HU37=1,HS37-ID37-IE37,0)</f>
        <v>0</v>
      </c>
      <c r="OL37" s="20" t="n">
        <f aca="false">IF(HU37=0,-HS37,0)</f>
        <v>19379.8615082084</v>
      </c>
      <c r="OM37" s="20" t="n">
        <f aca="false">MIN(OL37,HK37)</f>
        <v>19379.8615082084</v>
      </c>
      <c r="ON37" s="20" t="n">
        <f aca="false">OL37-OM37</f>
        <v>0</v>
      </c>
      <c r="OO37" s="20" t="n">
        <f aca="false">MIN(ON37,HL37)</f>
        <v>0</v>
      </c>
      <c r="OP37" s="20" t="n">
        <f aca="false">ON37-OO37</f>
        <v>0</v>
      </c>
      <c r="OQ37" s="20" t="n">
        <f aca="false">IF(AND(HU37=0,HF37=1,OP37&gt;0),MIN(OP37,HG37),0)</f>
        <v>0</v>
      </c>
      <c r="OR37" s="20" t="n">
        <f aca="false">OP37-OQ37</f>
        <v>0</v>
      </c>
      <c r="OS37" s="20" t="n">
        <f aca="false">IF(AND(HU37=0,GV37=1,OR37&gt;0),MIN(OR37,GW37),0)</f>
        <v>0</v>
      </c>
      <c r="OT37" s="20" t="n">
        <f aca="false">OR37-OS37</f>
        <v>0</v>
      </c>
      <c r="OU37" s="20" t="n">
        <f aca="false">IF(AND(HU37=0,GL37=1,OT37&gt;0),MIN(OT37,GM37),0)</f>
        <v>0</v>
      </c>
      <c r="OV37" s="20" t="n">
        <f aca="false">OT37-OU37</f>
        <v>0</v>
      </c>
      <c r="OW37" s="20" t="n">
        <f aca="false">IF(AND(HU37=0,GB37=1,OV37&gt;0),MIN(OV37,GC37),0)</f>
        <v>0</v>
      </c>
      <c r="OX37" s="20" t="n">
        <f aca="false">OV37-OW37</f>
        <v>0</v>
      </c>
      <c r="OY37" s="20" t="n">
        <f aca="false">IF(AND(HU37=0,FR37=1,OX37&gt;0),MIN(OX37,FS37),0)</f>
        <v>0</v>
      </c>
      <c r="OZ37" s="20" t="n">
        <f aca="false">OX37-OY37</f>
        <v>0</v>
      </c>
      <c r="PA37" s="20" t="n">
        <f aca="false">IF(AND(HU37=0,FH37=1,OZ37&gt;0),MIN(OZ37,FI37),0)</f>
        <v>0</v>
      </c>
      <c r="PB37" s="20" t="n">
        <f aca="false">OZ37-PA37</f>
        <v>0</v>
      </c>
      <c r="PC37" s="20" t="n">
        <f aca="false">IF(AND(HU37=0,EX37=1,PB37&gt;0),MIN(PB37,EY37),0)</f>
        <v>0</v>
      </c>
      <c r="PD37" s="20" t="n">
        <f aca="false">PB37-PC37</f>
        <v>0</v>
      </c>
      <c r="PE37" s="20" t="n">
        <f aca="false">IF(AND(HU37=0,EN37=1,PD37&gt;0),MIN(PD37,EO37),0)</f>
        <v>0</v>
      </c>
      <c r="PF37" s="20" t="n">
        <f aca="false">PD37-PE37</f>
        <v>0</v>
      </c>
      <c r="PG37" s="20" t="n">
        <f aca="false">IF(AND(HU37=0,ED37=1,PF37&gt;0),MIN(PF37,EE37),0)</f>
        <v>0</v>
      </c>
      <c r="PH37" s="20" t="n">
        <f aca="false">PF37-PG37</f>
        <v>0</v>
      </c>
      <c r="PI37" s="20" t="n">
        <f aca="false">IF(AND(HU37=0,DT37=1,PH37&gt;0),MIN(PH37,DU37),0)</f>
        <v>0</v>
      </c>
      <c r="PJ37" s="20" t="n">
        <f aca="false">PH37-PI37</f>
        <v>0</v>
      </c>
      <c r="PK37" s="20" t="n">
        <f aca="false">IF(AND(HU37=0,DJ37=1,PJ37&gt;0),MIN(PJ37,DK37),0)</f>
        <v>0</v>
      </c>
      <c r="PL37" s="20" t="n">
        <f aca="false">PJ37-PK37</f>
        <v>0</v>
      </c>
      <c r="PM37" s="20" t="n">
        <f aca="false">IF(AND(HU37=0,CZ37=1,PL37&gt;0),MIN(PL37,DA37),0)</f>
        <v>0</v>
      </c>
      <c r="PN37" s="20" t="n">
        <f aca="false">PL37-PM37</f>
        <v>0</v>
      </c>
      <c r="PO37" s="20" t="n">
        <f aca="false">IF(AND(HU37=0,CP37=1,PN37&gt;0),MIN(PN37,CQ37),0)</f>
        <v>0</v>
      </c>
      <c r="PP37" s="20" t="n">
        <f aca="false">PN37-PO37</f>
        <v>0</v>
      </c>
      <c r="PQ37" s="20" t="n">
        <f aca="false">IF(AND(HU37=0,CF37=1,PP37&gt;0),MIN(PP37,CG37),0)</f>
        <v>0</v>
      </c>
      <c r="PR37" s="20" t="n">
        <f aca="false">PP37-PQ37</f>
        <v>0</v>
      </c>
      <c r="PS37" s="20" t="n">
        <f aca="false">IF(AND(HU37=0,BV37=1,PR37&gt;0),MIN(PR37,BW37),0)</f>
        <v>0</v>
      </c>
      <c r="PT37" s="20" t="n">
        <f aca="false">PR37-PS37</f>
        <v>0</v>
      </c>
      <c r="PU37" s="20" t="n">
        <f aca="false">IF(AND(HU37=0,BL37=1,PT37&gt;0),MIN(PT37,BM37),0)</f>
        <v>0</v>
      </c>
      <c r="PV37" s="20" t="n">
        <f aca="false">PT37-PU37</f>
        <v>0</v>
      </c>
      <c r="PW37" s="20" t="n">
        <f aca="false">IF(AND(HU37=0,BB37=1,PV37&gt;0),MIN(PV37,BC37),0)</f>
        <v>0</v>
      </c>
      <c r="PX37" s="20" t="n">
        <f aca="false">PV37-PW37</f>
        <v>0</v>
      </c>
      <c r="PY37" s="20" t="n">
        <f aca="false">IF(AND(HU37=0,AR37=1,PX37&gt;0),MIN(PX37,AS37),0)</f>
        <v>0</v>
      </c>
      <c r="PZ37" s="20" t="n">
        <f aca="false">PX37-PY37</f>
        <v>0</v>
      </c>
      <c r="QA37" s="20" t="n">
        <f aca="false">IF(AND(HU37=0,AH37=1,PZ37&gt;0),MIN(PZ37,AI37),0)</f>
        <v>0</v>
      </c>
      <c r="QB37" s="20" t="n">
        <f aca="false">PZ37-QA37</f>
        <v>0</v>
      </c>
      <c r="QC37" s="20" t="n">
        <f aca="false">IF(AND(HU37=0,W37=1,QB37&gt;0),MIN(QB37,X37),0)</f>
        <v>0</v>
      </c>
      <c r="QD37" s="20" t="n">
        <f aca="false">QB37-QC37</f>
        <v>0</v>
      </c>
      <c r="QE37" s="20" t="n">
        <f aca="false">IF(HU37=0,QD37,0)</f>
        <v>0</v>
      </c>
      <c r="QF37" s="20" t="n">
        <f aca="false">OM37+OO37+QC37+QA37+PY37+PW37+PU37+PS37+PQ37+PO37+PM37+PK37+PI37+PG37+PE37+PC37+PA37+OY37+OW37+OU37+OS37+OQ37</f>
        <v>19379.8615082084</v>
      </c>
      <c r="QG37" s="20" t="n">
        <f aca="false">IF(HU37=1,HK37+OJ37+OI37+IF(G37=1,0,OK37),HK37-OM37)</f>
        <v>179777.420572903</v>
      </c>
      <c r="QH37" s="20" t="n">
        <f aca="false">HL37-OO37</f>
        <v>20415.9077518951</v>
      </c>
      <c r="QI37" s="20" t="n">
        <f aca="false">IF(HU37=1,IF(G37=1,ID37+IE37,HS37),0)</f>
        <v>0</v>
      </c>
      <c r="QJ37" s="20" t="n">
        <f aca="false">IF(HU37=1,IF(G37=1,HS37-ID37-IE37,0),0)</f>
        <v>0</v>
      </c>
      <c r="QK37" s="20" t="n">
        <f aca="false">QG37*(1+GR)</f>
        <v>182725.770270298</v>
      </c>
      <c r="QL37" s="20" t="n">
        <f aca="false">QH37*(1+AS_Cash)</f>
        <v>20620.0668294141</v>
      </c>
      <c r="QM37" s="20" t="n">
        <f aca="false">IF(W37=1,IF(HU37=1,II37+IL37,X37-QC37)*(1+Slot1_Rate),0)</f>
        <v>0</v>
      </c>
      <c r="QN37" s="20" t="n">
        <f aca="false">IF(AND(HU37=1,W37=1),(IH37+IL37)/F37,0)</f>
        <v>0</v>
      </c>
      <c r="QO37" s="20" t="n">
        <f aca="false">IF(B37=0,IH37+IL37,0)</f>
        <v>0</v>
      </c>
      <c r="QP37" s="20" t="n">
        <f aca="false">IF(B37=0,IF(HU37=1,IJ37,IK37),0)</f>
        <v>0</v>
      </c>
      <c r="QQ37" s="20" t="n">
        <f aca="false">IF(AH37=1,IF(HU37=1,IQ37+IT37,AI37-QA37)*(1+Slot2_Rate),0)</f>
        <v>0</v>
      </c>
      <c r="QR37" s="20" t="n">
        <f aca="false">IF(AND(HU37=1,AH37=1),(IP37+IT37)/F37,0)</f>
        <v>0</v>
      </c>
      <c r="QS37" s="20" t="n">
        <f aca="false">IF(B37=0,IP37+IT37,0)</f>
        <v>0</v>
      </c>
      <c r="QT37" s="20" t="n">
        <f aca="false">IF(B37=0,IF(HU37=1,IR37,IS37),0)</f>
        <v>0</v>
      </c>
      <c r="QU37" s="20" t="n">
        <f aca="false">IF(AR37=1,IF(HU37=1,IY37+JB37,AS37-PY37)*(1+Slot3_Rate),0)</f>
        <v>0</v>
      </c>
      <c r="QV37" s="20" t="n">
        <f aca="false">IF(AND(HU37=1,AR37=1),(IX37+JB37)/F37,0)</f>
        <v>0</v>
      </c>
      <c r="QW37" s="20" t="n">
        <f aca="false">IF(B37=0,IX37+JB37,0)</f>
        <v>0</v>
      </c>
      <c r="QX37" s="20" t="n">
        <f aca="false">IF(B37=0,IF(HU37=1,IZ37,JA37),0)</f>
        <v>0</v>
      </c>
      <c r="QY37" s="20" t="n">
        <f aca="false">IF(BB37=1,IF(HU37=1,JG37+JJ37,BC37-PW37)*(1+Slot4_Rate),0)</f>
        <v>0</v>
      </c>
      <c r="QZ37" s="20" t="n">
        <f aca="false">IF(AND(HU37=1,BB37=1),(JF37+JJ37)/F37,0)</f>
        <v>0</v>
      </c>
      <c r="RA37" s="20" t="n">
        <f aca="false">IF(B37=0,JF37+JJ37,0)</f>
        <v>0</v>
      </c>
      <c r="RB37" s="20" t="n">
        <f aca="false">IF(B37=0,IF(HU37=1,JH37,JI37),0)</f>
        <v>0</v>
      </c>
      <c r="RC37" s="20" t="n">
        <f aca="false">IF(BL37=1,IF(HU37=1,JO37+JR37,BM37-PU37)*(1+Slot5_Rate),0)</f>
        <v>0</v>
      </c>
      <c r="RD37" s="20" t="n">
        <f aca="false">IF(AND(HU37=1,BL37=1),(JN37+JR37)/F37,0)</f>
        <v>0</v>
      </c>
      <c r="RE37" s="20" t="n">
        <f aca="false">IF(B37=0,JN37+JR37,0)</f>
        <v>0</v>
      </c>
      <c r="RF37" s="20" t="n">
        <f aca="false">IF(B37=0,IF(HU37=1,JP37,JQ37),0)</f>
        <v>0</v>
      </c>
      <c r="RG37" s="20" t="n">
        <f aca="false">IF(BV37=1,IF(HU37=1,JW37+JZ37,BW37-PS37)*(1+Slot6_Rate),0)</f>
        <v>0</v>
      </c>
      <c r="RH37" s="20" t="n">
        <f aca="false">IF(AND(HU37=1,BV37=1),(JV37+JZ37)/F37,0)</f>
        <v>0</v>
      </c>
      <c r="RI37" s="20" t="n">
        <f aca="false">IF(B37=0,JV37+JZ37,0)</f>
        <v>0</v>
      </c>
      <c r="RJ37" s="20" t="n">
        <f aca="false">IF(B37=0,IF(HU37=1,JX37,JY37),0)</f>
        <v>0</v>
      </c>
      <c r="RK37" s="20" t="n">
        <f aca="false">IF(CF37=1,IF(HU37=1,KE37+KH37,CG37-PQ37)*(1+Slot7_Rate),0)</f>
        <v>0</v>
      </c>
      <c r="RL37" s="20" t="n">
        <f aca="false">IF(AND(HU37=1,CF37=1),(KD37+KH37)/F37,0)</f>
        <v>0</v>
      </c>
      <c r="RM37" s="20" t="n">
        <f aca="false">IF(B37=0,KD37+KH37,0)</f>
        <v>0</v>
      </c>
      <c r="RN37" s="20" t="n">
        <f aca="false">IF(B37=0,IF(HU37=1,KF37,KG37),0)</f>
        <v>0</v>
      </c>
      <c r="RO37" s="20" t="n">
        <f aca="false">IF(CP37=1,IF(HU37=1,KM37+KP37,CQ37-PO37)*(1+Slot8_Rate),0)</f>
        <v>0</v>
      </c>
      <c r="RP37" s="20" t="n">
        <f aca="false">IF(AND(HU37=1,CP37=1),(KL37+KP37)/F37,0)</f>
        <v>0</v>
      </c>
      <c r="RQ37" s="20" t="n">
        <f aca="false">IF(B37=0,KL37+KP37,0)</f>
        <v>0</v>
      </c>
      <c r="RR37" s="20" t="n">
        <f aca="false">IF(B37=0,IF(HU37=1,KN37,KO37),0)</f>
        <v>0</v>
      </c>
      <c r="RS37" s="20" t="n">
        <f aca="false">IF(CZ37=1,IF(HU37=1,KU37+KX37,DA37-PM37)*(1+Slot9_Rate),0)</f>
        <v>0</v>
      </c>
      <c r="RT37" s="20" t="n">
        <f aca="false">IF(AND(HU37=1,CZ37=1),(KT37+KX37)/F37,0)</f>
        <v>0</v>
      </c>
      <c r="RU37" s="20" t="n">
        <f aca="false">IF(B37=0,KT37+KX37,0)</f>
        <v>0</v>
      </c>
      <c r="RV37" s="20" t="n">
        <f aca="false">IF(B37=0,IF(HU37=1,KV37,KW37),0)</f>
        <v>0</v>
      </c>
      <c r="RW37" s="20" t="n">
        <f aca="false">IF(DJ37=1,IF(HU37=1,LC37+LF37,DK37-PK37)*(1+Slot10_Rate),0)</f>
        <v>0</v>
      </c>
      <c r="RX37" s="20" t="n">
        <f aca="false">IF(AND(HU37=1,DJ37=1),(LB37+LF37)/F37,0)</f>
        <v>0</v>
      </c>
      <c r="RY37" s="20" t="n">
        <f aca="false">IF(B37=0,LB37+LF37,0)</f>
        <v>0</v>
      </c>
      <c r="RZ37" s="20" t="n">
        <f aca="false">IF(B37=0,IF(HU37=1,LD37,LE37),0)</f>
        <v>0</v>
      </c>
      <c r="SA37" s="20" t="n">
        <f aca="false">IF(DT37=1,IF(HU37=1,LK37+LN37,DU37-PI37)*(1+Slot11_Rate),0)</f>
        <v>0</v>
      </c>
      <c r="SB37" s="20" t="n">
        <f aca="false">IF(AND(HU37=1,DT37=1),(LJ37+LN37)/F37,0)</f>
        <v>0</v>
      </c>
      <c r="SC37" s="20" t="n">
        <f aca="false">IF(B37=0,LJ37+LN37,0)</f>
        <v>0</v>
      </c>
      <c r="SD37" s="20" t="n">
        <f aca="false">IF(B37=0,IF(HU37=1,LL37,LM37),0)</f>
        <v>0</v>
      </c>
      <c r="SE37" s="20" t="n">
        <f aca="false">IF(ED37=1,IF(HU37=1,LS37+LV37,EE37-PG37)*(1+Slot12_Rate),0)</f>
        <v>0</v>
      </c>
      <c r="SF37" s="20" t="n">
        <f aca="false">IF(AND(HU37=1,ED37=1),(LR37+LV37)/F37,0)</f>
        <v>0</v>
      </c>
      <c r="SG37" s="20" t="n">
        <f aca="false">IF(B37=0,LR37+LV37,0)</f>
        <v>0</v>
      </c>
      <c r="SH37" s="20" t="n">
        <f aca="false">IF(B37=0,IF(HU37=1,LT37,LU37),0)</f>
        <v>0</v>
      </c>
      <c r="SI37" s="20" t="n">
        <f aca="false">IF(EN37=1,IF(HU37=1,MA37+MD37,EO37-PE37)*(1+Slot13_Rate),0)</f>
        <v>0</v>
      </c>
      <c r="SJ37" s="20" t="n">
        <f aca="false">IF(AND(HU37=1,EN37=1),(LZ37+MD37)/F37,0)</f>
        <v>0</v>
      </c>
      <c r="SK37" s="20" t="n">
        <f aca="false">IF(B37=0,LZ37+MD37,0)</f>
        <v>0</v>
      </c>
      <c r="SL37" s="20" t="n">
        <f aca="false">IF(B37=0,IF(HU37=1,MB37,MC37),0)</f>
        <v>0</v>
      </c>
      <c r="SM37" s="20" t="n">
        <f aca="false">IF(EX37=1,IF(HU37=1,MI37+ML37,EY37-PC37)*(1+Slot14_Rate),0)</f>
        <v>0</v>
      </c>
      <c r="SN37" s="20" t="n">
        <f aca="false">IF(AND(HU37=1,EX37=1),(MH37+ML37)/F37,0)</f>
        <v>0</v>
      </c>
      <c r="SO37" s="20" t="n">
        <f aca="false">IF(B37=0,MH37+ML37,0)</f>
        <v>0</v>
      </c>
      <c r="SP37" s="20" t="n">
        <f aca="false">IF(B37=0,IF(HU37=1,MJ37,MK37),0)</f>
        <v>0</v>
      </c>
      <c r="SQ37" s="20" t="n">
        <f aca="false">IF(FH37=1,IF(HU37=1,MQ37+MT37,FI37-PA37)*(1+Slot15_Rate),0)</f>
        <v>0</v>
      </c>
      <c r="SR37" s="20" t="n">
        <f aca="false">IF(AND(HU37=1,FH37=1),(MP37+MT37)/F37,0)</f>
        <v>0</v>
      </c>
      <c r="SS37" s="20" t="n">
        <f aca="false">IF(B37=0,MP37+MT37,0)</f>
        <v>0</v>
      </c>
      <c r="ST37" s="20" t="n">
        <f aca="false">IF(B37=0,IF(HU37=1,MR37,MS37),0)</f>
        <v>0</v>
      </c>
      <c r="SU37" s="20" t="n">
        <f aca="false">IF(FR37=1,IF(HU37=1,MY37+NB37,FS37-OY37)*(1+Slot16_Rate),0)</f>
        <v>0</v>
      </c>
      <c r="SV37" s="20" t="n">
        <f aca="false">IF(AND(HU37=1,FR37=1),(MX37+NB37)/F37,0)</f>
        <v>0</v>
      </c>
      <c r="SW37" s="20" t="n">
        <f aca="false">IF(B37=0,MX37+NB37,0)</f>
        <v>0</v>
      </c>
      <c r="SX37" s="20" t="n">
        <f aca="false">IF(B37=0,IF(HU37=1,MZ37,NA37),0)</f>
        <v>0</v>
      </c>
      <c r="SY37" s="20" t="n">
        <f aca="false">IF(GB37=1,IF(HU37=1,NG37+NJ37,GC37-OW37)*(1+Slot17_Rate),0)</f>
        <v>0</v>
      </c>
      <c r="SZ37" s="20" t="n">
        <f aca="false">IF(AND(HU37=1,GB37=1),(NF37+NJ37)/F37,0)</f>
        <v>0</v>
      </c>
      <c r="TA37" s="20" t="n">
        <f aca="false">IF(B37=0,NF37+NJ37,0)</f>
        <v>0</v>
      </c>
      <c r="TB37" s="20" t="n">
        <f aca="false">IF(B37=0,IF(HU37=1,NH37,NI37),0)</f>
        <v>0</v>
      </c>
      <c r="TC37" s="20" t="n">
        <f aca="false">IF(GL37=1,IF(HU37=1,NO37+NR37,GM37-OU37)*(1+Slot18_Rate),0)</f>
        <v>0</v>
      </c>
      <c r="TD37" s="20" t="n">
        <f aca="false">IF(AND(HU37=1,GL37=1),(NN37+NR37)/F37,0)</f>
        <v>0</v>
      </c>
      <c r="TE37" s="20" t="n">
        <f aca="false">IF(B37=0,NN37+NR37,0)</f>
        <v>0</v>
      </c>
      <c r="TF37" s="20" t="n">
        <f aca="false">IF(B37=0,IF(HU37=1,NP37,NQ37),0)</f>
        <v>0</v>
      </c>
      <c r="TG37" s="20" t="n">
        <f aca="false">IF(GV37=1,IF(HU37=1,NW37+NZ37,GW37-OS37)*(1+Slot19_Rate),0)</f>
        <v>0</v>
      </c>
      <c r="TH37" s="20" t="n">
        <f aca="false">IF(AND(HU37=1,GV37=1),(NV37+NZ37)/F37,0)</f>
        <v>0</v>
      </c>
      <c r="TI37" s="20" t="n">
        <f aca="false">IF(B37=0,NV37+NZ37,0)</f>
        <v>0</v>
      </c>
      <c r="TJ37" s="20" t="n">
        <f aca="false">IF(B37=0,IF(HU37=1,NX37,NY37),0)</f>
        <v>0</v>
      </c>
      <c r="TK37" s="20" t="n">
        <f aca="false">IF(HF37=1,IF(HU37=1,OE37+OH37,HG37-OQ37)*(1+Slot20_Rate),0)</f>
        <v>0</v>
      </c>
      <c r="TL37" s="20" t="n">
        <f aca="false">IF(AND(HU37=1,HF37=1),(OD37+OH37)/F37,0)</f>
        <v>0</v>
      </c>
      <c r="TM37" s="20" t="n">
        <f aca="false">IF(B37=0,OD37+OH37,0)</f>
        <v>0</v>
      </c>
      <c r="TN37" s="20" t="n">
        <f aca="false">IF(B37=0,IF(HU37=1,OF37,OG37),0)</f>
        <v>0</v>
      </c>
      <c r="TO37" s="20" t="n">
        <f aca="false">QK37+QL37+QM37+QQ37+QU37+QY37+RC37+RG37+RK37+RO37+RS37+RW37+SA37+SE37+SI37+SM37+SQ37+SU37+SY37+TC37+TG37+TK37</f>
        <v>203345.837099712</v>
      </c>
      <c r="TP37" s="20" t="n">
        <f aca="false">QE37+HP37</f>
        <v>0</v>
      </c>
      <c r="TQ37" s="20" t="n">
        <f aca="false">I37+S37</f>
        <v>84885.376196216</v>
      </c>
      <c r="TR37" s="20" t="n">
        <f aca="false">1-G37</f>
        <v>1</v>
      </c>
      <c r="TS37" s="20" t="n">
        <f aca="false">IF(AND(RG_Exists=1,G37=0,C37=1),I37,0)</f>
        <v>84885.376196216</v>
      </c>
      <c r="TT37" s="20" t="n">
        <f aca="false">IF(AND(RG_Exists=1,G37=0,C37=1),I37-MIN(QE37,I37),0)</f>
        <v>84885.376196216</v>
      </c>
      <c r="TU37" s="20" t="n">
        <f aca="false">'Plan pay &amp; tax'!AD263</f>
        <v>425351.270018035</v>
      </c>
      <c r="TV37" s="20" t="n">
        <f aca="false">IF(AND(C37=1,QE37&gt;MAX(PR_Short1,TQ37*PR_Short2)),1,0)</f>
        <v>0</v>
      </c>
      <c r="TW37" s="20" t="n">
        <f aca="false">MIN(H37,I37+S37)</f>
        <v>65505.5146880077</v>
      </c>
      <c r="TX37" s="20" t="n">
        <f aca="false">QF37+MAX(0,HQ37-HP37)</f>
        <v>19379.8615082084</v>
      </c>
      <c r="TY37" s="20" t="n">
        <f aca="false">QE37+HP37</f>
        <v>0</v>
      </c>
      <c r="TZ37" s="20" t="n">
        <f aca="false">IF(AND(C37=1,TY37&gt;PR_MinShort),1,0)</f>
        <v>0</v>
      </c>
      <c r="UA37" s="20" t="n">
        <f aca="false">IF(AND(C37=1,TZ37=0,TX37&gt;PR_MinShort),1,0)</f>
        <v>1</v>
      </c>
      <c r="UB37" s="20" t="n">
        <f aca="false">IF(AND(C37=1,QE37&gt;PR_MinShort),1,0)</f>
        <v>0</v>
      </c>
      <c r="UC37" s="20" t="n">
        <f aca="false">IF(AND(C37=1,QF37&gt;1,UJ37=0),1,0)</f>
        <v>1</v>
      </c>
      <c r="UD37" s="20" t="str">
        <f aca="false">IF(C37=0,"",IF(UJ37=1,"Gap to plan for: short "&amp;"€"&amp;TEXT(ROUND(TP37,0),"#,##0"),IF(QF37&gt;1,"Using savings","Comfortable")))</f>
        <v>Using savings</v>
      </c>
      <c r="UE37" s="20" t="n">
        <f aca="false">IF(AND(INT(D37/10)*10=90,B37&gt;0),80,INT(D37/10)*10)</f>
        <v>60</v>
      </c>
      <c r="UF37" s="20" t="n">
        <f aca="false">IF(B37=0,1,IF(UE37&lt;&gt;UE36,UF36+1,UF36))</f>
        <v>4</v>
      </c>
      <c r="UG37" s="20" t="n">
        <f aca="false">IF(AND(C37=1,G37=1,QE37&gt;MAX(PR_Short1,TQ37*PR_Short2)),1,0)</f>
        <v>0</v>
      </c>
      <c r="UH37" s="20" t="n">
        <f aca="false">TR37*TV37</f>
        <v>0</v>
      </c>
      <c r="UI37" s="20" t="n">
        <f aca="false">IF(AND(V37=1,Slot1_PctLow=1),1,0)+IF(AND(AG37=1,Slot2_PctLow=1),1,0)+IF(AND(AQ37=1,Slot3_PctLow=1),1,0)+IF(AND(BA37=1,Slot4_PctLow=1),1,0)+IF(AND(BK37=1,Slot5_PctLow=1),1,0)+IF(AND(BU37=1,Slot6_PctLow=1),1,0)+IF(AND(CE37=1,Slot7_PctLow=1),1,0)+IF(AND(CO37=1,Slot8_PctLow=1),1,0)+IF(AND(CY37=1,Slot9_PctLow=1),1,0)+IF(AND(DI37=1,Slot10_PctLow=1),1,0)+IF(AND(DS37=1,Slot11_PctLow=1),1,0)+IF(AND(EC37=1,Slot12_PctLow=1),1,0)+IF(AND(EM37=1,Slot13_PctLow=1),1,0)+IF(AND(EW37=1,Slot14_PctLow=1),1,0)+IF(AND(FG37=1,Slot15_PctLow=1),1,0)+IF(AND(FQ37=1,Slot16_PctLow=1),1,0)+IF(AND(GA37=1,Slot17_PctLow=1),1,0)+IF(AND(GK37=1,Slot18_PctLow=1),1,0)+IF(AND(GU37=1,Slot19_PctLow=1),1,0)+IF(AND(HE37=1,Slot20_PctLow=1),1,0)</f>
        <v>0</v>
      </c>
      <c r="UJ37" s="20" t="n">
        <f aca="false">IF(C37=1,IF(OR(TV37=1,UI37&gt;0),1,0),0)</f>
        <v>0</v>
      </c>
    </row>
    <row r="38" customFormat="false" ht="15" hidden="false" customHeight="true" outlineLevel="0" collapsed="false">
      <c r="B38" s="20" t="n">
        <v>30</v>
      </c>
      <c r="C38" s="20" t="n">
        <f aca="false">IF(B38&lt;=F_N,1,0)</f>
        <v>1</v>
      </c>
      <c r="D38" s="20" t="n">
        <f aca="false">'Plan pay &amp; tax'!C264</f>
        <v>68</v>
      </c>
      <c r="E38" s="20" t="str">
        <f aca="false">IF($C38=1,"Income tax "&amp;TEXT(N('Plan pay &amp; tax'!BK264),"#,##0")&amp;"; USC "&amp;TEXT(N('Plan pay &amp; tax'!BM264)+N('Plan pay &amp; tax'!BO264),"#,##0")&amp;"; PRSI "&amp;TEXT(N('Plan pay &amp; tax'!BP264)+N('Plan pay &amp; tax'!BQ264),"#,##0")&amp;". DIRT and exit tax are inside the growth rates here.","")</f>
        <v>Income tax 746; USC 0; PRSI 0. DIRT and exit tax are inside the growth rates here.</v>
      </c>
      <c r="F38" s="44" t="n">
        <f aca="false">'Plan pay &amp; tax'!E264</f>
        <v>1.81136158410335</v>
      </c>
      <c r="G38" s="20" t="n">
        <f aca="false">'Plan pay &amp; tax'!G264</f>
        <v>0</v>
      </c>
      <c r="H38" s="20" t="n">
        <f aca="false">'Plan pay &amp; tax'!BT264-'Plan pay &amp; tax'!BS264-'Plan pay &amp; tax'!R264</f>
        <v>66406.5620056574</v>
      </c>
      <c r="I38" s="20" t="n">
        <f aca="false">IF(G38=1,F_CostsM*12,IF(RG_Exists=1,RG_Amount,F_CostsM*12*AS_RetireSpend))*F38+F_OneOffY*F38</f>
        <v>86583.0837201404</v>
      </c>
      <c r="J38" s="20" t="n">
        <f aca="false">HR37</f>
        <v>0</v>
      </c>
      <c r="K38" s="20" t="n">
        <f aca="false">IF(J38&gt;1,'Plan debt months'!AC38,0)</f>
        <v>0</v>
      </c>
      <c r="L38" s="20" t="n">
        <f aca="false">IF(J38&gt;1,'Plan debt months'!AB38,J38)</f>
        <v>0</v>
      </c>
      <c r="M38" s="20" t="n">
        <f aca="false">O37</f>
        <v>0</v>
      </c>
      <c r="N38" s="20" t="n">
        <f aca="false">IF(M38&gt;1,'Plan debt months'!BD38,0)</f>
        <v>0</v>
      </c>
      <c r="O38" s="20" t="n">
        <f aca="false">IF(M38&gt;1,'Plan debt months'!BC38,M38)</f>
        <v>0</v>
      </c>
      <c r="P38" s="20" t="n">
        <f aca="false">R37</f>
        <v>0</v>
      </c>
      <c r="Q38" s="20" t="n">
        <f aca="false">IF(P38&gt;1,'Plan debt months'!CE38,0)</f>
        <v>0</v>
      </c>
      <c r="R38" s="20" t="n">
        <f aca="false">IF(P38&gt;1,'Plan debt months'!CD38,P38)</f>
        <v>0</v>
      </c>
      <c r="S38" s="20" t="n">
        <f aca="false">K38+N38+Q38</f>
        <v>0</v>
      </c>
      <c r="T38" s="20" t="n">
        <f aca="false">QK37+'Plan pay &amp; tax'!Y264</f>
        <v>182725.770270298</v>
      </c>
      <c r="U38" s="20" t="n">
        <f aca="false">QK37</f>
        <v>182725.770270298</v>
      </c>
      <c r="V38" s="20" t="n">
        <f aca="false">IF(AND(Slot1_On=1,D38=Slot1_Age),1,0)</f>
        <v>0</v>
      </c>
      <c r="W38" s="20" t="n">
        <f aca="false">IF(AND(Slot1_On=1,Slot1_Age&gt;D38),1,0)</f>
        <v>0</v>
      </c>
      <c r="X38" s="20" t="n">
        <f aca="false">QM37</f>
        <v>0</v>
      </c>
      <c r="Y38" s="20" t="n">
        <f aca="false">V38*MIN(Slot1_Cost,X38)</f>
        <v>0</v>
      </c>
      <c r="Z38" s="20" t="n">
        <f aca="false">V38*Slot1_SpendLike*MIN(Slot1_Cost-Y38,T38)</f>
        <v>0</v>
      </c>
      <c r="AA38" s="20" t="n">
        <f aca="false">Y38+Z38</f>
        <v>0</v>
      </c>
      <c r="AB38" s="20" t="n">
        <f aca="false">T38-Z38+V38*IF(Slot1_SpendLike=1,X38-Y38,IF(Slot1_PotFree=1,X38,0))</f>
        <v>182725.770270298</v>
      </c>
      <c r="AC38" s="20" t="n">
        <f aca="false">AF38+V38*Slot1_BufPot*X38</f>
        <v>20620.0668294141</v>
      </c>
      <c r="AD38" s="20" t="n">
        <f aca="false">IF(AND(V38=1,Slot1_IsMfree=1),IF(AA38&gt;=Slot1_Cost-1,0,MAX(0,L38-AA38)),L38)</f>
        <v>0</v>
      </c>
      <c r="AE38" s="20" t="n">
        <f aca="false">V38*(Slot1_Cost-AA38)</f>
        <v>0</v>
      </c>
      <c r="AF38" s="20" t="n">
        <f aca="false">QL37</f>
        <v>20620.0668294141</v>
      </c>
      <c r="AG38" s="20" t="n">
        <f aca="false">IF(AND(Slot2_On=1,D38=Slot2_Age),1,0)</f>
        <v>0</v>
      </c>
      <c r="AH38" s="20" t="n">
        <f aca="false">IF(AND(Slot2_On=1,Slot2_Age&gt;D38),1,0)</f>
        <v>0</v>
      </c>
      <c r="AI38" s="20" t="n">
        <f aca="false">QQ37</f>
        <v>0</v>
      </c>
      <c r="AJ38" s="20" t="n">
        <f aca="false">AG38*MIN(Slot2_Cost,AI38)</f>
        <v>0</v>
      </c>
      <c r="AK38" s="20" t="n">
        <f aca="false">AG38*Slot2_SpendLike*MIN(Slot2_Cost-AJ38,AB38)</f>
        <v>0</v>
      </c>
      <c r="AL38" s="20" t="n">
        <f aca="false">AJ38+AK38</f>
        <v>0</v>
      </c>
      <c r="AM38" s="20" t="n">
        <f aca="false">AB38-AK38+AG38*IF(Slot2_SpendLike=1,AI38-AJ38,IF(Slot2_PotFree=1,AI38,0))</f>
        <v>182725.770270298</v>
      </c>
      <c r="AN38" s="20" t="n">
        <f aca="false">AC38+AG38*Slot2_BufPot*AI38</f>
        <v>20620.0668294141</v>
      </c>
      <c r="AO38" s="20" t="n">
        <f aca="false">IF(AND(AG38=1,Slot2_IsMfree=1),IF(AL38&gt;=Slot2_Cost-1,0,MAX(0,AD38-AL38)),AD38)</f>
        <v>0</v>
      </c>
      <c r="AP38" s="20" t="n">
        <f aca="false">AG38*(Slot2_Cost-AL38)</f>
        <v>0</v>
      </c>
      <c r="AQ38" s="20" t="n">
        <f aca="false">IF(AND(Slot3_On=1,D38=Slot3_Age),1,0)</f>
        <v>0</v>
      </c>
      <c r="AR38" s="20" t="n">
        <f aca="false">IF(AND(Slot3_On=1,Slot3_Age&gt;D38),1,0)</f>
        <v>0</v>
      </c>
      <c r="AS38" s="20" t="n">
        <f aca="false">QU37</f>
        <v>0</v>
      </c>
      <c r="AT38" s="20" t="n">
        <f aca="false">AQ38*MIN(Slot3_Cost,AS38)</f>
        <v>0</v>
      </c>
      <c r="AU38" s="20" t="n">
        <f aca="false">AQ38*Slot3_SpendLike*MIN(Slot3_Cost-AT38,AM38)</f>
        <v>0</v>
      </c>
      <c r="AV38" s="20" t="n">
        <f aca="false">AT38+AU38</f>
        <v>0</v>
      </c>
      <c r="AW38" s="20" t="n">
        <f aca="false">AM38-AU38+AQ38*IF(Slot3_SpendLike=1,AS38-AT38,IF(Slot3_PotFree=1,AS38,0))</f>
        <v>182725.770270298</v>
      </c>
      <c r="AX38" s="20" t="n">
        <f aca="false">AN38+AQ38*Slot3_BufPot*AS38</f>
        <v>20620.0668294141</v>
      </c>
      <c r="AY38" s="20" t="n">
        <f aca="false">IF(AND(AQ38=1,Slot3_IsMfree=1),IF(AV38&gt;=Slot3_Cost-1,0,MAX(0,AO38-AV38)),AO38)</f>
        <v>0</v>
      </c>
      <c r="AZ38" s="20" t="n">
        <f aca="false">AQ38*(Slot3_Cost-AV38)</f>
        <v>0</v>
      </c>
      <c r="BA38" s="20" t="n">
        <f aca="false">IF(AND(Slot4_On=1,D38=Slot4_Age),1,0)</f>
        <v>0</v>
      </c>
      <c r="BB38" s="20" t="n">
        <f aca="false">IF(AND(Slot4_On=1,Slot4_Age&gt;D38),1,0)</f>
        <v>0</v>
      </c>
      <c r="BC38" s="20" t="n">
        <f aca="false">QY37</f>
        <v>0</v>
      </c>
      <c r="BD38" s="20" t="n">
        <f aca="false">BA38*MIN(Slot4_Cost,BC38)</f>
        <v>0</v>
      </c>
      <c r="BE38" s="20" t="n">
        <f aca="false">BA38*Slot4_SpendLike*MIN(Slot4_Cost-BD38,AW38)</f>
        <v>0</v>
      </c>
      <c r="BF38" s="20" t="n">
        <f aca="false">BD38+BE38</f>
        <v>0</v>
      </c>
      <c r="BG38" s="20" t="n">
        <f aca="false">AW38-BE38+BA38*IF(Slot4_SpendLike=1,BC38-BD38,IF(Slot4_PotFree=1,BC38,0))</f>
        <v>182725.770270298</v>
      </c>
      <c r="BH38" s="20" t="n">
        <f aca="false">AX38+BA38*Slot4_BufPot*BC38</f>
        <v>20620.0668294141</v>
      </c>
      <c r="BI38" s="20" t="n">
        <f aca="false">IF(AND(BA38=1,Slot4_IsMfree=1),IF(BF38&gt;=Slot4_Cost-1,0,MAX(0,AY38-BF38)),AY38)</f>
        <v>0</v>
      </c>
      <c r="BJ38" s="20" t="n">
        <f aca="false">BA38*(Slot4_Cost-BF38)</f>
        <v>0</v>
      </c>
      <c r="BK38" s="20" t="n">
        <f aca="false">IF(AND(Slot5_On=1,D38=Slot5_Age),1,0)</f>
        <v>0</v>
      </c>
      <c r="BL38" s="20" t="n">
        <f aca="false">IF(AND(Slot5_On=1,Slot5_Age&gt;D38),1,0)</f>
        <v>0</v>
      </c>
      <c r="BM38" s="20" t="n">
        <f aca="false">RC37</f>
        <v>0</v>
      </c>
      <c r="BN38" s="20" t="n">
        <f aca="false">BK38*MIN(Slot5_Cost,BM38)</f>
        <v>0</v>
      </c>
      <c r="BO38" s="20" t="n">
        <f aca="false">BK38*Slot5_SpendLike*MIN(Slot5_Cost-BN38,BG38)</f>
        <v>0</v>
      </c>
      <c r="BP38" s="20" t="n">
        <f aca="false">BN38+BO38</f>
        <v>0</v>
      </c>
      <c r="BQ38" s="20" t="n">
        <f aca="false">BG38-BO38+BK38*IF(Slot5_SpendLike=1,BM38-BN38,IF(Slot5_PotFree=1,BM38,0))</f>
        <v>182725.770270298</v>
      </c>
      <c r="BR38" s="20" t="n">
        <f aca="false">BH38+BK38*Slot5_BufPot*BM38</f>
        <v>20620.0668294141</v>
      </c>
      <c r="BS38" s="20" t="n">
        <f aca="false">IF(AND(BK38=1,Slot5_IsMfree=1),IF(BP38&gt;=Slot5_Cost-1,0,MAX(0,BI38-BP38)),BI38)</f>
        <v>0</v>
      </c>
      <c r="BT38" s="20" t="n">
        <f aca="false">BK38*(Slot5_Cost-BP38)</f>
        <v>0</v>
      </c>
      <c r="BU38" s="20" t="n">
        <f aca="false">IF(AND(Slot6_On=1,D38=Slot6_Age),1,0)</f>
        <v>0</v>
      </c>
      <c r="BV38" s="20" t="n">
        <f aca="false">IF(AND(Slot6_On=1,Slot6_Age&gt;D38),1,0)</f>
        <v>0</v>
      </c>
      <c r="BW38" s="20" t="n">
        <f aca="false">RG37</f>
        <v>0</v>
      </c>
      <c r="BX38" s="20" t="n">
        <f aca="false">BU38*MIN(Slot6_Cost,BW38)</f>
        <v>0</v>
      </c>
      <c r="BY38" s="20" t="n">
        <f aca="false">BU38*Slot6_SpendLike*MIN(Slot6_Cost-BX38,BQ38)</f>
        <v>0</v>
      </c>
      <c r="BZ38" s="20" t="n">
        <f aca="false">BX38+BY38</f>
        <v>0</v>
      </c>
      <c r="CA38" s="20" t="n">
        <f aca="false">BQ38-BY38+BU38*IF(Slot6_SpendLike=1,BW38-BX38,IF(Slot6_PotFree=1,BW38,0))</f>
        <v>182725.770270298</v>
      </c>
      <c r="CB38" s="20" t="n">
        <f aca="false">BR38+BU38*Slot6_BufPot*BW38</f>
        <v>20620.0668294141</v>
      </c>
      <c r="CC38" s="20" t="n">
        <f aca="false">IF(AND(BU38=1,Slot6_IsMfree=1),IF(BZ38&gt;=Slot6_Cost-1,0,MAX(0,BS38-BZ38)),BS38)</f>
        <v>0</v>
      </c>
      <c r="CD38" s="20" t="n">
        <f aca="false">BU38*(Slot6_Cost-BZ38)</f>
        <v>0</v>
      </c>
      <c r="CE38" s="20" t="n">
        <f aca="false">IF(AND(Slot7_On=1,D38=Slot7_Age),1,0)</f>
        <v>0</v>
      </c>
      <c r="CF38" s="20" t="n">
        <f aca="false">IF(AND(Slot7_On=1,Slot7_Age&gt;D38),1,0)</f>
        <v>0</v>
      </c>
      <c r="CG38" s="20" t="n">
        <f aca="false">RK37</f>
        <v>0</v>
      </c>
      <c r="CH38" s="20" t="n">
        <f aca="false">CE38*MIN(Slot7_Cost,CG38)</f>
        <v>0</v>
      </c>
      <c r="CI38" s="20" t="n">
        <f aca="false">CE38*Slot7_SpendLike*MIN(Slot7_Cost-CH38,CA38)</f>
        <v>0</v>
      </c>
      <c r="CJ38" s="20" t="n">
        <f aca="false">CH38+CI38</f>
        <v>0</v>
      </c>
      <c r="CK38" s="20" t="n">
        <f aca="false">CA38-CI38+CE38*IF(Slot7_SpendLike=1,CG38-CH38,IF(Slot7_PotFree=1,CG38,0))</f>
        <v>182725.770270298</v>
      </c>
      <c r="CL38" s="20" t="n">
        <f aca="false">CB38+CE38*Slot7_BufPot*CG38</f>
        <v>20620.0668294141</v>
      </c>
      <c r="CM38" s="20" t="n">
        <f aca="false">IF(AND(CE38=1,Slot7_IsMfree=1),IF(CJ38&gt;=Slot7_Cost-1,0,MAX(0,CC38-CJ38)),CC38)</f>
        <v>0</v>
      </c>
      <c r="CN38" s="20" t="n">
        <f aca="false">CE38*(Slot7_Cost-CJ38)</f>
        <v>0</v>
      </c>
      <c r="CO38" s="20" t="n">
        <f aca="false">IF(AND(Slot8_On=1,D38=Slot8_Age),1,0)</f>
        <v>0</v>
      </c>
      <c r="CP38" s="20" t="n">
        <f aca="false">IF(AND(Slot8_On=1,Slot8_Age&gt;D38),1,0)</f>
        <v>0</v>
      </c>
      <c r="CQ38" s="20" t="n">
        <f aca="false">RO37</f>
        <v>0</v>
      </c>
      <c r="CR38" s="20" t="n">
        <f aca="false">CO38*MIN(Slot8_Cost,CQ38)</f>
        <v>0</v>
      </c>
      <c r="CS38" s="20" t="n">
        <f aca="false">CO38*Slot8_SpendLike*MIN(Slot8_Cost-CR38,CK38)</f>
        <v>0</v>
      </c>
      <c r="CT38" s="20" t="n">
        <f aca="false">CR38+CS38</f>
        <v>0</v>
      </c>
      <c r="CU38" s="20" t="n">
        <f aca="false">CK38-CS38+CO38*IF(Slot8_SpendLike=1,CQ38-CR38,IF(Slot8_PotFree=1,CQ38,0))</f>
        <v>182725.770270298</v>
      </c>
      <c r="CV38" s="20" t="n">
        <f aca="false">CL38+CO38*Slot8_BufPot*CQ38</f>
        <v>20620.0668294141</v>
      </c>
      <c r="CW38" s="20" t="n">
        <f aca="false">IF(AND(CO38=1,Slot8_IsMfree=1),IF(CT38&gt;=Slot8_Cost-1,0,MAX(0,CM38-CT38)),CM38)</f>
        <v>0</v>
      </c>
      <c r="CX38" s="20" t="n">
        <f aca="false">CO38*(Slot8_Cost-CT38)</f>
        <v>0</v>
      </c>
      <c r="CY38" s="20" t="n">
        <f aca="false">IF(AND(Slot9_On=1,D38=Slot9_Age),1,0)</f>
        <v>0</v>
      </c>
      <c r="CZ38" s="20" t="n">
        <f aca="false">IF(AND(Slot9_On=1,Slot9_Age&gt;D38),1,0)</f>
        <v>0</v>
      </c>
      <c r="DA38" s="20" t="n">
        <f aca="false">RS37</f>
        <v>0</v>
      </c>
      <c r="DB38" s="20" t="n">
        <f aca="false">CY38*MIN(Slot9_Cost,DA38)</f>
        <v>0</v>
      </c>
      <c r="DC38" s="20" t="n">
        <f aca="false">CY38*Slot9_SpendLike*MIN(Slot9_Cost-DB38,CU38)</f>
        <v>0</v>
      </c>
      <c r="DD38" s="20" t="n">
        <f aca="false">DB38+DC38</f>
        <v>0</v>
      </c>
      <c r="DE38" s="20" t="n">
        <f aca="false">CU38-DC38+CY38*IF(Slot9_SpendLike=1,DA38-DB38,IF(Slot9_PotFree=1,DA38,0))</f>
        <v>182725.770270298</v>
      </c>
      <c r="DF38" s="20" t="n">
        <f aca="false">CV38+CY38*Slot9_BufPot*DA38</f>
        <v>20620.0668294141</v>
      </c>
      <c r="DG38" s="20" t="n">
        <f aca="false">IF(AND(CY38=1,Slot9_IsMfree=1),IF(DD38&gt;=Slot9_Cost-1,0,MAX(0,CW38-DD38)),CW38)</f>
        <v>0</v>
      </c>
      <c r="DH38" s="20" t="n">
        <f aca="false">CY38*(Slot9_Cost-DD38)</f>
        <v>0</v>
      </c>
      <c r="DI38" s="20" t="n">
        <f aca="false">IF(AND(Slot10_On=1,D38=Slot10_Age),1,0)</f>
        <v>0</v>
      </c>
      <c r="DJ38" s="20" t="n">
        <f aca="false">IF(AND(Slot10_On=1,Slot10_Age&gt;D38),1,0)</f>
        <v>0</v>
      </c>
      <c r="DK38" s="20" t="n">
        <f aca="false">RW37</f>
        <v>0</v>
      </c>
      <c r="DL38" s="20" t="n">
        <f aca="false">DI38*MIN(Slot10_Cost,DK38)</f>
        <v>0</v>
      </c>
      <c r="DM38" s="20" t="n">
        <f aca="false">DI38*Slot10_SpendLike*MIN(Slot10_Cost-DL38,DE38)</f>
        <v>0</v>
      </c>
      <c r="DN38" s="20" t="n">
        <f aca="false">DL38+DM38</f>
        <v>0</v>
      </c>
      <c r="DO38" s="20" t="n">
        <f aca="false">DE38-DM38+DI38*IF(Slot10_SpendLike=1,DK38-DL38,IF(Slot10_PotFree=1,DK38,0))</f>
        <v>182725.770270298</v>
      </c>
      <c r="DP38" s="20" t="n">
        <f aca="false">DF38+DI38*Slot10_BufPot*DK38</f>
        <v>20620.0668294141</v>
      </c>
      <c r="DQ38" s="20" t="n">
        <f aca="false">IF(AND(DI38=1,Slot10_IsMfree=1),IF(DN38&gt;=Slot10_Cost-1,0,MAX(0,DG38-DN38)),DG38)</f>
        <v>0</v>
      </c>
      <c r="DR38" s="20" t="n">
        <f aca="false">DI38*(Slot10_Cost-DN38)</f>
        <v>0</v>
      </c>
      <c r="DS38" s="20" t="n">
        <f aca="false">IF(AND(Slot11_On=1,D38=Slot11_Age),1,0)</f>
        <v>0</v>
      </c>
      <c r="DT38" s="20" t="n">
        <f aca="false">IF(AND(Slot11_On=1,Slot11_Age&gt;D38),1,0)</f>
        <v>0</v>
      </c>
      <c r="DU38" s="20" t="n">
        <f aca="false">SA37</f>
        <v>0</v>
      </c>
      <c r="DV38" s="20" t="n">
        <f aca="false">DS38*MIN(Slot11_Cost,DU38)</f>
        <v>0</v>
      </c>
      <c r="DW38" s="20" t="n">
        <f aca="false">DS38*Slot11_SpendLike*MIN(Slot11_Cost-DV38,DO38)</f>
        <v>0</v>
      </c>
      <c r="DX38" s="20" t="n">
        <f aca="false">DV38+DW38</f>
        <v>0</v>
      </c>
      <c r="DY38" s="20" t="n">
        <f aca="false">DO38-DW38+DS38*IF(Slot11_SpendLike=1,DU38-DV38,IF(Slot11_PotFree=1,DU38,0))</f>
        <v>182725.770270298</v>
      </c>
      <c r="DZ38" s="20" t="n">
        <f aca="false">DP38+DS38*Slot11_BufPot*DU38</f>
        <v>20620.0668294141</v>
      </c>
      <c r="EA38" s="20" t="n">
        <f aca="false">IF(AND(DS38=1,Slot11_IsMfree=1),IF(DX38&gt;=Slot11_Cost-1,0,MAX(0,DQ38-DX38)),DQ38)</f>
        <v>0</v>
      </c>
      <c r="EB38" s="20" t="n">
        <f aca="false">DS38*(Slot11_Cost-DX38)</f>
        <v>0</v>
      </c>
      <c r="EC38" s="20" t="n">
        <f aca="false">IF(AND(Slot12_On=1,D38=Slot12_Age),1,0)</f>
        <v>0</v>
      </c>
      <c r="ED38" s="20" t="n">
        <f aca="false">IF(AND(Slot12_On=1,Slot12_Age&gt;D38),1,0)</f>
        <v>0</v>
      </c>
      <c r="EE38" s="20" t="n">
        <f aca="false">SE37</f>
        <v>0</v>
      </c>
      <c r="EF38" s="20" t="n">
        <f aca="false">EC38*MIN(Slot12_Cost,EE38)</f>
        <v>0</v>
      </c>
      <c r="EG38" s="20" t="n">
        <f aca="false">EC38*Slot12_SpendLike*MIN(Slot12_Cost-EF38,DY38)</f>
        <v>0</v>
      </c>
      <c r="EH38" s="20" t="n">
        <f aca="false">EF38+EG38</f>
        <v>0</v>
      </c>
      <c r="EI38" s="20" t="n">
        <f aca="false">DY38-EG38+EC38*IF(Slot12_SpendLike=1,EE38-EF38,IF(Slot12_PotFree=1,EE38,0))</f>
        <v>182725.770270298</v>
      </c>
      <c r="EJ38" s="20" t="n">
        <f aca="false">DZ38+EC38*Slot12_BufPot*EE38</f>
        <v>20620.0668294141</v>
      </c>
      <c r="EK38" s="20" t="n">
        <f aca="false">IF(AND(EC38=1,Slot12_IsMfree=1),IF(EH38&gt;=Slot12_Cost-1,0,MAX(0,EA38-EH38)),EA38)</f>
        <v>0</v>
      </c>
      <c r="EL38" s="20" t="n">
        <f aca="false">EC38*(Slot12_Cost-EH38)</f>
        <v>0</v>
      </c>
      <c r="EM38" s="20" t="n">
        <f aca="false">IF(AND(Slot13_On=1,D38=Slot13_Age),1,0)</f>
        <v>0</v>
      </c>
      <c r="EN38" s="20" t="n">
        <f aca="false">IF(AND(Slot13_On=1,Slot13_Age&gt;D38),1,0)</f>
        <v>0</v>
      </c>
      <c r="EO38" s="20" t="n">
        <f aca="false">SI37</f>
        <v>0</v>
      </c>
      <c r="EP38" s="20" t="n">
        <f aca="false">EM38*MIN(Slot13_Cost,EO38)</f>
        <v>0</v>
      </c>
      <c r="EQ38" s="20" t="n">
        <f aca="false">EM38*Slot13_SpendLike*MIN(Slot13_Cost-EP38,EI38)</f>
        <v>0</v>
      </c>
      <c r="ER38" s="20" t="n">
        <f aca="false">EP38+EQ38</f>
        <v>0</v>
      </c>
      <c r="ES38" s="20" t="n">
        <f aca="false">EI38-EQ38+EM38*IF(Slot13_SpendLike=1,EO38-EP38,IF(Slot13_PotFree=1,EO38,0))</f>
        <v>182725.770270298</v>
      </c>
      <c r="ET38" s="20" t="n">
        <f aca="false">EJ38+EM38*Slot13_BufPot*EO38</f>
        <v>20620.0668294141</v>
      </c>
      <c r="EU38" s="20" t="n">
        <f aca="false">IF(AND(EM38=1,Slot13_IsMfree=1),IF(ER38&gt;=Slot13_Cost-1,0,MAX(0,EK38-ER38)),EK38)</f>
        <v>0</v>
      </c>
      <c r="EV38" s="20" t="n">
        <f aca="false">EM38*(Slot13_Cost-ER38)</f>
        <v>0</v>
      </c>
      <c r="EW38" s="20" t="n">
        <f aca="false">IF(AND(Slot14_On=1,D38=Slot14_Age),1,0)</f>
        <v>0</v>
      </c>
      <c r="EX38" s="20" t="n">
        <f aca="false">IF(AND(Slot14_On=1,Slot14_Age&gt;D38),1,0)</f>
        <v>0</v>
      </c>
      <c r="EY38" s="20" t="n">
        <f aca="false">SM37</f>
        <v>0</v>
      </c>
      <c r="EZ38" s="20" t="n">
        <f aca="false">EW38*MIN(Slot14_Cost,EY38)</f>
        <v>0</v>
      </c>
      <c r="FA38" s="20" t="n">
        <f aca="false">EW38*Slot14_SpendLike*MIN(Slot14_Cost-EZ38,ES38)</f>
        <v>0</v>
      </c>
      <c r="FB38" s="20" t="n">
        <f aca="false">EZ38+FA38</f>
        <v>0</v>
      </c>
      <c r="FC38" s="20" t="n">
        <f aca="false">ES38-FA38+EW38*IF(Slot14_SpendLike=1,EY38-EZ38,IF(Slot14_PotFree=1,EY38,0))</f>
        <v>182725.770270298</v>
      </c>
      <c r="FD38" s="20" t="n">
        <f aca="false">ET38+EW38*Slot14_BufPot*EY38</f>
        <v>20620.0668294141</v>
      </c>
      <c r="FE38" s="20" t="n">
        <f aca="false">IF(AND(EW38=1,Slot14_IsMfree=1),IF(FB38&gt;=Slot14_Cost-1,0,MAX(0,EU38-FB38)),EU38)</f>
        <v>0</v>
      </c>
      <c r="FF38" s="20" t="n">
        <f aca="false">EW38*(Slot14_Cost-FB38)</f>
        <v>0</v>
      </c>
      <c r="FG38" s="20" t="n">
        <f aca="false">IF(AND(Slot15_On=1,D38=Slot15_Age),1,0)</f>
        <v>0</v>
      </c>
      <c r="FH38" s="20" t="n">
        <f aca="false">IF(AND(Slot15_On=1,Slot15_Age&gt;D38),1,0)</f>
        <v>0</v>
      </c>
      <c r="FI38" s="20" t="n">
        <f aca="false">SQ37</f>
        <v>0</v>
      </c>
      <c r="FJ38" s="20" t="n">
        <f aca="false">FG38*MIN(Slot15_Cost,FI38)</f>
        <v>0</v>
      </c>
      <c r="FK38" s="20" t="n">
        <f aca="false">FG38*Slot15_SpendLike*MIN(Slot15_Cost-FJ38,FC38)</f>
        <v>0</v>
      </c>
      <c r="FL38" s="20" t="n">
        <f aca="false">FJ38+FK38</f>
        <v>0</v>
      </c>
      <c r="FM38" s="20" t="n">
        <f aca="false">FC38-FK38+FG38*IF(Slot15_SpendLike=1,FI38-FJ38,IF(Slot15_PotFree=1,FI38,0))</f>
        <v>182725.770270298</v>
      </c>
      <c r="FN38" s="20" t="n">
        <f aca="false">FD38+FG38*Slot15_BufPot*FI38</f>
        <v>20620.0668294141</v>
      </c>
      <c r="FO38" s="20" t="n">
        <f aca="false">IF(AND(FG38=1,Slot15_IsMfree=1),IF(FL38&gt;=Slot15_Cost-1,0,MAX(0,FE38-FL38)),FE38)</f>
        <v>0</v>
      </c>
      <c r="FP38" s="20" t="n">
        <f aca="false">FG38*(Slot15_Cost-FL38)</f>
        <v>0</v>
      </c>
      <c r="FQ38" s="20" t="n">
        <f aca="false">IF(AND(Slot16_On=1,D38=Slot16_Age),1,0)</f>
        <v>0</v>
      </c>
      <c r="FR38" s="20" t="n">
        <f aca="false">IF(AND(Slot16_On=1,Slot16_Age&gt;D38),1,0)</f>
        <v>0</v>
      </c>
      <c r="FS38" s="20" t="n">
        <f aca="false">SU37</f>
        <v>0</v>
      </c>
      <c r="FT38" s="20" t="n">
        <f aca="false">FQ38*MIN(Slot16_Cost,FS38)</f>
        <v>0</v>
      </c>
      <c r="FU38" s="20" t="n">
        <f aca="false">FQ38*Slot16_SpendLike*MIN(Slot16_Cost-FT38,FM38)</f>
        <v>0</v>
      </c>
      <c r="FV38" s="20" t="n">
        <f aca="false">FT38+FU38</f>
        <v>0</v>
      </c>
      <c r="FW38" s="20" t="n">
        <f aca="false">FM38-FU38+FQ38*IF(Slot16_SpendLike=1,FS38-FT38,IF(Slot16_PotFree=1,FS38,0))</f>
        <v>182725.770270298</v>
      </c>
      <c r="FX38" s="20" t="n">
        <f aca="false">FN38+FQ38*Slot16_BufPot*FS38</f>
        <v>20620.0668294141</v>
      </c>
      <c r="FY38" s="20" t="n">
        <f aca="false">IF(AND(FQ38=1,Slot16_IsMfree=1),IF(FV38&gt;=Slot16_Cost-1,0,MAX(0,FO38-FV38)),FO38)</f>
        <v>0</v>
      </c>
      <c r="FZ38" s="20" t="n">
        <f aca="false">FQ38*(Slot16_Cost-FV38)</f>
        <v>0</v>
      </c>
      <c r="GA38" s="20" t="n">
        <f aca="false">IF(AND(Slot17_On=1,D38=Slot17_Age),1,0)</f>
        <v>0</v>
      </c>
      <c r="GB38" s="20" t="n">
        <f aca="false">IF(AND(Slot17_On=1,Slot17_Age&gt;D38),1,0)</f>
        <v>0</v>
      </c>
      <c r="GC38" s="20" t="n">
        <f aca="false">SY37</f>
        <v>0</v>
      </c>
      <c r="GD38" s="20" t="n">
        <f aca="false">GA38*MIN(Slot17_Cost,GC38)</f>
        <v>0</v>
      </c>
      <c r="GE38" s="20" t="n">
        <f aca="false">GA38*Slot17_SpendLike*MIN(Slot17_Cost-GD38,FW38)</f>
        <v>0</v>
      </c>
      <c r="GF38" s="20" t="n">
        <f aca="false">GD38+GE38</f>
        <v>0</v>
      </c>
      <c r="GG38" s="20" t="n">
        <f aca="false">FW38-GE38+GA38*IF(Slot17_SpendLike=1,GC38-GD38,IF(Slot17_PotFree=1,GC38,0))</f>
        <v>182725.770270298</v>
      </c>
      <c r="GH38" s="20" t="n">
        <f aca="false">FX38+GA38*Slot17_BufPot*GC38</f>
        <v>20620.0668294141</v>
      </c>
      <c r="GI38" s="20" t="n">
        <f aca="false">IF(AND(GA38=1,Slot17_IsMfree=1),IF(GF38&gt;=Slot17_Cost-1,0,MAX(0,FY38-GF38)),FY38)</f>
        <v>0</v>
      </c>
      <c r="GJ38" s="20" t="n">
        <f aca="false">GA38*(Slot17_Cost-GF38)</f>
        <v>0</v>
      </c>
      <c r="GK38" s="20" t="n">
        <f aca="false">IF(AND(Slot18_On=1,D38=Slot18_Age),1,0)</f>
        <v>0</v>
      </c>
      <c r="GL38" s="20" t="n">
        <f aca="false">IF(AND(Slot18_On=1,Slot18_Age&gt;D38),1,0)</f>
        <v>0</v>
      </c>
      <c r="GM38" s="20" t="n">
        <f aca="false">TC37</f>
        <v>0</v>
      </c>
      <c r="GN38" s="20" t="n">
        <f aca="false">GK38*MIN(Slot18_Cost,GM38)</f>
        <v>0</v>
      </c>
      <c r="GO38" s="20" t="n">
        <f aca="false">GK38*Slot18_SpendLike*MIN(Slot18_Cost-GN38,GG38)</f>
        <v>0</v>
      </c>
      <c r="GP38" s="20" t="n">
        <f aca="false">GN38+GO38</f>
        <v>0</v>
      </c>
      <c r="GQ38" s="20" t="n">
        <f aca="false">GG38-GO38+GK38*IF(Slot18_SpendLike=1,GM38-GN38,IF(Slot18_PotFree=1,GM38,0))</f>
        <v>182725.770270298</v>
      </c>
      <c r="GR38" s="20" t="n">
        <f aca="false">GH38+GK38*Slot18_BufPot*GM38</f>
        <v>20620.0668294141</v>
      </c>
      <c r="GS38" s="20" t="n">
        <f aca="false">IF(AND(GK38=1,Slot18_IsMfree=1),IF(GP38&gt;=Slot18_Cost-1,0,MAX(0,GI38-GP38)),GI38)</f>
        <v>0</v>
      </c>
      <c r="GT38" s="20" t="n">
        <f aca="false">GK38*(Slot18_Cost-GP38)</f>
        <v>0</v>
      </c>
      <c r="GU38" s="20" t="n">
        <f aca="false">IF(AND(Slot19_On=1,D38=Slot19_Age),1,0)</f>
        <v>0</v>
      </c>
      <c r="GV38" s="20" t="n">
        <f aca="false">IF(AND(Slot19_On=1,Slot19_Age&gt;D38),1,0)</f>
        <v>0</v>
      </c>
      <c r="GW38" s="20" t="n">
        <f aca="false">TG37</f>
        <v>0</v>
      </c>
      <c r="GX38" s="20" t="n">
        <f aca="false">GU38*MIN(Slot19_Cost,GW38)</f>
        <v>0</v>
      </c>
      <c r="GY38" s="20" t="n">
        <f aca="false">GU38*Slot19_SpendLike*MIN(Slot19_Cost-GX38,GQ38)</f>
        <v>0</v>
      </c>
      <c r="GZ38" s="20" t="n">
        <f aca="false">GX38+GY38</f>
        <v>0</v>
      </c>
      <c r="HA38" s="20" t="n">
        <f aca="false">GQ38-GY38+GU38*IF(Slot19_SpendLike=1,GW38-GX38,IF(Slot19_PotFree=1,GW38,0))</f>
        <v>182725.770270298</v>
      </c>
      <c r="HB38" s="20" t="n">
        <f aca="false">GR38+GU38*Slot19_BufPot*GW38</f>
        <v>20620.0668294141</v>
      </c>
      <c r="HC38" s="20" t="n">
        <f aca="false">IF(AND(GU38=1,Slot19_IsMfree=1),IF(GZ38&gt;=Slot19_Cost-1,0,MAX(0,GS38-GZ38)),GS38)</f>
        <v>0</v>
      </c>
      <c r="HD38" s="20" t="n">
        <f aca="false">GU38*(Slot19_Cost-GZ38)</f>
        <v>0</v>
      </c>
      <c r="HE38" s="20" t="n">
        <f aca="false">IF(AND(Slot20_On=1,D38=Slot20_Age),1,0)</f>
        <v>0</v>
      </c>
      <c r="HF38" s="20" t="n">
        <f aca="false">IF(AND(Slot20_On=1,Slot20_Age&gt;D38),1,0)</f>
        <v>0</v>
      </c>
      <c r="HG38" s="20" t="n">
        <f aca="false">TK37</f>
        <v>0</v>
      </c>
      <c r="HH38" s="20" t="n">
        <f aca="false">HE38*MIN(Slot20_Cost,HG38)</f>
        <v>0</v>
      </c>
      <c r="HI38" s="20" t="n">
        <f aca="false">HE38*Slot20_SpendLike*MIN(Slot20_Cost-HH38,HA38)</f>
        <v>0</v>
      </c>
      <c r="HJ38" s="20" t="n">
        <f aca="false">HH38+HI38</f>
        <v>0</v>
      </c>
      <c r="HK38" s="20" t="n">
        <f aca="false">HA38-HI38+HE38*IF(Slot20_SpendLike=1,HG38-HH38,IF(Slot20_PotFree=1,HG38,0))</f>
        <v>182725.770270298</v>
      </c>
      <c r="HL38" s="20" t="n">
        <f aca="false">HB38+HE38*Slot20_BufPot*HG38</f>
        <v>20620.0668294141</v>
      </c>
      <c r="HM38" s="20" t="n">
        <f aca="false">IF(AND(HE38=1,Slot20_IsMfree=1),IF(HJ38&gt;=Slot20_Cost-1,0,MAX(0,HC38-HJ38)),HC38)</f>
        <v>0</v>
      </c>
      <c r="HN38" s="20" t="n">
        <f aca="false">HE38*(Slot20_Cost-HJ38)</f>
        <v>0</v>
      </c>
      <c r="HO38" s="20" t="n">
        <f aca="false">V38*Slot1_SpendLike*AA38+AG38*Slot2_SpendLike*AL38+AQ38*Slot3_SpendLike*AV38+BA38*Slot4_SpendLike*BF38+BK38*Slot5_SpendLike*BP38+BU38*Slot6_SpendLike*BZ38+CE38*Slot7_SpendLike*CJ38+CO38*Slot8_SpendLike*CT38+CY38*Slot9_SpendLike*DD38+DI38*Slot10_SpendLike*DN38+DS38*Slot11_SpendLike*DX38+EC38*Slot12_SpendLike*EH38+EM38*Slot13_SpendLike*ER38+EW38*Slot14_SpendLike*FB38+FG38*Slot15_SpendLike*FL38+FQ38*Slot16_SpendLike*FV38+GA38*Slot17_SpendLike*GF38+GK38*Slot18_SpendLike*GP38+GU38*Slot19_SpendLike*GZ38+HE38*Slot20_SpendLike*HJ38</f>
        <v>0</v>
      </c>
      <c r="HP38" s="20" t="n">
        <f aca="false">AE38+AP38+AZ38+BJ38+BT38+CD38+CN38+CX38+DH38+DR38+EB38+EL38+EV38+FF38+FP38+FZ38+GJ38+GT38+HD38+HN38</f>
        <v>0</v>
      </c>
      <c r="HQ38" s="20" t="n">
        <f aca="false">V38*Slot1_Cost+AG38*Slot2_Cost+AQ38*Slot3_Cost+BA38*Slot4_Cost+BK38*Slot5_Cost+BU38*Slot6_Cost+CE38*Slot7_Cost+CO38*Slot8_Cost+CY38*Slot9_Cost+DI38*Slot10_Cost+DS38*Slot11_Cost+EC38*Slot12_Cost+EM38*Slot13_Cost+EW38*Slot14_Cost+FG38*Slot15_Cost+FQ38*Slot16_Cost+GA38*Slot17_Cost+GK38*Slot18_Cost+GU38*Slot19_Cost+HE38*Slot20_Cost</f>
        <v>0</v>
      </c>
      <c r="HR38" s="20" t="n">
        <f aca="false">HM38</f>
        <v>0</v>
      </c>
      <c r="HS38" s="20" t="n">
        <f aca="false">H38-I38-S38</f>
        <v>-20176.5217144829</v>
      </c>
      <c r="HT38" s="20" t="n">
        <f aca="false">IF(B38=0,IF(AND(Has_q6=1,In_q6=4),PR_ShareVaries*(MAX(0,HS38)/12),MIN(IF(Has_q6=1,CHOOSE(In_q6+1,PR_SaveB1,PR_SaveB2,PR_SaveB3,PR_SaveB4,0),AS_NoAnswer),AS_SaveShare*(MAX(0,HS38)/12))),HT37)</f>
        <v>62.3316893520437</v>
      </c>
      <c r="HU38" s="20" t="n">
        <f aca="false">IF(HS38&gt;=0,1,0)</f>
        <v>0</v>
      </c>
      <c r="HV38" s="20" t="n">
        <f aca="false">MAX(0,HS38/12/F38)</f>
        <v>0</v>
      </c>
      <c r="HW38" s="20" t="n">
        <f aca="false">IF(AND(Has_q6=1,In_q6=4),PR_ShareVaries*(HV38),MIN(IF(Has_q6=1,CHOOSE(In_q6+1,PR_SaveB1,PR_SaveB2,PR_SaveB3,PR_SaveB4,0),AS_NoAnswer),AS_SaveShare*(HV38)))</f>
        <v>0</v>
      </c>
      <c r="HX38" s="20" t="n">
        <f aca="false">IF(Has_saveM=1,IF(In_saveUp="Yes",1,IF(In_saveUp="No",0,IF(In_saveM&gt;=HT38-0.5,1,0))),0)</f>
        <v>0</v>
      </c>
      <c r="HY38" s="20" t="n">
        <f aca="false">IF(Has_saveM=1,MIN(HV38,IF(HX38=1,MAX(In_saveM,HW38),MIN(In_saveM,HW38))),HW38)</f>
        <v>0</v>
      </c>
      <c r="HZ38" s="20" t="n">
        <f aca="false">IF(G38=1,HY38*12*F38,0)</f>
        <v>0</v>
      </c>
      <c r="IA38" s="20" t="n">
        <f aca="false">MAX(0,HZ38+IF(AND(WI_Retire=0,WI_M&lt;0,G38=1),WI_M*12*F38,0))</f>
        <v>0</v>
      </c>
      <c r="IB38" s="20" t="n">
        <f aca="false">Slot1_IsWG*W38+Slot2_IsWG*AH38+Slot3_IsWG*AR38+Slot4_IsWG*BB38+Slot5_IsWG*BL38+Slot6_IsWG*BV38+Slot7_IsWG*CF38+Slot8_IsWG*CP38+Slot9_IsWG*CZ38+Slot10_IsWG*DJ38+Slot11_IsWG*DT38+Slot12_IsWG*ED38+Slot13_IsWG*EN38+Slot14_IsWG*EX38+Slot15_IsWG*FH38+Slot16_IsWG*FR38+Slot17_IsWG*GB38+Slot18_IsWG*GL38+Slot19_IsWG*GV38+Slot20_IsWG*HF38</f>
        <v>0</v>
      </c>
      <c r="IC38" s="20" t="n">
        <f aca="false">IF(AND(WI_Retire=0,WI_M&gt;0,G38=1,IB38&gt;=1),WI_M*12*F38,0)</f>
        <v>0</v>
      </c>
      <c r="ID38" s="20" t="n">
        <f aca="false">IF(HU38=1,MIN(IA38,HS38),0)</f>
        <v>0</v>
      </c>
      <c r="IE38" s="20" t="n">
        <f aca="false">IF(HU38=1,MIN(IC38,HS38-ID38),0)</f>
        <v>0</v>
      </c>
      <c r="IF38" s="20" t="n">
        <f aca="false">IF(W38=1,IF(ABS((1+AS_Wage)/(1+Slot1_Rate)-1)&lt;0.000000000001,(Slot1_Age-D38)*(1+Slot1_Rate)^(Slot1_Age-D38),(1+Slot1_Rate)^(Slot1_Age-D38)*(1-((1+AS_Wage)/(1+Slot1_Rate))^(Slot1_Age-D38))/(1-(1+AS_Wage)/(1+Slot1_Rate))),1)</f>
        <v>1</v>
      </c>
      <c r="IG38" s="20" t="n">
        <f aca="false">IF(AND(HU38=1,IE38&gt;0,Slot1_IsWG=1,W38=1),MAX(0,(Slot1_Cost-X38*(1+Slot1_Rate)^(Slot1_Age-D38))/IF38),0)</f>
        <v>0</v>
      </c>
      <c r="IH38" s="20" t="n">
        <f aca="false">IF(AND(HU38=1,IE38&gt;0,Slot1_IsWG=1,W38=1),MIN(IE38,IG38),0)</f>
        <v>0</v>
      </c>
      <c r="II38" s="20" t="n">
        <f aca="false">X38+IH38</f>
        <v>0</v>
      </c>
      <c r="IJ38" s="20" t="n">
        <f aca="false">IF(W38=1,MAX(0,(Slot1_Cost-II38*(1+Slot1_Rate)^(Slot1_Age-D38))/IF38),0)</f>
        <v>0</v>
      </c>
      <c r="IK38" s="20" t="n">
        <f aca="false">IF(W38=1,MAX(0,(Slot1_Cost-X38*(1+Slot1_Rate)^(Slot1_Age-D38))/IF38),0)</f>
        <v>0</v>
      </c>
      <c r="IL38" s="20" t="n">
        <f aca="false">IF(AND(HU38=1,W38=1),MIN(ID38,IJ38),0)</f>
        <v>0</v>
      </c>
      <c r="IM38" s="20" t="n">
        <f aca="false">ID38-IL38</f>
        <v>0</v>
      </c>
      <c r="IN38" s="20" t="n">
        <f aca="false">IF(AH38=1,IF(ABS((1+AS_Wage)/(1+Slot2_Rate)-1)&lt;0.000000000001,(Slot2_Age-D38)*(1+Slot2_Rate)^(Slot2_Age-D38),(1+Slot2_Rate)^(Slot2_Age-D38)*(1-((1+AS_Wage)/(1+Slot2_Rate))^(Slot2_Age-D38))/(1-(1+AS_Wage)/(1+Slot2_Rate))),1)</f>
        <v>1</v>
      </c>
      <c r="IO38" s="20" t="n">
        <f aca="false">IF(AND(HU38=1,IE38&gt;0,Slot2_IsWG=1,AH38=1),MAX(0,(Slot2_Cost-AI38*(1+Slot2_Rate)^(Slot2_Age-D38))/IN38),0)</f>
        <v>0</v>
      </c>
      <c r="IP38" s="20" t="n">
        <f aca="false">IF(AND(HU38=1,IE38&gt;0,Slot2_IsWG=1,AH38=1),MIN(IE38,IO38),0)</f>
        <v>0</v>
      </c>
      <c r="IQ38" s="20" t="n">
        <f aca="false">AI38+IP38</f>
        <v>0</v>
      </c>
      <c r="IR38" s="20" t="n">
        <f aca="false">IF(AH38=1,MAX(0,(Slot2_Cost-IQ38*(1+Slot2_Rate)^(Slot2_Age-D38))/IN38),0)</f>
        <v>0</v>
      </c>
      <c r="IS38" s="20" t="n">
        <f aca="false">IF(AH38=1,MAX(0,(Slot2_Cost-AI38*(1+Slot2_Rate)^(Slot2_Age-D38))/IN38),0)</f>
        <v>0</v>
      </c>
      <c r="IT38" s="20" t="n">
        <f aca="false">IF(AND(HU38=1,AH38=1),MIN(IM38,IR38),0)</f>
        <v>0</v>
      </c>
      <c r="IU38" s="20" t="n">
        <f aca="false">IM38-IT38</f>
        <v>0</v>
      </c>
      <c r="IV38" s="20" t="n">
        <f aca="false">IF(AR38=1,IF(ABS((1+AS_Wage)/(1+Slot3_Rate)-1)&lt;0.000000000001,(Slot3_Age-D38)*(1+Slot3_Rate)^(Slot3_Age-D38),(1+Slot3_Rate)^(Slot3_Age-D38)*(1-((1+AS_Wage)/(1+Slot3_Rate))^(Slot3_Age-D38))/(1-(1+AS_Wage)/(1+Slot3_Rate))),1)</f>
        <v>1</v>
      </c>
      <c r="IW38" s="20" t="n">
        <f aca="false">IF(AND(HU38=1,IE38&gt;0,Slot3_IsWG=1,AR38=1),MAX(0,(Slot3_Cost-AS38*(1+Slot3_Rate)^(Slot3_Age-D38))/IV38),0)</f>
        <v>0</v>
      </c>
      <c r="IX38" s="20" t="n">
        <f aca="false">IF(AND(HU38=1,IE38&gt;0,Slot3_IsWG=1,AR38=1),MIN(IE38,IW38),0)</f>
        <v>0</v>
      </c>
      <c r="IY38" s="20" t="n">
        <f aca="false">AS38+IX38</f>
        <v>0</v>
      </c>
      <c r="IZ38" s="20" t="n">
        <f aca="false">IF(AR38=1,MAX(0,(Slot3_Cost-IY38*(1+Slot3_Rate)^(Slot3_Age-D38))/IV38),0)</f>
        <v>0</v>
      </c>
      <c r="JA38" s="20" t="n">
        <f aca="false">IF(AR38=1,MAX(0,(Slot3_Cost-AS38*(1+Slot3_Rate)^(Slot3_Age-D38))/IV38),0)</f>
        <v>0</v>
      </c>
      <c r="JB38" s="20" t="n">
        <f aca="false">IF(AND(HU38=1,AR38=1),MIN(IU38,IZ38),0)</f>
        <v>0</v>
      </c>
      <c r="JC38" s="20" t="n">
        <f aca="false">IU38-JB38</f>
        <v>0</v>
      </c>
      <c r="JD38" s="20" t="n">
        <f aca="false">IF(BB38=1,IF(ABS((1+AS_Wage)/(1+Slot4_Rate)-1)&lt;0.000000000001,(Slot4_Age-D38)*(1+Slot4_Rate)^(Slot4_Age-D38),(1+Slot4_Rate)^(Slot4_Age-D38)*(1-((1+AS_Wage)/(1+Slot4_Rate))^(Slot4_Age-D38))/(1-(1+AS_Wage)/(1+Slot4_Rate))),1)</f>
        <v>1</v>
      </c>
      <c r="JE38" s="20" t="n">
        <f aca="false">IF(AND(HU38=1,IE38&gt;0,Slot4_IsWG=1,BB38=1),MAX(0,(Slot4_Cost-BC38*(1+Slot4_Rate)^(Slot4_Age-D38))/JD38),0)</f>
        <v>0</v>
      </c>
      <c r="JF38" s="20" t="n">
        <f aca="false">IF(AND(HU38=1,IE38&gt;0,Slot4_IsWG=1,BB38=1),MIN(IE38,JE38),0)</f>
        <v>0</v>
      </c>
      <c r="JG38" s="20" t="n">
        <f aca="false">BC38+JF38</f>
        <v>0</v>
      </c>
      <c r="JH38" s="20" t="n">
        <f aca="false">IF(BB38=1,MAX(0,(Slot4_Cost-JG38*(1+Slot4_Rate)^(Slot4_Age-D38))/JD38),0)</f>
        <v>0</v>
      </c>
      <c r="JI38" s="20" t="n">
        <f aca="false">IF(BB38=1,MAX(0,(Slot4_Cost-BC38*(1+Slot4_Rate)^(Slot4_Age-D38))/JD38),0)</f>
        <v>0</v>
      </c>
      <c r="JJ38" s="20" t="n">
        <f aca="false">IF(AND(HU38=1,BB38=1),MIN(JC38,JH38),0)</f>
        <v>0</v>
      </c>
      <c r="JK38" s="20" t="n">
        <f aca="false">JC38-JJ38</f>
        <v>0</v>
      </c>
      <c r="JL38" s="20" t="n">
        <f aca="false">IF(BL38=1,IF(ABS((1+AS_Wage)/(1+Slot5_Rate)-1)&lt;0.000000000001,(Slot5_Age-D38)*(1+Slot5_Rate)^(Slot5_Age-D38),(1+Slot5_Rate)^(Slot5_Age-D38)*(1-((1+AS_Wage)/(1+Slot5_Rate))^(Slot5_Age-D38))/(1-(1+AS_Wage)/(1+Slot5_Rate))),1)</f>
        <v>1</v>
      </c>
      <c r="JM38" s="20" t="n">
        <f aca="false">IF(AND(HU38=1,IE38&gt;0,Slot5_IsWG=1,BL38=1),MAX(0,(Slot5_Cost-BM38*(1+Slot5_Rate)^(Slot5_Age-D38))/JL38),0)</f>
        <v>0</v>
      </c>
      <c r="JN38" s="20" t="n">
        <f aca="false">IF(AND(HU38=1,IE38&gt;0,Slot5_IsWG=1,BL38=1),MIN(IE38,JM38),0)</f>
        <v>0</v>
      </c>
      <c r="JO38" s="20" t="n">
        <f aca="false">BM38+JN38</f>
        <v>0</v>
      </c>
      <c r="JP38" s="20" t="n">
        <f aca="false">IF(BL38=1,MAX(0,(Slot5_Cost-JO38*(1+Slot5_Rate)^(Slot5_Age-D38))/JL38),0)</f>
        <v>0</v>
      </c>
      <c r="JQ38" s="20" t="n">
        <f aca="false">IF(BL38=1,MAX(0,(Slot5_Cost-BM38*(1+Slot5_Rate)^(Slot5_Age-D38))/JL38),0)</f>
        <v>0</v>
      </c>
      <c r="JR38" s="20" t="n">
        <f aca="false">IF(AND(HU38=1,BL38=1),MIN(JK38,JP38),0)</f>
        <v>0</v>
      </c>
      <c r="JS38" s="20" t="n">
        <f aca="false">JK38-JR38</f>
        <v>0</v>
      </c>
      <c r="JT38" s="20" t="n">
        <f aca="false">IF(BV38=1,IF(ABS((1+AS_Wage)/(1+Slot6_Rate)-1)&lt;0.000000000001,(Slot6_Age-D38)*(1+Slot6_Rate)^(Slot6_Age-D38),(1+Slot6_Rate)^(Slot6_Age-D38)*(1-((1+AS_Wage)/(1+Slot6_Rate))^(Slot6_Age-D38))/(1-(1+AS_Wage)/(1+Slot6_Rate))),1)</f>
        <v>1</v>
      </c>
      <c r="JU38" s="20" t="n">
        <f aca="false">IF(AND(HU38=1,IE38&gt;0,Slot6_IsWG=1,BV38=1),MAX(0,(Slot6_Cost-BW38*(1+Slot6_Rate)^(Slot6_Age-D38))/JT38),0)</f>
        <v>0</v>
      </c>
      <c r="JV38" s="20" t="n">
        <f aca="false">IF(AND(HU38=1,IE38&gt;0,Slot6_IsWG=1,BV38=1),MIN(IE38,JU38),0)</f>
        <v>0</v>
      </c>
      <c r="JW38" s="20" t="n">
        <f aca="false">BW38+JV38</f>
        <v>0</v>
      </c>
      <c r="JX38" s="20" t="n">
        <f aca="false">IF(BV38=1,MAX(0,(Slot6_Cost-JW38*(1+Slot6_Rate)^(Slot6_Age-D38))/JT38),0)</f>
        <v>0</v>
      </c>
      <c r="JY38" s="20" t="n">
        <f aca="false">IF(BV38=1,MAX(0,(Slot6_Cost-BW38*(1+Slot6_Rate)^(Slot6_Age-D38))/JT38),0)</f>
        <v>0</v>
      </c>
      <c r="JZ38" s="20" t="n">
        <f aca="false">IF(AND(HU38=1,BV38=1),MIN(JS38,JX38),0)</f>
        <v>0</v>
      </c>
      <c r="KA38" s="20" t="n">
        <f aca="false">JS38-JZ38</f>
        <v>0</v>
      </c>
      <c r="KB38" s="20" t="n">
        <f aca="false">IF(CF38=1,IF(ABS((1+AS_Wage)/(1+Slot7_Rate)-1)&lt;0.000000000001,(Slot7_Age-D38)*(1+Slot7_Rate)^(Slot7_Age-D38),(1+Slot7_Rate)^(Slot7_Age-D38)*(1-((1+AS_Wage)/(1+Slot7_Rate))^(Slot7_Age-D38))/(1-(1+AS_Wage)/(1+Slot7_Rate))),1)</f>
        <v>1</v>
      </c>
      <c r="KC38" s="20" t="n">
        <f aca="false">IF(AND(HU38=1,IE38&gt;0,Slot7_IsWG=1,CF38=1),MAX(0,(Slot7_Cost-CG38*(1+Slot7_Rate)^(Slot7_Age-D38))/KB38),0)</f>
        <v>0</v>
      </c>
      <c r="KD38" s="20" t="n">
        <f aca="false">IF(AND(HU38=1,IE38&gt;0,Slot7_IsWG=1,CF38=1),MIN(IE38,KC38),0)</f>
        <v>0</v>
      </c>
      <c r="KE38" s="20" t="n">
        <f aca="false">CG38+KD38</f>
        <v>0</v>
      </c>
      <c r="KF38" s="20" t="n">
        <f aca="false">IF(CF38=1,MAX(0,(Slot7_Cost-KE38*(1+Slot7_Rate)^(Slot7_Age-D38))/KB38),0)</f>
        <v>0</v>
      </c>
      <c r="KG38" s="20" t="n">
        <f aca="false">IF(CF38=1,MAX(0,(Slot7_Cost-CG38*(1+Slot7_Rate)^(Slot7_Age-D38))/KB38),0)</f>
        <v>0</v>
      </c>
      <c r="KH38" s="20" t="n">
        <f aca="false">IF(AND(HU38=1,CF38=1),MIN(KA38,KF38),0)</f>
        <v>0</v>
      </c>
      <c r="KI38" s="20" t="n">
        <f aca="false">KA38-KH38</f>
        <v>0</v>
      </c>
      <c r="KJ38" s="20" t="n">
        <f aca="false">IF(CP38=1,IF(ABS((1+AS_Wage)/(1+Slot8_Rate)-1)&lt;0.000000000001,(Slot8_Age-D38)*(1+Slot8_Rate)^(Slot8_Age-D38),(1+Slot8_Rate)^(Slot8_Age-D38)*(1-((1+AS_Wage)/(1+Slot8_Rate))^(Slot8_Age-D38))/(1-(1+AS_Wage)/(1+Slot8_Rate))),1)</f>
        <v>1</v>
      </c>
      <c r="KK38" s="20" t="n">
        <f aca="false">IF(AND(HU38=1,IE38&gt;0,Slot8_IsWG=1,CP38=1),MAX(0,(Slot8_Cost-CQ38*(1+Slot8_Rate)^(Slot8_Age-D38))/KJ38),0)</f>
        <v>0</v>
      </c>
      <c r="KL38" s="20" t="n">
        <f aca="false">IF(AND(HU38=1,IE38&gt;0,Slot8_IsWG=1,CP38=1),MIN(IE38,KK38),0)</f>
        <v>0</v>
      </c>
      <c r="KM38" s="20" t="n">
        <f aca="false">CQ38+KL38</f>
        <v>0</v>
      </c>
      <c r="KN38" s="20" t="n">
        <f aca="false">IF(CP38=1,MAX(0,(Slot8_Cost-KM38*(1+Slot8_Rate)^(Slot8_Age-D38))/KJ38),0)</f>
        <v>0</v>
      </c>
      <c r="KO38" s="20" t="n">
        <f aca="false">IF(CP38=1,MAX(0,(Slot8_Cost-CQ38*(1+Slot8_Rate)^(Slot8_Age-D38))/KJ38),0)</f>
        <v>0</v>
      </c>
      <c r="KP38" s="20" t="n">
        <f aca="false">IF(AND(HU38=1,CP38=1),MIN(KI38,KN38),0)</f>
        <v>0</v>
      </c>
      <c r="KQ38" s="20" t="n">
        <f aca="false">KI38-KP38</f>
        <v>0</v>
      </c>
      <c r="KR38" s="20" t="n">
        <f aca="false">IF(CZ38=1,IF(ABS((1+AS_Wage)/(1+Slot9_Rate)-1)&lt;0.000000000001,(Slot9_Age-D38)*(1+Slot9_Rate)^(Slot9_Age-D38),(1+Slot9_Rate)^(Slot9_Age-D38)*(1-((1+AS_Wage)/(1+Slot9_Rate))^(Slot9_Age-D38))/(1-(1+AS_Wage)/(1+Slot9_Rate))),1)</f>
        <v>1</v>
      </c>
      <c r="KS38" s="20" t="n">
        <f aca="false">IF(AND(HU38=1,IE38&gt;0,Slot9_IsWG=1,CZ38=1),MAX(0,(Slot9_Cost-DA38*(1+Slot9_Rate)^(Slot9_Age-D38))/KR38),0)</f>
        <v>0</v>
      </c>
      <c r="KT38" s="20" t="n">
        <f aca="false">IF(AND(HU38=1,IE38&gt;0,Slot9_IsWG=1,CZ38=1),MIN(IE38,KS38),0)</f>
        <v>0</v>
      </c>
      <c r="KU38" s="20" t="n">
        <f aca="false">DA38+KT38</f>
        <v>0</v>
      </c>
      <c r="KV38" s="20" t="n">
        <f aca="false">IF(CZ38=1,MAX(0,(Slot9_Cost-KU38*(1+Slot9_Rate)^(Slot9_Age-D38))/KR38),0)</f>
        <v>0</v>
      </c>
      <c r="KW38" s="20" t="n">
        <f aca="false">IF(CZ38=1,MAX(0,(Slot9_Cost-DA38*(1+Slot9_Rate)^(Slot9_Age-D38))/KR38),0)</f>
        <v>0</v>
      </c>
      <c r="KX38" s="20" t="n">
        <f aca="false">IF(AND(HU38=1,CZ38=1),MIN(KQ38,KV38),0)</f>
        <v>0</v>
      </c>
      <c r="KY38" s="20" t="n">
        <f aca="false">KQ38-KX38</f>
        <v>0</v>
      </c>
      <c r="KZ38" s="20" t="n">
        <f aca="false">IF(DJ38=1,IF(ABS((1+AS_Wage)/(1+Slot10_Rate)-1)&lt;0.000000000001,(Slot10_Age-D38)*(1+Slot10_Rate)^(Slot10_Age-D38),(1+Slot10_Rate)^(Slot10_Age-D38)*(1-((1+AS_Wage)/(1+Slot10_Rate))^(Slot10_Age-D38))/(1-(1+AS_Wage)/(1+Slot10_Rate))),1)</f>
        <v>1</v>
      </c>
      <c r="LA38" s="20" t="n">
        <f aca="false">IF(AND(HU38=1,IE38&gt;0,Slot10_IsWG=1,DJ38=1),MAX(0,(Slot10_Cost-DK38*(1+Slot10_Rate)^(Slot10_Age-D38))/KZ38),0)</f>
        <v>0</v>
      </c>
      <c r="LB38" s="20" t="n">
        <f aca="false">IF(AND(HU38=1,IE38&gt;0,Slot10_IsWG=1,DJ38=1),MIN(IE38,LA38),0)</f>
        <v>0</v>
      </c>
      <c r="LC38" s="20" t="n">
        <f aca="false">DK38+LB38</f>
        <v>0</v>
      </c>
      <c r="LD38" s="20" t="n">
        <f aca="false">IF(DJ38=1,MAX(0,(Slot10_Cost-LC38*(1+Slot10_Rate)^(Slot10_Age-D38))/KZ38),0)</f>
        <v>0</v>
      </c>
      <c r="LE38" s="20" t="n">
        <f aca="false">IF(DJ38=1,MAX(0,(Slot10_Cost-DK38*(1+Slot10_Rate)^(Slot10_Age-D38))/KZ38),0)</f>
        <v>0</v>
      </c>
      <c r="LF38" s="20" t="n">
        <f aca="false">IF(AND(HU38=1,DJ38=1),MIN(KY38,LD38),0)</f>
        <v>0</v>
      </c>
      <c r="LG38" s="20" t="n">
        <f aca="false">KY38-LF38</f>
        <v>0</v>
      </c>
      <c r="LH38" s="20" t="n">
        <f aca="false">IF(DT38=1,IF(ABS((1+AS_Wage)/(1+Slot11_Rate)-1)&lt;0.000000000001,(Slot11_Age-D38)*(1+Slot11_Rate)^(Slot11_Age-D38),(1+Slot11_Rate)^(Slot11_Age-D38)*(1-((1+AS_Wage)/(1+Slot11_Rate))^(Slot11_Age-D38))/(1-(1+AS_Wage)/(1+Slot11_Rate))),1)</f>
        <v>1</v>
      </c>
      <c r="LI38" s="20" t="n">
        <f aca="false">IF(AND(HU38=1,IE38&gt;0,Slot11_IsWG=1,DT38=1),MAX(0,(Slot11_Cost-DU38*(1+Slot11_Rate)^(Slot11_Age-D38))/LH38),0)</f>
        <v>0</v>
      </c>
      <c r="LJ38" s="20" t="n">
        <f aca="false">IF(AND(HU38=1,IE38&gt;0,Slot11_IsWG=1,DT38=1),MIN(IE38,LI38),0)</f>
        <v>0</v>
      </c>
      <c r="LK38" s="20" t="n">
        <f aca="false">DU38+LJ38</f>
        <v>0</v>
      </c>
      <c r="LL38" s="20" t="n">
        <f aca="false">IF(DT38=1,MAX(0,(Slot11_Cost-LK38*(1+Slot11_Rate)^(Slot11_Age-D38))/LH38),0)</f>
        <v>0</v>
      </c>
      <c r="LM38" s="20" t="n">
        <f aca="false">IF(DT38=1,MAX(0,(Slot11_Cost-DU38*(1+Slot11_Rate)^(Slot11_Age-D38))/LH38),0)</f>
        <v>0</v>
      </c>
      <c r="LN38" s="20" t="n">
        <f aca="false">IF(AND(HU38=1,DT38=1),MIN(LG38,LL38),0)</f>
        <v>0</v>
      </c>
      <c r="LO38" s="20" t="n">
        <f aca="false">LG38-LN38</f>
        <v>0</v>
      </c>
      <c r="LP38" s="20" t="n">
        <f aca="false">IF(ED38=1,IF(ABS((1+AS_Wage)/(1+Slot12_Rate)-1)&lt;0.000000000001,(Slot12_Age-D38)*(1+Slot12_Rate)^(Slot12_Age-D38),(1+Slot12_Rate)^(Slot12_Age-D38)*(1-((1+AS_Wage)/(1+Slot12_Rate))^(Slot12_Age-D38))/(1-(1+AS_Wage)/(1+Slot12_Rate))),1)</f>
        <v>1</v>
      </c>
      <c r="LQ38" s="20" t="n">
        <f aca="false">IF(AND(HU38=1,IE38&gt;0,Slot12_IsWG=1,ED38=1),MAX(0,(Slot12_Cost-EE38*(1+Slot12_Rate)^(Slot12_Age-D38))/LP38),0)</f>
        <v>0</v>
      </c>
      <c r="LR38" s="20" t="n">
        <f aca="false">IF(AND(HU38=1,IE38&gt;0,Slot12_IsWG=1,ED38=1),MIN(IE38,LQ38),0)</f>
        <v>0</v>
      </c>
      <c r="LS38" s="20" t="n">
        <f aca="false">EE38+LR38</f>
        <v>0</v>
      </c>
      <c r="LT38" s="20" t="n">
        <f aca="false">IF(ED38=1,MAX(0,(Slot12_Cost-LS38*(1+Slot12_Rate)^(Slot12_Age-D38))/LP38),0)</f>
        <v>0</v>
      </c>
      <c r="LU38" s="20" t="n">
        <f aca="false">IF(ED38=1,MAX(0,(Slot12_Cost-EE38*(1+Slot12_Rate)^(Slot12_Age-D38))/LP38),0)</f>
        <v>0</v>
      </c>
      <c r="LV38" s="20" t="n">
        <f aca="false">IF(AND(HU38=1,ED38=1),MIN(LO38,LT38),0)</f>
        <v>0</v>
      </c>
      <c r="LW38" s="20" t="n">
        <f aca="false">LO38-LV38</f>
        <v>0</v>
      </c>
      <c r="LX38" s="20" t="n">
        <f aca="false">IF(EN38=1,IF(ABS((1+AS_Wage)/(1+Slot13_Rate)-1)&lt;0.000000000001,(Slot13_Age-D38)*(1+Slot13_Rate)^(Slot13_Age-D38),(1+Slot13_Rate)^(Slot13_Age-D38)*(1-((1+AS_Wage)/(1+Slot13_Rate))^(Slot13_Age-D38))/(1-(1+AS_Wage)/(1+Slot13_Rate))),1)</f>
        <v>1</v>
      </c>
      <c r="LY38" s="20" t="n">
        <f aca="false">IF(AND(HU38=1,IE38&gt;0,Slot13_IsWG=1,EN38=1),MAX(0,(Slot13_Cost-EO38*(1+Slot13_Rate)^(Slot13_Age-D38))/LX38),0)</f>
        <v>0</v>
      </c>
      <c r="LZ38" s="20" t="n">
        <f aca="false">IF(AND(HU38=1,IE38&gt;0,Slot13_IsWG=1,EN38=1),MIN(IE38,LY38),0)</f>
        <v>0</v>
      </c>
      <c r="MA38" s="20" t="n">
        <f aca="false">EO38+LZ38</f>
        <v>0</v>
      </c>
      <c r="MB38" s="20" t="n">
        <f aca="false">IF(EN38=1,MAX(0,(Slot13_Cost-MA38*(1+Slot13_Rate)^(Slot13_Age-D38))/LX38),0)</f>
        <v>0</v>
      </c>
      <c r="MC38" s="20" t="n">
        <f aca="false">IF(EN38=1,MAX(0,(Slot13_Cost-EO38*(1+Slot13_Rate)^(Slot13_Age-D38))/LX38),0)</f>
        <v>0</v>
      </c>
      <c r="MD38" s="20" t="n">
        <f aca="false">IF(AND(HU38=1,EN38=1),MIN(LW38,MB38),0)</f>
        <v>0</v>
      </c>
      <c r="ME38" s="20" t="n">
        <f aca="false">LW38-MD38</f>
        <v>0</v>
      </c>
      <c r="MF38" s="20" t="n">
        <f aca="false">IF(EX38=1,IF(ABS((1+AS_Wage)/(1+Slot14_Rate)-1)&lt;0.000000000001,(Slot14_Age-D38)*(1+Slot14_Rate)^(Slot14_Age-D38),(1+Slot14_Rate)^(Slot14_Age-D38)*(1-((1+AS_Wage)/(1+Slot14_Rate))^(Slot14_Age-D38))/(1-(1+AS_Wage)/(1+Slot14_Rate))),1)</f>
        <v>1</v>
      </c>
      <c r="MG38" s="20" t="n">
        <f aca="false">IF(AND(HU38=1,IE38&gt;0,Slot14_IsWG=1,EX38=1),MAX(0,(Slot14_Cost-EY38*(1+Slot14_Rate)^(Slot14_Age-D38))/MF38),0)</f>
        <v>0</v>
      </c>
      <c r="MH38" s="20" t="n">
        <f aca="false">IF(AND(HU38=1,IE38&gt;0,Slot14_IsWG=1,EX38=1),MIN(IE38,MG38),0)</f>
        <v>0</v>
      </c>
      <c r="MI38" s="20" t="n">
        <f aca="false">EY38+MH38</f>
        <v>0</v>
      </c>
      <c r="MJ38" s="20" t="n">
        <f aca="false">IF(EX38=1,MAX(0,(Slot14_Cost-MI38*(1+Slot14_Rate)^(Slot14_Age-D38))/MF38),0)</f>
        <v>0</v>
      </c>
      <c r="MK38" s="20" t="n">
        <f aca="false">IF(EX38=1,MAX(0,(Slot14_Cost-EY38*(1+Slot14_Rate)^(Slot14_Age-D38))/MF38),0)</f>
        <v>0</v>
      </c>
      <c r="ML38" s="20" t="n">
        <f aca="false">IF(AND(HU38=1,EX38=1),MIN(ME38,MJ38),0)</f>
        <v>0</v>
      </c>
      <c r="MM38" s="20" t="n">
        <f aca="false">ME38-ML38</f>
        <v>0</v>
      </c>
      <c r="MN38" s="20" t="n">
        <f aca="false">IF(FH38=1,IF(ABS((1+AS_Wage)/(1+Slot15_Rate)-1)&lt;0.000000000001,(Slot15_Age-D38)*(1+Slot15_Rate)^(Slot15_Age-D38),(1+Slot15_Rate)^(Slot15_Age-D38)*(1-((1+AS_Wage)/(1+Slot15_Rate))^(Slot15_Age-D38))/(1-(1+AS_Wage)/(1+Slot15_Rate))),1)</f>
        <v>1</v>
      </c>
      <c r="MO38" s="20" t="n">
        <f aca="false">IF(AND(HU38=1,IE38&gt;0,Slot15_IsWG=1,FH38=1),MAX(0,(Slot15_Cost-FI38*(1+Slot15_Rate)^(Slot15_Age-D38))/MN38),0)</f>
        <v>0</v>
      </c>
      <c r="MP38" s="20" t="n">
        <f aca="false">IF(AND(HU38=1,IE38&gt;0,Slot15_IsWG=1,FH38=1),MIN(IE38,MO38),0)</f>
        <v>0</v>
      </c>
      <c r="MQ38" s="20" t="n">
        <f aca="false">FI38+MP38</f>
        <v>0</v>
      </c>
      <c r="MR38" s="20" t="n">
        <f aca="false">IF(FH38=1,MAX(0,(Slot15_Cost-MQ38*(1+Slot15_Rate)^(Slot15_Age-D38))/MN38),0)</f>
        <v>0</v>
      </c>
      <c r="MS38" s="20" t="n">
        <f aca="false">IF(FH38=1,MAX(0,(Slot15_Cost-FI38*(1+Slot15_Rate)^(Slot15_Age-D38))/MN38),0)</f>
        <v>0</v>
      </c>
      <c r="MT38" s="20" t="n">
        <f aca="false">IF(AND(HU38=1,FH38=1),MIN(MM38,MR38),0)</f>
        <v>0</v>
      </c>
      <c r="MU38" s="20" t="n">
        <f aca="false">MM38-MT38</f>
        <v>0</v>
      </c>
      <c r="MV38" s="20" t="n">
        <f aca="false">IF(FR38=1,IF(ABS((1+AS_Wage)/(1+Slot16_Rate)-1)&lt;0.000000000001,(Slot16_Age-D38)*(1+Slot16_Rate)^(Slot16_Age-D38),(1+Slot16_Rate)^(Slot16_Age-D38)*(1-((1+AS_Wage)/(1+Slot16_Rate))^(Slot16_Age-D38))/(1-(1+AS_Wage)/(1+Slot16_Rate))),1)</f>
        <v>1</v>
      </c>
      <c r="MW38" s="20" t="n">
        <f aca="false">IF(AND(HU38=1,IE38&gt;0,Slot16_IsWG=1,FR38=1),MAX(0,(Slot16_Cost-FS38*(1+Slot16_Rate)^(Slot16_Age-D38))/MV38),0)</f>
        <v>0</v>
      </c>
      <c r="MX38" s="20" t="n">
        <f aca="false">IF(AND(HU38=1,IE38&gt;0,Slot16_IsWG=1,FR38=1),MIN(IE38,MW38),0)</f>
        <v>0</v>
      </c>
      <c r="MY38" s="20" t="n">
        <f aca="false">FS38+MX38</f>
        <v>0</v>
      </c>
      <c r="MZ38" s="20" t="n">
        <f aca="false">IF(FR38=1,MAX(0,(Slot16_Cost-MY38*(1+Slot16_Rate)^(Slot16_Age-D38))/MV38),0)</f>
        <v>0</v>
      </c>
      <c r="NA38" s="20" t="n">
        <f aca="false">IF(FR38=1,MAX(0,(Slot16_Cost-FS38*(1+Slot16_Rate)^(Slot16_Age-D38))/MV38),0)</f>
        <v>0</v>
      </c>
      <c r="NB38" s="20" t="n">
        <f aca="false">IF(AND(HU38=1,FR38=1),MIN(MU38,MZ38),0)</f>
        <v>0</v>
      </c>
      <c r="NC38" s="20" t="n">
        <f aca="false">MU38-NB38</f>
        <v>0</v>
      </c>
      <c r="ND38" s="20" t="n">
        <f aca="false">IF(GB38=1,IF(ABS((1+AS_Wage)/(1+Slot17_Rate)-1)&lt;0.000000000001,(Slot17_Age-D38)*(1+Slot17_Rate)^(Slot17_Age-D38),(1+Slot17_Rate)^(Slot17_Age-D38)*(1-((1+AS_Wage)/(1+Slot17_Rate))^(Slot17_Age-D38))/(1-(1+AS_Wage)/(1+Slot17_Rate))),1)</f>
        <v>1</v>
      </c>
      <c r="NE38" s="20" t="n">
        <f aca="false">IF(AND(HU38=1,IE38&gt;0,Slot17_IsWG=1,GB38=1),MAX(0,(Slot17_Cost-GC38*(1+Slot17_Rate)^(Slot17_Age-D38))/ND38),0)</f>
        <v>0</v>
      </c>
      <c r="NF38" s="20" t="n">
        <f aca="false">IF(AND(HU38=1,IE38&gt;0,Slot17_IsWG=1,GB38=1),MIN(IE38,NE38),0)</f>
        <v>0</v>
      </c>
      <c r="NG38" s="20" t="n">
        <f aca="false">GC38+NF38</f>
        <v>0</v>
      </c>
      <c r="NH38" s="20" t="n">
        <f aca="false">IF(GB38=1,MAX(0,(Slot17_Cost-NG38*(1+Slot17_Rate)^(Slot17_Age-D38))/ND38),0)</f>
        <v>0</v>
      </c>
      <c r="NI38" s="20" t="n">
        <f aca="false">IF(GB38=1,MAX(0,(Slot17_Cost-GC38*(1+Slot17_Rate)^(Slot17_Age-D38))/ND38),0)</f>
        <v>0</v>
      </c>
      <c r="NJ38" s="20" t="n">
        <f aca="false">IF(AND(HU38=1,GB38=1),MIN(NC38,NH38),0)</f>
        <v>0</v>
      </c>
      <c r="NK38" s="20" t="n">
        <f aca="false">NC38-NJ38</f>
        <v>0</v>
      </c>
      <c r="NL38" s="20" t="n">
        <f aca="false">IF(GL38=1,IF(ABS((1+AS_Wage)/(1+Slot18_Rate)-1)&lt;0.000000000001,(Slot18_Age-D38)*(1+Slot18_Rate)^(Slot18_Age-D38),(1+Slot18_Rate)^(Slot18_Age-D38)*(1-((1+AS_Wage)/(1+Slot18_Rate))^(Slot18_Age-D38))/(1-(1+AS_Wage)/(1+Slot18_Rate))),1)</f>
        <v>1</v>
      </c>
      <c r="NM38" s="20" t="n">
        <f aca="false">IF(AND(HU38=1,IE38&gt;0,Slot18_IsWG=1,GL38=1),MAX(0,(Slot18_Cost-GM38*(1+Slot18_Rate)^(Slot18_Age-D38))/NL38),0)</f>
        <v>0</v>
      </c>
      <c r="NN38" s="20" t="n">
        <f aca="false">IF(AND(HU38=1,IE38&gt;0,Slot18_IsWG=1,GL38=1),MIN(IE38,NM38),0)</f>
        <v>0</v>
      </c>
      <c r="NO38" s="20" t="n">
        <f aca="false">GM38+NN38</f>
        <v>0</v>
      </c>
      <c r="NP38" s="20" t="n">
        <f aca="false">IF(GL38=1,MAX(0,(Slot18_Cost-NO38*(1+Slot18_Rate)^(Slot18_Age-D38))/NL38),0)</f>
        <v>0</v>
      </c>
      <c r="NQ38" s="20" t="n">
        <f aca="false">IF(GL38=1,MAX(0,(Slot18_Cost-GM38*(1+Slot18_Rate)^(Slot18_Age-D38))/NL38),0)</f>
        <v>0</v>
      </c>
      <c r="NR38" s="20" t="n">
        <f aca="false">IF(AND(HU38=1,GL38=1),MIN(NK38,NP38),0)</f>
        <v>0</v>
      </c>
      <c r="NS38" s="20" t="n">
        <f aca="false">NK38-NR38</f>
        <v>0</v>
      </c>
      <c r="NT38" s="20" t="n">
        <f aca="false">IF(GV38=1,IF(ABS((1+AS_Wage)/(1+Slot19_Rate)-1)&lt;0.000000000001,(Slot19_Age-D38)*(1+Slot19_Rate)^(Slot19_Age-D38),(1+Slot19_Rate)^(Slot19_Age-D38)*(1-((1+AS_Wage)/(1+Slot19_Rate))^(Slot19_Age-D38))/(1-(1+AS_Wage)/(1+Slot19_Rate))),1)</f>
        <v>1</v>
      </c>
      <c r="NU38" s="20" t="n">
        <f aca="false">IF(AND(HU38=1,IE38&gt;0,Slot19_IsWG=1,GV38=1),MAX(0,(Slot19_Cost-GW38*(1+Slot19_Rate)^(Slot19_Age-D38))/NT38),0)</f>
        <v>0</v>
      </c>
      <c r="NV38" s="20" t="n">
        <f aca="false">IF(AND(HU38=1,IE38&gt;0,Slot19_IsWG=1,GV38=1),MIN(IE38,NU38),0)</f>
        <v>0</v>
      </c>
      <c r="NW38" s="20" t="n">
        <f aca="false">GW38+NV38</f>
        <v>0</v>
      </c>
      <c r="NX38" s="20" t="n">
        <f aca="false">IF(GV38=1,MAX(0,(Slot19_Cost-NW38*(1+Slot19_Rate)^(Slot19_Age-D38))/NT38),0)</f>
        <v>0</v>
      </c>
      <c r="NY38" s="20" t="n">
        <f aca="false">IF(GV38=1,MAX(0,(Slot19_Cost-GW38*(1+Slot19_Rate)^(Slot19_Age-D38))/NT38),0)</f>
        <v>0</v>
      </c>
      <c r="NZ38" s="20" t="n">
        <f aca="false">IF(AND(HU38=1,GV38=1),MIN(NS38,NX38),0)</f>
        <v>0</v>
      </c>
      <c r="OA38" s="20" t="n">
        <f aca="false">NS38-NZ38</f>
        <v>0</v>
      </c>
      <c r="OB38" s="20" t="n">
        <f aca="false">IF(HF38=1,IF(ABS((1+AS_Wage)/(1+Slot20_Rate)-1)&lt;0.000000000001,(Slot20_Age-D38)*(1+Slot20_Rate)^(Slot20_Age-D38),(1+Slot20_Rate)^(Slot20_Age-D38)*(1-((1+AS_Wage)/(1+Slot20_Rate))^(Slot20_Age-D38))/(1-(1+AS_Wage)/(1+Slot20_Rate))),1)</f>
        <v>1</v>
      </c>
      <c r="OC38" s="20" t="n">
        <f aca="false">IF(AND(HU38=1,IE38&gt;0,Slot20_IsWG=1,HF38=1),MAX(0,(Slot20_Cost-HG38*(1+Slot20_Rate)^(Slot20_Age-D38))/OB38),0)</f>
        <v>0</v>
      </c>
      <c r="OD38" s="20" t="n">
        <f aca="false">IF(AND(HU38=1,IE38&gt;0,Slot20_IsWG=1,HF38=1),MIN(IE38,OC38),0)</f>
        <v>0</v>
      </c>
      <c r="OE38" s="20" t="n">
        <f aca="false">HG38+OD38</f>
        <v>0</v>
      </c>
      <c r="OF38" s="20" t="n">
        <f aca="false">IF(HF38=1,MAX(0,(Slot20_Cost-OE38*(1+Slot20_Rate)^(Slot20_Age-D38))/OB38),0)</f>
        <v>0</v>
      </c>
      <c r="OG38" s="20" t="n">
        <f aca="false">IF(HF38=1,MAX(0,(Slot20_Cost-HG38*(1+Slot20_Rate)^(Slot20_Age-D38))/OB38),0)</f>
        <v>0</v>
      </c>
      <c r="OH38" s="20" t="n">
        <f aca="false">IF(AND(HU38=1,HF38=1),MIN(OA38,OF38),0)</f>
        <v>0</v>
      </c>
      <c r="OI38" s="20" t="n">
        <f aca="false">OA38-OH38</f>
        <v>0</v>
      </c>
      <c r="OJ38" s="20" t="n">
        <f aca="false">IE38-(IH38+IP38+IX38+JF38+JN38+JV38+KD38+KL38+KT38+LB38+LJ38+LR38+LZ38+MH38+MP38+MX38+NF38+NN38+NV38+OD38)</f>
        <v>0</v>
      </c>
      <c r="OK38" s="20" t="n">
        <f aca="false">IF(HU38=1,HS38-ID38-IE38,0)</f>
        <v>0</v>
      </c>
      <c r="OL38" s="20" t="n">
        <f aca="false">IF(HU38=0,-HS38,0)</f>
        <v>20176.5217144829</v>
      </c>
      <c r="OM38" s="20" t="n">
        <f aca="false">MIN(OL38,HK38)</f>
        <v>20176.5217144829</v>
      </c>
      <c r="ON38" s="20" t="n">
        <f aca="false">OL38-OM38</f>
        <v>0</v>
      </c>
      <c r="OO38" s="20" t="n">
        <f aca="false">MIN(ON38,HL38)</f>
        <v>0</v>
      </c>
      <c r="OP38" s="20" t="n">
        <f aca="false">ON38-OO38</f>
        <v>0</v>
      </c>
      <c r="OQ38" s="20" t="n">
        <f aca="false">IF(AND(HU38=0,HF38=1,OP38&gt;0),MIN(OP38,HG38),0)</f>
        <v>0</v>
      </c>
      <c r="OR38" s="20" t="n">
        <f aca="false">OP38-OQ38</f>
        <v>0</v>
      </c>
      <c r="OS38" s="20" t="n">
        <f aca="false">IF(AND(HU38=0,GV38=1,OR38&gt;0),MIN(OR38,GW38),0)</f>
        <v>0</v>
      </c>
      <c r="OT38" s="20" t="n">
        <f aca="false">OR38-OS38</f>
        <v>0</v>
      </c>
      <c r="OU38" s="20" t="n">
        <f aca="false">IF(AND(HU38=0,GL38=1,OT38&gt;0),MIN(OT38,GM38),0)</f>
        <v>0</v>
      </c>
      <c r="OV38" s="20" t="n">
        <f aca="false">OT38-OU38</f>
        <v>0</v>
      </c>
      <c r="OW38" s="20" t="n">
        <f aca="false">IF(AND(HU38=0,GB38=1,OV38&gt;0),MIN(OV38,GC38),0)</f>
        <v>0</v>
      </c>
      <c r="OX38" s="20" t="n">
        <f aca="false">OV38-OW38</f>
        <v>0</v>
      </c>
      <c r="OY38" s="20" t="n">
        <f aca="false">IF(AND(HU38=0,FR38=1,OX38&gt;0),MIN(OX38,FS38),0)</f>
        <v>0</v>
      </c>
      <c r="OZ38" s="20" t="n">
        <f aca="false">OX38-OY38</f>
        <v>0</v>
      </c>
      <c r="PA38" s="20" t="n">
        <f aca="false">IF(AND(HU38=0,FH38=1,OZ38&gt;0),MIN(OZ38,FI38),0)</f>
        <v>0</v>
      </c>
      <c r="PB38" s="20" t="n">
        <f aca="false">OZ38-PA38</f>
        <v>0</v>
      </c>
      <c r="PC38" s="20" t="n">
        <f aca="false">IF(AND(HU38=0,EX38=1,PB38&gt;0),MIN(PB38,EY38),0)</f>
        <v>0</v>
      </c>
      <c r="PD38" s="20" t="n">
        <f aca="false">PB38-PC38</f>
        <v>0</v>
      </c>
      <c r="PE38" s="20" t="n">
        <f aca="false">IF(AND(HU38=0,EN38=1,PD38&gt;0),MIN(PD38,EO38),0)</f>
        <v>0</v>
      </c>
      <c r="PF38" s="20" t="n">
        <f aca="false">PD38-PE38</f>
        <v>0</v>
      </c>
      <c r="PG38" s="20" t="n">
        <f aca="false">IF(AND(HU38=0,ED38=1,PF38&gt;0),MIN(PF38,EE38),0)</f>
        <v>0</v>
      </c>
      <c r="PH38" s="20" t="n">
        <f aca="false">PF38-PG38</f>
        <v>0</v>
      </c>
      <c r="PI38" s="20" t="n">
        <f aca="false">IF(AND(HU38=0,DT38=1,PH38&gt;0),MIN(PH38,DU38),0)</f>
        <v>0</v>
      </c>
      <c r="PJ38" s="20" t="n">
        <f aca="false">PH38-PI38</f>
        <v>0</v>
      </c>
      <c r="PK38" s="20" t="n">
        <f aca="false">IF(AND(HU38=0,DJ38=1,PJ38&gt;0),MIN(PJ38,DK38),0)</f>
        <v>0</v>
      </c>
      <c r="PL38" s="20" t="n">
        <f aca="false">PJ38-PK38</f>
        <v>0</v>
      </c>
      <c r="PM38" s="20" t="n">
        <f aca="false">IF(AND(HU38=0,CZ38=1,PL38&gt;0),MIN(PL38,DA38),0)</f>
        <v>0</v>
      </c>
      <c r="PN38" s="20" t="n">
        <f aca="false">PL38-PM38</f>
        <v>0</v>
      </c>
      <c r="PO38" s="20" t="n">
        <f aca="false">IF(AND(HU38=0,CP38=1,PN38&gt;0),MIN(PN38,CQ38),0)</f>
        <v>0</v>
      </c>
      <c r="PP38" s="20" t="n">
        <f aca="false">PN38-PO38</f>
        <v>0</v>
      </c>
      <c r="PQ38" s="20" t="n">
        <f aca="false">IF(AND(HU38=0,CF38=1,PP38&gt;0),MIN(PP38,CG38),0)</f>
        <v>0</v>
      </c>
      <c r="PR38" s="20" t="n">
        <f aca="false">PP38-PQ38</f>
        <v>0</v>
      </c>
      <c r="PS38" s="20" t="n">
        <f aca="false">IF(AND(HU38=0,BV38=1,PR38&gt;0),MIN(PR38,BW38),0)</f>
        <v>0</v>
      </c>
      <c r="PT38" s="20" t="n">
        <f aca="false">PR38-PS38</f>
        <v>0</v>
      </c>
      <c r="PU38" s="20" t="n">
        <f aca="false">IF(AND(HU38=0,BL38=1,PT38&gt;0),MIN(PT38,BM38),0)</f>
        <v>0</v>
      </c>
      <c r="PV38" s="20" t="n">
        <f aca="false">PT38-PU38</f>
        <v>0</v>
      </c>
      <c r="PW38" s="20" t="n">
        <f aca="false">IF(AND(HU38=0,BB38=1,PV38&gt;0),MIN(PV38,BC38),0)</f>
        <v>0</v>
      </c>
      <c r="PX38" s="20" t="n">
        <f aca="false">PV38-PW38</f>
        <v>0</v>
      </c>
      <c r="PY38" s="20" t="n">
        <f aca="false">IF(AND(HU38=0,AR38=1,PX38&gt;0),MIN(PX38,AS38),0)</f>
        <v>0</v>
      </c>
      <c r="PZ38" s="20" t="n">
        <f aca="false">PX38-PY38</f>
        <v>0</v>
      </c>
      <c r="QA38" s="20" t="n">
        <f aca="false">IF(AND(HU38=0,AH38=1,PZ38&gt;0),MIN(PZ38,AI38),0)</f>
        <v>0</v>
      </c>
      <c r="QB38" s="20" t="n">
        <f aca="false">PZ38-QA38</f>
        <v>0</v>
      </c>
      <c r="QC38" s="20" t="n">
        <f aca="false">IF(AND(HU38=0,W38=1,QB38&gt;0),MIN(QB38,X38),0)</f>
        <v>0</v>
      </c>
      <c r="QD38" s="20" t="n">
        <f aca="false">QB38-QC38</f>
        <v>0</v>
      </c>
      <c r="QE38" s="20" t="n">
        <f aca="false">IF(HU38=0,QD38,0)</f>
        <v>0</v>
      </c>
      <c r="QF38" s="20" t="n">
        <f aca="false">OM38+OO38+QC38+QA38+PY38+PW38+PU38+PS38+PQ38+PO38+PM38+PK38+PI38+PG38+PE38+PC38+PA38+OY38+OW38+OU38+OS38+OQ38</f>
        <v>20176.5217144829</v>
      </c>
      <c r="QG38" s="20" t="n">
        <f aca="false">IF(HU38=1,HK38+OJ38+OI38+IF(G38=1,0,OK38),HK38-OM38)</f>
        <v>162549.248555815</v>
      </c>
      <c r="QH38" s="20" t="n">
        <f aca="false">HL38-OO38</f>
        <v>20620.0668294141</v>
      </c>
      <c r="QI38" s="20" t="n">
        <f aca="false">IF(HU38=1,IF(G38=1,ID38+IE38,HS38),0)</f>
        <v>0</v>
      </c>
      <c r="QJ38" s="20" t="n">
        <f aca="false">IF(HU38=1,IF(G38=1,HS38-ID38-IE38,0),0)</f>
        <v>0</v>
      </c>
      <c r="QK38" s="20" t="n">
        <f aca="false">QG38*(1+GR)</f>
        <v>165215.056232131</v>
      </c>
      <c r="QL38" s="20" t="n">
        <f aca="false">QH38*(1+AS_Cash)</f>
        <v>20826.2674977082</v>
      </c>
      <c r="QM38" s="20" t="n">
        <f aca="false">IF(W38=1,IF(HU38=1,II38+IL38,X38-QC38)*(1+Slot1_Rate),0)</f>
        <v>0</v>
      </c>
      <c r="QN38" s="20" t="n">
        <f aca="false">IF(AND(HU38=1,W38=1),(IH38+IL38)/F38,0)</f>
        <v>0</v>
      </c>
      <c r="QO38" s="20" t="n">
        <f aca="false">IF(B38=0,IH38+IL38,0)</f>
        <v>0</v>
      </c>
      <c r="QP38" s="20" t="n">
        <f aca="false">IF(B38=0,IF(HU38=1,IJ38,IK38),0)</f>
        <v>0</v>
      </c>
      <c r="QQ38" s="20" t="n">
        <f aca="false">IF(AH38=1,IF(HU38=1,IQ38+IT38,AI38-QA38)*(1+Slot2_Rate),0)</f>
        <v>0</v>
      </c>
      <c r="QR38" s="20" t="n">
        <f aca="false">IF(AND(HU38=1,AH38=1),(IP38+IT38)/F38,0)</f>
        <v>0</v>
      </c>
      <c r="QS38" s="20" t="n">
        <f aca="false">IF(B38=0,IP38+IT38,0)</f>
        <v>0</v>
      </c>
      <c r="QT38" s="20" t="n">
        <f aca="false">IF(B38=0,IF(HU38=1,IR38,IS38),0)</f>
        <v>0</v>
      </c>
      <c r="QU38" s="20" t="n">
        <f aca="false">IF(AR38=1,IF(HU38=1,IY38+JB38,AS38-PY38)*(1+Slot3_Rate),0)</f>
        <v>0</v>
      </c>
      <c r="QV38" s="20" t="n">
        <f aca="false">IF(AND(HU38=1,AR38=1),(IX38+JB38)/F38,0)</f>
        <v>0</v>
      </c>
      <c r="QW38" s="20" t="n">
        <f aca="false">IF(B38=0,IX38+JB38,0)</f>
        <v>0</v>
      </c>
      <c r="QX38" s="20" t="n">
        <f aca="false">IF(B38=0,IF(HU38=1,IZ38,JA38),0)</f>
        <v>0</v>
      </c>
      <c r="QY38" s="20" t="n">
        <f aca="false">IF(BB38=1,IF(HU38=1,JG38+JJ38,BC38-PW38)*(1+Slot4_Rate),0)</f>
        <v>0</v>
      </c>
      <c r="QZ38" s="20" t="n">
        <f aca="false">IF(AND(HU38=1,BB38=1),(JF38+JJ38)/F38,0)</f>
        <v>0</v>
      </c>
      <c r="RA38" s="20" t="n">
        <f aca="false">IF(B38=0,JF38+JJ38,0)</f>
        <v>0</v>
      </c>
      <c r="RB38" s="20" t="n">
        <f aca="false">IF(B38=0,IF(HU38=1,JH38,JI38),0)</f>
        <v>0</v>
      </c>
      <c r="RC38" s="20" t="n">
        <f aca="false">IF(BL38=1,IF(HU38=1,JO38+JR38,BM38-PU38)*(1+Slot5_Rate),0)</f>
        <v>0</v>
      </c>
      <c r="RD38" s="20" t="n">
        <f aca="false">IF(AND(HU38=1,BL38=1),(JN38+JR38)/F38,0)</f>
        <v>0</v>
      </c>
      <c r="RE38" s="20" t="n">
        <f aca="false">IF(B38=0,JN38+JR38,0)</f>
        <v>0</v>
      </c>
      <c r="RF38" s="20" t="n">
        <f aca="false">IF(B38=0,IF(HU38=1,JP38,JQ38),0)</f>
        <v>0</v>
      </c>
      <c r="RG38" s="20" t="n">
        <f aca="false">IF(BV38=1,IF(HU38=1,JW38+JZ38,BW38-PS38)*(1+Slot6_Rate),0)</f>
        <v>0</v>
      </c>
      <c r="RH38" s="20" t="n">
        <f aca="false">IF(AND(HU38=1,BV38=1),(JV38+JZ38)/F38,0)</f>
        <v>0</v>
      </c>
      <c r="RI38" s="20" t="n">
        <f aca="false">IF(B38=0,JV38+JZ38,0)</f>
        <v>0</v>
      </c>
      <c r="RJ38" s="20" t="n">
        <f aca="false">IF(B38=0,IF(HU38=1,JX38,JY38),0)</f>
        <v>0</v>
      </c>
      <c r="RK38" s="20" t="n">
        <f aca="false">IF(CF38=1,IF(HU38=1,KE38+KH38,CG38-PQ38)*(1+Slot7_Rate),0)</f>
        <v>0</v>
      </c>
      <c r="RL38" s="20" t="n">
        <f aca="false">IF(AND(HU38=1,CF38=1),(KD38+KH38)/F38,0)</f>
        <v>0</v>
      </c>
      <c r="RM38" s="20" t="n">
        <f aca="false">IF(B38=0,KD38+KH38,0)</f>
        <v>0</v>
      </c>
      <c r="RN38" s="20" t="n">
        <f aca="false">IF(B38=0,IF(HU38=1,KF38,KG38),0)</f>
        <v>0</v>
      </c>
      <c r="RO38" s="20" t="n">
        <f aca="false">IF(CP38=1,IF(HU38=1,KM38+KP38,CQ38-PO38)*(1+Slot8_Rate),0)</f>
        <v>0</v>
      </c>
      <c r="RP38" s="20" t="n">
        <f aca="false">IF(AND(HU38=1,CP38=1),(KL38+KP38)/F38,0)</f>
        <v>0</v>
      </c>
      <c r="RQ38" s="20" t="n">
        <f aca="false">IF(B38=0,KL38+KP38,0)</f>
        <v>0</v>
      </c>
      <c r="RR38" s="20" t="n">
        <f aca="false">IF(B38=0,IF(HU38=1,KN38,KO38),0)</f>
        <v>0</v>
      </c>
      <c r="RS38" s="20" t="n">
        <f aca="false">IF(CZ38=1,IF(HU38=1,KU38+KX38,DA38-PM38)*(1+Slot9_Rate),0)</f>
        <v>0</v>
      </c>
      <c r="RT38" s="20" t="n">
        <f aca="false">IF(AND(HU38=1,CZ38=1),(KT38+KX38)/F38,0)</f>
        <v>0</v>
      </c>
      <c r="RU38" s="20" t="n">
        <f aca="false">IF(B38=0,KT38+KX38,0)</f>
        <v>0</v>
      </c>
      <c r="RV38" s="20" t="n">
        <f aca="false">IF(B38=0,IF(HU38=1,KV38,KW38),0)</f>
        <v>0</v>
      </c>
      <c r="RW38" s="20" t="n">
        <f aca="false">IF(DJ38=1,IF(HU38=1,LC38+LF38,DK38-PK38)*(1+Slot10_Rate),0)</f>
        <v>0</v>
      </c>
      <c r="RX38" s="20" t="n">
        <f aca="false">IF(AND(HU38=1,DJ38=1),(LB38+LF38)/F38,0)</f>
        <v>0</v>
      </c>
      <c r="RY38" s="20" t="n">
        <f aca="false">IF(B38=0,LB38+LF38,0)</f>
        <v>0</v>
      </c>
      <c r="RZ38" s="20" t="n">
        <f aca="false">IF(B38=0,IF(HU38=1,LD38,LE38),0)</f>
        <v>0</v>
      </c>
      <c r="SA38" s="20" t="n">
        <f aca="false">IF(DT38=1,IF(HU38=1,LK38+LN38,DU38-PI38)*(1+Slot11_Rate),0)</f>
        <v>0</v>
      </c>
      <c r="SB38" s="20" t="n">
        <f aca="false">IF(AND(HU38=1,DT38=1),(LJ38+LN38)/F38,0)</f>
        <v>0</v>
      </c>
      <c r="SC38" s="20" t="n">
        <f aca="false">IF(B38=0,LJ38+LN38,0)</f>
        <v>0</v>
      </c>
      <c r="SD38" s="20" t="n">
        <f aca="false">IF(B38=0,IF(HU38=1,LL38,LM38),0)</f>
        <v>0</v>
      </c>
      <c r="SE38" s="20" t="n">
        <f aca="false">IF(ED38=1,IF(HU38=1,LS38+LV38,EE38-PG38)*(1+Slot12_Rate),0)</f>
        <v>0</v>
      </c>
      <c r="SF38" s="20" t="n">
        <f aca="false">IF(AND(HU38=1,ED38=1),(LR38+LV38)/F38,0)</f>
        <v>0</v>
      </c>
      <c r="SG38" s="20" t="n">
        <f aca="false">IF(B38=0,LR38+LV38,0)</f>
        <v>0</v>
      </c>
      <c r="SH38" s="20" t="n">
        <f aca="false">IF(B38=0,IF(HU38=1,LT38,LU38),0)</f>
        <v>0</v>
      </c>
      <c r="SI38" s="20" t="n">
        <f aca="false">IF(EN38=1,IF(HU38=1,MA38+MD38,EO38-PE38)*(1+Slot13_Rate),0)</f>
        <v>0</v>
      </c>
      <c r="SJ38" s="20" t="n">
        <f aca="false">IF(AND(HU38=1,EN38=1),(LZ38+MD38)/F38,0)</f>
        <v>0</v>
      </c>
      <c r="SK38" s="20" t="n">
        <f aca="false">IF(B38=0,LZ38+MD38,0)</f>
        <v>0</v>
      </c>
      <c r="SL38" s="20" t="n">
        <f aca="false">IF(B38=0,IF(HU38=1,MB38,MC38),0)</f>
        <v>0</v>
      </c>
      <c r="SM38" s="20" t="n">
        <f aca="false">IF(EX38=1,IF(HU38=1,MI38+ML38,EY38-PC38)*(1+Slot14_Rate),0)</f>
        <v>0</v>
      </c>
      <c r="SN38" s="20" t="n">
        <f aca="false">IF(AND(HU38=1,EX38=1),(MH38+ML38)/F38,0)</f>
        <v>0</v>
      </c>
      <c r="SO38" s="20" t="n">
        <f aca="false">IF(B38=0,MH38+ML38,0)</f>
        <v>0</v>
      </c>
      <c r="SP38" s="20" t="n">
        <f aca="false">IF(B38=0,IF(HU38=1,MJ38,MK38),0)</f>
        <v>0</v>
      </c>
      <c r="SQ38" s="20" t="n">
        <f aca="false">IF(FH38=1,IF(HU38=1,MQ38+MT38,FI38-PA38)*(1+Slot15_Rate),0)</f>
        <v>0</v>
      </c>
      <c r="SR38" s="20" t="n">
        <f aca="false">IF(AND(HU38=1,FH38=1),(MP38+MT38)/F38,0)</f>
        <v>0</v>
      </c>
      <c r="SS38" s="20" t="n">
        <f aca="false">IF(B38=0,MP38+MT38,0)</f>
        <v>0</v>
      </c>
      <c r="ST38" s="20" t="n">
        <f aca="false">IF(B38=0,IF(HU38=1,MR38,MS38),0)</f>
        <v>0</v>
      </c>
      <c r="SU38" s="20" t="n">
        <f aca="false">IF(FR38=1,IF(HU38=1,MY38+NB38,FS38-OY38)*(1+Slot16_Rate),0)</f>
        <v>0</v>
      </c>
      <c r="SV38" s="20" t="n">
        <f aca="false">IF(AND(HU38=1,FR38=1),(MX38+NB38)/F38,0)</f>
        <v>0</v>
      </c>
      <c r="SW38" s="20" t="n">
        <f aca="false">IF(B38=0,MX38+NB38,0)</f>
        <v>0</v>
      </c>
      <c r="SX38" s="20" t="n">
        <f aca="false">IF(B38=0,IF(HU38=1,MZ38,NA38),0)</f>
        <v>0</v>
      </c>
      <c r="SY38" s="20" t="n">
        <f aca="false">IF(GB38=1,IF(HU38=1,NG38+NJ38,GC38-OW38)*(1+Slot17_Rate),0)</f>
        <v>0</v>
      </c>
      <c r="SZ38" s="20" t="n">
        <f aca="false">IF(AND(HU38=1,GB38=1),(NF38+NJ38)/F38,0)</f>
        <v>0</v>
      </c>
      <c r="TA38" s="20" t="n">
        <f aca="false">IF(B38=0,NF38+NJ38,0)</f>
        <v>0</v>
      </c>
      <c r="TB38" s="20" t="n">
        <f aca="false">IF(B38=0,IF(HU38=1,NH38,NI38),0)</f>
        <v>0</v>
      </c>
      <c r="TC38" s="20" t="n">
        <f aca="false">IF(GL38=1,IF(HU38=1,NO38+NR38,GM38-OU38)*(1+Slot18_Rate),0)</f>
        <v>0</v>
      </c>
      <c r="TD38" s="20" t="n">
        <f aca="false">IF(AND(HU38=1,GL38=1),(NN38+NR38)/F38,0)</f>
        <v>0</v>
      </c>
      <c r="TE38" s="20" t="n">
        <f aca="false">IF(B38=0,NN38+NR38,0)</f>
        <v>0</v>
      </c>
      <c r="TF38" s="20" t="n">
        <f aca="false">IF(B38=0,IF(HU38=1,NP38,NQ38),0)</f>
        <v>0</v>
      </c>
      <c r="TG38" s="20" t="n">
        <f aca="false">IF(GV38=1,IF(HU38=1,NW38+NZ38,GW38-OS38)*(1+Slot19_Rate),0)</f>
        <v>0</v>
      </c>
      <c r="TH38" s="20" t="n">
        <f aca="false">IF(AND(HU38=1,GV38=1),(NV38+NZ38)/F38,0)</f>
        <v>0</v>
      </c>
      <c r="TI38" s="20" t="n">
        <f aca="false">IF(B38=0,NV38+NZ38,0)</f>
        <v>0</v>
      </c>
      <c r="TJ38" s="20" t="n">
        <f aca="false">IF(B38=0,IF(HU38=1,NX38,NY38),0)</f>
        <v>0</v>
      </c>
      <c r="TK38" s="20" t="n">
        <f aca="false">IF(HF38=1,IF(HU38=1,OE38+OH38,HG38-OQ38)*(1+Slot20_Rate),0)</f>
        <v>0</v>
      </c>
      <c r="TL38" s="20" t="n">
        <f aca="false">IF(AND(HU38=1,HF38=1),(OD38+OH38)/F38,0)</f>
        <v>0</v>
      </c>
      <c r="TM38" s="20" t="n">
        <f aca="false">IF(B38=0,OD38+OH38,0)</f>
        <v>0</v>
      </c>
      <c r="TN38" s="20" t="n">
        <f aca="false">IF(B38=0,IF(HU38=1,OF38,OG38),0)</f>
        <v>0</v>
      </c>
      <c r="TO38" s="20" t="n">
        <f aca="false">QK38+QL38+QM38+QQ38+QU38+QY38+RC38+RG38+RK38+RO38+RS38+RW38+SA38+SE38+SI38+SM38+SQ38+SU38+SY38+TC38+TG38+TK38</f>
        <v>186041.323729839</v>
      </c>
      <c r="TP38" s="20" t="n">
        <f aca="false">QE38+HP38</f>
        <v>0</v>
      </c>
      <c r="TQ38" s="20" t="n">
        <f aca="false">I38+S38</f>
        <v>86583.0837201404</v>
      </c>
      <c r="TR38" s="20" t="n">
        <f aca="false">1-G38</f>
        <v>1</v>
      </c>
      <c r="TS38" s="20" t="n">
        <f aca="false">IF(AND(RG_Exists=1,G38=0,C38=1),I38,0)</f>
        <v>86583.0837201404</v>
      </c>
      <c r="TT38" s="20" t="n">
        <f aca="false">IF(AND(RG_Exists=1,G38=0,C38=1),I38-MIN(QE38,I38),0)</f>
        <v>86583.0837201404</v>
      </c>
      <c r="TU38" s="20" t="n">
        <f aca="false">'Plan pay &amp; tax'!AD264</f>
        <v>421199.841622659</v>
      </c>
      <c r="TV38" s="20" t="n">
        <f aca="false">IF(AND(C38=1,QE38&gt;MAX(PR_Short1,TQ38*PR_Short2)),1,0)</f>
        <v>0</v>
      </c>
      <c r="TW38" s="20" t="n">
        <f aca="false">MIN(H38,I38+S38)</f>
        <v>66406.5620056574</v>
      </c>
      <c r="TX38" s="20" t="n">
        <f aca="false">QF38+MAX(0,HQ38-HP38)</f>
        <v>20176.5217144829</v>
      </c>
      <c r="TY38" s="20" t="n">
        <f aca="false">QE38+HP38</f>
        <v>0</v>
      </c>
      <c r="TZ38" s="20" t="n">
        <f aca="false">IF(AND(C38=1,TY38&gt;PR_MinShort),1,0)</f>
        <v>0</v>
      </c>
      <c r="UA38" s="20" t="n">
        <f aca="false">IF(AND(C38=1,TZ38=0,TX38&gt;PR_MinShort),1,0)</f>
        <v>1</v>
      </c>
      <c r="UB38" s="20" t="n">
        <f aca="false">IF(AND(C38=1,QE38&gt;PR_MinShort),1,0)</f>
        <v>0</v>
      </c>
      <c r="UC38" s="20" t="n">
        <f aca="false">IF(AND(C38=1,QF38&gt;1,UJ38=0),1,0)</f>
        <v>1</v>
      </c>
      <c r="UD38" s="20" t="str">
        <f aca="false">IF(C38=0,"",IF(UJ38=1,"Gap to plan for: short "&amp;"€"&amp;TEXT(ROUND(TP38,0),"#,##0"),IF(QF38&gt;1,"Using savings","Comfortable")))</f>
        <v>Using savings</v>
      </c>
      <c r="UE38" s="20" t="n">
        <f aca="false">IF(AND(INT(D38/10)*10=90,B38&gt;0),80,INT(D38/10)*10)</f>
        <v>60</v>
      </c>
      <c r="UF38" s="20" t="n">
        <f aca="false">IF(B38=0,1,IF(UE38&lt;&gt;UE37,UF37+1,UF37))</f>
        <v>4</v>
      </c>
      <c r="UG38" s="20" t="n">
        <f aca="false">IF(AND(C38=1,G38=1,QE38&gt;MAX(PR_Short1,TQ38*PR_Short2)),1,0)</f>
        <v>0</v>
      </c>
      <c r="UH38" s="20" t="n">
        <f aca="false">TR38*TV38</f>
        <v>0</v>
      </c>
      <c r="UI38" s="20" t="n">
        <f aca="false">IF(AND(V38=1,Slot1_PctLow=1),1,0)+IF(AND(AG38=1,Slot2_PctLow=1),1,0)+IF(AND(AQ38=1,Slot3_PctLow=1),1,0)+IF(AND(BA38=1,Slot4_PctLow=1),1,0)+IF(AND(BK38=1,Slot5_PctLow=1),1,0)+IF(AND(BU38=1,Slot6_PctLow=1),1,0)+IF(AND(CE38=1,Slot7_PctLow=1),1,0)+IF(AND(CO38=1,Slot8_PctLow=1),1,0)+IF(AND(CY38=1,Slot9_PctLow=1),1,0)+IF(AND(DI38=1,Slot10_PctLow=1),1,0)+IF(AND(DS38=1,Slot11_PctLow=1),1,0)+IF(AND(EC38=1,Slot12_PctLow=1),1,0)+IF(AND(EM38=1,Slot13_PctLow=1),1,0)+IF(AND(EW38=1,Slot14_PctLow=1),1,0)+IF(AND(FG38=1,Slot15_PctLow=1),1,0)+IF(AND(FQ38=1,Slot16_PctLow=1),1,0)+IF(AND(GA38=1,Slot17_PctLow=1),1,0)+IF(AND(GK38=1,Slot18_PctLow=1),1,0)+IF(AND(GU38=1,Slot19_PctLow=1),1,0)+IF(AND(HE38=1,Slot20_PctLow=1),1,0)</f>
        <v>0</v>
      </c>
      <c r="UJ38" s="20" t="n">
        <f aca="false">IF(C38=1,IF(OR(TV38=1,UI38&gt;0),1,0),0)</f>
        <v>0</v>
      </c>
    </row>
    <row r="39" customFormat="false" ht="15" hidden="false" customHeight="true" outlineLevel="0" collapsed="false">
      <c r="B39" s="20" t="n">
        <v>31</v>
      </c>
      <c r="C39" s="20" t="n">
        <f aca="false">IF(B39&lt;=F_N,1,0)</f>
        <v>1</v>
      </c>
      <c r="D39" s="20" t="n">
        <f aca="false">'Plan pay &amp; tax'!C265</f>
        <v>69</v>
      </c>
      <c r="E39" s="20" t="str">
        <f aca="false">IF($C39=1,"Income tax "&amp;TEXT(N('Plan pay &amp; tax'!BK265),"#,##0")&amp;"; USC "&amp;TEXT(N('Plan pay &amp; tax'!BM265)+N('Plan pay &amp; tax'!BO265),"#,##0")&amp;"; PRSI "&amp;TEXT(N('Plan pay &amp; tax'!BP265)+N('Plan pay &amp; tax'!BQ265),"#,##0")&amp;". DIRT and exit tax are inside the growth rates here.","")</f>
        <v>Income tax 692; USC 0; PRSI 0. DIRT and exit tax are inside the growth rates here.</v>
      </c>
      <c r="F39" s="44" t="n">
        <f aca="false">'Plan pay &amp; tax'!E265</f>
        <v>1.84758881578542</v>
      </c>
      <c r="G39" s="20" t="n">
        <f aca="false">'Plan pay &amp; tax'!G265</f>
        <v>0</v>
      </c>
      <c r="H39" s="20" t="n">
        <f aca="false">'Plan pay &amp; tax'!BT265-'Plan pay &amp; tax'!BS265-'Plan pay &amp; tax'!R265</f>
        <v>67329.622724307</v>
      </c>
      <c r="I39" s="20" t="n">
        <f aca="false">IF(G39=1,F_CostsM*12,IF(RG_Exists=1,RG_Amount,F_CostsM*12*AS_RetireSpend))*F39+F_OneOffY*F39</f>
        <v>88314.7453945432</v>
      </c>
      <c r="J39" s="20" t="n">
        <f aca="false">HR38</f>
        <v>0</v>
      </c>
      <c r="K39" s="20" t="n">
        <f aca="false">IF(J39&gt;1,'Plan debt months'!AC39,0)</f>
        <v>0</v>
      </c>
      <c r="L39" s="20" t="n">
        <f aca="false">IF(J39&gt;1,'Plan debt months'!AB39,J39)</f>
        <v>0</v>
      </c>
      <c r="M39" s="20" t="n">
        <f aca="false">O38</f>
        <v>0</v>
      </c>
      <c r="N39" s="20" t="n">
        <f aca="false">IF(M39&gt;1,'Plan debt months'!BD39,0)</f>
        <v>0</v>
      </c>
      <c r="O39" s="20" t="n">
        <f aca="false">IF(M39&gt;1,'Plan debt months'!BC39,M39)</f>
        <v>0</v>
      </c>
      <c r="P39" s="20" t="n">
        <f aca="false">R38</f>
        <v>0</v>
      </c>
      <c r="Q39" s="20" t="n">
        <f aca="false">IF(P39&gt;1,'Plan debt months'!CE39,0)</f>
        <v>0</v>
      </c>
      <c r="R39" s="20" t="n">
        <f aca="false">IF(P39&gt;1,'Plan debt months'!CD39,P39)</f>
        <v>0</v>
      </c>
      <c r="S39" s="20" t="n">
        <f aca="false">K39+N39+Q39</f>
        <v>0</v>
      </c>
      <c r="T39" s="20" t="n">
        <f aca="false">QK38+'Plan pay &amp; tax'!Y265</f>
        <v>165215.056232131</v>
      </c>
      <c r="U39" s="20" t="n">
        <f aca="false">QK38</f>
        <v>165215.056232131</v>
      </c>
      <c r="V39" s="20" t="n">
        <f aca="false">IF(AND(Slot1_On=1,D39=Slot1_Age),1,0)</f>
        <v>0</v>
      </c>
      <c r="W39" s="20" t="n">
        <f aca="false">IF(AND(Slot1_On=1,Slot1_Age&gt;D39),1,0)</f>
        <v>0</v>
      </c>
      <c r="X39" s="20" t="n">
        <f aca="false">QM38</f>
        <v>0</v>
      </c>
      <c r="Y39" s="20" t="n">
        <f aca="false">V39*MIN(Slot1_Cost,X39)</f>
        <v>0</v>
      </c>
      <c r="Z39" s="20" t="n">
        <f aca="false">V39*Slot1_SpendLike*MIN(Slot1_Cost-Y39,T39)</f>
        <v>0</v>
      </c>
      <c r="AA39" s="20" t="n">
        <f aca="false">Y39+Z39</f>
        <v>0</v>
      </c>
      <c r="AB39" s="20" t="n">
        <f aca="false">T39-Z39+V39*IF(Slot1_SpendLike=1,X39-Y39,IF(Slot1_PotFree=1,X39,0))</f>
        <v>165215.056232131</v>
      </c>
      <c r="AC39" s="20" t="n">
        <f aca="false">AF39+V39*Slot1_BufPot*X39</f>
        <v>20826.2674977082</v>
      </c>
      <c r="AD39" s="20" t="n">
        <f aca="false">IF(AND(V39=1,Slot1_IsMfree=1),IF(AA39&gt;=Slot1_Cost-1,0,MAX(0,L39-AA39)),L39)</f>
        <v>0</v>
      </c>
      <c r="AE39" s="20" t="n">
        <f aca="false">V39*(Slot1_Cost-AA39)</f>
        <v>0</v>
      </c>
      <c r="AF39" s="20" t="n">
        <f aca="false">QL38</f>
        <v>20826.2674977082</v>
      </c>
      <c r="AG39" s="20" t="n">
        <f aca="false">IF(AND(Slot2_On=1,D39=Slot2_Age),1,0)</f>
        <v>0</v>
      </c>
      <c r="AH39" s="20" t="n">
        <f aca="false">IF(AND(Slot2_On=1,Slot2_Age&gt;D39),1,0)</f>
        <v>0</v>
      </c>
      <c r="AI39" s="20" t="n">
        <f aca="false">QQ38</f>
        <v>0</v>
      </c>
      <c r="AJ39" s="20" t="n">
        <f aca="false">AG39*MIN(Slot2_Cost,AI39)</f>
        <v>0</v>
      </c>
      <c r="AK39" s="20" t="n">
        <f aca="false">AG39*Slot2_SpendLike*MIN(Slot2_Cost-AJ39,AB39)</f>
        <v>0</v>
      </c>
      <c r="AL39" s="20" t="n">
        <f aca="false">AJ39+AK39</f>
        <v>0</v>
      </c>
      <c r="AM39" s="20" t="n">
        <f aca="false">AB39-AK39+AG39*IF(Slot2_SpendLike=1,AI39-AJ39,IF(Slot2_PotFree=1,AI39,0))</f>
        <v>165215.056232131</v>
      </c>
      <c r="AN39" s="20" t="n">
        <f aca="false">AC39+AG39*Slot2_BufPot*AI39</f>
        <v>20826.2674977082</v>
      </c>
      <c r="AO39" s="20" t="n">
        <f aca="false">IF(AND(AG39=1,Slot2_IsMfree=1),IF(AL39&gt;=Slot2_Cost-1,0,MAX(0,AD39-AL39)),AD39)</f>
        <v>0</v>
      </c>
      <c r="AP39" s="20" t="n">
        <f aca="false">AG39*(Slot2_Cost-AL39)</f>
        <v>0</v>
      </c>
      <c r="AQ39" s="20" t="n">
        <f aca="false">IF(AND(Slot3_On=1,D39=Slot3_Age),1,0)</f>
        <v>0</v>
      </c>
      <c r="AR39" s="20" t="n">
        <f aca="false">IF(AND(Slot3_On=1,Slot3_Age&gt;D39),1,0)</f>
        <v>0</v>
      </c>
      <c r="AS39" s="20" t="n">
        <f aca="false">QU38</f>
        <v>0</v>
      </c>
      <c r="AT39" s="20" t="n">
        <f aca="false">AQ39*MIN(Slot3_Cost,AS39)</f>
        <v>0</v>
      </c>
      <c r="AU39" s="20" t="n">
        <f aca="false">AQ39*Slot3_SpendLike*MIN(Slot3_Cost-AT39,AM39)</f>
        <v>0</v>
      </c>
      <c r="AV39" s="20" t="n">
        <f aca="false">AT39+AU39</f>
        <v>0</v>
      </c>
      <c r="AW39" s="20" t="n">
        <f aca="false">AM39-AU39+AQ39*IF(Slot3_SpendLike=1,AS39-AT39,IF(Slot3_PotFree=1,AS39,0))</f>
        <v>165215.056232131</v>
      </c>
      <c r="AX39" s="20" t="n">
        <f aca="false">AN39+AQ39*Slot3_BufPot*AS39</f>
        <v>20826.2674977082</v>
      </c>
      <c r="AY39" s="20" t="n">
        <f aca="false">IF(AND(AQ39=1,Slot3_IsMfree=1),IF(AV39&gt;=Slot3_Cost-1,0,MAX(0,AO39-AV39)),AO39)</f>
        <v>0</v>
      </c>
      <c r="AZ39" s="20" t="n">
        <f aca="false">AQ39*(Slot3_Cost-AV39)</f>
        <v>0</v>
      </c>
      <c r="BA39" s="20" t="n">
        <f aca="false">IF(AND(Slot4_On=1,D39=Slot4_Age),1,0)</f>
        <v>0</v>
      </c>
      <c r="BB39" s="20" t="n">
        <f aca="false">IF(AND(Slot4_On=1,Slot4_Age&gt;D39),1,0)</f>
        <v>0</v>
      </c>
      <c r="BC39" s="20" t="n">
        <f aca="false">QY38</f>
        <v>0</v>
      </c>
      <c r="BD39" s="20" t="n">
        <f aca="false">BA39*MIN(Slot4_Cost,BC39)</f>
        <v>0</v>
      </c>
      <c r="BE39" s="20" t="n">
        <f aca="false">BA39*Slot4_SpendLike*MIN(Slot4_Cost-BD39,AW39)</f>
        <v>0</v>
      </c>
      <c r="BF39" s="20" t="n">
        <f aca="false">BD39+BE39</f>
        <v>0</v>
      </c>
      <c r="BG39" s="20" t="n">
        <f aca="false">AW39-BE39+BA39*IF(Slot4_SpendLike=1,BC39-BD39,IF(Slot4_PotFree=1,BC39,0))</f>
        <v>165215.056232131</v>
      </c>
      <c r="BH39" s="20" t="n">
        <f aca="false">AX39+BA39*Slot4_BufPot*BC39</f>
        <v>20826.2674977082</v>
      </c>
      <c r="BI39" s="20" t="n">
        <f aca="false">IF(AND(BA39=1,Slot4_IsMfree=1),IF(BF39&gt;=Slot4_Cost-1,0,MAX(0,AY39-BF39)),AY39)</f>
        <v>0</v>
      </c>
      <c r="BJ39" s="20" t="n">
        <f aca="false">BA39*(Slot4_Cost-BF39)</f>
        <v>0</v>
      </c>
      <c r="BK39" s="20" t="n">
        <f aca="false">IF(AND(Slot5_On=1,D39=Slot5_Age),1,0)</f>
        <v>0</v>
      </c>
      <c r="BL39" s="20" t="n">
        <f aca="false">IF(AND(Slot5_On=1,Slot5_Age&gt;D39),1,0)</f>
        <v>0</v>
      </c>
      <c r="BM39" s="20" t="n">
        <f aca="false">RC38</f>
        <v>0</v>
      </c>
      <c r="BN39" s="20" t="n">
        <f aca="false">BK39*MIN(Slot5_Cost,BM39)</f>
        <v>0</v>
      </c>
      <c r="BO39" s="20" t="n">
        <f aca="false">BK39*Slot5_SpendLike*MIN(Slot5_Cost-BN39,BG39)</f>
        <v>0</v>
      </c>
      <c r="BP39" s="20" t="n">
        <f aca="false">BN39+BO39</f>
        <v>0</v>
      </c>
      <c r="BQ39" s="20" t="n">
        <f aca="false">BG39-BO39+BK39*IF(Slot5_SpendLike=1,BM39-BN39,IF(Slot5_PotFree=1,BM39,0))</f>
        <v>165215.056232131</v>
      </c>
      <c r="BR39" s="20" t="n">
        <f aca="false">BH39+BK39*Slot5_BufPot*BM39</f>
        <v>20826.2674977082</v>
      </c>
      <c r="BS39" s="20" t="n">
        <f aca="false">IF(AND(BK39=1,Slot5_IsMfree=1),IF(BP39&gt;=Slot5_Cost-1,0,MAX(0,BI39-BP39)),BI39)</f>
        <v>0</v>
      </c>
      <c r="BT39" s="20" t="n">
        <f aca="false">BK39*(Slot5_Cost-BP39)</f>
        <v>0</v>
      </c>
      <c r="BU39" s="20" t="n">
        <f aca="false">IF(AND(Slot6_On=1,D39=Slot6_Age),1,0)</f>
        <v>0</v>
      </c>
      <c r="BV39" s="20" t="n">
        <f aca="false">IF(AND(Slot6_On=1,Slot6_Age&gt;D39),1,0)</f>
        <v>0</v>
      </c>
      <c r="BW39" s="20" t="n">
        <f aca="false">RG38</f>
        <v>0</v>
      </c>
      <c r="BX39" s="20" t="n">
        <f aca="false">BU39*MIN(Slot6_Cost,BW39)</f>
        <v>0</v>
      </c>
      <c r="BY39" s="20" t="n">
        <f aca="false">BU39*Slot6_SpendLike*MIN(Slot6_Cost-BX39,BQ39)</f>
        <v>0</v>
      </c>
      <c r="BZ39" s="20" t="n">
        <f aca="false">BX39+BY39</f>
        <v>0</v>
      </c>
      <c r="CA39" s="20" t="n">
        <f aca="false">BQ39-BY39+BU39*IF(Slot6_SpendLike=1,BW39-BX39,IF(Slot6_PotFree=1,BW39,0))</f>
        <v>165215.056232131</v>
      </c>
      <c r="CB39" s="20" t="n">
        <f aca="false">BR39+BU39*Slot6_BufPot*BW39</f>
        <v>20826.2674977082</v>
      </c>
      <c r="CC39" s="20" t="n">
        <f aca="false">IF(AND(BU39=1,Slot6_IsMfree=1),IF(BZ39&gt;=Slot6_Cost-1,0,MAX(0,BS39-BZ39)),BS39)</f>
        <v>0</v>
      </c>
      <c r="CD39" s="20" t="n">
        <f aca="false">BU39*(Slot6_Cost-BZ39)</f>
        <v>0</v>
      </c>
      <c r="CE39" s="20" t="n">
        <f aca="false">IF(AND(Slot7_On=1,D39=Slot7_Age),1,0)</f>
        <v>0</v>
      </c>
      <c r="CF39" s="20" t="n">
        <f aca="false">IF(AND(Slot7_On=1,Slot7_Age&gt;D39),1,0)</f>
        <v>0</v>
      </c>
      <c r="CG39" s="20" t="n">
        <f aca="false">RK38</f>
        <v>0</v>
      </c>
      <c r="CH39" s="20" t="n">
        <f aca="false">CE39*MIN(Slot7_Cost,CG39)</f>
        <v>0</v>
      </c>
      <c r="CI39" s="20" t="n">
        <f aca="false">CE39*Slot7_SpendLike*MIN(Slot7_Cost-CH39,CA39)</f>
        <v>0</v>
      </c>
      <c r="CJ39" s="20" t="n">
        <f aca="false">CH39+CI39</f>
        <v>0</v>
      </c>
      <c r="CK39" s="20" t="n">
        <f aca="false">CA39-CI39+CE39*IF(Slot7_SpendLike=1,CG39-CH39,IF(Slot7_PotFree=1,CG39,0))</f>
        <v>165215.056232131</v>
      </c>
      <c r="CL39" s="20" t="n">
        <f aca="false">CB39+CE39*Slot7_BufPot*CG39</f>
        <v>20826.2674977082</v>
      </c>
      <c r="CM39" s="20" t="n">
        <f aca="false">IF(AND(CE39=1,Slot7_IsMfree=1),IF(CJ39&gt;=Slot7_Cost-1,0,MAX(0,CC39-CJ39)),CC39)</f>
        <v>0</v>
      </c>
      <c r="CN39" s="20" t="n">
        <f aca="false">CE39*(Slot7_Cost-CJ39)</f>
        <v>0</v>
      </c>
      <c r="CO39" s="20" t="n">
        <f aca="false">IF(AND(Slot8_On=1,D39=Slot8_Age),1,0)</f>
        <v>0</v>
      </c>
      <c r="CP39" s="20" t="n">
        <f aca="false">IF(AND(Slot8_On=1,Slot8_Age&gt;D39),1,0)</f>
        <v>0</v>
      </c>
      <c r="CQ39" s="20" t="n">
        <f aca="false">RO38</f>
        <v>0</v>
      </c>
      <c r="CR39" s="20" t="n">
        <f aca="false">CO39*MIN(Slot8_Cost,CQ39)</f>
        <v>0</v>
      </c>
      <c r="CS39" s="20" t="n">
        <f aca="false">CO39*Slot8_SpendLike*MIN(Slot8_Cost-CR39,CK39)</f>
        <v>0</v>
      </c>
      <c r="CT39" s="20" t="n">
        <f aca="false">CR39+CS39</f>
        <v>0</v>
      </c>
      <c r="CU39" s="20" t="n">
        <f aca="false">CK39-CS39+CO39*IF(Slot8_SpendLike=1,CQ39-CR39,IF(Slot8_PotFree=1,CQ39,0))</f>
        <v>165215.056232131</v>
      </c>
      <c r="CV39" s="20" t="n">
        <f aca="false">CL39+CO39*Slot8_BufPot*CQ39</f>
        <v>20826.2674977082</v>
      </c>
      <c r="CW39" s="20" t="n">
        <f aca="false">IF(AND(CO39=1,Slot8_IsMfree=1),IF(CT39&gt;=Slot8_Cost-1,0,MAX(0,CM39-CT39)),CM39)</f>
        <v>0</v>
      </c>
      <c r="CX39" s="20" t="n">
        <f aca="false">CO39*(Slot8_Cost-CT39)</f>
        <v>0</v>
      </c>
      <c r="CY39" s="20" t="n">
        <f aca="false">IF(AND(Slot9_On=1,D39=Slot9_Age),1,0)</f>
        <v>0</v>
      </c>
      <c r="CZ39" s="20" t="n">
        <f aca="false">IF(AND(Slot9_On=1,Slot9_Age&gt;D39),1,0)</f>
        <v>0</v>
      </c>
      <c r="DA39" s="20" t="n">
        <f aca="false">RS38</f>
        <v>0</v>
      </c>
      <c r="DB39" s="20" t="n">
        <f aca="false">CY39*MIN(Slot9_Cost,DA39)</f>
        <v>0</v>
      </c>
      <c r="DC39" s="20" t="n">
        <f aca="false">CY39*Slot9_SpendLike*MIN(Slot9_Cost-DB39,CU39)</f>
        <v>0</v>
      </c>
      <c r="DD39" s="20" t="n">
        <f aca="false">DB39+DC39</f>
        <v>0</v>
      </c>
      <c r="DE39" s="20" t="n">
        <f aca="false">CU39-DC39+CY39*IF(Slot9_SpendLike=1,DA39-DB39,IF(Slot9_PotFree=1,DA39,0))</f>
        <v>165215.056232131</v>
      </c>
      <c r="DF39" s="20" t="n">
        <f aca="false">CV39+CY39*Slot9_BufPot*DA39</f>
        <v>20826.2674977082</v>
      </c>
      <c r="DG39" s="20" t="n">
        <f aca="false">IF(AND(CY39=1,Slot9_IsMfree=1),IF(DD39&gt;=Slot9_Cost-1,0,MAX(0,CW39-DD39)),CW39)</f>
        <v>0</v>
      </c>
      <c r="DH39" s="20" t="n">
        <f aca="false">CY39*(Slot9_Cost-DD39)</f>
        <v>0</v>
      </c>
      <c r="DI39" s="20" t="n">
        <f aca="false">IF(AND(Slot10_On=1,D39=Slot10_Age),1,0)</f>
        <v>0</v>
      </c>
      <c r="DJ39" s="20" t="n">
        <f aca="false">IF(AND(Slot10_On=1,Slot10_Age&gt;D39),1,0)</f>
        <v>0</v>
      </c>
      <c r="DK39" s="20" t="n">
        <f aca="false">RW38</f>
        <v>0</v>
      </c>
      <c r="DL39" s="20" t="n">
        <f aca="false">DI39*MIN(Slot10_Cost,DK39)</f>
        <v>0</v>
      </c>
      <c r="DM39" s="20" t="n">
        <f aca="false">DI39*Slot10_SpendLike*MIN(Slot10_Cost-DL39,DE39)</f>
        <v>0</v>
      </c>
      <c r="DN39" s="20" t="n">
        <f aca="false">DL39+DM39</f>
        <v>0</v>
      </c>
      <c r="DO39" s="20" t="n">
        <f aca="false">DE39-DM39+DI39*IF(Slot10_SpendLike=1,DK39-DL39,IF(Slot10_PotFree=1,DK39,0))</f>
        <v>165215.056232131</v>
      </c>
      <c r="DP39" s="20" t="n">
        <f aca="false">DF39+DI39*Slot10_BufPot*DK39</f>
        <v>20826.2674977082</v>
      </c>
      <c r="DQ39" s="20" t="n">
        <f aca="false">IF(AND(DI39=1,Slot10_IsMfree=1),IF(DN39&gt;=Slot10_Cost-1,0,MAX(0,DG39-DN39)),DG39)</f>
        <v>0</v>
      </c>
      <c r="DR39" s="20" t="n">
        <f aca="false">DI39*(Slot10_Cost-DN39)</f>
        <v>0</v>
      </c>
      <c r="DS39" s="20" t="n">
        <f aca="false">IF(AND(Slot11_On=1,D39=Slot11_Age),1,0)</f>
        <v>0</v>
      </c>
      <c r="DT39" s="20" t="n">
        <f aca="false">IF(AND(Slot11_On=1,Slot11_Age&gt;D39),1,0)</f>
        <v>0</v>
      </c>
      <c r="DU39" s="20" t="n">
        <f aca="false">SA38</f>
        <v>0</v>
      </c>
      <c r="DV39" s="20" t="n">
        <f aca="false">DS39*MIN(Slot11_Cost,DU39)</f>
        <v>0</v>
      </c>
      <c r="DW39" s="20" t="n">
        <f aca="false">DS39*Slot11_SpendLike*MIN(Slot11_Cost-DV39,DO39)</f>
        <v>0</v>
      </c>
      <c r="DX39" s="20" t="n">
        <f aca="false">DV39+DW39</f>
        <v>0</v>
      </c>
      <c r="DY39" s="20" t="n">
        <f aca="false">DO39-DW39+DS39*IF(Slot11_SpendLike=1,DU39-DV39,IF(Slot11_PotFree=1,DU39,0))</f>
        <v>165215.056232131</v>
      </c>
      <c r="DZ39" s="20" t="n">
        <f aca="false">DP39+DS39*Slot11_BufPot*DU39</f>
        <v>20826.2674977082</v>
      </c>
      <c r="EA39" s="20" t="n">
        <f aca="false">IF(AND(DS39=1,Slot11_IsMfree=1),IF(DX39&gt;=Slot11_Cost-1,0,MAX(0,DQ39-DX39)),DQ39)</f>
        <v>0</v>
      </c>
      <c r="EB39" s="20" t="n">
        <f aca="false">DS39*(Slot11_Cost-DX39)</f>
        <v>0</v>
      </c>
      <c r="EC39" s="20" t="n">
        <f aca="false">IF(AND(Slot12_On=1,D39=Slot12_Age),1,0)</f>
        <v>0</v>
      </c>
      <c r="ED39" s="20" t="n">
        <f aca="false">IF(AND(Slot12_On=1,Slot12_Age&gt;D39),1,0)</f>
        <v>0</v>
      </c>
      <c r="EE39" s="20" t="n">
        <f aca="false">SE38</f>
        <v>0</v>
      </c>
      <c r="EF39" s="20" t="n">
        <f aca="false">EC39*MIN(Slot12_Cost,EE39)</f>
        <v>0</v>
      </c>
      <c r="EG39" s="20" t="n">
        <f aca="false">EC39*Slot12_SpendLike*MIN(Slot12_Cost-EF39,DY39)</f>
        <v>0</v>
      </c>
      <c r="EH39" s="20" t="n">
        <f aca="false">EF39+EG39</f>
        <v>0</v>
      </c>
      <c r="EI39" s="20" t="n">
        <f aca="false">DY39-EG39+EC39*IF(Slot12_SpendLike=1,EE39-EF39,IF(Slot12_PotFree=1,EE39,0))</f>
        <v>165215.056232131</v>
      </c>
      <c r="EJ39" s="20" t="n">
        <f aca="false">DZ39+EC39*Slot12_BufPot*EE39</f>
        <v>20826.2674977082</v>
      </c>
      <c r="EK39" s="20" t="n">
        <f aca="false">IF(AND(EC39=1,Slot12_IsMfree=1),IF(EH39&gt;=Slot12_Cost-1,0,MAX(0,EA39-EH39)),EA39)</f>
        <v>0</v>
      </c>
      <c r="EL39" s="20" t="n">
        <f aca="false">EC39*(Slot12_Cost-EH39)</f>
        <v>0</v>
      </c>
      <c r="EM39" s="20" t="n">
        <f aca="false">IF(AND(Slot13_On=1,D39=Slot13_Age),1,0)</f>
        <v>0</v>
      </c>
      <c r="EN39" s="20" t="n">
        <f aca="false">IF(AND(Slot13_On=1,Slot13_Age&gt;D39),1,0)</f>
        <v>0</v>
      </c>
      <c r="EO39" s="20" t="n">
        <f aca="false">SI38</f>
        <v>0</v>
      </c>
      <c r="EP39" s="20" t="n">
        <f aca="false">EM39*MIN(Slot13_Cost,EO39)</f>
        <v>0</v>
      </c>
      <c r="EQ39" s="20" t="n">
        <f aca="false">EM39*Slot13_SpendLike*MIN(Slot13_Cost-EP39,EI39)</f>
        <v>0</v>
      </c>
      <c r="ER39" s="20" t="n">
        <f aca="false">EP39+EQ39</f>
        <v>0</v>
      </c>
      <c r="ES39" s="20" t="n">
        <f aca="false">EI39-EQ39+EM39*IF(Slot13_SpendLike=1,EO39-EP39,IF(Slot13_PotFree=1,EO39,0))</f>
        <v>165215.056232131</v>
      </c>
      <c r="ET39" s="20" t="n">
        <f aca="false">EJ39+EM39*Slot13_BufPot*EO39</f>
        <v>20826.2674977082</v>
      </c>
      <c r="EU39" s="20" t="n">
        <f aca="false">IF(AND(EM39=1,Slot13_IsMfree=1),IF(ER39&gt;=Slot13_Cost-1,0,MAX(0,EK39-ER39)),EK39)</f>
        <v>0</v>
      </c>
      <c r="EV39" s="20" t="n">
        <f aca="false">EM39*(Slot13_Cost-ER39)</f>
        <v>0</v>
      </c>
      <c r="EW39" s="20" t="n">
        <f aca="false">IF(AND(Slot14_On=1,D39=Slot14_Age),1,0)</f>
        <v>0</v>
      </c>
      <c r="EX39" s="20" t="n">
        <f aca="false">IF(AND(Slot14_On=1,Slot14_Age&gt;D39),1,0)</f>
        <v>0</v>
      </c>
      <c r="EY39" s="20" t="n">
        <f aca="false">SM38</f>
        <v>0</v>
      </c>
      <c r="EZ39" s="20" t="n">
        <f aca="false">EW39*MIN(Slot14_Cost,EY39)</f>
        <v>0</v>
      </c>
      <c r="FA39" s="20" t="n">
        <f aca="false">EW39*Slot14_SpendLike*MIN(Slot14_Cost-EZ39,ES39)</f>
        <v>0</v>
      </c>
      <c r="FB39" s="20" t="n">
        <f aca="false">EZ39+FA39</f>
        <v>0</v>
      </c>
      <c r="FC39" s="20" t="n">
        <f aca="false">ES39-FA39+EW39*IF(Slot14_SpendLike=1,EY39-EZ39,IF(Slot14_PotFree=1,EY39,0))</f>
        <v>165215.056232131</v>
      </c>
      <c r="FD39" s="20" t="n">
        <f aca="false">ET39+EW39*Slot14_BufPot*EY39</f>
        <v>20826.2674977082</v>
      </c>
      <c r="FE39" s="20" t="n">
        <f aca="false">IF(AND(EW39=1,Slot14_IsMfree=1),IF(FB39&gt;=Slot14_Cost-1,0,MAX(0,EU39-FB39)),EU39)</f>
        <v>0</v>
      </c>
      <c r="FF39" s="20" t="n">
        <f aca="false">EW39*(Slot14_Cost-FB39)</f>
        <v>0</v>
      </c>
      <c r="FG39" s="20" t="n">
        <f aca="false">IF(AND(Slot15_On=1,D39=Slot15_Age),1,0)</f>
        <v>0</v>
      </c>
      <c r="FH39" s="20" t="n">
        <f aca="false">IF(AND(Slot15_On=1,Slot15_Age&gt;D39),1,0)</f>
        <v>0</v>
      </c>
      <c r="FI39" s="20" t="n">
        <f aca="false">SQ38</f>
        <v>0</v>
      </c>
      <c r="FJ39" s="20" t="n">
        <f aca="false">FG39*MIN(Slot15_Cost,FI39)</f>
        <v>0</v>
      </c>
      <c r="FK39" s="20" t="n">
        <f aca="false">FG39*Slot15_SpendLike*MIN(Slot15_Cost-FJ39,FC39)</f>
        <v>0</v>
      </c>
      <c r="FL39" s="20" t="n">
        <f aca="false">FJ39+FK39</f>
        <v>0</v>
      </c>
      <c r="FM39" s="20" t="n">
        <f aca="false">FC39-FK39+FG39*IF(Slot15_SpendLike=1,FI39-FJ39,IF(Slot15_PotFree=1,FI39,0))</f>
        <v>165215.056232131</v>
      </c>
      <c r="FN39" s="20" t="n">
        <f aca="false">FD39+FG39*Slot15_BufPot*FI39</f>
        <v>20826.2674977082</v>
      </c>
      <c r="FO39" s="20" t="n">
        <f aca="false">IF(AND(FG39=1,Slot15_IsMfree=1),IF(FL39&gt;=Slot15_Cost-1,0,MAX(0,FE39-FL39)),FE39)</f>
        <v>0</v>
      </c>
      <c r="FP39" s="20" t="n">
        <f aca="false">FG39*(Slot15_Cost-FL39)</f>
        <v>0</v>
      </c>
      <c r="FQ39" s="20" t="n">
        <f aca="false">IF(AND(Slot16_On=1,D39=Slot16_Age),1,0)</f>
        <v>0</v>
      </c>
      <c r="FR39" s="20" t="n">
        <f aca="false">IF(AND(Slot16_On=1,Slot16_Age&gt;D39),1,0)</f>
        <v>0</v>
      </c>
      <c r="FS39" s="20" t="n">
        <f aca="false">SU38</f>
        <v>0</v>
      </c>
      <c r="FT39" s="20" t="n">
        <f aca="false">FQ39*MIN(Slot16_Cost,FS39)</f>
        <v>0</v>
      </c>
      <c r="FU39" s="20" t="n">
        <f aca="false">FQ39*Slot16_SpendLike*MIN(Slot16_Cost-FT39,FM39)</f>
        <v>0</v>
      </c>
      <c r="FV39" s="20" t="n">
        <f aca="false">FT39+FU39</f>
        <v>0</v>
      </c>
      <c r="FW39" s="20" t="n">
        <f aca="false">FM39-FU39+FQ39*IF(Slot16_SpendLike=1,FS39-FT39,IF(Slot16_PotFree=1,FS39,0))</f>
        <v>165215.056232131</v>
      </c>
      <c r="FX39" s="20" t="n">
        <f aca="false">FN39+FQ39*Slot16_BufPot*FS39</f>
        <v>20826.2674977082</v>
      </c>
      <c r="FY39" s="20" t="n">
        <f aca="false">IF(AND(FQ39=1,Slot16_IsMfree=1),IF(FV39&gt;=Slot16_Cost-1,0,MAX(0,FO39-FV39)),FO39)</f>
        <v>0</v>
      </c>
      <c r="FZ39" s="20" t="n">
        <f aca="false">FQ39*(Slot16_Cost-FV39)</f>
        <v>0</v>
      </c>
      <c r="GA39" s="20" t="n">
        <f aca="false">IF(AND(Slot17_On=1,D39=Slot17_Age),1,0)</f>
        <v>0</v>
      </c>
      <c r="GB39" s="20" t="n">
        <f aca="false">IF(AND(Slot17_On=1,Slot17_Age&gt;D39),1,0)</f>
        <v>0</v>
      </c>
      <c r="GC39" s="20" t="n">
        <f aca="false">SY38</f>
        <v>0</v>
      </c>
      <c r="GD39" s="20" t="n">
        <f aca="false">GA39*MIN(Slot17_Cost,GC39)</f>
        <v>0</v>
      </c>
      <c r="GE39" s="20" t="n">
        <f aca="false">GA39*Slot17_SpendLike*MIN(Slot17_Cost-GD39,FW39)</f>
        <v>0</v>
      </c>
      <c r="GF39" s="20" t="n">
        <f aca="false">GD39+GE39</f>
        <v>0</v>
      </c>
      <c r="GG39" s="20" t="n">
        <f aca="false">FW39-GE39+GA39*IF(Slot17_SpendLike=1,GC39-GD39,IF(Slot17_PotFree=1,GC39,0))</f>
        <v>165215.056232131</v>
      </c>
      <c r="GH39" s="20" t="n">
        <f aca="false">FX39+GA39*Slot17_BufPot*GC39</f>
        <v>20826.2674977082</v>
      </c>
      <c r="GI39" s="20" t="n">
        <f aca="false">IF(AND(GA39=1,Slot17_IsMfree=1),IF(GF39&gt;=Slot17_Cost-1,0,MAX(0,FY39-GF39)),FY39)</f>
        <v>0</v>
      </c>
      <c r="GJ39" s="20" t="n">
        <f aca="false">GA39*(Slot17_Cost-GF39)</f>
        <v>0</v>
      </c>
      <c r="GK39" s="20" t="n">
        <f aca="false">IF(AND(Slot18_On=1,D39=Slot18_Age),1,0)</f>
        <v>0</v>
      </c>
      <c r="GL39" s="20" t="n">
        <f aca="false">IF(AND(Slot18_On=1,Slot18_Age&gt;D39),1,0)</f>
        <v>0</v>
      </c>
      <c r="GM39" s="20" t="n">
        <f aca="false">TC38</f>
        <v>0</v>
      </c>
      <c r="GN39" s="20" t="n">
        <f aca="false">GK39*MIN(Slot18_Cost,GM39)</f>
        <v>0</v>
      </c>
      <c r="GO39" s="20" t="n">
        <f aca="false">GK39*Slot18_SpendLike*MIN(Slot18_Cost-GN39,GG39)</f>
        <v>0</v>
      </c>
      <c r="GP39" s="20" t="n">
        <f aca="false">GN39+GO39</f>
        <v>0</v>
      </c>
      <c r="GQ39" s="20" t="n">
        <f aca="false">GG39-GO39+GK39*IF(Slot18_SpendLike=1,GM39-GN39,IF(Slot18_PotFree=1,GM39,0))</f>
        <v>165215.056232131</v>
      </c>
      <c r="GR39" s="20" t="n">
        <f aca="false">GH39+GK39*Slot18_BufPot*GM39</f>
        <v>20826.2674977082</v>
      </c>
      <c r="GS39" s="20" t="n">
        <f aca="false">IF(AND(GK39=1,Slot18_IsMfree=1),IF(GP39&gt;=Slot18_Cost-1,0,MAX(0,GI39-GP39)),GI39)</f>
        <v>0</v>
      </c>
      <c r="GT39" s="20" t="n">
        <f aca="false">GK39*(Slot18_Cost-GP39)</f>
        <v>0</v>
      </c>
      <c r="GU39" s="20" t="n">
        <f aca="false">IF(AND(Slot19_On=1,D39=Slot19_Age),1,0)</f>
        <v>0</v>
      </c>
      <c r="GV39" s="20" t="n">
        <f aca="false">IF(AND(Slot19_On=1,Slot19_Age&gt;D39),1,0)</f>
        <v>0</v>
      </c>
      <c r="GW39" s="20" t="n">
        <f aca="false">TG38</f>
        <v>0</v>
      </c>
      <c r="GX39" s="20" t="n">
        <f aca="false">GU39*MIN(Slot19_Cost,GW39)</f>
        <v>0</v>
      </c>
      <c r="GY39" s="20" t="n">
        <f aca="false">GU39*Slot19_SpendLike*MIN(Slot19_Cost-GX39,GQ39)</f>
        <v>0</v>
      </c>
      <c r="GZ39" s="20" t="n">
        <f aca="false">GX39+GY39</f>
        <v>0</v>
      </c>
      <c r="HA39" s="20" t="n">
        <f aca="false">GQ39-GY39+GU39*IF(Slot19_SpendLike=1,GW39-GX39,IF(Slot19_PotFree=1,GW39,0))</f>
        <v>165215.056232131</v>
      </c>
      <c r="HB39" s="20" t="n">
        <f aca="false">GR39+GU39*Slot19_BufPot*GW39</f>
        <v>20826.2674977082</v>
      </c>
      <c r="HC39" s="20" t="n">
        <f aca="false">IF(AND(GU39=1,Slot19_IsMfree=1),IF(GZ39&gt;=Slot19_Cost-1,0,MAX(0,GS39-GZ39)),GS39)</f>
        <v>0</v>
      </c>
      <c r="HD39" s="20" t="n">
        <f aca="false">GU39*(Slot19_Cost-GZ39)</f>
        <v>0</v>
      </c>
      <c r="HE39" s="20" t="n">
        <f aca="false">IF(AND(Slot20_On=1,D39=Slot20_Age),1,0)</f>
        <v>0</v>
      </c>
      <c r="HF39" s="20" t="n">
        <f aca="false">IF(AND(Slot20_On=1,Slot20_Age&gt;D39),1,0)</f>
        <v>0</v>
      </c>
      <c r="HG39" s="20" t="n">
        <f aca="false">TK38</f>
        <v>0</v>
      </c>
      <c r="HH39" s="20" t="n">
        <f aca="false">HE39*MIN(Slot20_Cost,HG39)</f>
        <v>0</v>
      </c>
      <c r="HI39" s="20" t="n">
        <f aca="false">HE39*Slot20_SpendLike*MIN(Slot20_Cost-HH39,HA39)</f>
        <v>0</v>
      </c>
      <c r="HJ39" s="20" t="n">
        <f aca="false">HH39+HI39</f>
        <v>0</v>
      </c>
      <c r="HK39" s="20" t="n">
        <f aca="false">HA39-HI39+HE39*IF(Slot20_SpendLike=1,HG39-HH39,IF(Slot20_PotFree=1,HG39,0))</f>
        <v>165215.056232131</v>
      </c>
      <c r="HL39" s="20" t="n">
        <f aca="false">HB39+HE39*Slot20_BufPot*HG39</f>
        <v>20826.2674977082</v>
      </c>
      <c r="HM39" s="20" t="n">
        <f aca="false">IF(AND(HE39=1,Slot20_IsMfree=1),IF(HJ39&gt;=Slot20_Cost-1,0,MAX(0,HC39-HJ39)),HC39)</f>
        <v>0</v>
      </c>
      <c r="HN39" s="20" t="n">
        <f aca="false">HE39*(Slot20_Cost-HJ39)</f>
        <v>0</v>
      </c>
      <c r="HO39" s="20" t="n">
        <f aca="false">V39*Slot1_SpendLike*AA39+AG39*Slot2_SpendLike*AL39+AQ39*Slot3_SpendLike*AV39+BA39*Slot4_SpendLike*BF39+BK39*Slot5_SpendLike*BP39+BU39*Slot6_SpendLike*BZ39+CE39*Slot7_SpendLike*CJ39+CO39*Slot8_SpendLike*CT39+CY39*Slot9_SpendLike*DD39+DI39*Slot10_SpendLike*DN39+DS39*Slot11_SpendLike*DX39+EC39*Slot12_SpendLike*EH39+EM39*Slot13_SpendLike*ER39+EW39*Slot14_SpendLike*FB39+FG39*Slot15_SpendLike*FL39+FQ39*Slot16_SpendLike*FV39+GA39*Slot17_SpendLike*GF39+GK39*Slot18_SpendLike*GP39+GU39*Slot19_SpendLike*GZ39+HE39*Slot20_SpendLike*HJ39</f>
        <v>0</v>
      </c>
      <c r="HP39" s="20" t="n">
        <f aca="false">AE39+AP39+AZ39+BJ39+BT39+CD39+CN39+CX39+DH39+DR39+EB39+EL39+EV39+FF39+FP39+FZ39+GJ39+GT39+HD39+HN39</f>
        <v>0</v>
      </c>
      <c r="HQ39" s="20" t="n">
        <f aca="false">V39*Slot1_Cost+AG39*Slot2_Cost+AQ39*Slot3_Cost+BA39*Slot4_Cost+BK39*Slot5_Cost+BU39*Slot6_Cost+CE39*Slot7_Cost+CO39*Slot8_Cost+CY39*Slot9_Cost+DI39*Slot10_Cost+DS39*Slot11_Cost+EC39*Slot12_Cost+EM39*Slot13_Cost+EW39*Slot14_Cost+FG39*Slot15_Cost+FQ39*Slot16_Cost+GA39*Slot17_Cost+GK39*Slot18_Cost+GU39*Slot19_Cost+HE39*Slot20_Cost</f>
        <v>0</v>
      </c>
      <c r="HR39" s="20" t="n">
        <f aca="false">HM39</f>
        <v>0</v>
      </c>
      <c r="HS39" s="20" t="n">
        <f aca="false">H39-I39-S39</f>
        <v>-20985.1226702362</v>
      </c>
      <c r="HT39" s="20" t="n">
        <f aca="false">IF(B39=0,IF(AND(Has_q6=1,In_q6=4),PR_ShareVaries*(MAX(0,HS39)/12),MIN(IF(Has_q6=1,CHOOSE(In_q6+1,PR_SaveB1,PR_SaveB2,PR_SaveB3,PR_SaveB4,0),AS_NoAnswer),AS_SaveShare*(MAX(0,HS39)/12))),HT38)</f>
        <v>62.3316893520437</v>
      </c>
      <c r="HU39" s="20" t="n">
        <f aca="false">IF(HS39&gt;=0,1,0)</f>
        <v>0</v>
      </c>
      <c r="HV39" s="20" t="n">
        <f aca="false">MAX(0,HS39/12/F39)</f>
        <v>0</v>
      </c>
      <c r="HW39" s="20" t="n">
        <f aca="false">IF(AND(Has_q6=1,In_q6=4),PR_ShareVaries*(HV39),MIN(IF(Has_q6=1,CHOOSE(In_q6+1,PR_SaveB1,PR_SaveB2,PR_SaveB3,PR_SaveB4,0),AS_NoAnswer),AS_SaveShare*(HV39)))</f>
        <v>0</v>
      </c>
      <c r="HX39" s="20" t="n">
        <f aca="false">IF(Has_saveM=1,IF(In_saveUp="Yes",1,IF(In_saveUp="No",0,IF(In_saveM&gt;=HT39-0.5,1,0))),0)</f>
        <v>0</v>
      </c>
      <c r="HY39" s="20" t="n">
        <f aca="false">IF(Has_saveM=1,MIN(HV39,IF(HX39=1,MAX(In_saveM,HW39),MIN(In_saveM,HW39))),HW39)</f>
        <v>0</v>
      </c>
      <c r="HZ39" s="20" t="n">
        <f aca="false">IF(G39=1,HY39*12*F39,0)</f>
        <v>0</v>
      </c>
      <c r="IA39" s="20" t="n">
        <f aca="false">MAX(0,HZ39+IF(AND(WI_Retire=0,WI_M&lt;0,G39=1),WI_M*12*F39,0))</f>
        <v>0</v>
      </c>
      <c r="IB39" s="20" t="n">
        <f aca="false">Slot1_IsWG*W39+Slot2_IsWG*AH39+Slot3_IsWG*AR39+Slot4_IsWG*BB39+Slot5_IsWG*BL39+Slot6_IsWG*BV39+Slot7_IsWG*CF39+Slot8_IsWG*CP39+Slot9_IsWG*CZ39+Slot10_IsWG*DJ39+Slot11_IsWG*DT39+Slot12_IsWG*ED39+Slot13_IsWG*EN39+Slot14_IsWG*EX39+Slot15_IsWG*FH39+Slot16_IsWG*FR39+Slot17_IsWG*GB39+Slot18_IsWG*GL39+Slot19_IsWG*GV39+Slot20_IsWG*HF39</f>
        <v>0</v>
      </c>
      <c r="IC39" s="20" t="n">
        <f aca="false">IF(AND(WI_Retire=0,WI_M&gt;0,G39=1,IB39&gt;=1),WI_M*12*F39,0)</f>
        <v>0</v>
      </c>
      <c r="ID39" s="20" t="n">
        <f aca="false">IF(HU39=1,MIN(IA39,HS39),0)</f>
        <v>0</v>
      </c>
      <c r="IE39" s="20" t="n">
        <f aca="false">IF(HU39=1,MIN(IC39,HS39-ID39),0)</f>
        <v>0</v>
      </c>
      <c r="IF39" s="20" t="n">
        <f aca="false">IF(W39=1,IF(ABS((1+AS_Wage)/(1+Slot1_Rate)-1)&lt;0.000000000001,(Slot1_Age-D39)*(1+Slot1_Rate)^(Slot1_Age-D39),(1+Slot1_Rate)^(Slot1_Age-D39)*(1-((1+AS_Wage)/(1+Slot1_Rate))^(Slot1_Age-D39))/(1-(1+AS_Wage)/(1+Slot1_Rate))),1)</f>
        <v>1</v>
      </c>
      <c r="IG39" s="20" t="n">
        <f aca="false">IF(AND(HU39=1,IE39&gt;0,Slot1_IsWG=1,W39=1),MAX(0,(Slot1_Cost-X39*(1+Slot1_Rate)^(Slot1_Age-D39))/IF39),0)</f>
        <v>0</v>
      </c>
      <c r="IH39" s="20" t="n">
        <f aca="false">IF(AND(HU39=1,IE39&gt;0,Slot1_IsWG=1,W39=1),MIN(IE39,IG39),0)</f>
        <v>0</v>
      </c>
      <c r="II39" s="20" t="n">
        <f aca="false">X39+IH39</f>
        <v>0</v>
      </c>
      <c r="IJ39" s="20" t="n">
        <f aca="false">IF(W39=1,MAX(0,(Slot1_Cost-II39*(1+Slot1_Rate)^(Slot1_Age-D39))/IF39),0)</f>
        <v>0</v>
      </c>
      <c r="IK39" s="20" t="n">
        <f aca="false">IF(W39=1,MAX(0,(Slot1_Cost-X39*(1+Slot1_Rate)^(Slot1_Age-D39))/IF39),0)</f>
        <v>0</v>
      </c>
      <c r="IL39" s="20" t="n">
        <f aca="false">IF(AND(HU39=1,W39=1),MIN(ID39,IJ39),0)</f>
        <v>0</v>
      </c>
      <c r="IM39" s="20" t="n">
        <f aca="false">ID39-IL39</f>
        <v>0</v>
      </c>
      <c r="IN39" s="20" t="n">
        <f aca="false">IF(AH39=1,IF(ABS((1+AS_Wage)/(1+Slot2_Rate)-1)&lt;0.000000000001,(Slot2_Age-D39)*(1+Slot2_Rate)^(Slot2_Age-D39),(1+Slot2_Rate)^(Slot2_Age-D39)*(1-((1+AS_Wage)/(1+Slot2_Rate))^(Slot2_Age-D39))/(1-(1+AS_Wage)/(1+Slot2_Rate))),1)</f>
        <v>1</v>
      </c>
      <c r="IO39" s="20" t="n">
        <f aca="false">IF(AND(HU39=1,IE39&gt;0,Slot2_IsWG=1,AH39=1),MAX(0,(Slot2_Cost-AI39*(1+Slot2_Rate)^(Slot2_Age-D39))/IN39),0)</f>
        <v>0</v>
      </c>
      <c r="IP39" s="20" t="n">
        <f aca="false">IF(AND(HU39=1,IE39&gt;0,Slot2_IsWG=1,AH39=1),MIN(IE39,IO39),0)</f>
        <v>0</v>
      </c>
      <c r="IQ39" s="20" t="n">
        <f aca="false">AI39+IP39</f>
        <v>0</v>
      </c>
      <c r="IR39" s="20" t="n">
        <f aca="false">IF(AH39=1,MAX(0,(Slot2_Cost-IQ39*(1+Slot2_Rate)^(Slot2_Age-D39))/IN39),0)</f>
        <v>0</v>
      </c>
      <c r="IS39" s="20" t="n">
        <f aca="false">IF(AH39=1,MAX(0,(Slot2_Cost-AI39*(1+Slot2_Rate)^(Slot2_Age-D39))/IN39),0)</f>
        <v>0</v>
      </c>
      <c r="IT39" s="20" t="n">
        <f aca="false">IF(AND(HU39=1,AH39=1),MIN(IM39,IR39),0)</f>
        <v>0</v>
      </c>
      <c r="IU39" s="20" t="n">
        <f aca="false">IM39-IT39</f>
        <v>0</v>
      </c>
      <c r="IV39" s="20" t="n">
        <f aca="false">IF(AR39=1,IF(ABS((1+AS_Wage)/(1+Slot3_Rate)-1)&lt;0.000000000001,(Slot3_Age-D39)*(1+Slot3_Rate)^(Slot3_Age-D39),(1+Slot3_Rate)^(Slot3_Age-D39)*(1-((1+AS_Wage)/(1+Slot3_Rate))^(Slot3_Age-D39))/(1-(1+AS_Wage)/(1+Slot3_Rate))),1)</f>
        <v>1</v>
      </c>
      <c r="IW39" s="20" t="n">
        <f aca="false">IF(AND(HU39=1,IE39&gt;0,Slot3_IsWG=1,AR39=1),MAX(0,(Slot3_Cost-AS39*(1+Slot3_Rate)^(Slot3_Age-D39))/IV39),0)</f>
        <v>0</v>
      </c>
      <c r="IX39" s="20" t="n">
        <f aca="false">IF(AND(HU39=1,IE39&gt;0,Slot3_IsWG=1,AR39=1),MIN(IE39,IW39),0)</f>
        <v>0</v>
      </c>
      <c r="IY39" s="20" t="n">
        <f aca="false">AS39+IX39</f>
        <v>0</v>
      </c>
      <c r="IZ39" s="20" t="n">
        <f aca="false">IF(AR39=1,MAX(0,(Slot3_Cost-IY39*(1+Slot3_Rate)^(Slot3_Age-D39))/IV39),0)</f>
        <v>0</v>
      </c>
      <c r="JA39" s="20" t="n">
        <f aca="false">IF(AR39=1,MAX(0,(Slot3_Cost-AS39*(1+Slot3_Rate)^(Slot3_Age-D39))/IV39),0)</f>
        <v>0</v>
      </c>
      <c r="JB39" s="20" t="n">
        <f aca="false">IF(AND(HU39=1,AR39=1),MIN(IU39,IZ39),0)</f>
        <v>0</v>
      </c>
      <c r="JC39" s="20" t="n">
        <f aca="false">IU39-JB39</f>
        <v>0</v>
      </c>
      <c r="JD39" s="20" t="n">
        <f aca="false">IF(BB39=1,IF(ABS((1+AS_Wage)/(1+Slot4_Rate)-1)&lt;0.000000000001,(Slot4_Age-D39)*(1+Slot4_Rate)^(Slot4_Age-D39),(1+Slot4_Rate)^(Slot4_Age-D39)*(1-((1+AS_Wage)/(1+Slot4_Rate))^(Slot4_Age-D39))/(1-(1+AS_Wage)/(1+Slot4_Rate))),1)</f>
        <v>1</v>
      </c>
      <c r="JE39" s="20" t="n">
        <f aca="false">IF(AND(HU39=1,IE39&gt;0,Slot4_IsWG=1,BB39=1),MAX(0,(Slot4_Cost-BC39*(1+Slot4_Rate)^(Slot4_Age-D39))/JD39),0)</f>
        <v>0</v>
      </c>
      <c r="JF39" s="20" t="n">
        <f aca="false">IF(AND(HU39=1,IE39&gt;0,Slot4_IsWG=1,BB39=1),MIN(IE39,JE39),0)</f>
        <v>0</v>
      </c>
      <c r="JG39" s="20" t="n">
        <f aca="false">BC39+JF39</f>
        <v>0</v>
      </c>
      <c r="JH39" s="20" t="n">
        <f aca="false">IF(BB39=1,MAX(0,(Slot4_Cost-JG39*(1+Slot4_Rate)^(Slot4_Age-D39))/JD39),0)</f>
        <v>0</v>
      </c>
      <c r="JI39" s="20" t="n">
        <f aca="false">IF(BB39=1,MAX(0,(Slot4_Cost-BC39*(1+Slot4_Rate)^(Slot4_Age-D39))/JD39),0)</f>
        <v>0</v>
      </c>
      <c r="JJ39" s="20" t="n">
        <f aca="false">IF(AND(HU39=1,BB39=1),MIN(JC39,JH39),0)</f>
        <v>0</v>
      </c>
      <c r="JK39" s="20" t="n">
        <f aca="false">JC39-JJ39</f>
        <v>0</v>
      </c>
      <c r="JL39" s="20" t="n">
        <f aca="false">IF(BL39=1,IF(ABS((1+AS_Wage)/(1+Slot5_Rate)-1)&lt;0.000000000001,(Slot5_Age-D39)*(1+Slot5_Rate)^(Slot5_Age-D39),(1+Slot5_Rate)^(Slot5_Age-D39)*(1-((1+AS_Wage)/(1+Slot5_Rate))^(Slot5_Age-D39))/(1-(1+AS_Wage)/(1+Slot5_Rate))),1)</f>
        <v>1</v>
      </c>
      <c r="JM39" s="20" t="n">
        <f aca="false">IF(AND(HU39=1,IE39&gt;0,Slot5_IsWG=1,BL39=1),MAX(0,(Slot5_Cost-BM39*(1+Slot5_Rate)^(Slot5_Age-D39))/JL39),0)</f>
        <v>0</v>
      </c>
      <c r="JN39" s="20" t="n">
        <f aca="false">IF(AND(HU39=1,IE39&gt;0,Slot5_IsWG=1,BL39=1),MIN(IE39,JM39),0)</f>
        <v>0</v>
      </c>
      <c r="JO39" s="20" t="n">
        <f aca="false">BM39+JN39</f>
        <v>0</v>
      </c>
      <c r="JP39" s="20" t="n">
        <f aca="false">IF(BL39=1,MAX(0,(Slot5_Cost-JO39*(1+Slot5_Rate)^(Slot5_Age-D39))/JL39),0)</f>
        <v>0</v>
      </c>
      <c r="JQ39" s="20" t="n">
        <f aca="false">IF(BL39=1,MAX(0,(Slot5_Cost-BM39*(1+Slot5_Rate)^(Slot5_Age-D39))/JL39),0)</f>
        <v>0</v>
      </c>
      <c r="JR39" s="20" t="n">
        <f aca="false">IF(AND(HU39=1,BL39=1),MIN(JK39,JP39),0)</f>
        <v>0</v>
      </c>
      <c r="JS39" s="20" t="n">
        <f aca="false">JK39-JR39</f>
        <v>0</v>
      </c>
      <c r="JT39" s="20" t="n">
        <f aca="false">IF(BV39=1,IF(ABS((1+AS_Wage)/(1+Slot6_Rate)-1)&lt;0.000000000001,(Slot6_Age-D39)*(1+Slot6_Rate)^(Slot6_Age-D39),(1+Slot6_Rate)^(Slot6_Age-D39)*(1-((1+AS_Wage)/(1+Slot6_Rate))^(Slot6_Age-D39))/(1-(1+AS_Wage)/(1+Slot6_Rate))),1)</f>
        <v>1</v>
      </c>
      <c r="JU39" s="20" t="n">
        <f aca="false">IF(AND(HU39=1,IE39&gt;0,Slot6_IsWG=1,BV39=1),MAX(0,(Slot6_Cost-BW39*(1+Slot6_Rate)^(Slot6_Age-D39))/JT39),0)</f>
        <v>0</v>
      </c>
      <c r="JV39" s="20" t="n">
        <f aca="false">IF(AND(HU39=1,IE39&gt;0,Slot6_IsWG=1,BV39=1),MIN(IE39,JU39),0)</f>
        <v>0</v>
      </c>
      <c r="JW39" s="20" t="n">
        <f aca="false">BW39+JV39</f>
        <v>0</v>
      </c>
      <c r="JX39" s="20" t="n">
        <f aca="false">IF(BV39=1,MAX(0,(Slot6_Cost-JW39*(1+Slot6_Rate)^(Slot6_Age-D39))/JT39),0)</f>
        <v>0</v>
      </c>
      <c r="JY39" s="20" t="n">
        <f aca="false">IF(BV39=1,MAX(0,(Slot6_Cost-BW39*(1+Slot6_Rate)^(Slot6_Age-D39))/JT39),0)</f>
        <v>0</v>
      </c>
      <c r="JZ39" s="20" t="n">
        <f aca="false">IF(AND(HU39=1,BV39=1),MIN(JS39,JX39),0)</f>
        <v>0</v>
      </c>
      <c r="KA39" s="20" t="n">
        <f aca="false">JS39-JZ39</f>
        <v>0</v>
      </c>
      <c r="KB39" s="20" t="n">
        <f aca="false">IF(CF39=1,IF(ABS((1+AS_Wage)/(1+Slot7_Rate)-1)&lt;0.000000000001,(Slot7_Age-D39)*(1+Slot7_Rate)^(Slot7_Age-D39),(1+Slot7_Rate)^(Slot7_Age-D39)*(1-((1+AS_Wage)/(1+Slot7_Rate))^(Slot7_Age-D39))/(1-(1+AS_Wage)/(1+Slot7_Rate))),1)</f>
        <v>1</v>
      </c>
      <c r="KC39" s="20" t="n">
        <f aca="false">IF(AND(HU39=1,IE39&gt;0,Slot7_IsWG=1,CF39=1),MAX(0,(Slot7_Cost-CG39*(1+Slot7_Rate)^(Slot7_Age-D39))/KB39),0)</f>
        <v>0</v>
      </c>
      <c r="KD39" s="20" t="n">
        <f aca="false">IF(AND(HU39=1,IE39&gt;0,Slot7_IsWG=1,CF39=1),MIN(IE39,KC39),0)</f>
        <v>0</v>
      </c>
      <c r="KE39" s="20" t="n">
        <f aca="false">CG39+KD39</f>
        <v>0</v>
      </c>
      <c r="KF39" s="20" t="n">
        <f aca="false">IF(CF39=1,MAX(0,(Slot7_Cost-KE39*(1+Slot7_Rate)^(Slot7_Age-D39))/KB39),0)</f>
        <v>0</v>
      </c>
      <c r="KG39" s="20" t="n">
        <f aca="false">IF(CF39=1,MAX(0,(Slot7_Cost-CG39*(1+Slot7_Rate)^(Slot7_Age-D39))/KB39),0)</f>
        <v>0</v>
      </c>
      <c r="KH39" s="20" t="n">
        <f aca="false">IF(AND(HU39=1,CF39=1),MIN(KA39,KF39),0)</f>
        <v>0</v>
      </c>
      <c r="KI39" s="20" t="n">
        <f aca="false">KA39-KH39</f>
        <v>0</v>
      </c>
      <c r="KJ39" s="20" t="n">
        <f aca="false">IF(CP39=1,IF(ABS((1+AS_Wage)/(1+Slot8_Rate)-1)&lt;0.000000000001,(Slot8_Age-D39)*(1+Slot8_Rate)^(Slot8_Age-D39),(1+Slot8_Rate)^(Slot8_Age-D39)*(1-((1+AS_Wage)/(1+Slot8_Rate))^(Slot8_Age-D39))/(1-(1+AS_Wage)/(1+Slot8_Rate))),1)</f>
        <v>1</v>
      </c>
      <c r="KK39" s="20" t="n">
        <f aca="false">IF(AND(HU39=1,IE39&gt;0,Slot8_IsWG=1,CP39=1),MAX(0,(Slot8_Cost-CQ39*(1+Slot8_Rate)^(Slot8_Age-D39))/KJ39),0)</f>
        <v>0</v>
      </c>
      <c r="KL39" s="20" t="n">
        <f aca="false">IF(AND(HU39=1,IE39&gt;0,Slot8_IsWG=1,CP39=1),MIN(IE39,KK39),0)</f>
        <v>0</v>
      </c>
      <c r="KM39" s="20" t="n">
        <f aca="false">CQ39+KL39</f>
        <v>0</v>
      </c>
      <c r="KN39" s="20" t="n">
        <f aca="false">IF(CP39=1,MAX(0,(Slot8_Cost-KM39*(1+Slot8_Rate)^(Slot8_Age-D39))/KJ39),0)</f>
        <v>0</v>
      </c>
      <c r="KO39" s="20" t="n">
        <f aca="false">IF(CP39=1,MAX(0,(Slot8_Cost-CQ39*(1+Slot8_Rate)^(Slot8_Age-D39))/KJ39),0)</f>
        <v>0</v>
      </c>
      <c r="KP39" s="20" t="n">
        <f aca="false">IF(AND(HU39=1,CP39=1),MIN(KI39,KN39),0)</f>
        <v>0</v>
      </c>
      <c r="KQ39" s="20" t="n">
        <f aca="false">KI39-KP39</f>
        <v>0</v>
      </c>
      <c r="KR39" s="20" t="n">
        <f aca="false">IF(CZ39=1,IF(ABS((1+AS_Wage)/(1+Slot9_Rate)-1)&lt;0.000000000001,(Slot9_Age-D39)*(1+Slot9_Rate)^(Slot9_Age-D39),(1+Slot9_Rate)^(Slot9_Age-D39)*(1-((1+AS_Wage)/(1+Slot9_Rate))^(Slot9_Age-D39))/(1-(1+AS_Wage)/(1+Slot9_Rate))),1)</f>
        <v>1</v>
      </c>
      <c r="KS39" s="20" t="n">
        <f aca="false">IF(AND(HU39=1,IE39&gt;0,Slot9_IsWG=1,CZ39=1),MAX(0,(Slot9_Cost-DA39*(1+Slot9_Rate)^(Slot9_Age-D39))/KR39),0)</f>
        <v>0</v>
      </c>
      <c r="KT39" s="20" t="n">
        <f aca="false">IF(AND(HU39=1,IE39&gt;0,Slot9_IsWG=1,CZ39=1),MIN(IE39,KS39),0)</f>
        <v>0</v>
      </c>
      <c r="KU39" s="20" t="n">
        <f aca="false">DA39+KT39</f>
        <v>0</v>
      </c>
      <c r="KV39" s="20" t="n">
        <f aca="false">IF(CZ39=1,MAX(0,(Slot9_Cost-KU39*(1+Slot9_Rate)^(Slot9_Age-D39))/KR39),0)</f>
        <v>0</v>
      </c>
      <c r="KW39" s="20" t="n">
        <f aca="false">IF(CZ39=1,MAX(0,(Slot9_Cost-DA39*(1+Slot9_Rate)^(Slot9_Age-D39))/KR39),0)</f>
        <v>0</v>
      </c>
      <c r="KX39" s="20" t="n">
        <f aca="false">IF(AND(HU39=1,CZ39=1),MIN(KQ39,KV39),0)</f>
        <v>0</v>
      </c>
      <c r="KY39" s="20" t="n">
        <f aca="false">KQ39-KX39</f>
        <v>0</v>
      </c>
      <c r="KZ39" s="20" t="n">
        <f aca="false">IF(DJ39=1,IF(ABS((1+AS_Wage)/(1+Slot10_Rate)-1)&lt;0.000000000001,(Slot10_Age-D39)*(1+Slot10_Rate)^(Slot10_Age-D39),(1+Slot10_Rate)^(Slot10_Age-D39)*(1-((1+AS_Wage)/(1+Slot10_Rate))^(Slot10_Age-D39))/(1-(1+AS_Wage)/(1+Slot10_Rate))),1)</f>
        <v>1</v>
      </c>
      <c r="LA39" s="20" t="n">
        <f aca="false">IF(AND(HU39=1,IE39&gt;0,Slot10_IsWG=1,DJ39=1),MAX(0,(Slot10_Cost-DK39*(1+Slot10_Rate)^(Slot10_Age-D39))/KZ39),0)</f>
        <v>0</v>
      </c>
      <c r="LB39" s="20" t="n">
        <f aca="false">IF(AND(HU39=1,IE39&gt;0,Slot10_IsWG=1,DJ39=1),MIN(IE39,LA39),0)</f>
        <v>0</v>
      </c>
      <c r="LC39" s="20" t="n">
        <f aca="false">DK39+LB39</f>
        <v>0</v>
      </c>
      <c r="LD39" s="20" t="n">
        <f aca="false">IF(DJ39=1,MAX(0,(Slot10_Cost-LC39*(1+Slot10_Rate)^(Slot10_Age-D39))/KZ39),0)</f>
        <v>0</v>
      </c>
      <c r="LE39" s="20" t="n">
        <f aca="false">IF(DJ39=1,MAX(0,(Slot10_Cost-DK39*(1+Slot10_Rate)^(Slot10_Age-D39))/KZ39),0)</f>
        <v>0</v>
      </c>
      <c r="LF39" s="20" t="n">
        <f aca="false">IF(AND(HU39=1,DJ39=1),MIN(KY39,LD39),0)</f>
        <v>0</v>
      </c>
      <c r="LG39" s="20" t="n">
        <f aca="false">KY39-LF39</f>
        <v>0</v>
      </c>
      <c r="LH39" s="20" t="n">
        <f aca="false">IF(DT39=1,IF(ABS((1+AS_Wage)/(1+Slot11_Rate)-1)&lt;0.000000000001,(Slot11_Age-D39)*(1+Slot11_Rate)^(Slot11_Age-D39),(1+Slot11_Rate)^(Slot11_Age-D39)*(1-((1+AS_Wage)/(1+Slot11_Rate))^(Slot11_Age-D39))/(1-(1+AS_Wage)/(1+Slot11_Rate))),1)</f>
        <v>1</v>
      </c>
      <c r="LI39" s="20" t="n">
        <f aca="false">IF(AND(HU39=1,IE39&gt;0,Slot11_IsWG=1,DT39=1),MAX(0,(Slot11_Cost-DU39*(1+Slot11_Rate)^(Slot11_Age-D39))/LH39),0)</f>
        <v>0</v>
      </c>
      <c r="LJ39" s="20" t="n">
        <f aca="false">IF(AND(HU39=1,IE39&gt;0,Slot11_IsWG=1,DT39=1),MIN(IE39,LI39),0)</f>
        <v>0</v>
      </c>
      <c r="LK39" s="20" t="n">
        <f aca="false">DU39+LJ39</f>
        <v>0</v>
      </c>
      <c r="LL39" s="20" t="n">
        <f aca="false">IF(DT39=1,MAX(0,(Slot11_Cost-LK39*(1+Slot11_Rate)^(Slot11_Age-D39))/LH39),0)</f>
        <v>0</v>
      </c>
      <c r="LM39" s="20" t="n">
        <f aca="false">IF(DT39=1,MAX(0,(Slot11_Cost-DU39*(1+Slot11_Rate)^(Slot11_Age-D39))/LH39),0)</f>
        <v>0</v>
      </c>
      <c r="LN39" s="20" t="n">
        <f aca="false">IF(AND(HU39=1,DT39=1),MIN(LG39,LL39),0)</f>
        <v>0</v>
      </c>
      <c r="LO39" s="20" t="n">
        <f aca="false">LG39-LN39</f>
        <v>0</v>
      </c>
      <c r="LP39" s="20" t="n">
        <f aca="false">IF(ED39=1,IF(ABS((1+AS_Wage)/(1+Slot12_Rate)-1)&lt;0.000000000001,(Slot12_Age-D39)*(1+Slot12_Rate)^(Slot12_Age-D39),(1+Slot12_Rate)^(Slot12_Age-D39)*(1-((1+AS_Wage)/(1+Slot12_Rate))^(Slot12_Age-D39))/(1-(1+AS_Wage)/(1+Slot12_Rate))),1)</f>
        <v>1</v>
      </c>
      <c r="LQ39" s="20" t="n">
        <f aca="false">IF(AND(HU39=1,IE39&gt;0,Slot12_IsWG=1,ED39=1),MAX(0,(Slot12_Cost-EE39*(1+Slot12_Rate)^(Slot12_Age-D39))/LP39),0)</f>
        <v>0</v>
      </c>
      <c r="LR39" s="20" t="n">
        <f aca="false">IF(AND(HU39=1,IE39&gt;0,Slot12_IsWG=1,ED39=1),MIN(IE39,LQ39),0)</f>
        <v>0</v>
      </c>
      <c r="LS39" s="20" t="n">
        <f aca="false">EE39+LR39</f>
        <v>0</v>
      </c>
      <c r="LT39" s="20" t="n">
        <f aca="false">IF(ED39=1,MAX(0,(Slot12_Cost-LS39*(1+Slot12_Rate)^(Slot12_Age-D39))/LP39),0)</f>
        <v>0</v>
      </c>
      <c r="LU39" s="20" t="n">
        <f aca="false">IF(ED39=1,MAX(0,(Slot12_Cost-EE39*(1+Slot12_Rate)^(Slot12_Age-D39))/LP39),0)</f>
        <v>0</v>
      </c>
      <c r="LV39" s="20" t="n">
        <f aca="false">IF(AND(HU39=1,ED39=1),MIN(LO39,LT39),0)</f>
        <v>0</v>
      </c>
      <c r="LW39" s="20" t="n">
        <f aca="false">LO39-LV39</f>
        <v>0</v>
      </c>
      <c r="LX39" s="20" t="n">
        <f aca="false">IF(EN39=1,IF(ABS((1+AS_Wage)/(1+Slot13_Rate)-1)&lt;0.000000000001,(Slot13_Age-D39)*(1+Slot13_Rate)^(Slot13_Age-D39),(1+Slot13_Rate)^(Slot13_Age-D39)*(1-((1+AS_Wage)/(1+Slot13_Rate))^(Slot13_Age-D39))/(1-(1+AS_Wage)/(1+Slot13_Rate))),1)</f>
        <v>1</v>
      </c>
      <c r="LY39" s="20" t="n">
        <f aca="false">IF(AND(HU39=1,IE39&gt;0,Slot13_IsWG=1,EN39=1),MAX(0,(Slot13_Cost-EO39*(1+Slot13_Rate)^(Slot13_Age-D39))/LX39),0)</f>
        <v>0</v>
      </c>
      <c r="LZ39" s="20" t="n">
        <f aca="false">IF(AND(HU39=1,IE39&gt;0,Slot13_IsWG=1,EN39=1),MIN(IE39,LY39),0)</f>
        <v>0</v>
      </c>
      <c r="MA39" s="20" t="n">
        <f aca="false">EO39+LZ39</f>
        <v>0</v>
      </c>
      <c r="MB39" s="20" t="n">
        <f aca="false">IF(EN39=1,MAX(0,(Slot13_Cost-MA39*(1+Slot13_Rate)^(Slot13_Age-D39))/LX39),0)</f>
        <v>0</v>
      </c>
      <c r="MC39" s="20" t="n">
        <f aca="false">IF(EN39=1,MAX(0,(Slot13_Cost-EO39*(1+Slot13_Rate)^(Slot13_Age-D39))/LX39),0)</f>
        <v>0</v>
      </c>
      <c r="MD39" s="20" t="n">
        <f aca="false">IF(AND(HU39=1,EN39=1),MIN(LW39,MB39),0)</f>
        <v>0</v>
      </c>
      <c r="ME39" s="20" t="n">
        <f aca="false">LW39-MD39</f>
        <v>0</v>
      </c>
      <c r="MF39" s="20" t="n">
        <f aca="false">IF(EX39=1,IF(ABS((1+AS_Wage)/(1+Slot14_Rate)-1)&lt;0.000000000001,(Slot14_Age-D39)*(1+Slot14_Rate)^(Slot14_Age-D39),(1+Slot14_Rate)^(Slot14_Age-D39)*(1-((1+AS_Wage)/(1+Slot14_Rate))^(Slot14_Age-D39))/(1-(1+AS_Wage)/(1+Slot14_Rate))),1)</f>
        <v>1</v>
      </c>
      <c r="MG39" s="20" t="n">
        <f aca="false">IF(AND(HU39=1,IE39&gt;0,Slot14_IsWG=1,EX39=1),MAX(0,(Slot14_Cost-EY39*(1+Slot14_Rate)^(Slot14_Age-D39))/MF39),0)</f>
        <v>0</v>
      </c>
      <c r="MH39" s="20" t="n">
        <f aca="false">IF(AND(HU39=1,IE39&gt;0,Slot14_IsWG=1,EX39=1),MIN(IE39,MG39),0)</f>
        <v>0</v>
      </c>
      <c r="MI39" s="20" t="n">
        <f aca="false">EY39+MH39</f>
        <v>0</v>
      </c>
      <c r="MJ39" s="20" t="n">
        <f aca="false">IF(EX39=1,MAX(0,(Slot14_Cost-MI39*(1+Slot14_Rate)^(Slot14_Age-D39))/MF39),0)</f>
        <v>0</v>
      </c>
      <c r="MK39" s="20" t="n">
        <f aca="false">IF(EX39=1,MAX(0,(Slot14_Cost-EY39*(1+Slot14_Rate)^(Slot14_Age-D39))/MF39),0)</f>
        <v>0</v>
      </c>
      <c r="ML39" s="20" t="n">
        <f aca="false">IF(AND(HU39=1,EX39=1),MIN(ME39,MJ39),0)</f>
        <v>0</v>
      </c>
      <c r="MM39" s="20" t="n">
        <f aca="false">ME39-ML39</f>
        <v>0</v>
      </c>
      <c r="MN39" s="20" t="n">
        <f aca="false">IF(FH39=1,IF(ABS((1+AS_Wage)/(1+Slot15_Rate)-1)&lt;0.000000000001,(Slot15_Age-D39)*(1+Slot15_Rate)^(Slot15_Age-D39),(1+Slot15_Rate)^(Slot15_Age-D39)*(1-((1+AS_Wage)/(1+Slot15_Rate))^(Slot15_Age-D39))/(1-(1+AS_Wage)/(1+Slot15_Rate))),1)</f>
        <v>1</v>
      </c>
      <c r="MO39" s="20" t="n">
        <f aca="false">IF(AND(HU39=1,IE39&gt;0,Slot15_IsWG=1,FH39=1),MAX(0,(Slot15_Cost-FI39*(1+Slot15_Rate)^(Slot15_Age-D39))/MN39),0)</f>
        <v>0</v>
      </c>
      <c r="MP39" s="20" t="n">
        <f aca="false">IF(AND(HU39=1,IE39&gt;0,Slot15_IsWG=1,FH39=1),MIN(IE39,MO39),0)</f>
        <v>0</v>
      </c>
      <c r="MQ39" s="20" t="n">
        <f aca="false">FI39+MP39</f>
        <v>0</v>
      </c>
      <c r="MR39" s="20" t="n">
        <f aca="false">IF(FH39=1,MAX(0,(Slot15_Cost-MQ39*(1+Slot15_Rate)^(Slot15_Age-D39))/MN39),0)</f>
        <v>0</v>
      </c>
      <c r="MS39" s="20" t="n">
        <f aca="false">IF(FH39=1,MAX(0,(Slot15_Cost-FI39*(1+Slot15_Rate)^(Slot15_Age-D39))/MN39),0)</f>
        <v>0</v>
      </c>
      <c r="MT39" s="20" t="n">
        <f aca="false">IF(AND(HU39=1,FH39=1),MIN(MM39,MR39),0)</f>
        <v>0</v>
      </c>
      <c r="MU39" s="20" t="n">
        <f aca="false">MM39-MT39</f>
        <v>0</v>
      </c>
      <c r="MV39" s="20" t="n">
        <f aca="false">IF(FR39=1,IF(ABS((1+AS_Wage)/(1+Slot16_Rate)-1)&lt;0.000000000001,(Slot16_Age-D39)*(1+Slot16_Rate)^(Slot16_Age-D39),(1+Slot16_Rate)^(Slot16_Age-D39)*(1-((1+AS_Wage)/(1+Slot16_Rate))^(Slot16_Age-D39))/(1-(1+AS_Wage)/(1+Slot16_Rate))),1)</f>
        <v>1</v>
      </c>
      <c r="MW39" s="20" t="n">
        <f aca="false">IF(AND(HU39=1,IE39&gt;0,Slot16_IsWG=1,FR39=1),MAX(0,(Slot16_Cost-FS39*(1+Slot16_Rate)^(Slot16_Age-D39))/MV39),0)</f>
        <v>0</v>
      </c>
      <c r="MX39" s="20" t="n">
        <f aca="false">IF(AND(HU39=1,IE39&gt;0,Slot16_IsWG=1,FR39=1),MIN(IE39,MW39),0)</f>
        <v>0</v>
      </c>
      <c r="MY39" s="20" t="n">
        <f aca="false">FS39+MX39</f>
        <v>0</v>
      </c>
      <c r="MZ39" s="20" t="n">
        <f aca="false">IF(FR39=1,MAX(0,(Slot16_Cost-MY39*(1+Slot16_Rate)^(Slot16_Age-D39))/MV39),0)</f>
        <v>0</v>
      </c>
      <c r="NA39" s="20" t="n">
        <f aca="false">IF(FR39=1,MAX(0,(Slot16_Cost-FS39*(1+Slot16_Rate)^(Slot16_Age-D39))/MV39),0)</f>
        <v>0</v>
      </c>
      <c r="NB39" s="20" t="n">
        <f aca="false">IF(AND(HU39=1,FR39=1),MIN(MU39,MZ39),0)</f>
        <v>0</v>
      </c>
      <c r="NC39" s="20" t="n">
        <f aca="false">MU39-NB39</f>
        <v>0</v>
      </c>
      <c r="ND39" s="20" t="n">
        <f aca="false">IF(GB39=1,IF(ABS((1+AS_Wage)/(1+Slot17_Rate)-1)&lt;0.000000000001,(Slot17_Age-D39)*(1+Slot17_Rate)^(Slot17_Age-D39),(1+Slot17_Rate)^(Slot17_Age-D39)*(1-((1+AS_Wage)/(1+Slot17_Rate))^(Slot17_Age-D39))/(1-(1+AS_Wage)/(1+Slot17_Rate))),1)</f>
        <v>1</v>
      </c>
      <c r="NE39" s="20" t="n">
        <f aca="false">IF(AND(HU39=1,IE39&gt;0,Slot17_IsWG=1,GB39=1),MAX(0,(Slot17_Cost-GC39*(1+Slot17_Rate)^(Slot17_Age-D39))/ND39),0)</f>
        <v>0</v>
      </c>
      <c r="NF39" s="20" t="n">
        <f aca="false">IF(AND(HU39=1,IE39&gt;0,Slot17_IsWG=1,GB39=1),MIN(IE39,NE39),0)</f>
        <v>0</v>
      </c>
      <c r="NG39" s="20" t="n">
        <f aca="false">GC39+NF39</f>
        <v>0</v>
      </c>
      <c r="NH39" s="20" t="n">
        <f aca="false">IF(GB39=1,MAX(0,(Slot17_Cost-NG39*(1+Slot17_Rate)^(Slot17_Age-D39))/ND39),0)</f>
        <v>0</v>
      </c>
      <c r="NI39" s="20" t="n">
        <f aca="false">IF(GB39=1,MAX(0,(Slot17_Cost-GC39*(1+Slot17_Rate)^(Slot17_Age-D39))/ND39),0)</f>
        <v>0</v>
      </c>
      <c r="NJ39" s="20" t="n">
        <f aca="false">IF(AND(HU39=1,GB39=1),MIN(NC39,NH39),0)</f>
        <v>0</v>
      </c>
      <c r="NK39" s="20" t="n">
        <f aca="false">NC39-NJ39</f>
        <v>0</v>
      </c>
      <c r="NL39" s="20" t="n">
        <f aca="false">IF(GL39=1,IF(ABS((1+AS_Wage)/(1+Slot18_Rate)-1)&lt;0.000000000001,(Slot18_Age-D39)*(1+Slot18_Rate)^(Slot18_Age-D39),(1+Slot18_Rate)^(Slot18_Age-D39)*(1-((1+AS_Wage)/(1+Slot18_Rate))^(Slot18_Age-D39))/(1-(1+AS_Wage)/(1+Slot18_Rate))),1)</f>
        <v>1</v>
      </c>
      <c r="NM39" s="20" t="n">
        <f aca="false">IF(AND(HU39=1,IE39&gt;0,Slot18_IsWG=1,GL39=1),MAX(0,(Slot18_Cost-GM39*(1+Slot18_Rate)^(Slot18_Age-D39))/NL39),0)</f>
        <v>0</v>
      </c>
      <c r="NN39" s="20" t="n">
        <f aca="false">IF(AND(HU39=1,IE39&gt;0,Slot18_IsWG=1,GL39=1),MIN(IE39,NM39),0)</f>
        <v>0</v>
      </c>
      <c r="NO39" s="20" t="n">
        <f aca="false">GM39+NN39</f>
        <v>0</v>
      </c>
      <c r="NP39" s="20" t="n">
        <f aca="false">IF(GL39=1,MAX(0,(Slot18_Cost-NO39*(1+Slot18_Rate)^(Slot18_Age-D39))/NL39),0)</f>
        <v>0</v>
      </c>
      <c r="NQ39" s="20" t="n">
        <f aca="false">IF(GL39=1,MAX(0,(Slot18_Cost-GM39*(1+Slot18_Rate)^(Slot18_Age-D39))/NL39),0)</f>
        <v>0</v>
      </c>
      <c r="NR39" s="20" t="n">
        <f aca="false">IF(AND(HU39=1,GL39=1),MIN(NK39,NP39),0)</f>
        <v>0</v>
      </c>
      <c r="NS39" s="20" t="n">
        <f aca="false">NK39-NR39</f>
        <v>0</v>
      </c>
      <c r="NT39" s="20" t="n">
        <f aca="false">IF(GV39=1,IF(ABS((1+AS_Wage)/(1+Slot19_Rate)-1)&lt;0.000000000001,(Slot19_Age-D39)*(1+Slot19_Rate)^(Slot19_Age-D39),(1+Slot19_Rate)^(Slot19_Age-D39)*(1-((1+AS_Wage)/(1+Slot19_Rate))^(Slot19_Age-D39))/(1-(1+AS_Wage)/(1+Slot19_Rate))),1)</f>
        <v>1</v>
      </c>
      <c r="NU39" s="20" t="n">
        <f aca="false">IF(AND(HU39=1,IE39&gt;0,Slot19_IsWG=1,GV39=1),MAX(0,(Slot19_Cost-GW39*(1+Slot19_Rate)^(Slot19_Age-D39))/NT39),0)</f>
        <v>0</v>
      </c>
      <c r="NV39" s="20" t="n">
        <f aca="false">IF(AND(HU39=1,IE39&gt;0,Slot19_IsWG=1,GV39=1),MIN(IE39,NU39),0)</f>
        <v>0</v>
      </c>
      <c r="NW39" s="20" t="n">
        <f aca="false">GW39+NV39</f>
        <v>0</v>
      </c>
      <c r="NX39" s="20" t="n">
        <f aca="false">IF(GV39=1,MAX(0,(Slot19_Cost-NW39*(1+Slot19_Rate)^(Slot19_Age-D39))/NT39),0)</f>
        <v>0</v>
      </c>
      <c r="NY39" s="20" t="n">
        <f aca="false">IF(GV39=1,MAX(0,(Slot19_Cost-GW39*(1+Slot19_Rate)^(Slot19_Age-D39))/NT39),0)</f>
        <v>0</v>
      </c>
      <c r="NZ39" s="20" t="n">
        <f aca="false">IF(AND(HU39=1,GV39=1),MIN(NS39,NX39),0)</f>
        <v>0</v>
      </c>
      <c r="OA39" s="20" t="n">
        <f aca="false">NS39-NZ39</f>
        <v>0</v>
      </c>
      <c r="OB39" s="20" t="n">
        <f aca="false">IF(HF39=1,IF(ABS((1+AS_Wage)/(1+Slot20_Rate)-1)&lt;0.000000000001,(Slot20_Age-D39)*(1+Slot20_Rate)^(Slot20_Age-D39),(1+Slot20_Rate)^(Slot20_Age-D39)*(1-((1+AS_Wage)/(1+Slot20_Rate))^(Slot20_Age-D39))/(1-(1+AS_Wage)/(1+Slot20_Rate))),1)</f>
        <v>1</v>
      </c>
      <c r="OC39" s="20" t="n">
        <f aca="false">IF(AND(HU39=1,IE39&gt;0,Slot20_IsWG=1,HF39=1),MAX(0,(Slot20_Cost-HG39*(1+Slot20_Rate)^(Slot20_Age-D39))/OB39),0)</f>
        <v>0</v>
      </c>
      <c r="OD39" s="20" t="n">
        <f aca="false">IF(AND(HU39=1,IE39&gt;0,Slot20_IsWG=1,HF39=1),MIN(IE39,OC39),0)</f>
        <v>0</v>
      </c>
      <c r="OE39" s="20" t="n">
        <f aca="false">HG39+OD39</f>
        <v>0</v>
      </c>
      <c r="OF39" s="20" t="n">
        <f aca="false">IF(HF39=1,MAX(0,(Slot20_Cost-OE39*(1+Slot20_Rate)^(Slot20_Age-D39))/OB39),0)</f>
        <v>0</v>
      </c>
      <c r="OG39" s="20" t="n">
        <f aca="false">IF(HF39=1,MAX(0,(Slot20_Cost-HG39*(1+Slot20_Rate)^(Slot20_Age-D39))/OB39),0)</f>
        <v>0</v>
      </c>
      <c r="OH39" s="20" t="n">
        <f aca="false">IF(AND(HU39=1,HF39=1),MIN(OA39,OF39),0)</f>
        <v>0</v>
      </c>
      <c r="OI39" s="20" t="n">
        <f aca="false">OA39-OH39</f>
        <v>0</v>
      </c>
      <c r="OJ39" s="20" t="n">
        <f aca="false">IE39-(IH39+IP39+IX39+JF39+JN39+JV39+KD39+KL39+KT39+LB39+LJ39+LR39+LZ39+MH39+MP39+MX39+NF39+NN39+NV39+OD39)</f>
        <v>0</v>
      </c>
      <c r="OK39" s="20" t="n">
        <f aca="false">IF(HU39=1,HS39-ID39-IE39,0)</f>
        <v>0</v>
      </c>
      <c r="OL39" s="20" t="n">
        <f aca="false">IF(HU39=0,-HS39,0)</f>
        <v>20985.1226702362</v>
      </c>
      <c r="OM39" s="20" t="n">
        <f aca="false">MIN(OL39,HK39)</f>
        <v>20985.1226702362</v>
      </c>
      <c r="ON39" s="20" t="n">
        <f aca="false">OL39-OM39</f>
        <v>0</v>
      </c>
      <c r="OO39" s="20" t="n">
        <f aca="false">MIN(ON39,HL39)</f>
        <v>0</v>
      </c>
      <c r="OP39" s="20" t="n">
        <f aca="false">ON39-OO39</f>
        <v>0</v>
      </c>
      <c r="OQ39" s="20" t="n">
        <f aca="false">IF(AND(HU39=0,HF39=1,OP39&gt;0),MIN(OP39,HG39),0)</f>
        <v>0</v>
      </c>
      <c r="OR39" s="20" t="n">
        <f aca="false">OP39-OQ39</f>
        <v>0</v>
      </c>
      <c r="OS39" s="20" t="n">
        <f aca="false">IF(AND(HU39=0,GV39=1,OR39&gt;0),MIN(OR39,GW39),0)</f>
        <v>0</v>
      </c>
      <c r="OT39" s="20" t="n">
        <f aca="false">OR39-OS39</f>
        <v>0</v>
      </c>
      <c r="OU39" s="20" t="n">
        <f aca="false">IF(AND(HU39=0,GL39=1,OT39&gt;0),MIN(OT39,GM39),0)</f>
        <v>0</v>
      </c>
      <c r="OV39" s="20" t="n">
        <f aca="false">OT39-OU39</f>
        <v>0</v>
      </c>
      <c r="OW39" s="20" t="n">
        <f aca="false">IF(AND(HU39=0,GB39=1,OV39&gt;0),MIN(OV39,GC39),0)</f>
        <v>0</v>
      </c>
      <c r="OX39" s="20" t="n">
        <f aca="false">OV39-OW39</f>
        <v>0</v>
      </c>
      <c r="OY39" s="20" t="n">
        <f aca="false">IF(AND(HU39=0,FR39=1,OX39&gt;0),MIN(OX39,FS39),0)</f>
        <v>0</v>
      </c>
      <c r="OZ39" s="20" t="n">
        <f aca="false">OX39-OY39</f>
        <v>0</v>
      </c>
      <c r="PA39" s="20" t="n">
        <f aca="false">IF(AND(HU39=0,FH39=1,OZ39&gt;0),MIN(OZ39,FI39),0)</f>
        <v>0</v>
      </c>
      <c r="PB39" s="20" t="n">
        <f aca="false">OZ39-PA39</f>
        <v>0</v>
      </c>
      <c r="PC39" s="20" t="n">
        <f aca="false">IF(AND(HU39=0,EX39=1,PB39&gt;0),MIN(PB39,EY39),0)</f>
        <v>0</v>
      </c>
      <c r="PD39" s="20" t="n">
        <f aca="false">PB39-PC39</f>
        <v>0</v>
      </c>
      <c r="PE39" s="20" t="n">
        <f aca="false">IF(AND(HU39=0,EN39=1,PD39&gt;0),MIN(PD39,EO39),0)</f>
        <v>0</v>
      </c>
      <c r="PF39" s="20" t="n">
        <f aca="false">PD39-PE39</f>
        <v>0</v>
      </c>
      <c r="PG39" s="20" t="n">
        <f aca="false">IF(AND(HU39=0,ED39=1,PF39&gt;0),MIN(PF39,EE39),0)</f>
        <v>0</v>
      </c>
      <c r="PH39" s="20" t="n">
        <f aca="false">PF39-PG39</f>
        <v>0</v>
      </c>
      <c r="PI39" s="20" t="n">
        <f aca="false">IF(AND(HU39=0,DT39=1,PH39&gt;0),MIN(PH39,DU39),0)</f>
        <v>0</v>
      </c>
      <c r="PJ39" s="20" t="n">
        <f aca="false">PH39-PI39</f>
        <v>0</v>
      </c>
      <c r="PK39" s="20" t="n">
        <f aca="false">IF(AND(HU39=0,DJ39=1,PJ39&gt;0),MIN(PJ39,DK39),0)</f>
        <v>0</v>
      </c>
      <c r="PL39" s="20" t="n">
        <f aca="false">PJ39-PK39</f>
        <v>0</v>
      </c>
      <c r="PM39" s="20" t="n">
        <f aca="false">IF(AND(HU39=0,CZ39=1,PL39&gt;0),MIN(PL39,DA39),0)</f>
        <v>0</v>
      </c>
      <c r="PN39" s="20" t="n">
        <f aca="false">PL39-PM39</f>
        <v>0</v>
      </c>
      <c r="PO39" s="20" t="n">
        <f aca="false">IF(AND(HU39=0,CP39=1,PN39&gt;0),MIN(PN39,CQ39),0)</f>
        <v>0</v>
      </c>
      <c r="PP39" s="20" t="n">
        <f aca="false">PN39-PO39</f>
        <v>0</v>
      </c>
      <c r="PQ39" s="20" t="n">
        <f aca="false">IF(AND(HU39=0,CF39=1,PP39&gt;0),MIN(PP39,CG39),0)</f>
        <v>0</v>
      </c>
      <c r="PR39" s="20" t="n">
        <f aca="false">PP39-PQ39</f>
        <v>0</v>
      </c>
      <c r="PS39" s="20" t="n">
        <f aca="false">IF(AND(HU39=0,BV39=1,PR39&gt;0),MIN(PR39,BW39),0)</f>
        <v>0</v>
      </c>
      <c r="PT39" s="20" t="n">
        <f aca="false">PR39-PS39</f>
        <v>0</v>
      </c>
      <c r="PU39" s="20" t="n">
        <f aca="false">IF(AND(HU39=0,BL39=1,PT39&gt;0),MIN(PT39,BM39),0)</f>
        <v>0</v>
      </c>
      <c r="PV39" s="20" t="n">
        <f aca="false">PT39-PU39</f>
        <v>0</v>
      </c>
      <c r="PW39" s="20" t="n">
        <f aca="false">IF(AND(HU39=0,BB39=1,PV39&gt;0),MIN(PV39,BC39),0)</f>
        <v>0</v>
      </c>
      <c r="PX39" s="20" t="n">
        <f aca="false">PV39-PW39</f>
        <v>0</v>
      </c>
      <c r="PY39" s="20" t="n">
        <f aca="false">IF(AND(HU39=0,AR39=1,PX39&gt;0),MIN(PX39,AS39),0)</f>
        <v>0</v>
      </c>
      <c r="PZ39" s="20" t="n">
        <f aca="false">PX39-PY39</f>
        <v>0</v>
      </c>
      <c r="QA39" s="20" t="n">
        <f aca="false">IF(AND(HU39=0,AH39=1,PZ39&gt;0),MIN(PZ39,AI39),0)</f>
        <v>0</v>
      </c>
      <c r="QB39" s="20" t="n">
        <f aca="false">PZ39-QA39</f>
        <v>0</v>
      </c>
      <c r="QC39" s="20" t="n">
        <f aca="false">IF(AND(HU39=0,W39=1,QB39&gt;0),MIN(QB39,X39),0)</f>
        <v>0</v>
      </c>
      <c r="QD39" s="20" t="n">
        <f aca="false">QB39-QC39</f>
        <v>0</v>
      </c>
      <c r="QE39" s="20" t="n">
        <f aca="false">IF(HU39=0,QD39,0)</f>
        <v>0</v>
      </c>
      <c r="QF39" s="20" t="n">
        <f aca="false">OM39+OO39+QC39+QA39+PY39+PW39+PU39+PS39+PQ39+PO39+PM39+PK39+PI39+PG39+PE39+PC39+PA39+OY39+OW39+OU39+OS39+OQ39</f>
        <v>20985.1226702362</v>
      </c>
      <c r="QG39" s="20" t="n">
        <f aca="false">IF(HU39=1,HK39+OJ39+OI39+IF(G39=1,0,OK39),HK39-OM39)</f>
        <v>144229.933561895</v>
      </c>
      <c r="QH39" s="20" t="n">
        <f aca="false">HL39-OO39</f>
        <v>20826.2674977082</v>
      </c>
      <c r="QI39" s="20" t="n">
        <f aca="false">IF(HU39=1,IF(G39=1,ID39+IE39,HS39),0)</f>
        <v>0</v>
      </c>
      <c r="QJ39" s="20" t="n">
        <f aca="false">IF(HU39=1,IF(G39=1,HS39-ID39-IE39,0),0)</f>
        <v>0</v>
      </c>
      <c r="QK39" s="20" t="n">
        <f aca="false">QG39*(1+GR)</f>
        <v>146595.30447231</v>
      </c>
      <c r="QL39" s="20" t="n">
        <f aca="false">QH39*(1+AS_Cash)</f>
        <v>21034.5301726853</v>
      </c>
      <c r="QM39" s="20" t="n">
        <f aca="false">IF(W39=1,IF(HU39=1,II39+IL39,X39-QC39)*(1+Slot1_Rate),0)</f>
        <v>0</v>
      </c>
      <c r="QN39" s="20" t="n">
        <f aca="false">IF(AND(HU39=1,W39=1),(IH39+IL39)/F39,0)</f>
        <v>0</v>
      </c>
      <c r="QO39" s="20" t="n">
        <f aca="false">IF(B39=0,IH39+IL39,0)</f>
        <v>0</v>
      </c>
      <c r="QP39" s="20" t="n">
        <f aca="false">IF(B39=0,IF(HU39=1,IJ39,IK39),0)</f>
        <v>0</v>
      </c>
      <c r="QQ39" s="20" t="n">
        <f aca="false">IF(AH39=1,IF(HU39=1,IQ39+IT39,AI39-QA39)*(1+Slot2_Rate),0)</f>
        <v>0</v>
      </c>
      <c r="QR39" s="20" t="n">
        <f aca="false">IF(AND(HU39=1,AH39=1),(IP39+IT39)/F39,0)</f>
        <v>0</v>
      </c>
      <c r="QS39" s="20" t="n">
        <f aca="false">IF(B39=0,IP39+IT39,0)</f>
        <v>0</v>
      </c>
      <c r="QT39" s="20" t="n">
        <f aca="false">IF(B39=0,IF(HU39=1,IR39,IS39),0)</f>
        <v>0</v>
      </c>
      <c r="QU39" s="20" t="n">
        <f aca="false">IF(AR39=1,IF(HU39=1,IY39+JB39,AS39-PY39)*(1+Slot3_Rate),0)</f>
        <v>0</v>
      </c>
      <c r="QV39" s="20" t="n">
        <f aca="false">IF(AND(HU39=1,AR39=1),(IX39+JB39)/F39,0)</f>
        <v>0</v>
      </c>
      <c r="QW39" s="20" t="n">
        <f aca="false">IF(B39=0,IX39+JB39,0)</f>
        <v>0</v>
      </c>
      <c r="QX39" s="20" t="n">
        <f aca="false">IF(B39=0,IF(HU39=1,IZ39,JA39),0)</f>
        <v>0</v>
      </c>
      <c r="QY39" s="20" t="n">
        <f aca="false">IF(BB39=1,IF(HU39=1,JG39+JJ39,BC39-PW39)*(1+Slot4_Rate),0)</f>
        <v>0</v>
      </c>
      <c r="QZ39" s="20" t="n">
        <f aca="false">IF(AND(HU39=1,BB39=1),(JF39+JJ39)/F39,0)</f>
        <v>0</v>
      </c>
      <c r="RA39" s="20" t="n">
        <f aca="false">IF(B39=0,JF39+JJ39,0)</f>
        <v>0</v>
      </c>
      <c r="RB39" s="20" t="n">
        <f aca="false">IF(B39=0,IF(HU39=1,JH39,JI39),0)</f>
        <v>0</v>
      </c>
      <c r="RC39" s="20" t="n">
        <f aca="false">IF(BL39=1,IF(HU39=1,JO39+JR39,BM39-PU39)*(1+Slot5_Rate),0)</f>
        <v>0</v>
      </c>
      <c r="RD39" s="20" t="n">
        <f aca="false">IF(AND(HU39=1,BL39=1),(JN39+JR39)/F39,0)</f>
        <v>0</v>
      </c>
      <c r="RE39" s="20" t="n">
        <f aca="false">IF(B39=0,JN39+JR39,0)</f>
        <v>0</v>
      </c>
      <c r="RF39" s="20" t="n">
        <f aca="false">IF(B39=0,IF(HU39=1,JP39,JQ39),0)</f>
        <v>0</v>
      </c>
      <c r="RG39" s="20" t="n">
        <f aca="false">IF(BV39=1,IF(HU39=1,JW39+JZ39,BW39-PS39)*(1+Slot6_Rate),0)</f>
        <v>0</v>
      </c>
      <c r="RH39" s="20" t="n">
        <f aca="false">IF(AND(HU39=1,BV39=1),(JV39+JZ39)/F39,0)</f>
        <v>0</v>
      </c>
      <c r="RI39" s="20" t="n">
        <f aca="false">IF(B39=0,JV39+JZ39,0)</f>
        <v>0</v>
      </c>
      <c r="RJ39" s="20" t="n">
        <f aca="false">IF(B39=0,IF(HU39=1,JX39,JY39),0)</f>
        <v>0</v>
      </c>
      <c r="RK39" s="20" t="n">
        <f aca="false">IF(CF39=1,IF(HU39=1,KE39+KH39,CG39-PQ39)*(1+Slot7_Rate),0)</f>
        <v>0</v>
      </c>
      <c r="RL39" s="20" t="n">
        <f aca="false">IF(AND(HU39=1,CF39=1),(KD39+KH39)/F39,0)</f>
        <v>0</v>
      </c>
      <c r="RM39" s="20" t="n">
        <f aca="false">IF(B39=0,KD39+KH39,0)</f>
        <v>0</v>
      </c>
      <c r="RN39" s="20" t="n">
        <f aca="false">IF(B39=0,IF(HU39=1,KF39,KG39),0)</f>
        <v>0</v>
      </c>
      <c r="RO39" s="20" t="n">
        <f aca="false">IF(CP39=1,IF(HU39=1,KM39+KP39,CQ39-PO39)*(1+Slot8_Rate),0)</f>
        <v>0</v>
      </c>
      <c r="RP39" s="20" t="n">
        <f aca="false">IF(AND(HU39=1,CP39=1),(KL39+KP39)/F39,0)</f>
        <v>0</v>
      </c>
      <c r="RQ39" s="20" t="n">
        <f aca="false">IF(B39=0,KL39+KP39,0)</f>
        <v>0</v>
      </c>
      <c r="RR39" s="20" t="n">
        <f aca="false">IF(B39=0,IF(HU39=1,KN39,KO39),0)</f>
        <v>0</v>
      </c>
      <c r="RS39" s="20" t="n">
        <f aca="false">IF(CZ39=1,IF(HU39=1,KU39+KX39,DA39-PM39)*(1+Slot9_Rate),0)</f>
        <v>0</v>
      </c>
      <c r="RT39" s="20" t="n">
        <f aca="false">IF(AND(HU39=1,CZ39=1),(KT39+KX39)/F39,0)</f>
        <v>0</v>
      </c>
      <c r="RU39" s="20" t="n">
        <f aca="false">IF(B39=0,KT39+KX39,0)</f>
        <v>0</v>
      </c>
      <c r="RV39" s="20" t="n">
        <f aca="false">IF(B39=0,IF(HU39=1,KV39,KW39),0)</f>
        <v>0</v>
      </c>
      <c r="RW39" s="20" t="n">
        <f aca="false">IF(DJ39=1,IF(HU39=1,LC39+LF39,DK39-PK39)*(1+Slot10_Rate),0)</f>
        <v>0</v>
      </c>
      <c r="RX39" s="20" t="n">
        <f aca="false">IF(AND(HU39=1,DJ39=1),(LB39+LF39)/F39,0)</f>
        <v>0</v>
      </c>
      <c r="RY39" s="20" t="n">
        <f aca="false">IF(B39=0,LB39+LF39,0)</f>
        <v>0</v>
      </c>
      <c r="RZ39" s="20" t="n">
        <f aca="false">IF(B39=0,IF(HU39=1,LD39,LE39),0)</f>
        <v>0</v>
      </c>
      <c r="SA39" s="20" t="n">
        <f aca="false">IF(DT39=1,IF(HU39=1,LK39+LN39,DU39-PI39)*(1+Slot11_Rate),0)</f>
        <v>0</v>
      </c>
      <c r="SB39" s="20" t="n">
        <f aca="false">IF(AND(HU39=1,DT39=1),(LJ39+LN39)/F39,0)</f>
        <v>0</v>
      </c>
      <c r="SC39" s="20" t="n">
        <f aca="false">IF(B39=0,LJ39+LN39,0)</f>
        <v>0</v>
      </c>
      <c r="SD39" s="20" t="n">
        <f aca="false">IF(B39=0,IF(HU39=1,LL39,LM39),0)</f>
        <v>0</v>
      </c>
      <c r="SE39" s="20" t="n">
        <f aca="false">IF(ED39=1,IF(HU39=1,LS39+LV39,EE39-PG39)*(1+Slot12_Rate),0)</f>
        <v>0</v>
      </c>
      <c r="SF39" s="20" t="n">
        <f aca="false">IF(AND(HU39=1,ED39=1),(LR39+LV39)/F39,0)</f>
        <v>0</v>
      </c>
      <c r="SG39" s="20" t="n">
        <f aca="false">IF(B39=0,LR39+LV39,0)</f>
        <v>0</v>
      </c>
      <c r="SH39" s="20" t="n">
        <f aca="false">IF(B39=0,IF(HU39=1,LT39,LU39),0)</f>
        <v>0</v>
      </c>
      <c r="SI39" s="20" t="n">
        <f aca="false">IF(EN39=1,IF(HU39=1,MA39+MD39,EO39-PE39)*(1+Slot13_Rate),0)</f>
        <v>0</v>
      </c>
      <c r="SJ39" s="20" t="n">
        <f aca="false">IF(AND(HU39=1,EN39=1),(LZ39+MD39)/F39,0)</f>
        <v>0</v>
      </c>
      <c r="SK39" s="20" t="n">
        <f aca="false">IF(B39=0,LZ39+MD39,0)</f>
        <v>0</v>
      </c>
      <c r="SL39" s="20" t="n">
        <f aca="false">IF(B39=0,IF(HU39=1,MB39,MC39),0)</f>
        <v>0</v>
      </c>
      <c r="SM39" s="20" t="n">
        <f aca="false">IF(EX39=1,IF(HU39=1,MI39+ML39,EY39-PC39)*(1+Slot14_Rate),0)</f>
        <v>0</v>
      </c>
      <c r="SN39" s="20" t="n">
        <f aca="false">IF(AND(HU39=1,EX39=1),(MH39+ML39)/F39,0)</f>
        <v>0</v>
      </c>
      <c r="SO39" s="20" t="n">
        <f aca="false">IF(B39=0,MH39+ML39,0)</f>
        <v>0</v>
      </c>
      <c r="SP39" s="20" t="n">
        <f aca="false">IF(B39=0,IF(HU39=1,MJ39,MK39),0)</f>
        <v>0</v>
      </c>
      <c r="SQ39" s="20" t="n">
        <f aca="false">IF(FH39=1,IF(HU39=1,MQ39+MT39,FI39-PA39)*(1+Slot15_Rate),0)</f>
        <v>0</v>
      </c>
      <c r="SR39" s="20" t="n">
        <f aca="false">IF(AND(HU39=1,FH39=1),(MP39+MT39)/F39,0)</f>
        <v>0</v>
      </c>
      <c r="SS39" s="20" t="n">
        <f aca="false">IF(B39=0,MP39+MT39,0)</f>
        <v>0</v>
      </c>
      <c r="ST39" s="20" t="n">
        <f aca="false">IF(B39=0,IF(HU39=1,MR39,MS39),0)</f>
        <v>0</v>
      </c>
      <c r="SU39" s="20" t="n">
        <f aca="false">IF(FR39=1,IF(HU39=1,MY39+NB39,FS39-OY39)*(1+Slot16_Rate),0)</f>
        <v>0</v>
      </c>
      <c r="SV39" s="20" t="n">
        <f aca="false">IF(AND(HU39=1,FR39=1),(MX39+NB39)/F39,0)</f>
        <v>0</v>
      </c>
      <c r="SW39" s="20" t="n">
        <f aca="false">IF(B39=0,MX39+NB39,0)</f>
        <v>0</v>
      </c>
      <c r="SX39" s="20" t="n">
        <f aca="false">IF(B39=0,IF(HU39=1,MZ39,NA39),0)</f>
        <v>0</v>
      </c>
      <c r="SY39" s="20" t="n">
        <f aca="false">IF(GB39=1,IF(HU39=1,NG39+NJ39,GC39-OW39)*(1+Slot17_Rate),0)</f>
        <v>0</v>
      </c>
      <c r="SZ39" s="20" t="n">
        <f aca="false">IF(AND(HU39=1,GB39=1),(NF39+NJ39)/F39,0)</f>
        <v>0</v>
      </c>
      <c r="TA39" s="20" t="n">
        <f aca="false">IF(B39=0,NF39+NJ39,0)</f>
        <v>0</v>
      </c>
      <c r="TB39" s="20" t="n">
        <f aca="false">IF(B39=0,IF(HU39=1,NH39,NI39),0)</f>
        <v>0</v>
      </c>
      <c r="TC39" s="20" t="n">
        <f aca="false">IF(GL39=1,IF(HU39=1,NO39+NR39,GM39-OU39)*(1+Slot18_Rate),0)</f>
        <v>0</v>
      </c>
      <c r="TD39" s="20" t="n">
        <f aca="false">IF(AND(HU39=1,GL39=1),(NN39+NR39)/F39,0)</f>
        <v>0</v>
      </c>
      <c r="TE39" s="20" t="n">
        <f aca="false">IF(B39=0,NN39+NR39,0)</f>
        <v>0</v>
      </c>
      <c r="TF39" s="20" t="n">
        <f aca="false">IF(B39=0,IF(HU39=1,NP39,NQ39),0)</f>
        <v>0</v>
      </c>
      <c r="TG39" s="20" t="n">
        <f aca="false">IF(GV39=1,IF(HU39=1,NW39+NZ39,GW39-OS39)*(1+Slot19_Rate),0)</f>
        <v>0</v>
      </c>
      <c r="TH39" s="20" t="n">
        <f aca="false">IF(AND(HU39=1,GV39=1),(NV39+NZ39)/F39,0)</f>
        <v>0</v>
      </c>
      <c r="TI39" s="20" t="n">
        <f aca="false">IF(B39=0,NV39+NZ39,0)</f>
        <v>0</v>
      </c>
      <c r="TJ39" s="20" t="n">
        <f aca="false">IF(B39=0,IF(HU39=1,NX39,NY39),0)</f>
        <v>0</v>
      </c>
      <c r="TK39" s="20" t="n">
        <f aca="false">IF(HF39=1,IF(HU39=1,OE39+OH39,HG39-OQ39)*(1+Slot20_Rate),0)</f>
        <v>0</v>
      </c>
      <c r="TL39" s="20" t="n">
        <f aca="false">IF(AND(HU39=1,HF39=1),(OD39+OH39)/F39,0)</f>
        <v>0</v>
      </c>
      <c r="TM39" s="20" t="n">
        <f aca="false">IF(B39=0,OD39+OH39,0)</f>
        <v>0</v>
      </c>
      <c r="TN39" s="20" t="n">
        <f aca="false">IF(B39=0,IF(HU39=1,OF39,OG39),0)</f>
        <v>0</v>
      </c>
      <c r="TO39" s="20" t="n">
        <f aca="false">QK39+QL39+QM39+QQ39+QU39+QY39+RC39+RG39+RK39+RO39+RS39+RW39+SA39+SE39+SI39+SM39+SQ39+SU39+SY39+TC39+TG39+TK39</f>
        <v>167629.834644995</v>
      </c>
      <c r="TP39" s="20" t="n">
        <f aca="false">QE39+HP39</f>
        <v>0</v>
      </c>
      <c r="TQ39" s="20" t="n">
        <f aca="false">I39+S39</f>
        <v>88314.7453945432</v>
      </c>
      <c r="TR39" s="20" t="n">
        <f aca="false">1-G39</f>
        <v>1</v>
      </c>
      <c r="TS39" s="20" t="n">
        <f aca="false">IF(AND(RG_Exists=1,G39=0,C39=1),I39,0)</f>
        <v>88314.7453945432</v>
      </c>
      <c r="TT39" s="20" t="n">
        <f aca="false">IF(AND(RG_Exists=1,G39=0,C39=1),I39-MIN(QE39,I39),0)</f>
        <v>88314.7453945432</v>
      </c>
      <c r="TU39" s="20" t="n">
        <f aca="false">'Plan pay &amp; tax'!AD265</f>
        <v>417088.931168422</v>
      </c>
      <c r="TV39" s="20" t="n">
        <f aca="false">IF(AND(C39=1,QE39&gt;MAX(PR_Short1,TQ39*PR_Short2)),1,0)</f>
        <v>0</v>
      </c>
      <c r="TW39" s="20" t="n">
        <f aca="false">MIN(H39,I39+S39)</f>
        <v>67329.622724307</v>
      </c>
      <c r="TX39" s="20" t="n">
        <f aca="false">QF39+MAX(0,HQ39-HP39)</f>
        <v>20985.1226702362</v>
      </c>
      <c r="TY39" s="20" t="n">
        <f aca="false">QE39+HP39</f>
        <v>0</v>
      </c>
      <c r="TZ39" s="20" t="n">
        <f aca="false">IF(AND(C39=1,TY39&gt;PR_MinShort),1,0)</f>
        <v>0</v>
      </c>
      <c r="UA39" s="20" t="n">
        <f aca="false">IF(AND(C39=1,TZ39=0,TX39&gt;PR_MinShort),1,0)</f>
        <v>1</v>
      </c>
      <c r="UB39" s="20" t="n">
        <f aca="false">IF(AND(C39=1,QE39&gt;PR_MinShort),1,0)</f>
        <v>0</v>
      </c>
      <c r="UC39" s="20" t="n">
        <f aca="false">IF(AND(C39=1,QF39&gt;1,UJ39=0),1,0)</f>
        <v>1</v>
      </c>
      <c r="UD39" s="20" t="str">
        <f aca="false">IF(C39=0,"",IF(UJ39=1,"Gap to plan for: short "&amp;"€"&amp;TEXT(ROUND(TP39,0),"#,##0"),IF(QF39&gt;1,"Using savings","Comfortable")))</f>
        <v>Using savings</v>
      </c>
      <c r="UE39" s="20" t="n">
        <f aca="false">IF(AND(INT(D39/10)*10=90,B39&gt;0),80,INT(D39/10)*10)</f>
        <v>60</v>
      </c>
      <c r="UF39" s="20" t="n">
        <f aca="false">IF(B39=0,1,IF(UE39&lt;&gt;UE38,UF38+1,UF38))</f>
        <v>4</v>
      </c>
      <c r="UG39" s="20" t="n">
        <f aca="false">IF(AND(C39=1,G39=1,QE39&gt;MAX(PR_Short1,TQ39*PR_Short2)),1,0)</f>
        <v>0</v>
      </c>
      <c r="UH39" s="20" t="n">
        <f aca="false">TR39*TV39</f>
        <v>0</v>
      </c>
      <c r="UI39" s="20" t="n">
        <f aca="false">IF(AND(V39=1,Slot1_PctLow=1),1,0)+IF(AND(AG39=1,Slot2_PctLow=1),1,0)+IF(AND(AQ39=1,Slot3_PctLow=1),1,0)+IF(AND(BA39=1,Slot4_PctLow=1),1,0)+IF(AND(BK39=1,Slot5_PctLow=1),1,0)+IF(AND(BU39=1,Slot6_PctLow=1),1,0)+IF(AND(CE39=1,Slot7_PctLow=1),1,0)+IF(AND(CO39=1,Slot8_PctLow=1),1,0)+IF(AND(CY39=1,Slot9_PctLow=1),1,0)+IF(AND(DI39=1,Slot10_PctLow=1),1,0)+IF(AND(DS39=1,Slot11_PctLow=1),1,0)+IF(AND(EC39=1,Slot12_PctLow=1),1,0)+IF(AND(EM39=1,Slot13_PctLow=1),1,0)+IF(AND(EW39=1,Slot14_PctLow=1),1,0)+IF(AND(FG39=1,Slot15_PctLow=1),1,0)+IF(AND(FQ39=1,Slot16_PctLow=1),1,0)+IF(AND(GA39=1,Slot17_PctLow=1),1,0)+IF(AND(GK39=1,Slot18_PctLow=1),1,0)+IF(AND(GU39=1,Slot19_PctLow=1),1,0)+IF(AND(HE39=1,Slot20_PctLow=1),1,0)</f>
        <v>0</v>
      </c>
      <c r="UJ39" s="20" t="n">
        <f aca="false">IF(C39=1,IF(OR(TV39=1,UI39&gt;0),1,0),0)</f>
        <v>0</v>
      </c>
    </row>
    <row r="40" customFormat="false" ht="15" hidden="false" customHeight="true" outlineLevel="0" collapsed="false">
      <c r="B40" s="20" t="n">
        <v>32</v>
      </c>
      <c r="C40" s="20" t="n">
        <f aca="false">IF(B40&lt;=F_N,1,0)</f>
        <v>1</v>
      </c>
      <c r="D40" s="20" t="n">
        <f aca="false">'Plan pay &amp; tax'!C266</f>
        <v>70</v>
      </c>
      <c r="E40" s="20" t="str">
        <f aca="false">IF($C40=1,"Income tax "&amp;TEXT(N('Plan pay &amp; tax'!BK266),"#,##0")&amp;"; USC "&amp;TEXT(N('Plan pay &amp; tax'!BM266)+N('Plan pay &amp; tax'!BO266),"#,##0")&amp;"; PRSI "&amp;TEXT(N('Plan pay &amp; tax'!BP266)+N('Plan pay &amp; tax'!BQ266),"#,##0")&amp;". DIRT and exit tax are inside the growth rates here.","")</f>
        <v>Income tax 638; USC 0; PRSI 0. DIRT and exit tax are inside the growth rates here.</v>
      </c>
      <c r="F40" s="44" t="n">
        <f aca="false">'Plan pay &amp; tax'!E266</f>
        <v>1.88454059210113</v>
      </c>
      <c r="G40" s="20" t="n">
        <f aca="false">'Plan pay &amp; tax'!G266</f>
        <v>0</v>
      </c>
      <c r="H40" s="20" t="n">
        <f aca="false">'Plan pay &amp; tax'!BT266-'Plan pay &amp; tax'!BS266-'Plan pay &amp; tax'!R266</f>
        <v>68275.0981456191</v>
      </c>
      <c r="I40" s="20" t="n">
        <f aca="false">IF(G40=1,F_CostsM*12,IF(RG_Exists=1,RG_Amount,F_CostsM*12*AS_RetireSpend))*F40+F_OneOffY*F40</f>
        <v>90081.040302434</v>
      </c>
      <c r="J40" s="20" t="n">
        <f aca="false">HR39</f>
        <v>0</v>
      </c>
      <c r="K40" s="20" t="n">
        <f aca="false">IF(J40&gt;1,'Plan debt months'!AC40,0)</f>
        <v>0</v>
      </c>
      <c r="L40" s="20" t="n">
        <f aca="false">IF(J40&gt;1,'Plan debt months'!AB40,J40)</f>
        <v>0</v>
      </c>
      <c r="M40" s="20" t="n">
        <f aca="false">O39</f>
        <v>0</v>
      </c>
      <c r="N40" s="20" t="n">
        <f aca="false">IF(M40&gt;1,'Plan debt months'!BD40,0)</f>
        <v>0</v>
      </c>
      <c r="O40" s="20" t="n">
        <f aca="false">IF(M40&gt;1,'Plan debt months'!BC40,M40)</f>
        <v>0</v>
      </c>
      <c r="P40" s="20" t="n">
        <f aca="false">R39</f>
        <v>0</v>
      </c>
      <c r="Q40" s="20" t="n">
        <f aca="false">IF(P40&gt;1,'Plan debt months'!CE40,0)</f>
        <v>0</v>
      </c>
      <c r="R40" s="20" t="n">
        <f aca="false">IF(P40&gt;1,'Plan debt months'!CD40,P40)</f>
        <v>0</v>
      </c>
      <c r="S40" s="20" t="n">
        <f aca="false">K40+N40+Q40</f>
        <v>0</v>
      </c>
      <c r="T40" s="20" t="n">
        <f aca="false">QK39+'Plan pay &amp; tax'!Y266</f>
        <v>146595.30447231</v>
      </c>
      <c r="U40" s="20" t="n">
        <f aca="false">QK39</f>
        <v>146595.30447231</v>
      </c>
      <c r="V40" s="20" t="n">
        <f aca="false">IF(AND(Slot1_On=1,D40=Slot1_Age),1,0)</f>
        <v>0</v>
      </c>
      <c r="W40" s="20" t="n">
        <f aca="false">IF(AND(Slot1_On=1,Slot1_Age&gt;D40),1,0)</f>
        <v>0</v>
      </c>
      <c r="X40" s="20" t="n">
        <f aca="false">QM39</f>
        <v>0</v>
      </c>
      <c r="Y40" s="20" t="n">
        <f aca="false">V40*MIN(Slot1_Cost,X40)</f>
        <v>0</v>
      </c>
      <c r="Z40" s="20" t="n">
        <f aca="false">V40*Slot1_SpendLike*MIN(Slot1_Cost-Y40,T40)</f>
        <v>0</v>
      </c>
      <c r="AA40" s="20" t="n">
        <f aca="false">Y40+Z40</f>
        <v>0</v>
      </c>
      <c r="AB40" s="20" t="n">
        <f aca="false">T40-Z40+V40*IF(Slot1_SpendLike=1,X40-Y40,IF(Slot1_PotFree=1,X40,0))</f>
        <v>146595.30447231</v>
      </c>
      <c r="AC40" s="20" t="n">
        <f aca="false">AF40+V40*Slot1_BufPot*X40</f>
        <v>21034.5301726853</v>
      </c>
      <c r="AD40" s="20" t="n">
        <f aca="false">IF(AND(V40=1,Slot1_IsMfree=1),IF(AA40&gt;=Slot1_Cost-1,0,MAX(0,L40-AA40)),L40)</f>
        <v>0</v>
      </c>
      <c r="AE40" s="20" t="n">
        <f aca="false">V40*(Slot1_Cost-AA40)</f>
        <v>0</v>
      </c>
      <c r="AF40" s="20" t="n">
        <f aca="false">QL39</f>
        <v>21034.5301726853</v>
      </c>
      <c r="AG40" s="20" t="n">
        <f aca="false">IF(AND(Slot2_On=1,D40=Slot2_Age),1,0)</f>
        <v>0</v>
      </c>
      <c r="AH40" s="20" t="n">
        <f aca="false">IF(AND(Slot2_On=1,Slot2_Age&gt;D40),1,0)</f>
        <v>0</v>
      </c>
      <c r="AI40" s="20" t="n">
        <f aca="false">QQ39</f>
        <v>0</v>
      </c>
      <c r="AJ40" s="20" t="n">
        <f aca="false">AG40*MIN(Slot2_Cost,AI40)</f>
        <v>0</v>
      </c>
      <c r="AK40" s="20" t="n">
        <f aca="false">AG40*Slot2_SpendLike*MIN(Slot2_Cost-AJ40,AB40)</f>
        <v>0</v>
      </c>
      <c r="AL40" s="20" t="n">
        <f aca="false">AJ40+AK40</f>
        <v>0</v>
      </c>
      <c r="AM40" s="20" t="n">
        <f aca="false">AB40-AK40+AG40*IF(Slot2_SpendLike=1,AI40-AJ40,IF(Slot2_PotFree=1,AI40,0))</f>
        <v>146595.30447231</v>
      </c>
      <c r="AN40" s="20" t="n">
        <f aca="false">AC40+AG40*Slot2_BufPot*AI40</f>
        <v>21034.5301726853</v>
      </c>
      <c r="AO40" s="20" t="n">
        <f aca="false">IF(AND(AG40=1,Slot2_IsMfree=1),IF(AL40&gt;=Slot2_Cost-1,0,MAX(0,AD40-AL40)),AD40)</f>
        <v>0</v>
      </c>
      <c r="AP40" s="20" t="n">
        <f aca="false">AG40*(Slot2_Cost-AL40)</f>
        <v>0</v>
      </c>
      <c r="AQ40" s="20" t="n">
        <f aca="false">IF(AND(Slot3_On=1,D40=Slot3_Age),1,0)</f>
        <v>0</v>
      </c>
      <c r="AR40" s="20" t="n">
        <f aca="false">IF(AND(Slot3_On=1,Slot3_Age&gt;D40),1,0)</f>
        <v>0</v>
      </c>
      <c r="AS40" s="20" t="n">
        <f aca="false">QU39</f>
        <v>0</v>
      </c>
      <c r="AT40" s="20" t="n">
        <f aca="false">AQ40*MIN(Slot3_Cost,AS40)</f>
        <v>0</v>
      </c>
      <c r="AU40" s="20" t="n">
        <f aca="false">AQ40*Slot3_SpendLike*MIN(Slot3_Cost-AT40,AM40)</f>
        <v>0</v>
      </c>
      <c r="AV40" s="20" t="n">
        <f aca="false">AT40+AU40</f>
        <v>0</v>
      </c>
      <c r="AW40" s="20" t="n">
        <f aca="false">AM40-AU40+AQ40*IF(Slot3_SpendLike=1,AS40-AT40,IF(Slot3_PotFree=1,AS40,0))</f>
        <v>146595.30447231</v>
      </c>
      <c r="AX40" s="20" t="n">
        <f aca="false">AN40+AQ40*Slot3_BufPot*AS40</f>
        <v>21034.5301726853</v>
      </c>
      <c r="AY40" s="20" t="n">
        <f aca="false">IF(AND(AQ40=1,Slot3_IsMfree=1),IF(AV40&gt;=Slot3_Cost-1,0,MAX(0,AO40-AV40)),AO40)</f>
        <v>0</v>
      </c>
      <c r="AZ40" s="20" t="n">
        <f aca="false">AQ40*(Slot3_Cost-AV40)</f>
        <v>0</v>
      </c>
      <c r="BA40" s="20" t="n">
        <f aca="false">IF(AND(Slot4_On=1,D40=Slot4_Age),1,0)</f>
        <v>0</v>
      </c>
      <c r="BB40" s="20" t="n">
        <f aca="false">IF(AND(Slot4_On=1,Slot4_Age&gt;D40),1,0)</f>
        <v>0</v>
      </c>
      <c r="BC40" s="20" t="n">
        <f aca="false">QY39</f>
        <v>0</v>
      </c>
      <c r="BD40" s="20" t="n">
        <f aca="false">BA40*MIN(Slot4_Cost,BC40)</f>
        <v>0</v>
      </c>
      <c r="BE40" s="20" t="n">
        <f aca="false">BA40*Slot4_SpendLike*MIN(Slot4_Cost-BD40,AW40)</f>
        <v>0</v>
      </c>
      <c r="BF40" s="20" t="n">
        <f aca="false">BD40+BE40</f>
        <v>0</v>
      </c>
      <c r="BG40" s="20" t="n">
        <f aca="false">AW40-BE40+BA40*IF(Slot4_SpendLike=1,BC40-BD40,IF(Slot4_PotFree=1,BC40,0))</f>
        <v>146595.30447231</v>
      </c>
      <c r="BH40" s="20" t="n">
        <f aca="false">AX40+BA40*Slot4_BufPot*BC40</f>
        <v>21034.5301726853</v>
      </c>
      <c r="BI40" s="20" t="n">
        <f aca="false">IF(AND(BA40=1,Slot4_IsMfree=1),IF(BF40&gt;=Slot4_Cost-1,0,MAX(0,AY40-BF40)),AY40)</f>
        <v>0</v>
      </c>
      <c r="BJ40" s="20" t="n">
        <f aca="false">BA40*(Slot4_Cost-BF40)</f>
        <v>0</v>
      </c>
      <c r="BK40" s="20" t="n">
        <f aca="false">IF(AND(Slot5_On=1,D40=Slot5_Age),1,0)</f>
        <v>0</v>
      </c>
      <c r="BL40" s="20" t="n">
        <f aca="false">IF(AND(Slot5_On=1,Slot5_Age&gt;D40),1,0)</f>
        <v>0</v>
      </c>
      <c r="BM40" s="20" t="n">
        <f aca="false">RC39</f>
        <v>0</v>
      </c>
      <c r="BN40" s="20" t="n">
        <f aca="false">BK40*MIN(Slot5_Cost,BM40)</f>
        <v>0</v>
      </c>
      <c r="BO40" s="20" t="n">
        <f aca="false">BK40*Slot5_SpendLike*MIN(Slot5_Cost-BN40,BG40)</f>
        <v>0</v>
      </c>
      <c r="BP40" s="20" t="n">
        <f aca="false">BN40+BO40</f>
        <v>0</v>
      </c>
      <c r="BQ40" s="20" t="n">
        <f aca="false">BG40-BO40+BK40*IF(Slot5_SpendLike=1,BM40-BN40,IF(Slot5_PotFree=1,BM40,0))</f>
        <v>146595.30447231</v>
      </c>
      <c r="BR40" s="20" t="n">
        <f aca="false">BH40+BK40*Slot5_BufPot*BM40</f>
        <v>21034.5301726853</v>
      </c>
      <c r="BS40" s="20" t="n">
        <f aca="false">IF(AND(BK40=1,Slot5_IsMfree=1),IF(BP40&gt;=Slot5_Cost-1,0,MAX(0,BI40-BP40)),BI40)</f>
        <v>0</v>
      </c>
      <c r="BT40" s="20" t="n">
        <f aca="false">BK40*(Slot5_Cost-BP40)</f>
        <v>0</v>
      </c>
      <c r="BU40" s="20" t="n">
        <f aca="false">IF(AND(Slot6_On=1,D40=Slot6_Age),1,0)</f>
        <v>0</v>
      </c>
      <c r="BV40" s="20" t="n">
        <f aca="false">IF(AND(Slot6_On=1,Slot6_Age&gt;D40),1,0)</f>
        <v>0</v>
      </c>
      <c r="BW40" s="20" t="n">
        <f aca="false">RG39</f>
        <v>0</v>
      </c>
      <c r="BX40" s="20" t="n">
        <f aca="false">BU40*MIN(Slot6_Cost,BW40)</f>
        <v>0</v>
      </c>
      <c r="BY40" s="20" t="n">
        <f aca="false">BU40*Slot6_SpendLike*MIN(Slot6_Cost-BX40,BQ40)</f>
        <v>0</v>
      </c>
      <c r="BZ40" s="20" t="n">
        <f aca="false">BX40+BY40</f>
        <v>0</v>
      </c>
      <c r="CA40" s="20" t="n">
        <f aca="false">BQ40-BY40+BU40*IF(Slot6_SpendLike=1,BW40-BX40,IF(Slot6_PotFree=1,BW40,0))</f>
        <v>146595.30447231</v>
      </c>
      <c r="CB40" s="20" t="n">
        <f aca="false">BR40+BU40*Slot6_BufPot*BW40</f>
        <v>21034.5301726853</v>
      </c>
      <c r="CC40" s="20" t="n">
        <f aca="false">IF(AND(BU40=1,Slot6_IsMfree=1),IF(BZ40&gt;=Slot6_Cost-1,0,MAX(0,BS40-BZ40)),BS40)</f>
        <v>0</v>
      </c>
      <c r="CD40" s="20" t="n">
        <f aca="false">BU40*(Slot6_Cost-BZ40)</f>
        <v>0</v>
      </c>
      <c r="CE40" s="20" t="n">
        <f aca="false">IF(AND(Slot7_On=1,D40=Slot7_Age),1,0)</f>
        <v>0</v>
      </c>
      <c r="CF40" s="20" t="n">
        <f aca="false">IF(AND(Slot7_On=1,Slot7_Age&gt;D40),1,0)</f>
        <v>0</v>
      </c>
      <c r="CG40" s="20" t="n">
        <f aca="false">RK39</f>
        <v>0</v>
      </c>
      <c r="CH40" s="20" t="n">
        <f aca="false">CE40*MIN(Slot7_Cost,CG40)</f>
        <v>0</v>
      </c>
      <c r="CI40" s="20" t="n">
        <f aca="false">CE40*Slot7_SpendLike*MIN(Slot7_Cost-CH40,CA40)</f>
        <v>0</v>
      </c>
      <c r="CJ40" s="20" t="n">
        <f aca="false">CH40+CI40</f>
        <v>0</v>
      </c>
      <c r="CK40" s="20" t="n">
        <f aca="false">CA40-CI40+CE40*IF(Slot7_SpendLike=1,CG40-CH40,IF(Slot7_PotFree=1,CG40,0))</f>
        <v>146595.30447231</v>
      </c>
      <c r="CL40" s="20" t="n">
        <f aca="false">CB40+CE40*Slot7_BufPot*CG40</f>
        <v>21034.5301726853</v>
      </c>
      <c r="CM40" s="20" t="n">
        <f aca="false">IF(AND(CE40=1,Slot7_IsMfree=1),IF(CJ40&gt;=Slot7_Cost-1,0,MAX(0,CC40-CJ40)),CC40)</f>
        <v>0</v>
      </c>
      <c r="CN40" s="20" t="n">
        <f aca="false">CE40*(Slot7_Cost-CJ40)</f>
        <v>0</v>
      </c>
      <c r="CO40" s="20" t="n">
        <f aca="false">IF(AND(Slot8_On=1,D40=Slot8_Age),1,0)</f>
        <v>0</v>
      </c>
      <c r="CP40" s="20" t="n">
        <f aca="false">IF(AND(Slot8_On=1,Slot8_Age&gt;D40),1,0)</f>
        <v>0</v>
      </c>
      <c r="CQ40" s="20" t="n">
        <f aca="false">RO39</f>
        <v>0</v>
      </c>
      <c r="CR40" s="20" t="n">
        <f aca="false">CO40*MIN(Slot8_Cost,CQ40)</f>
        <v>0</v>
      </c>
      <c r="CS40" s="20" t="n">
        <f aca="false">CO40*Slot8_SpendLike*MIN(Slot8_Cost-CR40,CK40)</f>
        <v>0</v>
      </c>
      <c r="CT40" s="20" t="n">
        <f aca="false">CR40+CS40</f>
        <v>0</v>
      </c>
      <c r="CU40" s="20" t="n">
        <f aca="false">CK40-CS40+CO40*IF(Slot8_SpendLike=1,CQ40-CR40,IF(Slot8_PotFree=1,CQ40,0))</f>
        <v>146595.30447231</v>
      </c>
      <c r="CV40" s="20" t="n">
        <f aca="false">CL40+CO40*Slot8_BufPot*CQ40</f>
        <v>21034.5301726853</v>
      </c>
      <c r="CW40" s="20" t="n">
        <f aca="false">IF(AND(CO40=1,Slot8_IsMfree=1),IF(CT40&gt;=Slot8_Cost-1,0,MAX(0,CM40-CT40)),CM40)</f>
        <v>0</v>
      </c>
      <c r="CX40" s="20" t="n">
        <f aca="false">CO40*(Slot8_Cost-CT40)</f>
        <v>0</v>
      </c>
      <c r="CY40" s="20" t="n">
        <f aca="false">IF(AND(Slot9_On=1,D40=Slot9_Age),1,0)</f>
        <v>0</v>
      </c>
      <c r="CZ40" s="20" t="n">
        <f aca="false">IF(AND(Slot9_On=1,Slot9_Age&gt;D40),1,0)</f>
        <v>0</v>
      </c>
      <c r="DA40" s="20" t="n">
        <f aca="false">RS39</f>
        <v>0</v>
      </c>
      <c r="DB40" s="20" t="n">
        <f aca="false">CY40*MIN(Slot9_Cost,DA40)</f>
        <v>0</v>
      </c>
      <c r="DC40" s="20" t="n">
        <f aca="false">CY40*Slot9_SpendLike*MIN(Slot9_Cost-DB40,CU40)</f>
        <v>0</v>
      </c>
      <c r="DD40" s="20" t="n">
        <f aca="false">DB40+DC40</f>
        <v>0</v>
      </c>
      <c r="DE40" s="20" t="n">
        <f aca="false">CU40-DC40+CY40*IF(Slot9_SpendLike=1,DA40-DB40,IF(Slot9_PotFree=1,DA40,0))</f>
        <v>146595.30447231</v>
      </c>
      <c r="DF40" s="20" t="n">
        <f aca="false">CV40+CY40*Slot9_BufPot*DA40</f>
        <v>21034.5301726853</v>
      </c>
      <c r="DG40" s="20" t="n">
        <f aca="false">IF(AND(CY40=1,Slot9_IsMfree=1),IF(DD40&gt;=Slot9_Cost-1,0,MAX(0,CW40-DD40)),CW40)</f>
        <v>0</v>
      </c>
      <c r="DH40" s="20" t="n">
        <f aca="false">CY40*(Slot9_Cost-DD40)</f>
        <v>0</v>
      </c>
      <c r="DI40" s="20" t="n">
        <f aca="false">IF(AND(Slot10_On=1,D40=Slot10_Age),1,0)</f>
        <v>0</v>
      </c>
      <c r="DJ40" s="20" t="n">
        <f aca="false">IF(AND(Slot10_On=1,Slot10_Age&gt;D40),1,0)</f>
        <v>0</v>
      </c>
      <c r="DK40" s="20" t="n">
        <f aca="false">RW39</f>
        <v>0</v>
      </c>
      <c r="DL40" s="20" t="n">
        <f aca="false">DI40*MIN(Slot10_Cost,DK40)</f>
        <v>0</v>
      </c>
      <c r="DM40" s="20" t="n">
        <f aca="false">DI40*Slot10_SpendLike*MIN(Slot10_Cost-DL40,DE40)</f>
        <v>0</v>
      </c>
      <c r="DN40" s="20" t="n">
        <f aca="false">DL40+DM40</f>
        <v>0</v>
      </c>
      <c r="DO40" s="20" t="n">
        <f aca="false">DE40-DM40+DI40*IF(Slot10_SpendLike=1,DK40-DL40,IF(Slot10_PotFree=1,DK40,0))</f>
        <v>146595.30447231</v>
      </c>
      <c r="DP40" s="20" t="n">
        <f aca="false">DF40+DI40*Slot10_BufPot*DK40</f>
        <v>21034.5301726853</v>
      </c>
      <c r="DQ40" s="20" t="n">
        <f aca="false">IF(AND(DI40=1,Slot10_IsMfree=1),IF(DN40&gt;=Slot10_Cost-1,0,MAX(0,DG40-DN40)),DG40)</f>
        <v>0</v>
      </c>
      <c r="DR40" s="20" t="n">
        <f aca="false">DI40*(Slot10_Cost-DN40)</f>
        <v>0</v>
      </c>
      <c r="DS40" s="20" t="n">
        <f aca="false">IF(AND(Slot11_On=1,D40=Slot11_Age),1,0)</f>
        <v>0</v>
      </c>
      <c r="DT40" s="20" t="n">
        <f aca="false">IF(AND(Slot11_On=1,Slot11_Age&gt;D40),1,0)</f>
        <v>0</v>
      </c>
      <c r="DU40" s="20" t="n">
        <f aca="false">SA39</f>
        <v>0</v>
      </c>
      <c r="DV40" s="20" t="n">
        <f aca="false">DS40*MIN(Slot11_Cost,DU40)</f>
        <v>0</v>
      </c>
      <c r="DW40" s="20" t="n">
        <f aca="false">DS40*Slot11_SpendLike*MIN(Slot11_Cost-DV40,DO40)</f>
        <v>0</v>
      </c>
      <c r="DX40" s="20" t="n">
        <f aca="false">DV40+DW40</f>
        <v>0</v>
      </c>
      <c r="DY40" s="20" t="n">
        <f aca="false">DO40-DW40+DS40*IF(Slot11_SpendLike=1,DU40-DV40,IF(Slot11_PotFree=1,DU40,0))</f>
        <v>146595.30447231</v>
      </c>
      <c r="DZ40" s="20" t="n">
        <f aca="false">DP40+DS40*Slot11_BufPot*DU40</f>
        <v>21034.5301726853</v>
      </c>
      <c r="EA40" s="20" t="n">
        <f aca="false">IF(AND(DS40=1,Slot11_IsMfree=1),IF(DX40&gt;=Slot11_Cost-1,0,MAX(0,DQ40-DX40)),DQ40)</f>
        <v>0</v>
      </c>
      <c r="EB40" s="20" t="n">
        <f aca="false">DS40*(Slot11_Cost-DX40)</f>
        <v>0</v>
      </c>
      <c r="EC40" s="20" t="n">
        <f aca="false">IF(AND(Slot12_On=1,D40=Slot12_Age),1,0)</f>
        <v>0</v>
      </c>
      <c r="ED40" s="20" t="n">
        <f aca="false">IF(AND(Slot12_On=1,Slot12_Age&gt;D40),1,0)</f>
        <v>0</v>
      </c>
      <c r="EE40" s="20" t="n">
        <f aca="false">SE39</f>
        <v>0</v>
      </c>
      <c r="EF40" s="20" t="n">
        <f aca="false">EC40*MIN(Slot12_Cost,EE40)</f>
        <v>0</v>
      </c>
      <c r="EG40" s="20" t="n">
        <f aca="false">EC40*Slot12_SpendLike*MIN(Slot12_Cost-EF40,DY40)</f>
        <v>0</v>
      </c>
      <c r="EH40" s="20" t="n">
        <f aca="false">EF40+EG40</f>
        <v>0</v>
      </c>
      <c r="EI40" s="20" t="n">
        <f aca="false">DY40-EG40+EC40*IF(Slot12_SpendLike=1,EE40-EF40,IF(Slot12_PotFree=1,EE40,0))</f>
        <v>146595.30447231</v>
      </c>
      <c r="EJ40" s="20" t="n">
        <f aca="false">DZ40+EC40*Slot12_BufPot*EE40</f>
        <v>21034.5301726853</v>
      </c>
      <c r="EK40" s="20" t="n">
        <f aca="false">IF(AND(EC40=1,Slot12_IsMfree=1),IF(EH40&gt;=Slot12_Cost-1,0,MAX(0,EA40-EH40)),EA40)</f>
        <v>0</v>
      </c>
      <c r="EL40" s="20" t="n">
        <f aca="false">EC40*(Slot12_Cost-EH40)</f>
        <v>0</v>
      </c>
      <c r="EM40" s="20" t="n">
        <f aca="false">IF(AND(Slot13_On=1,D40=Slot13_Age),1,0)</f>
        <v>0</v>
      </c>
      <c r="EN40" s="20" t="n">
        <f aca="false">IF(AND(Slot13_On=1,Slot13_Age&gt;D40),1,0)</f>
        <v>0</v>
      </c>
      <c r="EO40" s="20" t="n">
        <f aca="false">SI39</f>
        <v>0</v>
      </c>
      <c r="EP40" s="20" t="n">
        <f aca="false">EM40*MIN(Slot13_Cost,EO40)</f>
        <v>0</v>
      </c>
      <c r="EQ40" s="20" t="n">
        <f aca="false">EM40*Slot13_SpendLike*MIN(Slot13_Cost-EP40,EI40)</f>
        <v>0</v>
      </c>
      <c r="ER40" s="20" t="n">
        <f aca="false">EP40+EQ40</f>
        <v>0</v>
      </c>
      <c r="ES40" s="20" t="n">
        <f aca="false">EI40-EQ40+EM40*IF(Slot13_SpendLike=1,EO40-EP40,IF(Slot13_PotFree=1,EO40,0))</f>
        <v>146595.30447231</v>
      </c>
      <c r="ET40" s="20" t="n">
        <f aca="false">EJ40+EM40*Slot13_BufPot*EO40</f>
        <v>21034.5301726853</v>
      </c>
      <c r="EU40" s="20" t="n">
        <f aca="false">IF(AND(EM40=1,Slot13_IsMfree=1),IF(ER40&gt;=Slot13_Cost-1,0,MAX(0,EK40-ER40)),EK40)</f>
        <v>0</v>
      </c>
      <c r="EV40" s="20" t="n">
        <f aca="false">EM40*(Slot13_Cost-ER40)</f>
        <v>0</v>
      </c>
      <c r="EW40" s="20" t="n">
        <f aca="false">IF(AND(Slot14_On=1,D40=Slot14_Age),1,0)</f>
        <v>0</v>
      </c>
      <c r="EX40" s="20" t="n">
        <f aca="false">IF(AND(Slot14_On=1,Slot14_Age&gt;D40),1,0)</f>
        <v>0</v>
      </c>
      <c r="EY40" s="20" t="n">
        <f aca="false">SM39</f>
        <v>0</v>
      </c>
      <c r="EZ40" s="20" t="n">
        <f aca="false">EW40*MIN(Slot14_Cost,EY40)</f>
        <v>0</v>
      </c>
      <c r="FA40" s="20" t="n">
        <f aca="false">EW40*Slot14_SpendLike*MIN(Slot14_Cost-EZ40,ES40)</f>
        <v>0</v>
      </c>
      <c r="FB40" s="20" t="n">
        <f aca="false">EZ40+FA40</f>
        <v>0</v>
      </c>
      <c r="FC40" s="20" t="n">
        <f aca="false">ES40-FA40+EW40*IF(Slot14_SpendLike=1,EY40-EZ40,IF(Slot14_PotFree=1,EY40,0))</f>
        <v>146595.30447231</v>
      </c>
      <c r="FD40" s="20" t="n">
        <f aca="false">ET40+EW40*Slot14_BufPot*EY40</f>
        <v>21034.5301726853</v>
      </c>
      <c r="FE40" s="20" t="n">
        <f aca="false">IF(AND(EW40=1,Slot14_IsMfree=1),IF(FB40&gt;=Slot14_Cost-1,0,MAX(0,EU40-FB40)),EU40)</f>
        <v>0</v>
      </c>
      <c r="FF40" s="20" t="n">
        <f aca="false">EW40*(Slot14_Cost-FB40)</f>
        <v>0</v>
      </c>
      <c r="FG40" s="20" t="n">
        <f aca="false">IF(AND(Slot15_On=1,D40=Slot15_Age),1,0)</f>
        <v>0</v>
      </c>
      <c r="FH40" s="20" t="n">
        <f aca="false">IF(AND(Slot15_On=1,Slot15_Age&gt;D40),1,0)</f>
        <v>0</v>
      </c>
      <c r="FI40" s="20" t="n">
        <f aca="false">SQ39</f>
        <v>0</v>
      </c>
      <c r="FJ40" s="20" t="n">
        <f aca="false">FG40*MIN(Slot15_Cost,FI40)</f>
        <v>0</v>
      </c>
      <c r="FK40" s="20" t="n">
        <f aca="false">FG40*Slot15_SpendLike*MIN(Slot15_Cost-FJ40,FC40)</f>
        <v>0</v>
      </c>
      <c r="FL40" s="20" t="n">
        <f aca="false">FJ40+FK40</f>
        <v>0</v>
      </c>
      <c r="FM40" s="20" t="n">
        <f aca="false">FC40-FK40+FG40*IF(Slot15_SpendLike=1,FI40-FJ40,IF(Slot15_PotFree=1,FI40,0))</f>
        <v>146595.30447231</v>
      </c>
      <c r="FN40" s="20" t="n">
        <f aca="false">FD40+FG40*Slot15_BufPot*FI40</f>
        <v>21034.5301726853</v>
      </c>
      <c r="FO40" s="20" t="n">
        <f aca="false">IF(AND(FG40=1,Slot15_IsMfree=1),IF(FL40&gt;=Slot15_Cost-1,0,MAX(0,FE40-FL40)),FE40)</f>
        <v>0</v>
      </c>
      <c r="FP40" s="20" t="n">
        <f aca="false">FG40*(Slot15_Cost-FL40)</f>
        <v>0</v>
      </c>
      <c r="FQ40" s="20" t="n">
        <f aca="false">IF(AND(Slot16_On=1,D40=Slot16_Age),1,0)</f>
        <v>0</v>
      </c>
      <c r="FR40" s="20" t="n">
        <f aca="false">IF(AND(Slot16_On=1,Slot16_Age&gt;D40),1,0)</f>
        <v>0</v>
      </c>
      <c r="FS40" s="20" t="n">
        <f aca="false">SU39</f>
        <v>0</v>
      </c>
      <c r="FT40" s="20" t="n">
        <f aca="false">FQ40*MIN(Slot16_Cost,FS40)</f>
        <v>0</v>
      </c>
      <c r="FU40" s="20" t="n">
        <f aca="false">FQ40*Slot16_SpendLike*MIN(Slot16_Cost-FT40,FM40)</f>
        <v>0</v>
      </c>
      <c r="FV40" s="20" t="n">
        <f aca="false">FT40+FU40</f>
        <v>0</v>
      </c>
      <c r="FW40" s="20" t="n">
        <f aca="false">FM40-FU40+FQ40*IF(Slot16_SpendLike=1,FS40-FT40,IF(Slot16_PotFree=1,FS40,0))</f>
        <v>146595.30447231</v>
      </c>
      <c r="FX40" s="20" t="n">
        <f aca="false">FN40+FQ40*Slot16_BufPot*FS40</f>
        <v>21034.5301726853</v>
      </c>
      <c r="FY40" s="20" t="n">
        <f aca="false">IF(AND(FQ40=1,Slot16_IsMfree=1),IF(FV40&gt;=Slot16_Cost-1,0,MAX(0,FO40-FV40)),FO40)</f>
        <v>0</v>
      </c>
      <c r="FZ40" s="20" t="n">
        <f aca="false">FQ40*(Slot16_Cost-FV40)</f>
        <v>0</v>
      </c>
      <c r="GA40" s="20" t="n">
        <f aca="false">IF(AND(Slot17_On=1,D40=Slot17_Age),1,0)</f>
        <v>0</v>
      </c>
      <c r="GB40" s="20" t="n">
        <f aca="false">IF(AND(Slot17_On=1,Slot17_Age&gt;D40),1,0)</f>
        <v>0</v>
      </c>
      <c r="GC40" s="20" t="n">
        <f aca="false">SY39</f>
        <v>0</v>
      </c>
      <c r="GD40" s="20" t="n">
        <f aca="false">GA40*MIN(Slot17_Cost,GC40)</f>
        <v>0</v>
      </c>
      <c r="GE40" s="20" t="n">
        <f aca="false">GA40*Slot17_SpendLike*MIN(Slot17_Cost-GD40,FW40)</f>
        <v>0</v>
      </c>
      <c r="GF40" s="20" t="n">
        <f aca="false">GD40+GE40</f>
        <v>0</v>
      </c>
      <c r="GG40" s="20" t="n">
        <f aca="false">FW40-GE40+GA40*IF(Slot17_SpendLike=1,GC40-GD40,IF(Slot17_PotFree=1,GC40,0))</f>
        <v>146595.30447231</v>
      </c>
      <c r="GH40" s="20" t="n">
        <f aca="false">FX40+GA40*Slot17_BufPot*GC40</f>
        <v>21034.5301726853</v>
      </c>
      <c r="GI40" s="20" t="n">
        <f aca="false">IF(AND(GA40=1,Slot17_IsMfree=1),IF(GF40&gt;=Slot17_Cost-1,0,MAX(0,FY40-GF40)),FY40)</f>
        <v>0</v>
      </c>
      <c r="GJ40" s="20" t="n">
        <f aca="false">GA40*(Slot17_Cost-GF40)</f>
        <v>0</v>
      </c>
      <c r="GK40" s="20" t="n">
        <f aca="false">IF(AND(Slot18_On=1,D40=Slot18_Age),1,0)</f>
        <v>0</v>
      </c>
      <c r="GL40" s="20" t="n">
        <f aca="false">IF(AND(Slot18_On=1,Slot18_Age&gt;D40),1,0)</f>
        <v>0</v>
      </c>
      <c r="GM40" s="20" t="n">
        <f aca="false">TC39</f>
        <v>0</v>
      </c>
      <c r="GN40" s="20" t="n">
        <f aca="false">GK40*MIN(Slot18_Cost,GM40)</f>
        <v>0</v>
      </c>
      <c r="GO40" s="20" t="n">
        <f aca="false">GK40*Slot18_SpendLike*MIN(Slot18_Cost-GN40,GG40)</f>
        <v>0</v>
      </c>
      <c r="GP40" s="20" t="n">
        <f aca="false">GN40+GO40</f>
        <v>0</v>
      </c>
      <c r="GQ40" s="20" t="n">
        <f aca="false">GG40-GO40+GK40*IF(Slot18_SpendLike=1,GM40-GN40,IF(Slot18_PotFree=1,GM40,0))</f>
        <v>146595.30447231</v>
      </c>
      <c r="GR40" s="20" t="n">
        <f aca="false">GH40+GK40*Slot18_BufPot*GM40</f>
        <v>21034.5301726853</v>
      </c>
      <c r="GS40" s="20" t="n">
        <f aca="false">IF(AND(GK40=1,Slot18_IsMfree=1),IF(GP40&gt;=Slot18_Cost-1,0,MAX(0,GI40-GP40)),GI40)</f>
        <v>0</v>
      </c>
      <c r="GT40" s="20" t="n">
        <f aca="false">GK40*(Slot18_Cost-GP40)</f>
        <v>0</v>
      </c>
      <c r="GU40" s="20" t="n">
        <f aca="false">IF(AND(Slot19_On=1,D40=Slot19_Age),1,0)</f>
        <v>0</v>
      </c>
      <c r="GV40" s="20" t="n">
        <f aca="false">IF(AND(Slot19_On=1,Slot19_Age&gt;D40),1,0)</f>
        <v>0</v>
      </c>
      <c r="GW40" s="20" t="n">
        <f aca="false">TG39</f>
        <v>0</v>
      </c>
      <c r="GX40" s="20" t="n">
        <f aca="false">GU40*MIN(Slot19_Cost,GW40)</f>
        <v>0</v>
      </c>
      <c r="GY40" s="20" t="n">
        <f aca="false">GU40*Slot19_SpendLike*MIN(Slot19_Cost-GX40,GQ40)</f>
        <v>0</v>
      </c>
      <c r="GZ40" s="20" t="n">
        <f aca="false">GX40+GY40</f>
        <v>0</v>
      </c>
      <c r="HA40" s="20" t="n">
        <f aca="false">GQ40-GY40+GU40*IF(Slot19_SpendLike=1,GW40-GX40,IF(Slot19_PotFree=1,GW40,0))</f>
        <v>146595.30447231</v>
      </c>
      <c r="HB40" s="20" t="n">
        <f aca="false">GR40+GU40*Slot19_BufPot*GW40</f>
        <v>21034.5301726853</v>
      </c>
      <c r="HC40" s="20" t="n">
        <f aca="false">IF(AND(GU40=1,Slot19_IsMfree=1),IF(GZ40&gt;=Slot19_Cost-1,0,MAX(0,GS40-GZ40)),GS40)</f>
        <v>0</v>
      </c>
      <c r="HD40" s="20" t="n">
        <f aca="false">GU40*(Slot19_Cost-GZ40)</f>
        <v>0</v>
      </c>
      <c r="HE40" s="20" t="n">
        <f aca="false">IF(AND(Slot20_On=1,D40=Slot20_Age),1,0)</f>
        <v>0</v>
      </c>
      <c r="HF40" s="20" t="n">
        <f aca="false">IF(AND(Slot20_On=1,Slot20_Age&gt;D40),1,0)</f>
        <v>0</v>
      </c>
      <c r="HG40" s="20" t="n">
        <f aca="false">TK39</f>
        <v>0</v>
      </c>
      <c r="HH40" s="20" t="n">
        <f aca="false">HE40*MIN(Slot20_Cost,HG40)</f>
        <v>0</v>
      </c>
      <c r="HI40" s="20" t="n">
        <f aca="false">HE40*Slot20_SpendLike*MIN(Slot20_Cost-HH40,HA40)</f>
        <v>0</v>
      </c>
      <c r="HJ40" s="20" t="n">
        <f aca="false">HH40+HI40</f>
        <v>0</v>
      </c>
      <c r="HK40" s="20" t="n">
        <f aca="false">HA40-HI40+HE40*IF(Slot20_SpendLike=1,HG40-HH40,IF(Slot20_PotFree=1,HG40,0))</f>
        <v>146595.30447231</v>
      </c>
      <c r="HL40" s="20" t="n">
        <f aca="false">HB40+HE40*Slot20_BufPot*HG40</f>
        <v>21034.5301726853</v>
      </c>
      <c r="HM40" s="20" t="n">
        <f aca="false">IF(AND(HE40=1,Slot20_IsMfree=1),IF(HJ40&gt;=Slot20_Cost-1,0,MAX(0,HC40-HJ40)),HC40)</f>
        <v>0</v>
      </c>
      <c r="HN40" s="20" t="n">
        <f aca="false">HE40*(Slot20_Cost-HJ40)</f>
        <v>0</v>
      </c>
      <c r="HO40" s="20" t="n">
        <f aca="false">V40*Slot1_SpendLike*AA40+AG40*Slot2_SpendLike*AL40+AQ40*Slot3_SpendLike*AV40+BA40*Slot4_SpendLike*BF40+BK40*Slot5_SpendLike*BP40+BU40*Slot6_SpendLike*BZ40+CE40*Slot7_SpendLike*CJ40+CO40*Slot8_SpendLike*CT40+CY40*Slot9_SpendLike*DD40+DI40*Slot10_SpendLike*DN40+DS40*Slot11_SpendLike*DX40+EC40*Slot12_SpendLike*EH40+EM40*Slot13_SpendLike*ER40+EW40*Slot14_SpendLike*FB40+FG40*Slot15_SpendLike*FL40+FQ40*Slot16_SpendLike*FV40+GA40*Slot17_SpendLike*GF40+GK40*Slot18_SpendLike*GP40+GU40*Slot19_SpendLike*GZ40+HE40*Slot20_SpendLike*HJ40</f>
        <v>0</v>
      </c>
      <c r="HP40" s="20" t="n">
        <f aca="false">AE40+AP40+AZ40+BJ40+BT40+CD40+CN40+CX40+DH40+DR40+EB40+EL40+EV40+FF40+FP40+FZ40+GJ40+GT40+HD40+HN40</f>
        <v>0</v>
      </c>
      <c r="HQ40" s="20" t="n">
        <f aca="false">V40*Slot1_Cost+AG40*Slot2_Cost+AQ40*Slot3_Cost+BA40*Slot4_Cost+BK40*Slot5_Cost+BU40*Slot6_Cost+CE40*Slot7_Cost+CO40*Slot8_Cost+CY40*Slot9_Cost+DI40*Slot10_Cost+DS40*Slot11_Cost+EC40*Slot12_Cost+EM40*Slot13_Cost+EW40*Slot14_Cost+FG40*Slot15_Cost+FQ40*Slot16_Cost+GA40*Slot17_Cost+GK40*Slot18_Cost+GU40*Slot19_Cost+HE40*Slot20_Cost</f>
        <v>0</v>
      </c>
      <c r="HR40" s="20" t="n">
        <f aca="false">HM40</f>
        <v>0</v>
      </c>
      <c r="HS40" s="20" t="n">
        <f aca="false">H40-I40-S40</f>
        <v>-21805.942156815</v>
      </c>
      <c r="HT40" s="20" t="n">
        <f aca="false">IF(B40=0,IF(AND(Has_q6=1,In_q6=4),PR_ShareVaries*(MAX(0,HS40)/12),MIN(IF(Has_q6=1,CHOOSE(In_q6+1,PR_SaveB1,PR_SaveB2,PR_SaveB3,PR_SaveB4,0),AS_NoAnswer),AS_SaveShare*(MAX(0,HS40)/12))),HT39)</f>
        <v>62.3316893520437</v>
      </c>
      <c r="HU40" s="20" t="n">
        <f aca="false">IF(HS40&gt;=0,1,0)</f>
        <v>0</v>
      </c>
      <c r="HV40" s="20" t="n">
        <f aca="false">MAX(0,HS40/12/F40)</f>
        <v>0</v>
      </c>
      <c r="HW40" s="20" t="n">
        <f aca="false">IF(AND(Has_q6=1,In_q6=4),PR_ShareVaries*(HV40),MIN(IF(Has_q6=1,CHOOSE(In_q6+1,PR_SaveB1,PR_SaveB2,PR_SaveB3,PR_SaveB4,0),AS_NoAnswer),AS_SaveShare*(HV40)))</f>
        <v>0</v>
      </c>
      <c r="HX40" s="20" t="n">
        <f aca="false">IF(Has_saveM=1,IF(In_saveUp="Yes",1,IF(In_saveUp="No",0,IF(In_saveM&gt;=HT40-0.5,1,0))),0)</f>
        <v>0</v>
      </c>
      <c r="HY40" s="20" t="n">
        <f aca="false">IF(Has_saveM=1,MIN(HV40,IF(HX40=1,MAX(In_saveM,HW40),MIN(In_saveM,HW40))),HW40)</f>
        <v>0</v>
      </c>
      <c r="HZ40" s="20" t="n">
        <f aca="false">IF(G40=1,HY40*12*F40,0)</f>
        <v>0</v>
      </c>
      <c r="IA40" s="20" t="n">
        <f aca="false">MAX(0,HZ40+IF(AND(WI_Retire=0,WI_M&lt;0,G40=1),WI_M*12*F40,0))</f>
        <v>0</v>
      </c>
      <c r="IB40" s="20" t="n">
        <f aca="false">Slot1_IsWG*W40+Slot2_IsWG*AH40+Slot3_IsWG*AR40+Slot4_IsWG*BB40+Slot5_IsWG*BL40+Slot6_IsWG*BV40+Slot7_IsWG*CF40+Slot8_IsWG*CP40+Slot9_IsWG*CZ40+Slot10_IsWG*DJ40+Slot11_IsWG*DT40+Slot12_IsWG*ED40+Slot13_IsWG*EN40+Slot14_IsWG*EX40+Slot15_IsWG*FH40+Slot16_IsWG*FR40+Slot17_IsWG*GB40+Slot18_IsWG*GL40+Slot19_IsWG*GV40+Slot20_IsWG*HF40</f>
        <v>0</v>
      </c>
      <c r="IC40" s="20" t="n">
        <f aca="false">IF(AND(WI_Retire=0,WI_M&gt;0,G40=1,IB40&gt;=1),WI_M*12*F40,0)</f>
        <v>0</v>
      </c>
      <c r="ID40" s="20" t="n">
        <f aca="false">IF(HU40=1,MIN(IA40,HS40),0)</f>
        <v>0</v>
      </c>
      <c r="IE40" s="20" t="n">
        <f aca="false">IF(HU40=1,MIN(IC40,HS40-ID40),0)</f>
        <v>0</v>
      </c>
      <c r="IF40" s="20" t="n">
        <f aca="false">IF(W40=1,IF(ABS((1+AS_Wage)/(1+Slot1_Rate)-1)&lt;0.000000000001,(Slot1_Age-D40)*(1+Slot1_Rate)^(Slot1_Age-D40),(1+Slot1_Rate)^(Slot1_Age-D40)*(1-((1+AS_Wage)/(1+Slot1_Rate))^(Slot1_Age-D40))/(1-(1+AS_Wage)/(1+Slot1_Rate))),1)</f>
        <v>1</v>
      </c>
      <c r="IG40" s="20" t="n">
        <f aca="false">IF(AND(HU40=1,IE40&gt;0,Slot1_IsWG=1,W40=1),MAX(0,(Slot1_Cost-X40*(1+Slot1_Rate)^(Slot1_Age-D40))/IF40),0)</f>
        <v>0</v>
      </c>
      <c r="IH40" s="20" t="n">
        <f aca="false">IF(AND(HU40=1,IE40&gt;0,Slot1_IsWG=1,W40=1),MIN(IE40,IG40),0)</f>
        <v>0</v>
      </c>
      <c r="II40" s="20" t="n">
        <f aca="false">X40+IH40</f>
        <v>0</v>
      </c>
      <c r="IJ40" s="20" t="n">
        <f aca="false">IF(W40=1,MAX(0,(Slot1_Cost-II40*(1+Slot1_Rate)^(Slot1_Age-D40))/IF40),0)</f>
        <v>0</v>
      </c>
      <c r="IK40" s="20" t="n">
        <f aca="false">IF(W40=1,MAX(0,(Slot1_Cost-X40*(1+Slot1_Rate)^(Slot1_Age-D40))/IF40),0)</f>
        <v>0</v>
      </c>
      <c r="IL40" s="20" t="n">
        <f aca="false">IF(AND(HU40=1,W40=1),MIN(ID40,IJ40),0)</f>
        <v>0</v>
      </c>
      <c r="IM40" s="20" t="n">
        <f aca="false">ID40-IL40</f>
        <v>0</v>
      </c>
      <c r="IN40" s="20" t="n">
        <f aca="false">IF(AH40=1,IF(ABS((1+AS_Wage)/(1+Slot2_Rate)-1)&lt;0.000000000001,(Slot2_Age-D40)*(1+Slot2_Rate)^(Slot2_Age-D40),(1+Slot2_Rate)^(Slot2_Age-D40)*(1-((1+AS_Wage)/(1+Slot2_Rate))^(Slot2_Age-D40))/(1-(1+AS_Wage)/(1+Slot2_Rate))),1)</f>
        <v>1</v>
      </c>
      <c r="IO40" s="20" t="n">
        <f aca="false">IF(AND(HU40=1,IE40&gt;0,Slot2_IsWG=1,AH40=1),MAX(0,(Slot2_Cost-AI40*(1+Slot2_Rate)^(Slot2_Age-D40))/IN40),0)</f>
        <v>0</v>
      </c>
      <c r="IP40" s="20" t="n">
        <f aca="false">IF(AND(HU40=1,IE40&gt;0,Slot2_IsWG=1,AH40=1),MIN(IE40,IO40),0)</f>
        <v>0</v>
      </c>
      <c r="IQ40" s="20" t="n">
        <f aca="false">AI40+IP40</f>
        <v>0</v>
      </c>
      <c r="IR40" s="20" t="n">
        <f aca="false">IF(AH40=1,MAX(0,(Slot2_Cost-IQ40*(1+Slot2_Rate)^(Slot2_Age-D40))/IN40),0)</f>
        <v>0</v>
      </c>
      <c r="IS40" s="20" t="n">
        <f aca="false">IF(AH40=1,MAX(0,(Slot2_Cost-AI40*(1+Slot2_Rate)^(Slot2_Age-D40))/IN40),0)</f>
        <v>0</v>
      </c>
      <c r="IT40" s="20" t="n">
        <f aca="false">IF(AND(HU40=1,AH40=1),MIN(IM40,IR40),0)</f>
        <v>0</v>
      </c>
      <c r="IU40" s="20" t="n">
        <f aca="false">IM40-IT40</f>
        <v>0</v>
      </c>
      <c r="IV40" s="20" t="n">
        <f aca="false">IF(AR40=1,IF(ABS((1+AS_Wage)/(1+Slot3_Rate)-1)&lt;0.000000000001,(Slot3_Age-D40)*(1+Slot3_Rate)^(Slot3_Age-D40),(1+Slot3_Rate)^(Slot3_Age-D40)*(1-((1+AS_Wage)/(1+Slot3_Rate))^(Slot3_Age-D40))/(1-(1+AS_Wage)/(1+Slot3_Rate))),1)</f>
        <v>1</v>
      </c>
      <c r="IW40" s="20" t="n">
        <f aca="false">IF(AND(HU40=1,IE40&gt;0,Slot3_IsWG=1,AR40=1),MAX(0,(Slot3_Cost-AS40*(1+Slot3_Rate)^(Slot3_Age-D40))/IV40),0)</f>
        <v>0</v>
      </c>
      <c r="IX40" s="20" t="n">
        <f aca="false">IF(AND(HU40=1,IE40&gt;0,Slot3_IsWG=1,AR40=1),MIN(IE40,IW40),0)</f>
        <v>0</v>
      </c>
      <c r="IY40" s="20" t="n">
        <f aca="false">AS40+IX40</f>
        <v>0</v>
      </c>
      <c r="IZ40" s="20" t="n">
        <f aca="false">IF(AR40=1,MAX(0,(Slot3_Cost-IY40*(1+Slot3_Rate)^(Slot3_Age-D40))/IV40),0)</f>
        <v>0</v>
      </c>
      <c r="JA40" s="20" t="n">
        <f aca="false">IF(AR40=1,MAX(0,(Slot3_Cost-AS40*(1+Slot3_Rate)^(Slot3_Age-D40))/IV40),0)</f>
        <v>0</v>
      </c>
      <c r="JB40" s="20" t="n">
        <f aca="false">IF(AND(HU40=1,AR40=1),MIN(IU40,IZ40),0)</f>
        <v>0</v>
      </c>
      <c r="JC40" s="20" t="n">
        <f aca="false">IU40-JB40</f>
        <v>0</v>
      </c>
      <c r="JD40" s="20" t="n">
        <f aca="false">IF(BB40=1,IF(ABS((1+AS_Wage)/(1+Slot4_Rate)-1)&lt;0.000000000001,(Slot4_Age-D40)*(1+Slot4_Rate)^(Slot4_Age-D40),(1+Slot4_Rate)^(Slot4_Age-D40)*(1-((1+AS_Wage)/(1+Slot4_Rate))^(Slot4_Age-D40))/(1-(1+AS_Wage)/(1+Slot4_Rate))),1)</f>
        <v>1</v>
      </c>
      <c r="JE40" s="20" t="n">
        <f aca="false">IF(AND(HU40=1,IE40&gt;0,Slot4_IsWG=1,BB40=1),MAX(0,(Slot4_Cost-BC40*(1+Slot4_Rate)^(Slot4_Age-D40))/JD40),0)</f>
        <v>0</v>
      </c>
      <c r="JF40" s="20" t="n">
        <f aca="false">IF(AND(HU40=1,IE40&gt;0,Slot4_IsWG=1,BB40=1),MIN(IE40,JE40),0)</f>
        <v>0</v>
      </c>
      <c r="JG40" s="20" t="n">
        <f aca="false">BC40+JF40</f>
        <v>0</v>
      </c>
      <c r="JH40" s="20" t="n">
        <f aca="false">IF(BB40=1,MAX(0,(Slot4_Cost-JG40*(1+Slot4_Rate)^(Slot4_Age-D40))/JD40),0)</f>
        <v>0</v>
      </c>
      <c r="JI40" s="20" t="n">
        <f aca="false">IF(BB40=1,MAX(0,(Slot4_Cost-BC40*(1+Slot4_Rate)^(Slot4_Age-D40))/JD40),0)</f>
        <v>0</v>
      </c>
      <c r="JJ40" s="20" t="n">
        <f aca="false">IF(AND(HU40=1,BB40=1),MIN(JC40,JH40),0)</f>
        <v>0</v>
      </c>
      <c r="JK40" s="20" t="n">
        <f aca="false">JC40-JJ40</f>
        <v>0</v>
      </c>
      <c r="JL40" s="20" t="n">
        <f aca="false">IF(BL40=1,IF(ABS((1+AS_Wage)/(1+Slot5_Rate)-1)&lt;0.000000000001,(Slot5_Age-D40)*(1+Slot5_Rate)^(Slot5_Age-D40),(1+Slot5_Rate)^(Slot5_Age-D40)*(1-((1+AS_Wage)/(1+Slot5_Rate))^(Slot5_Age-D40))/(1-(1+AS_Wage)/(1+Slot5_Rate))),1)</f>
        <v>1</v>
      </c>
      <c r="JM40" s="20" t="n">
        <f aca="false">IF(AND(HU40=1,IE40&gt;0,Slot5_IsWG=1,BL40=1),MAX(0,(Slot5_Cost-BM40*(1+Slot5_Rate)^(Slot5_Age-D40))/JL40),0)</f>
        <v>0</v>
      </c>
      <c r="JN40" s="20" t="n">
        <f aca="false">IF(AND(HU40=1,IE40&gt;0,Slot5_IsWG=1,BL40=1),MIN(IE40,JM40),0)</f>
        <v>0</v>
      </c>
      <c r="JO40" s="20" t="n">
        <f aca="false">BM40+JN40</f>
        <v>0</v>
      </c>
      <c r="JP40" s="20" t="n">
        <f aca="false">IF(BL40=1,MAX(0,(Slot5_Cost-JO40*(1+Slot5_Rate)^(Slot5_Age-D40))/JL40),0)</f>
        <v>0</v>
      </c>
      <c r="JQ40" s="20" t="n">
        <f aca="false">IF(BL40=1,MAX(0,(Slot5_Cost-BM40*(1+Slot5_Rate)^(Slot5_Age-D40))/JL40),0)</f>
        <v>0</v>
      </c>
      <c r="JR40" s="20" t="n">
        <f aca="false">IF(AND(HU40=1,BL40=1),MIN(JK40,JP40),0)</f>
        <v>0</v>
      </c>
      <c r="JS40" s="20" t="n">
        <f aca="false">JK40-JR40</f>
        <v>0</v>
      </c>
      <c r="JT40" s="20" t="n">
        <f aca="false">IF(BV40=1,IF(ABS((1+AS_Wage)/(1+Slot6_Rate)-1)&lt;0.000000000001,(Slot6_Age-D40)*(1+Slot6_Rate)^(Slot6_Age-D40),(1+Slot6_Rate)^(Slot6_Age-D40)*(1-((1+AS_Wage)/(1+Slot6_Rate))^(Slot6_Age-D40))/(1-(1+AS_Wage)/(1+Slot6_Rate))),1)</f>
        <v>1</v>
      </c>
      <c r="JU40" s="20" t="n">
        <f aca="false">IF(AND(HU40=1,IE40&gt;0,Slot6_IsWG=1,BV40=1),MAX(0,(Slot6_Cost-BW40*(1+Slot6_Rate)^(Slot6_Age-D40))/JT40),0)</f>
        <v>0</v>
      </c>
      <c r="JV40" s="20" t="n">
        <f aca="false">IF(AND(HU40=1,IE40&gt;0,Slot6_IsWG=1,BV40=1),MIN(IE40,JU40),0)</f>
        <v>0</v>
      </c>
      <c r="JW40" s="20" t="n">
        <f aca="false">BW40+JV40</f>
        <v>0</v>
      </c>
      <c r="JX40" s="20" t="n">
        <f aca="false">IF(BV40=1,MAX(0,(Slot6_Cost-JW40*(1+Slot6_Rate)^(Slot6_Age-D40))/JT40),0)</f>
        <v>0</v>
      </c>
      <c r="JY40" s="20" t="n">
        <f aca="false">IF(BV40=1,MAX(0,(Slot6_Cost-BW40*(1+Slot6_Rate)^(Slot6_Age-D40))/JT40),0)</f>
        <v>0</v>
      </c>
      <c r="JZ40" s="20" t="n">
        <f aca="false">IF(AND(HU40=1,BV40=1),MIN(JS40,JX40),0)</f>
        <v>0</v>
      </c>
      <c r="KA40" s="20" t="n">
        <f aca="false">JS40-JZ40</f>
        <v>0</v>
      </c>
      <c r="KB40" s="20" t="n">
        <f aca="false">IF(CF40=1,IF(ABS((1+AS_Wage)/(1+Slot7_Rate)-1)&lt;0.000000000001,(Slot7_Age-D40)*(1+Slot7_Rate)^(Slot7_Age-D40),(1+Slot7_Rate)^(Slot7_Age-D40)*(1-((1+AS_Wage)/(1+Slot7_Rate))^(Slot7_Age-D40))/(1-(1+AS_Wage)/(1+Slot7_Rate))),1)</f>
        <v>1</v>
      </c>
      <c r="KC40" s="20" t="n">
        <f aca="false">IF(AND(HU40=1,IE40&gt;0,Slot7_IsWG=1,CF40=1),MAX(0,(Slot7_Cost-CG40*(1+Slot7_Rate)^(Slot7_Age-D40))/KB40),0)</f>
        <v>0</v>
      </c>
      <c r="KD40" s="20" t="n">
        <f aca="false">IF(AND(HU40=1,IE40&gt;0,Slot7_IsWG=1,CF40=1),MIN(IE40,KC40),0)</f>
        <v>0</v>
      </c>
      <c r="KE40" s="20" t="n">
        <f aca="false">CG40+KD40</f>
        <v>0</v>
      </c>
      <c r="KF40" s="20" t="n">
        <f aca="false">IF(CF40=1,MAX(0,(Slot7_Cost-KE40*(1+Slot7_Rate)^(Slot7_Age-D40))/KB40),0)</f>
        <v>0</v>
      </c>
      <c r="KG40" s="20" t="n">
        <f aca="false">IF(CF40=1,MAX(0,(Slot7_Cost-CG40*(1+Slot7_Rate)^(Slot7_Age-D40))/KB40),0)</f>
        <v>0</v>
      </c>
      <c r="KH40" s="20" t="n">
        <f aca="false">IF(AND(HU40=1,CF40=1),MIN(KA40,KF40),0)</f>
        <v>0</v>
      </c>
      <c r="KI40" s="20" t="n">
        <f aca="false">KA40-KH40</f>
        <v>0</v>
      </c>
      <c r="KJ40" s="20" t="n">
        <f aca="false">IF(CP40=1,IF(ABS((1+AS_Wage)/(1+Slot8_Rate)-1)&lt;0.000000000001,(Slot8_Age-D40)*(1+Slot8_Rate)^(Slot8_Age-D40),(1+Slot8_Rate)^(Slot8_Age-D40)*(1-((1+AS_Wage)/(1+Slot8_Rate))^(Slot8_Age-D40))/(1-(1+AS_Wage)/(1+Slot8_Rate))),1)</f>
        <v>1</v>
      </c>
      <c r="KK40" s="20" t="n">
        <f aca="false">IF(AND(HU40=1,IE40&gt;0,Slot8_IsWG=1,CP40=1),MAX(0,(Slot8_Cost-CQ40*(1+Slot8_Rate)^(Slot8_Age-D40))/KJ40),0)</f>
        <v>0</v>
      </c>
      <c r="KL40" s="20" t="n">
        <f aca="false">IF(AND(HU40=1,IE40&gt;0,Slot8_IsWG=1,CP40=1),MIN(IE40,KK40),0)</f>
        <v>0</v>
      </c>
      <c r="KM40" s="20" t="n">
        <f aca="false">CQ40+KL40</f>
        <v>0</v>
      </c>
      <c r="KN40" s="20" t="n">
        <f aca="false">IF(CP40=1,MAX(0,(Slot8_Cost-KM40*(1+Slot8_Rate)^(Slot8_Age-D40))/KJ40),0)</f>
        <v>0</v>
      </c>
      <c r="KO40" s="20" t="n">
        <f aca="false">IF(CP40=1,MAX(0,(Slot8_Cost-CQ40*(1+Slot8_Rate)^(Slot8_Age-D40))/KJ40),0)</f>
        <v>0</v>
      </c>
      <c r="KP40" s="20" t="n">
        <f aca="false">IF(AND(HU40=1,CP40=1),MIN(KI40,KN40),0)</f>
        <v>0</v>
      </c>
      <c r="KQ40" s="20" t="n">
        <f aca="false">KI40-KP40</f>
        <v>0</v>
      </c>
      <c r="KR40" s="20" t="n">
        <f aca="false">IF(CZ40=1,IF(ABS((1+AS_Wage)/(1+Slot9_Rate)-1)&lt;0.000000000001,(Slot9_Age-D40)*(1+Slot9_Rate)^(Slot9_Age-D40),(1+Slot9_Rate)^(Slot9_Age-D40)*(1-((1+AS_Wage)/(1+Slot9_Rate))^(Slot9_Age-D40))/(1-(1+AS_Wage)/(1+Slot9_Rate))),1)</f>
        <v>1</v>
      </c>
      <c r="KS40" s="20" t="n">
        <f aca="false">IF(AND(HU40=1,IE40&gt;0,Slot9_IsWG=1,CZ40=1),MAX(0,(Slot9_Cost-DA40*(1+Slot9_Rate)^(Slot9_Age-D40))/KR40),0)</f>
        <v>0</v>
      </c>
      <c r="KT40" s="20" t="n">
        <f aca="false">IF(AND(HU40=1,IE40&gt;0,Slot9_IsWG=1,CZ40=1),MIN(IE40,KS40),0)</f>
        <v>0</v>
      </c>
      <c r="KU40" s="20" t="n">
        <f aca="false">DA40+KT40</f>
        <v>0</v>
      </c>
      <c r="KV40" s="20" t="n">
        <f aca="false">IF(CZ40=1,MAX(0,(Slot9_Cost-KU40*(1+Slot9_Rate)^(Slot9_Age-D40))/KR40),0)</f>
        <v>0</v>
      </c>
      <c r="KW40" s="20" t="n">
        <f aca="false">IF(CZ40=1,MAX(0,(Slot9_Cost-DA40*(1+Slot9_Rate)^(Slot9_Age-D40))/KR40),0)</f>
        <v>0</v>
      </c>
      <c r="KX40" s="20" t="n">
        <f aca="false">IF(AND(HU40=1,CZ40=1),MIN(KQ40,KV40),0)</f>
        <v>0</v>
      </c>
      <c r="KY40" s="20" t="n">
        <f aca="false">KQ40-KX40</f>
        <v>0</v>
      </c>
      <c r="KZ40" s="20" t="n">
        <f aca="false">IF(DJ40=1,IF(ABS((1+AS_Wage)/(1+Slot10_Rate)-1)&lt;0.000000000001,(Slot10_Age-D40)*(1+Slot10_Rate)^(Slot10_Age-D40),(1+Slot10_Rate)^(Slot10_Age-D40)*(1-((1+AS_Wage)/(1+Slot10_Rate))^(Slot10_Age-D40))/(1-(1+AS_Wage)/(1+Slot10_Rate))),1)</f>
        <v>1</v>
      </c>
      <c r="LA40" s="20" t="n">
        <f aca="false">IF(AND(HU40=1,IE40&gt;0,Slot10_IsWG=1,DJ40=1),MAX(0,(Slot10_Cost-DK40*(1+Slot10_Rate)^(Slot10_Age-D40))/KZ40),0)</f>
        <v>0</v>
      </c>
      <c r="LB40" s="20" t="n">
        <f aca="false">IF(AND(HU40=1,IE40&gt;0,Slot10_IsWG=1,DJ40=1),MIN(IE40,LA40),0)</f>
        <v>0</v>
      </c>
      <c r="LC40" s="20" t="n">
        <f aca="false">DK40+LB40</f>
        <v>0</v>
      </c>
      <c r="LD40" s="20" t="n">
        <f aca="false">IF(DJ40=1,MAX(0,(Slot10_Cost-LC40*(1+Slot10_Rate)^(Slot10_Age-D40))/KZ40),0)</f>
        <v>0</v>
      </c>
      <c r="LE40" s="20" t="n">
        <f aca="false">IF(DJ40=1,MAX(0,(Slot10_Cost-DK40*(1+Slot10_Rate)^(Slot10_Age-D40))/KZ40),0)</f>
        <v>0</v>
      </c>
      <c r="LF40" s="20" t="n">
        <f aca="false">IF(AND(HU40=1,DJ40=1),MIN(KY40,LD40),0)</f>
        <v>0</v>
      </c>
      <c r="LG40" s="20" t="n">
        <f aca="false">KY40-LF40</f>
        <v>0</v>
      </c>
      <c r="LH40" s="20" t="n">
        <f aca="false">IF(DT40=1,IF(ABS((1+AS_Wage)/(1+Slot11_Rate)-1)&lt;0.000000000001,(Slot11_Age-D40)*(1+Slot11_Rate)^(Slot11_Age-D40),(1+Slot11_Rate)^(Slot11_Age-D40)*(1-((1+AS_Wage)/(1+Slot11_Rate))^(Slot11_Age-D40))/(1-(1+AS_Wage)/(1+Slot11_Rate))),1)</f>
        <v>1</v>
      </c>
      <c r="LI40" s="20" t="n">
        <f aca="false">IF(AND(HU40=1,IE40&gt;0,Slot11_IsWG=1,DT40=1),MAX(0,(Slot11_Cost-DU40*(1+Slot11_Rate)^(Slot11_Age-D40))/LH40),0)</f>
        <v>0</v>
      </c>
      <c r="LJ40" s="20" t="n">
        <f aca="false">IF(AND(HU40=1,IE40&gt;0,Slot11_IsWG=1,DT40=1),MIN(IE40,LI40),0)</f>
        <v>0</v>
      </c>
      <c r="LK40" s="20" t="n">
        <f aca="false">DU40+LJ40</f>
        <v>0</v>
      </c>
      <c r="LL40" s="20" t="n">
        <f aca="false">IF(DT40=1,MAX(0,(Slot11_Cost-LK40*(1+Slot11_Rate)^(Slot11_Age-D40))/LH40),0)</f>
        <v>0</v>
      </c>
      <c r="LM40" s="20" t="n">
        <f aca="false">IF(DT40=1,MAX(0,(Slot11_Cost-DU40*(1+Slot11_Rate)^(Slot11_Age-D40))/LH40),0)</f>
        <v>0</v>
      </c>
      <c r="LN40" s="20" t="n">
        <f aca="false">IF(AND(HU40=1,DT40=1),MIN(LG40,LL40),0)</f>
        <v>0</v>
      </c>
      <c r="LO40" s="20" t="n">
        <f aca="false">LG40-LN40</f>
        <v>0</v>
      </c>
      <c r="LP40" s="20" t="n">
        <f aca="false">IF(ED40=1,IF(ABS((1+AS_Wage)/(1+Slot12_Rate)-1)&lt;0.000000000001,(Slot12_Age-D40)*(1+Slot12_Rate)^(Slot12_Age-D40),(1+Slot12_Rate)^(Slot12_Age-D40)*(1-((1+AS_Wage)/(1+Slot12_Rate))^(Slot12_Age-D40))/(1-(1+AS_Wage)/(1+Slot12_Rate))),1)</f>
        <v>1</v>
      </c>
      <c r="LQ40" s="20" t="n">
        <f aca="false">IF(AND(HU40=1,IE40&gt;0,Slot12_IsWG=1,ED40=1),MAX(0,(Slot12_Cost-EE40*(1+Slot12_Rate)^(Slot12_Age-D40))/LP40),0)</f>
        <v>0</v>
      </c>
      <c r="LR40" s="20" t="n">
        <f aca="false">IF(AND(HU40=1,IE40&gt;0,Slot12_IsWG=1,ED40=1),MIN(IE40,LQ40),0)</f>
        <v>0</v>
      </c>
      <c r="LS40" s="20" t="n">
        <f aca="false">EE40+LR40</f>
        <v>0</v>
      </c>
      <c r="LT40" s="20" t="n">
        <f aca="false">IF(ED40=1,MAX(0,(Slot12_Cost-LS40*(1+Slot12_Rate)^(Slot12_Age-D40))/LP40),0)</f>
        <v>0</v>
      </c>
      <c r="LU40" s="20" t="n">
        <f aca="false">IF(ED40=1,MAX(0,(Slot12_Cost-EE40*(1+Slot12_Rate)^(Slot12_Age-D40))/LP40),0)</f>
        <v>0</v>
      </c>
      <c r="LV40" s="20" t="n">
        <f aca="false">IF(AND(HU40=1,ED40=1),MIN(LO40,LT40),0)</f>
        <v>0</v>
      </c>
      <c r="LW40" s="20" t="n">
        <f aca="false">LO40-LV40</f>
        <v>0</v>
      </c>
      <c r="LX40" s="20" t="n">
        <f aca="false">IF(EN40=1,IF(ABS((1+AS_Wage)/(1+Slot13_Rate)-1)&lt;0.000000000001,(Slot13_Age-D40)*(1+Slot13_Rate)^(Slot13_Age-D40),(1+Slot13_Rate)^(Slot13_Age-D40)*(1-((1+AS_Wage)/(1+Slot13_Rate))^(Slot13_Age-D40))/(1-(1+AS_Wage)/(1+Slot13_Rate))),1)</f>
        <v>1</v>
      </c>
      <c r="LY40" s="20" t="n">
        <f aca="false">IF(AND(HU40=1,IE40&gt;0,Slot13_IsWG=1,EN40=1),MAX(0,(Slot13_Cost-EO40*(1+Slot13_Rate)^(Slot13_Age-D40))/LX40),0)</f>
        <v>0</v>
      </c>
      <c r="LZ40" s="20" t="n">
        <f aca="false">IF(AND(HU40=1,IE40&gt;0,Slot13_IsWG=1,EN40=1),MIN(IE40,LY40),0)</f>
        <v>0</v>
      </c>
      <c r="MA40" s="20" t="n">
        <f aca="false">EO40+LZ40</f>
        <v>0</v>
      </c>
      <c r="MB40" s="20" t="n">
        <f aca="false">IF(EN40=1,MAX(0,(Slot13_Cost-MA40*(1+Slot13_Rate)^(Slot13_Age-D40))/LX40),0)</f>
        <v>0</v>
      </c>
      <c r="MC40" s="20" t="n">
        <f aca="false">IF(EN40=1,MAX(0,(Slot13_Cost-EO40*(1+Slot13_Rate)^(Slot13_Age-D40))/LX40),0)</f>
        <v>0</v>
      </c>
      <c r="MD40" s="20" t="n">
        <f aca="false">IF(AND(HU40=1,EN40=1),MIN(LW40,MB40),0)</f>
        <v>0</v>
      </c>
      <c r="ME40" s="20" t="n">
        <f aca="false">LW40-MD40</f>
        <v>0</v>
      </c>
      <c r="MF40" s="20" t="n">
        <f aca="false">IF(EX40=1,IF(ABS((1+AS_Wage)/(1+Slot14_Rate)-1)&lt;0.000000000001,(Slot14_Age-D40)*(1+Slot14_Rate)^(Slot14_Age-D40),(1+Slot14_Rate)^(Slot14_Age-D40)*(1-((1+AS_Wage)/(1+Slot14_Rate))^(Slot14_Age-D40))/(1-(1+AS_Wage)/(1+Slot14_Rate))),1)</f>
        <v>1</v>
      </c>
      <c r="MG40" s="20" t="n">
        <f aca="false">IF(AND(HU40=1,IE40&gt;0,Slot14_IsWG=1,EX40=1),MAX(0,(Slot14_Cost-EY40*(1+Slot14_Rate)^(Slot14_Age-D40))/MF40),0)</f>
        <v>0</v>
      </c>
      <c r="MH40" s="20" t="n">
        <f aca="false">IF(AND(HU40=1,IE40&gt;0,Slot14_IsWG=1,EX40=1),MIN(IE40,MG40),0)</f>
        <v>0</v>
      </c>
      <c r="MI40" s="20" t="n">
        <f aca="false">EY40+MH40</f>
        <v>0</v>
      </c>
      <c r="MJ40" s="20" t="n">
        <f aca="false">IF(EX40=1,MAX(0,(Slot14_Cost-MI40*(1+Slot14_Rate)^(Slot14_Age-D40))/MF40),0)</f>
        <v>0</v>
      </c>
      <c r="MK40" s="20" t="n">
        <f aca="false">IF(EX40=1,MAX(0,(Slot14_Cost-EY40*(1+Slot14_Rate)^(Slot14_Age-D40))/MF40),0)</f>
        <v>0</v>
      </c>
      <c r="ML40" s="20" t="n">
        <f aca="false">IF(AND(HU40=1,EX40=1),MIN(ME40,MJ40),0)</f>
        <v>0</v>
      </c>
      <c r="MM40" s="20" t="n">
        <f aca="false">ME40-ML40</f>
        <v>0</v>
      </c>
      <c r="MN40" s="20" t="n">
        <f aca="false">IF(FH40=1,IF(ABS((1+AS_Wage)/(1+Slot15_Rate)-1)&lt;0.000000000001,(Slot15_Age-D40)*(1+Slot15_Rate)^(Slot15_Age-D40),(1+Slot15_Rate)^(Slot15_Age-D40)*(1-((1+AS_Wage)/(1+Slot15_Rate))^(Slot15_Age-D40))/(1-(1+AS_Wage)/(1+Slot15_Rate))),1)</f>
        <v>1</v>
      </c>
      <c r="MO40" s="20" t="n">
        <f aca="false">IF(AND(HU40=1,IE40&gt;0,Slot15_IsWG=1,FH40=1),MAX(0,(Slot15_Cost-FI40*(1+Slot15_Rate)^(Slot15_Age-D40))/MN40),0)</f>
        <v>0</v>
      </c>
      <c r="MP40" s="20" t="n">
        <f aca="false">IF(AND(HU40=1,IE40&gt;0,Slot15_IsWG=1,FH40=1),MIN(IE40,MO40),0)</f>
        <v>0</v>
      </c>
      <c r="MQ40" s="20" t="n">
        <f aca="false">FI40+MP40</f>
        <v>0</v>
      </c>
      <c r="MR40" s="20" t="n">
        <f aca="false">IF(FH40=1,MAX(0,(Slot15_Cost-MQ40*(1+Slot15_Rate)^(Slot15_Age-D40))/MN40),0)</f>
        <v>0</v>
      </c>
      <c r="MS40" s="20" t="n">
        <f aca="false">IF(FH40=1,MAX(0,(Slot15_Cost-FI40*(1+Slot15_Rate)^(Slot15_Age-D40))/MN40),0)</f>
        <v>0</v>
      </c>
      <c r="MT40" s="20" t="n">
        <f aca="false">IF(AND(HU40=1,FH40=1),MIN(MM40,MR40),0)</f>
        <v>0</v>
      </c>
      <c r="MU40" s="20" t="n">
        <f aca="false">MM40-MT40</f>
        <v>0</v>
      </c>
      <c r="MV40" s="20" t="n">
        <f aca="false">IF(FR40=1,IF(ABS((1+AS_Wage)/(1+Slot16_Rate)-1)&lt;0.000000000001,(Slot16_Age-D40)*(1+Slot16_Rate)^(Slot16_Age-D40),(1+Slot16_Rate)^(Slot16_Age-D40)*(1-((1+AS_Wage)/(1+Slot16_Rate))^(Slot16_Age-D40))/(1-(1+AS_Wage)/(1+Slot16_Rate))),1)</f>
        <v>1</v>
      </c>
      <c r="MW40" s="20" t="n">
        <f aca="false">IF(AND(HU40=1,IE40&gt;0,Slot16_IsWG=1,FR40=1),MAX(0,(Slot16_Cost-FS40*(1+Slot16_Rate)^(Slot16_Age-D40))/MV40),0)</f>
        <v>0</v>
      </c>
      <c r="MX40" s="20" t="n">
        <f aca="false">IF(AND(HU40=1,IE40&gt;0,Slot16_IsWG=1,FR40=1),MIN(IE40,MW40),0)</f>
        <v>0</v>
      </c>
      <c r="MY40" s="20" t="n">
        <f aca="false">FS40+MX40</f>
        <v>0</v>
      </c>
      <c r="MZ40" s="20" t="n">
        <f aca="false">IF(FR40=1,MAX(0,(Slot16_Cost-MY40*(1+Slot16_Rate)^(Slot16_Age-D40))/MV40),0)</f>
        <v>0</v>
      </c>
      <c r="NA40" s="20" t="n">
        <f aca="false">IF(FR40=1,MAX(0,(Slot16_Cost-FS40*(1+Slot16_Rate)^(Slot16_Age-D40))/MV40),0)</f>
        <v>0</v>
      </c>
      <c r="NB40" s="20" t="n">
        <f aca="false">IF(AND(HU40=1,FR40=1),MIN(MU40,MZ40),0)</f>
        <v>0</v>
      </c>
      <c r="NC40" s="20" t="n">
        <f aca="false">MU40-NB40</f>
        <v>0</v>
      </c>
      <c r="ND40" s="20" t="n">
        <f aca="false">IF(GB40=1,IF(ABS((1+AS_Wage)/(1+Slot17_Rate)-1)&lt;0.000000000001,(Slot17_Age-D40)*(1+Slot17_Rate)^(Slot17_Age-D40),(1+Slot17_Rate)^(Slot17_Age-D40)*(1-((1+AS_Wage)/(1+Slot17_Rate))^(Slot17_Age-D40))/(1-(1+AS_Wage)/(1+Slot17_Rate))),1)</f>
        <v>1</v>
      </c>
      <c r="NE40" s="20" t="n">
        <f aca="false">IF(AND(HU40=1,IE40&gt;0,Slot17_IsWG=1,GB40=1),MAX(0,(Slot17_Cost-GC40*(1+Slot17_Rate)^(Slot17_Age-D40))/ND40),0)</f>
        <v>0</v>
      </c>
      <c r="NF40" s="20" t="n">
        <f aca="false">IF(AND(HU40=1,IE40&gt;0,Slot17_IsWG=1,GB40=1),MIN(IE40,NE40),0)</f>
        <v>0</v>
      </c>
      <c r="NG40" s="20" t="n">
        <f aca="false">GC40+NF40</f>
        <v>0</v>
      </c>
      <c r="NH40" s="20" t="n">
        <f aca="false">IF(GB40=1,MAX(0,(Slot17_Cost-NG40*(1+Slot17_Rate)^(Slot17_Age-D40))/ND40),0)</f>
        <v>0</v>
      </c>
      <c r="NI40" s="20" t="n">
        <f aca="false">IF(GB40=1,MAX(0,(Slot17_Cost-GC40*(1+Slot17_Rate)^(Slot17_Age-D40))/ND40),0)</f>
        <v>0</v>
      </c>
      <c r="NJ40" s="20" t="n">
        <f aca="false">IF(AND(HU40=1,GB40=1),MIN(NC40,NH40),0)</f>
        <v>0</v>
      </c>
      <c r="NK40" s="20" t="n">
        <f aca="false">NC40-NJ40</f>
        <v>0</v>
      </c>
      <c r="NL40" s="20" t="n">
        <f aca="false">IF(GL40=1,IF(ABS((1+AS_Wage)/(1+Slot18_Rate)-1)&lt;0.000000000001,(Slot18_Age-D40)*(1+Slot18_Rate)^(Slot18_Age-D40),(1+Slot18_Rate)^(Slot18_Age-D40)*(1-((1+AS_Wage)/(1+Slot18_Rate))^(Slot18_Age-D40))/(1-(1+AS_Wage)/(1+Slot18_Rate))),1)</f>
        <v>1</v>
      </c>
      <c r="NM40" s="20" t="n">
        <f aca="false">IF(AND(HU40=1,IE40&gt;0,Slot18_IsWG=1,GL40=1),MAX(0,(Slot18_Cost-GM40*(1+Slot18_Rate)^(Slot18_Age-D40))/NL40),0)</f>
        <v>0</v>
      </c>
      <c r="NN40" s="20" t="n">
        <f aca="false">IF(AND(HU40=1,IE40&gt;0,Slot18_IsWG=1,GL40=1),MIN(IE40,NM40),0)</f>
        <v>0</v>
      </c>
      <c r="NO40" s="20" t="n">
        <f aca="false">GM40+NN40</f>
        <v>0</v>
      </c>
      <c r="NP40" s="20" t="n">
        <f aca="false">IF(GL40=1,MAX(0,(Slot18_Cost-NO40*(1+Slot18_Rate)^(Slot18_Age-D40))/NL40),0)</f>
        <v>0</v>
      </c>
      <c r="NQ40" s="20" t="n">
        <f aca="false">IF(GL40=1,MAX(0,(Slot18_Cost-GM40*(1+Slot18_Rate)^(Slot18_Age-D40))/NL40),0)</f>
        <v>0</v>
      </c>
      <c r="NR40" s="20" t="n">
        <f aca="false">IF(AND(HU40=1,GL40=1),MIN(NK40,NP40),0)</f>
        <v>0</v>
      </c>
      <c r="NS40" s="20" t="n">
        <f aca="false">NK40-NR40</f>
        <v>0</v>
      </c>
      <c r="NT40" s="20" t="n">
        <f aca="false">IF(GV40=1,IF(ABS((1+AS_Wage)/(1+Slot19_Rate)-1)&lt;0.000000000001,(Slot19_Age-D40)*(1+Slot19_Rate)^(Slot19_Age-D40),(1+Slot19_Rate)^(Slot19_Age-D40)*(1-((1+AS_Wage)/(1+Slot19_Rate))^(Slot19_Age-D40))/(1-(1+AS_Wage)/(1+Slot19_Rate))),1)</f>
        <v>1</v>
      </c>
      <c r="NU40" s="20" t="n">
        <f aca="false">IF(AND(HU40=1,IE40&gt;0,Slot19_IsWG=1,GV40=1),MAX(0,(Slot19_Cost-GW40*(1+Slot19_Rate)^(Slot19_Age-D40))/NT40),0)</f>
        <v>0</v>
      </c>
      <c r="NV40" s="20" t="n">
        <f aca="false">IF(AND(HU40=1,IE40&gt;0,Slot19_IsWG=1,GV40=1),MIN(IE40,NU40),0)</f>
        <v>0</v>
      </c>
      <c r="NW40" s="20" t="n">
        <f aca="false">GW40+NV40</f>
        <v>0</v>
      </c>
      <c r="NX40" s="20" t="n">
        <f aca="false">IF(GV40=1,MAX(0,(Slot19_Cost-NW40*(1+Slot19_Rate)^(Slot19_Age-D40))/NT40),0)</f>
        <v>0</v>
      </c>
      <c r="NY40" s="20" t="n">
        <f aca="false">IF(GV40=1,MAX(0,(Slot19_Cost-GW40*(1+Slot19_Rate)^(Slot19_Age-D40))/NT40),0)</f>
        <v>0</v>
      </c>
      <c r="NZ40" s="20" t="n">
        <f aca="false">IF(AND(HU40=1,GV40=1),MIN(NS40,NX40),0)</f>
        <v>0</v>
      </c>
      <c r="OA40" s="20" t="n">
        <f aca="false">NS40-NZ40</f>
        <v>0</v>
      </c>
      <c r="OB40" s="20" t="n">
        <f aca="false">IF(HF40=1,IF(ABS((1+AS_Wage)/(1+Slot20_Rate)-1)&lt;0.000000000001,(Slot20_Age-D40)*(1+Slot20_Rate)^(Slot20_Age-D40),(1+Slot20_Rate)^(Slot20_Age-D40)*(1-((1+AS_Wage)/(1+Slot20_Rate))^(Slot20_Age-D40))/(1-(1+AS_Wage)/(1+Slot20_Rate))),1)</f>
        <v>1</v>
      </c>
      <c r="OC40" s="20" t="n">
        <f aca="false">IF(AND(HU40=1,IE40&gt;0,Slot20_IsWG=1,HF40=1),MAX(0,(Slot20_Cost-HG40*(1+Slot20_Rate)^(Slot20_Age-D40))/OB40),0)</f>
        <v>0</v>
      </c>
      <c r="OD40" s="20" t="n">
        <f aca="false">IF(AND(HU40=1,IE40&gt;0,Slot20_IsWG=1,HF40=1),MIN(IE40,OC40),0)</f>
        <v>0</v>
      </c>
      <c r="OE40" s="20" t="n">
        <f aca="false">HG40+OD40</f>
        <v>0</v>
      </c>
      <c r="OF40" s="20" t="n">
        <f aca="false">IF(HF40=1,MAX(0,(Slot20_Cost-OE40*(1+Slot20_Rate)^(Slot20_Age-D40))/OB40),0)</f>
        <v>0</v>
      </c>
      <c r="OG40" s="20" t="n">
        <f aca="false">IF(HF40=1,MAX(0,(Slot20_Cost-HG40*(1+Slot20_Rate)^(Slot20_Age-D40))/OB40),0)</f>
        <v>0</v>
      </c>
      <c r="OH40" s="20" t="n">
        <f aca="false">IF(AND(HU40=1,HF40=1),MIN(OA40,OF40),0)</f>
        <v>0</v>
      </c>
      <c r="OI40" s="20" t="n">
        <f aca="false">OA40-OH40</f>
        <v>0</v>
      </c>
      <c r="OJ40" s="20" t="n">
        <f aca="false">IE40-(IH40+IP40+IX40+JF40+JN40+JV40+KD40+KL40+KT40+LB40+LJ40+LR40+LZ40+MH40+MP40+MX40+NF40+NN40+NV40+OD40)</f>
        <v>0</v>
      </c>
      <c r="OK40" s="20" t="n">
        <f aca="false">IF(HU40=1,HS40-ID40-IE40,0)</f>
        <v>0</v>
      </c>
      <c r="OL40" s="20" t="n">
        <f aca="false">IF(HU40=0,-HS40,0)</f>
        <v>21805.942156815</v>
      </c>
      <c r="OM40" s="20" t="n">
        <f aca="false">MIN(OL40,HK40)</f>
        <v>21805.942156815</v>
      </c>
      <c r="ON40" s="20" t="n">
        <f aca="false">OL40-OM40</f>
        <v>0</v>
      </c>
      <c r="OO40" s="20" t="n">
        <f aca="false">MIN(ON40,HL40)</f>
        <v>0</v>
      </c>
      <c r="OP40" s="20" t="n">
        <f aca="false">ON40-OO40</f>
        <v>0</v>
      </c>
      <c r="OQ40" s="20" t="n">
        <f aca="false">IF(AND(HU40=0,HF40=1,OP40&gt;0),MIN(OP40,HG40),0)</f>
        <v>0</v>
      </c>
      <c r="OR40" s="20" t="n">
        <f aca="false">OP40-OQ40</f>
        <v>0</v>
      </c>
      <c r="OS40" s="20" t="n">
        <f aca="false">IF(AND(HU40=0,GV40=1,OR40&gt;0),MIN(OR40,GW40),0)</f>
        <v>0</v>
      </c>
      <c r="OT40" s="20" t="n">
        <f aca="false">OR40-OS40</f>
        <v>0</v>
      </c>
      <c r="OU40" s="20" t="n">
        <f aca="false">IF(AND(HU40=0,GL40=1,OT40&gt;0),MIN(OT40,GM40),0)</f>
        <v>0</v>
      </c>
      <c r="OV40" s="20" t="n">
        <f aca="false">OT40-OU40</f>
        <v>0</v>
      </c>
      <c r="OW40" s="20" t="n">
        <f aca="false">IF(AND(HU40=0,GB40=1,OV40&gt;0),MIN(OV40,GC40),0)</f>
        <v>0</v>
      </c>
      <c r="OX40" s="20" t="n">
        <f aca="false">OV40-OW40</f>
        <v>0</v>
      </c>
      <c r="OY40" s="20" t="n">
        <f aca="false">IF(AND(HU40=0,FR40=1,OX40&gt;0),MIN(OX40,FS40),0)</f>
        <v>0</v>
      </c>
      <c r="OZ40" s="20" t="n">
        <f aca="false">OX40-OY40</f>
        <v>0</v>
      </c>
      <c r="PA40" s="20" t="n">
        <f aca="false">IF(AND(HU40=0,FH40=1,OZ40&gt;0),MIN(OZ40,FI40),0)</f>
        <v>0</v>
      </c>
      <c r="PB40" s="20" t="n">
        <f aca="false">OZ40-PA40</f>
        <v>0</v>
      </c>
      <c r="PC40" s="20" t="n">
        <f aca="false">IF(AND(HU40=0,EX40=1,PB40&gt;0),MIN(PB40,EY40),0)</f>
        <v>0</v>
      </c>
      <c r="PD40" s="20" t="n">
        <f aca="false">PB40-PC40</f>
        <v>0</v>
      </c>
      <c r="PE40" s="20" t="n">
        <f aca="false">IF(AND(HU40=0,EN40=1,PD40&gt;0),MIN(PD40,EO40),0)</f>
        <v>0</v>
      </c>
      <c r="PF40" s="20" t="n">
        <f aca="false">PD40-PE40</f>
        <v>0</v>
      </c>
      <c r="PG40" s="20" t="n">
        <f aca="false">IF(AND(HU40=0,ED40=1,PF40&gt;0),MIN(PF40,EE40),0)</f>
        <v>0</v>
      </c>
      <c r="PH40" s="20" t="n">
        <f aca="false">PF40-PG40</f>
        <v>0</v>
      </c>
      <c r="PI40" s="20" t="n">
        <f aca="false">IF(AND(HU40=0,DT40=1,PH40&gt;0),MIN(PH40,DU40),0)</f>
        <v>0</v>
      </c>
      <c r="PJ40" s="20" t="n">
        <f aca="false">PH40-PI40</f>
        <v>0</v>
      </c>
      <c r="PK40" s="20" t="n">
        <f aca="false">IF(AND(HU40=0,DJ40=1,PJ40&gt;0),MIN(PJ40,DK40),0)</f>
        <v>0</v>
      </c>
      <c r="PL40" s="20" t="n">
        <f aca="false">PJ40-PK40</f>
        <v>0</v>
      </c>
      <c r="PM40" s="20" t="n">
        <f aca="false">IF(AND(HU40=0,CZ40=1,PL40&gt;0),MIN(PL40,DA40),0)</f>
        <v>0</v>
      </c>
      <c r="PN40" s="20" t="n">
        <f aca="false">PL40-PM40</f>
        <v>0</v>
      </c>
      <c r="PO40" s="20" t="n">
        <f aca="false">IF(AND(HU40=0,CP40=1,PN40&gt;0),MIN(PN40,CQ40),0)</f>
        <v>0</v>
      </c>
      <c r="PP40" s="20" t="n">
        <f aca="false">PN40-PO40</f>
        <v>0</v>
      </c>
      <c r="PQ40" s="20" t="n">
        <f aca="false">IF(AND(HU40=0,CF40=1,PP40&gt;0),MIN(PP40,CG40),0)</f>
        <v>0</v>
      </c>
      <c r="PR40" s="20" t="n">
        <f aca="false">PP40-PQ40</f>
        <v>0</v>
      </c>
      <c r="PS40" s="20" t="n">
        <f aca="false">IF(AND(HU40=0,BV40=1,PR40&gt;0),MIN(PR40,BW40),0)</f>
        <v>0</v>
      </c>
      <c r="PT40" s="20" t="n">
        <f aca="false">PR40-PS40</f>
        <v>0</v>
      </c>
      <c r="PU40" s="20" t="n">
        <f aca="false">IF(AND(HU40=0,BL40=1,PT40&gt;0),MIN(PT40,BM40),0)</f>
        <v>0</v>
      </c>
      <c r="PV40" s="20" t="n">
        <f aca="false">PT40-PU40</f>
        <v>0</v>
      </c>
      <c r="PW40" s="20" t="n">
        <f aca="false">IF(AND(HU40=0,BB40=1,PV40&gt;0),MIN(PV40,BC40),0)</f>
        <v>0</v>
      </c>
      <c r="PX40" s="20" t="n">
        <f aca="false">PV40-PW40</f>
        <v>0</v>
      </c>
      <c r="PY40" s="20" t="n">
        <f aca="false">IF(AND(HU40=0,AR40=1,PX40&gt;0),MIN(PX40,AS40),0)</f>
        <v>0</v>
      </c>
      <c r="PZ40" s="20" t="n">
        <f aca="false">PX40-PY40</f>
        <v>0</v>
      </c>
      <c r="QA40" s="20" t="n">
        <f aca="false">IF(AND(HU40=0,AH40=1,PZ40&gt;0),MIN(PZ40,AI40),0)</f>
        <v>0</v>
      </c>
      <c r="QB40" s="20" t="n">
        <f aca="false">PZ40-QA40</f>
        <v>0</v>
      </c>
      <c r="QC40" s="20" t="n">
        <f aca="false">IF(AND(HU40=0,W40=1,QB40&gt;0),MIN(QB40,X40),0)</f>
        <v>0</v>
      </c>
      <c r="QD40" s="20" t="n">
        <f aca="false">QB40-QC40</f>
        <v>0</v>
      </c>
      <c r="QE40" s="20" t="n">
        <f aca="false">IF(HU40=0,QD40,0)</f>
        <v>0</v>
      </c>
      <c r="QF40" s="20" t="n">
        <f aca="false">OM40+OO40+QC40+QA40+PY40+PW40+PU40+PS40+PQ40+PO40+PM40+PK40+PI40+PG40+PE40+PC40+PA40+OY40+OW40+OU40+OS40+OQ40</f>
        <v>21805.942156815</v>
      </c>
      <c r="QG40" s="20" t="n">
        <f aca="false">IF(HU40=1,HK40+OJ40+OI40+IF(G40=1,0,OK40),HK40-OM40)</f>
        <v>124789.362315495</v>
      </c>
      <c r="QH40" s="20" t="n">
        <f aca="false">HL40-OO40</f>
        <v>21034.5301726853</v>
      </c>
      <c r="QI40" s="20" t="n">
        <f aca="false">IF(HU40=1,IF(G40=1,ID40+IE40,HS40),0)</f>
        <v>0</v>
      </c>
      <c r="QJ40" s="20" t="n">
        <f aca="false">IF(HU40=1,IF(G40=1,HS40-ID40-IE40,0),0)</f>
        <v>0</v>
      </c>
      <c r="QK40" s="20" t="n">
        <f aca="false">QG40*(1+GR)</f>
        <v>126835.907857469</v>
      </c>
      <c r="QL40" s="20" t="n">
        <f aca="false">QH40*(1+AS_Cash)</f>
        <v>21244.8754744122</v>
      </c>
      <c r="QM40" s="20" t="n">
        <f aca="false">IF(W40=1,IF(HU40=1,II40+IL40,X40-QC40)*(1+Slot1_Rate),0)</f>
        <v>0</v>
      </c>
      <c r="QN40" s="20" t="n">
        <f aca="false">IF(AND(HU40=1,W40=1),(IH40+IL40)/F40,0)</f>
        <v>0</v>
      </c>
      <c r="QO40" s="20" t="n">
        <f aca="false">IF(B40=0,IH40+IL40,0)</f>
        <v>0</v>
      </c>
      <c r="QP40" s="20" t="n">
        <f aca="false">IF(B40=0,IF(HU40=1,IJ40,IK40),0)</f>
        <v>0</v>
      </c>
      <c r="QQ40" s="20" t="n">
        <f aca="false">IF(AH40=1,IF(HU40=1,IQ40+IT40,AI40-QA40)*(1+Slot2_Rate),0)</f>
        <v>0</v>
      </c>
      <c r="QR40" s="20" t="n">
        <f aca="false">IF(AND(HU40=1,AH40=1),(IP40+IT40)/F40,0)</f>
        <v>0</v>
      </c>
      <c r="QS40" s="20" t="n">
        <f aca="false">IF(B40=0,IP40+IT40,0)</f>
        <v>0</v>
      </c>
      <c r="QT40" s="20" t="n">
        <f aca="false">IF(B40=0,IF(HU40=1,IR40,IS40),0)</f>
        <v>0</v>
      </c>
      <c r="QU40" s="20" t="n">
        <f aca="false">IF(AR40=1,IF(HU40=1,IY40+JB40,AS40-PY40)*(1+Slot3_Rate),0)</f>
        <v>0</v>
      </c>
      <c r="QV40" s="20" t="n">
        <f aca="false">IF(AND(HU40=1,AR40=1),(IX40+JB40)/F40,0)</f>
        <v>0</v>
      </c>
      <c r="QW40" s="20" t="n">
        <f aca="false">IF(B40=0,IX40+JB40,0)</f>
        <v>0</v>
      </c>
      <c r="QX40" s="20" t="n">
        <f aca="false">IF(B40=0,IF(HU40=1,IZ40,JA40),0)</f>
        <v>0</v>
      </c>
      <c r="QY40" s="20" t="n">
        <f aca="false">IF(BB40=1,IF(HU40=1,JG40+JJ40,BC40-PW40)*(1+Slot4_Rate),0)</f>
        <v>0</v>
      </c>
      <c r="QZ40" s="20" t="n">
        <f aca="false">IF(AND(HU40=1,BB40=1),(JF40+JJ40)/F40,0)</f>
        <v>0</v>
      </c>
      <c r="RA40" s="20" t="n">
        <f aca="false">IF(B40=0,JF40+JJ40,0)</f>
        <v>0</v>
      </c>
      <c r="RB40" s="20" t="n">
        <f aca="false">IF(B40=0,IF(HU40=1,JH40,JI40),0)</f>
        <v>0</v>
      </c>
      <c r="RC40" s="20" t="n">
        <f aca="false">IF(BL40=1,IF(HU40=1,JO40+JR40,BM40-PU40)*(1+Slot5_Rate),0)</f>
        <v>0</v>
      </c>
      <c r="RD40" s="20" t="n">
        <f aca="false">IF(AND(HU40=1,BL40=1),(JN40+JR40)/F40,0)</f>
        <v>0</v>
      </c>
      <c r="RE40" s="20" t="n">
        <f aca="false">IF(B40=0,JN40+JR40,0)</f>
        <v>0</v>
      </c>
      <c r="RF40" s="20" t="n">
        <f aca="false">IF(B40=0,IF(HU40=1,JP40,JQ40),0)</f>
        <v>0</v>
      </c>
      <c r="RG40" s="20" t="n">
        <f aca="false">IF(BV40=1,IF(HU40=1,JW40+JZ40,BW40-PS40)*(1+Slot6_Rate),0)</f>
        <v>0</v>
      </c>
      <c r="RH40" s="20" t="n">
        <f aca="false">IF(AND(HU40=1,BV40=1),(JV40+JZ40)/F40,0)</f>
        <v>0</v>
      </c>
      <c r="RI40" s="20" t="n">
        <f aca="false">IF(B40=0,JV40+JZ40,0)</f>
        <v>0</v>
      </c>
      <c r="RJ40" s="20" t="n">
        <f aca="false">IF(B40=0,IF(HU40=1,JX40,JY40),0)</f>
        <v>0</v>
      </c>
      <c r="RK40" s="20" t="n">
        <f aca="false">IF(CF40=1,IF(HU40=1,KE40+KH40,CG40-PQ40)*(1+Slot7_Rate),0)</f>
        <v>0</v>
      </c>
      <c r="RL40" s="20" t="n">
        <f aca="false">IF(AND(HU40=1,CF40=1),(KD40+KH40)/F40,0)</f>
        <v>0</v>
      </c>
      <c r="RM40" s="20" t="n">
        <f aca="false">IF(B40=0,KD40+KH40,0)</f>
        <v>0</v>
      </c>
      <c r="RN40" s="20" t="n">
        <f aca="false">IF(B40=0,IF(HU40=1,KF40,KG40),0)</f>
        <v>0</v>
      </c>
      <c r="RO40" s="20" t="n">
        <f aca="false">IF(CP40=1,IF(HU40=1,KM40+KP40,CQ40-PO40)*(1+Slot8_Rate),0)</f>
        <v>0</v>
      </c>
      <c r="RP40" s="20" t="n">
        <f aca="false">IF(AND(HU40=1,CP40=1),(KL40+KP40)/F40,0)</f>
        <v>0</v>
      </c>
      <c r="RQ40" s="20" t="n">
        <f aca="false">IF(B40=0,KL40+KP40,0)</f>
        <v>0</v>
      </c>
      <c r="RR40" s="20" t="n">
        <f aca="false">IF(B40=0,IF(HU40=1,KN40,KO40),0)</f>
        <v>0</v>
      </c>
      <c r="RS40" s="20" t="n">
        <f aca="false">IF(CZ40=1,IF(HU40=1,KU40+KX40,DA40-PM40)*(1+Slot9_Rate),0)</f>
        <v>0</v>
      </c>
      <c r="RT40" s="20" t="n">
        <f aca="false">IF(AND(HU40=1,CZ40=1),(KT40+KX40)/F40,0)</f>
        <v>0</v>
      </c>
      <c r="RU40" s="20" t="n">
        <f aca="false">IF(B40=0,KT40+KX40,0)</f>
        <v>0</v>
      </c>
      <c r="RV40" s="20" t="n">
        <f aca="false">IF(B40=0,IF(HU40=1,KV40,KW40),0)</f>
        <v>0</v>
      </c>
      <c r="RW40" s="20" t="n">
        <f aca="false">IF(DJ40=1,IF(HU40=1,LC40+LF40,DK40-PK40)*(1+Slot10_Rate),0)</f>
        <v>0</v>
      </c>
      <c r="RX40" s="20" t="n">
        <f aca="false">IF(AND(HU40=1,DJ40=1),(LB40+LF40)/F40,0)</f>
        <v>0</v>
      </c>
      <c r="RY40" s="20" t="n">
        <f aca="false">IF(B40=0,LB40+LF40,0)</f>
        <v>0</v>
      </c>
      <c r="RZ40" s="20" t="n">
        <f aca="false">IF(B40=0,IF(HU40=1,LD40,LE40),0)</f>
        <v>0</v>
      </c>
      <c r="SA40" s="20" t="n">
        <f aca="false">IF(DT40=1,IF(HU40=1,LK40+LN40,DU40-PI40)*(1+Slot11_Rate),0)</f>
        <v>0</v>
      </c>
      <c r="SB40" s="20" t="n">
        <f aca="false">IF(AND(HU40=1,DT40=1),(LJ40+LN40)/F40,0)</f>
        <v>0</v>
      </c>
      <c r="SC40" s="20" t="n">
        <f aca="false">IF(B40=0,LJ40+LN40,0)</f>
        <v>0</v>
      </c>
      <c r="SD40" s="20" t="n">
        <f aca="false">IF(B40=0,IF(HU40=1,LL40,LM40),0)</f>
        <v>0</v>
      </c>
      <c r="SE40" s="20" t="n">
        <f aca="false">IF(ED40=1,IF(HU40=1,LS40+LV40,EE40-PG40)*(1+Slot12_Rate),0)</f>
        <v>0</v>
      </c>
      <c r="SF40" s="20" t="n">
        <f aca="false">IF(AND(HU40=1,ED40=1),(LR40+LV40)/F40,0)</f>
        <v>0</v>
      </c>
      <c r="SG40" s="20" t="n">
        <f aca="false">IF(B40=0,LR40+LV40,0)</f>
        <v>0</v>
      </c>
      <c r="SH40" s="20" t="n">
        <f aca="false">IF(B40=0,IF(HU40=1,LT40,LU40),0)</f>
        <v>0</v>
      </c>
      <c r="SI40" s="20" t="n">
        <f aca="false">IF(EN40=1,IF(HU40=1,MA40+MD40,EO40-PE40)*(1+Slot13_Rate),0)</f>
        <v>0</v>
      </c>
      <c r="SJ40" s="20" t="n">
        <f aca="false">IF(AND(HU40=1,EN40=1),(LZ40+MD40)/F40,0)</f>
        <v>0</v>
      </c>
      <c r="SK40" s="20" t="n">
        <f aca="false">IF(B40=0,LZ40+MD40,0)</f>
        <v>0</v>
      </c>
      <c r="SL40" s="20" t="n">
        <f aca="false">IF(B40=0,IF(HU40=1,MB40,MC40),0)</f>
        <v>0</v>
      </c>
      <c r="SM40" s="20" t="n">
        <f aca="false">IF(EX40=1,IF(HU40=1,MI40+ML40,EY40-PC40)*(1+Slot14_Rate),0)</f>
        <v>0</v>
      </c>
      <c r="SN40" s="20" t="n">
        <f aca="false">IF(AND(HU40=1,EX40=1),(MH40+ML40)/F40,0)</f>
        <v>0</v>
      </c>
      <c r="SO40" s="20" t="n">
        <f aca="false">IF(B40=0,MH40+ML40,0)</f>
        <v>0</v>
      </c>
      <c r="SP40" s="20" t="n">
        <f aca="false">IF(B40=0,IF(HU40=1,MJ40,MK40),0)</f>
        <v>0</v>
      </c>
      <c r="SQ40" s="20" t="n">
        <f aca="false">IF(FH40=1,IF(HU40=1,MQ40+MT40,FI40-PA40)*(1+Slot15_Rate),0)</f>
        <v>0</v>
      </c>
      <c r="SR40" s="20" t="n">
        <f aca="false">IF(AND(HU40=1,FH40=1),(MP40+MT40)/F40,0)</f>
        <v>0</v>
      </c>
      <c r="SS40" s="20" t="n">
        <f aca="false">IF(B40=0,MP40+MT40,0)</f>
        <v>0</v>
      </c>
      <c r="ST40" s="20" t="n">
        <f aca="false">IF(B40=0,IF(HU40=1,MR40,MS40),0)</f>
        <v>0</v>
      </c>
      <c r="SU40" s="20" t="n">
        <f aca="false">IF(FR40=1,IF(HU40=1,MY40+NB40,FS40-OY40)*(1+Slot16_Rate),0)</f>
        <v>0</v>
      </c>
      <c r="SV40" s="20" t="n">
        <f aca="false">IF(AND(HU40=1,FR40=1),(MX40+NB40)/F40,0)</f>
        <v>0</v>
      </c>
      <c r="SW40" s="20" t="n">
        <f aca="false">IF(B40=0,MX40+NB40,0)</f>
        <v>0</v>
      </c>
      <c r="SX40" s="20" t="n">
        <f aca="false">IF(B40=0,IF(HU40=1,MZ40,NA40),0)</f>
        <v>0</v>
      </c>
      <c r="SY40" s="20" t="n">
        <f aca="false">IF(GB40=1,IF(HU40=1,NG40+NJ40,GC40-OW40)*(1+Slot17_Rate),0)</f>
        <v>0</v>
      </c>
      <c r="SZ40" s="20" t="n">
        <f aca="false">IF(AND(HU40=1,GB40=1),(NF40+NJ40)/F40,0)</f>
        <v>0</v>
      </c>
      <c r="TA40" s="20" t="n">
        <f aca="false">IF(B40=0,NF40+NJ40,0)</f>
        <v>0</v>
      </c>
      <c r="TB40" s="20" t="n">
        <f aca="false">IF(B40=0,IF(HU40=1,NH40,NI40),0)</f>
        <v>0</v>
      </c>
      <c r="TC40" s="20" t="n">
        <f aca="false">IF(GL40=1,IF(HU40=1,NO40+NR40,GM40-OU40)*(1+Slot18_Rate),0)</f>
        <v>0</v>
      </c>
      <c r="TD40" s="20" t="n">
        <f aca="false">IF(AND(HU40=1,GL40=1),(NN40+NR40)/F40,0)</f>
        <v>0</v>
      </c>
      <c r="TE40" s="20" t="n">
        <f aca="false">IF(B40=0,NN40+NR40,0)</f>
        <v>0</v>
      </c>
      <c r="TF40" s="20" t="n">
        <f aca="false">IF(B40=0,IF(HU40=1,NP40,NQ40),0)</f>
        <v>0</v>
      </c>
      <c r="TG40" s="20" t="n">
        <f aca="false">IF(GV40=1,IF(HU40=1,NW40+NZ40,GW40-OS40)*(1+Slot19_Rate),0)</f>
        <v>0</v>
      </c>
      <c r="TH40" s="20" t="n">
        <f aca="false">IF(AND(HU40=1,GV40=1),(NV40+NZ40)/F40,0)</f>
        <v>0</v>
      </c>
      <c r="TI40" s="20" t="n">
        <f aca="false">IF(B40=0,NV40+NZ40,0)</f>
        <v>0</v>
      </c>
      <c r="TJ40" s="20" t="n">
        <f aca="false">IF(B40=0,IF(HU40=1,NX40,NY40),0)</f>
        <v>0</v>
      </c>
      <c r="TK40" s="20" t="n">
        <f aca="false">IF(HF40=1,IF(HU40=1,OE40+OH40,HG40-OQ40)*(1+Slot20_Rate),0)</f>
        <v>0</v>
      </c>
      <c r="TL40" s="20" t="n">
        <f aca="false">IF(AND(HU40=1,HF40=1),(OD40+OH40)/F40,0)</f>
        <v>0</v>
      </c>
      <c r="TM40" s="20" t="n">
        <f aca="false">IF(B40=0,OD40+OH40,0)</f>
        <v>0</v>
      </c>
      <c r="TN40" s="20" t="n">
        <f aca="false">IF(B40=0,IF(HU40=1,OF40,OG40),0)</f>
        <v>0</v>
      </c>
      <c r="TO40" s="20" t="n">
        <f aca="false">QK40+QL40+QM40+QQ40+QU40+QY40+RC40+RG40+RK40+RO40+RS40+RW40+SA40+SE40+SI40+SM40+SQ40+SU40+SY40+TC40+TG40+TK40</f>
        <v>148080.783331881</v>
      </c>
      <c r="TP40" s="20" t="n">
        <f aca="false">QE40+HP40</f>
        <v>0</v>
      </c>
      <c r="TQ40" s="20" t="n">
        <f aca="false">I40+S40</f>
        <v>90081.040302434</v>
      </c>
      <c r="TR40" s="20" t="n">
        <f aca="false">1-G40</f>
        <v>1</v>
      </c>
      <c r="TS40" s="20" t="n">
        <f aca="false">IF(AND(RG_Exists=1,G40=0,C40=1),I40,0)</f>
        <v>90081.040302434</v>
      </c>
      <c r="TT40" s="20" t="n">
        <f aca="false">IF(AND(RG_Exists=1,G40=0,C40=1),I40-MIN(QE40,I40),0)</f>
        <v>90081.040302434</v>
      </c>
      <c r="TU40" s="20" t="n">
        <f aca="false">'Plan pay &amp; tax'!AD266</f>
        <v>413018.143200218</v>
      </c>
      <c r="TV40" s="20" t="n">
        <f aca="false">IF(AND(C40=1,QE40&gt;MAX(PR_Short1,TQ40*PR_Short2)),1,0)</f>
        <v>0</v>
      </c>
      <c r="TW40" s="20" t="n">
        <f aca="false">MIN(H40,I40+S40)</f>
        <v>68275.0981456191</v>
      </c>
      <c r="TX40" s="20" t="n">
        <f aca="false">QF40+MAX(0,HQ40-HP40)</f>
        <v>21805.942156815</v>
      </c>
      <c r="TY40" s="20" t="n">
        <f aca="false">QE40+HP40</f>
        <v>0</v>
      </c>
      <c r="TZ40" s="20" t="n">
        <f aca="false">IF(AND(C40=1,TY40&gt;PR_MinShort),1,0)</f>
        <v>0</v>
      </c>
      <c r="UA40" s="20" t="n">
        <f aca="false">IF(AND(C40=1,TZ40=0,TX40&gt;PR_MinShort),1,0)</f>
        <v>1</v>
      </c>
      <c r="UB40" s="20" t="n">
        <f aca="false">IF(AND(C40=1,QE40&gt;PR_MinShort),1,0)</f>
        <v>0</v>
      </c>
      <c r="UC40" s="20" t="n">
        <f aca="false">IF(AND(C40=1,QF40&gt;1,UJ40=0),1,0)</f>
        <v>1</v>
      </c>
      <c r="UD40" s="20" t="str">
        <f aca="false">IF(C40=0,"",IF(UJ40=1,"Gap to plan for: short "&amp;"€"&amp;TEXT(ROUND(TP40,0),"#,##0"),IF(QF40&gt;1,"Using savings","Comfortable")))</f>
        <v>Using savings</v>
      </c>
      <c r="UE40" s="20" t="n">
        <f aca="false">IF(AND(INT(D40/10)*10=90,B40&gt;0),80,INT(D40/10)*10)</f>
        <v>70</v>
      </c>
      <c r="UF40" s="20" t="n">
        <f aca="false">IF(B40=0,1,IF(UE40&lt;&gt;UE39,UF39+1,UF39))</f>
        <v>5</v>
      </c>
      <c r="UG40" s="20" t="n">
        <f aca="false">IF(AND(C40=1,G40=1,QE40&gt;MAX(PR_Short1,TQ40*PR_Short2)),1,0)</f>
        <v>0</v>
      </c>
      <c r="UH40" s="20" t="n">
        <f aca="false">TR40*TV40</f>
        <v>0</v>
      </c>
      <c r="UI40" s="20" t="n">
        <f aca="false">IF(AND(V40=1,Slot1_PctLow=1),1,0)+IF(AND(AG40=1,Slot2_PctLow=1),1,0)+IF(AND(AQ40=1,Slot3_PctLow=1),1,0)+IF(AND(BA40=1,Slot4_PctLow=1),1,0)+IF(AND(BK40=1,Slot5_PctLow=1),1,0)+IF(AND(BU40=1,Slot6_PctLow=1),1,0)+IF(AND(CE40=1,Slot7_PctLow=1),1,0)+IF(AND(CO40=1,Slot8_PctLow=1),1,0)+IF(AND(CY40=1,Slot9_PctLow=1),1,0)+IF(AND(DI40=1,Slot10_PctLow=1),1,0)+IF(AND(DS40=1,Slot11_PctLow=1),1,0)+IF(AND(EC40=1,Slot12_PctLow=1),1,0)+IF(AND(EM40=1,Slot13_PctLow=1),1,0)+IF(AND(EW40=1,Slot14_PctLow=1),1,0)+IF(AND(FG40=1,Slot15_PctLow=1),1,0)+IF(AND(FQ40=1,Slot16_PctLow=1),1,0)+IF(AND(GA40=1,Slot17_PctLow=1),1,0)+IF(AND(GK40=1,Slot18_PctLow=1),1,0)+IF(AND(GU40=1,Slot19_PctLow=1),1,0)+IF(AND(HE40=1,Slot20_PctLow=1),1,0)</f>
        <v>0</v>
      </c>
      <c r="UJ40" s="20" t="n">
        <f aca="false">IF(C40=1,IF(OR(TV40=1,UI40&gt;0),1,0),0)</f>
        <v>0</v>
      </c>
    </row>
    <row r="41" customFormat="false" ht="15" hidden="false" customHeight="true" outlineLevel="0" collapsed="false">
      <c r="B41" s="20" t="n">
        <v>33</v>
      </c>
      <c r="C41" s="20" t="n">
        <f aca="false">IF(B41&lt;=F_N,1,0)</f>
        <v>1</v>
      </c>
      <c r="D41" s="20" t="n">
        <f aca="false">'Plan pay &amp; tax'!C267</f>
        <v>71</v>
      </c>
      <c r="E41" s="20" t="str">
        <f aca="false">IF($C41=1,"Income tax "&amp;TEXT(N('Plan pay &amp; tax'!BK267),"#,##0")&amp;"; USC "&amp;TEXT(N('Plan pay &amp; tax'!BM267)+N('Plan pay &amp; tax'!BO267),"#,##0")&amp;"; PRSI "&amp;TEXT(N('Plan pay &amp; tax'!BP267)+N('Plan pay &amp; tax'!BQ267),"#,##0")&amp;". DIRT and exit tax are inside the growth rates here.","")</f>
        <v>Income tax 1,016; USC 0; PRSI 0. DIRT and exit tax are inside the growth rates here.</v>
      </c>
      <c r="F41" s="44" t="n">
        <f aca="false">'Plan pay &amp; tax'!E267</f>
        <v>1.92223140394315</v>
      </c>
      <c r="G41" s="20" t="n">
        <f aca="false">'Plan pay &amp; tax'!G267</f>
        <v>0</v>
      </c>
      <c r="H41" s="20" t="n">
        <f aca="false">'Plan pay &amp; tax'!BT267-'Plan pay &amp; tax'!BS267-'Plan pay &amp; tax'!R267</f>
        <v>72547.5431232029</v>
      </c>
      <c r="I41" s="20" t="n">
        <f aca="false">IF(G41=1,F_CostsM*12,IF(RG_Exists=1,RG_Amount,F_CostsM*12*AS_RetireSpend))*F41+F_OneOffY*F41</f>
        <v>91882.6611084827</v>
      </c>
      <c r="J41" s="20" t="n">
        <f aca="false">HR40</f>
        <v>0</v>
      </c>
      <c r="K41" s="20" t="n">
        <f aca="false">IF(J41&gt;1,'Plan debt months'!AC41,0)</f>
        <v>0</v>
      </c>
      <c r="L41" s="20" t="n">
        <f aca="false">IF(J41&gt;1,'Plan debt months'!AB41,J41)</f>
        <v>0</v>
      </c>
      <c r="M41" s="20" t="n">
        <f aca="false">O40</f>
        <v>0</v>
      </c>
      <c r="N41" s="20" t="n">
        <f aca="false">IF(M41&gt;1,'Plan debt months'!BD41,0)</f>
        <v>0</v>
      </c>
      <c r="O41" s="20" t="n">
        <f aca="false">IF(M41&gt;1,'Plan debt months'!BC41,M41)</f>
        <v>0</v>
      </c>
      <c r="P41" s="20" t="n">
        <f aca="false">R40</f>
        <v>0</v>
      </c>
      <c r="Q41" s="20" t="n">
        <f aca="false">IF(P41&gt;1,'Plan debt months'!CE41,0)</f>
        <v>0</v>
      </c>
      <c r="R41" s="20" t="n">
        <f aca="false">IF(P41&gt;1,'Plan debt months'!CD41,P41)</f>
        <v>0</v>
      </c>
      <c r="S41" s="20" t="n">
        <f aca="false">K41+N41+Q41</f>
        <v>0</v>
      </c>
      <c r="T41" s="20" t="n">
        <f aca="false">QK40+'Plan pay &amp; tax'!Y267</f>
        <v>126835.907857469</v>
      </c>
      <c r="U41" s="20" t="n">
        <f aca="false">QK40</f>
        <v>126835.907857469</v>
      </c>
      <c r="V41" s="20" t="n">
        <f aca="false">IF(AND(Slot1_On=1,D41=Slot1_Age),1,0)</f>
        <v>0</v>
      </c>
      <c r="W41" s="20" t="n">
        <f aca="false">IF(AND(Slot1_On=1,Slot1_Age&gt;D41),1,0)</f>
        <v>0</v>
      </c>
      <c r="X41" s="20" t="n">
        <f aca="false">QM40</f>
        <v>0</v>
      </c>
      <c r="Y41" s="20" t="n">
        <f aca="false">V41*MIN(Slot1_Cost,X41)</f>
        <v>0</v>
      </c>
      <c r="Z41" s="20" t="n">
        <f aca="false">V41*Slot1_SpendLike*MIN(Slot1_Cost-Y41,T41)</f>
        <v>0</v>
      </c>
      <c r="AA41" s="20" t="n">
        <f aca="false">Y41+Z41</f>
        <v>0</v>
      </c>
      <c r="AB41" s="20" t="n">
        <f aca="false">T41-Z41+V41*IF(Slot1_SpendLike=1,X41-Y41,IF(Slot1_PotFree=1,X41,0))</f>
        <v>126835.907857469</v>
      </c>
      <c r="AC41" s="20" t="n">
        <f aca="false">AF41+V41*Slot1_BufPot*X41</f>
        <v>21244.8754744122</v>
      </c>
      <c r="AD41" s="20" t="n">
        <f aca="false">IF(AND(V41=1,Slot1_IsMfree=1),IF(AA41&gt;=Slot1_Cost-1,0,MAX(0,L41-AA41)),L41)</f>
        <v>0</v>
      </c>
      <c r="AE41" s="20" t="n">
        <f aca="false">V41*(Slot1_Cost-AA41)</f>
        <v>0</v>
      </c>
      <c r="AF41" s="20" t="n">
        <f aca="false">QL40</f>
        <v>21244.8754744122</v>
      </c>
      <c r="AG41" s="20" t="n">
        <f aca="false">IF(AND(Slot2_On=1,D41=Slot2_Age),1,0)</f>
        <v>0</v>
      </c>
      <c r="AH41" s="20" t="n">
        <f aca="false">IF(AND(Slot2_On=1,Slot2_Age&gt;D41),1,0)</f>
        <v>0</v>
      </c>
      <c r="AI41" s="20" t="n">
        <f aca="false">QQ40</f>
        <v>0</v>
      </c>
      <c r="AJ41" s="20" t="n">
        <f aca="false">AG41*MIN(Slot2_Cost,AI41)</f>
        <v>0</v>
      </c>
      <c r="AK41" s="20" t="n">
        <f aca="false">AG41*Slot2_SpendLike*MIN(Slot2_Cost-AJ41,AB41)</f>
        <v>0</v>
      </c>
      <c r="AL41" s="20" t="n">
        <f aca="false">AJ41+AK41</f>
        <v>0</v>
      </c>
      <c r="AM41" s="20" t="n">
        <f aca="false">AB41-AK41+AG41*IF(Slot2_SpendLike=1,AI41-AJ41,IF(Slot2_PotFree=1,AI41,0))</f>
        <v>126835.907857469</v>
      </c>
      <c r="AN41" s="20" t="n">
        <f aca="false">AC41+AG41*Slot2_BufPot*AI41</f>
        <v>21244.8754744122</v>
      </c>
      <c r="AO41" s="20" t="n">
        <f aca="false">IF(AND(AG41=1,Slot2_IsMfree=1),IF(AL41&gt;=Slot2_Cost-1,0,MAX(0,AD41-AL41)),AD41)</f>
        <v>0</v>
      </c>
      <c r="AP41" s="20" t="n">
        <f aca="false">AG41*(Slot2_Cost-AL41)</f>
        <v>0</v>
      </c>
      <c r="AQ41" s="20" t="n">
        <f aca="false">IF(AND(Slot3_On=1,D41=Slot3_Age),1,0)</f>
        <v>0</v>
      </c>
      <c r="AR41" s="20" t="n">
        <f aca="false">IF(AND(Slot3_On=1,Slot3_Age&gt;D41),1,0)</f>
        <v>0</v>
      </c>
      <c r="AS41" s="20" t="n">
        <f aca="false">QU40</f>
        <v>0</v>
      </c>
      <c r="AT41" s="20" t="n">
        <f aca="false">AQ41*MIN(Slot3_Cost,AS41)</f>
        <v>0</v>
      </c>
      <c r="AU41" s="20" t="n">
        <f aca="false">AQ41*Slot3_SpendLike*MIN(Slot3_Cost-AT41,AM41)</f>
        <v>0</v>
      </c>
      <c r="AV41" s="20" t="n">
        <f aca="false">AT41+AU41</f>
        <v>0</v>
      </c>
      <c r="AW41" s="20" t="n">
        <f aca="false">AM41-AU41+AQ41*IF(Slot3_SpendLike=1,AS41-AT41,IF(Slot3_PotFree=1,AS41,0))</f>
        <v>126835.907857469</v>
      </c>
      <c r="AX41" s="20" t="n">
        <f aca="false">AN41+AQ41*Slot3_BufPot*AS41</f>
        <v>21244.8754744122</v>
      </c>
      <c r="AY41" s="20" t="n">
        <f aca="false">IF(AND(AQ41=1,Slot3_IsMfree=1),IF(AV41&gt;=Slot3_Cost-1,0,MAX(0,AO41-AV41)),AO41)</f>
        <v>0</v>
      </c>
      <c r="AZ41" s="20" t="n">
        <f aca="false">AQ41*(Slot3_Cost-AV41)</f>
        <v>0</v>
      </c>
      <c r="BA41" s="20" t="n">
        <f aca="false">IF(AND(Slot4_On=1,D41=Slot4_Age),1,0)</f>
        <v>0</v>
      </c>
      <c r="BB41" s="20" t="n">
        <f aca="false">IF(AND(Slot4_On=1,Slot4_Age&gt;D41),1,0)</f>
        <v>0</v>
      </c>
      <c r="BC41" s="20" t="n">
        <f aca="false">QY40</f>
        <v>0</v>
      </c>
      <c r="BD41" s="20" t="n">
        <f aca="false">BA41*MIN(Slot4_Cost,BC41)</f>
        <v>0</v>
      </c>
      <c r="BE41" s="20" t="n">
        <f aca="false">BA41*Slot4_SpendLike*MIN(Slot4_Cost-BD41,AW41)</f>
        <v>0</v>
      </c>
      <c r="BF41" s="20" t="n">
        <f aca="false">BD41+BE41</f>
        <v>0</v>
      </c>
      <c r="BG41" s="20" t="n">
        <f aca="false">AW41-BE41+BA41*IF(Slot4_SpendLike=1,BC41-BD41,IF(Slot4_PotFree=1,BC41,0))</f>
        <v>126835.907857469</v>
      </c>
      <c r="BH41" s="20" t="n">
        <f aca="false">AX41+BA41*Slot4_BufPot*BC41</f>
        <v>21244.8754744122</v>
      </c>
      <c r="BI41" s="20" t="n">
        <f aca="false">IF(AND(BA41=1,Slot4_IsMfree=1),IF(BF41&gt;=Slot4_Cost-1,0,MAX(0,AY41-BF41)),AY41)</f>
        <v>0</v>
      </c>
      <c r="BJ41" s="20" t="n">
        <f aca="false">BA41*(Slot4_Cost-BF41)</f>
        <v>0</v>
      </c>
      <c r="BK41" s="20" t="n">
        <f aca="false">IF(AND(Slot5_On=1,D41=Slot5_Age),1,0)</f>
        <v>0</v>
      </c>
      <c r="BL41" s="20" t="n">
        <f aca="false">IF(AND(Slot5_On=1,Slot5_Age&gt;D41),1,0)</f>
        <v>0</v>
      </c>
      <c r="BM41" s="20" t="n">
        <f aca="false">RC40</f>
        <v>0</v>
      </c>
      <c r="BN41" s="20" t="n">
        <f aca="false">BK41*MIN(Slot5_Cost,BM41)</f>
        <v>0</v>
      </c>
      <c r="BO41" s="20" t="n">
        <f aca="false">BK41*Slot5_SpendLike*MIN(Slot5_Cost-BN41,BG41)</f>
        <v>0</v>
      </c>
      <c r="BP41" s="20" t="n">
        <f aca="false">BN41+BO41</f>
        <v>0</v>
      </c>
      <c r="BQ41" s="20" t="n">
        <f aca="false">BG41-BO41+BK41*IF(Slot5_SpendLike=1,BM41-BN41,IF(Slot5_PotFree=1,BM41,0))</f>
        <v>126835.907857469</v>
      </c>
      <c r="BR41" s="20" t="n">
        <f aca="false">BH41+BK41*Slot5_BufPot*BM41</f>
        <v>21244.8754744122</v>
      </c>
      <c r="BS41" s="20" t="n">
        <f aca="false">IF(AND(BK41=1,Slot5_IsMfree=1),IF(BP41&gt;=Slot5_Cost-1,0,MAX(0,BI41-BP41)),BI41)</f>
        <v>0</v>
      </c>
      <c r="BT41" s="20" t="n">
        <f aca="false">BK41*(Slot5_Cost-BP41)</f>
        <v>0</v>
      </c>
      <c r="BU41" s="20" t="n">
        <f aca="false">IF(AND(Slot6_On=1,D41=Slot6_Age),1,0)</f>
        <v>0</v>
      </c>
      <c r="BV41" s="20" t="n">
        <f aca="false">IF(AND(Slot6_On=1,Slot6_Age&gt;D41),1,0)</f>
        <v>0</v>
      </c>
      <c r="BW41" s="20" t="n">
        <f aca="false">RG40</f>
        <v>0</v>
      </c>
      <c r="BX41" s="20" t="n">
        <f aca="false">BU41*MIN(Slot6_Cost,BW41)</f>
        <v>0</v>
      </c>
      <c r="BY41" s="20" t="n">
        <f aca="false">BU41*Slot6_SpendLike*MIN(Slot6_Cost-BX41,BQ41)</f>
        <v>0</v>
      </c>
      <c r="BZ41" s="20" t="n">
        <f aca="false">BX41+BY41</f>
        <v>0</v>
      </c>
      <c r="CA41" s="20" t="n">
        <f aca="false">BQ41-BY41+BU41*IF(Slot6_SpendLike=1,BW41-BX41,IF(Slot6_PotFree=1,BW41,0))</f>
        <v>126835.907857469</v>
      </c>
      <c r="CB41" s="20" t="n">
        <f aca="false">BR41+BU41*Slot6_BufPot*BW41</f>
        <v>21244.8754744122</v>
      </c>
      <c r="CC41" s="20" t="n">
        <f aca="false">IF(AND(BU41=1,Slot6_IsMfree=1),IF(BZ41&gt;=Slot6_Cost-1,0,MAX(0,BS41-BZ41)),BS41)</f>
        <v>0</v>
      </c>
      <c r="CD41" s="20" t="n">
        <f aca="false">BU41*(Slot6_Cost-BZ41)</f>
        <v>0</v>
      </c>
      <c r="CE41" s="20" t="n">
        <f aca="false">IF(AND(Slot7_On=1,D41=Slot7_Age),1,0)</f>
        <v>0</v>
      </c>
      <c r="CF41" s="20" t="n">
        <f aca="false">IF(AND(Slot7_On=1,Slot7_Age&gt;D41),1,0)</f>
        <v>0</v>
      </c>
      <c r="CG41" s="20" t="n">
        <f aca="false">RK40</f>
        <v>0</v>
      </c>
      <c r="CH41" s="20" t="n">
        <f aca="false">CE41*MIN(Slot7_Cost,CG41)</f>
        <v>0</v>
      </c>
      <c r="CI41" s="20" t="n">
        <f aca="false">CE41*Slot7_SpendLike*MIN(Slot7_Cost-CH41,CA41)</f>
        <v>0</v>
      </c>
      <c r="CJ41" s="20" t="n">
        <f aca="false">CH41+CI41</f>
        <v>0</v>
      </c>
      <c r="CK41" s="20" t="n">
        <f aca="false">CA41-CI41+CE41*IF(Slot7_SpendLike=1,CG41-CH41,IF(Slot7_PotFree=1,CG41,0))</f>
        <v>126835.907857469</v>
      </c>
      <c r="CL41" s="20" t="n">
        <f aca="false">CB41+CE41*Slot7_BufPot*CG41</f>
        <v>21244.8754744122</v>
      </c>
      <c r="CM41" s="20" t="n">
        <f aca="false">IF(AND(CE41=1,Slot7_IsMfree=1),IF(CJ41&gt;=Slot7_Cost-1,0,MAX(0,CC41-CJ41)),CC41)</f>
        <v>0</v>
      </c>
      <c r="CN41" s="20" t="n">
        <f aca="false">CE41*(Slot7_Cost-CJ41)</f>
        <v>0</v>
      </c>
      <c r="CO41" s="20" t="n">
        <f aca="false">IF(AND(Slot8_On=1,D41=Slot8_Age),1,0)</f>
        <v>0</v>
      </c>
      <c r="CP41" s="20" t="n">
        <f aca="false">IF(AND(Slot8_On=1,Slot8_Age&gt;D41),1,0)</f>
        <v>0</v>
      </c>
      <c r="CQ41" s="20" t="n">
        <f aca="false">RO40</f>
        <v>0</v>
      </c>
      <c r="CR41" s="20" t="n">
        <f aca="false">CO41*MIN(Slot8_Cost,CQ41)</f>
        <v>0</v>
      </c>
      <c r="CS41" s="20" t="n">
        <f aca="false">CO41*Slot8_SpendLike*MIN(Slot8_Cost-CR41,CK41)</f>
        <v>0</v>
      </c>
      <c r="CT41" s="20" t="n">
        <f aca="false">CR41+CS41</f>
        <v>0</v>
      </c>
      <c r="CU41" s="20" t="n">
        <f aca="false">CK41-CS41+CO41*IF(Slot8_SpendLike=1,CQ41-CR41,IF(Slot8_PotFree=1,CQ41,0))</f>
        <v>126835.907857469</v>
      </c>
      <c r="CV41" s="20" t="n">
        <f aca="false">CL41+CO41*Slot8_BufPot*CQ41</f>
        <v>21244.8754744122</v>
      </c>
      <c r="CW41" s="20" t="n">
        <f aca="false">IF(AND(CO41=1,Slot8_IsMfree=1),IF(CT41&gt;=Slot8_Cost-1,0,MAX(0,CM41-CT41)),CM41)</f>
        <v>0</v>
      </c>
      <c r="CX41" s="20" t="n">
        <f aca="false">CO41*(Slot8_Cost-CT41)</f>
        <v>0</v>
      </c>
      <c r="CY41" s="20" t="n">
        <f aca="false">IF(AND(Slot9_On=1,D41=Slot9_Age),1,0)</f>
        <v>0</v>
      </c>
      <c r="CZ41" s="20" t="n">
        <f aca="false">IF(AND(Slot9_On=1,Slot9_Age&gt;D41),1,0)</f>
        <v>0</v>
      </c>
      <c r="DA41" s="20" t="n">
        <f aca="false">RS40</f>
        <v>0</v>
      </c>
      <c r="DB41" s="20" t="n">
        <f aca="false">CY41*MIN(Slot9_Cost,DA41)</f>
        <v>0</v>
      </c>
      <c r="DC41" s="20" t="n">
        <f aca="false">CY41*Slot9_SpendLike*MIN(Slot9_Cost-DB41,CU41)</f>
        <v>0</v>
      </c>
      <c r="DD41" s="20" t="n">
        <f aca="false">DB41+DC41</f>
        <v>0</v>
      </c>
      <c r="DE41" s="20" t="n">
        <f aca="false">CU41-DC41+CY41*IF(Slot9_SpendLike=1,DA41-DB41,IF(Slot9_PotFree=1,DA41,0))</f>
        <v>126835.907857469</v>
      </c>
      <c r="DF41" s="20" t="n">
        <f aca="false">CV41+CY41*Slot9_BufPot*DA41</f>
        <v>21244.8754744122</v>
      </c>
      <c r="DG41" s="20" t="n">
        <f aca="false">IF(AND(CY41=1,Slot9_IsMfree=1),IF(DD41&gt;=Slot9_Cost-1,0,MAX(0,CW41-DD41)),CW41)</f>
        <v>0</v>
      </c>
      <c r="DH41" s="20" t="n">
        <f aca="false">CY41*(Slot9_Cost-DD41)</f>
        <v>0</v>
      </c>
      <c r="DI41" s="20" t="n">
        <f aca="false">IF(AND(Slot10_On=1,D41=Slot10_Age),1,0)</f>
        <v>0</v>
      </c>
      <c r="DJ41" s="20" t="n">
        <f aca="false">IF(AND(Slot10_On=1,Slot10_Age&gt;D41),1,0)</f>
        <v>0</v>
      </c>
      <c r="DK41" s="20" t="n">
        <f aca="false">RW40</f>
        <v>0</v>
      </c>
      <c r="DL41" s="20" t="n">
        <f aca="false">DI41*MIN(Slot10_Cost,DK41)</f>
        <v>0</v>
      </c>
      <c r="DM41" s="20" t="n">
        <f aca="false">DI41*Slot10_SpendLike*MIN(Slot10_Cost-DL41,DE41)</f>
        <v>0</v>
      </c>
      <c r="DN41" s="20" t="n">
        <f aca="false">DL41+DM41</f>
        <v>0</v>
      </c>
      <c r="DO41" s="20" t="n">
        <f aca="false">DE41-DM41+DI41*IF(Slot10_SpendLike=1,DK41-DL41,IF(Slot10_PotFree=1,DK41,0))</f>
        <v>126835.907857469</v>
      </c>
      <c r="DP41" s="20" t="n">
        <f aca="false">DF41+DI41*Slot10_BufPot*DK41</f>
        <v>21244.8754744122</v>
      </c>
      <c r="DQ41" s="20" t="n">
        <f aca="false">IF(AND(DI41=1,Slot10_IsMfree=1),IF(DN41&gt;=Slot10_Cost-1,0,MAX(0,DG41-DN41)),DG41)</f>
        <v>0</v>
      </c>
      <c r="DR41" s="20" t="n">
        <f aca="false">DI41*(Slot10_Cost-DN41)</f>
        <v>0</v>
      </c>
      <c r="DS41" s="20" t="n">
        <f aca="false">IF(AND(Slot11_On=1,D41=Slot11_Age),1,0)</f>
        <v>0</v>
      </c>
      <c r="DT41" s="20" t="n">
        <f aca="false">IF(AND(Slot11_On=1,Slot11_Age&gt;D41),1,0)</f>
        <v>0</v>
      </c>
      <c r="DU41" s="20" t="n">
        <f aca="false">SA40</f>
        <v>0</v>
      </c>
      <c r="DV41" s="20" t="n">
        <f aca="false">DS41*MIN(Slot11_Cost,DU41)</f>
        <v>0</v>
      </c>
      <c r="DW41" s="20" t="n">
        <f aca="false">DS41*Slot11_SpendLike*MIN(Slot11_Cost-DV41,DO41)</f>
        <v>0</v>
      </c>
      <c r="DX41" s="20" t="n">
        <f aca="false">DV41+DW41</f>
        <v>0</v>
      </c>
      <c r="DY41" s="20" t="n">
        <f aca="false">DO41-DW41+DS41*IF(Slot11_SpendLike=1,DU41-DV41,IF(Slot11_PotFree=1,DU41,0))</f>
        <v>126835.907857469</v>
      </c>
      <c r="DZ41" s="20" t="n">
        <f aca="false">DP41+DS41*Slot11_BufPot*DU41</f>
        <v>21244.8754744122</v>
      </c>
      <c r="EA41" s="20" t="n">
        <f aca="false">IF(AND(DS41=1,Slot11_IsMfree=1),IF(DX41&gt;=Slot11_Cost-1,0,MAX(0,DQ41-DX41)),DQ41)</f>
        <v>0</v>
      </c>
      <c r="EB41" s="20" t="n">
        <f aca="false">DS41*(Slot11_Cost-DX41)</f>
        <v>0</v>
      </c>
      <c r="EC41" s="20" t="n">
        <f aca="false">IF(AND(Slot12_On=1,D41=Slot12_Age),1,0)</f>
        <v>0</v>
      </c>
      <c r="ED41" s="20" t="n">
        <f aca="false">IF(AND(Slot12_On=1,Slot12_Age&gt;D41),1,0)</f>
        <v>0</v>
      </c>
      <c r="EE41" s="20" t="n">
        <f aca="false">SE40</f>
        <v>0</v>
      </c>
      <c r="EF41" s="20" t="n">
        <f aca="false">EC41*MIN(Slot12_Cost,EE41)</f>
        <v>0</v>
      </c>
      <c r="EG41" s="20" t="n">
        <f aca="false">EC41*Slot12_SpendLike*MIN(Slot12_Cost-EF41,DY41)</f>
        <v>0</v>
      </c>
      <c r="EH41" s="20" t="n">
        <f aca="false">EF41+EG41</f>
        <v>0</v>
      </c>
      <c r="EI41" s="20" t="n">
        <f aca="false">DY41-EG41+EC41*IF(Slot12_SpendLike=1,EE41-EF41,IF(Slot12_PotFree=1,EE41,0))</f>
        <v>126835.907857469</v>
      </c>
      <c r="EJ41" s="20" t="n">
        <f aca="false">DZ41+EC41*Slot12_BufPot*EE41</f>
        <v>21244.8754744122</v>
      </c>
      <c r="EK41" s="20" t="n">
        <f aca="false">IF(AND(EC41=1,Slot12_IsMfree=1),IF(EH41&gt;=Slot12_Cost-1,0,MAX(0,EA41-EH41)),EA41)</f>
        <v>0</v>
      </c>
      <c r="EL41" s="20" t="n">
        <f aca="false">EC41*(Slot12_Cost-EH41)</f>
        <v>0</v>
      </c>
      <c r="EM41" s="20" t="n">
        <f aca="false">IF(AND(Slot13_On=1,D41=Slot13_Age),1,0)</f>
        <v>0</v>
      </c>
      <c r="EN41" s="20" t="n">
        <f aca="false">IF(AND(Slot13_On=1,Slot13_Age&gt;D41),1,0)</f>
        <v>0</v>
      </c>
      <c r="EO41" s="20" t="n">
        <f aca="false">SI40</f>
        <v>0</v>
      </c>
      <c r="EP41" s="20" t="n">
        <f aca="false">EM41*MIN(Slot13_Cost,EO41)</f>
        <v>0</v>
      </c>
      <c r="EQ41" s="20" t="n">
        <f aca="false">EM41*Slot13_SpendLike*MIN(Slot13_Cost-EP41,EI41)</f>
        <v>0</v>
      </c>
      <c r="ER41" s="20" t="n">
        <f aca="false">EP41+EQ41</f>
        <v>0</v>
      </c>
      <c r="ES41" s="20" t="n">
        <f aca="false">EI41-EQ41+EM41*IF(Slot13_SpendLike=1,EO41-EP41,IF(Slot13_PotFree=1,EO41,0))</f>
        <v>126835.907857469</v>
      </c>
      <c r="ET41" s="20" t="n">
        <f aca="false">EJ41+EM41*Slot13_BufPot*EO41</f>
        <v>21244.8754744122</v>
      </c>
      <c r="EU41" s="20" t="n">
        <f aca="false">IF(AND(EM41=1,Slot13_IsMfree=1),IF(ER41&gt;=Slot13_Cost-1,0,MAX(0,EK41-ER41)),EK41)</f>
        <v>0</v>
      </c>
      <c r="EV41" s="20" t="n">
        <f aca="false">EM41*(Slot13_Cost-ER41)</f>
        <v>0</v>
      </c>
      <c r="EW41" s="20" t="n">
        <f aca="false">IF(AND(Slot14_On=1,D41=Slot14_Age),1,0)</f>
        <v>0</v>
      </c>
      <c r="EX41" s="20" t="n">
        <f aca="false">IF(AND(Slot14_On=1,Slot14_Age&gt;D41),1,0)</f>
        <v>0</v>
      </c>
      <c r="EY41" s="20" t="n">
        <f aca="false">SM40</f>
        <v>0</v>
      </c>
      <c r="EZ41" s="20" t="n">
        <f aca="false">EW41*MIN(Slot14_Cost,EY41)</f>
        <v>0</v>
      </c>
      <c r="FA41" s="20" t="n">
        <f aca="false">EW41*Slot14_SpendLike*MIN(Slot14_Cost-EZ41,ES41)</f>
        <v>0</v>
      </c>
      <c r="FB41" s="20" t="n">
        <f aca="false">EZ41+FA41</f>
        <v>0</v>
      </c>
      <c r="FC41" s="20" t="n">
        <f aca="false">ES41-FA41+EW41*IF(Slot14_SpendLike=1,EY41-EZ41,IF(Slot14_PotFree=1,EY41,0))</f>
        <v>126835.907857469</v>
      </c>
      <c r="FD41" s="20" t="n">
        <f aca="false">ET41+EW41*Slot14_BufPot*EY41</f>
        <v>21244.8754744122</v>
      </c>
      <c r="FE41" s="20" t="n">
        <f aca="false">IF(AND(EW41=1,Slot14_IsMfree=1),IF(FB41&gt;=Slot14_Cost-1,0,MAX(0,EU41-FB41)),EU41)</f>
        <v>0</v>
      </c>
      <c r="FF41" s="20" t="n">
        <f aca="false">EW41*(Slot14_Cost-FB41)</f>
        <v>0</v>
      </c>
      <c r="FG41" s="20" t="n">
        <f aca="false">IF(AND(Slot15_On=1,D41=Slot15_Age),1,0)</f>
        <v>0</v>
      </c>
      <c r="FH41" s="20" t="n">
        <f aca="false">IF(AND(Slot15_On=1,Slot15_Age&gt;D41),1,0)</f>
        <v>0</v>
      </c>
      <c r="FI41" s="20" t="n">
        <f aca="false">SQ40</f>
        <v>0</v>
      </c>
      <c r="FJ41" s="20" t="n">
        <f aca="false">FG41*MIN(Slot15_Cost,FI41)</f>
        <v>0</v>
      </c>
      <c r="FK41" s="20" t="n">
        <f aca="false">FG41*Slot15_SpendLike*MIN(Slot15_Cost-FJ41,FC41)</f>
        <v>0</v>
      </c>
      <c r="FL41" s="20" t="n">
        <f aca="false">FJ41+FK41</f>
        <v>0</v>
      </c>
      <c r="FM41" s="20" t="n">
        <f aca="false">FC41-FK41+FG41*IF(Slot15_SpendLike=1,FI41-FJ41,IF(Slot15_PotFree=1,FI41,0))</f>
        <v>126835.907857469</v>
      </c>
      <c r="FN41" s="20" t="n">
        <f aca="false">FD41+FG41*Slot15_BufPot*FI41</f>
        <v>21244.8754744122</v>
      </c>
      <c r="FO41" s="20" t="n">
        <f aca="false">IF(AND(FG41=1,Slot15_IsMfree=1),IF(FL41&gt;=Slot15_Cost-1,0,MAX(0,FE41-FL41)),FE41)</f>
        <v>0</v>
      </c>
      <c r="FP41" s="20" t="n">
        <f aca="false">FG41*(Slot15_Cost-FL41)</f>
        <v>0</v>
      </c>
      <c r="FQ41" s="20" t="n">
        <f aca="false">IF(AND(Slot16_On=1,D41=Slot16_Age),1,0)</f>
        <v>0</v>
      </c>
      <c r="FR41" s="20" t="n">
        <f aca="false">IF(AND(Slot16_On=1,Slot16_Age&gt;D41),1,0)</f>
        <v>0</v>
      </c>
      <c r="FS41" s="20" t="n">
        <f aca="false">SU40</f>
        <v>0</v>
      </c>
      <c r="FT41" s="20" t="n">
        <f aca="false">FQ41*MIN(Slot16_Cost,FS41)</f>
        <v>0</v>
      </c>
      <c r="FU41" s="20" t="n">
        <f aca="false">FQ41*Slot16_SpendLike*MIN(Slot16_Cost-FT41,FM41)</f>
        <v>0</v>
      </c>
      <c r="FV41" s="20" t="n">
        <f aca="false">FT41+FU41</f>
        <v>0</v>
      </c>
      <c r="FW41" s="20" t="n">
        <f aca="false">FM41-FU41+FQ41*IF(Slot16_SpendLike=1,FS41-FT41,IF(Slot16_PotFree=1,FS41,0))</f>
        <v>126835.907857469</v>
      </c>
      <c r="FX41" s="20" t="n">
        <f aca="false">FN41+FQ41*Slot16_BufPot*FS41</f>
        <v>21244.8754744122</v>
      </c>
      <c r="FY41" s="20" t="n">
        <f aca="false">IF(AND(FQ41=1,Slot16_IsMfree=1),IF(FV41&gt;=Slot16_Cost-1,0,MAX(0,FO41-FV41)),FO41)</f>
        <v>0</v>
      </c>
      <c r="FZ41" s="20" t="n">
        <f aca="false">FQ41*(Slot16_Cost-FV41)</f>
        <v>0</v>
      </c>
      <c r="GA41" s="20" t="n">
        <f aca="false">IF(AND(Slot17_On=1,D41=Slot17_Age),1,0)</f>
        <v>0</v>
      </c>
      <c r="GB41" s="20" t="n">
        <f aca="false">IF(AND(Slot17_On=1,Slot17_Age&gt;D41),1,0)</f>
        <v>0</v>
      </c>
      <c r="GC41" s="20" t="n">
        <f aca="false">SY40</f>
        <v>0</v>
      </c>
      <c r="GD41" s="20" t="n">
        <f aca="false">GA41*MIN(Slot17_Cost,GC41)</f>
        <v>0</v>
      </c>
      <c r="GE41" s="20" t="n">
        <f aca="false">GA41*Slot17_SpendLike*MIN(Slot17_Cost-GD41,FW41)</f>
        <v>0</v>
      </c>
      <c r="GF41" s="20" t="n">
        <f aca="false">GD41+GE41</f>
        <v>0</v>
      </c>
      <c r="GG41" s="20" t="n">
        <f aca="false">FW41-GE41+GA41*IF(Slot17_SpendLike=1,GC41-GD41,IF(Slot17_PotFree=1,GC41,0))</f>
        <v>126835.907857469</v>
      </c>
      <c r="GH41" s="20" t="n">
        <f aca="false">FX41+GA41*Slot17_BufPot*GC41</f>
        <v>21244.8754744122</v>
      </c>
      <c r="GI41" s="20" t="n">
        <f aca="false">IF(AND(GA41=1,Slot17_IsMfree=1),IF(GF41&gt;=Slot17_Cost-1,0,MAX(0,FY41-GF41)),FY41)</f>
        <v>0</v>
      </c>
      <c r="GJ41" s="20" t="n">
        <f aca="false">GA41*(Slot17_Cost-GF41)</f>
        <v>0</v>
      </c>
      <c r="GK41" s="20" t="n">
        <f aca="false">IF(AND(Slot18_On=1,D41=Slot18_Age),1,0)</f>
        <v>0</v>
      </c>
      <c r="GL41" s="20" t="n">
        <f aca="false">IF(AND(Slot18_On=1,Slot18_Age&gt;D41),1,0)</f>
        <v>0</v>
      </c>
      <c r="GM41" s="20" t="n">
        <f aca="false">TC40</f>
        <v>0</v>
      </c>
      <c r="GN41" s="20" t="n">
        <f aca="false">GK41*MIN(Slot18_Cost,GM41)</f>
        <v>0</v>
      </c>
      <c r="GO41" s="20" t="n">
        <f aca="false">GK41*Slot18_SpendLike*MIN(Slot18_Cost-GN41,GG41)</f>
        <v>0</v>
      </c>
      <c r="GP41" s="20" t="n">
        <f aca="false">GN41+GO41</f>
        <v>0</v>
      </c>
      <c r="GQ41" s="20" t="n">
        <f aca="false">GG41-GO41+GK41*IF(Slot18_SpendLike=1,GM41-GN41,IF(Slot18_PotFree=1,GM41,0))</f>
        <v>126835.907857469</v>
      </c>
      <c r="GR41" s="20" t="n">
        <f aca="false">GH41+GK41*Slot18_BufPot*GM41</f>
        <v>21244.8754744122</v>
      </c>
      <c r="GS41" s="20" t="n">
        <f aca="false">IF(AND(GK41=1,Slot18_IsMfree=1),IF(GP41&gt;=Slot18_Cost-1,0,MAX(0,GI41-GP41)),GI41)</f>
        <v>0</v>
      </c>
      <c r="GT41" s="20" t="n">
        <f aca="false">GK41*(Slot18_Cost-GP41)</f>
        <v>0</v>
      </c>
      <c r="GU41" s="20" t="n">
        <f aca="false">IF(AND(Slot19_On=1,D41=Slot19_Age),1,0)</f>
        <v>0</v>
      </c>
      <c r="GV41" s="20" t="n">
        <f aca="false">IF(AND(Slot19_On=1,Slot19_Age&gt;D41),1,0)</f>
        <v>0</v>
      </c>
      <c r="GW41" s="20" t="n">
        <f aca="false">TG40</f>
        <v>0</v>
      </c>
      <c r="GX41" s="20" t="n">
        <f aca="false">GU41*MIN(Slot19_Cost,GW41)</f>
        <v>0</v>
      </c>
      <c r="GY41" s="20" t="n">
        <f aca="false">GU41*Slot19_SpendLike*MIN(Slot19_Cost-GX41,GQ41)</f>
        <v>0</v>
      </c>
      <c r="GZ41" s="20" t="n">
        <f aca="false">GX41+GY41</f>
        <v>0</v>
      </c>
      <c r="HA41" s="20" t="n">
        <f aca="false">GQ41-GY41+GU41*IF(Slot19_SpendLike=1,GW41-GX41,IF(Slot19_PotFree=1,GW41,0))</f>
        <v>126835.907857469</v>
      </c>
      <c r="HB41" s="20" t="n">
        <f aca="false">GR41+GU41*Slot19_BufPot*GW41</f>
        <v>21244.8754744122</v>
      </c>
      <c r="HC41" s="20" t="n">
        <f aca="false">IF(AND(GU41=1,Slot19_IsMfree=1),IF(GZ41&gt;=Slot19_Cost-1,0,MAX(0,GS41-GZ41)),GS41)</f>
        <v>0</v>
      </c>
      <c r="HD41" s="20" t="n">
        <f aca="false">GU41*(Slot19_Cost-GZ41)</f>
        <v>0</v>
      </c>
      <c r="HE41" s="20" t="n">
        <f aca="false">IF(AND(Slot20_On=1,D41=Slot20_Age),1,0)</f>
        <v>0</v>
      </c>
      <c r="HF41" s="20" t="n">
        <f aca="false">IF(AND(Slot20_On=1,Slot20_Age&gt;D41),1,0)</f>
        <v>0</v>
      </c>
      <c r="HG41" s="20" t="n">
        <f aca="false">TK40</f>
        <v>0</v>
      </c>
      <c r="HH41" s="20" t="n">
        <f aca="false">HE41*MIN(Slot20_Cost,HG41)</f>
        <v>0</v>
      </c>
      <c r="HI41" s="20" t="n">
        <f aca="false">HE41*Slot20_SpendLike*MIN(Slot20_Cost-HH41,HA41)</f>
        <v>0</v>
      </c>
      <c r="HJ41" s="20" t="n">
        <f aca="false">HH41+HI41</f>
        <v>0</v>
      </c>
      <c r="HK41" s="20" t="n">
        <f aca="false">HA41-HI41+HE41*IF(Slot20_SpendLike=1,HG41-HH41,IF(Slot20_PotFree=1,HG41,0))</f>
        <v>126835.907857469</v>
      </c>
      <c r="HL41" s="20" t="n">
        <f aca="false">HB41+HE41*Slot20_BufPot*HG41</f>
        <v>21244.8754744122</v>
      </c>
      <c r="HM41" s="20" t="n">
        <f aca="false">IF(AND(HE41=1,Slot20_IsMfree=1),IF(HJ41&gt;=Slot20_Cost-1,0,MAX(0,HC41-HJ41)),HC41)</f>
        <v>0</v>
      </c>
      <c r="HN41" s="20" t="n">
        <f aca="false">HE41*(Slot20_Cost-HJ41)</f>
        <v>0</v>
      </c>
      <c r="HO41" s="20" t="n">
        <f aca="false">V41*Slot1_SpendLike*AA41+AG41*Slot2_SpendLike*AL41+AQ41*Slot3_SpendLike*AV41+BA41*Slot4_SpendLike*BF41+BK41*Slot5_SpendLike*BP41+BU41*Slot6_SpendLike*BZ41+CE41*Slot7_SpendLike*CJ41+CO41*Slot8_SpendLike*CT41+CY41*Slot9_SpendLike*DD41+DI41*Slot10_SpendLike*DN41+DS41*Slot11_SpendLike*DX41+EC41*Slot12_SpendLike*EH41+EM41*Slot13_SpendLike*ER41+EW41*Slot14_SpendLike*FB41+FG41*Slot15_SpendLike*FL41+FQ41*Slot16_SpendLike*FV41+GA41*Slot17_SpendLike*GF41+GK41*Slot18_SpendLike*GP41+GU41*Slot19_SpendLike*GZ41+HE41*Slot20_SpendLike*HJ41</f>
        <v>0</v>
      </c>
      <c r="HP41" s="20" t="n">
        <f aca="false">AE41+AP41+AZ41+BJ41+BT41+CD41+CN41+CX41+DH41+DR41+EB41+EL41+EV41+FF41+FP41+FZ41+GJ41+GT41+HD41+HN41</f>
        <v>0</v>
      </c>
      <c r="HQ41" s="20" t="n">
        <f aca="false">V41*Slot1_Cost+AG41*Slot2_Cost+AQ41*Slot3_Cost+BA41*Slot4_Cost+BK41*Slot5_Cost+BU41*Slot6_Cost+CE41*Slot7_Cost+CO41*Slot8_Cost+CY41*Slot9_Cost+DI41*Slot10_Cost+DS41*Slot11_Cost+EC41*Slot12_Cost+EM41*Slot13_Cost+EW41*Slot14_Cost+FG41*Slot15_Cost+FQ41*Slot16_Cost+GA41*Slot17_Cost+GK41*Slot18_Cost+GU41*Slot19_Cost+HE41*Slot20_Cost</f>
        <v>0</v>
      </c>
      <c r="HR41" s="20" t="n">
        <f aca="false">HM41</f>
        <v>0</v>
      </c>
      <c r="HS41" s="20" t="n">
        <f aca="false">H41-I41-S41</f>
        <v>-19335.1179852798</v>
      </c>
      <c r="HT41" s="20" t="n">
        <f aca="false">IF(B41=0,IF(AND(Has_q6=1,In_q6=4),PR_ShareVaries*(MAX(0,HS41)/12),MIN(IF(Has_q6=1,CHOOSE(In_q6+1,PR_SaveB1,PR_SaveB2,PR_SaveB3,PR_SaveB4,0),AS_NoAnswer),AS_SaveShare*(MAX(0,HS41)/12))),HT40)</f>
        <v>62.3316893520437</v>
      </c>
      <c r="HU41" s="20" t="n">
        <f aca="false">IF(HS41&gt;=0,1,0)</f>
        <v>0</v>
      </c>
      <c r="HV41" s="20" t="n">
        <f aca="false">MAX(0,HS41/12/F41)</f>
        <v>0</v>
      </c>
      <c r="HW41" s="20" t="n">
        <f aca="false">IF(AND(Has_q6=1,In_q6=4),PR_ShareVaries*(HV41),MIN(IF(Has_q6=1,CHOOSE(In_q6+1,PR_SaveB1,PR_SaveB2,PR_SaveB3,PR_SaveB4,0),AS_NoAnswer),AS_SaveShare*(HV41)))</f>
        <v>0</v>
      </c>
      <c r="HX41" s="20" t="n">
        <f aca="false">IF(Has_saveM=1,IF(In_saveUp="Yes",1,IF(In_saveUp="No",0,IF(In_saveM&gt;=HT41-0.5,1,0))),0)</f>
        <v>0</v>
      </c>
      <c r="HY41" s="20" t="n">
        <f aca="false">IF(Has_saveM=1,MIN(HV41,IF(HX41=1,MAX(In_saveM,HW41),MIN(In_saveM,HW41))),HW41)</f>
        <v>0</v>
      </c>
      <c r="HZ41" s="20" t="n">
        <f aca="false">IF(G41=1,HY41*12*F41,0)</f>
        <v>0</v>
      </c>
      <c r="IA41" s="20" t="n">
        <f aca="false">MAX(0,HZ41+IF(AND(WI_Retire=0,WI_M&lt;0,G41=1),WI_M*12*F41,0))</f>
        <v>0</v>
      </c>
      <c r="IB41" s="20" t="n">
        <f aca="false">Slot1_IsWG*W41+Slot2_IsWG*AH41+Slot3_IsWG*AR41+Slot4_IsWG*BB41+Slot5_IsWG*BL41+Slot6_IsWG*BV41+Slot7_IsWG*CF41+Slot8_IsWG*CP41+Slot9_IsWG*CZ41+Slot10_IsWG*DJ41+Slot11_IsWG*DT41+Slot12_IsWG*ED41+Slot13_IsWG*EN41+Slot14_IsWG*EX41+Slot15_IsWG*FH41+Slot16_IsWG*FR41+Slot17_IsWG*GB41+Slot18_IsWG*GL41+Slot19_IsWG*GV41+Slot20_IsWG*HF41</f>
        <v>0</v>
      </c>
      <c r="IC41" s="20" t="n">
        <f aca="false">IF(AND(WI_Retire=0,WI_M&gt;0,G41=1,IB41&gt;=1),WI_M*12*F41,0)</f>
        <v>0</v>
      </c>
      <c r="ID41" s="20" t="n">
        <f aca="false">IF(HU41=1,MIN(IA41,HS41),0)</f>
        <v>0</v>
      </c>
      <c r="IE41" s="20" t="n">
        <f aca="false">IF(HU41=1,MIN(IC41,HS41-ID41),0)</f>
        <v>0</v>
      </c>
      <c r="IF41" s="20" t="n">
        <f aca="false">IF(W41=1,IF(ABS((1+AS_Wage)/(1+Slot1_Rate)-1)&lt;0.000000000001,(Slot1_Age-D41)*(1+Slot1_Rate)^(Slot1_Age-D41),(1+Slot1_Rate)^(Slot1_Age-D41)*(1-((1+AS_Wage)/(1+Slot1_Rate))^(Slot1_Age-D41))/(1-(1+AS_Wage)/(1+Slot1_Rate))),1)</f>
        <v>1</v>
      </c>
      <c r="IG41" s="20" t="n">
        <f aca="false">IF(AND(HU41=1,IE41&gt;0,Slot1_IsWG=1,W41=1),MAX(0,(Slot1_Cost-X41*(1+Slot1_Rate)^(Slot1_Age-D41))/IF41),0)</f>
        <v>0</v>
      </c>
      <c r="IH41" s="20" t="n">
        <f aca="false">IF(AND(HU41=1,IE41&gt;0,Slot1_IsWG=1,W41=1),MIN(IE41,IG41),0)</f>
        <v>0</v>
      </c>
      <c r="II41" s="20" t="n">
        <f aca="false">X41+IH41</f>
        <v>0</v>
      </c>
      <c r="IJ41" s="20" t="n">
        <f aca="false">IF(W41=1,MAX(0,(Slot1_Cost-II41*(1+Slot1_Rate)^(Slot1_Age-D41))/IF41),0)</f>
        <v>0</v>
      </c>
      <c r="IK41" s="20" t="n">
        <f aca="false">IF(W41=1,MAX(0,(Slot1_Cost-X41*(1+Slot1_Rate)^(Slot1_Age-D41))/IF41),0)</f>
        <v>0</v>
      </c>
      <c r="IL41" s="20" t="n">
        <f aca="false">IF(AND(HU41=1,W41=1),MIN(ID41,IJ41),0)</f>
        <v>0</v>
      </c>
      <c r="IM41" s="20" t="n">
        <f aca="false">ID41-IL41</f>
        <v>0</v>
      </c>
      <c r="IN41" s="20" t="n">
        <f aca="false">IF(AH41=1,IF(ABS((1+AS_Wage)/(1+Slot2_Rate)-1)&lt;0.000000000001,(Slot2_Age-D41)*(1+Slot2_Rate)^(Slot2_Age-D41),(1+Slot2_Rate)^(Slot2_Age-D41)*(1-((1+AS_Wage)/(1+Slot2_Rate))^(Slot2_Age-D41))/(1-(1+AS_Wage)/(1+Slot2_Rate))),1)</f>
        <v>1</v>
      </c>
      <c r="IO41" s="20" t="n">
        <f aca="false">IF(AND(HU41=1,IE41&gt;0,Slot2_IsWG=1,AH41=1),MAX(0,(Slot2_Cost-AI41*(1+Slot2_Rate)^(Slot2_Age-D41))/IN41),0)</f>
        <v>0</v>
      </c>
      <c r="IP41" s="20" t="n">
        <f aca="false">IF(AND(HU41=1,IE41&gt;0,Slot2_IsWG=1,AH41=1),MIN(IE41,IO41),0)</f>
        <v>0</v>
      </c>
      <c r="IQ41" s="20" t="n">
        <f aca="false">AI41+IP41</f>
        <v>0</v>
      </c>
      <c r="IR41" s="20" t="n">
        <f aca="false">IF(AH41=1,MAX(0,(Slot2_Cost-IQ41*(1+Slot2_Rate)^(Slot2_Age-D41))/IN41),0)</f>
        <v>0</v>
      </c>
      <c r="IS41" s="20" t="n">
        <f aca="false">IF(AH41=1,MAX(0,(Slot2_Cost-AI41*(1+Slot2_Rate)^(Slot2_Age-D41))/IN41),0)</f>
        <v>0</v>
      </c>
      <c r="IT41" s="20" t="n">
        <f aca="false">IF(AND(HU41=1,AH41=1),MIN(IM41,IR41),0)</f>
        <v>0</v>
      </c>
      <c r="IU41" s="20" t="n">
        <f aca="false">IM41-IT41</f>
        <v>0</v>
      </c>
      <c r="IV41" s="20" t="n">
        <f aca="false">IF(AR41=1,IF(ABS((1+AS_Wage)/(1+Slot3_Rate)-1)&lt;0.000000000001,(Slot3_Age-D41)*(1+Slot3_Rate)^(Slot3_Age-D41),(1+Slot3_Rate)^(Slot3_Age-D41)*(1-((1+AS_Wage)/(1+Slot3_Rate))^(Slot3_Age-D41))/(1-(1+AS_Wage)/(1+Slot3_Rate))),1)</f>
        <v>1</v>
      </c>
      <c r="IW41" s="20" t="n">
        <f aca="false">IF(AND(HU41=1,IE41&gt;0,Slot3_IsWG=1,AR41=1),MAX(0,(Slot3_Cost-AS41*(1+Slot3_Rate)^(Slot3_Age-D41))/IV41),0)</f>
        <v>0</v>
      </c>
      <c r="IX41" s="20" t="n">
        <f aca="false">IF(AND(HU41=1,IE41&gt;0,Slot3_IsWG=1,AR41=1),MIN(IE41,IW41),0)</f>
        <v>0</v>
      </c>
      <c r="IY41" s="20" t="n">
        <f aca="false">AS41+IX41</f>
        <v>0</v>
      </c>
      <c r="IZ41" s="20" t="n">
        <f aca="false">IF(AR41=1,MAX(0,(Slot3_Cost-IY41*(1+Slot3_Rate)^(Slot3_Age-D41))/IV41),0)</f>
        <v>0</v>
      </c>
      <c r="JA41" s="20" t="n">
        <f aca="false">IF(AR41=1,MAX(0,(Slot3_Cost-AS41*(1+Slot3_Rate)^(Slot3_Age-D41))/IV41),0)</f>
        <v>0</v>
      </c>
      <c r="JB41" s="20" t="n">
        <f aca="false">IF(AND(HU41=1,AR41=1),MIN(IU41,IZ41),0)</f>
        <v>0</v>
      </c>
      <c r="JC41" s="20" t="n">
        <f aca="false">IU41-JB41</f>
        <v>0</v>
      </c>
      <c r="JD41" s="20" t="n">
        <f aca="false">IF(BB41=1,IF(ABS((1+AS_Wage)/(1+Slot4_Rate)-1)&lt;0.000000000001,(Slot4_Age-D41)*(1+Slot4_Rate)^(Slot4_Age-D41),(1+Slot4_Rate)^(Slot4_Age-D41)*(1-((1+AS_Wage)/(1+Slot4_Rate))^(Slot4_Age-D41))/(1-(1+AS_Wage)/(1+Slot4_Rate))),1)</f>
        <v>1</v>
      </c>
      <c r="JE41" s="20" t="n">
        <f aca="false">IF(AND(HU41=1,IE41&gt;0,Slot4_IsWG=1,BB41=1),MAX(0,(Slot4_Cost-BC41*(1+Slot4_Rate)^(Slot4_Age-D41))/JD41),0)</f>
        <v>0</v>
      </c>
      <c r="JF41" s="20" t="n">
        <f aca="false">IF(AND(HU41=1,IE41&gt;0,Slot4_IsWG=1,BB41=1),MIN(IE41,JE41),0)</f>
        <v>0</v>
      </c>
      <c r="JG41" s="20" t="n">
        <f aca="false">BC41+JF41</f>
        <v>0</v>
      </c>
      <c r="JH41" s="20" t="n">
        <f aca="false">IF(BB41=1,MAX(0,(Slot4_Cost-JG41*(1+Slot4_Rate)^(Slot4_Age-D41))/JD41),0)</f>
        <v>0</v>
      </c>
      <c r="JI41" s="20" t="n">
        <f aca="false">IF(BB41=1,MAX(0,(Slot4_Cost-BC41*(1+Slot4_Rate)^(Slot4_Age-D41))/JD41),0)</f>
        <v>0</v>
      </c>
      <c r="JJ41" s="20" t="n">
        <f aca="false">IF(AND(HU41=1,BB41=1),MIN(JC41,JH41),0)</f>
        <v>0</v>
      </c>
      <c r="JK41" s="20" t="n">
        <f aca="false">JC41-JJ41</f>
        <v>0</v>
      </c>
      <c r="JL41" s="20" t="n">
        <f aca="false">IF(BL41=1,IF(ABS((1+AS_Wage)/(1+Slot5_Rate)-1)&lt;0.000000000001,(Slot5_Age-D41)*(1+Slot5_Rate)^(Slot5_Age-D41),(1+Slot5_Rate)^(Slot5_Age-D41)*(1-((1+AS_Wage)/(1+Slot5_Rate))^(Slot5_Age-D41))/(1-(1+AS_Wage)/(1+Slot5_Rate))),1)</f>
        <v>1</v>
      </c>
      <c r="JM41" s="20" t="n">
        <f aca="false">IF(AND(HU41=1,IE41&gt;0,Slot5_IsWG=1,BL41=1),MAX(0,(Slot5_Cost-BM41*(1+Slot5_Rate)^(Slot5_Age-D41))/JL41),0)</f>
        <v>0</v>
      </c>
      <c r="JN41" s="20" t="n">
        <f aca="false">IF(AND(HU41=1,IE41&gt;0,Slot5_IsWG=1,BL41=1),MIN(IE41,JM41),0)</f>
        <v>0</v>
      </c>
      <c r="JO41" s="20" t="n">
        <f aca="false">BM41+JN41</f>
        <v>0</v>
      </c>
      <c r="JP41" s="20" t="n">
        <f aca="false">IF(BL41=1,MAX(0,(Slot5_Cost-JO41*(1+Slot5_Rate)^(Slot5_Age-D41))/JL41),0)</f>
        <v>0</v>
      </c>
      <c r="JQ41" s="20" t="n">
        <f aca="false">IF(BL41=1,MAX(0,(Slot5_Cost-BM41*(1+Slot5_Rate)^(Slot5_Age-D41))/JL41),0)</f>
        <v>0</v>
      </c>
      <c r="JR41" s="20" t="n">
        <f aca="false">IF(AND(HU41=1,BL41=1),MIN(JK41,JP41),0)</f>
        <v>0</v>
      </c>
      <c r="JS41" s="20" t="n">
        <f aca="false">JK41-JR41</f>
        <v>0</v>
      </c>
      <c r="JT41" s="20" t="n">
        <f aca="false">IF(BV41=1,IF(ABS((1+AS_Wage)/(1+Slot6_Rate)-1)&lt;0.000000000001,(Slot6_Age-D41)*(1+Slot6_Rate)^(Slot6_Age-D41),(1+Slot6_Rate)^(Slot6_Age-D41)*(1-((1+AS_Wage)/(1+Slot6_Rate))^(Slot6_Age-D41))/(1-(1+AS_Wage)/(1+Slot6_Rate))),1)</f>
        <v>1</v>
      </c>
      <c r="JU41" s="20" t="n">
        <f aca="false">IF(AND(HU41=1,IE41&gt;0,Slot6_IsWG=1,BV41=1),MAX(0,(Slot6_Cost-BW41*(1+Slot6_Rate)^(Slot6_Age-D41))/JT41),0)</f>
        <v>0</v>
      </c>
      <c r="JV41" s="20" t="n">
        <f aca="false">IF(AND(HU41=1,IE41&gt;0,Slot6_IsWG=1,BV41=1),MIN(IE41,JU41),0)</f>
        <v>0</v>
      </c>
      <c r="JW41" s="20" t="n">
        <f aca="false">BW41+JV41</f>
        <v>0</v>
      </c>
      <c r="JX41" s="20" t="n">
        <f aca="false">IF(BV41=1,MAX(0,(Slot6_Cost-JW41*(1+Slot6_Rate)^(Slot6_Age-D41))/JT41),0)</f>
        <v>0</v>
      </c>
      <c r="JY41" s="20" t="n">
        <f aca="false">IF(BV41=1,MAX(0,(Slot6_Cost-BW41*(1+Slot6_Rate)^(Slot6_Age-D41))/JT41),0)</f>
        <v>0</v>
      </c>
      <c r="JZ41" s="20" t="n">
        <f aca="false">IF(AND(HU41=1,BV41=1),MIN(JS41,JX41),0)</f>
        <v>0</v>
      </c>
      <c r="KA41" s="20" t="n">
        <f aca="false">JS41-JZ41</f>
        <v>0</v>
      </c>
      <c r="KB41" s="20" t="n">
        <f aca="false">IF(CF41=1,IF(ABS((1+AS_Wage)/(1+Slot7_Rate)-1)&lt;0.000000000001,(Slot7_Age-D41)*(1+Slot7_Rate)^(Slot7_Age-D41),(1+Slot7_Rate)^(Slot7_Age-D41)*(1-((1+AS_Wage)/(1+Slot7_Rate))^(Slot7_Age-D41))/(1-(1+AS_Wage)/(1+Slot7_Rate))),1)</f>
        <v>1</v>
      </c>
      <c r="KC41" s="20" t="n">
        <f aca="false">IF(AND(HU41=1,IE41&gt;0,Slot7_IsWG=1,CF41=1),MAX(0,(Slot7_Cost-CG41*(1+Slot7_Rate)^(Slot7_Age-D41))/KB41),0)</f>
        <v>0</v>
      </c>
      <c r="KD41" s="20" t="n">
        <f aca="false">IF(AND(HU41=1,IE41&gt;0,Slot7_IsWG=1,CF41=1),MIN(IE41,KC41),0)</f>
        <v>0</v>
      </c>
      <c r="KE41" s="20" t="n">
        <f aca="false">CG41+KD41</f>
        <v>0</v>
      </c>
      <c r="KF41" s="20" t="n">
        <f aca="false">IF(CF41=1,MAX(0,(Slot7_Cost-KE41*(1+Slot7_Rate)^(Slot7_Age-D41))/KB41),0)</f>
        <v>0</v>
      </c>
      <c r="KG41" s="20" t="n">
        <f aca="false">IF(CF41=1,MAX(0,(Slot7_Cost-CG41*(1+Slot7_Rate)^(Slot7_Age-D41))/KB41),0)</f>
        <v>0</v>
      </c>
      <c r="KH41" s="20" t="n">
        <f aca="false">IF(AND(HU41=1,CF41=1),MIN(KA41,KF41),0)</f>
        <v>0</v>
      </c>
      <c r="KI41" s="20" t="n">
        <f aca="false">KA41-KH41</f>
        <v>0</v>
      </c>
      <c r="KJ41" s="20" t="n">
        <f aca="false">IF(CP41=1,IF(ABS((1+AS_Wage)/(1+Slot8_Rate)-1)&lt;0.000000000001,(Slot8_Age-D41)*(1+Slot8_Rate)^(Slot8_Age-D41),(1+Slot8_Rate)^(Slot8_Age-D41)*(1-((1+AS_Wage)/(1+Slot8_Rate))^(Slot8_Age-D41))/(1-(1+AS_Wage)/(1+Slot8_Rate))),1)</f>
        <v>1</v>
      </c>
      <c r="KK41" s="20" t="n">
        <f aca="false">IF(AND(HU41=1,IE41&gt;0,Slot8_IsWG=1,CP41=1),MAX(0,(Slot8_Cost-CQ41*(1+Slot8_Rate)^(Slot8_Age-D41))/KJ41),0)</f>
        <v>0</v>
      </c>
      <c r="KL41" s="20" t="n">
        <f aca="false">IF(AND(HU41=1,IE41&gt;0,Slot8_IsWG=1,CP41=1),MIN(IE41,KK41),0)</f>
        <v>0</v>
      </c>
      <c r="KM41" s="20" t="n">
        <f aca="false">CQ41+KL41</f>
        <v>0</v>
      </c>
      <c r="KN41" s="20" t="n">
        <f aca="false">IF(CP41=1,MAX(0,(Slot8_Cost-KM41*(1+Slot8_Rate)^(Slot8_Age-D41))/KJ41),0)</f>
        <v>0</v>
      </c>
      <c r="KO41" s="20" t="n">
        <f aca="false">IF(CP41=1,MAX(0,(Slot8_Cost-CQ41*(1+Slot8_Rate)^(Slot8_Age-D41))/KJ41),0)</f>
        <v>0</v>
      </c>
      <c r="KP41" s="20" t="n">
        <f aca="false">IF(AND(HU41=1,CP41=1),MIN(KI41,KN41),0)</f>
        <v>0</v>
      </c>
      <c r="KQ41" s="20" t="n">
        <f aca="false">KI41-KP41</f>
        <v>0</v>
      </c>
      <c r="KR41" s="20" t="n">
        <f aca="false">IF(CZ41=1,IF(ABS((1+AS_Wage)/(1+Slot9_Rate)-1)&lt;0.000000000001,(Slot9_Age-D41)*(1+Slot9_Rate)^(Slot9_Age-D41),(1+Slot9_Rate)^(Slot9_Age-D41)*(1-((1+AS_Wage)/(1+Slot9_Rate))^(Slot9_Age-D41))/(1-(1+AS_Wage)/(1+Slot9_Rate))),1)</f>
        <v>1</v>
      </c>
      <c r="KS41" s="20" t="n">
        <f aca="false">IF(AND(HU41=1,IE41&gt;0,Slot9_IsWG=1,CZ41=1),MAX(0,(Slot9_Cost-DA41*(1+Slot9_Rate)^(Slot9_Age-D41))/KR41),0)</f>
        <v>0</v>
      </c>
      <c r="KT41" s="20" t="n">
        <f aca="false">IF(AND(HU41=1,IE41&gt;0,Slot9_IsWG=1,CZ41=1),MIN(IE41,KS41),0)</f>
        <v>0</v>
      </c>
      <c r="KU41" s="20" t="n">
        <f aca="false">DA41+KT41</f>
        <v>0</v>
      </c>
      <c r="KV41" s="20" t="n">
        <f aca="false">IF(CZ41=1,MAX(0,(Slot9_Cost-KU41*(1+Slot9_Rate)^(Slot9_Age-D41))/KR41),0)</f>
        <v>0</v>
      </c>
      <c r="KW41" s="20" t="n">
        <f aca="false">IF(CZ41=1,MAX(0,(Slot9_Cost-DA41*(1+Slot9_Rate)^(Slot9_Age-D41))/KR41),0)</f>
        <v>0</v>
      </c>
      <c r="KX41" s="20" t="n">
        <f aca="false">IF(AND(HU41=1,CZ41=1),MIN(KQ41,KV41),0)</f>
        <v>0</v>
      </c>
      <c r="KY41" s="20" t="n">
        <f aca="false">KQ41-KX41</f>
        <v>0</v>
      </c>
      <c r="KZ41" s="20" t="n">
        <f aca="false">IF(DJ41=1,IF(ABS((1+AS_Wage)/(1+Slot10_Rate)-1)&lt;0.000000000001,(Slot10_Age-D41)*(1+Slot10_Rate)^(Slot10_Age-D41),(1+Slot10_Rate)^(Slot10_Age-D41)*(1-((1+AS_Wage)/(1+Slot10_Rate))^(Slot10_Age-D41))/(1-(1+AS_Wage)/(1+Slot10_Rate))),1)</f>
        <v>1</v>
      </c>
      <c r="LA41" s="20" t="n">
        <f aca="false">IF(AND(HU41=1,IE41&gt;0,Slot10_IsWG=1,DJ41=1),MAX(0,(Slot10_Cost-DK41*(1+Slot10_Rate)^(Slot10_Age-D41))/KZ41),0)</f>
        <v>0</v>
      </c>
      <c r="LB41" s="20" t="n">
        <f aca="false">IF(AND(HU41=1,IE41&gt;0,Slot10_IsWG=1,DJ41=1),MIN(IE41,LA41),0)</f>
        <v>0</v>
      </c>
      <c r="LC41" s="20" t="n">
        <f aca="false">DK41+LB41</f>
        <v>0</v>
      </c>
      <c r="LD41" s="20" t="n">
        <f aca="false">IF(DJ41=1,MAX(0,(Slot10_Cost-LC41*(1+Slot10_Rate)^(Slot10_Age-D41))/KZ41),0)</f>
        <v>0</v>
      </c>
      <c r="LE41" s="20" t="n">
        <f aca="false">IF(DJ41=1,MAX(0,(Slot10_Cost-DK41*(1+Slot10_Rate)^(Slot10_Age-D41))/KZ41),0)</f>
        <v>0</v>
      </c>
      <c r="LF41" s="20" t="n">
        <f aca="false">IF(AND(HU41=1,DJ41=1),MIN(KY41,LD41),0)</f>
        <v>0</v>
      </c>
      <c r="LG41" s="20" t="n">
        <f aca="false">KY41-LF41</f>
        <v>0</v>
      </c>
      <c r="LH41" s="20" t="n">
        <f aca="false">IF(DT41=1,IF(ABS((1+AS_Wage)/(1+Slot11_Rate)-1)&lt;0.000000000001,(Slot11_Age-D41)*(1+Slot11_Rate)^(Slot11_Age-D41),(1+Slot11_Rate)^(Slot11_Age-D41)*(1-((1+AS_Wage)/(1+Slot11_Rate))^(Slot11_Age-D41))/(1-(1+AS_Wage)/(1+Slot11_Rate))),1)</f>
        <v>1</v>
      </c>
      <c r="LI41" s="20" t="n">
        <f aca="false">IF(AND(HU41=1,IE41&gt;0,Slot11_IsWG=1,DT41=1),MAX(0,(Slot11_Cost-DU41*(1+Slot11_Rate)^(Slot11_Age-D41))/LH41),0)</f>
        <v>0</v>
      </c>
      <c r="LJ41" s="20" t="n">
        <f aca="false">IF(AND(HU41=1,IE41&gt;0,Slot11_IsWG=1,DT41=1),MIN(IE41,LI41),0)</f>
        <v>0</v>
      </c>
      <c r="LK41" s="20" t="n">
        <f aca="false">DU41+LJ41</f>
        <v>0</v>
      </c>
      <c r="LL41" s="20" t="n">
        <f aca="false">IF(DT41=1,MAX(0,(Slot11_Cost-LK41*(1+Slot11_Rate)^(Slot11_Age-D41))/LH41),0)</f>
        <v>0</v>
      </c>
      <c r="LM41" s="20" t="n">
        <f aca="false">IF(DT41=1,MAX(0,(Slot11_Cost-DU41*(1+Slot11_Rate)^(Slot11_Age-D41))/LH41),0)</f>
        <v>0</v>
      </c>
      <c r="LN41" s="20" t="n">
        <f aca="false">IF(AND(HU41=1,DT41=1),MIN(LG41,LL41),0)</f>
        <v>0</v>
      </c>
      <c r="LO41" s="20" t="n">
        <f aca="false">LG41-LN41</f>
        <v>0</v>
      </c>
      <c r="LP41" s="20" t="n">
        <f aca="false">IF(ED41=1,IF(ABS((1+AS_Wage)/(1+Slot12_Rate)-1)&lt;0.000000000001,(Slot12_Age-D41)*(1+Slot12_Rate)^(Slot12_Age-D41),(1+Slot12_Rate)^(Slot12_Age-D41)*(1-((1+AS_Wage)/(1+Slot12_Rate))^(Slot12_Age-D41))/(1-(1+AS_Wage)/(1+Slot12_Rate))),1)</f>
        <v>1</v>
      </c>
      <c r="LQ41" s="20" t="n">
        <f aca="false">IF(AND(HU41=1,IE41&gt;0,Slot12_IsWG=1,ED41=1),MAX(0,(Slot12_Cost-EE41*(1+Slot12_Rate)^(Slot12_Age-D41))/LP41),0)</f>
        <v>0</v>
      </c>
      <c r="LR41" s="20" t="n">
        <f aca="false">IF(AND(HU41=1,IE41&gt;0,Slot12_IsWG=1,ED41=1),MIN(IE41,LQ41),0)</f>
        <v>0</v>
      </c>
      <c r="LS41" s="20" t="n">
        <f aca="false">EE41+LR41</f>
        <v>0</v>
      </c>
      <c r="LT41" s="20" t="n">
        <f aca="false">IF(ED41=1,MAX(0,(Slot12_Cost-LS41*(1+Slot12_Rate)^(Slot12_Age-D41))/LP41),0)</f>
        <v>0</v>
      </c>
      <c r="LU41" s="20" t="n">
        <f aca="false">IF(ED41=1,MAX(0,(Slot12_Cost-EE41*(1+Slot12_Rate)^(Slot12_Age-D41))/LP41),0)</f>
        <v>0</v>
      </c>
      <c r="LV41" s="20" t="n">
        <f aca="false">IF(AND(HU41=1,ED41=1),MIN(LO41,LT41),0)</f>
        <v>0</v>
      </c>
      <c r="LW41" s="20" t="n">
        <f aca="false">LO41-LV41</f>
        <v>0</v>
      </c>
      <c r="LX41" s="20" t="n">
        <f aca="false">IF(EN41=1,IF(ABS((1+AS_Wage)/(1+Slot13_Rate)-1)&lt;0.000000000001,(Slot13_Age-D41)*(1+Slot13_Rate)^(Slot13_Age-D41),(1+Slot13_Rate)^(Slot13_Age-D41)*(1-((1+AS_Wage)/(1+Slot13_Rate))^(Slot13_Age-D41))/(1-(1+AS_Wage)/(1+Slot13_Rate))),1)</f>
        <v>1</v>
      </c>
      <c r="LY41" s="20" t="n">
        <f aca="false">IF(AND(HU41=1,IE41&gt;0,Slot13_IsWG=1,EN41=1),MAX(0,(Slot13_Cost-EO41*(1+Slot13_Rate)^(Slot13_Age-D41))/LX41),0)</f>
        <v>0</v>
      </c>
      <c r="LZ41" s="20" t="n">
        <f aca="false">IF(AND(HU41=1,IE41&gt;0,Slot13_IsWG=1,EN41=1),MIN(IE41,LY41),0)</f>
        <v>0</v>
      </c>
      <c r="MA41" s="20" t="n">
        <f aca="false">EO41+LZ41</f>
        <v>0</v>
      </c>
      <c r="MB41" s="20" t="n">
        <f aca="false">IF(EN41=1,MAX(0,(Slot13_Cost-MA41*(1+Slot13_Rate)^(Slot13_Age-D41))/LX41),0)</f>
        <v>0</v>
      </c>
      <c r="MC41" s="20" t="n">
        <f aca="false">IF(EN41=1,MAX(0,(Slot13_Cost-EO41*(1+Slot13_Rate)^(Slot13_Age-D41))/LX41),0)</f>
        <v>0</v>
      </c>
      <c r="MD41" s="20" t="n">
        <f aca="false">IF(AND(HU41=1,EN41=1),MIN(LW41,MB41),0)</f>
        <v>0</v>
      </c>
      <c r="ME41" s="20" t="n">
        <f aca="false">LW41-MD41</f>
        <v>0</v>
      </c>
      <c r="MF41" s="20" t="n">
        <f aca="false">IF(EX41=1,IF(ABS((1+AS_Wage)/(1+Slot14_Rate)-1)&lt;0.000000000001,(Slot14_Age-D41)*(1+Slot14_Rate)^(Slot14_Age-D41),(1+Slot14_Rate)^(Slot14_Age-D41)*(1-((1+AS_Wage)/(1+Slot14_Rate))^(Slot14_Age-D41))/(1-(1+AS_Wage)/(1+Slot14_Rate))),1)</f>
        <v>1</v>
      </c>
      <c r="MG41" s="20" t="n">
        <f aca="false">IF(AND(HU41=1,IE41&gt;0,Slot14_IsWG=1,EX41=1),MAX(0,(Slot14_Cost-EY41*(1+Slot14_Rate)^(Slot14_Age-D41))/MF41),0)</f>
        <v>0</v>
      </c>
      <c r="MH41" s="20" t="n">
        <f aca="false">IF(AND(HU41=1,IE41&gt;0,Slot14_IsWG=1,EX41=1),MIN(IE41,MG41),0)</f>
        <v>0</v>
      </c>
      <c r="MI41" s="20" t="n">
        <f aca="false">EY41+MH41</f>
        <v>0</v>
      </c>
      <c r="MJ41" s="20" t="n">
        <f aca="false">IF(EX41=1,MAX(0,(Slot14_Cost-MI41*(1+Slot14_Rate)^(Slot14_Age-D41))/MF41),0)</f>
        <v>0</v>
      </c>
      <c r="MK41" s="20" t="n">
        <f aca="false">IF(EX41=1,MAX(0,(Slot14_Cost-EY41*(1+Slot14_Rate)^(Slot14_Age-D41))/MF41),0)</f>
        <v>0</v>
      </c>
      <c r="ML41" s="20" t="n">
        <f aca="false">IF(AND(HU41=1,EX41=1),MIN(ME41,MJ41),0)</f>
        <v>0</v>
      </c>
      <c r="MM41" s="20" t="n">
        <f aca="false">ME41-ML41</f>
        <v>0</v>
      </c>
      <c r="MN41" s="20" t="n">
        <f aca="false">IF(FH41=1,IF(ABS((1+AS_Wage)/(1+Slot15_Rate)-1)&lt;0.000000000001,(Slot15_Age-D41)*(1+Slot15_Rate)^(Slot15_Age-D41),(1+Slot15_Rate)^(Slot15_Age-D41)*(1-((1+AS_Wage)/(1+Slot15_Rate))^(Slot15_Age-D41))/(1-(1+AS_Wage)/(1+Slot15_Rate))),1)</f>
        <v>1</v>
      </c>
      <c r="MO41" s="20" t="n">
        <f aca="false">IF(AND(HU41=1,IE41&gt;0,Slot15_IsWG=1,FH41=1),MAX(0,(Slot15_Cost-FI41*(1+Slot15_Rate)^(Slot15_Age-D41))/MN41),0)</f>
        <v>0</v>
      </c>
      <c r="MP41" s="20" t="n">
        <f aca="false">IF(AND(HU41=1,IE41&gt;0,Slot15_IsWG=1,FH41=1),MIN(IE41,MO41),0)</f>
        <v>0</v>
      </c>
      <c r="MQ41" s="20" t="n">
        <f aca="false">FI41+MP41</f>
        <v>0</v>
      </c>
      <c r="MR41" s="20" t="n">
        <f aca="false">IF(FH41=1,MAX(0,(Slot15_Cost-MQ41*(1+Slot15_Rate)^(Slot15_Age-D41))/MN41),0)</f>
        <v>0</v>
      </c>
      <c r="MS41" s="20" t="n">
        <f aca="false">IF(FH41=1,MAX(0,(Slot15_Cost-FI41*(1+Slot15_Rate)^(Slot15_Age-D41))/MN41),0)</f>
        <v>0</v>
      </c>
      <c r="MT41" s="20" t="n">
        <f aca="false">IF(AND(HU41=1,FH41=1),MIN(MM41,MR41),0)</f>
        <v>0</v>
      </c>
      <c r="MU41" s="20" t="n">
        <f aca="false">MM41-MT41</f>
        <v>0</v>
      </c>
      <c r="MV41" s="20" t="n">
        <f aca="false">IF(FR41=1,IF(ABS((1+AS_Wage)/(1+Slot16_Rate)-1)&lt;0.000000000001,(Slot16_Age-D41)*(1+Slot16_Rate)^(Slot16_Age-D41),(1+Slot16_Rate)^(Slot16_Age-D41)*(1-((1+AS_Wage)/(1+Slot16_Rate))^(Slot16_Age-D41))/(1-(1+AS_Wage)/(1+Slot16_Rate))),1)</f>
        <v>1</v>
      </c>
      <c r="MW41" s="20" t="n">
        <f aca="false">IF(AND(HU41=1,IE41&gt;0,Slot16_IsWG=1,FR41=1),MAX(0,(Slot16_Cost-FS41*(1+Slot16_Rate)^(Slot16_Age-D41))/MV41),0)</f>
        <v>0</v>
      </c>
      <c r="MX41" s="20" t="n">
        <f aca="false">IF(AND(HU41=1,IE41&gt;0,Slot16_IsWG=1,FR41=1),MIN(IE41,MW41),0)</f>
        <v>0</v>
      </c>
      <c r="MY41" s="20" t="n">
        <f aca="false">FS41+MX41</f>
        <v>0</v>
      </c>
      <c r="MZ41" s="20" t="n">
        <f aca="false">IF(FR41=1,MAX(0,(Slot16_Cost-MY41*(1+Slot16_Rate)^(Slot16_Age-D41))/MV41),0)</f>
        <v>0</v>
      </c>
      <c r="NA41" s="20" t="n">
        <f aca="false">IF(FR41=1,MAX(0,(Slot16_Cost-FS41*(1+Slot16_Rate)^(Slot16_Age-D41))/MV41),0)</f>
        <v>0</v>
      </c>
      <c r="NB41" s="20" t="n">
        <f aca="false">IF(AND(HU41=1,FR41=1),MIN(MU41,MZ41),0)</f>
        <v>0</v>
      </c>
      <c r="NC41" s="20" t="n">
        <f aca="false">MU41-NB41</f>
        <v>0</v>
      </c>
      <c r="ND41" s="20" t="n">
        <f aca="false">IF(GB41=1,IF(ABS((1+AS_Wage)/(1+Slot17_Rate)-1)&lt;0.000000000001,(Slot17_Age-D41)*(1+Slot17_Rate)^(Slot17_Age-D41),(1+Slot17_Rate)^(Slot17_Age-D41)*(1-((1+AS_Wage)/(1+Slot17_Rate))^(Slot17_Age-D41))/(1-(1+AS_Wage)/(1+Slot17_Rate))),1)</f>
        <v>1</v>
      </c>
      <c r="NE41" s="20" t="n">
        <f aca="false">IF(AND(HU41=1,IE41&gt;0,Slot17_IsWG=1,GB41=1),MAX(0,(Slot17_Cost-GC41*(1+Slot17_Rate)^(Slot17_Age-D41))/ND41),0)</f>
        <v>0</v>
      </c>
      <c r="NF41" s="20" t="n">
        <f aca="false">IF(AND(HU41=1,IE41&gt;0,Slot17_IsWG=1,GB41=1),MIN(IE41,NE41),0)</f>
        <v>0</v>
      </c>
      <c r="NG41" s="20" t="n">
        <f aca="false">GC41+NF41</f>
        <v>0</v>
      </c>
      <c r="NH41" s="20" t="n">
        <f aca="false">IF(GB41=1,MAX(0,(Slot17_Cost-NG41*(1+Slot17_Rate)^(Slot17_Age-D41))/ND41),0)</f>
        <v>0</v>
      </c>
      <c r="NI41" s="20" t="n">
        <f aca="false">IF(GB41=1,MAX(0,(Slot17_Cost-GC41*(1+Slot17_Rate)^(Slot17_Age-D41))/ND41),0)</f>
        <v>0</v>
      </c>
      <c r="NJ41" s="20" t="n">
        <f aca="false">IF(AND(HU41=1,GB41=1),MIN(NC41,NH41),0)</f>
        <v>0</v>
      </c>
      <c r="NK41" s="20" t="n">
        <f aca="false">NC41-NJ41</f>
        <v>0</v>
      </c>
      <c r="NL41" s="20" t="n">
        <f aca="false">IF(GL41=1,IF(ABS((1+AS_Wage)/(1+Slot18_Rate)-1)&lt;0.000000000001,(Slot18_Age-D41)*(1+Slot18_Rate)^(Slot18_Age-D41),(1+Slot18_Rate)^(Slot18_Age-D41)*(1-((1+AS_Wage)/(1+Slot18_Rate))^(Slot18_Age-D41))/(1-(1+AS_Wage)/(1+Slot18_Rate))),1)</f>
        <v>1</v>
      </c>
      <c r="NM41" s="20" t="n">
        <f aca="false">IF(AND(HU41=1,IE41&gt;0,Slot18_IsWG=1,GL41=1),MAX(0,(Slot18_Cost-GM41*(1+Slot18_Rate)^(Slot18_Age-D41))/NL41),0)</f>
        <v>0</v>
      </c>
      <c r="NN41" s="20" t="n">
        <f aca="false">IF(AND(HU41=1,IE41&gt;0,Slot18_IsWG=1,GL41=1),MIN(IE41,NM41),0)</f>
        <v>0</v>
      </c>
      <c r="NO41" s="20" t="n">
        <f aca="false">GM41+NN41</f>
        <v>0</v>
      </c>
      <c r="NP41" s="20" t="n">
        <f aca="false">IF(GL41=1,MAX(0,(Slot18_Cost-NO41*(1+Slot18_Rate)^(Slot18_Age-D41))/NL41),0)</f>
        <v>0</v>
      </c>
      <c r="NQ41" s="20" t="n">
        <f aca="false">IF(GL41=1,MAX(0,(Slot18_Cost-GM41*(1+Slot18_Rate)^(Slot18_Age-D41))/NL41),0)</f>
        <v>0</v>
      </c>
      <c r="NR41" s="20" t="n">
        <f aca="false">IF(AND(HU41=1,GL41=1),MIN(NK41,NP41),0)</f>
        <v>0</v>
      </c>
      <c r="NS41" s="20" t="n">
        <f aca="false">NK41-NR41</f>
        <v>0</v>
      </c>
      <c r="NT41" s="20" t="n">
        <f aca="false">IF(GV41=1,IF(ABS((1+AS_Wage)/(1+Slot19_Rate)-1)&lt;0.000000000001,(Slot19_Age-D41)*(1+Slot19_Rate)^(Slot19_Age-D41),(1+Slot19_Rate)^(Slot19_Age-D41)*(1-((1+AS_Wage)/(1+Slot19_Rate))^(Slot19_Age-D41))/(1-(1+AS_Wage)/(1+Slot19_Rate))),1)</f>
        <v>1</v>
      </c>
      <c r="NU41" s="20" t="n">
        <f aca="false">IF(AND(HU41=1,IE41&gt;0,Slot19_IsWG=1,GV41=1),MAX(0,(Slot19_Cost-GW41*(1+Slot19_Rate)^(Slot19_Age-D41))/NT41),0)</f>
        <v>0</v>
      </c>
      <c r="NV41" s="20" t="n">
        <f aca="false">IF(AND(HU41=1,IE41&gt;0,Slot19_IsWG=1,GV41=1),MIN(IE41,NU41),0)</f>
        <v>0</v>
      </c>
      <c r="NW41" s="20" t="n">
        <f aca="false">GW41+NV41</f>
        <v>0</v>
      </c>
      <c r="NX41" s="20" t="n">
        <f aca="false">IF(GV41=1,MAX(0,(Slot19_Cost-NW41*(1+Slot19_Rate)^(Slot19_Age-D41))/NT41),0)</f>
        <v>0</v>
      </c>
      <c r="NY41" s="20" t="n">
        <f aca="false">IF(GV41=1,MAX(0,(Slot19_Cost-GW41*(1+Slot19_Rate)^(Slot19_Age-D41))/NT41),0)</f>
        <v>0</v>
      </c>
      <c r="NZ41" s="20" t="n">
        <f aca="false">IF(AND(HU41=1,GV41=1),MIN(NS41,NX41),0)</f>
        <v>0</v>
      </c>
      <c r="OA41" s="20" t="n">
        <f aca="false">NS41-NZ41</f>
        <v>0</v>
      </c>
      <c r="OB41" s="20" t="n">
        <f aca="false">IF(HF41=1,IF(ABS((1+AS_Wage)/(1+Slot20_Rate)-1)&lt;0.000000000001,(Slot20_Age-D41)*(1+Slot20_Rate)^(Slot20_Age-D41),(1+Slot20_Rate)^(Slot20_Age-D41)*(1-((1+AS_Wage)/(1+Slot20_Rate))^(Slot20_Age-D41))/(1-(1+AS_Wage)/(1+Slot20_Rate))),1)</f>
        <v>1</v>
      </c>
      <c r="OC41" s="20" t="n">
        <f aca="false">IF(AND(HU41=1,IE41&gt;0,Slot20_IsWG=1,HF41=1),MAX(0,(Slot20_Cost-HG41*(1+Slot20_Rate)^(Slot20_Age-D41))/OB41),0)</f>
        <v>0</v>
      </c>
      <c r="OD41" s="20" t="n">
        <f aca="false">IF(AND(HU41=1,IE41&gt;0,Slot20_IsWG=1,HF41=1),MIN(IE41,OC41),0)</f>
        <v>0</v>
      </c>
      <c r="OE41" s="20" t="n">
        <f aca="false">HG41+OD41</f>
        <v>0</v>
      </c>
      <c r="OF41" s="20" t="n">
        <f aca="false">IF(HF41=1,MAX(0,(Slot20_Cost-OE41*(1+Slot20_Rate)^(Slot20_Age-D41))/OB41),0)</f>
        <v>0</v>
      </c>
      <c r="OG41" s="20" t="n">
        <f aca="false">IF(HF41=1,MAX(0,(Slot20_Cost-HG41*(1+Slot20_Rate)^(Slot20_Age-D41))/OB41),0)</f>
        <v>0</v>
      </c>
      <c r="OH41" s="20" t="n">
        <f aca="false">IF(AND(HU41=1,HF41=1),MIN(OA41,OF41),0)</f>
        <v>0</v>
      </c>
      <c r="OI41" s="20" t="n">
        <f aca="false">OA41-OH41</f>
        <v>0</v>
      </c>
      <c r="OJ41" s="20" t="n">
        <f aca="false">IE41-(IH41+IP41+IX41+JF41+JN41+JV41+KD41+KL41+KT41+LB41+LJ41+LR41+LZ41+MH41+MP41+MX41+NF41+NN41+NV41+OD41)</f>
        <v>0</v>
      </c>
      <c r="OK41" s="20" t="n">
        <f aca="false">IF(HU41=1,HS41-ID41-IE41,0)</f>
        <v>0</v>
      </c>
      <c r="OL41" s="20" t="n">
        <f aca="false">IF(HU41=0,-HS41,0)</f>
        <v>19335.1179852798</v>
      </c>
      <c r="OM41" s="20" t="n">
        <f aca="false">MIN(OL41,HK41)</f>
        <v>19335.1179852798</v>
      </c>
      <c r="ON41" s="20" t="n">
        <f aca="false">OL41-OM41</f>
        <v>0</v>
      </c>
      <c r="OO41" s="20" t="n">
        <f aca="false">MIN(ON41,HL41)</f>
        <v>0</v>
      </c>
      <c r="OP41" s="20" t="n">
        <f aca="false">ON41-OO41</f>
        <v>0</v>
      </c>
      <c r="OQ41" s="20" t="n">
        <f aca="false">IF(AND(HU41=0,HF41=1,OP41&gt;0),MIN(OP41,HG41),0)</f>
        <v>0</v>
      </c>
      <c r="OR41" s="20" t="n">
        <f aca="false">OP41-OQ41</f>
        <v>0</v>
      </c>
      <c r="OS41" s="20" t="n">
        <f aca="false">IF(AND(HU41=0,GV41=1,OR41&gt;0),MIN(OR41,GW41),0)</f>
        <v>0</v>
      </c>
      <c r="OT41" s="20" t="n">
        <f aca="false">OR41-OS41</f>
        <v>0</v>
      </c>
      <c r="OU41" s="20" t="n">
        <f aca="false">IF(AND(HU41=0,GL41=1,OT41&gt;0),MIN(OT41,GM41),0)</f>
        <v>0</v>
      </c>
      <c r="OV41" s="20" t="n">
        <f aca="false">OT41-OU41</f>
        <v>0</v>
      </c>
      <c r="OW41" s="20" t="n">
        <f aca="false">IF(AND(HU41=0,GB41=1,OV41&gt;0),MIN(OV41,GC41),0)</f>
        <v>0</v>
      </c>
      <c r="OX41" s="20" t="n">
        <f aca="false">OV41-OW41</f>
        <v>0</v>
      </c>
      <c r="OY41" s="20" t="n">
        <f aca="false">IF(AND(HU41=0,FR41=1,OX41&gt;0),MIN(OX41,FS41),0)</f>
        <v>0</v>
      </c>
      <c r="OZ41" s="20" t="n">
        <f aca="false">OX41-OY41</f>
        <v>0</v>
      </c>
      <c r="PA41" s="20" t="n">
        <f aca="false">IF(AND(HU41=0,FH41=1,OZ41&gt;0),MIN(OZ41,FI41),0)</f>
        <v>0</v>
      </c>
      <c r="PB41" s="20" t="n">
        <f aca="false">OZ41-PA41</f>
        <v>0</v>
      </c>
      <c r="PC41" s="20" t="n">
        <f aca="false">IF(AND(HU41=0,EX41=1,PB41&gt;0),MIN(PB41,EY41),0)</f>
        <v>0</v>
      </c>
      <c r="PD41" s="20" t="n">
        <f aca="false">PB41-PC41</f>
        <v>0</v>
      </c>
      <c r="PE41" s="20" t="n">
        <f aca="false">IF(AND(HU41=0,EN41=1,PD41&gt;0),MIN(PD41,EO41),0)</f>
        <v>0</v>
      </c>
      <c r="PF41" s="20" t="n">
        <f aca="false">PD41-PE41</f>
        <v>0</v>
      </c>
      <c r="PG41" s="20" t="n">
        <f aca="false">IF(AND(HU41=0,ED41=1,PF41&gt;0),MIN(PF41,EE41),0)</f>
        <v>0</v>
      </c>
      <c r="PH41" s="20" t="n">
        <f aca="false">PF41-PG41</f>
        <v>0</v>
      </c>
      <c r="PI41" s="20" t="n">
        <f aca="false">IF(AND(HU41=0,DT41=1,PH41&gt;0),MIN(PH41,DU41),0)</f>
        <v>0</v>
      </c>
      <c r="PJ41" s="20" t="n">
        <f aca="false">PH41-PI41</f>
        <v>0</v>
      </c>
      <c r="PK41" s="20" t="n">
        <f aca="false">IF(AND(HU41=0,DJ41=1,PJ41&gt;0),MIN(PJ41,DK41),0)</f>
        <v>0</v>
      </c>
      <c r="PL41" s="20" t="n">
        <f aca="false">PJ41-PK41</f>
        <v>0</v>
      </c>
      <c r="PM41" s="20" t="n">
        <f aca="false">IF(AND(HU41=0,CZ41=1,PL41&gt;0),MIN(PL41,DA41),0)</f>
        <v>0</v>
      </c>
      <c r="PN41" s="20" t="n">
        <f aca="false">PL41-PM41</f>
        <v>0</v>
      </c>
      <c r="PO41" s="20" t="n">
        <f aca="false">IF(AND(HU41=0,CP41=1,PN41&gt;0),MIN(PN41,CQ41),0)</f>
        <v>0</v>
      </c>
      <c r="PP41" s="20" t="n">
        <f aca="false">PN41-PO41</f>
        <v>0</v>
      </c>
      <c r="PQ41" s="20" t="n">
        <f aca="false">IF(AND(HU41=0,CF41=1,PP41&gt;0),MIN(PP41,CG41),0)</f>
        <v>0</v>
      </c>
      <c r="PR41" s="20" t="n">
        <f aca="false">PP41-PQ41</f>
        <v>0</v>
      </c>
      <c r="PS41" s="20" t="n">
        <f aca="false">IF(AND(HU41=0,BV41=1,PR41&gt;0),MIN(PR41,BW41),0)</f>
        <v>0</v>
      </c>
      <c r="PT41" s="20" t="n">
        <f aca="false">PR41-PS41</f>
        <v>0</v>
      </c>
      <c r="PU41" s="20" t="n">
        <f aca="false">IF(AND(HU41=0,BL41=1,PT41&gt;0),MIN(PT41,BM41),0)</f>
        <v>0</v>
      </c>
      <c r="PV41" s="20" t="n">
        <f aca="false">PT41-PU41</f>
        <v>0</v>
      </c>
      <c r="PW41" s="20" t="n">
        <f aca="false">IF(AND(HU41=0,BB41=1,PV41&gt;0),MIN(PV41,BC41),0)</f>
        <v>0</v>
      </c>
      <c r="PX41" s="20" t="n">
        <f aca="false">PV41-PW41</f>
        <v>0</v>
      </c>
      <c r="PY41" s="20" t="n">
        <f aca="false">IF(AND(HU41=0,AR41=1,PX41&gt;0),MIN(PX41,AS41),0)</f>
        <v>0</v>
      </c>
      <c r="PZ41" s="20" t="n">
        <f aca="false">PX41-PY41</f>
        <v>0</v>
      </c>
      <c r="QA41" s="20" t="n">
        <f aca="false">IF(AND(HU41=0,AH41=1,PZ41&gt;0),MIN(PZ41,AI41),0)</f>
        <v>0</v>
      </c>
      <c r="QB41" s="20" t="n">
        <f aca="false">PZ41-QA41</f>
        <v>0</v>
      </c>
      <c r="QC41" s="20" t="n">
        <f aca="false">IF(AND(HU41=0,W41=1,QB41&gt;0),MIN(QB41,X41),0)</f>
        <v>0</v>
      </c>
      <c r="QD41" s="20" t="n">
        <f aca="false">QB41-QC41</f>
        <v>0</v>
      </c>
      <c r="QE41" s="20" t="n">
        <f aca="false">IF(HU41=0,QD41,0)</f>
        <v>0</v>
      </c>
      <c r="QF41" s="20" t="n">
        <f aca="false">OM41+OO41+QC41+QA41+PY41+PW41+PU41+PS41+PQ41+PO41+PM41+PK41+PI41+PG41+PE41+PC41+PA41+OY41+OW41+OU41+OS41+OQ41</f>
        <v>19335.1179852798</v>
      </c>
      <c r="QG41" s="20" t="n">
        <f aca="false">IF(HU41=1,HK41+OJ41+OI41+IF(G41=1,0,OK41),HK41-OM41)</f>
        <v>107500.789872189</v>
      </c>
      <c r="QH41" s="20" t="n">
        <f aca="false">HL41-OO41</f>
        <v>21244.8754744122</v>
      </c>
      <c r="QI41" s="20" t="n">
        <f aca="false">IF(HU41=1,IF(G41=1,ID41+IE41,HS41),0)</f>
        <v>0</v>
      </c>
      <c r="QJ41" s="20" t="n">
        <f aca="false">IF(HU41=1,IF(G41=1,HS41-ID41-IE41,0),0)</f>
        <v>0</v>
      </c>
      <c r="QK41" s="20" t="n">
        <f aca="false">QG41*(1+GR)</f>
        <v>109263.802826093</v>
      </c>
      <c r="QL41" s="20" t="n">
        <f aca="false">QH41*(1+AS_Cash)</f>
        <v>21457.3242291563</v>
      </c>
      <c r="QM41" s="20" t="n">
        <f aca="false">IF(W41=1,IF(HU41=1,II41+IL41,X41-QC41)*(1+Slot1_Rate),0)</f>
        <v>0</v>
      </c>
      <c r="QN41" s="20" t="n">
        <f aca="false">IF(AND(HU41=1,W41=1),(IH41+IL41)/F41,0)</f>
        <v>0</v>
      </c>
      <c r="QO41" s="20" t="n">
        <f aca="false">IF(B41=0,IH41+IL41,0)</f>
        <v>0</v>
      </c>
      <c r="QP41" s="20" t="n">
        <f aca="false">IF(B41=0,IF(HU41=1,IJ41,IK41),0)</f>
        <v>0</v>
      </c>
      <c r="QQ41" s="20" t="n">
        <f aca="false">IF(AH41=1,IF(HU41=1,IQ41+IT41,AI41-QA41)*(1+Slot2_Rate),0)</f>
        <v>0</v>
      </c>
      <c r="QR41" s="20" t="n">
        <f aca="false">IF(AND(HU41=1,AH41=1),(IP41+IT41)/F41,0)</f>
        <v>0</v>
      </c>
      <c r="QS41" s="20" t="n">
        <f aca="false">IF(B41=0,IP41+IT41,0)</f>
        <v>0</v>
      </c>
      <c r="QT41" s="20" t="n">
        <f aca="false">IF(B41=0,IF(HU41=1,IR41,IS41),0)</f>
        <v>0</v>
      </c>
      <c r="QU41" s="20" t="n">
        <f aca="false">IF(AR41=1,IF(HU41=1,IY41+JB41,AS41-PY41)*(1+Slot3_Rate),0)</f>
        <v>0</v>
      </c>
      <c r="QV41" s="20" t="n">
        <f aca="false">IF(AND(HU41=1,AR41=1),(IX41+JB41)/F41,0)</f>
        <v>0</v>
      </c>
      <c r="QW41" s="20" t="n">
        <f aca="false">IF(B41=0,IX41+JB41,0)</f>
        <v>0</v>
      </c>
      <c r="QX41" s="20" t="n">
        <f aca="false">IF(B41=0,IF(HU41=1,IZ41,JA41),0)</f>
        <v>0</v>
      </c>
      <c r="QY41" s="20" t="n">
        <f aca="false">IF(BB41=1,IF(HU41=1,JG41+JJ41,BC41-PW41)*(1+Slot4_Rate),0)</f>
        <v>0</v>
      </c>
      <c r="QZ41" s="20" t="n">
        <f aca="false">IF(AND(HU41=1,BB41=1),(JF41+JJ41)/F41,0)</f>
        <v>0</v>
      </c>
      <c r="RA41" s="20" t="n">
        <f aca="false">IF(B41=0,JF41+JJ41,0)</f>
        <v>0</v>
      </c>
      <c r="RB41" s="20" t="n">
        <f aca="false">IF(B41=0,IF(HU41=1,JH41,JI41),0)</f>
        <v>0</v>
      </c>
      <c r="RC41" s="20" t="n">
        <f aca="false">IF(BL41=1,IF(HU41=1,JO41+JR41,BM41-PU41)*(1+Slot5_Rate),0)</f>
        <v>0</v>
      </c>
      <c r="RD41" s="20" t="n">
        <f aca="false">IF(AND(HU41=1,BL41=1),(JN41+JR41)/F41,0)</f>
        <v>0</v>
      </c>
      <c r="RE41" s="20" t="n">
        <f aca="false">IF(B41=0,JN41+JR41,0)</f>
        <v>0</v>
      </c>
      <c r="RF41" s="20" t="n">
        <f aca="false">IF(B41=0,IF(HU41=1,JP41,JQ41),0)</f>
        <v>0</v>
      </c>
      <c r="RG41" s="20" t="n">
        <f aca="false">IF(BV41=1,IF(HU41=1,JW41+JZ41,BW41-PS41)*(1+Slot6_Rate),0)</f>
        <v>0</v>
      </c>
      <c r="RH41" s="20" t="n">
        <f aca="false">IF(AND(HU41=1,BV41=1),(JV41+JZ41)/F41,0)</f>
        <v>0</v>
      </c>
      <c r="RI41" s="20" t="n">
        <f aca="false">IF(B41=0,JV41+JZ41,0)</f>
        <v>0</v>
      </c>
      <c r="RJ41" s="20" t="n">
        <f aca="false">IF(B41=0,IF(HU41=1,JX41,JY41),0)</f>
        <v>0</v>
      </c>
      <c r="RK41" s="20" t="n">
        <f aca="false">IF(CF41=1,IF(HU41=1,KE41+KH41,CG41-PQ41)*(1+Slot7_Rate),0)</f>
        <v>0</v>
      </c>
      <c r="RL41" s="20" t="n">
        <f aca="false">IF(AND(HU41=1,CF41=1),(KD41+KH41)/F41,0)</f>
        <v>0</v>
      </c>
      <c r="RM41" s="20" t="n">
        <f aca="false">IF(B41=0,KD41+KH41,0)</f>
        <v>0</v>
      </c>
      <c r="RN41" s="20" t="n">
        <f aca="false">IF(B41=0,IF(HU41=1,KF41,KG41),0)</f>
        <v>0</v>
      </c>
      <c r="RO41" s="20" t="n">
        <f aca="false">IF(CP41=1,IF(HU41=1,KM41+KP41,CQ41-PO41)*(1+Slot8_Rate),0)</f>
        <v>0</v>
      </c>
      <c r="RP41" s="20" t="n">
        <f aca="false">IF(AND(HU41=1,CP41=1),(KL41+KP41)/F41,0)</f>
        <v>0</v>
      </c>
      <c r="RQ41" s="20" t="n">
        <f aca="false">IF(B41=0,KL41+KP41,0)</f>
        <v>0</v>
      </c>
      <c r="RR41" s="20" t="n">
        <f aca="false">IF(B41=0,IF(HU41=1,KN41,KO41),0)</f>
        <v>0</v>
      </c>
      <c r="RS41" s="20" t="n">
        <f aca="false">IF(CZ41=1,IF(HU41=1,KU41+KX41,DA41-PM41)*(1+Slot9_Rate),0)</f>
        <v>0</v>
      </c>
      <c r="RT41" s="20" t="n">
        <f aca="false">IF(AND(HU41=1,CZ41=1),(KT41+KX41)/F41,0)</f>
        <v>0</v>
      </c>
      <c r="RU41" s="20" t="n">
        <f aca="false">IF(B41=0,KT41+KX41,0)</f>
        <v>0</v>
      </c>
      <c r="RV41" s="20" t="n">
        <f aca="false">IF(B41=0,IF(HU41=1,KV41,KW41),0)</f>
        <v>0</v>
      </c>
      <c r="RW41" s="20" t="n">
        <f aca="false">IF(DJ41=1,IF(HU41=1,LC41+LF41,DK41-PK41)*(1+Slot10_Rate),0)</f>
        <v>0</v>
      </c>
      <c r="RX41" s="20" t="n">
        <f aca="false">IF(AND(HU41=1,DJ41=1),(LB41+LF41)/F41,0)</f>
        <v>0</v>
      </c>
      <c r="RY41" s="20" t="n">
        <f aca="false">IF(B41=0,LB41+LF41,0)</f>
        <v>0</v>
      </c>
      <c r="RZ41" s="20" t="n">
        <f aca="false">IF(B41=0,IF(HU41=1,LD41,LE41),0)</f>
        <v>0</v>
      </c>
      <c r="SA41" s="20" t="n">
        <f aca="false">IF(DT41=1,IF(HU41=1,LK41+LN41,DU41-PI41)*(1+Slot11_Rate),0)</f>
        <v>0</v>
      </c>
      <c r="SB41" s="20" t="n">
        <f aca="false">IF(AND(HU41=1,DT41=1),(LJ41+LN41)/F41,0)</f>
        <v>0</v>
      </c>
      <c r="SC41" s="20" t="n">
        <f aca="false">IF(B41=0,LJ41+LN41,0)</f>
        <v>0</v>
      </c>
      <c r="SD41" s="20" t="n">
        <f aca="false">IF(B41=0,IF(HU41=1,LL41,LM41),0)</f>
        <v>0</v>
      </c>
      <c r="SE41" s="20" t="n">
        <f aca="false">IF(ED41=1,IF(HU41=1,LS41+LV41,EE41-PG41)*(1+Slot12_Rate),0)</f>
        <v>0</v>
      </c>
      <c r="SF41" s="20" t="n">
        <f aca="false">IF(AND(HU41=1,ED41=1),(LR41+LV41)/F41,0)</f>
        <v>0</v>
      </c>
      <c r="SG41" s="20" t="n">
        <f aca="false">IF(B41=0,LR41+LV41,0)</f>
        <v>0</v>
      </c>
      <c r="SH41" s="20" t="n">
        <f aca="false">IF(B41=0,IF(HU41=1,LT41,LU41),0)</f>
        <v>0</v>
      </c>
      <c r="SI41" s="20" t="n">
        <f aca="false">IF(EN41=1,IF(HU41=1,MA41+MD41,EO41-PE41)*(1+Slot13_Rate),0)</f>
        <v>0</v>
      </c>
      <c r="SJ41" s="20" t="n">
        <f aca="false">IF(AND(HU41=1,EN41=1),(LZ41+MD41)/F41,0)</f>
        <v>0</v>
      </c>
      <c r="SK41" s="20" t="n">
        <f aca="false">IF(B41=0,LZ41+MD41,0)</f>
        <v>0</v>
      </c>
      <c r="SL41" s="20" t="n">
        <f aca="false">IF(B41=0,IF(HU41=1,MB41,MC41),0)</f>
        <v>0</v>
      </c>
      <c r="SM41" s="20" t="n">
        <f aca="false">IF(EX41=1,IF(HU41=1,MI41+ML41,EY41-PC41)*(1+Slot14_Rate),0)</f>
        <v>0</v>
      </c>
      <c r="SN41" s="20" t="n">
        <f aca="false">IF(AND(HU41=1,EX41=1),(MH41+ML41)/F41,0)</f>
        <v>0</v>
      </c>
      <c r="SO41" s="20" t="n">
        <f aca="false">IF(B41=0,MH41+ML41,0)</f>
        <v>0</v>
      </c>
      <c r="SP41" s="20" t="n">
        <f aca="false">IF(B41=0,IF(HU41=1,MJ41,MK41),0)</f>
        <v>0</v>
      </c>
      <c r="SQ41" s="20" t="n">
        <f aca="false">IF(FH41=1,IF(HU41=1,MQ41+MT41,FI41-PA41)*(1+Slot15_Rate),0)</f>
        <v>0</v>
      </c>
      <c r="SR41" s="20" t="n">
        <f aca="false">IF(AND(HU41=1,FH41=1),(MP41+MT41)/F41,0)</f>
        <v>0</v>
      </c>
      <c r="SS41" s="20" t="n">
        <f aca="false">IF(B41=0,MP41+MT41,0)</f>
        <v>0</v>
      </c>
      <c r="ST41" s="20" t="n">
        <f aca="false">IF(B41=0,IF(HU41=1,MR41,MS41),0)</f>
        <v>0</v>
      </c>
      <c r="SU41" s="20" t="n">
        <f aca="false">IF(FR41=1,IF(HU41=1,MY41+NB41,FS41-OY41)*(1+Slot16_Rate),0)</f>
        <v>0</v>
      </c>
      <c r="SV41" s="20" t="n">
        <f aca="false">IF(AND(HU41=1,FR41=1),(MX41+NB41)/F41,0)</f>
        <v>0</v>
      </c>
      <c r="SW41" s="20" t="n">
        <f aca="false">IF(B41=0,MX41+NB41,0)</f>
        <v>0</v>
      </c>
      <c r="SX41" s="20" t="n">
        <f aca="false">IF(B41=0,IF(HU41=1,MZ41,NA41),0)</f>
        <v>0</v>
      </c>
      <c r="SY41" s="20" t="n">
        <f aca="false">IF(GB41=1,IF(HU41=1,NG41+NJ41,GC41-OW41)*(1+Slot17_Rate),0)</f>
        <v>0</v>
      </c>
      <c r="SZ41" s="20" t="n">
        <f aca="false">IF(AND(HU41=1,GB41=1),(NF41+NJ41)/F41,0)</f>
        <v>0</v>
      </c>
      <c r="TA41" s="20" t="n">
        <f aca="false">IF(B41=0,NF41+NJ41,0)</f>
        <v>0</v>
      </c>
      <c r="TB41" s="20" t="n">
        <f aca="false">IF(B41=0,IF(HU41=1,NH41,NI41),0)</f>
        <v>0</v>
      </c>
      <c r="TC41" s="20" t="n">
        <f aca="false">IF(GL41=1,IF(HU41=1,NO41+NR41,GM41-OU41)*(1+Slot18_Rate),0)</f>
        <v>0</v>
      </c>
      <c r="TD41" s="20" t="n">
        <f aca="false">IF(AND(HU41=1,GL41=1),(NN41+NR41)/F41,0)</f>
        <v>0</v>
      </c>
      <c r="TE41" s="20" t="n">
        <f aca="false">IF(B41=0,NN41+NR41,0)</f>
        <v>0</v>
      </c>
      <c r="TF41" s="20" t="n">
        <f aca="false">IF(B41=0,IF(HU41=1,NP41,NQ41),0)</f>
        <v>0</v>
      </c>
      <c r="TG41" s="20" t="n">
        <f aca="false">IF(GV41=1,IF(HU41=1,NW41+NZ41,GW41-OS41)*(1+Slot19_Rate),0)</f>
        <v>0</v>
      </c>
      <c r="TH41" s="20" t="n">
        <f aca="false">IF(AND(HU41=1,GV41=1),(NV41+NZ41)/F41,0)</f>
        <v>0</v>
      </c>
      <c r="TI41" s="20" t="n">
        <f aca="false">IF(B41=0,NV41+NZ41,0)</f>
        <v>0</v>
      </c>
      <c r="TJ41" s="20" t="n">
        <f aca="false">IF(B41=0,IF(HU41=1,NX41,NY41),0)</f>
        <v>0</v>
      </c>
      <c r="TK41" s="20" t="n">
        <f aca="false">IF(HF41=1,IF(HU41=1,OE41+OH41,HG41-OQ41)*(1+Slot20_Rate),0)</f>
        <v>0</v>
      </c>
      <c r="TL41" s="20" t="n">
        <f aca="false">IF(AND(HU41=1,HF41=1),(OD41+OH41)/F41,0)</f>
        <v>0</v>
      </c>
      <c r="TM41" s="20" t="n">
        <f aca="false">IF(B41=0,OD41+OH41,0)</f>
        <v>0</v>
      </c>
      <c r="TN41" s="20" t="n">
        <f aca="false">IF(B41=0,IF(HU41=1,OF41,OG41),0)</f>
        <v>0</v>
      </c>
      <c r="TO41" s="20" t="n">
        <f aca="false">QK41+QL41+QM41+QQ41+QU41+QY41+RC41+RG41+RK41+RO41+RS41+RW41+SA41+SE41+SI41+SM41+SQ41+SU41+SY41+TC41+TG41+TK41</f>
        <v>130721.127055249</v>
      </c>
      <c r="TP41" s="20" t="n">
        <f aca="false">QE41+HP41</f>
        <v>0</v>
      </c>
      <c r="TQ41" s="20" t="n">
        <f aca="false">I41+S41</f>
        <v>91882.6611084827</v>
      </c>
      <c r="TR41" s="20" t="n">
        <f aca="false">1-G41</f>
        <v>1</v>
      </c>
      <c r="TS41" s="20" t="n">
        <f aca="false">IF(AND(RG_Exists=1,G41=0,C41=1),I41,0)</f>
        <v>91882.6611084827</v>
      </c>
      <c r="TT41" s="20" t="n">
        <f aca="false">IF(AND(RG_Exists=1,G41=0,C41=1),I41-MIN(QE41,I41),0)</f>
        <v>91882.6611084827</v>
      </c>
      <c r="TU41" s="20" t="n">
        <f aca="false">'Plan pay &amp; tax'!AD267</f>
        <v>404726.803975474</v>
      </c>
      <c r="TV41" s="20" t="n">
        <f aca="false">IF(AND(C41=1,QE41&gt;MAX(PR_Short1,TQ41*PR_Short2)),1,0)</f>
        <v>0</v>
      </c>
      <c r="TW41" s="20" t="n">
        <f aca="false">MIN(H41,I41+S41)</f>
        <v>72547.5431232029</v>
      </c>
      <c r="TX41" s="20" t="n">
        <f aca="false">QF41+MAX(0,HQ41-HP41)</f>
        <v>19335.1179852798</v>
      </c>
      <c r="TY41" s="20" t="n">
        <f aca="false">QE41+HP41</f>
        <v>0</v>
      </c>
      <c r="TZ41" s="20" t="n">
        <f aca="false">IF(AND(C41=1,TY41&gt;PR_MinShort),1,0)</f>
        <v>0</v>
      </c>
      <c r="UA41" s="20" t="n">
        <f aca="false">IF(AND(C41=1,TZ41=0,TX41&gt;PR_MinShort),1,0)</f>
        <v>1</v>
      </c>
      <c r="UB41" s="20" t="n">
        <f aca="false">IF(AND(C41=1,QE41&gt;PR_MinShort),1,0)</f>
        <v>0</v>
      </c>
      <c r="UC41" s="20" t="n">
        <f aca="false">IF(AND(C41=1,QF41&gt;1,UJ41=0),1,0)</f>
        <v>1</v>
      </c>
      <c r="UD41" s="20" t="str">
        <f aca="false">IF(C41=0,"",IF(UJ41=1,"Gap to plan for: short "&amp;"€"&amp;TEXT(ROUND(TP41,0),"#,##0"),IF(QF41&gt;1,"Using savings","Comfortable")))</f>
        <v>Using savings</v>
      </c>
      <c r="UE41" s="20" t="n">
        <f aca="false">IF(AND(INT(D41/10)*10=90,B41&gt;0),80,INT(D41/10)*10)</f>
        <v>70</v>
      </c>
      <c r="UF41" s="20" t="n">
        <f aca="false">IF(B41=0,1,IF(UE41&lt;&gt;UE40,UF40+1,UF40))</f>
        <v>5</v>
      </c>
      <c r="UG41" s="20" t="n">
        <f aca="false">IF(AND(C41=1,G41=1,QE41&gt;MAX(PR_Short1,TQ41*PR_Short2)),1,0)</f>
        <v>0</v>
      </c>
      <c r="UH41" s="20" t="n">
        <f aca="false">TR41*TV41</f>
        <v>0</v>
      </c>
      <c r="UI41" s="20" t="n">
        <f aca="false">IF(AND(V41=1,Slot1_PctLow=1),1,0)+IF(AND(AG41=1,Slot2_PctLow=1),1,0)+IF(AND(AQ41=1,Slot3_PctLow=1),1,0)+IF(AND(BA41=1,Slot4_PctLow=1),1,0)+IF(AND(BK41=1,Slot5_PctLow=1),1,0)+IF(AND(BU41=1,Slot6_PctLow=1),1,0)+IF(AND(CE41=1,Slot7_PctLow=1),1,0)+IF(AND(CO41=1,Slot8_PctLow=1),1,0)+IF(AND(CY41=1,Slot9_PctLow=1),1,0)+IF(AND(DI41=1,Slot10_PctLow=1),1,0)+IF(AND(DS41=1,Slot11_PctLow=1),1,0)+IF(AND(EC41=1,Slot12_PctLow=1),1,0)+IF(AND(EM41=1,Slot13_PctLow=1),1,0)+IF(AND(EW41=1,Slot14_PctLow=1),1,0)+IF(AND(FG41=1,Slot15_PctLow=1),1,0)+IF(AND(FQ41=1,Slot16_PctLow=1),1,0)+IF(AND(GA41=1,Slot17_PctLow=1),1,0)+IF(AND(GK41=1,Slot18_PctLow=1),1,0)+IF(AND(GU41=1,Slot19_PctLow=1),1,0)+IF(AND(HE41=1,Slot20_PctLow=1),1,0)</f>
        <v>0</v>
      </c>
      <c r="UJ41" s="20" t="n">
        <f aca="false">IF(C41=1,IF(OR(TV41=1,UI41&gt;0),1,0),0)</f>
        <v>0</v>
      </c>
    </row>
    <row r="42" customFormat="false" ht="15" hidden="false" customHeight="true" outlineLevel="0" collapsed="false">
      <c r="B42" s="20" t="n">
        <v>34</v>
      </c>
      <c r="C42" s="20" t="n">
        <f aca="false">IF(B42&lt;=F_N,1,0)</f>
        <v>1</v>
      </c>
      <c r="D42" s="20" t="n">
        <f aca="false">'Plan pay &amp; tax'!C268</f>
        <v>72</v>
      </c>
      <c r="E42" s="20" t="str">
        <f aca="false">IF($C42=1,"Income tax "&amp;TEXT(N('Plan pay &amp; tax'!BK268),"#,##0")&amp;"; USC "&amp;TEXT(N('Plan pay &amp; tax'!BM268)+N('Plan pay &amp; tax'!BO268),"#,##0")&amp;"; PRSI "&amp;TEXT(N('Plan pay &amp; tax'!BP268)+N('Plan pay &amp; tax'!BQ268),"#,##0")&amp;". DIRT and exit tax are inside the growth rates here.","")</f>
        <v>Income tax 932; USC 0; PRSI 0. DIRT and exit tax are inside the growth rates here.</v>
      </c>
      <c r="F42" s="44" t="n">
        <f aca="false">'Plan pay &amp; tax'!E268</f>
        <v>1.96067603202202</v>
      </c>
      <c r="G42" s="20" t="n">
        <f aca="false">'Plan pay &amp; tax'!G268</f>
        <v>0</v>
      </c>
      <c r="H42" s="20" t="n">
        <f aca="false">'Plan pay &amp; tax'!BT268-'Plan pay &amp; tax'!BS268-'Plan pay &amp; tax'!R268</f>
        <v>73336.425902117</v>
      </c>
      <c r="I42" s="20" t="n">
        <f aca="false">IF(G42=1,F_CostsM*12,IF(RG_Exists=1,RG_Amount,F_CostsM*12*AS_RetireSpend))*F42+F_OneOffY*F42</f>
        <v>93720.3143306524</v>
      </c>
      <c r="J42" s="20" t="n">
        <f aca="false">HR41</f>
        <v>0</v>
      </c>
      <c r="K42" s="20" t="n">
        <f aca="false">IF(J42&gt;1,'Plan debt months'!AC42,0)</f>
        <v>0</v>
      </c>
      <c r="L42" s="20" t="n">
        <f aca="false">IF(J42&gt;1,'Plan debt months'!AB42,J42)</f>
        <v>0</v>
      </c>
      <c r="M42" s="20" t="n">
        <f aca="false">O41</f>
        <v>0</v>
      </c>
      <c r="N42" s="20" t="n">
        <f aca="false">IF(M42&gt;1,'Plan debt months'!BD42,0)</f>
        <v>0</v>
      </c>
      <c r="O42" s="20" t="n">
        <f aca="false">IF(M42&gt;1,'Plan debt months'!BC42,M42)</f>
        <v>0</v>
      </c>
      <c r="P42" s="20" t="n">
        <f aca="false">R41</f>
        <v>0</v>
      </c>
      <c r="Q42" s="20" t="n">
        <f aca="false">IF(P42&gt;1,'Plan debt months'!CE42,0)</f>
        <v>0</v>
      </c>
      <c r="R42" s="20" t="n">
        <f aca="false">IF(P42&gt;1,'Plan debt months'!CD42,P42)</f>
        <v>0</v>
      </c>
      <c r="S42" s="20" t="n">
        <f aca="false">K42+N42+Q42</f>
        <v>0</v>
      </c>
      <c r="T42" s="20" t="n">
        <f aca="false">QK41+'Plan pay &amp; tax'!Y268</f>
        <v>109263.802826093</v>
      </c>
      <c r="U42" s="20" t="n">
        <f aca="false">QK41</f>
        <v>109263.802826093</v>
      </c>
      <c r="V42" s="20" t="n">
        <f aca="false">IF(AND(Slot1_On=1,D42=Slot1_Age),1,0)</f>
        <v>0</v>
      </c>
      <c r="W42" s="20" t="n">
        <f aca="false">IF(AND(Slot1_On=1,Slot1_Age&gt;D42),1,0)</f>
        <v>0</v>
      </c>
      <c r="X42" s="20" t="n">
        <f aca="false">QM41</f>
        <v>0</v>
      </c>
      <c r="Y42" s="20" t="n">
        <f aca="false">V42*MIN(Slot1_Cost,X42)</f>
        <v>0</v>
      </c>
      <c r="Z42" s="20" t="n">
        <f aca="false">V42*Slot1_SpendLike*MIN(Slot1_Cost-Y42,T42)</f>
        <v>0</v>
      </c>
      <c r="AA42" s="20" t="n">
        <f aca="false">Y42+Z42</f>
        <v>0</v>
      </c>
      <c r="AB42" s="20" t="n">
        <f aca="false">T42-Z42+V42*IF(Slot1_SpendLike=1,X42-Y42,IF(Slot1_PotFree=1,X42,0))</f>
        <v>109263.802826093</v>
      </c>
      <c r="AC42" s="20" t="n">
        <f aca="false">AF42+V42*Slot1_BufPot*X42</f>
        <v>21457.3242291563</v>
      </c>
      <c r="AD42" s="20" t="n">
        <f aca="false">IF(AND(V42=1,Slot1_IsMfree=1),IF(AA42&gt;=Slot1_Cost-1,0,MAX(0,L42-AA42)),L42)</f>
        <v>0</v>
      </c>
      <c r="AE42" s="20" t="n">
        <f aca="false">V42*(Slot1_Cost-AA42)</f>
        <v>0</v>
      </c>
      <c r="AF42" s="20" t="n">
        <f aca="false">QL41</f>
        <v>21457.3242291563</v>
      </c>
      <c r="AG42" s="20" t="n">
        <f aca="false">IF(AND(Slot2_On=1,D42=Slot2_Age),1,0)</f>
        <v>0</v>
      </c>
      <c r="AH42" s="20" t="n">
        <f aca="false">IF(AND(Slot2_On=1,Slot2_Age&gt;D42),1,0)</f>
        <v>0</v>
      </c>
      <c r="AI42" s="20" t="n">
        <f aca="false">QQ41</f>
        <v>0</v>
      </c>
      <c r="AJ42" s="20" t="n">
        <f aca="false">AG42*MIN(Slot2_Cost,AI42)</f>
        <v>0</v>
      </c>
      <c r="AK42" s="20" t="n">
        <f aca="false">AG42*Slot2_SpendLike*MIN(Slot2_Cost-AJ42,AB42)</f>
        <v>0</v>
      </c>
      <c r="AL42" s="20" t="n">
        <f aca="false">AJ42+AK42</f>
        <v>0</v>
      </c>
      <c r="AM42" s="20" t="n">
        <f aca="false">AB42-AK42+AG42*IF(Slot2_SpendLike=1,AI42-AJ42,IF(Slot2_PotFree=1,AI42,0))</f>
        <v>109263.802826093</v>
      </c>
      <c r="AN42" s="20" t="n">
        <f aca="false">AC42+AG42*Slot2_BufPot*AI42</f>
        <v>21457.3242291563</v>
      </c>
      <c r="AO42" s="20" t="n">
        <f aca="false">IF(AND(AG42=1,Slot2_IsMfree=1),IF(AL42&gt;=Slot2_Cost-1,0,MAX(0,AD42-AL42)),AD42)</f>
        <v>0</v>
      </c>
      <c r="AP42" s="20" t="n">
        <f aca="false">AG42*(Slot2_Cost-AL42)</f>
        <v>0</v>
      </c>
      <c r="AQ42" s="20" t="n">
        <f aca="false">IF(AND(Slot3_On=1,D42=Slot3_Age),1,0)</f>
        <v>0</v>
      </c>
      <c r="AR42" s="20" t="n">
        <f aca="false">IF(AND(Slot3_On=1,Slot3_Age&gt;D42),1,0)</f>
        <v>0</v>
      </c>
      <c r="AS42" s="20" t="n">
        <f aca="false">QU41</f>
        <v>0</v>
      </c>
      <c r="AT42" s="20" t="n">
        <f aca="false">AQ42*MIN(Slot3_Cost,AS42)</f>
        <v>0</v>
      </c>
      <c r="AU42" s="20" t="n">
        <f aca="false">AQ42*Slot3_SpendLike*MIN(Slot3_Cost-AT42,AM42)</f>
        <v>0</v>
      </c>
      <c r="AV42" s="20" t="n">
        <f aca="false">AT42+AU42</f>
        <v>0</v>
      </c>
      <c r="AW42" s="20" t="n">
        <f aca="false">AM42-AU42+AQ42*IF(Slot3_SpendLike=1,AS42-AT42,IF(Slot3_PotFree=1,AS42,0))</f>
        <v>109263.802826093</v>
      </c>
      <c r="AX42" s="20" t="n">
        <f aca="false">AN42+AQ42*Slot3_BufPot*AS42</f>
        <v>21457.3242291563</v>
      </c>
      <c r="AY42" s="20" t="n">
        <f aca="false">IF(AND(AQ42=1,Slot3_IsMfree=1),IF(AV42&gt;=Slot3_Cost-1,0,MAX(0,AO42-AV42)),AO42)</f>
        <v>0</v>
      </c>
      <c r="AZ42" s="20" t="n">
        <f aca="false">AQ42*(Slot3_Cost-AV42)</f>
        <v>0</v>
      </c>
      <c r="BA42" s="20" t="n">
        <f aca="false">IF(AND(Slot4_On=1,D42=Slot4_Age),1,0)</f>
        <v>0</v>
      </c>
      <c r="BB42" s="20" t="n">
        <f aca="false">IF(AND(Slot4_On=1,Slot4_Age&gt;D42),1,0)</f>
        <v>0</v>
      </c>
      <c r="BC42" s="20" t="n">
        <f aca="false">QY41</f>
        <v>0</v>
      </c>
      <c r="BD42" s="20" t="n">
        <f aca="false">BA42*MIN(Slot4_Cost,BC42)</f>
        <v>0</v>
      </c>
      <c r="BE42" s="20" t="n">
        <f aca="false">BA42*Slot4_SpendLike*MIN(Slot4_Cost-BD42,AW42)</f>
        <v>0</v>
      </c>
      <c r="BF42" s="20" t="n">
        <f aca="false">BD42+BE42</f>
        <v>0</v>
      </c>
      <c r="BG42" s="20" t="n">
        <f aca="false">AW42-BE42+BA42*IF(Slot4_SpendLike=1,BC42-BD42,IF(Slot4_PotFree=1,BC42,0))</f>
        <v>109263.802826093</v>
      </c>
      <c r="BH42" s="20" t="n">
        <f aca="false">AX42+BA42*Slot4_BufPot*BC42</f>
        <v>21457.3242291563</v>
      </c>
      <c r="BI42" s="20" t="n">
        <f aca="false">IF(AND(BA42=1,Slot4_IsMfree=1),IF(BF42&gt;=Slot4_Cost-1,0,MAX(0,AY42-BF42)),AY42)</f>
        <v>0</v>
      </c>
      <c r="BJ42" s="20" t="n">
        <f aca="false">BA42*(Slot4_Cost-BF42)</f>
        <v>0</v>
      </c>
      <c r="BK42" s="20" t="n">
        <f aca="false">IF(AND(Slot5_On=1,D42=Slot5_Age),1,0)</f>
        <v>0</v>
      </c>
      <c r="BL42" s="20" t="n">
        <f aca="false">IF(AND(Slot5_On=1,Slot5_Age&gt;D42),1,0)</f>
        <v>0</v>
      </c>
      <c r="BM42" s="20" t="n">
        <f aca="false">RC41</f>
        <v>0</v>
      </c>
      <c r="BN42" s="20" t="n">
        <f aca="false">BK42*MIN(Slot5_Cost,BM42)</f>
        <v>0</v>
      </c>
      <c r="BO42" s="20" t="n">
        <f aca="false">BK42*Slot5_SpendLike*MIN(Slot5_Cost-BN42,BG42)</f>
        <v>0</v>
      </c>
      <c r="BP42" s="20" t="n">
        <f aca="false">BN42+BO42</f>
        <v>0</v>
      </c>
      <c r="BQ42" s="20" t="n">
        <f aca="false">BG42-BO42+BK42*IF(Slot5_SpendLike=1,BM42-BN42,IF(Slot5_PotFree=1,BM42,0))</f>
        <v>109263.802826093</v>
      </c>
      <c r="BR42" s="20" t="n">
        <f aca="false">BH42+BK42*Slot5_BufPot*BM42</f>
        <v>21457.3242291563</v>
      </c>
      <c r="BS42" s="20" t="n">
        <f aca="false">IF(AND(BK42=1,Slot5_IsMfree=1),IF(BP42&gt;=Slot5_Cost-1,0,MAX(0,BI42-BP42)),BI42)</f>
        <v>0</v>
      </c>
      <c r="BT42" s="20" t="n">
        <f aca="false">BK42*(Slot5_Cost-BP42)</f>
        <v>0</v>
      </c>
      <c r="BU42" s="20" t="n">
        <f aca="false">IF(AND(Slot6_On=1,D42=Slot6_Age),1,0)</f>
        <v>0</v>
      </c>
      <c r="BV42" s="20" t="n">
        <f aca="false">IF(AND(Slot6_On=1,Slot6_Age&gt;D42),1,0)</f>
        <v>0</v>
      </c>
      <c r="BW42" s="20" t="n">
        <f aca="false">RG41</f>
        <v>0</v>
      </c>
      <c r="BX42" s="20" t="n">
        <f aca="false">BU42*MIN(Slot6_Cost,BW42)</f>
        <v>0</v>
      </c>
      <c r="BY42" s="20" t="n">
        <f aca="false">BU42*Slot6_SpendLike*MIN(Slot6_Cost-BX42,BQ42)</f>
        <v>0</v>
      </c>
      <c r="BZ42" s="20" t="n">
        <f aca="false">BX42+BY42</f>
        <v>0</v>
      </c>
      <c r="CA42" s="20" t="n">
        <f aca="false">BQ42-BY42+BU42*IF(Slot6_SpendLike=1,BW42-BX42,IF(Slot6_PotFree=1,BW42,0))</f>
        <v>109263.802826093</v>
      </c>
      <c r="CB42" s="20" t="n">
        <f aca="false">BR42+BU42*Slot6_BufPot*BW42</f>
        <v>21457.3242291563</v>
      </c>
      <c r="CC42" s="20" t="n">
        <f aca="false">IF(AND(BU42=1,Slot6_IsMfree=1),IF(BZ42&gt;=Slot6_Cost-1,0,MAX(0,BS42-BZ42)),BS42)</f>
        <v>0</v>
      </c>
      <c r="CD42" s="20" t="n">
        <f aca="false">BU42*(Slot6_Cost-BZ42)</f>
        <v>0</v>
      </c>
      <c r="CE42" s="20" t="n">
        <f aca="false">IF(AND(Slot7_On=1,D42=Slot7_Age),1,0)</f>
        <v>0</v>
      </c>
      <c r="CF42" s="20" t="n">
        <f aca="false">IF(AND(Slot7_On=1,Slot7_Age&gt;D42),1,0)</f>
        <v>0</v>
      </c>
      <c r="CG42" s="20" t="n">
        <f aca="false">RK41</f>
        <v>0</v>
      </c>
      <c r="CH42" s="20" t="n">
        <f aca="false">CE42*MIN(Slot7_Cost,CG42)</f>
        <v>0</v>
      </c>
      <c r="CI42" s="20" t="n">
        <f aca="false">CE42*Slot7_SpendLike*MIN(Slot7_Cost-CH42,CA42)</f>
        <v>0</v>
      </c>
      <c r="CJ42" s="20" t="n">
        <f aca="false">CH42+CI42</f>
        <v>0</v>
      </c>
      <c r="CK42" s="20" t="n">
        <f aca="false">CA42-CI42+CE42*IF(Slot7_SpendLike=1,CG42-CH42,IF(Slot7_PotFree=1,CG42,0))</f>
        <v>109263.802826093</v>
      </c>
      <c r="CL42" s="20" t="n">
        <f aca="false">CB42+CE42*Slot7_BufPot*CG42</f>
        <v>21457.3242291563</v>
      </c>
      <c r="CM42" s="20" t="n">
        <f aca="false">IF(AND(CE42=1,Slot7_IsMfree=1),IF(CJ42&gt;=Slot7_Cost-1,0,MAX(0,CC42-CJ42)),CC42)</f>
        <v>0</v>
      </c>
      <c r="CN42" s="20" t="n">
        <f aca="false">CE42*(Slot7_Cost-CJ42)</f>
        <v>0</v>
      </c>
      <c r="CO42" s="20" t="n">
        <f aca="false">IF(AND(Slot8_On=1,D42=Slot8_Age),1,0)</f>
        <v>0</v>
      </c>
      <c r="CP42" s="20" t="n">
        <f aca="false">IF(AND(Slot8_On=1,Slot8_Age&gt;D42),1,0)</f>
        <v>0</v>
      </c>
      <c r="CQ42" s="20" t="n">
        <f aca="false">RO41</f>
        <v>0</v>
      </c>
      <c r="CR42" s="20" t="n">
        <f aca="false">CO42*MIN(Slot8_Cost,CQ42)</f>
        <v>0</v>
      </c>
      <c r="CS42" s="20" t="n">
        <f aca="false">CO42*Slot8_SpendLike*MIN(Slot8_Cost-CR42,CK42)</f>
        <v>0</v>
      </c>
      <c r="CT42" s="20" t="n">
        <f aca="false">CR42+CS42</f>
        <v>0</v>
      </c>
      <c r="CU42" s="20" t="n">
        <f aca="false">CK42-CS42+CO42*IF(Slot8_SpendLike=1,CQ42-CR42,IF(Slot8_PotFree=1,CQ42,0))</f>
        <v>109263.802826093</v>
      </c>
      <c r="CV42" s="20" t="n">
        <f aca="false">CL42+CO42*Slot8_BufPot*CQ42</f>
        <v>21457.3242291563</v>
      </c>
      <c r="CW42" s="20" t="n">
        <f aca="false">IF(AND(CO42=1,Slot8_IsMfree=1),IF(CT42&gt;=Slot8_Cost-1,0,MAX(0,CM42-CT42)),CM42)</f>
        <v>0</v>
      </c>
      <c r="CX42" s="20" t="n">
        <f aca="false">CO42*(Slot8_Cost-CT42)</f>
        <v>0</v>
      </c>
      <c r="CY42" s="20" t="n">
        <f aca="false">IF(AND(Slot9_On=1,D42=Slot9_Age),1,0)</f>
        <v>0</v>
      </c>
      <c r="CZ42" s="20" t="n">
        <f aca="false">IF(AND(Slot9_On=1,Slot9_Age&gt;D42),1,0)</f>
        <v>0</v>
      </c>
      <c r="DA42" s="20" t="n">
        <f aca="false">RS41</f>
        <v>0</v>
      </c>
      <c r="DB42" s="20" t="n">
        <f aca="false">CY42*MIN(Slot9_Cost,DA42)</f>
        <v>0</v>
      </c>
      <c r="DC42" s="20" t="n">
        <f aca="false">CY42*Slot9_SpendLike*MIN(Slot9_Cost-DB42,CU42)</f>
        <v>0</v>
      </c>
      <c r="DD42" s="20" t="n">
        <f aca="false">DB42+DC42</f>
        <v>0</v>
      </c>
      <c r="DE42" s="20" t="n">
        <f aca="false">CU42-DC42+CY42*IF(Slot9_SpendLike=1,DA42-DB42,IF(Slot9_PotFree=1,DA42,0))</f>
        <v>109263.802826093</v>
      </c>
      <c r="DF42" s="20" t="n">
        <f aca="false">CV42+CY42*Slot9_BufPot*DA42</f>
        <v>21457.3242291563</v>
      </c>
      <c r="DG42" s="20" t="n">
        <f aca="false">IF(AND(CY42=1,Slot9_IsMfree=1),IF(DD42&gt;=Slot9_Cost-1,0,MAX(0,CW42-DD42)),CW42)</f>
        <v>0</v>
      </c>
      <c r="DH42" s="20" t="n">
        <f aca="false">CY42*(Slot9_Cost-DD42)</f>
        <v>0</v>
      </c>
      <c r="DI42" s="20" t="n">
        <f aca="false">IF(AND(Slot10_On=1,D42=Slot10_Age),1,0)</f>
        <v>0</v>
      </c>
      <c r="DJ42" s="20" t="n">
        <f aca="false">IF(AND(Slot10_On=1,Slot10_Age&gt;D42),1,0)</f>
        <v>0</v>
      </c>
      <c r="DK42" s="20" t="n">
        <f aca="false">RW41</f>
        <v>0</v>
      </c>
      <c r="DL42" s="20" t="n">
        <f aca="false">DI42*MIN(Slot10_Cost,DK42)</f>
        <v>0</v>
      </c>
      <c r="DM42" s="20" t="n">
        <f aca="false">DI42*Slot10_SpendLike*MIN(Slot10_Cost-DL42,DE42)</f>
        <v>0</v>
      </c>
      <c r="DN42" s="20" t="n">
        <f aca="false">DL42+DM42</f>
        <v>0</v>
      </c>
      <c r="DO42" s="20" t="n">
        <f aca="false">DE42-DM42+DI42*IF(Slot10_SpendLike=1,DK42-DL42,IF(Slot10_PotFree=1,DK42,0))</f>
        <v>109263.802826093</v>
      </c>
      <c r="DP42" s="20" t="n">
        <f aca="false">DF42+DI42*Slot10_BufPot*DK42</f>
        <v>21457.3242291563</v>
      </c>
      <c r="DQ42" s="20" t="n">
        <f aca="false">IF(AND(DI42=1,Slot10_IsMfree=1),IF(DN42&gt;=Slot10_Cost-1,0,MAX(0,DG42-DN42)),DG42)</f>
        <v>0</v>
      </c>
      <c r="DR42" s="20" t="n">
        <f aca="false">DI42*(Slot10_Cost-DN42)</f>
        <v>0</v>
      </c>
      <c r="DS42" s="20" t="n">
        <f aca="false">IF(AND(Slot11_On=1,D42=Slot11_Age),1,0)</f>
        <v>0</v>
      </c>
      <c r="DT42" s="20" t="n">
        <f aca="false">IF(AND(Slot11_On=1,Slot11_Age&gt;D42),1,0)</f>
        <v>0</v>
      </c>
      <c r="DU42" s="20" t="n">
        <f aca="false">SA41</f>
        <v>0</v>
      </c>
      <c r="DV42" s="20" t="n">
        <f aca="false">DS42*MIN(Slot11_Cost,DU42)</f>
        <v>0</v>
      </c>
      <c r="DW42" s="20" t="n">
        <f aca="false">DS42*Slot11_SpendLike*MIN(Slot11_Cost-DV42,DO42)</f>
        <v>0</v>
      </c>
      <c r="DX42" s="20" t="n">
        <f aca="false">DV42+DW42</f>
        <v>0</v>
      </c>
      <c r="DY42" s="20" t="n">
        <f aca="false">DO42-DW42+DS42*IF(Slot11_SpendLike=1,DU42-DV42,IF(Slot11_PotFree=1,DU42,0))</f>
        <v>109263.802826093</v>
      </c>
      <c r="DZ42" s="20" t="n">
        <f aca="false">DP42+DS42*Slot11_BufPot*DU42</f>
        <v>21457.3242291563</v>
      </c>
      <c r="EA42" s="20" t="n">
        <f aca="false">IF(AND(DS42=1,Slot11_IsMfree=1),IF(DX42&gt;=Slot11_Cost-1,0,MAX(0,DQ42-DX42)),DQ42)</f>
        <v>0</v>
      </c>
      <c r="EB42" s="20" t="n">
        <f aca="false">DS42*(Slot11_Cost-DX42)</f>
        <v>0</v>
      </c>
      <c r="EC42" s="20" t="n">
        <f aca="false">IF(AND(Slot12_On=1,D42=Slot12_Age),1,0)</f>
        <v>0</v>
      </c>
      <c r="ED42" s="20" t="n">
        <f aca="false">IF(AND(Slot12_On=1,Slot12_Age&gt;D42),1,0)</f>
        <v>0</v>
      </c>
      <c r="EE42" s="20" t="n">
        <f aca="false">SE41</f>
        <v>0</v>
      </c>
      <c r="EF42" s="20" t="n">
        <f aca="false">EC42*MIN(Slot12_Cost,EE42)</f>
        <v>0</v>
      </c>
      <c r="EG42" s="20" t="n">
        <f aca="false">EC42*Slot12_SpendLike*MIN(Slot12_Cost-EF42,DY42)</f>
        <v>0</v>
      </c>
      <c r="EH42" s="20" t="n">
        <f aca="false">EF42+EG42</f>
        <v>0</v>
      </c>
      <c r="EI42" s="20" t="n">
        <f aca="false">DY42-EG42+EC42*IF(Slot12_SpendLike=1,EE42-EF42,IF(Slot12_PotFree=1,EE42,0))</f>
        <v>109263.802826093</v>
      </c>
      <c r="EJ42" s="20" t="n">
        <f aca="false">DZ42+EC42*Slot12_BufPot*EE42</f>
        <v>21457.3242291563</v>
      </c>
      <c r="EK42" s="20" t="n">
        <f aca="false">IF(AND(EC42=1,Slot12_IsMfree=1),IF(EH42&gt;=Slot12_Cost-1,0,MAX(0,EA42-EH42)),EA42)</f>
        <v>0</v>
      </c>
      <c r="EL42" s="20" t="n">
        <f aca="false">EC42*(Slot12_Cost-EH42)</f>
        <v>0</v>
      </c>
      <c r="EM42" s="20" t="n">
        <f aca="false">IF(AND(Slot13_On=1,D42=Slot13_Age),1,0)</f>
        <v>0</v>
      </c>
      <c r="EN42" s="20" t="n">
        <f aca="false">IF(AND(Slot13_On=1,Slot13_Age&gt;D42),1,0)</f>
        <v>0</v>
      </c>
      <c r="EO42" s="20" t="n">
        <f aca="false">SI41</f>
        <v>0</v>
      </c>
      <c r="EP42" s="20" t="n">
        <f aca="false">EM42*MIN(Slot13_Cost,EO42)</f>
        <v>0</v>
      </c>
      <c r="EQ42" s="20" t="n">
        <f aca="false">EM42*Slot13_SpendLike*MIN(Slot13_Cost-EP42,EI42)</f>
        <v>0</v>
      </c>
      <c r="ER42" s="20" t="n">
        <f aca="false">EP42+EQ42</f>
        <v>0</v>
      </c>
      <c r="ES42" s="20" t="n">
        <f aca="false">EI42-EQ42+EM42*IF(Slot13_SpendLike=1,EO42-EP42,IF(Slot13_PotFree=1,EO42,0))</f>
        <v>109263.802826093</v>
      </c>
      <c r="ET42" s="20" t="n">
        <f aca="false">EJ42+EM42*Slot13_BufPot*EO42</f>
        <v>21457.3242291563</v>
      </c>
      <c r="EU42" s="20" t="n">
        <f aca="false">IF(AND(EM42=1,Slot13_IsMfree=1),IF(ER42&gt;=Slot13_Cost-1,0,MAX(0,EK42-ER42)),EK42)</f>
        <v>0</v>
      </c>
      <c r="EV42" s="20" t="n">
        <f aca="false">EM42*(Slot13_Cost-ER42)</f>
        <v>0</v>
      </c>
      <c r="EW42" s="20" t="n">
        <f aca="false">IF(AND(Slot14_On=1,D42=Slot14_Age),1,0)</f>
        <v>0</v>
      </c>
      <c r="EX42" s="20" t="n">
        <f aca="false">IF(AND(Slot14_On=1,Slot14_Age&gt;D42),1,0)</f>
        <v>0</v>
      </c>
      <c r="EY42" s="20" t="n">
        <f aca="false">SM41</f>
        <v>0</v>
      </c>
      <c r="EZ42" s="20" t="n">
        <f aca="false">EW42*MIN(Slot14_Cost,EY42)</f>
        <v>0</v>
      </c>
      <c r="FA42" s="20" t="n">
        <f aca="false">EW42*Slot14_SpendLike*MIN(Slot14_Cost-EZ42,ES42)</f>
        <v>0</v>
      </c>
      <c r="FB42" s="20" t="n">
        <f aca="false">EZ42+FA42</f>
        <v>0</v>
      </c>
      <c r="FC42" s="20" t="n">
        <f aca="false">ES42-FA42+EW42*IF(Slot14_SpendLike=1,EY42-EZ42,IF(Slot14_PotFree=1,EY42,0))</f>
        <v>109263.802826093</v>
      </c>
      <c r="FD42" s="20" t="n">
        <f aca="false">ET42+EW42*Slot14_BufPot*EY42</f>
        <v>21457.3242291563</v>
      </c>
      <c r="FE42" s="20" t="n">
        <f aca="false">IF(AND(EW42=1,Slot14_IsMfree=1),IF(FB42&gt;=Slot14_Cost-1,0,MAX(0,EU42-FB42)),EU42)</f>
        <v>0</v>
      </c>
      <c r="FF42" s="20" t="n">
        <f aca="false">EW42*(Slot14_Cost-FB42)</f>
        <v>0</v>
      </c>
      <c r="FG42" s="20" t="n">
        <f aca="false">IF(AND(Slot15_On=1,D42=Slot15_Age),1,0)</f>
        <v>0</v>
      </c>
      <c r="FH42" s="20" t="n">
        <f aca="false">IF(AND(Slot15_On=1,Slot15_Age&gt;D42),1,0)</f>
        <v>0</v>
      </c>
      <c r="FI42" s="20" t="n">
        <f aca="false">SQ41</f>
        <v>0</v>
      </c>
      <c r="FJ42" s="20" t="n">
        <f aca="false">FG42*MIN(Slot15_Cost,FI42)</f>
        <v>0</v>
      </c>
      <c r="FK42" s="20" t="n">
        <f aca="false">FG42*Slot15_SpendLike*MIN(Slot15_Cost-FJ42,FC42)</f>
        <v>0</v>
      </c>
      <c r="FL42" s="20" t="n">
        <f aca="false">FJ42+FK42</f>
        <v>0</v>
      </c>
      <c r="FM42" s="20" t="n">
        <f aca="false">FC42-FK42+FG42*IF(Slot15_SpendLike=1,FI42-FJ42,IF(Slot15_PotFree=1,FI42,0))</f>
        <v>109263.802826093</v>
      </c>
      <c r="FN42" s="20" t="n">
        <f aca="false">FD42+FG42*Slot15_BufPot*FI42</f>
        <v>21457.3242291563</v>
      </c>
      <c r="FO42" s="20" t="n">
        <f aca="false">IF(AND(FG42=1,Slot15_IsMfree=1),IF(FL42&gt;=Slot15_Cost-1,0,MAX(0,FE42-FL42)),FE42)</f>
        <v>0</v>
      </c>
      <c r="FP42" s="20" t="n">
        <f aca="false">FG42*(Slot15_Cost-FL42)</f>
        <v>0</v>
      </c>
      <c r="FQ42" s="20" t="n">
        <f aca="false">IF(AND(Slot16_On=1,D42=Slot16_Age),1,0)</f>
        <v>0</v>
      </c>
      <c r="FR42" s="20" t="n">
        <f aca="false">IF(AND(Slot16_On=1,Slot16_Age&gt;D42),1,0)</f>
        <v>0</v>
      </c>
      <c r="FS42" s="20" t="n">
        <f aca="false">SU41</f>
        <v>0</v>
      </c>
      <c r="FT42" s="20" t="n">
        <f aca="false">FQ42*MIN(Slot16_Cost,FS42)</f>
        <v>0</v>
      </c>
      <c r="FU42" s="20" t="n">
        <f aca="false">FQ42*Slot16_SpendLike*MIN(Slot16_Cost-FT42,FM42)</f>
        <v>0</v>
      </c>
      <c r="FV42" s="20" t="n">
        <f aca="false">FT42+FU42</f>
        <v>0</v>
      </c>
      <c r="FW42" s="20" t="n">
        <f aca="false">FM42-FU42+FQ42*IF(Slot16_SpendLike=1,FS42-FT42,IF(Slot16_PotFree=1,FS42,0))</f>
        <v>109263.802826093</v>
      </c>
      <c r="FX42" s="20" t="n">
        <f aca="false">FN42+FQ42*Slot16_BufPot*FS42</f>
        <v>21457.3242291563</v>
      </c>
      <c r="FY42" s="20" t="n">
        <f aca="false">IF(AND(FQ42=1,Slot16_IsMfree=1),IF(FV42&gt;=Slot16_Cost-1,0,MAX(0,FO42-FV42)),FO42)</f>
        <v>0</v>
      </c>
      <c r="FZ42" s="20" t="n">
        <f aca="false">FQ42*(Slot16_Cost-FV42)</f>
        <v>0</v>
      </c>
      <c r="GA42" s="20" t="n">
        <f aca="false">IF(AND(Slot17_On=1,D42=Slot17_Age),1,0)</f>
        <v>0</v>
      </c>
      <c r="GB42" s="20" t="n">
        <f aca="false">IF(AND(Slot17_On=1,Slot17_Age&gt;D42),1,0)</f>
        <v>0</v>
      </c>
      <c r="GC42" s="20" t="n">
        <f aca="false">SY41</f>
        <v>0</v>
      </c>
      <c r="GD42" s="20" t="n">
        <f aca="false">GA42*MIN(Slot17_Cost,GC42)</f>
        <v>0</v>
      </c>
      <c r="GE42" s="20" t="n">
        <f aca="false">GA42*Slot17_SpendLike*MIN(Slot17_Cost-GD42,FW42)</f>
        <v>0</v>
      </c>
      <c r="GF42" s="20" t="n">
        <f aca="false">GD42+GE42</f>
        <v>0</v>
      </c>
      <c r="GG42" s="20" t="n">
        <f aca="false">FW42-GE42+GA42*IF(Slot17_SpendLike=1,GC42-GD42,IF(Slot17_PotFree=1,GC42,0))</f>
        <v>109263.802826093</v>
      </c>
      <c r="GH42" s="20" t="n">
        <f aca="false">FX42+GA42*Slot17_BufPot*GC42</f>
        <v>21457.3242291563</v>
      </c>
      <c r="GI42" s="20" t="n">
        <f aca="false">IF(AND(GA42=1,Slot17_IsMfree=1),IF(GF42&gt;=Slot17_Cost-1,0,MAX(0,FY42-GF42)),FY42)</f>
        <v>0</v>
      </c>
      <c r="GJ42" s="20" t="n">
        <f aca="false">GA42*(Slot17_Cost-GF42)</f>
        <v>0</v>
      </c>
      <c r="GK42" s="20" t="n">
        <f aca="false">IF(AND(Slot18_On=1,D42=Slot18_Age),1,0)</f>
        <v>0</v>
      </c>
      <c r="GL42" s="20" t="n">
        <f aca="false">IF(AND(Slot18_On=1,Slot18_Age&gt;D42),1,0)</f>
        <v>0</v>
      </c>
      <c r="GM42" s="20" t="n">
        <f aca="false">TC41</f>
        <v>0</v>
      </c>
      <c r="GN42" s="20" t="n">
        <f aca="false">GK42*MIN(Slot18_Cost,GM42)</f>
        <v>0</v>
      </c>
      <c r="GO42" s="20" t="n">
        <f aca="false">GK42*Slot18_SpendLike*MIN(Slot18_Cost-GN42,GG42)</f>
        <v>0</v>
      </c>
      <c r="GP42" s="20" t="n">
        <f aca="false">GN42+GO42</f>
        <v>0</v>
      </c>
      <c r="GQ42" s="20" t="n">
        <f aca="false">GG42-GO42+GK42*IF(Slot18_SpendLike=1,GM42-GN42,IF(Slot18_PotFree=1,GM42,0))</f>
        <v>109263.802826093</v>
      </c>
      <c r="GR42" s="20" t="n">
        <f aca="false">GH42+GK42*Slot18_BufPot*GM42</f>
        <v>21457.3242291563</v>
      </c>
      <c r="GS42" s="20" t="n">
        <f aca="false">IF(AND(GK42=1,Slot18_IsMfree=1),IF(GP42&gt;=Slot18_Cost-1,0,MAX(0,GI42-GP42)),GI42)</f>
        <v>0</v>
      </c>
      <c r="GT42" s="20" t="n">
        <f aca="false">GK42*(Slot18_Cost-GP42)</f>
        <v>0</v>
      </c>
      <c r="GU42" s="20" t="n">
        <f aca="false">IF(AND(Slot19_On=1,D42=Slot19_Age),1,0)</f>
        <v>0</v>
      </c>
      <c r="GV42" s="20" t="n">
        <f aca="false">IF(AND(Slot19_On=1,Slot19_Age&gt;D42),1,0)</f>
        <v>0</v>
      </c>
      <c r="GW42" s="20" t="n">
        <f aca="false">TG41</f>
        <v>0</v>
      </c>
      <c r="GX42" s="20" t="n">
        <f aca="false">GU42*MIN(Slot19_Cost,GW42)</f>
        <v>0</v>
      </c>
      <c r="GY42" s="20" t="n">
        <f aca="false">GU42*Slot19_SpendLike*MIN(Slot19_Cost-GX42,GQ42)</f>
        <v>0</v>
      </c>
      <c r="GZ42" s="20" t="n">
        <f aca="false">GX42+GY42</f>
        <v>0</v>
      </c>
      <c r="HA42" s="20" t="n">
        <f aca="false">GQ42-GY42+GU42*IF(Slot19_SpendLike=1,GW42-GX42,IF(Slot19_PotFree=1,GW42,0))</f>
        <v>109263.802826093</v>
      </c>
      <c r="HB42" s="20" t="n">
        <f aca="false">GR42+GU42*Slot19_BufPot*GW42</f>
        <v>21457.3242291563</v>
      </c>
      <c r="HC42" s="20" t="n">
        <f aca="false">IF(AND(GU42=1,Slot19_IsMfree=1),IF(GZ42&gt;=Slot19_Cost-1,0,MAX(0,GS42-GZ42)),GS42)</f>
        <v>0</v>
      </c>
      <c r="HD42" s="20" t="n">
        <f aca="false">GU42*(Slot19_Cost-GZ42)</f>
        <v>0</v>
      </c>
      <c r="HE42" s="20" t="n">
        <f aca="false">IF(AND(Slot20_On=1,D42=Slot20_Age),1,0)</f>
        <v>0</v>
      </c>
      <c r="HF42" s="20" t="n">
        <f aca="false">IF(AND(Slot20_On=1,Slot20_Age&gt;D42),1,0)</f>
        <v>0</v>
      </c>
      <c r="HG42" s="20" t="n">
        <f aca="false">TK41</f>
        <v>0</v>
      </c>
      <c r="HH42" s="20" t="n">
        <f aca="false">HE42*MIN(Slot20_Cost,HG42)</f>
        <v>0</v>
      </c>
      <c r="HI42" s="20" t="n">
        <f aca="false">HE42*Slot20_SpendLike*MIN(Slot20_Cost-HH42,HA42)</f>
        <v>0</v>
      </c>
      <c r="HJ42" s="20" t="n">
        <f aca="false">HH42+HI42</f>
        <v>0</v>
      </c>
      <c r="HK42" s="20" t="n">
        <f aca="false">HA42-HI42+HE42*IF(Slot20_SpendLike=1,HG42-HH42,IF(Slot20_PotFree=1,HG42,0))</f>
        <v>109263.802826093</v>
      </c>
      <c r="HL42" s="20" t="n">
        <f aca="false">HB42+HE42*Slot20_BufPot*HG42</f>
        <v>21457.3242291563</v>
      </c>
      <c r="HM42" s="20" t="n">
        <f aca="false">IF(AND(HE42=1,Slot20_IsMfree=1),IF(HJ42&gt;=Slot20_Cost-1,0,MAX(0,HC42-HJ42)),HC42)</f>
        <v>0</v>
      </c>
      <c r="HN42" s="20" t="n">
        <f aca="false">HE42*(Slot20_Cost-HJ42)</f>
        <v>0</v>
      </c>
      <c r="HO42" s="20" t="n">
        <f aca="false">V42*Slot1_SpendLike*AA42+AG42*Slot2_SpendLike*AL42+AQ42*Slot3_SpendLike*AV42+BA42*Slot4_SpendLike*BF42+BK42*Slot5_SpendLike*BP42+BU42*Slot6_SpendLike*BZ42+CE42*Slot7_SpendLike*CJ42+CO42*Slot8_SpendLike*CT42+CY42*Slot9_SpendLike*DD42+DI42*Slot10_SpendLike*DN42+DS42*Slot11_SpendLike*DX42+EC42*Slot12_SpendLike*EH42+EM42*Slot13_SpendLike*ER42+EW42*Slot14_SpendLike*FB42+FG42*Slot15_SpendLike*FL42+FQ42*Slot16_SpendLike*FV42+GA42*Slot17_SpendLike*GF42+GK42*Slot18_SpendLike*GP42+GU42*Slot19_SpendLike*GZ42+HE42*Slot20_SpendLike*HJ42</f>
        <v>0</v>
      </c>
      <c r="HP42" s="20" t="n">
        <f aca="false">AE42+AP42+AZ42+BJ42+BT42+CD42+CN42+CX42+DH42+DR42+EB42+EL42+EV42+FF42+FP42+FZ42+GJ42+GT42+HD42+HN42</f>
        <v>0</v>
      </c>
      <c r="HQ42" s="20" t="n">
        <f aca="false">V42*Slot1_Cost+AG42*Slot2_Cost+AQ42*Slot3_Cost+BA42*Slot4_Cost+BK42*Slot5_Cost+BU42*Slot6_Cost+CE42*Slot7_Cost+CO42*Slot8_Cost+CY42*Slot9_Cost+DI42*Slot10_Cost+DS42*Slot11_Cost+EC42*Slot12_Cost+EM42*Slot13_Cost+EW42*Slot14_Cost+FG42*Slot15_Cost+FQ42*Slot16_Cost+GA42*Slot17_Cost+GK42*Slot18_Cost+GU42*Slot19_Cost+HE42*Slot20_Cost</f>
        <v>0</v>
      </c>
      <c r="HR42" s="20" t="n">
        <f aca="false">HM42</f>
        <v>0</v>
      </c>
      <c r="HS42" s="20" t="n">
        <f aca="false">H42-I42-S42</f>
        <v>-20383.8884285354</v>
      </c>
      <c r="HT42" s="20" t="n">
        <f aca="false">IF(B42=0,IF(AND(Has_q6=1,In_q6=4),PR_ShareVaries*(MAX(0,HS42)/12),MIN(IF(Has_q6=1,CHOOSE(In_q6+1,PR_SaveB1,PR_SaveB2,PR_SaveB3,PR_SaveB4,0),AS_NoAnswer),AS_SaveShare*(MAX(0,HS42)/12))),HT41)</f>
        <v>62.3316893520437</v>
      </c>
      <c r="HU42" s="20" t="n">
        <f aca="false">IF(HS42&gt;=0,1,0)</f>
        <v>0</v>
      </c>
      <c r="HV42" s="20" t="n">
        <f aca="false">MAX(0,HS42/12/F42)</f>
        <v>0</v>
      </c>
      <c r="HW42" s="20" t="n">
        <f aca="false">IF(AND(Has_q6=1,In_q6=4),PR_ShareVaries*(HV42),MIN(IF(Has_q6=1,CHOOSE(In_q6+1,PR_SaveB1,PR_SaveB2,PR_SaveB3,PR_SaveB4,0),AS_NoAnswer),AS_SaveShare*(HV42)))</f>
        <v>0</v>
      </c>
      <c r="HX42" s="20" t="n">
        <f aca="false">IF(Has_saveM=1,IF(In_saveUp="Yes",1,IF(In_saveUp="No",0,IF(In_saveM&gt;=HT42-0.5,1,0))),0)</f>
        <v>0</v>
      </c>
      <c r="HY42" s="20" t="n">
        <f aca="false">IF(Has_saveM=1,MIN(HV42,IF(HX42=1,MAX(In_saveM,HW42),MIN(In_saveM,HW42))),HW42)</f>
        <v>0</v>
      </c>
      <c r="HZ42" s="20" t="n">
        <f aca="false">IF(G42=1,HY42*12*F42,0)</f>
        <v>0</v>
      </c>
      <c r="IA42" s="20" t="n">
        <f aca="false">MAX(0,HZ42+IF(AND(WI_Retire=0,WI_M&lt;0,G42=1),WI_M*12*F42,0))</f>
        <v>0</v>
      </c>
      <c r="IB42" s="20" t="n">
        <f aca="false">Slot1_IsWG*W42+Slot2_IsWG*AH42+Slot3_IsWG*AR42+Slot4_IsWG*BB42+Slot5_IsWG*BL42+Slot6_IsWG*BV42+Slot7_IsWG*CF42+Slot8_IsWG*CP42+Slot9_IsWG*CZ42+Slot10_IsWG*DJ42+Slot11_IsWG*DT42+Slot12_IsWG*ED42+Slot13_IsWG*EN42+Slot14_IsWG*EX42+Slot15_IsWG*FH42+Slot16_IsWG*FR42+Slot17_IsWG*GB42+Slot18_IsWG*GL42+Slot19_IsWG*GV42+Slot20_IsWG*HF42</f>
        <v>0</v>
      </c>
      <c r="IC42" s="20" t="n">
        <f aca="false">IF(AND(WI_Retire=0,WI_M&gt;0,G42=1,IB42&gt;=1),WI_M*12*F42,0)</f>
        <v>0</v>
      </c>
      <c r="ID42" s="20" t="n">
        <f aca="false">IF(HU42=1,MIN(IA42,HS42),0)</f>
        <v>0</v>
      </c>
      <c r="IE42" s="20" t="n">
        <f aca="false">IF(HU42=1,MIN(IC42,HS42-ID42),0)</f>
        <v>0</v>
      </c>
      <c r="IF42" s="20" t="n">
        <f aca="false">IF(W42=1,IF(ABS((1+AS_Wage)/(1+Slot1_Rate)-1)&lt;0.000000000001,(Slot1_Age-D42)*(1+Slot1_Rate)^(Slot1_Age-D42),(1+Slot1_Rate)^(Slot1_Age-D42)*(1-((1+AS_Wage)/(1+Slot1_Rate))^(Slot1_Age-D42))/(1-(1+AS_Wage)/(1+Slot1_Rate))),1)</f>
        <v>1</v>
      </c>
      <c r="IG42" s="20" t="n">
        <f aca="false">IF(AND(HU42=1,IE42&gt;0,Slot1_IsWG=1,W42=1),MAX(0,(Slot1_Cost-X42*(1+Slot1_Rate)^(Slot1_Age-D42))/IF42),0)</f>
        <v>0</v>
      </c>
      <c r="IH42" s="20" t="n">
        <f aca="false">IF(AND(HU42=1,IE42&gt;0,Slot1_IsWG=1,W42=1),MIN(IE42,IG42),0)</f>
        <v>0</v>
      </c>
      <c r="II42" s="20" t="n">
        <f aca="false">X42+IH42</f>
        <v>0</v>
      </c>
      <c r="IJ42" s="20" t="n">
        <f aca="false">IF(W42=1,MAX(0,(Slot1_Cost-II42*(1+Slot1_Rate)^(Slot1_Age-D42))/IF42),0)</f>
        <v>0</v>
      </c>
      <c r="IK42" s="20" t="n">
        <f aca="false">IF(W42=1,MAX(0,(Slot1_Cost-X42*(1+Slot1_Rate)^(Slot1_Age-D42))/IF42),0)</f>
        <v>0</v>
      </c>
      <c r="IL42" s="20" t="n">
        <f aca="false">IF(AND(HU42=1,W42=1),MIN(ID42,IJ42),0)</f>
        <v>0</v>
      </c>
      <c r="IM42" s="20" t="n">
        <f aca="false">ID42-IL42</f>
        <v>0</v>
      </c>
      <c r="IN42" s="20" t="n">
        <f aca="false">IF(AH42=1,IF(ABS((1+AS_Wage)/(1+Slot2_Rate)-1)&lt;0.000000000001,(Slot2_Age-D42)*(1+Slot2_Rate)^(Slot2_Age-D42),(1+Slot2_Rate)^(Slot2_Age-D42)*(1-((1+AS_Wage)/(1+Slot2_Rate))^(Slot2_Age-D42))/(1-(1+AS_Wage)/(1+Slot2_Rate))),1)</f>
        <v>1</v>
      </c>
      <c r="IO42" s="20" t="n">
        <f aca="false">IF(AND(HU42=1,IE42&gt;0,Slot2_IsWG=1,AH42=1),MAX(0,(Slot2_Cost-AI42*(1+Slot2_Rate)^(Slot2_Age-D42))/IN42),0)</f>
        <v>0</v>
      </c>
      <c r="IP42" s="20" t="n">
        <f aca="false">IF(AND(HU42=1,IE42&gt;0,Slot2_IsWG=1,AH42=1),MIN(IE42,IO42),0)</f>
        <v>0</v>
      </c>
      <c r="IQ42" s="20" t="n">
        <f aca="false">AI42+IP42</f>
        <v>0</v>
      </c>
      <c r="IR42" s="20" t="n">
        <f aca="false">IF(AH42=1,MAX(0,(Slot2_Cost-IQ42*(1+Slot2_Rate)^(Slot2_Age-D42))/IN42),0)</f>
        <v>0</v>
      </c>
      <c r="IS42" s="20" t="n">
        <f aca="false">IF(AH42=1,MAX(0,(Slot2_Cost-AI42*(1+Slot2_Rate)^(Slot2_Age-D42))/IN42),0)</f>
        <v>0</v>
      </c>
      <c r="IT42" s="20" t="n">
        <f aca="false">IF(AND(HU42=1,AH42=1),MIN(IM42,IR42),0)</f>
        <v>0</v>
      </c>
      <c r="IU42" s="20" t="n">
        <f aca="false">IM42-IT42</f>
        <v>0</v>
      </c>
      <c r="IV42" s="20" t="n">
        <f aca="false">IF(AR42=1,IF(ABS((1+AS_Wage)/(1+Slot3_Rate)-1)&lt;0.000000000001,(Slot3_Age-D42)*(1+Slot3_Rate)^(Slot3_Age-D42),(1+Slot3_Rate)^(Slot3_Age-D42)*(1-((1+AS_Wage)/(1+Slot3_Rate))^(Slot3_Age-D42))/(1-(1+AS_Wage)/(1+Slot3_Rate))),1)</f>
        <v>1</v>
      </c>
      <c r="IW42" s="20" t="n">
        <f aca="false">IF(AND(HU42=1,IE42&gt;0,Slot3_IsWG=1,AR42=1),MAX(0,(Slot3_Cost-AS42*(1+Slot3_Rate)^(Slot3_Age-D42))/IV42),0)</f>
        <v>0</v>
      </c>
      <c r="IX42" s="20" t="n">
        <f aca="false">IF(AND(HU42=1,IE42&gt;0,Slot3_IsWG=1,AR42=1),MIN(IE42,IW42),0)</f>
        <v>0</v>
      </c>
      <c r="IY42" s="20" t="n">
        <f aca="false">AS42+IX42</f>
        <v>0</v>
      </c>
      <c r="IZ42" s="20" t="n">
        <f aca="false">IF(AR42=1,MAX(0,(Slot3_Cost-IY42*(1+Slot3_Rate)^(Slot3_Age-D42))/IV42),0)</f>
        <v>0</v>
      </c>
      <c r="JA42" s="20" t="n">
        <f aca="false">IF(AR42=1,MAX(0,(Slot3_Cost-AS42*(1+Slot3_Rate)^(Slot3_Age-D42))/IV42),0)</f>
        <v>0</v>
      </c>
      <c r="JB42" s="20" t="n">
        <f aca="false">IF(AND(HU42=1,AR42=1),MIN(IU42,IZ42),0)</f>
        <v>0</v>
      </c>
      <c r="JC42" s="20" t="n">
        <f aca="false">IU42-JB42</f>
        <v>0</v>
      </c>
      <c r="JD42" s="20" t="n">
        <f aca="false">IF(BB42=1,IF(ABS((1+AS_Wage)/(1+Slot4_Rate)-1)&lt;0.000000000001,(Slot4_Age-D42)*(1+Slot4_Rate)^(Slot4_Age-D42),(1+Slot4_Rate)^(Slot4_Age-D42)*(1-((1+AS_Wage)/(1+Slot4_Rate))^(Slot4_Age-D42))/(1-(1+AS_Wage)/(1+Slot4_Rate))),1)</f>
        <v>1</v>
      </c>
      <c r="JE42" s="20" t="n">
        <f aca="false">IF(AND(HU42=1,IE42&gt;0,Slot4_IsWG=1,BB42=1),MAX(0,(Slot4_Cost-BC42*(1+Slot4_Rate)^(Slot4_Age-D42))/JD42),0)</f>
        <v>0</v>
      </c>
      <c r="JF42" s="20" t="n">
        <f aca="false">IF(AND(HU42=1,IE42&gt;0,Slot4_IsWG=1,BB42=1),MIN(IE42,JE42),0)</f>
        <v>0</v>
      </c>
      <c r="JG42" s="20" t="n">
        <f aca="false">BC42+JF42</f>
        <v>0</v>
      </c>
      <c r="JH42" s="20" t="n">
        <f aca="false">IF(BB42=1,MAX(0,(Slot4_Cost-JG42*(1+Slot4_Rate)^(Slot4_Age-D42))/JD42),0)</f>
        <v>0</v>
      </c>
      <c r="JI42" s="20" t="n">
        <f aca="false">IF(BB42=1,MAX(0,(Slot4_Cost-BC42*(1+Slot4_Rate)^(Slot4_Age-D42))/JD42),0)</f>
        <v>0</v>
      </c>
      <c r="JJ42" s="20" t="n">
        <f aca="false">IF(AND(HU42=1,BB42=1),MIN(JC42,JH42),0)</f>
        <v>0</v>
      </c>
      <c r="JK42" s="20" t="n">
        <f aca="false">JC42-JJ42</f>
        <v>0</v>
      </c>
      <c r="JL42" s="20" t="n">
        <f aca="false">IF(BL42=1,IF(ABS((1+AS_Wage)/(1+Slot5_Rate)-1)&lt;0.000000000001,(Slot5_Age-D42)*(1+Slot5_Rate)^(Slot5_Age-D42),(1+Slot5_Rate)^(Slot5_Age-D42)*(1-((1+AS_Wage)/(1+Slot5_Rate))^(Slot5_Age-D42))/(1-(1+AS_Wage)/(1+Slot5_Rate))),1)</f>
        <v>1</v>
      </c>
      <c r="JM42" s="20" t="n">
        <f aca="false">IF(AND(HU42=1,IE42&gt;0,Slot5_IsWG=1,BL42=1),MAX(0,(Slot5_Cost-BM42*(1+Slot5_Rate)^(Slot5_Age-D42))/JL42),0)</f>
        <v>0</v>
      </c>
      <c r="JN42" s="20" t="n">
        <f aca="false">IF(AND(HU42=1,IE42&gt;0,Slot5_IsWG=1,BL42=1),MIN(IE42,JM42),0)</f>
        <v>0</v>
      </c>
      <c r="JO42" s="20" t="n">
        <f aca="false">BM42+JN42</f>
        <v>0</v>
      </c>
      <c r="JP42" s="20" t="n">
        <f aca="false">IF(BL42=1,MAX(0,(Slot5_Cost-JO42*(1+Slot5_Rate)^(Slot5_Age-D42))/JL42),0)</f>
        <v>0</v>
      </c>
      <c r="JQ42" s="20" t="n">
        <f aca="false">IF(BL42=1,MAX(0,(Slot5_Cost-BM42*(1+Slot5_Rate)^(Slot5_Age-D42))/JL42),0)</f>
        <v>0</v>
      </c>
      <c r="JR42" s="20" t="n">
        <f aca="false">IF(AND(HU42=1,BL42=1),MIN(JK42,JP42),0)</f>
        <v>0</v>
      </c>
      <c r="JS42" s="20" t="n">
        <f aca="false">JK42-JR42</f>
        <v>0</v>
      </c>
      <c r="JT42" s="20" t="n">
        <f aca="false">IF(BV42=1,IF(ABS((1+AS_Wage)/(1+Slot6_Rate)-1)&lt;0.000000000001,(Slot6_Age-D42)*(1+Slot6_Rate)^(Slot6_Age-D42),(1+Slot6_Rate)^(Slot6_Age-D42)*(1-((1+AS_Wage)/(1+Slot6_Rate))^(Slot6_Age-D42))/(1-(1+AS_Wage)/(1+Slot6_Rate))),1)</f>
        <v>1</v>
      </c>
      <c r="JU42" s="20" t="n">
        <f aca="false">IF(AND(HU42=1,IE42&gt;0,Slot6_IsWG=1,BV42=1),MAX(0,(Slot6_Cost-BW42*(1+Slot6_Rate)^(Slot6_Age-D42))/JT42),0)</f>
        <v>0</v>
      </c>
      <c r="JV42" s="20" t="n">
        <f aca="false">IF(AND(HU42=1,IE42&gt;0,Slot6_IsWG=1,BV42=1),MIN(IE42,JU42),0)</f>
        <v>0</v>
      </c>
      <c r="JW42" s="20" t="n">
        <f aca="false">BW42+JV42</f>
        <v>0</v>
      </c>
      <c r="JX42" s="20" t="n">
        <f aca="false">IF(BV42=1,MAX(0,(Slot6_Cost-JW42*(1+Slot6_Rate)^(Slot6_Age-D42))/JT42),0)</f>
        <v>0</v>
      </c>
      <c r="JY42" s="20" t="n">
        <f aca="false">IF(BV42=1,MAX(0,(Slot6_Cost-BW42*(1+Slot6_Rate)^(Slot6_Age-D42))/JT42),0)</f>
        <v>0</v>
      </c>
      <c r="JZ42" s="20" t="n">
        <f aca="false">IF(AND(HU42=1,BV42=1),MIN(JS42,JX42),0)</f>
        <v>0</v>
      </c>
      <c r="KA42" s="20" t="n">
        <f aca="false">JS42-JZ42</f>
        <v>0</v>
      </c>
      <c r="KB42" s="20" t="n">
        <f aca="false">IF(CF42=1,IF(ABS((1+AS_Wage)/(1+Slot7_Rate)-1)&lt;0.000000000001,(Slot7_Age-D42)*(1+Slot7_Rate)^(Slot7_Age-D42),(1+Slot7_Rate)^(Slot7_Age-D42)*(1-((1+AS_Wage)/(1+Slot7_Rate))^(Slot7_Age-D42))/(1-(1+AS_Wage)/(1+Slot7_Rate))),1)</f>
        <v>1</v>
      </c>
      <c r="KC42" s="20" t="n">
        <f aca="false">IF(AND(HU42=1,IE42&gt;0,Slot7_IsWG=1,CF42=1),MAX(0,(Slot7_Cost-CG42*(1+Slot7_Rate)^(Slot7_Age-D42))/KB42),0)</f>
        <v>0</v>
      </c>
      <c r="KD42" s="20" t="n">
        <f aca="false">IF(AND(HU42=1,IE42&gt;0,Slot7_IsWG=1,CF42=1),MIN(IE42,KC42),0)</f>
        <v>0</v>
      </c>
      <c r="KE42" s="20" t="n">
        <f aca="false">CG42+KD42</f>
        <v>0</v>
      </c>
      <c r="KF42" s="20" t="n">
        <f aca="false">IF(CF42=1,MAX(0,(Slot7_Cost-KE42*(1+Slot7_Rate)^(Slot7_Age-D42))/KB42),0)</f>
        <v>0</v>
      </c>
      <c r="KG42" s="20" t="n">
        <f aca="false">IF(CF42=1,MAX(0,(Slot7_Cost-CG42*(1+Slot7_Rate)^(Slot7_Age-D42))/KB42),0)</f>
        <v>0</v>
      </c>
      <c r="KH42" s="20" t="n">
        <f aca="false">IF(AND(HU42=1,CF42=1),MIN(KA42,KF42),0)</f>
        <v>0</v>
      </c>
      <c r="KI42" s="20" t="n">
        <f aca="false">KA42-KH42</f>
        <v>0</v>
      </c>
      <c r="KJ42" s="20" t="n">
        <f aca="false">IF(CP42=1,IF(ABS((1+AS_Wage)/(1+Slot8_Rate)-1)&lt;0.000000000001,(Slot8_Age-D42)*(1+Slot8_Rate)^(Slot8_Age-D42),(1+Slot8_Rate)^(Slot8_Age-D42)*(1-((1+AS_Wage)/(1+Slot8_Rate))^(Slot8_Age-D42))/(1-(1+AS_Wage)/(1+Slot8_Rate))),1)</f>
        <v>1</v>
      </c>
      <c r="KK42" s="20" t="n">
        <f aca="false">IF(AND(HU42=1,IE42&gt;0,Slot8_IsWG=1,CP42=1),MAX(0,(Slot8_Cost-CQ42*(1+Slot8_Rate)^(Slot8_Age-D42))/KJ42),0)</f>
        <v>0</v>
      </c>
      <c r="KL42" s="20" t="n">
        <f aca="false">IF(AND(HU42=1,IE42&gt;0,Slot8_IsWG=1,CP42=1),MIN(IE42,KK42),0)</f>
        <v>0</v>
      </c>
      <c r="KM42" s="20" t="n">
        <f aca="false">CQ42+KL42</f>
        <v>0</v>
      </c>
      <c r="KN42" s="20" t="n">
        <f aca="false">IF(CP42=1,MAX(0,(Slot8_Cost-KM42*(1+Slot8_Rate)^(Slot8_Age-D42))/KJ42),0)</f>
        <v>0</v>
      </c>
      <c r="KO42" s="20" t="n">
        <f aca="false">IF(CP42=1,MAX(0,(Slot8_Cost-CQ42*(1+Slot8_Rate)^(Slot8_Age-D42))/KJ42),0)</f>
        <v>0</v>
      </c>
      <c r="KP42" s="20" t="n">
        <f aca="false">IF(AND(HU42=1,CP42=1),MIN(KI42,KN42),0)</f>
        <v>0</v>
      </c>
      <c r="KQ42" s="20" t="n">
        <f aca="false">KI42-KP42</f>
        <v>0</v>
      </c>
      <c r="KR42" s="20" t="n">
        <f aca="false">IF(CZ42=1,IF(ABS((1+AS_Wage)/(1+Slot9_Rate)-1)&lt;0.000000000001,(Slot9_Age-D42)*(1+Slot9_Rate)^(Slot9_Age-D42),(1+Slot9_Rate)^(Slot9_Age-D42)*(1-((1+AS_Wage)/(1+Slot9_Rate))^(Slot9_Age-D42))/(1-(1+AS_Wage)/(1+Slot9_Rate))),1)</f>
        <v>1</v>
      </c>
      <c r="KS42" s="20" t="n">
        <f aca="false">IF(AND(HU42=1,IE42&gt;0,Slot9_IsWG=1,CZ42=1),MAX(0,(Slot9_Cost-DA42*(1+Slot9_Rate)^(Slot9_Age-D42))/KR42),0)</f>
        <v>0</v>
      </c>
      <c r="KT42" s="20" t="n">
        <f aca="false">IF(AND(HU42=1,IE42&gt;0,Slot9_IsWG=1,CZ42=1),MIN(IE42,KS42),0)</f>
        <v>0</v>
      </c>
      <c r="KU42" s="20" t="n">
        <f aca="false">DA42+KT42</f>
        <v>0</v>
      </c>
      <c r="KV42" s="20" t="n">
        <f aca="false">IF(CZ42=1,MAX(0,(Slot9_Cost-KU42*(1+Slot9_Rate)^(Slot9_Age-D42))/KR42),0)</f>
        <v>0</v>
      </c>
      <c r="KW42" s="20" t="n">
        <f aca="false">IF(CZ42=1,MAX(0,(Slot9_Cost-DA42*(1+Slot9_Rate)^(Slot9_Age-D42))/KR42),0)</f>
        <v>0</v>
      </c>
      <c r="KX42" s="20" t="n">
        <f aca="false">IF(AND(HU42=1,CZ42=1),MIN(KQ42,KV42),0)</f>
        <v>0</v>
      </c>
      <c r="KY42" s="20" t="n">
        <f aca="false">KQ42-KX42</f>
        <v>0</v>
      </c>
      <c r="KZ42" s="20" t="n">
        <f aca="false">IF(DJ42=1,IF(ABS((1+AS_Wage)/(1+Slot10_Rate)-1)&lt;0.000000000001,(Slot10_Age-D42)*(1+Slot10_Rate)^(Slot10_Age-D42),(1+Slot10_Rate)^(Slot10_Age-D42)*(1-((1+AS_Wage)/(1+Slot10_Rate))^(Slot10_Age-D42))/(1-(1+AS_Wage)/(1+Slot10_Rate))),1)</f>
        <v>1</v>
      </c>
      <c r="LA42" s="20" t="n">
        <f aca="false">IF(AND(HU42=1,IE42&gt;0,Slot10_IsWG=1,DJ42=1),MAX(0,(Slot10_Cost-DK42*(1+Slot10_Rate)^(Slot10_Age-D42))/KZ42),0)</f>
        <v>0</v>
      </c>
      <c r="LB42" s="20" t="n">
        <f aca="false">IF(AND(HU42=1,IE42&gt;0,Slot10_IsWG=1,DJ42=1),MIN(IE42,LA42),0)</f>
        <v>0</v>
      </c>
      <c r="LC42" s="20" t="n">
        <f aca="false">DK42+LB42</f>
        <v>0</v>
      </c>
      <c r="LD42" s="20" t="n">
        <f aca="false">IF(DJ42=1,MAX(0,(Slot10_Cost-LC42*(1+Slot10_Rate)^(Slot10_Age-D42))/KZ42),0)</f>
        <v>0</v>
      </c>
      <c r="LE42" s="20" t="n">
        <f aca="false">IF(DJ42=1,MAX(0,(Slot10_Cost-DK42*(1+Slot10_Rate)^(Slot10_Age-D42))/KZ42),0)</f>
        <v>0</v>
      </c>
      <c r="LF42" s="20" t="n">
        <f aca="false">IF(AND(HU42=1,DJ42=1),MIN(KY42,LD42),0)</f>
        <v>0</v>
      </c>
      <c r="LG42" s="20" t="n">
        <f aca="false">KY42-LF42</f>
        <v>0</v>
      </c>
      <c r="LH42" s="20" t="n">
        <f aca="false">IF(DT42=1,IF(ABS((1+AS_Wage)/(1+Slot11_Rate)-1)&lt;0.000000000001,(Slot11_Age-D42)*(1+Slot11_Rate)^(Slot11_Age-D42),(1+Slot11_Rate)^(Slot11_Age-D42)*(1-((1+AS_Wage)/(1+Slot11_Rate))^(Slot11_Age-D42))/(1-(1+AS_Wage)/(1+Slot11_Rate))),1)</f>
        <v>1</v>
      </c>
      <c r="LI42" s="20" t="n">
        <f aca="false">IF(AND(HU42=1,IE42&gt;0,Slot11_IsWG=1,DT42=1),MAX(0,(Slot11_Cost-DU42*(1+Slot11_Rate)^(Slot11_Age-D42))/LH42),0)</f>
        <v>0</v>
      </c>
      <c r="LJ42" s="20" t="n">
        <f aca="false">IF(AND(HU42=1,IE42&gt;0,Slot11_IsWG=1,DT42=1),MIN(IE42,LI42),0)</f>
        <v>0</v>
      </c>
      <c r="LK42" s="20" t="n">
        <f aca="false">DU42+LJ42</f>
        <v>0</v>
      </c>
      <c r="LL42" s="20" t="n">
        <f aca="false">IF(DT42=1,MAX(0,(Slot11_Cost-LK42*(1+Slot11_Rate)^(Slot11_Age-D42))/LH42),0)</f>
        <v>0</v>
      </c>
      <c r="LM42" s="20" t="n">
        <f aca="false">IF(DT42=1,MAX(0,(Slot11_Cost-DU42*(1+Slot11_Rate)^(Slot11_Age-D42))/LH42),0)</f>
        <v>0</v>
      </c>
      <c r="LN42" s="20" t="n">
        <f aca="false">IF(AND(HU42=1,DT42=1),MIN(LG42,LL42),0)</f>
        <v>0</v>
      </c>
      <c r="LO42" s="20" t="n">
        <f aca="false">LG42-LN42</f>
        <v>0</v>
      </c>
      <c r="LP42" s="20" t="n">
        <f aca="false">IF(ED42=1,IF(ABS((1+AS_Wage)/(1+Slot12_Rate)-1)&lt;0.000000000001,(Slot12_Age-D42)*(1+Slot12_Rate)^(Slot12_Age-D42),(1+Slot12_Rate)^(Slot12_Age-D42)*(1-((1+AS_Wage)/(1+Slot12_Rate))^(Slot12_Age-D42))/(1-(1+AS_Wage)/(1+Slot12_Rate))),1)</f>
        <v>1</v>
      </c>
      <c r="LQ42" s="20" t="n">
        <f aca="false">IF(AND(HU42=1,IE42&gt;0,Slot12_IsWG=1,ED42=1),MAX(0,(Slot12_Cost-EE42*(1+Slot12_Rate)^(Slot12_Age-D42))/LP42),0)</f>
        <v>0</v>
      </c>
      <c r="LR42" s="20" t="n">
        <f aca="false">IF(AND(HU42=1,IE42&gt;0,Slot12_IsWG=1,ED42=1),MIN(IE42,LQ42),0)</f>
        <v>0</v>
      </c>
      <c r="LS42" s="20" t="n">
        <f aca="false">EE42+LR42</f>
        <v>0</v>
      </c>
      <c r="LT42" s="20" t="n">
        <f aca="false">IF(ED42=1,MAX(0,(Slot12_Cost-LS42*(1+Slot12_Rate)^(Slot12_Age-D42))/LP42),0)</f>
        <v>0</v>
      </c>
      <c r="LU42" s="20" t="n">
        <f aca="false">IF(ED42=1,MAX(0,(Slot12_Cost-EE42*(1+Slot12_Rate)^(Slot12_Age-D42))/LP42),0)</f>
        <v>0</v>
      </c>
      <c r="LV42" s="20" t="n">
        <f aca="false">IF(AND(HU42=1,ED42=1),MIN(LO42,LT42),0)</f>
        <v>0</v>
      </c>
      <c r="LW42" s="20" t="n">
        <f aca="false">LO42-LV42</f>
        <v>0</v>
      </c>
      <c r="LX42" s="20" t="n">
        <f aca="false">IF(EN42=1,IF(ABS((1+AS_Wage)/(1+Slot13_Rate)-1)&lt;0.000000000001,(Slot13_Age-D42)*(1+Slot13_Rate)^(Slot13_Age-D42),(1+Slot13_Rate)^(Slot13_Age-D42)*(1-((1+AS_Wage)/(1+Slot13_Rate))^(Slot13_Age-D42))/(1-(1+AS_Wage)/(1+Slot13_Rate))),1)</f>
        <v>1</v>
      </c>
      <c r="LY42" s="20" t="n">
        <f aca="false">IF(AND(HU42=1,IE42&gt;0,Slot13_IsWG=1,EN42=1),MAX(0,(Slot13_Cost-EO42*(1+Slot13_Rate)^(Slot13_Age-D42))/LX42),0)</f>
        <v>0</v>
      </c>
      <c r="LZ42" s="20" t="n">
        <f aca="false">IF(AND(HU42=1,IE42&gt;0,Slot13_IsWG=1,EN42=1),MIN(IE42,LY42),0)</f>
        <v>0</v>
      </c>
      <c r="MA42" s="20" t="n">
        <f aca="false">EO42+LZ42</f>
        <v>0</v>
      </c>
      <c r="MB42" s="20" t="n">
        <f aca="false">IF(EN42=1,MAX(0,(Slot13_Cost-MA42*(1+Slot13_Rate)^(Slot13_Age-D42))/LX42),0)</f>
        <v>0</v>
      </c>
      <c r="MC42" s="20" t="n">
        <f aca="false">IF(EN42=1,MAX(0,(Slot13_Cost-EO42*(1+Slot13_Rate)^(Slot13_Age-D42))/LX42),0)</f>
        <v>0</v>
      </c>
      <c r="MD42" s="20" t="n">
        <f aca="false">IF(AND(HU42=1,EN42=1),MIN(LW42,MB42),0)</f>
        <v>0</v>
      </c>
      <c r="ME42" s="20" t="n">
        <f aca="false">LW42-MD42</f>
        <v>0</v>
      </c>
      <c r="MF42" s="20" t="n">
        <f aca="false">IF(EX42=1,IF(ABS((1+AS_Wage)/(1+Slot14_Rate)-1)&lt;0.000000000001,(Slot14_Age-D42)*(1+Slot14_Rate)^(Slot14_Age-D42),(1+Slot14_Rate)^(Slot14_Age-D42)*(1-((1+AS_Wage)/(1+Slot14_Rate))^(Slot14_Age-D42))/(1-(1+AS_Wage)/(1+Slot14_Rate))),1)</f>
        <v>1</v>
      </c>
      <c r="MG42" s="20" t="n">
        <f aca="false">IF(AND(HU42=1,IE42&gt;0,Slot14_IsWG=1,EX42=1),MAX(0,(Slot14_Cost-EY42*(1+Slot14_Rate)^(Slot14_Age-D42))/MF42),0)</f>
        <v>0</v>
      </c>
      <c r="MH42" s="20" t="n">
        <f aca="false">IF(AND(HU42=1,IE42&gt;0,Slot14_IsWG=1,EX42=1),MIN(IE42,MG42),0)</f>
        <v>0</v>
      </c>
      <c r="MI42" s="20" t="n">
        <f aca="false">EY42+MH42</f>
        <v>0</v>
      </c>
      <c r="MJ42" s="20" t="n">
        <f aca="false">IF(EX42=1,MAX(0,(Slot14_Cost-MI42*(1+Slot14_Rate)^(Slot14_Age-D42))/MF42),0)</f>
        <v>0</v>
      </c>
      <c r="MK42" s="20" t="n">
        <f aca="false">IF(EX42=1,MAX(0,(Slot14_Cost-EY42*(1+Slot14_Rate)^(Slot14_Age-D42))/MF42),0)</f>
        <v>0</v>
      </c>
      <c r="ML42" s="20" t="n">
        <f aca="false">IF(AND(HU42=1,EX42=1),MIN(ME42,MJ42),0)</f>
        <v>0</v>
      </c>
      <c r="MM42" s="20" t="n">
        <f aca="false">ME42-ML42</f>
        <v>0</v>
      </c>
      <c r="MN42" s="20" t="n">
        <f aca="false">IF(FH42=1,IF(ABS((1+AS_Wage)/(1+Slot15_Rate)-1)&lt;0.000000000001,(Slot15_Age-D42)*(1+Slot15_Rate)^(Slot15_Age-D42),(1+Slot15_Rate)^(Slot15_Age-D42)*(1-((1+AS_Wage)/(1+Slot15_Rate))^(Slot15_Age-D42))/(1-(1+AS_Wage)/(1+Slot15_Rate))),1)</f>
        <v>1</v>
      </c>
      <c r="MO42" s="20" t="n">
        <f aca="false">IF(AND(HU42=1,IE42&gt;0,Slot15_IsWG=1,FH42=1),MAX(0,(Slot15_Cost-FI42*(1+Slot15_Rate)^(Slot15_Age-D42))/MN42),0)</f>
        <v>0</v>
      </c>
      <c r="MP42" s="20" t="n">
        <f aca="false">IF(AND(HU42=1,IE42&gt;0,Slot15_IsWG=1,FH42=1),MIN(IE42,MO42),0)</f>
        <v>0</v>
      </c>
      <c r="MQ42" s="20" t="n">
        <f aca="false">FI42+MP42</f>
        <v>0</v>
      </c>
      <c r="MR42" s="20" t="n">
        <f aca="false">IF(FH42=1,MAX(0,(Slot15_Cost-MQ42*(1+Slot15_Rate)^(Slot15_Age-D42))/MN42),0)</f>
        <v>0</v>
      </c>
      <c r="MS42" s="20" t="n">
        <f aca="false">IF(FH42=1,MAX(0,(Slot15_Cost-FI42*(1+Slot15_Rate)^(Slot15_Age-D42))/MN42),0)</f>
        <v>0</v>
      </c>
      <c r="MT42" s="20" t="n">
        <f aca="false">IF(AND(HU42=1,FH42=1),MIN(MM42,MR42),0)</f>
        <v>0</v>
      </c>
      <c r="MU42" s="20" t="n">
        <f aca="false">MM42-MT42</f>
        <v>0</v>
      </c>
      <c r="MV42" s="20" t="n">
        <f aca="false">IF(FR42=1,IF(ABS((1+AS_Wage)/(1+Slot16_Rate)-1)&lt;0.000000000001,(Slot16_Age-D42)*(1+Slot16_Rate)^(Slot16_Age-D42),(1+Slot16_Rate)^(Slot16_Age-D42)*(1-((1+AS_Wage)/(1+Slot16_Rate))^(Slot16_Age-D42))/(1-(1+AS_Wage)/(1+Slot16_Rate))),1)</f>
        <v>1</v>
      </c>
      <c r="MW42" s="20" t="n">
        <f aca="false">IF(AND(HU42=1,IE42&gt;0,Slot16_IsWG=1,FR42=1),MAX(0,(Slot16_Cost-FS42*(1+Slot16_Rate)^(Slot16_Age-D42))/MV42),0)</f>
        <v>0</v>
      </c>
      <c r="MX42" s="20" t="n">
        <f aca="false">IF(AND(HU42=1,IE42&gt;0,Slot16_IsWG=1,FR42=1),MIN(IE42,MW42),0)</f>
        <v>0</v>
      </c>
      <c r="MY42" s="20" t="n">
        <f aca="false">FS42+MX42</f>
        <v>0</v>
      </c>
      <c r="MZ42" s="20" t="n">
        <f aca="false">IF(FR42=1,MAX(0,(Slot16_Cost-MY42*(1+Slot16_Rate)^(Slot16_Age-D42))/MV42),0)</f>
        <v>0</v>
      </c>
      <c r="NA42" s="20" t="n">
        <f aca="false">IF(FR42=1,MAX(0,(Slot16_Cost-FS42*(1+Slot16_Rate)^(Slot16_Age-D42))/MV42),0)</f>
        <v>0</v>
      </c>
      <c r="NB42" s="20" t="n">
        <f aca="false">IF(AND(HU42=1,FR42=1),MIN(MU42,MZ42),0)</f>
        <v>0</v>
      </c>
      <c r="NC42" s="20" t="n">
        <f aca="false">MU42-NB42</f>
        <v>0</v>
      </c>
      <c r="ND42" s="20" t="n">
        <f aca="false">IF(GB42=1,IF(ABS((1+AS_Wage)/(1+Slot17_Rate)-1)&lt;0.000000000001,(Slot17_Age-D42)*(1+Slot17_Rate)^(Slot17_Age-D42),(1+Slot17_Rate)^(Slot17_Age-D42)*(1-((1+AS_Wage)/(1+Slot17_Rate))^(Slot17_Age-D42))/(1-(1+AS_Wage)/(1+Slot17_Rate))),1)</f>
        <v>1</v>
      </c>
      <c r="NE42" s="20" t="n">
        <f aca="false">IF(AND(HU42=1,IE42&gt;0,Slot17_IsWG=1,GB42=1),MAX(0,(Slot17_Cost-GC42*(1+Slot17_Rate)^(Slot17_Age-D42))/ND42),0)</f>
        <v>0</v>
      </c>
      <c r="NF42" s="20" t="n">
        <f aca="false">IF(AND(HU42=1,IE42&gt;0,Slot17_IsWG=1,GB42=1),MIN(IE42,NE42),0)</f>
        <v>0</v>
      </c>
      <c r="NG42" s="20" t="n">
        <f aca="false">GC42+NF42</f>
        <v>0</v>
      </c>
      <c r="NH42" s="20" t="n">
        <f aca="false">IF(GB42=1,MAX(0,(Slot17_Cost-NG42*(1+Slot17_Rate)^(Slot17_Age-D42))/ND42),0)</f>
        <v>0</v>
      </c>
      <c r="NI42" s="20" t="n">
        <f aca="false">IF(GB42=1,MAX(0,(Slot17_Cost-GC42*(1+Slot17_Rate)^(Slot17_Age-D42))/ND42),0)</f>
        <v>0</v>
      </c>
      <c r="NJ42" s="20" t="n">
        <f aca="false">IF(AND(HU42=1,GB42=1),MIN(NC42,NH42),0)</f>
        <v>0</v>
      </c>
      <c r="NK42" s="20" t="n">
        <f aca="false">NC42-NJ42</f>
        <v>0</v>
      </c>
      <c r="NL42" s="20" t="n">
        <f aca="false">IF(GL42=1,IF(ABS((1+AS_Wage)/(1+Slot18_Rate)-1)&lt;0.000000000001,(Slot18_Age-D42)*(1+Slot18_Rate)^(Slot18_Age-D42),(1+Slot18_Rate)^(Slot18_Age-D42)*(1-((1+AS_Wage)/(1+Slot18_Rate))^(Slot18_Age-D42))/(1-(1+AS_Wage)/(1+Slot18_Rate))),1)</f>
        <v>1</v>
      </c>
      <c r="NM42" s="20" t="n">
        <f aca="false">IF(AND(HU42=1,IE42&gt;0,Slot18_IsWG=1,GL42=1),MAX(0,(Slot18_Cost-GM42*(1+Slot18_Rate)^(Slot18_Age-D42))/NL42),0)</f>
        <v>0</v>
      </c>
      <c r="NN42" s="20" t="n">
        <f aca="false">IF(AND(HU42=1,IE42&gt;0,Slot18_IsWG=1,GL42=1),MIN(IE42,NM42),0)</f>
        <v>0</v>
      </c>
      <c r="NO42" s="20" t="n">
        <f aca="false">GM42+NN42</f>
        <v>0</v>
      </c>
      <c r="NP42" s="20" t="n">
        <f aca="false">IF(GL42=1,MAX(0,(Slot18_Cost-NO42*(1+Slot18_Rate)^(Slot18_Age-D42))/NL42),0)</f>
        <v>0</v>
      </c>
      <c r="NQ42" s="20" t="n">
        <f aca="false">IF(GL42=1,MAX(0,(Slot18_Cost-GM42*(1+Slot18_Rate)^(Slot18_Age-D42))/NL42),0)</f>
        <v>0</v>
      </c>
      <c r="NR42" s="20" t="n">
        <f aca="false">IF(AND(HU42=1,GL42=1),MIN(NK42,NP42),0)</f>
        <v>0</v>
      </c>
      <c r="NS42" s="20" t="n">
        <f aca="false">NK42-NR42</f>
        <v>0</v>
      </c>
      <c r="NT42" s="20" t="n">
        <f aca="false">IF(GV42=1,IF(ABS((1+AS_Wage)/(1+Slot19_Rate)-1)&lt;0.000000000001,(Slot19_Age-D42)*(1+Slot19_Rate)^(Slot19_Age-D42),(1+Slot19_Rate)^(Slot19_Age-D42)*(1-((1+AS_Wage)/(1+Slot19_Rate))^(Slot19_Age-D42))/(1-(1+AS_Wage)/(1+Slot19_Rate))),1)</f>
        <v>1</v>
      </c>
      <c r="NU42" s="20" t="n">
        <f aca="false">IF(AND(HU42=1,IE42&gt;0,Slot19_IsWG=1,GV42=1),MAX(0,(Slot19_Cost-GW42*(1+Slot19_Rate)^(Slot19_Age-D42))/NT42),0)</f>
        <v>0</v>
      </c>
      <c r="NV42" s="20" t="n">
        <f aca="false">IF(AND(HU42=1,IE42&gt;0,Slot19_IsWG=1,GV42=1),MIN(IE42,NU42),0)</f>
        <v>0</v>
      </c>
      <c r="NW42" s="20" t="n">
        <f aca="false">GW42+NV42</f>
        <v>0</v>
      </c>
      <c r="NX42" s="20" t="n">
        <f aca="false">IF(GV42=1,MAX(0,(Slot19_Cost-NW42*(1+Slot19_Rate)^(Slot19_Age-D42))/NT42),0)</f>
        <v>0</v>
      </c>
      <c r="NY42" s="20" t="n">
        <f aca="false">IF(GV42=1,MAX(0,(Slot19_Cost-GW42*(1+Slot19_Rate)^(Slot19_Age-D42))/NT42),0)</f>
        <v>0</v>
      </c>
      <c r="NZ42" s="20" t="n">
        <f aca="false">IF(AND(HU42=1,GV42=1),MIN(NS42,NX42),0)</f>
        <v>0</v>
      </c>
      <c r="OA42" s="20" t="n">
        <f aca="false">NS42-NZ42</f>
        <v>0</v>
      </c>
      <c r="OB42" s="20" t="n">
        <f aca="false">IF(HF42=1,IF(ABS((1+AS_Wage)/(1+Slot20_Rate)-1)&lt;0.000000000001,(Slot20_Age-D42)*(1+Slot20_Rate)^(Slot20_Age-D42),(1+Slot20_Rate)^(Slot20_Age-D42)*(1-((1+AS_Wage)/(1+Slot20_Rate))^(Slot20_Age-D42))/(1-(1+AS_Wage)/(1+Slot20_Rate))),1)</f>
        <v>1</v>
      </c>
      <c r="OC42" s="20" t="n">
        <f aca="false">IF(AND(HU42=1,IE42&gt;0,Slot20_IsWG=1,HF42=1),MAX(0,(Slot20_Cost-HG42*(1+Slot20_Rate)^(Slot20_Age-D42))/OB42),0)</f>
        <v>0</v>
      </c>
      <c r="OD42" s="20" t="n">
        <f aca="false">IF(AND(HU42=1,IE42&gt;0,Slot20_IsWG=1,HF42=1),MIN(IE42,OC42),0)</f>
        <v>0</v>
      </c>
      <c r="OE42" s="20" t="n">
        <f aca="false">HG42+OD42</f>
        <v>0</v>
      </c>
      <c r="OF42" s="20" t="n">
        <f aca="false">IF(HF42=1,MAX(0,(Slot20_Cost-OE42*(1+Slot20_Rate)^(Slot20_Age-D42))/OB42),0)</f>
        <v>0</v>
      </c>
      <c r="OG42" s="20" t="n">
        <f aca="false">IF(HF42=1,MAX(0,(Slot20_Cost-HG42*(1+Slot20_Rate)^(Slot20_Age-D42))/OB42),0)</f>
        <v>0</v>
      </c>
      <c r="OH42" s="20" t="n">
        <f aca="false">IF(AND(HU42=1,HF42=1),MIN(OA42,OF42),0)</f>
        <v>0</v>
      </c>
      <c r="OI42" s="20" t="n">
        <f aca="false">OA42-OH42</f>
        <v>0</v>
      </c>
      <c r="OJ42" s="20" t="n">
        <f aca="false">IE42-(IH42+IP42+IX42+JF42+JN42+JV42+KD42+KL42+KT42+LB42+LJ42+LR42+LZ42+MH42+MP42+MX42+NF42+NN42+NV42+OD42)</f>
        <v>0</v>
      </c>
      <c r="OK42" s="20" t="n">
        <f aca="false">IF(HU42=1,HS42-ID42-IE42,0)</f>
        <v>0</v>
      </c>
      <c r="OL42" s="20" t="n">
        <f aca="false">IF(HU42=0,-HS42,0)</f>
        <v>20383.8884285354</v>
      </c>
      <c r="OM42" s="20" t="n">
        <f aca="false">MIN(OL42,HK42)</f>
        <v>20383.8884285354</v>
      </c>
      <c r="ON42" s="20" t="n">
        <f aca="false">OL42-OM42</f>
        <v>0</v>
      </c>
      <c r="OO42" s="20" t="n">
        <f aca="false">MIN(ON42,HL42)</f>
        <v>0</v>
      </c>
      <c r="OP42" s="20" t="n">
        <f aca="false">ON42-OO42</f>
        <v>0</v>
      </c>
      <c r="OQ42" s="20" t="n">
        <f aca="false">IF(AND(HU42=0,HF42=1,OP42&gt;0),MIN(OP42,HG42),0)</f>
        <v>0</v>
      </c>
      <c r="OR42" s="20" t="n">
        <f aca="false">OP42-OQ42</f>
        <v>0</v>
      </c>
      <c r="OS42" s="20" t="n">
        <f aca="false">IF(AND(HU42=0,GV42=1,OR42&gt;0),MIN(OR42,GW42),0)</f>
        <v>0</v>
      </c>
      <c r="OT42" s="20" t="n">
        <f aca="false">OR42-OS42</f>
        <v>0</v>
      </c>
      <c r="OU42" s="20" t="n">
        <f aca="false">IF(AND(HU42=0,GL42=1,OT42&gt;0),MIN(OT42,GM42),0)</f>
        <v>0</v>
      </c>
      <c r="OV42" s="20" t="n">
        <f aca="false">OT42-OU42</f>
        <v>0</v>
      </c>
      <c r="OW42" s="20" t="n">
        <f aca="false">IF(AND(HU42=0,GB42=1,OV42&gt;0),MIN(OV42,GC42),0)</f>
        <v>0</v>
      </c>
      <c r="OX42" s="20" t="n">
        <f aca="false">OV42-OW42</f>
        <v>0</v>
      </c>
      <c r="OY42" s="20" t="n">
        <f aca="false">IF(AND(HU42=0,FR42=1,OX42&gt;0),MIN(OX42,FS42),0)</f>
        <v>0</v>
      </c>
      <c r="OZ42" s="20" t="n">
        <f aca="false">OX42-OY42</f>
        <v>0</v>
      </c>
      <c r="PA42" s="20" t="n">
        <f aca="false">IF(AND(HU42=0,FH42=1,OZ42&gt;0),MIN(OZ42,FI42),0)</f>
        <v>0</v>
      </c>
      <c r="PB42" s="20" t="n">
        <f aca="false">OZ42-PA42</f>
        <v>0</v>
      </c>
      <c r="PC42" s="20" t="n">
        <f aca="false">IF(AND(HU42=0,EX42=1,PB42&gt;0),MIN(PB42,EY42),0)</f>
        <v>0</v>
      </c>
      <c r="PD42" s="20" t="n">
        <f aca="false">PB42-PC42</f>
        <v>0</v>
      </c>
      <c r="PE42" s="20" t="n">
        <f aca="false">IF(AND(HU42=0,EN42=1,PD42&gt;0),MIN(PD42,EO42),0)</f>
        <v>0</v>
      </c>
      <c r="PF42" s="20" t="n">
        <f aca="false">PD42-PE42</f>
        <v>0</v>
      </c>
      <c r="PG42" s="20" t="n">
        <f aca="false">IF(AND(HU42=0,ED42=1,PF42&gt;0),MIN(PF42,EE42),0)</f>
        <v>0</v>
      </c>
      <c r="PH42" s="20" t="n">
        <f aca="false">PF42-PG42</f>
        <v>0</v>
      </c>
      <c r="PI42" s="20" t="n">
        <f aca="false">IF(AND(HU42=0,DT42=1,PH42&gt;0),MIN(PH42,DU42),0)</f>
        <v>0</v>
      </c>
      <c r="PJ42" s="20" t="n">
        <f aca="false">PH42-PI42</f>
        <v>0</v>
      </c>
      <c r="PK42" s="20" t="n">
        <f aca="false">IF(AND(HU42=0,DJ42=1,PJ42&gt;0),MIN(PJ42,DK42),0)</f>
        <v>0</v>
      </c>
      <c r="PL42" s="20" t="n">
        <f aca="false">PJ42-PK42</f>
        <v>0</v>
      </c>
      <c r="PM42" s="20" t="n">
        <f aca="false">IF(AND(HU42=0,CZ42=1,PL42&gt;0),MIN(PL42,DA42),0)</f>
        <v>0</v>
      </c>
      <c r="PN42" s="20" t="n">
        <f aca="false">PL42-PM42</f>
        <v>0</v>
      </c>
      <c r="PO42" s="20" t="n">
        <f aca="false">IF(AND(HU42=0,CP42=1,PN42&gt;0),MIN(PN42,CQ42),0)</f>
        <v>0</v>
      </c>
      <c r="PP42" s="20" t="n">
        <f aca="false">PN42-PO42</f>
        <v>0</v>
      </c>
      <c r="PQ42" s="20" t="n">
        <f aca="false">IF(AND(HU42=0,CF42=1,PP42&gt;0),MIN(PP42,CG42),0)</f>
        <v>0</v>
      </c>
      <c r="PR42" s="20" t="n">
        <f aca="false">PP42-PQ42</f>
        <v>0</v>
      </c>
      <c r="PS42" s="20" t="n">
        <f aca="false">IF(AND(HU42=0,BV42=1,PR42&gt;0),MIN(PR42,BW42),0)</f>
        <v>0</v>
      </c>
      <c r="PT42" s="20" t="n">
        <f aca="false">PR42-PS42</f>
        <v>0</v>
      </c>
      <c r="PU42" s="20" t="n">
        <f aca="false">IF(AND(HU42=0,BL42=1,PT42&gt;0),MIN(PT42,BM42),0)</f>
        <v>0</v>
      </c>
      <c r="PV42" s="20" t="n">
        <f aca="false">PT42-PU42</f>
        <v>0</v>
      </c>
      <c r="PW42" s="20" t="n">
        <f aca="false">IF(AND(HU42=0,BB42=1,PV42&gt;0),MIN(PV42,BC42),0)</f>
        <v>0</v>
      </c>
      <c r="PX42" s="20" t="n">
        <f aca="false">PV42-PW42</f>
        <v>0</v>
      </c>
      <c r="PY42" s="20" t="n">
        <f aca="false">IF(AND(HU42=0,AR42=1,PX42&gt;0),MIN(PX42,AS42),0)</f>
        <v>0</v>
      </c>
      <c r="PZ42" s="20" t="n">
        <f aca="false">PX42-PY42</f>
        <v>0</v>
      </c>
      <c r="QA42" s="20" t="n">
        <f aca="false">IF(AND(HU42=0,AH42=1,PZ42&gt;0),MIN(PZ42,AI42),0)</f>
        <v>0</v>
      </c>
      <c r="QB42" s="20" t="n">
        <f aca="false">PZ42-QA42</f>
        <v>0</v>
      </c>
      <c r="QC42" s="20" t="n">
        <f aca="false">IF(AND(HU42=0,W42=1,QB42&gt;0),MIN(QB42,X42),0)</f>
        <v>0</v>
      </c>
      <c r="QD42" s="20" t="n">
        <f aca="false">QB42-QC42</f>
        <v>0</v>
      </c>
      <c r="QE42" s="20" t="n">
        <f aca="false">IF(HU42=0,QD42,0)</f>
        <v>0</v>
      </c>
      <c r="QF42" s="20" t="n">
        <f aca="false">OM42+OO42+QC42+QA42+PY42+PW42+PU42+PS42+PQ42+PO42+PM42+PK42+PI42+PG42+PE42+PC42+PA42+OY42+OW42+OU42+OS42+OQ42</f>
        <v>20383.8884285354</v>
      </c>
      <c r="QG42" s="20" t="n">
        <f aca="false">IF(HU42=1,HK42+OJ42+OI42+IF(G42=1,0,OK42),HK42-OM42)</f>
        <v>88879.9143975574</v>
      </c>
      <c r="QH42" s="20" t="n">
        <f aca="false">HL42-OO42</f>
        <v>21457.3242291563</v>
      </c>
      <c r="QI42" s="20" t="n">
        <f aca="false">IF(HU42=1,IF(G42=1,ID42+IE42,HS42),0)</f>
        <v>0</v>
      </c>
      <c r="QJ42" s="20" t="n">
        <f aca="false">IF(HU42=1,IF(G42=1,HS42-ID42-IE42,0),0)</f>
        <v>0</v>
      </c>
      <c r="QK42" s="20" t="n">
        <f aca="false">QG42*(1+GR)</f>
        <v>90337.5449936774</v>
      </c>
      <c r="QL42" s="20" t="n">
        <f aca="false">QH42*(1+AS_Cash)</f>
        <v>21671.8974714479</v>
      </c>
      <c r="QM42" s="20" t="n">
        <f aca="false">IF(W42=1,IF(HU42=1,II42+IL42,X42-QC42)*(1+Slot1_Rate),0)</f>
        <v>0</v>
      </c>
      <c r="QN42" s="20" t="n">
        <f aca="false">IF(AND(HU42=1,W42=1),(IH42+IL42)/F42,0)</f>
        <v>0</v>
      </c>
      <c r="QO42" s="20" t="n">
        <f aca="false">IF(B42=0,IH42+IL42,0)</f>
        <v>0</v>
      </c>
      <c r="QP42" s="20" t="n">
        <f aca="false">IF(B42=0,IF(HU42=1,IJ42,IK42),0)</f>
        <v>0</v>
      </c>
      <c r="QQ42" s="20" t="n">
        <f aca="false">IF(AH42=1,IF(HU42=1,IQ42+IT42,AI42-QA42)*(1+Slot2_Rate),0)</f>
        <v>0</v>
      </c>
      <c r="QR42" s="20" t="n">
        <f aca="false">IF(AND(HU42=1,AH42=1),(IP42+IT42)/F42,0)</f>
        <v>0</v>
      </c>
      <c r="QS42" s="20" t="n">
        <f aca="false">IF(B42=0,IP42+IT42,0)</f>
        <v>0</v>
      </c>
      <c r="QT42" s="20" t="n">
        <f aca="false">IF(B42=0,IF(HU42=1,IR42,IS42),0)</f>
        <v>0</v>
      </c>
      <c r="QU42" s="20" t="n">
        <f aca="false">IF(AR42=1,IF(HU42=1,IY42+JB42,AS42-PY42)*(1+Slot3_Rate),0)</f>
        <v>0</v>
      </c>
      <c r="QV42" s="20" t="n">
        <f aca="false">IF(AND(HU42=1,AR42=1),(IX42+JB42)/F42,0)</f>
        <v>0</v>
      </c>
      <c r="QW42" s="20" t="n">
        <f aca="false">IF(B42=0,IX42+JB42,0)</f>
        <v>0</v>
      </c>
      <c r="QX42" s="20" t="n">
        <f aca="false">IF(B42=0,IF(HU42=1,IZ42,JA42),0)</f>
        <v>0</v>
      </c>
      <c r="QY42" s="20" t="n">
        <f aca="false">IF(BB42=1,IF(HU42=1,JG42+JJ42,BC42-PW42)*(1+Slot4_Rate),0)</f>
        <v>0</v>
      </c>
      <c r="QZ42" s="20" t="n">
        <f aca="false">IF(AND(HU42=1,BB42=1),(JF42+JJ42)/F42,0)</f>
        <v>0</v>
      </c>
      <c r="RA42" s="20" t="n">
        <f aca="false">IF(B42=0,JF42+JJ42,0)</f>
        <v>0</v>
      </c>
      <c r="RB42" s="20" t="n">
        <f aca="false">IF(B42=0,IF(HU42=1,JH42,JI42),0)</f>
        <v>0</v>
      </c>
      <c r="RC42" s="20" t="n">
        <f aca="false">IF(BL42=1,IF(HU42=1,JO42+JR42,BM42-PU42)*(1+Slot5_Rate),0)</f>
        <v>0</v>
      </c>
      <c r="RD42" s="20" t="n">
        <f aca="false">IF(AND(HU42=1,BL42=1),(JN42+JR42)/F42,0)</f>
        <v>0</v>
      </c>
      <c r="RE42" s="20" t="n">
        <f aca="false">IF(B42=0,JN42+JR42,0)</f>
        <v>0</v>
      </c>
      <c r="RF42" s="20" t="n">
        <f aca="false">IF(B42=0,IF(HU42=1,JP42,JQ42),0)</f>
        <v>0</v>
      </c>
      <c r="RG42" s="20" t="n">
        <f aca="false">IF(BV42=1,IF(HU42=1,JW42+JZ42,BW42-PS42)*(1+Slot6_Rate),0)</f>
        <v>0</v>
      </c>
      <c r="RH42" s="20" t="n">
        <f aca="false">IF(AND(HU42=1,BV42=1),(JV42+JZ42)/F42,0)</f>
        <v>0</v>
      </c>
      <c r="RI42" s="20" t="n">
        <f aca="false">IF(B42=0,JV42+JZ42,0)</f>
        <v>0</v>
      </c>
      <c r="RJ42" s="20" t="n">
        <f aca="false">IF(B42=0,IF(HU42=1,JX42,JY42),0)</f>
        <v>0</v>
      </c>
      <c r="RK42" s="20" t="n">
        <f aca="false">IF(CF42=1,IF(HU42=1,KE42+KH42,CG42-PQ42)*(1+Slot7_Rate),0)</f>
        <v>0</v>
      </c>
      <c r="RL42" s="20" t="n">
        <f aca="false">IF(AND(HU42=1,CF42=1),(KD42+KH42)/F42,0)</f>
        <v>0</v>
      </c>
      <c r="RM42" s="20" t="n">
        <f aca="false">IF(B42=0,KD42+KH42,0)</f>
        <v>0</v>
      </c>
      <c r="RN42" s="20" t="n">
        <f aca="false">IF(B42=0,IF(HU42=1,KF42,KG42),0)</f>
        <v>0</v>
      </c>
      <c r="RO42" s="20" t="n">
        <f aca="false">IF(CP42=1,IF(HU42=1,KM42+KP42,CQ42-PO42)*(1+Slot8_Rate),0)</f>
        <v>0</v>
      </c>
      <c r="RP42" s="20" t="n">
        <f aca="false">IF(AND(HU42=1,CP42=1),(KL42+KP42)/F42,0)</f>
        <v>0</v>
      </c>
      <c r="RQ42" s="20" t="n">
        <f aca="false">IF(B42=0,KL42+KP42,0)</f>
        <v>0</v>
      </c>
      <c r="RR42" s="20" t="n">
        <f aca="false">IF(B42=0,IF(HU42=1,KN42,KO42),0)</f>
        <v>0</v>
      </c>
      <c r="RS42" s="20" t="n">
        <f aca="false">IF(CZ42=1,IF(HU42=1,KU42+KX42,DA42-PM42)*(1+Slot9_Rate),0)</f>
        <v>0</v>
      </c>
      <c r="RT42" s="20" t="n">
        <f aca="false">IF(AND(HU42=1,CZ42=1),(KT42+KX42)/F42,0)</f>
        <v>0</v>
      </c>
      <c r="RU42" s="20" t="n">
        <f aca="false">IF(B42=0,KT42+KX42,0)</f>
        <v>0</v>
      </c>
      <c r="RV42" s="20" t="n">
        <f aca="false">IF(B42=0,IF(HU42=1,KV42,KW42),0)</f>
        <v>0</v>
      </c>
      <c r="RW42" s="20" t="n">
        <f aca="false">IF(DJ42=1,IF(HU42=1,LC42+LF42,DK42-PK42)*(1+Slot10_Rate),0)</f>
        <v>0</v>
      </c>
      <c r="RX42" s="20" t="n">
        <f aca="false">IF(AND(HU42=1,DJ42=1),(LB42+LF42)/F42,0)</f>
        <v>0</v>
      </c>
      <c r="RY42" s="20" t="n">
        <f aca="false">IF(B42=0,LB42+LF42,0)</f>
        <v>0</v>
      </c>
      <c r="RZ42" s="20" t="n">
        <f aca="false">IF(B42=0,IF(HU42=1,LD42,LE42),0)</f>
        <v>0</v>
      </c>
      <c r="SA42" s="20" t="n">
        <f aca="false">IF(DT42=1,IF(HU42=1,LK42+LN42,DU42-PI42)*(1+Slot11_Rate),0)</f>
        <v>0</v>
      </c>
      <c r="SB42" s="20" t="n">
        <f aca="false">IF(AND(HU42=1,DT42=1),(LJ42+LN42)/F42,0)</f>
        <v>0</v>
      </c>
      <c r="SC42" s="20" t="n">
        <f aca="false">IF(B42=0,LJ42+LN42,0)</f>
        <v>0</v>
      </c>
      <c r="SD42" s="20" t="n">
        <f aca="false">IF(B42=0,IF(HU42=1,LL42,LM42),0)</f>
        <v>0</v>
      </c>
      <c r="SE42" s="20" t="n">
        <f aca="false">IF(ED42=1,IF(HU42=1,LS42+LV42,EE42-PG42)*(1+Slot12_Rate),0)</f>
        <v>0</v>
      </c>
      <c r="SF42" s="20" t="n">
        <f aca="false">IF(AND(HU42=1,ED42=1),(LR42+LV42)/F42,0)</f>
        <v>0</v>
      </c>
      <c r="SG42" s="20" t="n">
        <f aca="false">IF(B42=0,LR42+LV42,0)</f>
        <v>0</v>
      </c>
      <c r="SH42" s="20" t="n">
        <f aca="false">IF(B42=0,IF(HU42=1,LT42,LU42),0)</f>
        <v>0</v>
      </c>
      <c r="SI42" s="20" t="n">
        <f aca="false">IF(EN42=1,IF(HU42=1,MA42+MD42,EO42-PE42)*(1+Slot13_Rate),0)</f>
        <v>0</v>
      </c>
      <c r="SJ42" s="20" t="n">
        <f aca="false">IF(AND(HU42=1,EN42=1),(LZ42+MD42)/F42,0)</f>
        <v>0</v>
      </c>
      <c r="SK42" s="20" t="n">
        <f aca="false">IF(B42=0,LZ42+MD42,0)</f>
        <v>0</v>
      </c>
      <c r="SL42" s="20" t="n">
        <f aca="false">IF(B42=0,IF(HU42=1,MB42,MC42),0)</f>
        <v>0</v>
      </c>
      <c r="SM42" s="20" t="n">
        <f aca="false">IF(EX42=1,IF(HU42=1,MI42+ML42,EY42-PC42)*(1+Slot14_Rate),0)</f>
        <v>0</v>
      </c>
      <c r="SN42" s="20" t="n">
        <f aca="false">IF(AND(HU42=1,EX42=1),(MH42+ML42)/F42,0)</f>
        <v>0</v>
      </c>
      <c r="SO42" s="20" t="n">
        <f aca="false">IF(B42=0,MH42+ML42,0)</f>
        <v>0</v>
      </c>
      <c r="SP42" s="20" t="n">
        <f aca="false">IF(B42=0,IF(HU42=1,MJ42,MK42),0)</f>
        <v>0</v>
      </c>
      <c r="SQ42" s="20" t="n">
        <f aca="false">IF(FH42=1,IF(HU42=1,MQ42+MT42,FI42-PA42)*(1+Slot15_Rate),0)</f>
        <v>0</v>
      </c>
      <c r="SR42" s="20" t="n">
        <f aca="false">IF(AND(HU42=1,FH42=1),(MP42+MT42)/F42,0)</f>
        <v>0</v>
      </c>
      <c r="SS42" s="20" t="n">
        <f aca="false">IF(B42=0,MP42+MT42,0)</f>
        <v>0</v>
      </c>
      <c r="ST42" s="20" t="n">
        <f aca="false">IF(B42=0,IF(HU42=1,MR42,MS42),0)</f>
        <v>0</v>
      </c>
      <c r="SU42" s="20" t="n">
        <f aca="false">IF(FR42=1,IF(HU42=1,MY42+NB42,FS42-OY42)*(1+Slot16_Rate),0)</f>
        <v>0</v>
      </c>
      <c r="SV42" s="20" t="n">
        <f aca="false">IF(AND(HU42=1,FR42=1),(MX42+NB42)/F42,0)</f>
        <v>0</v>
      </c>
      <c r="SW42" s="20" t="n">
        <f aca="false">IF(B42=0,MX42+NB42,0)</f>
        <v>0</v>
      </c>
      <c r="SX42" s="20" t="n">
        <f aca="false">IF(B42=0,IF(HU42=1,MZ42,NA42),0)</f>
        <v>0</v>
      </c>
      <c r="SY42" s="20" t="n">
        <f aca="false">IF(GB42=1,IF(HU42=1,NG42+NJ42,GC42-OW42)*(1+Slot17_Rate),0)</f>
        <v>0</v>
      </c>
      <c r="SZ42" s="20" t="n">
        <f aca="false">IF(AND(HU42=1,GB42=1),(NF42+NJ42)/F42,0)</f>
        <v>0</v>
      </c>
      <c r="TA42" s="20" t="n">
        <f aca="false">IF(B42=0,NF42+NJ42,0)</f>
        <v>0</v>
      </c>
      <c r="TB42" s="20" t="n">
        <f aca="false">IF(B42=0,IF(HU42=1,NH42,NI42),0)</f>
        <v>0</v>
      </c>
      <c r="TC42" s="20" t="n">
        <f aca="false">IF(GL42=1,IF(HU42=1,NO42+NR42,GM42-OU42)*(1+Slot18_Rate),0)</f>
        <v>0</v>
      </c>
      <c r="TD42" s="20" t="n">
        <f aca="false">IF(AND(HU42=1,GL42=1),(NN42+NR42)/F42,0)</f>
        <v>0</v>
      </c>
      <c r="TE42" s="20" t="n">
        <f aca="false">IF(B42=0,NN42+NR42,0)</f>
        <v>0</v>
      </c>
      <c r="TF42" s="20" t="n">
        <f aca="false">IF(B42=0,IF(HU42=1,NP42,NQ42),0)</f>
        <v>0</v>
      </c>
      <c r="TG42" s="20" t="n">
        <f aca="false">IF(GV42=1,IF(HU42=1,NW42+NZ42,GW42-OS42)*(1+Slot19_Rate),0)</f>
        <v>0</v>
      </c>
      <c r="TH42" s="20" t="n">
        <f aca="false">IF(AND(HU42=1,GV42=1),(NV42+NZ42)/F42,0)</f>
        <v>0</v>
      </c>
      <c r="TI42" s="20" t="n">
        <f aca="false">IF(B42=0,NV42+NZ42,0)</f>
        <v>0</v>
      </c>
      <c r="TJ42" s="20" t="n">
        <f aca="false">IF(B42=0,IF(HU42=1,NX42,NY42),0)</f>
        <v>0</v>
      </c>
      <c r="TK42" s="20" t="n">
        <f aca="false">IF(HF42=1,IF(HU42=1,OE42+OH42,HG42-OQ42)*(1+Slot20_Rate),0)</f>
        <v>0</v>
      </c>
      <c r="TL42" s="20" t="n">
        <f aca="false">IF(AND(HU42=1,HF42=1),(OD42+OH42)/F42,0)</f>
        <v>0</v>
      </c>
      <c r="TM42" s="20" t="n">
        <f aca="false">IF(B42=0,OD42+OH42,0)</f>
        <v>0</v>
      </c>
      <c r="TN42" s="20" t="n">
        <f aca="false">IF(B42=0,IF(HU42=1,OF42,OG42),0)</f>
        <v>0</v>
      </c>
      <c r="TO42" s="20" t="n">
        <f aca="false">QK42+QL42+QM42+QQ42+QU42+QY42+RC42+RG42+RK42+RO42+RS42+RW42+SA42+SE42+SI42+SM42+SQ42+SU42+SY42+TC42+TG42+TK42</f>
        <v>112009.442465125</v>
      </c>
      <c r="TP42" s="20" t="n">
        <f aca="false">QE42+HP42</f>
        <v>0</v>
      </c>
      <c r="TQ42" s="20" t="n">
        <f aca="false">I42+S42</f>
        <v>93720.3143306524</v>
      </c>
      <c r="TR42" s="20" t="n">
        <f aca="false">1-G42</f>
        <v>1</v>
      </c>
      <c r="TS42" s="20" t="n">
        <f aca="false">IF(AND(RG_Exists=1,G42=0,C42=1),I42,0)</f>
        <v>93720.3143306524</v>
      </c>
      <c r="TT42" s="20" t="n">
        <f aca="false">IF(AND(RG_Exists=1,G42=0,C42=1),I42-MIN(QE42,I42),0)</f>
        <v>93720.3143306524</v>
      </c>
      <c r="TU42" s="20" t="n">
        <f aca="false">'Plan pay &amp; tax'!AD268</f>
        <v>396601.913385666</v>
      </c>
      <c r="TV42" s="20" t="n">
        <f aca="false">IF(AND(C42=1,QE42&gt;MAX(PR_Short1,TQ42*PR_Short2)),1,0)</f>
        <v>0</v>
      </c>
      <c r="TW42" s="20" t="n">
        <f aca="false">MIN(H42,I42+S42)</f>
        <v>73336.425902117</v>
      </c>
      <c r="TX42" s="20" t="n">
        <f aca="false">QF42+MAX(0,HQ42-HP42)</f>
        <v>20383.8884285354</v>
      </c>
      <c r="TY42" s="20" t="n">
        <f aca="false">QE42+HP42</f>
        <v>0</v>
      </c>
      <c r="TZ42" s="20" t="n">
        <f aca="false">IF(AND(C42=1,TY42&gt;PR_MinShort),1,0)</f>
        <v>0</v>
      </c>
      <c r="UA42" s="20" t="n">
        <f aca="false">IF(AND(C42=1,TZ42=0,TX42&gt;PR_MinShort),1,0)</f>
        <v>1</v>
      </c>
      <c r="UB42" s="20" t="n">
        <f aca="false">IF(AND(C42=1,QE42&gt;PR_MinShort),1,0)</f>
        <v>0</v>
      </c>
      <c r="UC42" s="20" t="n">
        <f aca="false">IF(AND(C42=1,QF42&gt;1,UJ42=0),1,0)</f>
        <v>1</v>
      </c>
      <c r="UD42" s="20" t="str">
        <f aca="false">IF(C42=0,"",IF(UJ42=1,"Gap to plan for: short "&amp;"€"&amp;TEXT(ROUND(TP42,0),"#,##0"),IF(QF42&gt;1,"Using savings","Comfortable")))</f>
        <v>Using savings</v>
      </c>
      <c r="UE42" s="20" t="n">
        <f aca="false">IF(AND(INT(D42/10)*10=90,B42&gt;0),80,INT(D42/10)*10)</f>
        <v>70</v>
      </c>
      <c r="UF42" s="20" t="n">
        <f aca="false">IF(B42=0,1,IF(UE42&lt;&gt;UE41,UF41+1,UF41))</f>
        <v>5</v>
      </c>
      <c r="UG42" s="20" t="n">
        <f aca="false">IF(AND(C42=1,G42=1,QE42&gt;MAX(PR_Short1,TQ42*PR_Short2)),1,0)</f>
        <v>0</v>
      </c>
      <c r="UH42" s="20" t="n">
        <f aca="false">TR42*TV42</f>
        <v>0</v>
      </c>
      <c r="UI42" s="20" t="n">
        <f aca="false">IF(AND(V42=1,Slot1_PctLow=1),1,0)+IF(AND(AG42=1,Slot2_PctLow=1),1,0)+IF(AND(AQ42=1,Slot3_PctLow=1),1,0)+IF(AND(BA42=1,Slot4_PctLow=1),1,0)+IF(AND(BK42=1,Slot5_PctLow=1),1,0)+IF(AND(BU42=1,Slot6_PctLow=1),1,0)+IF(AND(CE42=1,Slot7_PctLow=1),1,0)+IF(AND(CO42=1,Slot8_PctLow=1),1,0)+IF(AND(CY42=1,Slot9_PctLow=1),1,0)+IF(AND(DI42=1,Slot10_PctLow=1),1,0)+IF(AND(DS42=1,Slot11_PctLow=1),1,0)+IF(AND(EC42=1,Slot12_PctLow=1),1,0)+IF(AND(EM42=1,Slot13_PctLow=1),1,0)+IF(AND(EW42=1,Slot14_PctLow=1),1,0)+IF(AND(FG42=1,Slot15_PctLow=1),1,0)+IF(AND(FQ42=1,Slot16_PctLow=1),1,0)+IF(AND(GA42=1,Slot17_PctLow=1),1,0)+IF(AND(GK42=1,Slot18_PctLow=1),1,0)+IF(AND(GU42=1,Slot19_PctLow=1),1,0)+IF(AND(HE42=1,Slot20_PctLow=1),1,0)</f>
        <v>0</v>
      </c>
      <c r="UJ42" s="20" t="n">
        <f aca="false">IF(C42=1,IF(OR(TV42=1,UI42&gt;0),1,0),0)</f>
        <v>0</v>
      </c>
    </row>
    <row r="43" customFormat="false" ht="15" hidden="false" customHeight="true" outlineLevel="0" collapsed="false">
      <c r="B43" s="20" t="n">
        <v>35</v>
      </c>
      <c r="C43" s="20" t="n">
        <f aca="false">IF(B43&lt;=F_N,1,0)</f>
        <v>1</v>
      </c>
      <c r="D43" s="20" t="n">
        <f aca="false">'Plan pay &amp; tax'!C269</f>
        <v>73</v>
      </c>
      <c r="E43" s="20" t="str">
        <f aca="false">IF($C43=1,"Income tax "&amp;TEXT(N('Plan pay &amp; tax'!BK269),"#,##0")&amp;"; USC "&amp;TEXT(N('Plan pay &amp; tax'!BM269)+N('Plan pay &amp; tax'!BO269),"#,##0")&amp;"; PRSI "&amp;TEXT(N('Plan pay &amp; tax'!BP269)+N('Plan pay &amp; tax'!BQ269),"#,##0")&amp;". DIRT and exit tax are inside the growth rates here.","")</f>
        <v>Income tax 851; USC 0; PRSI 0. DIRT and exit tax are inside the growth rates here.</v>
      </c>
      <c r="F43" s="44" t="n">
        <f aca="false">'Plan pay &amp; tax'!E269</f>
        <v>1.99988955266246</v>
      </c>
      <c r="G43" s="20" t="n">
        <f aca="false">'Plan pay &amp; tax'!G269</f>
        <v>0</v>
      </c>
      <c r="H43" s="20" t="n">
        <f aca="false">'Plan pay &amp; tax'!BT269-'Plan pay &amp; tax'!BS269-'Plan pay &amp; tax'!R269</f>
        <v>74154.3773533866</v>
      </c>
      <c r="I43" s="20" t="n">
        <f aca="false">IF(G43=1,F_CostsM*12,IF(RG_Exists=1,RG_Amount,F_CostsM*12*AS_RetireSpend))*F43+F_OneOffY*F43</f>
        <v>95594.7206172654</v>
      </c>
      <c r="J43" s="20" t="n">
        <f aca="false">HR42</f>
        <v>0</v>
      </c>
      <c r="K43" s="20" t="n">
        <f aca="false">IF(J43&gt;1,'Plan debt months'!AC43,0)</f>
        <v>0</v>
      </c>
      <c r="L43" s="20" t="n">
        <f aca="false">IF(J43&gt;1,'Plan debt months'!AB43,J43)</f>
        <v>0</v>
      </c>
      <c r="M43" s="20" t="n">
        <f aca="false">O42</f>
        <v>0</v>
      </c>
      <c r="N43" s="20" t="n">
        <f aca="false">IF(M43&gt;1,'Plan debt months'!BD43,0)</f>
        <v>0</v>
      </c>
      <c r="O43" s="20" t="n">
        <f aca="false">IF(M43&gt;1,'Plan debt months'!BC43,M43)</f>
        <v>0</v>
      </c>
      <c r="P43" s="20" t="n">
        <f aca="false">R42</f>
        <v>0</v>
      </c>
      <c r="Q43" s="20" t="n">
        <f aca="false">IF(P43&gt;1,'Plan debt months'!CE43,0)</f>
        <v>0</v>
      </c>
      <c r="R43" s="20" t="n">
        <f aca="false">IF(P43&gt;1,'Plan debt months'!CD43,P43)</f>
        <v>0</v>
      </c>
      <c r="S43" s="20" t="n">
        <f aca="false">K43+N43+Q43</f>
        <v>0</v>
      </c>
      <c r="T43" s="20" t="n">
        <f aca="false">QK42+'Plan pay &amp; tax'!Y269</f>
        <v>90337.5449936774</v>
      </c>
      <c r="U43" s="20" t="n">
        <f aca="false">QK42</f>
        <v>90337.5449936774</v>
      </c>
      <c r="V43" s="20" t="n">
        <f aca="false">IF(AND(Slot1_On=1,D43=Slot1_Age),1,0)</f>
        <v>0</v>
      </c>
      <c r="W43" s="20" t="n">
        <f aca="false">IF(AND(Slot1_On=1,Slot1_Age&gt;D43),1,0)</f>
        <v>0</v>
      </c>
      <c r="X43" s="20" t="n">
        <f aca="false">QM42</f>
        <v>0</v>
      </c>
      <c r="Y43" s="20" t="n">
        <f aca="false">V43*MIN(Slot1_Cost,X43)</f>
        <v>0</v>
      </c>
      <c r="Z43" s="20" t="n">
        <f aca="false">V43*Slot1_SpendLike*MIN(Slot1_Cost-Y43,T43)</f>
        <v>0</v>
      </c>
      <c r="AA43" s="20" t="n">
        <f aca="false">Y43+Z43</f>
        <v>0</v>
      </c>
      <c r="AB43" s="20" t="n">
        <f aca="false">T43-Z43+V43*IF(Slot1_SpendLike=1,X43-Y43,IF(Slot1_PotFree=1,X43,0))</f>
        <v>90337.5449936774</v>
      </c>
      <c r="AC43" s="20" t="n">
        <f aca="false">AF43+V43*Slot1_BufPot*X43</f>
        <v>21671.8974714479</v>
      </c>
      <c r="AD43" s="20" t="n">
        <f aca="false">IF(AND(V43=1,Slot1_IsMfree=1),IF(AA43&gt;=Slot1_Cost-1,0,MAX(0,L43-AA43)),L43)</f>
        <v>0</v>
      </c>
      <c r="AE43" s="20" t="n">
        <f aca="false">V43*(Slot1_Cost-AA43)</f>
        <v>0</v>
      </c>
      <c r="AF43" s="20" t="n">
        <f aca="false">QL42</f>
        <v>21671.8974714479</v>
      </c>
      <c r="AG43" s="20" t="n">
        <f aca="false">IF(AND(Slot2_On=1,D43=Slot2_Age),1,0)</f>
        <v>0</v>
      </c>
      <c r="AH43" s="20" t="n">
        <f aca="false">IF(AND(Slot2_On=1,Slot2_Age&gt;D43),1,0)</f>
        <v>0</v>
      </c>
      <c r="AI43" s="20" t="n">
        <f aca="false">QQ42</f>
        <v>0</v>
      </c>
      <c r="AJ43" s="20" t="n">
        <f aca="false">AG43*MIN(Slot2_Cost,AI43)</f>
        <v>0</v>
      </c>
      <c r="AK43" s="20" t="n">
        <f aca="false">AG43*Slot2_SpendLike*MIN(Slot2_Cost-AJ43,AB43)</f>
        <v>0</v>
      </c>
      <c r="AL43" s="20" t="n">
        <f aca="false">AJ43+AK43</f>
        <v>0</v>
      </c>
      <c r="AM43" s="20" t="n">
        <f aca="false">AB43-AK43+AG43*IF(Slot2_SpendLike=1,AI43-AJ43,IF(Slot2_PotFree=1,AI43,0))</f>
        <v>90337.5449936774</v>
      </c>
      <c r="AN43" s="20" t="n">
        <f aca="false">AC43+AG43*Slot2_BufPot*AI43</f>
        <v>21671.8974714479</v>
      </c>
      <c r="AO43" s="20" t="n">
        <f aca="false">IF(AND(AG43=1,Slot2_IsMfree=1),IF(AL43&gt;=Slot2_Cost-1,0,MAX(0,AD43-AL43)),AD43)</f>
        <v>0</v>
      </c>
      <c r="AP43" s="20" t="n">
        <f aca="false">AG43*(Slot2_Cost-AL43)</f>
        <v>0</v>
      </c>
      <c r="AQ43" s="20" t="n">
        <f aca="false">IF(AND(Slot3_On=1,D43=Slot3_Age),1,0)</f>
        <v>0</v>
      </c>
      <c r="AR43" s="20" t="n">
        <f aca="false">IF(AND(Slot3_On=1,Slot3_Age&gt;D43),1,0)</f>
        <v>0</v>
      </c>
      <c r="AS43" s="20" t="n">
        <f aca="false">QU42</f>
        <v>0</v>
      </c>
      <c r="AT43" s="20" t="n">
        <f aca="false">AQ43*MIN(Slot3_Cost,AS43)</f>
        <v>0</v>
      </c>
      <c r="AU43" s="20" t="n">
        <f aca="false">AQ43*Slot3_SpendLike*MIN(Slot3_Cost-AT43,AM43)</f>
        <v>0</v>
      </c>
      <c r="AV43" s="20" t="n">
        <f aca="false">AT43+AU43</f>
        <v>0</v>
      </c>
      <c r="AW43" s="20" t="n">
        <f aca="false">AM43-AU43+AQ43*IF(Slot3_SpendLike=1,AS43-AT43,IF(Slot3_PotFree=1,AS43,0))</f>
        <v>90337.5449936774</v>
      </c>
      <c r="AX43" s="20" t="n">
        <f aca="false">AN43+AQ43*Slot3_BufPot*AS43</f>
        <v>21671.8974714479</v>
      </c>
      <c r="AY43" s="20" t="n">
        <f aca="false">IF(AND(AQ43=1,Slot3_IsMfree=1),IF(AV43&gt;=Slot3_Cost-1,0,MAX(0,AO43-AV43)),AO43)</f>
        <v>0</v>
      </c>
      <c r="AZ43" s="20" t="n">
        <f aca="false">AQ43*(Slot3_Cost-AV43)</f>
        <v>0</v>
      </c>
      <c r="BA43" s="20" t="n">
        <f aca="false">IF(AND(Slot4_On=1,D43=Slot4_Age),1,0)</f>
        <v>0</v>
      </c>
      <c r="BB43" s="20" t="n">
        <f aca="false">IF(AND(Slot4_On=1,Slot4_Age&gt;D43),1,0)</f>
        <v>0</v>
      </c>
      <c r="BC43" s="20" t="n">
        <f aca="false">QY42</f>
        <v>0</v>
      </c>
      <c r="BD43" s="20" t="n">
        <f aca="false">BA43*MIN(Slot4_Cost,BC43)</f>
        <v>0</v>
      </c>
      <c r="BE43" s="20" t="n">
        <f aca="false">BA43*Slot4_SpendLike*MIN(Slot4_Cost-BD43,AW43)</f>
        <v>0</v>
      </c>
      <c r="BF43" s="20" t="n">
        <f aca="false">BD43+BE43</f>
        <v>0</v>
      </c>
      <c r="BG43" s="20" t="n">
        <f aca="false">AW43-BE43+BA43*IF(Slot4_SpendLike=1,BC43-BD43,IF(Slot4_PotFree=1,BC43,0))</f>
        <v>90337.5449936774</v>
      </c>
      <c r="BH43" s="20" t="n">
        <f aca="false">AX43+BA43*Slot4_BufPot*BC43</f>
        <v>21671.8974714479</v>
      </c>
      <c r="BI43" s="20" t="n">
        <f aca="false">IF(AND(BA43=1,Slot4_IsMfree=1),IF(BF43&gt;=Slot4_Cost-1,0,MAX(0,AY43-BF43)),AY43)</f>
        <v>0</v>
      </c>
      <c r="BJ43" s="20" t="n">
        <f aca="false">BA43*(Slot4_Cost-BF43)</f>
        <v>0</v>
      </c>
      <c r="BK43" s="20" t="n">
        <f aca="false">IF(AND(Slot5_On=1,D43=Slot5_Age),1,0)</f>
        <v>0</v>
      </c>
      <c r="BL43" s="20" t="n">
        <f aca="false">IF(AND(Slot5_On=1,Slot5_Age&gt;D43),1,0)</f>
        <v>0</v>
      </c>
      <c r="BM43" s="20" t="n">
        <f aca="false">RC42</f>
        <v>0</v>
      </c>
      <c r="BN43" s="20" t="n">
        <f aca="false">BK43*MIN(Slot5_Cost,BM43)</f>
        <v>0</v>
      </c>
      <c r="BO43" s="20" t="n">
        <f aca="false">BK43*Slot5_SpendLike*MIN(Slot5_Cost-BN43,BG43)</f>
        <v>0</v>
      </c>
      <c r="BP43" s="20" t="n">
        <f aca="false">BN43+BO43</f>
        <v>0</v>
      </c>
      <c r="BQ43" s="20" t="n">
        <f aca="false">BG43-BO43+BK43*IF(Slot5_SpendLike=1,BM43-BN43,IF(Slot5_PotFree=1,BM43,0))</f>
        <v>90337.5449936774</v>
      </c>
      <c r="BR43" s="20" t="n">
        <f aca="false">BH43+BK43*Slot5_BufPot*BM43</f>
        <v>21671.8974714479</v>
      </c>
      <c r="BS43" s="20" t="n">
        <f aca="false">IF(AND(BK43=1,Slot5_IsMfree=1),IF(BP43&gt;=Slot5_Cost-1,0,MAX(0,BI43-BP43)),BI43)</f>
        <v>0</v>
      </c>
      <c r="BT43" s="20" t="n">
        <f aca="false">BK43*(Slot5_Cost-BP43)</f>
        <v>0</v>
      </c>
      <c r="BU43" s="20" t="n">
        <f aca="false">IF(AND(Slot6_On=1,D43=Slot6_Age),1,0)</f>
        <v>0</v>
      </c>
      <c r="BV43" s="20" t="n">
        <f aca="false">IF(AND(Slot6_On=1,Slot6_Age&gt;D43),1,0)</f>
        <v>0</v>
      </c>
      <c r="BW43" s="20" t="n">
        <f aca="false">RG42</f>
        <v>0</v>
      </c>
      <c r="BX43" s="20" t="n">
        <f aca="false">BU43*MIN(Slot6_Cost,BW43)</f>
        <v>0</v>
      </c>
      <c r="BY43" s="20" t="n">
        <f aca="false">BU43*Slot6_SpendLike*MIN(Slot6_Cost-BX43,BQ43)</f>
        <v>0</v>
      </c>
      <c r="BZ43" s="20" t="n">
        <f aca="false">BX43+BY43</f>
        <v>0</v>
      </c>
      <c r="CA43" s="20" t="n">
        <f aca="false">BQ43-BY43+BU43*IF(Slot6_SpendLike=1,BW43-BX43,IF(Slot6_PotFree=1,BW43,0))</f>
        <v>90337.5449936774</v>
      </c>
      <c r="CB43" s="20" t="n">
        <f aca="false">BR43+BU43*Slot6_BufPot*BW43</f>
        <v>21671.8974714479</v>
      </c>
      <c r="CC43" s="20" t="n">
        <f aca="false">IF(AND(BU43=1,Slot6_IsMfree=1),IF(BZ43&gt;=Slot6_Cost-1,0,MAX(0,BS43-BZ43)),BS43)</f>
        <v>0</v>
      </c>
      <c r="CD43" s="20" t="n">
        <f aca="false">BU43*(Slot6_Cost-BZ43)</f>
        <v>0</v>
      </c>
      <c r="CE43" s="20" t="n">
        <f aca="false">IF(AND(Slot7_On=1,D43=Slot7_Age),1,0)</f>
        <v>0</v>
      </c>
      <c r="CF43" s="20" t="n">
        <f aca="false">IF(AND(Slot7_On=1,Slot7_Age&gt;D43),1,0)</f>
        <v>0</v>
      </c>
      <c r="CG43" s="20" t="n">
        <f aca="false">RK42</f>
        <v>0</v>
      </c>
      <c r="CH43" s="20" t="n">
        <f aca="false">CE43*MIN(Slot7_Cost,CG43)</f>
        <v>0</v>
      </c>
      <c r="CI43" s="20" t="n">
        <f aca="false">CE43*Slot7_SpendLike*MIN(Slot7_Cost-CH43,CA43)</f>
        <v>0</v>
      </c>
      <c r="CJ43" s="20" t="n">
        <f aca="false">CH43+CI43</f>
        <v>0</v>
      </c>
      <c r="CK43" s="20" t="n">
        <f aca="false">CA43-CI43+CE43*IF(Slot7_SpendLike=1,CG43-CH43,IF(Slot7_PotFree=1,CG43,0))</f>
        <v>90337.5449936774</v>
      </c>
      <c r="CL43" s="20" t="n">
        <f aca="false">CB43+CE43*Slot7_BufPot*CG43</f>
        <v>21671.8974714479</v>
      </c>
      <c r="CM43" s="20" t="n">
        <f aca="false">IF(AND(CE43=1,Slot7_IsMfree=1),IF(CJ43&gt;=Slot7_Cost-1,0,MAX(0,CC43-CJ43)),CC43)</f>
        <v>0</v>
      </c>
      <c r="CN43" s="20" t="n">
        <f aca="false">CE43*(Slot7_Cost-CJ43)</f>
        <v>0</v>
      </c>
      <c r="CO43" s="20" t="n">
        <f aca="false">IF(AND(Slot8_On=1,D43=Slot8_Age),1,0)</f>
        <v>0</v>
      </c>
      <c r="CP43" s="20" t="n">
        <f aca="false">IF(AND(Slot8_On=1,Slot8_Age&gt;D43),1,0)</f>
        <v>0</v>
      </c>
      <c r="CQ43" s="20" t="n">
        <f aca="false">RO42</f>
        <v>0</v>
      </c>
      <c r="CR43" s="20" t="n">
        <f aca="false">CO43*MIN(Slot8_Cost,CQ43)</f>
        <v>0</v>
      </c>
      <c r="CS43" s="20" t="n">
        <f aca="false">CO43*Slot8_SpendLike*MIN(Slot8_Cost-CR43,CK43)</f>
        <v>0</v>
      </c>
      <c r="CT43" s="20" t="n">
        <f aca="false">CR43+CS43</f>
        <v>0</v>
      </c>
      <c r="CU43" s="20" t="n">
        <f aca="false">CK43-CS43+CO43*IF(Slot8_SpendLike=1,CQ43-CR43,IF(Slot8_PotFree=1,CQ43,0))</f>
        <v>90337.5449936774</v>
      </c>
      <c r="CV43" s="20" t="n">
        <f aca="false">CL43+CO43*Slot8_BufPot*CQ43</f>
        <v>21671.8974714479</v>
      </c>
      <c r="CW43" s="20" t="n">
        <f aca="false">IF(AND(CO43=1,Slot8_IsMfree=1),IF(CT43&gt;=Slot8_Cost-1,0,MAX(0,CM43-CT43)),CM43)</f>
        <v>0</v>
      </c>
      <c r="CX43" s="20" t="n">
        <f aca="false">CO43*(Slot8_Cost-CT43)</f>
        <v>0</v>
      </c>
      <c r="CY43" s="20" t="n">
        <f aca="false">IF(AND(Slot9_On=1,D43=Slot9_Age),1,0)</f>
        <v>0</v>
      </c>
      <c r="CZ43" s="20" t="n">
        <f aca="false">IF(AND(Slot9_On=1,Slot9_Age&gt;D43),1,0)</f>
        <v>0</v>
      </c>
      <c r="DA43" s="20" t="n">
        <f aca="false">RS42</f>
        <v>0</v>
      </c>
      <c r="DB43" s="20" t="n">
        <f aca="false">CY43*MIN(Slot9_Cost,DA43)</f>
        <v>0</v>
      </c>
      <c r="DC43" s="20" t="n">
        <f aca="false">CY43*Slot9_SpendLike*MIN(Slot9_Cost-DB43,CU43)</f>
        <v>0</v>
      </c>
      <c r="DD43" s="20" t="n">
        <f aca="false">DB43+DC43</f>
        <v>0</v>
      </c>
      <c r="DE43" s="20" t="n">
        <f aca="false">CU43-DC43+CY43*IF(Slot9_SpendLike=1,DA43-DB43,IF(Slot9_PotFree=1,DA43,0))</f>
        <v>90337.5449936774</v>
      </c>
      <c r="DF43" s="20" t="n">
        <f aca="false">CV43+CY43*Slot9_BufPot*DA43</f>
        <v>21671.8974714479</v>
      </c>
      <c r="DG43" s="20" t="n">
        <f aca="false">IF(AND(CY43=1,Slot9_IsMfree=1),IF(DD43&gt;=Slot9_Cost-1,0,MAX(0,CW43-DD43)),CW43)</f>
        <v>0</v>
      </c>
      <c r="DH43" s="20" t="n">
        <f aca="false">CY43*(Slot9_Cost-DD43)</f>
        <v>0</v>
      </c>
      <c r="DI43" s="20" t="n">
        <f aca="false">IF(AND(Slot10_On=1,D43=Slot10_Age),1,0)</f>
        <v>0</v>
      </c>
      <c r="DJ43" s="20" t="n">
        <f aca="false">IF(AND(Slot10_On=1,Slot10_Age&gt;D43),1,0)</f>
        <v>0</v>
      </c>
      <c r="DK43" s="20" t="n">
        <f aca="false">RW42</f>
        <v>0</v>
      </c>
      <c r="DL43" s="20" t="n">
        <f aca="false">DI43*MIN(Slot10_Cost,DK43)</f>
        <v>0</v>
      </c>
      <c r="DM43" s="20" t="n">
        <f aca="false">DI43*Slot10_SpendLike*MIN(Slot10_Cost-DL43,DE43)</f>
        <v>0</v>
      </c>
      <c r="DN43" s="20" t="n">
        <f aca="false">DL43+DM43</f>
        <v>0</v>
      </c>
      <c r="DO43" s="20" t="n">
        <f aca="false">DE43-DM43+DI43*IF(Slot10_SpendLike=1,DK43-DL43,IF(Slot10_PotFree=1,DK43,0))</f>
        <v>90337.5449936774</v>
      </c>
      <c r="DP43" s="20" t="n">
        <f aca="false">DF43+DI43*Slot10_BufPot*DK43</f>
        <v>21671.8974714479</v>
      </c>
      <c r="DQ43" s="20" t="n">
        <f aca="false">IF(AND(DI43=1,Slot10_IsMfree=1),IF(DN43&gt;=Slot10_Cost-1,0,MAX(0,DG43-DN43)),DG43)</f>
        <v>0</v>
      </c>
      <c r="DR43" s="20" t="n">
        <f aca="false">DI43*(Slot10_Cost-DN43)</f>
        <v>0</v>
      </c>
      <c r="DS43" s="20" t="n">
        <f aca="false">IF(AND(Slot11_On=1,D43=Slot11_Age),1,0)</f>
        <v>0</v>
      </c>
      <c r="DT43" s="20" t="n">
        <f aca="false">IF(AND(Slot11_On=1,Slot11_Age&gt;D43),1,0)</f>
        <v>0</v>
      </c>
      <c r="DU43" s="20" t="n">
        <f aca="false">SA42</f>
        <v>0</v>
      </c>
      <c r="DV43" s="20" t="n">
        <f aca="false">DS43*MIN(Slot11_Cost,DU43)</f>
        <v>0</v>
      </c>
      <c r="DW43" s="20" t="n">
        <f aca="false">DS43*Slot11_SpendLike*MIN(Slot11_Cost-DV43,DO43)</f>
        <v>0</v>
      </c>
      <c r="DX43" s="20" t="n">
        <f aca="false">DV43+DW43</f>
        <v>0</v>
      </c>
      <c r="DY43" s="20" t="n">
        <f aca="false">DO43-DW43+DS43*IF(Slot11_SpendLike=1,DU43-DV43,IF(Slot11_PotFree=1,DU43,0))</f>
        <v>90337.5449936774</v>
      </c>
      <c r="DZ43" s="20" t="n">
        <f aca="false">DP43+DS43*Slot11_BufPot*DU43</f>
        <v>21671.8974714479</v>
      </c>
      <c r="EA43" s="20" t="n">
        <f aca="false">IF(AND(DS43=1,Slot11_IsMfree=1),IF(DX43&gt;=Slot11_Cost-1,0,MAX(0,DQ43-DX43)),DQ43)</f>
        <v>0</v>
      </c>
      <c r="EB43" s="20" t="n">
        <f aca="false">DS43*(Slot11_Cost-DX43)</f>
        <v>0</v>
      </c>
      <c r="EC43" s="20" t="n">
        <f aca="false">IF(AND(Slot12_On=1,D43=Slot12_Age),1,0)</f>
        <v>0</v>
      </c>
      <c r="ED43" s="20" t="n">
        <f aca="false">IF(AND(Slot12_On=1,Slot12_Age&gt;D43),1,0)</f>
        <v>0</v>
      </c>
      <c r="EE43" s="20" t="n">
        <f aca="false">SE42</f>
        <v>0</v>
      </c>
      <c r="EF43" s="20" t="n">
        <f aca="false">EC43*MIN(Slot12_Cost,EE43)</f>
        <v>0</v>
      </c>
      <c r="EG43" s="20" t="n">
        <f aca="false">EC43*Slot12_SpendLike*MIN(Slot12_Cost-EF43,DY43)</f>
        <v>0</v>
      </c>
      <c r="EH43" s="20" t="n">
        <f aca="false">EF43+EG43</f>
        <v>0</v>
      </c>
      <c r="EI43" s="20" t="n">
        <f aca="false">DY43-EG43+EC43*IF(Slot12_SpendLike=1,EE43-EF43,IF(Slot12_PotFree=1,EE43,0))</f>
        <v>90337.5449936774</v>
      </c>
      <c r="EJ43" s="20" t="n">
        <f aca="false">DZ43+EC43*Slot12_BufPot*EE43</f>
        <v>21671.8974714479</v>
      </c>
      <c r="EK43" s="20" t="n">
        <f aca="false">IF(AND(EC43=1,Slot12_IsMfree=1),IF(EH43&gt;=Slot12_Cost-1,0,MAX(0,EA43-EH43)),EA43)</f>
        <v>0</v>
      </c>
      <c r="EL43" s="20" t="n">
        <f aca="false">EC43*(Slot12_Cost-EH43)</f>
        <v>0</v>
      </c>
      <c r="EM43" s="20" t="n">
        <f aca="false">IF(AND(Slot13_On=1,D43=Slot13_Age),1,0)</f>
        <v>0</v>
      </c>
      <c r="EN43" s="20" t="n">
        <f aca="false">IF(AND(Slot13_On=1,Slot13_Age&gt;D43),1,0)</f>
        <v>0</v>
      </c>
      <c r="EO43" s="20" t="n">
        <f aca="false">SI42</f>
        <v>0</v>
      </c>
      <c r="EP43" s="20" t="n">
        <f aca="false">EM43*MIN(Slot13_Cost,EO43)</f>
        <v>0</v>
      </c>
      <c r="EQ43" s="20" t="n">
        <f aca="false">EM43*Slot13_SpendLike*MIN(Slot13_Cost-EP43,EI43)</f>
        <v>0</v>
      </c>
      <c r="ER43" s="20" t="n">
        <f aca="false">EP43+EQ43</f>
        <v>0</v>
      </c>
      <c r="ES43" s="20" t="n">
        <f aca="false">EI43-EQ43+EM43*IF(Slot13_SpendLike=1,EO43-EP43,IF(Slot13_PotFree=1,EO43,0))</f>
        <v>90337.5449936774</v>
      </c>
      <c r="ET43" s="20" t="n">
        <f aca="false">EJ43+EM43*Slot13_BufPot*EO43</f>
        <v>21671.8974714479</v>
      </c>
      <c r="EU43" s="20" t="n">
        <f aca="false">IF(AND(EM43=1,Slot13_IsMfree=1),IF(ER43&gt;=Slot13_Cost-1,0,MAX(0,EK43-ER43)),EK43)</f>
        <v>0</v>
      </c>
      <c r="EV43" s="20" t="n">
        <f aca="false">EM43*(Slot13_Cost-ER43)</f>
        <v>0</v>
      </c>
      <c r="EW43" s="20" t="n">
        <f aca="false">IF(AND(Slot14_On=1,D43=Slot14_Age),1,0)</f>
        <v>0</v>
      </c>
      <c r="EX43" s="20" t="n">
        <f aca="false">IF(AND(Slot14_On=1,Slot14_Age&gt;D43),1,0)</f>
        <v>0</v>
      </c>
      <c r="EY43" s="20" t="n">
        <f aca="false">SM42</f>
        <v>0</v>
      </c>
      <c r="EZ43" s="20" t="n">
        <f aca="false">EW43*MIN(Slot14_Cost,EY43)</f>
        <v>0</v>
      </c>
      <c r="FA43" s="20" t="n">
        <f aca="false">EW43*Slot14_SpendLike*MIN(Slot14_Cost-EZ43,ES43)</f>
        <v>0</v>
      </c>
      <c r="FB43" s="20" t="n">
        <f aca="false">EZ43+FA43</f>
        <v>0</v>
      </c>
      <c r="FC43" s="20" t="n">
        <f aca="false">ES43-FA43+EW43*IF(Slot14_SpendLike=1,EY43-EZ43,IF(Slot14_PotFree=1,EY43,0))</f>
        <v>90337.5449936774</v>
      </c>
      <c r="FD43" s="20" t="n">
        <f aca="false">ET43+EW43*Slot14_BufPot*EY43</f>
        <v>21671.8974714479</v>
      </c>
      <c r="FE43" s="20" t="n">
        <f aca="false">IF(AND(EW43=1,Slot14_IsMfree=1),IF(FB43&gt;=Slot14_Cost-1,0,MAX(0,EU43-FB43)),EU43)</f>
        <v>0</v>
      </c>
      <c r="FF43" s="20" t="n">
        <f aca="false">EW43*(Slot14_Cost-FB43)</f>
        <v>0</v>
      </c>
      <c r="FG43" s="20" t="n">
        <f aca="false">IF(AND(Slot15_On=1,D43=Slot15_Age),1,0)</f>
        <v>0</v>
      </c>
      <c r="FH43" s="20" t="n">
        <f aca="false">IF(AND(Slot15_On=1,Slot15_Age&gt;D43),1,0)</f>
        <v>0</v>
      </c>
      <c r="FI43" s="20" t="n">
        <f aca="false">SQ42</f>
        <v>0</v>
      </c>
      <c r="FJ43" s="20" t="n">
        <f aca="false">FG43*MIN(Slot15_Cost,FI43)</f>
        <v>0</v>
      </c>
      <c r="FK43" s="20" t="n">
        <f aca="false">FG43*Slot15_SpendLike*MIN(Slot15_Cost-FJ43,FC43)</f>
        <v>0</v>
      </c>
      <c r="FL43" s="20" t="n">
        <f aca="false">FJ43+FK43</f>
        <v>0</v>
      </c>
      <c r="FM43" s="20" t="n">
        <f aca="false">FC43-FK43+FG43*IF(Slot15_SpendLike=1,FI43-FJ43,IF(Slot15_PotFree=1,FI43,0))</f>
        <v>90337.5449936774</v>
      </c>
      <c r="FN43" s="20" t="n">
        <f aca="false">FD43+FG43*Slot15_BufPot*FI43</f>
        <v>21671.8974714479</v>
      </c>
      <c r="FO43" s="20" t="n">
        <f aca="false">IF(AND(FG43=1,Slot15_IsMfree=1),IF(FL43&gt;=Slot15_Cost-1,0,MAX(0,FE43-FL43)),FE43)</f>
        <v>0</v>
      </c>
      <c r="FP43" s="20" t="n">
        <f aca="false">FG43*(Slot15_Cost-FL43)</f>
        <v>0</v>
      </c>
      <c r="FQ43" s="20" t="n">
        <f aca="false">IF(AND(Slot16_On=1,D43=Slot16_Age),1,0)</f>
        <v>0</v>
      </c>
      <c r="FR43" s="20" t="n">
        <f aca="false">IF(AND(Slot16_On=1,Slot16_Age&gt;D43),1,0)</f>
        <v>0</v>
      </c>
      <c r="FS43" s="20" t="n">
        <f aca="false">SU42</f>
        <v>0</v>
      </c>
      <c r="FT43" s="20" t="n">
        <f aca="false">FQ43*MIN(Slot16_Cost,FS43)</f>
        <v>0</v>
      </c>
      <c r="FU43" s="20" t="n">
        <f aca="false">FQ43*Slot16_SpendLike*MIN(Slot16_Cost-FT43,FM43)</f>
        <v>0</v>
      </c>
      <c r="FV43" s="20" t="n">
        <f aca="false">FT43+FU43</f>
        <v>0</v>
      </c>
      <c r="FW43" s="20" t="n">
        <f aca="false">FM43-FU43+FQ43*IF(Slot16_SpendLike=1,FS43-FT43,IF(Slot16_PotFree=1,FS43,0))</f>
        <v>90337.5449936774</v>
      </c>
      <c r="FX43" s="20" t="n">
        <f aca="false">FN43+FQ43*Slot16_BufPot*FS43</f>
        <v>21671.8974714479</v>
      </c>
      <c r="FY43" s="20" t="n">
        <f aca="false">IF(AND(FQ43=1,Slot16_IsMfree=1),IF(FV43&gt;=Slot16_Cost-1,0,MAX(0,FO43-FV43)),FO43)</f>
        <v>0</v>
      </c>
      <c r="FZ43" s="20" t="n">
        <f aca="false">FQ43*(Slot16_Cost-FV43)</f>
        <v>0</v>
      </c>
      <c r="GA43" s="20" t="n">
        <f aca="false">IF(AND(Slot17_On=1,D43=Slot17_Age),1,0)</f>
        <v>0</v>
      </c>
      <c r="GB43" s="20" t="n">
        <f aca="false">IF(AND(Slot17_On=1,Slot17_Age&gt;D43),1,0)</f>
        <v>0</v>
      </c>
      <c r="GC43" s="20" t="n">
        <f aca="false">SY42</f>
        <v>0</v>
      </c>
      <c r="GD43" s="20" t="n">
        <f aca="false">GA43*MIN(Slot17_Cost,GC43)</f>
        <v>0</v>
      </c>
      <c r="GE43" s="20" t="n">
        <f aca="false">GA43*Slot17_SpendLike*MIN(Slot17_Cost-GD43,FW43)</f>
        <v>0</v>
      </c>
      <c r="GF43" s="20" t="n">
        <f aca="false">GD43+GE43</f>
        <v>0</v>
      </c>
      <c r="GG43" s="20" t="n">
        <f aca="false">FW43-GE43+GA43*IF(Slot17_SpendLike=1,GC43-GD43,IF(Slot17_PotFree=1,GC43,0))</f>
        <v>90337.5449936774</v>
      </c>
      <c r="GH43" s="20" t="n">
        <f aca="false">FX43+GA43*Slot17_BufPot*GC43</f>
        <v>21671.8974714479</v>
      </c>
      <c r="GI43" s="20" t="n">
        <f aca="false">IF(AND(GA43=1,Slot17_IsMfree=1),IF(GF43&gt;=Slot17_Cost-1,0,MAX(0,FY43-GF43)),FY43)</f>
        <v>0</v>
      </c>
      <c r="GJ43" s="20" t="n">
        <f aca="false">GA43*(Slot17_Cost-GF43)</f>
        <v>0</v>
      </c>
      <c r="GK43" s="20" t="n">
        <f aca="false">IF(AND(Slot18_On=1,D43=Slot18_Age),1,0)</f>
        <v>0</v>
      </c>
      <c r="GL43" s="20" t="n">
        <f aca="false">IF(AND(Slot18_On=1,Slot18_Age&gt;D43),1,0)</f>
        <v>0</v>
      </c>
      <c r="GM43" s="20" t="n">
        <f aca="false">TC42</f>
        <v>0</v>
      </c>
      <c r="GN43" s="20" t="n">
        <f aca="false">GK43*MIN(Slot18_Cost,GM43)</f>
        <v>0</v>
      </c>
      <c r="GO43" s="20" t="n">
        <f aca="false">GK43*Slot18_SpendLike*MIN(Slot18_Cost-GN43,GG43)</f>
        <v>0</v>
      </c>
      <c r="GP43" s="20" t="n">
        <f aca="false">GN43+GO43</f>
        <v>0</v>
      </c>
      <c r="GQ43" s="20" t="n">
        <f aca="false">GG43-GO43+GK43*IF(Slot18_SpendLike=1,GM43-GN43,IF(Slot18_PotFree=1,GM43,0))</f>
        <v>90337.5449936774</v>
      </c>
      <c r="GR43" s="20" t="n">
        <f aca="false">GH43+GK43*Slot18_BufPot*GM43</f>
        <v>21671.8974714479</v>
      </c>
      <c r="GS43" s="20" t="n">
        <f aca="false">IF(AND(GK43=1,Slot18_IsMfree=1),IF(GP43&gt;=Slot18_Cost-1,0,MAX(0,GI43-GP43)),GI43)</f>
        <v>0</v>
      </c>
      <c r="GT43" s="20" t="n">
        <f aca="false">GK43*(Slot18_Cost-GP43)</f>
        <v>0</v>
      </c>
      <c r="GU43" s="20" t="n">
        <f aca="false">IF(AND(Slot19_On=1,D43=Slot19_Age),1,0)</f>
        <v>0</v>
      </c>
      <c r="GV43" s="20" t="n">
        <f aca="false">IF(AND(Slot19_On=1,Slot19_Age&gt;D43),1,0)</f>
        <v>0</v>
      </c>
      <c r="GW43" s="20" t="n">
        <f aca="false">TG42</f>
        <v>0</v>
      </c>
      <c r="GX43" s="20" t="n">
        <f aca="false">GU43*MIN(Slot19_Cost,GW43)</f>
        <v>0</v>
      </c>
      <c r="GY43" s="20" t="n">
        <f aca="false">GU43*Slot19_SpendLike*MIN(Slot19_Cost-GX43,GQ43)</f>
        <v>0</v>
      </c>
      <c r="GZ43" s="20" t="n">
        <f aca="false">GX43+GY43</f>
        <v>0</v>
      </c>
      <c r="HA43" s="20" t="n">
        <f aca="false">GQ43-GY43+GU43*IF(Slot19_SpendLike=1,GW43-GX43,IF(Slot19_PotFree=1,GW43,0))</f>
        <v>90337.5449936774</v>
      </c>
      <c r="HB43" s="20" t="n">
        <f aca="false">GR43+GU43*Slot19_BufPot*GW43</f>
        <v>21671.8974714479</v>
      </c>
      <c r="HC43" s="20" t="n">
        <f aca="false">IF(AND(GU43=1,Slot19_IsMfree=1),IF(GZ43&gt;=Slot19_Cost-1,0,MAX(0,GS43-GZ43)),GS43)</f>
        <v>0</v>
      </c>
      <c r="HD43" s="20" t="n">
        <f aca="false">GU43*(Slot19_Cost-GZ43)</f>
        <v>0</v>
      </c>
      <c r="HE43" s="20" t="n">
        <f aca="false">IF(AND(Slot20_On=1,D43=Slot20_Age),1,0)</f>
        <v>0</v>
      </c>
      <c r="HF43" s="20" t="n">
        <f aca="false">IF(AND(Slot20_On=1,Slot20_Age&gt;D43),1,0)</f>
        <v>0</v>
      </c>
      <c r="HG43" s="20" t="n">
        <f aca="false">TK42</f>
        <v>0</v>
      </c>
      <c r="HH43" s="20" t="n">
        <f aca="false">HE43*MIN(Slot20_Cost,HG43)</f>
        <v>0</v>
      </c>
      <c r="HI43" s="20" t="n">
        <f aca="false">HE43*Slot20_SpendLike*MIN(Slot20_Cost-HH43,HA43)</f>
        <v>0</v>
      </c>
      <c r="HJ43" s="20" t="n">
        <f aca="false">HH43+HI43</f>
        <v>0</v>
      </c>
      <c r="HK43" s="20" t="n">
        <f aca="false">HA43-HI43+HE43*IF(Slot20_SpendLike=1,HG43-HH43,IF(Slot20_PotFree=1,HG43,0))</f>
        <v>90337.5449936774</v>
      </c>
      <c r="HL43" s="20" t="n">
        <f aca="false">HB43+HE43*Slot20_BufPot*HG43</f>
        <v>21671.8974714479</v>
      </c>
      <c r="HM43" s="20" t="n">
        <f aca="false">IF(AND(HE43=1,Slot20_IsMfree=1),IF(HJ43&gt;=Slot20_Cost-1,0,MAX(0,HC43-HJ43)),HC43)</f>
        <v>0</v>
      </c>
      <c r="HN43" s="20" t="n">
        <f aca="false">HE43*(Slot20_Cost-HJ43)</f>
        <v>0</v>
      </c>
      <c r="HO43" s="20" t="n">
        <f aca="false">V43*Slot1_SpendLike*AA43+AG43*Slot2_SpendLike*AL43+AQ43*Slot3_SpendLike*AV43+BA43*Slot4_SpendLike*BF43+BK43*Slot5_SpendLike*BP43+BU43*Slot6_SpendLike*BZ43+CE43*Slot7_SpendLike*CJ43+CO43*Slot8_SpendLike*CT43+CY43*Slot9_SpendLike*DD43+DI43*Slot10_SpendLike*DN43+DS43*Slot11_SpendLike*DX43+EC43*Slot12_SpendLike*EH43+EM43*Slot13_SpendLike*ER43+EW43*Slot14_SpendLike*FB43+FG43*Slot15_SpendLike*FL43+FQ43*Slot16_SpendLike*FV43+GA43*Slot17_SpendLike*GF43+GK43*Slot18_SpendLike*GP43+GU43*Slot19_SpendLike*GZ43+HE43*Slot20_SpendLike*HJ43</f>
        <v>0</v>
      </c>
      <c r="HP43" s="20" t="n">
        <f aca="false">AE43+AP43+AZ43+BJ43+BT43+CD43+CN43+CX43+DH43+DR43+EB43+EL43+EV43+FF43+FP43+FZ43+GJ43+GT43+HD43+HN43</f>
        <v>0</v>
      </c>
      <c r="HQ43" s="20" t="n">
        <f aca="false">V43*Slot1_Cost+AG43*Slot2_Cost+AQ43*Slot3_Cost+BA43*Slot4_Cost+BK43*Slot5_Cost+BU43*Slot6_Cost+CE43*Slot7_Cost+CO43*Slot8_Cost+CY43*Slot9_Cost+DI43*Slot10_Cost+DS43*Slot11_Cost+EC43*Slot12_Cost+EM43*Slot13_Cost+EW43*Slot14_Cost+FG43*Slot15_Cost+FQ43*Slot16_Cost+GA43*Slot17_Cost+GK43*Slot18_Cost+GU43*Slot19_Cost+HE43*Slot20_Cost</f>
        <v>0</v>
      </c>
      <c r="HR43" s="20" t="n">
        <f aca="false">HM43</f>
        <v>0</v>
      </c>
      <c r="HS43" s="20" t="n">
        <f aca="false">H43-I43-S43</f>
        <v>-21440.3432638788</v>
      </c>
      <c r="HT43" s="20" t="n">
        <f aca="false">IF(B43=0,IF(AND(Has_q6=1,In_q6=4),PR_ShareVaries*(MAX(0,HS43)/12),MIN(IF(Has_q6=1,CHOOSE(In_q6+1,PR_SaveB1,PR_SaveB2,PR_SaveB3,PR_SaveB4,0),AS_NoAnswer),AS_SaveShare*(MAX(0,HS43)/12))),HT42)</f>
        <v>62.3316893520437</v>
      </c>
      <c r="HU43" s="20" t="n">
        <f aca="false">IF(HS43&gt;=0,1,0)</f>
        <v>0</v>
      </c>
      <c r="HV43" s="20" t="n">
        <f aca="false">MAX(0,HS43/12/F43)</f>
        <v>0</v>
      </c>
      <c r="HW43" s="20" t="n">
        <f aca="false">IF(AND(Has_q6=1,In_q6=4),PR_ShareVaries*(HV43),MIN(IF(Has_q6=1,CHOOSE(In_q6+1,PR_SaveB1,PR_SaveB2,PR_SaveB3,PR_SaveB4,0),AS_NoAnswer),AS_SaveShare*(HV43)))</f>
        <v>0</v>
      </c>
      <c r="HX43" s="20" t="n">
        <f aca="false">IF(Has_saveM=1,IF(In_saveUp="Yes",1,IF(In_saveUp="No",0,IF(In_saveM&gt;=HT43-0.5,1,0))),0)</f>
        <v>0</v>
      </c>
      <c r="HY43" s="20" t="n">
        <f aca="false">IF(Has_saveM=1,MIN(HV43,IF(HX43=1,MAX(In_saveM,HW43),MIN(In_saveM,HW43))),HW43)</f>
        <v>0</v>
      </c>
      <c r="HZ43" s="20" t="n">
        <f aca="false">IF(G43=1,HY43*12*F43,0)</f>
        <v>0</v>
      </c>
      <c r="IA43" s="20" t="n">
        <f aca="false">MAX(0,HZ43+IF(AND(WI_Retire=0,WI_M&lt;0,G43=1),WI_M*12*F43,0))</f>
        <v>0</v>
      </c>
      <c r="IB43" s="20" t="n">
        <f aca="false">Slot1_IsWG*W43+Slot2_IsWG*AH43+Slot3_IsWG*AR43+Slot4_IsWG*BB43+Slot5_IsWG*BL43+Slot6_IsWG*BV43+Slot7_IsWG*CF43+Slot8_IsWG*CP43+Slot9_IsWG*CZ43+Slot10_IsWG*DJ43+Slot11_IsWG*DT43+Slot12_IsWG*ED43+Slot13_IsWG*EN43+Slot14_IsWG*EX43+Slot15_IsWG*FH43+Slot16_IsWG*FR43+Slot17_IsWG*GB43+Slot18_IsWG*GL43+Slot19_IsWG*GV43+Slot20_IsWG*HF43</f>
        <v>0</v>
      </c>
      <c r="IC43" s="20" t="n">
        <f aca="false">IF(AND(WI_Retire=0,WI_M&gt;0,G43=1,IB43&gt;=1),WI_M*12*F43,0)</f>
        <v>0</v>
      </c>
      <c r="ID43" s="20" t="n">
        <f aca="false">IF(HU43=1,MIN(IA43,HS43),0)</f>
        <v>0</v>
      </c>
      <c r="IE43" s="20" t="n">
        <f aca="false">IF(HU43=1,MIN(IC43,HS43-ID43),0)</f>
        <v>0</v>
      </c>
      <c r="IF43" s="20" t="n">
        <f aca="false">IF(W43=1,IF(ABS((1+AS_Wage)/(1+Slot1_Rate)-1)&lt;0.000000000001,(Slot1_Age-D43)*(1+Slot1_Rate)^(Slot1_Age-D43),(1+Slot1_Rate)^(Slot1_Age-D43)*(1-((1+AS_Wage)/(1+Slot1_Rate))^(Slot1_Age-D43))/(1-(1+AS_Wage)/(1+Slot1_Rate))),1)</f>
        <v>1</v>
      </c>
      <c r="IG43" s="20" t="n">
        <f aca="false">IF(AND(HU43=1,IE43&gt;0,Slot1_IsWG=1,W43=1),MAX(0,(Slot1_Cost-X43*(1+Slot1_Rate)^(Slot1_Age-D43))/IF43),0)</f>
        <v>0</v>
      </c>
      <c r="IH43" s="20" t="n">
        <f aca="false">IF(AND(HU43=1,IE43&gt;0,Slot1_IsWG=1,W43=1),MIN(IE43,IG43),0)</f>
        <v>0</v>
      </c>
      <c r="II43" s="20" t="n">
        <f aca="false">X43+IH43</f>
        <v>0</v>
      </c>
      <c r="IJ43" s="20" t="n">
        <f aca="false">IF(W43=1,MAX(0,(Slot1_Cost-II43*(1+Slot1_Rate)^(Slot1_Age-D43))/IF43),0)</f>
        <v>0</v>
      </c>
      <c r="IK43" s="20" t="n">
        <f aca="false">IF(W43=1,MAX(0,(Slot1_Cost-X43*(1+Slot1_Rate)^(Slot1_Age-D43))/IF43),0)</f>
        <v>0</v>
      </c>
      <c r="IL43" s="20" t="n">
        <f aca="false">IF(AND(HU43=1,W43=1),MIN(ID43,IJ43),0)</f>
        <v>0</v>
      </c>
      <c r="IM43" s="20" t="n">
        <f aca="false">ID43-IL43</f>
        <v>0</v>
      </c>
      <c r="IN43" s="20" t="n">
        <f aca="false">IF(AH43=1,IF(ABS((1+AS_Wage)/(1+Slot2_Rate)-1)&lt;0.000000000001,(Slot2_Age-D43)*(1+Slot2_Rate)^(Slot2_Age-D43),(1+Slot2_Rate)^(Slot2_Age-D43)*(1-((1+AS_Wage)/(1+Slot2_Rate))^(Slot2_Age-D43))/(1-(1+AS_Wage)/(1+Slot2_Rate))),1)</f>
        <v>1</v>
      </c>
      <c r="IO43" s="20" t="n">
        <f aca="false">IF(AND(HU43=1,IE43&gt;0,Slot2_IsWG=1,AH43=1),MAX(0,(Slot2_Cost-AI43*(1+Slot2_Rate)^(Slot2_Age-D43))/IN43),0)</f>
        <v>0</v>
      </c>
      <c r="IP43" s="20" t="n">
        <f aca="false">IF(AND(HU43=1,IE43&gt;0,Slot2_IsWG=1,AH43=1),MIN(IE43,IO43),0)</f>
        <v>0</v>
      </c>
      <c r="IQ43" s="20" t="n">
        <f aca="false">AI43+IP43</f>
        <v>0</v>
      </c>
      <c r="IR43" s="20" t="n">
        <f aca="false">IF(AH43=1,MAX(0,(Slot2_Cost-IQ43*(1+Slot2_Rate)^(Slot2_Age-D43))/IN43),0)</f>
        <v>0</v>
      </c>
      <c r="IS43" s="20" t="n">
        <f aca="false">IF(AH43=1,MAX(0,(Slot2_Cost-AI43*(1+Slot2_Rate)^(Slot2_Age-D43))/IN43),0)</f>
        <v>0</v>
      </c>
      <c r="IT43" s="20" t="n">
        <f aca="false">IF(AND(HU43=1,AH43=1),MIN(IM43,IR43),0)</f>
        <v>0</v>
      </c>
      <c r="IU43" s="20" t="n">
        <f aca="false">IM43-IT43</f>
        <v>0</v>
      </c>
      <c r="IV43" s="20" t="n">
        <f aca="false">IF(AR43=1,IF(ABS((1+AS_Wage)/(1+Slot3_Rate)-1)&lt;0.000000000001,(Slot3_Age-D43)*(1+Slot3_Rate)^(Slot3_Age-D43),(1+Slot3_Rate)^(Slot3_Age-D43)*(1-((1+AS_Wage)/(1+Slot3_Rate))^(Slot3_Age-D43))/(1-(1+AS_Wage)/(1+Slot3_Rate))),1)</f>
        <v>1</v>
      </c>
      <c r="IW43" s="20" t="n">
        <f aca="false">IF(AND(HU43=1,IE43&gt;0,Slot3_IsWG=1,AR43=1),MAX(0,(Slot3_Cost-AS43*(1+Slot3_Rate)^(Slot3_Age-D43))/IV43),0)</f>
        <v>0</v>
      </c>
      <c r="IX43" s="20" t="n">
        <f aca="false">IF(AND(HU43=1,IE43&gt;0,Slot3_IsWG=1,AR43=1),MIN(IE43,IW43),0)</f>
        <v>0</v>
      </c>
      <c r="IY43" s="20" t="n">
        <f aca="false">AS43+IX43</f>
        <v>0</v>
      </c>
      <c r="IZ43" s="20" t="n">
        <f aca="false">IF(AR43=1,MAX(0,(Slot3_Cost-IY43*(1+Slot3_Rate)^(Slot3_Age-D43))/IV43),0)</f>
        <v>0</v>
      </c>
      <c r="JA43" s="20" t="n">
        <f aca="false">IF(AR43=1,MAX(0,(Slot3_Cost-AS43*(1+Slot3_Rate)^(Slot3_Age-D43))/IV43),0)</f>
        <v>0</v>
      </c>
      <c r="JB43" s="20" t="n">
        <f aca="false">IF(AND(HU43=1,AR43=1),MIN(IU43,IZ43),0)</f>
        <v>0</v>
      </c>
      <c r="JC43" s="20" t="n">
        <f aca="false">IU43-JB43</f>
        <v>0</v>
      </c>
      <c r="JD43" s="20" t="n">
        <f aca="false">IF(BB43=1,IF(ABS((1+AS_Wage)/(1+Slot4_Rate)-1)&lt;0.000000000001,(Slot4_Age-D43)*(1+Slot4_Rate)^(Slot4_Age-D43),(1+Slot4_Rate)^(Slot4_Age-D43)*(1-((1+AS_Wage)/(1+Slot4_Rate))^(Slot4_Age-D43))/(1-(1+AS_Wage)/(1+Slot4_Rate))),1)</f>
        <v>1</v>
      </c>
      <c r="JE43" s="20" t="n">
        <f aca="false">IF(AND(HU43=1,IE43&gt;0,Slot4_IsWG=1,BB43=1),MAX(0,(Slot4_Cost-BC43*(1+Slot4_Rate)^(Slot4_Age-D43))/JD43),0)</f>
        <v>0</v>
      </c>
      <c r="JF43" s="20" t="n">
        <f aca="false">IF(AND(HU43=1,IE43&gt;0,Slot4_IsWG=1,BB43=1),MIN(IE43,JE43),0)</f>
        <v>0</v>
      </c>
      <c r="JG43" s="20" t="n">
        <f aca="false">BC43+JF43</f>
        <v>0</v>
      </c>
      <c r="JH43" s="20" t="n">
        <f aca="false">IF(BB43=1,MAX(0,(Slot4_Cost-JG43*(1+Slot4_Rate)^(Slot4_Age-D43))/JD43),0)</f>
        <v>0</v>
      </c>
      <c r="JI43" s="20" t="n">
        <f aca="false">IF(BB43=1,MAX(0,(Slot4_Cost-BC43*(1+Slot4_Rate)^(Slot4_Age-D43))/JD43),0)</f>
        <v>0</v>
      </c>
      <c r="JJ43" s="20" t="n">
        <f aca="false">IF(AND(HU43=1,BB43=1),MIN(JC43,JH43),0)</f>
        <v>0</v>
      </c>
      <c r="JK43" s="20" t="n">
        <f aca="false">JC43-JJ43</f>
        <v>0</v>
      </c>
      <c r="JL43" s="20" t="n">
        <f aca="false">IF(BL43=1,IF(ABS((1+AS_Wage)/(1+Slot5_Rate)-1)&lt;0.000000000001,(Slot5_Age-D43)*(1+Slot5_Rate)^(Slot5_Age-D43),(1+Slot5_Rate)^(Slot5_Age-D43)*(1-((1+AS_Wage)/(1+Slot5_Rate))^(Slot5_Age-D43))/(1-(1+AS_Wage)/(1+Slot5_Rate))),1)</f>
        <v>1</v>
      </c>
      <c r="JM43" s="20" t="n">
        <f aca="false">IF(AND(HU43=1,IE43&gt;0,Slot5_IsWG=1,BL43=1),MAX(0,(Slot5_Cost-BM43*(1+Slot5_Rate)^(Slot5_Age-D43))/JL43),0)</f>
        <v>0</v>
      </c>
      <c r="JN43" s="20" t="n">
        <f aca="false">IF(AND(HU43=1,IE43&gt;0,Slot5_IsWG=1,BL43=1),MIN(IE43,JM43),0)</f>
        <v>0</v>
      </c>
      <c r="JO43" s="20" t="n">
        <f aca="false">BM43+JN43</f>
        <v>0</v>
      </c>
      <c r="JP43" s="20" t="n">
        <f aca="false">IF(BL43=1,MAX(0,(Slot5_Cost-JO43*(1+Slot5_Rate)^(Slot5_Age-D43))/JL43),0)</f>
        <v>0</v>
      </c>
      <c r="JQ43" s="20" t="n">
        <f aca="false">IF(BL43=1,MAX(0,(Slot5_Cost-BM43*(1+Slot5_Rate)^(Slot5_Age-D43))/JL43),0)</f>
        <v>0</v>
      </c>
      <c r="JR43" s="20" t="n">
        <f aca="false">IF(AND(HU43=1,BL43=1),MIN(JK43,JP43),0)</f>
        <v>0</v>
      </c>
      <c r="JS43" s="20" t="n">
        <f aca="false">JK43-JR43</f>
        <v>0</v>
      </c>
      <c r="JT43" s="20" t="n">
        <f aca="false">IF(BV43=1,IF(ABS((1+AS_Wage)/(1+Slot6_Rate)-1)&lt;0.000000000001,(Slot6_Age-D43)*(1+Slot6_Rate)^(Slot6_Age-D43),(1+Slot6_Rate)^(Slot6_Age-D43)*(1-((1+AS_Wage)/(1+Slot6_Rate))^(Slot6_Age-D43))/(1-(1+AS_Wage)/(1+Slot6_Rate))),1)</f>
        <v>1</v>
      </c>
      <c r="JU43" s="20" t="n">
        <f aca="false">IF(AND(HU43=1,IE43&gt;0,Slot6_IsWG=1,BV43=1),MAX(0,(Slot6_Cost-BW43*(1+Slot6_Rate)^(Slot6_Age-D43))/JT43),0)</f>
        <v>0</v>
      </c>
      <c r="JV43" s="20" t="n">
        <f aca="false">IF(AND(HU43=1,IE43&gt;0,Slot6_IsWG=1,BV43=1),MIN(IE43,JU43),0)</f>
        <v>0</v>
      </c>
      <c r="JW43" s="20" t="n">
        <f aca="false">BW43+JV43</f>
        <v>0</v>
      </c>
      <c r="JX43" s="20" t="n">
        <f aca="false">IF(BV43=1,MAX(0,(Slot6_Cost-JW43*(1+Slot6_Rate)^(Slot6_Age-D43))/JT43),0)</f>
        <v>0</v>
      </c>
      <c r="JY43" s="20" t="n">
        <f aca="false">IF(BV43=1,MAX(0,(Slot6_Cost-BW43*(1+Slot6_Rate)^(Slot6_Age-D43))/JT43),0)</f>
        <v>0</v>
      </c>
      <c r="JZ43" s="20" t="n">
        <f aca="false">IF(AND(HU43=1,BV43=1),MIN(JS43,JX43),0)</f>
        <v>0</v>
      </c>
      <c r="KA43" s="20" t="n">
        <f aca="false">JS43-JZ43</f>
        <v>0</v>
      </c>
      <c r="KB43" s="20" t="n">
        <f aca="false">IF(CF43=1,IF(ABS((1+AS_Wage)/(1+Slot7_Rate)-1)&lt;0.000000000001,(Slot7_Age-D43)*(1+Slot7_Rate)^(Slot7_Age-D43),(1+Slot7_Rate)^(Slot7_Age-D43)*(1-((1+AS_Wage)/(1+Slot7_Rate))^(Slot7_Age-D43))/(1-(1+AS_Wage)/(1+Slot7_Rate))),1)</f>
        <v>1</v>
      </c>
      <c r="KC43" s="20" t="n">
        <f aca="false">IF(AND(HU43=1,IE43&gt;0,Slot7_IsWG=1,CF43=1),MAX(0,(Slot7_Cost-CG43*(1+Slot7_Rate)^(Slot7_Age-D43))/KB43),0)</f>
        <v>0</v>
      </c>
      <c r="KD43" s="20" t="n">
        <f aca="false">IF(AND(HU43=1,IE43&gt;0,Slot7_IsWG=1,CF43=1),MIN(IE43,KC43),0)</f>
        <v>0</v>
      </c>
      <c r="KE43" s="20" t="n">
        <f aca="false">CG43+KD43</f>
        <v>0</v>
      </c>
      <c r="KF43" s="20" t="n">
        <f aca="false">IF(CF43=1,MAX(0,(Slot7_Cost-KE43*(1+Slot7_Rate)^(Slot7_Age-D43))/KB43),0)</f>
        <v>0</v>
      </c>
      <c r="KG43" s="20" t="n">
        <f aca="false">IF(CF43=1,MAX(0,(Slot7_Cost-CG43*(1+Slot7_Rate)^(Slot7_Age-D43))/KB43),0)</f>
        <v>0</v>
      </c>
      <c r="KH43" s="20" t="n">
        <f aca="false">IF(AND(HU43=1,CF43=1),MIN(KA43,KF43),0)</f>
        <v>0</v>
      </c>
      <c r="KI43" s="20" t="n">
        <f aca="false">KA43-KH43</f>
        <v>0</v>
      </c>
      <c r="KJ43" s="20" t="n">
        <f aca="false">IF(CP43=1,IF(ABS((1+AS_Wage)/(1+Slot8_Rate)-1)&lt;0.000000000001,(Slot8_Age-D43)*(1+Slot8_Rate)^(Slot8_Age-D43),(1+Slot8_Rate)^(Slot8_Age-D43)*(1-((1+AS_Wage)/(1+Slot8_Rate))^(Slot8_Age-D43))/(1-(1+AS_Wage)/(1+Slot8_Rate))),1)</f>
        <v>1</v>
      </c>
      <c r="KK43" s="20" t="n">
        <f aca="false">IF(AND(HU43=1,IE43&gt;0,Slot8_IsWG=1,CP43=1),MAX(0,(Slot8_Cost-CQ43*(1+Slot8_Rate)^(Slot8_Age-D43))/KJ43),0)</f>
        <v>0</v>
      </c>
      <c r="KL43" s="20" t="n">
        <f aca="false">IF(AND(HU43=1,IE43&gt;0,Slot8_IsWG=1,CP43=1),MIN(IE43,KK43),0)</f>
        <v>0</v>
      </c>
      <c r="KM43" s="20" t="n">
        <f aca="false">CQ43+KL43</f>
        <v>0</v>
      </c>
      <c r="KN43" s="20" t="n">
        <f aca="false">IF(CP43=1,MAX(0,(Slot8_Cost-KM43*(1+Slot8_Rate)^(Slot8_Age-D43))/KJ43),0)</f>
        <v>0</v>
      </c>
      <c r="KO43" s="20" t="n">
        <f aca="false">IF(CP43=1,MAX(0,(Slot8_Cost-CQ43*(1+Slot8_Rate)^(Slot8_Age-D43))/KJ43),0)</f>
        <v>0</v>
      </c>
      <c r="KP43" s="20" t="n">
        <f aca="false">IF(AND(HU43=1,CP43=1),MIN(KI43,KN43),0)</f>
        <v>0</v>
      </c>
      <c r="KQ43" s="20" t="n">
        <f aca="false">KI43-KP43</f>
        <v>0</v>
      </c>
      <c r="KR43" s="20" t="n">
        <f aca="false">IF(CZ43=1,IF(ABS((1+AS_Wage)/(1+Slot9_Rate)-1)&lt;0.000000000001,(Slot9_Age-D43)*(1+Slot9_Rate)^(Slot9_Age-D43),(1+Slot9_Rate)^(Slot9_Age-D43)*(1-((1+AS_Wage)/(1+Slot9_Rate))^(Slot9_Age-D43))/(1-(1+AS_Wage)/(1+Slot9_Rate))),1)</f>
        <v>1</v>
      </c>
      <c r="KS43" s="20" t="n">
        <f aca="false">IF(AND(HU43=1,IE43&gt;0,Slot9_IsWG=1,CZ43=1),MAX(0,(Slot9_Cost-DA43*(1+Slot9_Rate)^(Slot9_Age-D43))/KR43),0)</f>
        <v>0</v>
      </c>
      <c r="KT43" s="20" t="n">
        <f aca="false">IF(AND(HU43=1,IE43&gt;0,Slot9_IsWG=1,CZ43=1),MIN(IE43,KS43),0)</f>
        <v>0</v>
      </c>
      <c r="KU43" s="20" t="n">
        <f aca="false">DA43+KT43</f>
        <v>0</v>
      </c>
      <c r="KV43" s="20" t="n">
        <f aca="false">IF(CZ43=1,MAX(0,(Slot9_Cost-KU43*(1+Slot9_Rate)^(Slot9_Age-D43))/KR43),0)</f>
        <v>0</v>
      </c>
      <c r="KW43" s="20" t="n">
        <f aca="false">IF(CZ43=1,MAX(0,(Slot9_Cost-DA43*(1+Slot9_Rate)^(Slot9_Age-D43))/KR43),0)</f>
        <v>0</v>
      </c>
      <c r="KX43" s="20" t="n">
        <f aca="false">IF(AND(HU43=1,CZ43=1),MIN(KQ43,KV43),0)</f>
        <v>0</v>
      </c>
      <c r="KY43" s="20" t="n">
        <f aca="false">KQ43-KX43</f>
        <v>0</v>
      </c>
      <c r="KZ43" s="20" t="n">
        <f aca="false">IF(DJ43=1,IF(ABS((1+AS_Wage)/(1+Slot10_Rate)-1)&lt;0.000000000001,(Slot10_Age-D43)*(1+Slot10_Rate)^(Slot10_Age-D43),(1+Slot10_Rate)^(Slot10_Age-D43)*(1-((1+AS_Wage)/(1+Slot10_Rate))^(Slot10_Age-D43))/(1-(1+AS_Wage)/(1+Slot10_Rate))),1)</f>
        <v>1</v>
      </c>
      <c r="LA43" s="20" t="n">
        <f aca="false">IF(AND(HU43=1,IE43&gt;0,Slot10_IsWG=1,DJ43=1),MAX(0,(Slot10_Cost-DK43*(1+Slot10_Rate)^(Slot10_Age-D43))/KZ43),0)</f>
        <v>0</v>
      </c>
      <c r="LB43" s="20" t="n">
        <f aca="false">IF(AND(HU43=1,IE43&gt;0,Slot10_IsWG=1,DJ43=1),MIN(IE43,LA43),0)</f>
        <v>0</v>
      </c>
      <c r="LC43" s="20" t="n">
        <f aca="false">DK43+LB43</f>
        <v>0</v>
      </c>
      <c r="LD43" s="20" t="n">
        <f aca="false">IF(DJ43=1,MAX(0,(Slot10_Cost-LC43*(1+Slot10_Rate)^(Slot10_Age-D43))/KZ43),0)</f>
        <v>0</v>
      </c>
      <c r="LE43" s="20" t="n">
        <f aca="false">IF(DJ43=1,MAX(0,(Slot10_Cost-DK43*(1+Slot10_Rate)^(Slot10_Age-D43))/KZ43),0)</f>
        <v>0</v>
      </c>
      <c r="LF43" s="20" t="n">
        <f aca="false">IF(AND(HU43=1,DJ43=1),MIN(KY43,LD43),0)</f>
        <v>0</v>
      </c>
      <c r="LG43" s="20" t="n">
        <f aca="false">KY43-LF43</f>
        <v>0</v>
      </c>
      <c r="LH43" s="20" t="n">
        <f aca="false">IF(DT43=1,IF(ABS((1+AS_Wage)/(1+Slot11_Rate)-1)&lt;0.000000000001,(Slot11_Age-D43)*(1+Slot11_Rate)^(Slot11_Age-D43),(1+Slot11_Rate)^(Slot11_Age-D43)*(1-((1+AS_Wage)/(1+Slot11_Rate))^(Slot11_Age-D43))/(1-(1+AS_Wage)/(1+Slot11_Rate))),1)</f>
        <v>1</v>
      </c>
      <c r="LI43" s="20" t="n">
        <f aca="false">IF(AND(HU43=1,IE43&gt;0,Slot11_IsWG=1,DT43=1),MAX(0,(Slot11_Cost-DU43*(1+Slot11_Rate)^(Slot11_Age-D43))/LH43),0)</f>
        <v>0</v>
      </c>
      <c r="LJ43" s="20" t="n">
        <f aca="false">IF(AND(HU43=1,IE43&gt;0,Slot11_IsWG=1,DT43=1),MIN(IE43,LI43),0)</f>
        <v>0</v>
      </c>
      <c r="LK43" s="20" t="n">
        <f aca="false">DU43+LJ43</f>
        <v>0</v>
      </c>
      <c r="LL43" s="20" t="n">
        <f aca="false">IF(DT43=1,MAX(0,(Slot11_Cost-LK43*(1+Slot11_Rate)^(Slot11_Age-D43))/LH43),0)</f>
        <v>0</v>
      </c>
      <c r="LM43" s="20" t="n">
        <f aca="false">IF(DT43=1,MAX(0,(Slot11_Cost-DU43*(1+Slot11_Rate)^(Slot11_Age-D43))/LH43),0)</f>
        <v>0</v>
      </c>
      <c r="LN43" s="20" t="n">
        <f aca="false">IF(AND(HU43=1,DT43=1),MIN(LG43,LL43),0)</f>
        <v>0</v>
      </c>
      <c r="LO43" s="20" t="n">
        <f aca="false">LG43-LN43</f>
        <v>0</v>
      </c>
      <c r="LP43" s="20" t="n">
        <f aca="false">IF(ED43=1,IF(ABS((1+AS_Wage)/(1+Slot12_Rate)-1)&lt;0.000000000001,(Slot12_Age-D43)*(1+Slot12_Rate)^(Slot12_Age-D43),(1+Slot12_Rate)^(Slot12_Age-D43)*(1-((1+AS_Wage)/(1+Slot12_Rate))^(Slot12_Age-D43))/(1-(1+AS_Wage)/(1+Slot12_Rate))),1)</f>
        <v>1</v>
      </c>
      <c r="LQ43" s="20" t="n">
        <f aca="false">IF(AND(HU43=1,IE43&gt;0,Slot12_IsWG=1,ED43=1),MAX(0,(Slot12_Cost-EE43*(1+Slot12_Rate)^(Slot12_Age-D43))/LP43),0)</f>
        <v>0</v>
      </c>
      <c r="LR43" s="20" t="n">
        <f aca="false">IF(AND(HU43=1,IE43&gt;0,Slot12_IsWG=1,ED43=1),MIN(IE43,LQ43),0)</f>
        <v>0</v>
      </c>
      <c r="LS43" s="20" t="n">
        <f aca="false">EE43+LR43</f>
        <v>0</v>
      </c>
      <c r="LT43" s="20" t="n">
        <f aca="false">IF(ED43=1,MAX(0,(Slot12_Cost-LS43*(1+Slot12_Rate)^(Slot12_Age-D43))/LP43),0)</f>
        <v>0</v>
      </c>
      <c r="LU43" s="20" t="n">
        <f aca="false">IF(ED43=1,MAX(0,(Slot12_Cost-EE43*(1+Slot12_Rate)^(Slot12_Age-D43))/LP43),0)</f>
        <v>0</v>
      </c>
      <c r="LV43" s="20" t="n">
        <f aca="false">IF(AND(HU43=1,ED43=1),MIN(LO43,LT43),0)</f>
        <v>0</v>
      </c>
      <c r="LW43" s="20" t="n">
        <f aca="false">LO43-LV43</f>
        <v>0</v>
      </c>
      <c r="LX43" s="20" t="n">
        <f aca="false">IF(EN43=1,IF(ABS((1+AS_Wage)/(1+Slot13_Rate)-1)&lt;0.000000000001,(Slot13_Age-D43)*(1+Slot13_Rate)^(Slot13_Age-D43),(1+Slot13_Rate)^(Slot13_Age-D43)*(1-((1+AS_Wage)/(1+Slot13_Rate))^(Slot13_Age-D43))/(1-(1+AS_Wage)/(1+Slot13_Rate))),1)</f>
        <v>1</v>
      </c>
      <c r="LY43" s="20" t="n">
        <f aca="false">IF(AND(HU43=1,IE43&gt;0,Slot13_IsWG=1,EN43=1),MAX(0,(Slot13_Cost-EO43*(1+Slot13_Rate)^(Slot13_Age-D43))/LX43),0)</f>
        <v>0</v>
      </c>
      <c r="LZ43" s="20" t="n">
        <f aca="false">IF(AND(HU43=1,IE43&gt;0,Slot13_IsWG=1,EN43=1),MIN(IE43,LY43),0)</f>
        <v>0</v>
      </c>
      <c r="MA43" s="20" t="n">
        <f aca="false">EO43+LZ43</f>
        <v>0</v>
      </c>
      <c r="MB43" s="20" t="n">
        <f aca="false">IF(EN43=1,MAX(0,(Slot13_Cost-MA43*(1+Slot13_Rate)^(Slot13_Age-D43))/LX43),0)</f>
        <v>0</v>
      </c>
      <c r="MC43" s="20" t="n">
        <f aca="false">IF(EN43=1,MAX(0,(Slot13_Cost-EO43*(1+Slot13_Rate)^(Slot13_Age-D43))/LX43),0)</f>
        <v>0</v>
      </c>
      <c r="MD43" s="20" t="n">
        <f aca="false">IF(AND(HU43=1,EN43=1),MIN(LW43,MB43),0)</f>
        <v>0</v>
      </c>
      <c r="ME43" s="20" t="n">
        <f aca="false">LW43-MD43</f>
        <v>0</v>
      </c>
      <c r="MF43" s="20" t="n">
        <f aca="false">IF(EX43=1,IF(ABS((1+AS_Wage)/(1+Slot14_Rate)-1)&lt;0.000000000001,(Slot14_Age-D43)*(1+Slot14_Rate)^(Slot14_Age-D43),(1+Slot14_Rate)^(Slot14_Age-D43)*(1-((1+AS_Wage)/(1+Slot14_Rate))^(Slot14_Age-D43))/(1-(1+AS_Wage)/(1+Slot14_Rate))),1)</f>
        <v>1</v>
      </c>
      <c r="MG43" s="20" t="n">
        <f aca="false">IF(AND(HU43=1,IE43&gt;0,Slot14_IsWG=1,EX43=1),MAX(0,(Slot14_Cost-EY43*(1+Slot14_Rate)^(Slot14_Age-D43))/MF43),0)</f>
        <v>0</v>
      </c>
      <c r="MH43" s="20" t="n">
        <f aca="false">IF(AND(HU43=1,IE43&gt;0,Slot14_IsWG=1,EX43=1),MIN(IE43,MG43),0)</f>
        <v>0</v>
      </c>
      <c r="MI43" s="20" t="n">
        <f aca="false">EY43+MH43</f>
        <v>0</v>
      </c>
      <c r="MJ43" s="20" t="n">
        <f aca="false">IF(EX43=1,MAX(0,(Slot14_Cost-MI43*(1+Slot14_Rate)^(Slot14_Age-D43))/MF43),0)</f>
        <v>0</v>
      </c>
      <c r="MK43" s="20" t="n">
        <f aca="false">IF(EX43=1,MAX(0,(Slot14_Cost-EY43*(1+Slot14_Rate)^(Slot14_Age-D43))/MF43),0)</f>
        <v>0</v>
      </c>
      <c r="ML43" s="20" t="n">
        <f aca="false">IF(AND(HU43=1,EX43=1),MIN(ME43,MJ43),0)</f>
        <v>0</v>
      </c>
      <c r="MM43" s="20" t="n">
        <f aca="false">ME43-ML43</f>
        <v>0</v>
      </c>
      <c r="MN43" s="20" t="n">
        <f aca="false">IF(FH43=1,IF(ABS((1+AS_Wage)/(1+Slot15_Rate)-1)&lt;0.000000000001,(Slot15_Age-D43)*(1+Slot15_Rate)^(Slot15_Age-D43),(1+Slot15_Rate)^(Slot15_Age-D43)*(1-((1+AS_Wage)/(1+Slot15_Rate))^(Slot15_Age-D43))/(1-(1+AS_Wage)/(1+Slot15_Rate))),1)</f>
        <v>1</v>
      </c>
      <c r="MO43" s="20" t="n">
        <f aca="false">IF(AND(HU43=1,IE43&gt;0,Slot15_IsWG=1,FH43=1),MAX(0,(Slot15_Cost-FI43*(1+Slot15_Rate)^(Slot15_Age-D43))/MN43),0)</f>
        <v>0</v>
      </c>
      <c r="MP43" s="20" t="n">
        <f aca="false">IF(AND(HU43=1,IE43&gt;0,Slot15_IsWG=1,FH43=1),MIN(IE43,MO43),0)</f>
        <v>0</v>
      </c>
      <c r="MQ43" s="20" t="n">
        <f aca="false">FI43+MP43</f>
        <v>0</v>
      </c>
      <c r="MR43" s="20" t="n">
        <f aca="false">IF(FH43=1,MAX(0,(Slot15_Cost-MQ43*(1+Slot15_Rate)^(Slot15_Age-D43))/MN43),0)</f>
        <v>0</v>
      </c>
      <c r="MS43" s="20" t="n">
        <f aca="false">IF(FH43=1,MAX(0,(Slot15_Cost-FI43*(1+Slot15_Rate)^(Slot15_Age-D43))/MN43),0)</f>
        <v>0</v>
      </c>
      <c r="MT43" s="20" t="n">
        <f aca="false">IF(AND(HU43=1,FH43=1),MIN(MM43,MR43),0)</f>
        <v>0</v>
      </c>
      <c r="MU43" s="20" t="n">
        <f aca="false">MM43-MT43</f>
        <v>0</v>
      </c>
      <c r="MV43" s="20" t="n">
        <f aca="false">IF(FR43=1,IF(ABS((1+AS_Wage)/(1+Slot16_Rate)-1)&lt;0.000000000001,(Slot16_Age-D43)*(1+Slot16_Rate)^(Slot16_Age-D43),(1+Slot16_Rate)^(Slot16_Age-D43)*(1-((1+AS_Wage)/(1+Slot16_Rate))^(Slot16_Age-D43))/(1-(1+AS_Wage)/(1+Slot16_Rate))),1)</f>
        <v>1</v>
      </c>
      <c r="MW43" s="20" t="n">
        <f aca="false">IF(AND(HU43=1,IE43&gt;0,Slot16_IsWG=1,FR43=1),MAX(0,(Slot16_Cost-FS43*(1+Slot16_Rate)^(Slot16_Age-D43))/MV43),0)</f>
        <v>0</v>
      </c>
      <c r="MX43" s="20" t="n">
        <f aca="false">IF(AND(HU43=1,IE43&gt;0,Slot16_IsWG=1,FR43=1),MIN(IE43,MW43),0)</f>
        <v>0</v>
      </c>
      <c r="MY43" s="20" t="n">
        <f aca="false">FS43+MX43</f>
        <v>0</v>
      </c>
      <c r="MZ43" s="20" t="n">
        <f aca="false">IF(FR43=1,MAX(0,(Slot16_Cost-MY43*(1+Slot16_Rate)^(Slot16_Age-D43))/MV43),0)</f>
        <v>0</v>
      </c>
      <c r="NA43" s="20" t="n">
        <f aca="false">IF(FR43=1,MAX(0,(Slot16_Cost-FS43*(1+Slot16_Rate)^(Slot16_Age-D43))/MV43),0)</f>
        <v>0</v>
      </c>
      <c r="NB43" s="20" t="n">
        <f aca="false">IF(AND(HU43=1,FR43=1),MIN(MU43,MZ43),0)</f>
        <v>0</v>
      </c>
      <c r="NC43" s="20" t="n">
        <f aca="false">MU43-NB43</f>
        <v>0</v>
      </c>
      <c r="ND43" s="20" t="n">
        <f aca="false">IF(GB43=1,IF(ABS((1+AS_Wage)/(1+Slot17_Rate)-1)&lt;0.000000000001,(Slot17_Age-D43)*(1+Slot17_Rate)^(Slot17_Age-D43),(1+Slot17_Rate)^(Slot17_Age-D43)*(1-((1+AS_Wage)/(1+Slot17_Rate))^(Slot17_Age-D43))/(1-(1+AS_Wage)/(1+Slot17_Rate))),1)</f>
        <v>1</v>
      </c>
      <c r="NE43" s="20" t="n">
        <f aca="false">IF(AND(HU43=1,IE43&gt;0,Slot17_IsWG=1,GB43=1),MAX(0,(Slot17_Cost-GC43*(1+Slot17_Rate)^(Slot17_Age-D43))/ND43),0)</f>
        <v>0</v>
      </c>
      <c r="NF43" s="20" t="n">
        <f aca="false">IF(AND(HU43=1,IE43&gt;0,Slot17_IsWG=1,GB43=1),MIN(IE43,NE43),0)</f>
        <v>0</v>
      </c>
      <c r="NG43" s="20" t="n">
        <f aca="false">GC43+NF43</f>
        <v>0</v>
      </c>
      <c r="NH43" s="20" t="n">
        <f aca="false">IF(GB43=1,MAX(0,(Slot17_Cost-NG43*(1+Slot17_Rate)^(Slot17_Age-D43))/ND43),0)</f>
        <v>0</v>
      </c>
      <c r="NI43" s="20" t="n">
        <f aca="false">IF(GB43=1,MAX(0,(Slot17_Cost-GC43*(1+Slot17_Rate)^(Slot17_Age-D43))/ND43),0)</f>
        <v>0</v>
      </c>
      <c r="NJ43" s="20" t="n">
        <f aca="false">IF(AND(HU43=1,GB43=1),MIN(NC43,NH43),0)</f>
        <v>0</v>
      </c>
      <c r="NK43" s="20" t="n">
        <f aca="false">NC43-NJ43</f>
        <v>0</v>
      </c>
      <c r="NL43" s="20" t="n">
        <f aca="false">IF(GL43=1,IF(ABS((1+AS_Wage)/(1+Slot18_Rate)-1)&lt;0.000000000001,(Slot18_Age-D43)*(1+Slot18_Rate)^(Slot18_Age-D43),(1+Slot18_Rate)^(Slot18_Age-D43)*(1-((1+AS_Wage)/(1+Slot18_Rate))^(Slot18_Age-D43))/(1-(1+AS_Wage)/(1+Slot18_Rate))),1)</f>
        <v>1</v>
      </c>
      <c r="NM43" s="20" t="n">
        <f aca="false">IF(AND(HU43=1,IE43&gt;0,Slot18_IsWG=1,GL43=1),MAX(0,(Slot18_Cost-GM43*(1+Slot18_Rate)^(Slot18_Age-D43))/NL43),0)</f>
        <v>0</v>
      </c>
      <c r="NN43" s="20" t="n">
        <f aca="false">IF(AND(HU43=1,IE43&gt;0,Slot18_IsWG=1,GL43=1),MIN(IE43,NM43),0)</f>
        <v>0</v>
      </c>
      <c r="NO43" s="20" t="n">
        <f aca="false">GM43+NN43</f>
        <v>0</v>
      </c>
      <c r="NP43" s="20" t="n">
        <f aca="false">IF(GL43=1,MAX(0,(Slot18_Cost-NO43*(1+Slot18_Rate)^(Slot18_Age-D43))/NL43),0)</f>
        <v>0</v>
      </c>
      <c r="NQ43" s="20" t="n">
        <f aca="false">IF(GL43=1,MAX(0,(Slot18_Cost-GM43*(1+Slot18_Rate)^(Slot18_Age-D43))/NL43),0)</f>
        <v>0</v>
      </c>
      <c r="NR43" s="20" t="n">
        <f aca="false">IF(AND(HU43=1,GL43=1),MIN(NK43,NP43),0)</f>
        <v>0</v>
      </c>
      <c r="NS43" s="20" t="n">
        <f aca="false">NK43-NR43</f>
        <v>0</v>
      </c>
      <c r="NT43" s="20" t="n">
        <f aca="false">IF(GV43=1,IF(ABS((1+AS_Wage)/(1+Slot19_Rate)-1)&lt;0.000000000001,(Slot19_Age-D43)*(1+Slot19_Rate)^(Slot19_Age-D43),(1+Slot19_Rate)^(Slot19_Age-D43)*(1-((1+AS_Wage)/(1+Slot19_Rate))^(Slot19_Age-D43))/(1-(1+AS_Wage)/(1+Slot19_Rate))),1)</f>
        <v>1</v>
      </c>
      <c r="NU43" s="20" t="n">
        <f aca="false">IF(AND(HU43=1,IE43&gt;0,Slot19_IsWG=1,GV43=1),MAX(0,(Slot19_Cost-GW43*(1+Slot19_Rate)^(Slot19_Age-D43))/NT43),0)</f>
        <v>0</v>
      </c>
      <c r="NV43" s="20" t="n">
        <f aca="false">IF(AND(HU43=1,IE43&gt;0,Slot19_IsWG=1,GV43=1),MIN(IE43,NU43),0)</f>
        <v>0</v>
      </c>
      <c r="NW43" s="20" t="n">
        <f aca="false">GW43+NV43</f>
        <v>0</v>
      </c>
      <c r="NX43" s="20" t="n">
        <f aca="false">IF(GV43=1,MAX(0,(Slot19_Cost-NW43*(1+Slot19_Rate)^(Slot19_Age-D43))/NT43),0)</f>
        <v>0</v>
      </c>
      <c r="NY43" s="20" t="n">
        <f aca="false">IF(GV43=1,MAX(0,(Slot19_Cost-GW43*(1+Slot19_Rate)^(Slot19_Age-D43))/NT43),0)</f>
        <v>0</v>
      </c>
      <c r="NZ43" s="20" t="n">
        <f aca="false">IF(AND(HU43=1,GV43=1),MIN(NS43,NX43),0)</f>
        <v>0</v>
      </c>
      <c r="OA43" s="20" t="n">
        <f aca="false">NS43-NZ43</f>
        <v>0</v>
      </c>
      <c r="OB43" s="20" t="n">
        <f aca="false">IF(HF43=1,IF(ABS((1+AS_Wage)/(1+Slot20_Rate)-1)&lt;0.000000000001,(Slot20_Age-D43)*(1+Slot20_Rate)^(Slot20_Age-D43),(1+Slot20_Rate)^(Slot20_Age-D43)*(1-((1+AS_Wage)/(1+Slot20_Rate))^(Slot20_Age-D43))/(1-(1+AS_Wage)/(1+Slot20_Rate))),1)</f>
        <v>1</v>
      </c>
      <c r="OC43" s="20" t="n">
        <f aca="false">IF(AND(HU43=1,IE43&gt;0,Slot20_IsWG=1,HF43=1),MAX(0,(Slot20_Cost-HG43*(1+Slot20_Rate)^(Slot20_Age-D43))/OB43),0)</f>
        <v>0</v>
      </c>
      <c r="OD43" s="20" t="n">
        <f aca="false">IF(AND(HU43=1,IE43&gt;0,Slot20_IsWG=1,HF43=1),MIN(IE43,OC43),0)</f>
        <v>0</v>
      </c>
      <c r="OE43" s="20" t="n">
        <f aca="false">HG43+OD43</f>
        <v>0</v>
      </c>
      <c r="OF43" s="20" t="n">
        <f aca="false">IF(HF43=1,MAX(0,(Slot20_Cost-OE43*(1+Slot20_Rate)^(Slot20_Age-D43))/OB43),0)</f>
        <v>0</v>
      </c>
      <c r="OG43" s="20" t="n">
        <f aca="false">IF(HF43=1,MAX(0,(Slot20_Cost-HG43*(1+Slot20_Rate)^(Slot20_Age-D43))/OB43),0)</f>
        <v>0</v>
      </c>
      <c r="OH43" s="20" t="n">
        <f aca="false">IF(AND(HU43=1,HF43=1),MIN(OA43,OF43),0)</f>
        <v>0</v>
      </c>
      <c r="OI43" s="20" t="n">
        <f aca="false">OA43-OH43</f>
        <v>0</v>
      </c>
      <c r="OJ43" s="20" t="n">
        <f aca="false">IE43-(IH43+IP43+IX43+JF43+JN43+JV43+KD43+KL43+KT43+LB43+LJ43+LR43+LZ43+MH43+MP43+MX43+NF43+NN43+NV43+OD43)</f>
        <v>0</v>
      </c>
      <c r="OK43" s="20" t="n">
        <f aca="false">IF(HU43=1,HS43-ID43-IE43,0)</f>
        <v>0</v>
      </c>
      <c r="OL43" s="20" t="n">
        <f aca="false">IF(HU43=0,-HS43,0)</f>
        <v>21440.3432638788</v>
      </c>
      <c r="OM43" s="20" t="n">
        <f aca="false">MIN(OL43,HK43)</f>
        <v>21440.3432638788</v>
      </c>
      <c r="ON43" s="20" t="n">
        <f aca="false">OL43-OM43</f>
        <v>0</v>
      </c>
      <c r="OO43" s="20" t="n">
        <f aca="false">MIN(ON43,HL43)</f>
        <v>0</v>
      </c>
      <c r="OP43" s="20" t="n">
        <f aca="false">ON43-OO43</f>
        <v>0</v>
      </c>
      <c r="OQ43" s="20" t="n">
        <f aca="false">IF(AND(HU43=0,HF43=1,OP43&gt;0),MIN(OP43,HG43),0)</f>
        <v>0</v>
      </c>
      <c r="OR43" s="20" t="n">
        <f aca="false">OP43-OQ43</f>
        <v>0</v>
      </c>
      <c r="OS43" s="20" t="n">
        <f aca="false">IF(AND(HU43=0,GV43=1,OR43&gt;0),MIN(OR43,GW43),0)</f>
        <v>0</v>
      </c>
      <c r="OT43" s="20" t="n">
        <f aca="false">OR43-OS43</f>
        <v>0</v>
      </c>
      <c r="OU43" s="20" t="n">
        <f aca="false">IF(AND(HU43=0,GL43=1,OT43&gt;0),MIN(OT43,GM43),0)</f>
        <v>0</v>
      </c>
      <c r="OV43" s="20" t="n">
        <f aca="false">OT43-OU43</f>
        <v>0</v>
      </c>
      <c r="OW43" s="20" t="n">
        <f aca="false">IF(AND(HU43=0,GB43=1,OV43&gt;0),MIN(OV43,GC43),0)</f>
        <v>0</v>
      </c>
      <c r="OX43" s="20" t="n">
        <f aca="false">OV43-OW43</f>
        <v>0</v>
      </c>
      <c r="OY43" s="20" t="n">
        <f aca="false">IF(AND(HU43=0,FR43=1,OX43&gt;0),MIN(OX43,FS43),0)</f>
        <v>0</v>
      </c>
      <c r="OZ43" s="20" t="n">
        <f aca="false">OX43-OY43</f>
        <v>0</v>
      </c>
      <c r="PA43" s="20" t="n">
        <f aca="false">IF(AND(HU43=0,FH43=1,OZ43&gt;0),MIN(OZ43,FI43),0)</f>
        <v>0</v>
      </c>
      <c r="PB43" s="20" t="n">
        <f aca="false">OZ43-PA43</f>
        <v>0</v>
      </c>
      <c r="PC43" s="20" t="n">
        <f aca="false">IF(AND(HU43=0,EX43=1,PB43&gt;0),MIN(PB43,EY43),0)</f>
        <v>0</v>
      </c>
      <c r="PD43" s="20" t="n">
        <f aca="false">PB43-PC43</f>
        <v>0</v>
      </c>
      <c r="PE43" s="20" t="n">
        <f aca="false">IF(AND(HU43=0,EN43=1,PD43&gt;0),MIN(PD43,EO43),0)</f>
        <v>0</v>
      </c>
      <c r="PF43" s="20" t="n">
        <f aca="false">PD43-PE43</f>
        <v>0</v>
      </c>
      <c r="PG43" s="20" t="n">
        <f aca="false">IF(AND(HU43=0,ED43=1,PF43&gt;0),MIN(PF43,EE43),0)</f>
        <v>0</v>
      </c>
      <c r="PH43" s="20" t="n">
        <f aca="false">PF43-PG43</f>
        <v>0</v>
      </c>
      <c r="PI43" s="20" t="n">
        <f aca="false">IF(AND(HU43=0,DT43=1,PH43&gt;0),MIN(PH43,DU43),0)</f>
        <v>0</v>
      </c>
      <c r="PJ43" s="20" t="n">
        <f aca="false">PH43-PI43</f>
        <v>0</v>
      </c>
      <c r="PK43" s="20" t="n">
        <f aca="false">IF(AND(HU43=0,DJ43=1,PJ43&gt;0),MIN(PJ43,DK43),0)</f>
        <v>0</v>
      </c>
      <c r="PL43" s="20" t="n">
        <f aca="false">PJ43-PK43</f>
        <v>0</v>
      </c>
      <c r="PM43" s="20" t="n">
        <f aca="false">IF(AND(HU43=0,CZ43=1,PL43&gt;0),MIN(PL43,DA43),0)</f>
        <v>0</v>
      </c>
      <c r="PN43" s="20" t="n">
        <f aca="false">PL43-PM43</f>
        <v>0</v>
      </c>
      <c r="PO43" s="20" t="n">
        <f aca="false">IF(AND(HU43=0,CP43=1,PN43&gt;0),MIN(PN43,CQ43),0)</f>
        <v>0</v>
      </c>
      <c r="PP43" s="20" t="n">
        <f aca="false">PN43-PO43</f>
        <v>0</v>
      </c>
      <c r="PQ43" s="20" t="n">
        <f aca="false">IF(AND(HU43=0,CF43=1,PP43&gt;0),MIN(PP43,CG43),0)</f>
        <v>0</v>
      </c>
      <c r="PR43" s="20" t="n">
        <f aca="false">PP43-PQ43</f>
        <v>0</v>
      </c>
      <c r="PS43" s="20" t="n">
        <f aca="false">IF(AND(HU43=0,BV43=1,PR43&gt;0),MIN(PR43,BW43),0)</f>
        <v>0</v>
      </c>
      <c r="PT43" s="20" t="n">
        <f aca="false">PR43-PS43</f>
        <v>0</v>
      </c>
      <c r="PU43" s="20" t="n">
        <f aca="false">IF(AND(HU43=0,BL43=1,PT43&gt;0),MIN(PT43,BM43),0)</f>
        <v>0</v>
      </c>
      <c r="PV43" s="20" t="n">
        <f aca="false">PT43-PU43</f>
        <v>0</v>
      </c>
      <c r="PW43" s="20" t="n">
        <f aca="false">IF(AND(HU43=0,BB43=1,PV43&gt;0),MIN(PV43,BC43),0)</f>
        <v>0</v>
      </c>
      <c r="PX43" s="20" t="n">
        <f aca="false">PV43-PW43</f>
        <v>0</v>
      </c>
      <c r="PY43" s="20" t="n">
        <f aca="false">IF(AND(HU43=0,AR43=1,PX43&gt;0),MIN(PX43,AS43),0)</f>
        <v>0</v>
      </c>
      <c r="PZ43" s="20" t="n">
        <f aca="false">PX43-PY43</f>
        <v>0</v>
      </c>
      <c r="QA43" s="20" t="n">
        <f aca="false">IF(AND(HU43=0,AH43=1,PZ43&gt;0),MIN(PZ43,AI43),0)</f>
        <v>0</v>
      </c>
      <c r="QB43" s="20" t="n">
        <f aca="false">PZ43-QA43</f>
        <v>0</v>
      </c>
      <c r="QC43" s="20" t="n">
        <f aca="false">IF(AND(HU43=0,W43=1,QB43&gt;0),MIN(QB43,X43),0)</f>
        <v>0</v>
      </c>
      <c r="QD43" s="20" t="n">
        <f aca="false">QB43-QC43</f>
        <v>0</v>
      </c>
      <c r="QE43" s="20" t="n">
        <f aca="false">IF(HU43=0,QD43,0)</f>
        <v>0</v>
      </c>
      <c r="QF43" s="20" t="n">
        <f aca="false">OM43+OO43+QC43+QA43+PY43+PW43+PU43+PS43+PQ43+PO43+PM43+PK43+PI43+PG43+PE43+PC43+PA43+OY43+OW43+OU43+OS43+OQ43</f>
        <v>21440.3432638788</v>
      </c>
      <c r="QG43" s="20" t="n">
        <f aca="false">IF(HU43=1,HK43+OJ43+OI43+IF(G43=1,0,OK43),HK43-OM43)</f>
        <v>68897.2017297986</v>
      </c>
      <c r="QH43" s="20" t="n">
        <f aca="false">HL43-OO43</f>
        <v>21671.8974714479</v>
      </c>
      <c r="QI43" s="20" t="n">
        <f aca="false">IF(HU43=1,IF(G43=1,ID43+IE43,HS43),0)</f>
        <v>0</v>
      </c>
      <c r="QJ43" s="20" t="n">
        <f aca="false">IF(HU43=1,IF(G43=1,HS43-ID43-IE43,0),0)</f>
        <v>0</v>
      </c>
      <c r="QK43" s="20" t="n">
        <f aca="false">QG43*(1+GR)</f>
        <v>70027.1158381673</v>
      </c>
      <c r="QL43" s="20" t="n">
        <f aca="false">QH43*(1+AS_Cash)</f>
        <v>21888.6164461623</v>
      </c>
      <c r="QM43" s="20" t="n">
        <f aca="false">IF(W43=1,IF(HU43=1,II43+IL43,X43-QC43)*(1+Slot1_Rate),0)</f>
        <v>0</v>
      </c>
      <c r="QN43" s="20" t="n">
        <f aca="false">IF(AND(HU43=1,W43=1),(IH43+IL43)/F43,0)</f>
        <v>0</v>
      </c>
      <c r="QO43" s="20" t="n">
        <f aca="false">IF(B43=0,IH43+IL43,0)</f>
        <v>0</v>
      </c>
      <c r="QP43" s="20" t="n">
        <f aca="false">IF(B43=0,IF(HU43=1,IJ43,IK43),0)</f>
        <v>0</v>
      </c>
      <c r="QQ43" s="20" t="n">
        <f aca="false">IF(AH43=1,IF(HU43=1,IQ43+IT43,AI43-QA43)*(1+Slot2_Rate),0)</f>
        <v>0</v>
      </c>
      <c r="QR43" s="20" t="n">
        <f aca="false">IF(AND(HU43=1,AH43=1),(IP43+IT43)/F43,0)</f>
        <v>0</v>
      </c>
      <c r="QS43" s="20" t="n">
        <f aca="false">IF(B43=0,IP43+IT43,0)</f>
        <v>0</v>
      </c>
      <c r="QT43" s="20" t="n">
        <f aca="false">IF(B43=0,IF(HU43=1,IR43,IS43),0)</f>
        <v>0</v>
      </c>
      <c r="QU43" s="20" t="n">
        <f aca="false">IF(AR43=1,IF(HU43=1,IY43+JB43,AS43-PY43)*(1+Slot3_Rate),0)</f>
        <v>0</v>
      </c>
      <c r="QV43" s="20" t="n">
        <f aca="false">IF(AND(HU43=1,AR43=1),(IX43+JB43)/F43,0)</f>
        <v>0</v>
      </c>
      <c r="QW43" s="20" t="n">
        <f aca="false">IF(B43=0,IX43+JB43,0)</f>
        <v>0</v>
      </c>
      <c r="QX43" s="20" t="n">
        <f aca="false">IF(B43=0,IF(HU43=1,IZ43,JA43),0)</f>
        <v>0</v>
      </c>
      <c r="QY43" s="20" t="n">
        <f aca="false">IF(BB43=1,IF(HU43=1,JG43+JJ43,BC43-PW43)*(1+Slot4_Rate),0)</f>
        <v>0</v>
      </c>
      <c r="QZ43" s="20" t="n">
        <f aca="false">IF(AND(HU43=1,BB43=1),(JF43+JJ43)/F43,0)</f>
        <v>0</v>
      </c>
      <c r="RA43" s="20" t="n">
        <f aca="false">IF(B43=0,JF43+JJ43,0)</f>
        <v>0</v>
      </c>
      <c r="RB43" s="20" t="n">
        <f aca="false">IF(B43=0,IF(HU43=1,JH43,JI43),0)</f>
        <v>0</v>
      </c>
      <c r="RC43" s="20" t="n">
        <f aca="false">IF(BL43=1,IF(HU43=1,JO43+JR43,BM43-PU43)*(1+Slot5_Rate),0)</f>
        <v>0</v>
      </c>
      <c r="RD43" s="20" t="n">
        <f aca="false">IF(AND(HU43=1,BL43=1),(JN43+JR43)/F43,0)</f>
        <v>0</v>
      </c>
      <c r="RE43" s="20" t="n">
        <f aca="false">IF(B43=0,JN43+JR43,0)</f>
        <v>0</v>
      </c>
      <c r="RF43" s="20" t="n">
        <f aca="false">IF(B43=0,IF(HU43=1,JP43,JQ43),0)</f>
        <v>0</v>
      </c>
      <c r="RG43" s="20" t="n">
        <f aca="false">IF(BV43=1,IF(HU43=1,JW43+JZ43,BW43-PS43)*(1+Slot6_Rate),0)</f>
        <v>0</v>
      </c>
      <c r="RH43" s="20" t="n">
        <f aca="false">IF(AND(HU43=1,BV43=1),(JV43+JZ43)/F43,0)</f>
        <v>0</v>
      </c>
      <c r="RI43" s="20" t="n">
        <f aca="false">IF(B43=0,JV43+JZ43,0)</f>
        <v>0</v>
      </c>
      <c r="RJ43" s="20" t="n">
        <f aca="false">IF(B43=0,IF(HU43=1,JX43,JY43),0)</f>
        <v>0</v>
      </c>
      <c r="RK43" s="20" t="n">
        <f aca="false">IF(CF43=1,IF(HU43=1,KE43+KH43,CG43-PQ43)*(1+Slot7_Rate),0)</f>
        <v>0</v>
      </c>
      <c r="RL43" s="20" t="n">
        <f aca="false">IF(AND(HU43=1,CF43=1),(KD43+KH43)/F43,0)</f>
        <v>0</v>
      </c>
      <c r="RM43" s="20" t="n">
        <f aca="false">IF(B43=0,KD43+KH43,0)</f>
        <v>0</v>
      </c>
      <c r="RN43" s="20" t="n">
        <f aca="false">IF(B43=0,IF(HU43=1,KF43,KG43),0)</f>
        <v>0</v>
      </c>
      <c r="RO43" s="20" t="n">
        <f aca="false">IF(CP43=1,IF(HU43=1,KM43+KP43,CQ43-PO43)*(1+Slot8_Rate),0)</f>
        <v>0</v>
      </c>
      <c r="RP43" s="20" t="n">
        <f aca="false">IF(AND(HU43=1,CP43=1),(KL43+KP43)/F43,0)</f>
        <v>0</v>
      </c>
      <c r="RQ43" s="20" t="n">
        <f aca="false">IF(B43=0,KL43+KP43,0)</f>
        <v>0</v>
      </c>
      <c r="RR43" s="20" t="n">
        <f aca="false">IF(B43=0,IF(HU43=1,KN43,KO43),0)</f>
        <v>0</v>
      </c>
      <c r="RS43" s="20" t="n">
        <f aca="false">IF(CZ43=1,IF(HU43=1,KU43+KX43,DA43-PM43)*(1+Slot9_Rate),0)</f>
        <v>0</v>
      </c>
      <c r="RT43" s="20" t="n">
        <f aca="false">IF(AND(HU43=1,CZ43=1),(KT43+KX43)/F43,0)</f>
        <v>0</v>
      </c>
      <c r="RU43" s="20" t="n">
        <f aca="false">IF(B43=0,KT43+KX43,0)</f>
        <v>0</v>
      </c>
      <c r="RV43" s="20" t="n">
        <f aca="false">IF(B43=0,IF(HU43=1,KV43,KW43),0)</f>
        <v>0</v>
      </c>
      <c r="RW43" s="20" t="n">
        <f aca="false">IF(DJ43=1,IF(HU43=1,LC43+LF43,DK43-PK43)*(1+Slot10_Rate),0)</f>
        <v>0</v>
      </c>
      <c r="RX43" s="20" t="n">
        <f aca="false">IF(AND(HU43=1,DJ43=1),(LB43+LF43)/F43,0)</f>
        <v>0</v>
      </c>
      <c r="RY43" s="20" t="n">
        <f aca="false">IF(B43=0,LB43+LF43,0)</f>
        <v>0</v>
      </c>
      <c r="RZ43" s="20" t="n">
        <f aca="false">IF(B43=0,IF(HU43=1,LD43,LE43),0)</f>
        <v>0</v>
      </c>
      <c r="SA43" s="20" t="n">
        <f aca="false">IF(DT43=1,IF(HU43=1,LK43+LN43,DU43-PI43)*(1+Slot11_Rate),0)</f>
        <v>0</v>
      </c>
      <c r="SB43" s="20" t="n">
        <f aca="false">IF(AND(HU43=1,DT43=1),(LJ43+LN43)/F43,0)</f>
        <v>0</v>
      </c>
      <c r="SC43" s="20" t="n">
        <f aca="false">IF(B43=0,LJ43+LN43,0)</f>
        <v>0</v>
      </c>
      <c r="SD43" s="20" t="n">
        <f aca="false">IF(B43=0,IF(HU43=1,LL43,LM43),0)</f>
        <v>0</v>
      </c>
      <c r="SE43" s="20" t="n">
        <f aca="false">IF(ED43=1,IF(HU43=1,LS43+LV43,EE43-PG43)*(1+Slot12_Rate),0)</f>
        <v>0</v>
      </c>
      <c r="SF43" s="20" t="n">
        <f aca="false">IF(AND(HU43=1,ED43=1),(LR43+LV43)/F43,0)</f>
        <v>0</v>
      </c>
      <c r="SG43" s="20" t="n">
        <f aca="false">IF(B43=0,LR43+LV43,0)</f>
        <v>0</v>
      </c>
      <c r="SH43" s="20" t="n">
        <f aca="false">IF(B43=0,IF(HU43=1,LT43,LU43),0)</f>
        <v>0</v>
      </c>
      <c r="SI43" s="20" t="n">
        <f aca="false">IF(EN43=1,IF(HU43=1,MA43+MD43,EO43-PE43)*(1+Slot13_Rate),0)</f>
        <v>0</v>
      </c>
      <c r="SJ43" s="20" t="n">
        <f aca="false">IF(AND(HU43=1,EN43=1),(LZ43+MD43)/F43,0)</f>
        <v>0</v>
      </c>
      <c r="SK43" s="20" t="n">
        <f aca="false">IF(B43=0,LZ43+MD43,0)</f>
        <v>0</v>
      </c>
      <c r="SL43" s="20" t="n">
        <f aca="false">IF(B43=0,IF(HU43=1,MB43,MC43),0)</f>
        <v>0</v>
      </c>
      <c r="SM43" s="20" t="n">
        <f aca="false">IF(EX43=1,IF(HU43=1,MI43+ML43,EY43-PC43)*(1+Slot14_Rate),0)</f>
        <v>0</v>
      </c>
      <c r="SN43" s="20" t="n">
        <f aca="false">IF(AND(HU43=1,EX43=1),(MH43+ML43)/F43,0)</f>
        <v>0</v>
      </c>
      <c r="SO43" s="20" t="n">
        <f aca="false">IF(B43=0,MH43+ML43,0)</f>
        <v>0</v>
      </c>
      <c r="SP43" s="20" t="n">
        <f aca="false">IF(B43=0,IF(HU43=1,MJ43,MK43),0)</f>
        <v>0</v>
      </c>
      <c r="SQ43" s="20" t="n">
        <f aca="false">IF(FH43=1,IF(HU43=1,MQ43+MT43,FI43-PA43)*(1+Slot15_Rate),0)</f>
        <v>0</v>
      </c>
      <c r="SR43" s="20" t="n">
        <f aca="false">IF(AND(HU43=1,FH43=1),(MP43+MT43)/F43,0)</f>
        <v>0</v>
      </c>
      <c r="SS43" s="20" t="n">
        <f aca="false">IF(B43=0,MP43+MT43,0)</f>
        <v>0</v>
      </c>
      <c r="ST43" s="20" t="n">
        <f aca="false">IF(B43=0,IF(HU43=1,MR43,MS43),0)</f>
        <v>0</v>
      </c>
      <c r="SU43" s="20" t="n">
        <f aca="false">IF(FR43=1,IF(HU43=1,MY43+NB43,FS43-OY43)*(1+Slot16_Rate),0)</f>
        <v>0</v>
      </c>
      <c r="SV43" s="20" t="n">
        <f aca="false">IF(AND(HU43=1,FR43=1),(MX43+NB43)/F43,0)</f>
        <v>0</v>
      </c>
      <c r="SW43" s="20" t="n">
        <f aca="false">IF(B43=0,MX43+NB43,0)</f>
        <v>0</v>
      </c>
      <c r="SX43" s="20" t="n">
        <f aca="false">IF(B43=0,IF(HU43=1,MZ43,NA43),0)</f>
        <v>0</v>
      </c>
      <c r="SY43" s="20" t="n">
        <f aca="false">IF(GB43=1,IF(HU43=1,NG43+NJ43,GC43-OW43)*(1+Slot17_Rate),0)</f>
        <v>0</v>
      </c>
      <c r="SZ43" s="20" t="n">
        <f aca="false">IF(AND(HU43=1,GB43=1),(NF43+NJ43)/F43,0)</f>
        <v>0</v>
      </c>
      <c r="TA43" s="20" t="n">
        <f aca="false">IF(B43=0,NF43+NJ43,0)</f>
        <v>0</v>
      </c>
      <c r="TB43" s="20" t="n">
        <f aca="false">IF(B43=0,IF(HU43=1,NH43,NI43),0)</f>
        <v>0</v>
      </c>
      <c r="TC43" s="20" t="n">
        <f aca="false">IF(GL43=1,IF(HU43=1,NO43+NR43,GM43-OU43)*(1+Slot18_Rate),0)</f>
        <v>0</v>
      </c>
      <c r="TD43" s="20" t="n">
        <f aca="false">IF(AND(HU43=1,GL43=1),(NN43+NR43)/F43,0)</f>
        <v>0</v>
      </c>
      <c r="TE43" s="20" t="n">
        <f aca="false">IF(B43=0,NN43+NR43,0)</f>
        <v>0</v>
      </c>
      <c r="TF43" s="20" t="n">
        <f aca="false">IF(B43=0,IF(HU43=1,NP43,NQ43),0)</f>
        <v>0</v>
      </c>
      <c r="TG43" s="20" t="n">
        <f aca="false">IF(GV43=1,IF(HU43=1,NW43+NZ43,GW43-OS43)*(1+Slot19_Rate),0)</f>
        <v>0</v>
      </c>
      <c r="TH43" s="20" t="n">
        <f aca="false">IF(AND(HU43=1,GV43=1),(NV43+NZ43)/F43,0)</f>
        <v>0</v>
      </c>
      <c r="TI43" s="20" t="n">
        <f aca="false">IF(B43=0,NV43+NZ43,0)</f>
        <v>0</v>
      </c>
      <c r="TJ43" s="20" t="n">
        <f aca="false">IF(B43=0,IF(HU43=1,NX43,NY43),0)</f>
        <v>0</v>
      </c>
      <c r="TK43" s="20" t="n">
        <f aca="false">IF(HF43=1,IF(HU43=1,OE43+OH43,HG43-OQ43)*(1+Slot20_Rate),0)</f>
        <v>0</v>
      </c>
      <c r="TL43" s="20" t="n">
        <f aca="false">IF(AND(HU43=1,HF43=1),(OD43+OH43)/F43,0)</f>
        <v>0</v>
      </c>
      <c r="TM43" s="20" t="n">
        <f aca="false">IF(B43=0,OD43+OH43,0)</f>
        <v>0</v>
      </c>
      <c r="TN43" s="20" t="n">
        <f aca="false">IF(B43=0,IF(HU43=1,OF43,OG43),0)</f>
        <v>0</v>
      </c>
      <c r="TO43" s="20" t="n">
        <f aca="false">QK43+QL43+QM43+QQ43+QU43+QY43+RC43+RG43+RK43+RO43+RS43+RW43+SA43+SE43+SI43+SM43+SQ43+SU43+SY43+TC43+TG43+TK43</f>
        <v>91915.7322843296</v>
      </c>
      <c r="TP43" s="20" t="n">
        <f aca="false">QE43+HP43</f>
        <v>0</v>
      </c>
      <c r="TQ43" s="20" t="n">
        <f aca="false">I43+S43</f>
        <v>95594.7206172654</v>
      </c>
      <c r="TR43" s="20" t="n">
        <f aca="false">1-G43</f>
        <v>1</v>
      </c>
      <c r="TS43" s="20" t="n">
        <f aca="false">IF(AND(RG_Exists=1,G43=0,C43=1),I43,0)</f>
        <v>95594.7206172654</v>
      </c>
      <c r="TT43" s="20" t="n">
        <f aca="false">IF(AND(RG_Exists=1,G43=0,C43=1),I43-MIN(QE43,I43),0)</f>
        <v>95594.7206172654</v>
      </c>
      <c r="TU43" s="20" t="n">
        <f aca="false">'Plan pay &amp; tax'!AD269</f>
        <v>388640.129974449</v>
      </c>
      <c r="TV43" s="20" t="n">
        <f aca="false">IF(AND(C43=1,QE43&gt;MAX(PR_Short1,TQ43*PR_Short2)),1,0)</f>
        <v>0</v>
      </c>
      <c r="TW43" s="20" t="n">
        <f aca="false">MIN(H43,I43+S43)</f>
        <v>74154.3773533866</v>
      </c>
      <c r="TX43" s="20" t="n">
        <f aca="false">QF43+MAX(0,HQ43-HP43)</f>
        <v>21440.3432638788</v>
      </c>
      <c r="TY43" s="20" t="n">
        <f aca="false">QE43+HP43</f>
        <v>0</v>
      </c>
      <c r="TZ43" s="20" t="n">
        <f aca="false">IF(AND(C43=1,TY43&gt;PR_MinShort),1,0)</f>
        <v>0</v>
      </c>
      <c r="UA43" s="20" t="n">
        <f aca="false">IF(AND(C43=1,TZ43=0,TX43&gt;PR_MinShort),1,0)</f>
        <v>1</v>
      </c>
      <c r="UB43" s="20" t="n">
        <f aca="false">IF(AND(C43=1,QE43&gt;PR_MinShort),1,0)</f>
        <v>0</v>
      </c>
      <c r="UC43" s="20" t="n">
        <f aca="false">IF(AND(C43=1,QF43&gt;1,UJ43=0),1,0)</f>
        <v>1</v>
      </c>
      <c r="UD43" s="20" t="str">
        <f aca="false">IF(C43=0,"",IF(UJ43=1,"Gap to plan for: short "&amp;"€"&amp;TEXT(ROUND(TP43,0),"#,##0"),IF(QF43&gt;1,"Using savings","Comfortable")))</f>
        <v>Using savings</v>
      </c>
      <c r="UE43" s="20" t="n">
        <f aca="false">IF(AND(INT(D43/10)*10=90,B43&gt;0),80,INT(D43/10)*10)</f>
        <v>70</v>
      </c>
      <c r="UF43" s="20" t="n">
        <f aca="false">IF(B43=0,1,IF(UE43&lt;&gt;UE42,UF42+1,UF42))</f>
        <v>5</v>
      </c>
      <c r="UG43" s="20" t="n">
        <f aca="false">IF(AND(C43=1,G43=1,QE43&gt;MAX(PR_Short1,TQ43*PR_Short2)),1,0)</f>
        <v>0</v>
      </c>
      <c r="UH43" s="20" t="n">
        <f aca="false">TR43*TV43</f>
        <v>0</v>
      </c>
      <c r="UI43" s="20" t="n">
        <f aca="false">IF(AND(V43=1,Slot1_PctLow=1),1,0)+IF(AND(AG43=1,Slot2_PctLow=1),1,0)+IF(AND(AQ43=1,Slot3_PctLow=1),1,0)+IF(AND(BA43=1,Slot4_PctLow=1),1,0)+IF(AND(BK43=1,Slot5_PctLow=1),1,0)+IF(AND(BU43=1,Slot6_PctLow=1),1,0)+IF(AND(CE43=1,Slot7_PctLow=1),1,0)+IF(AND(CO43=1,Slot8_PctLow=1),1,0)+IF(AND(CY43=1,Slot9_PctLow=1),1,0)+IF(AND(DI43=1,Slot10_PctLow=1),1,0)+IF(AND(DS43=1,Slot11_PctLow=1),1,0)+IF(AND(EC43=1,Slot12_PctLow=1),1,0)+IF(AND(EM43=1,Slot13_PctLow=1),1,0)+IF(AND(EW43=1,Slot14_PctLow=1),1,0)+IF(AND(FG43=1,Slot15_PctLow=1),1,0)+IF(AND(FQ43=1,Slot16_PctLow=1),1,0)+IF(AND(GA43=1,Slot17_PctLow=1),1,0)+IF(AND(GK43=1,Slot18_PctLow=1),1,0)+IF(AND(GU43=1,Slot19_PctLow=1),1,0)+IF(AND(HE43=1,Slot20_PctLow=1),1,0)</f>
        <v>0</v>
      </c>
      <c r="UJ43" s="20" t="n">
        <f aca="false">IF(C43=1,IF(OR(TV43=1,UI43&gt;0),1,0),0)</f>
        <v>0</v>
      </c>
    </row>
    <row r="44" customFormat="false" ht="15" hidden="false" customHeight="true" outlineLevel="0" collapsed="false">
      <c r="B44" s="20" t="n">
        <v>36</v>
      </c>
      <c r="C44" s="20" t="n">
        <f aca="false">IF(B44&lt;=F_N,1,0)</f>
        <v>1</v>
      </c>
      <c r="D44" s="20" t="n">
        <f aca="false">'Plan pay &amp; tax'!C270</f>
        <v>74</v>
      </c>
      <c r="E44" s="20" t="str">
        <f aca="false">IF($C44=1,"Income tax "&amp;TEXT(N('Plan pay &amp; tax'!BK270),"#,##0")&amp;"; USC "&amp;TEXT(N('Plan pay &amp; tax'!BM270)+N('Plan pay &amp; tax'!BO270),"#,##0")&amp;"; PRSI "&amp;TEXT(N('Plan pay &amp; tax'!BP270)+N('Plan pay &amp; tax'!BQ270),"#,##0")&amp;". DIRT and exit tax are inside the growth rates here.","")</f>
        <v>Income tax 773; USC 0; PRSI 0. DIRT and exit tax are inside the growth rates here.</v>
      </c>
      <c r="F44" s="44" t="n">
        <f aca="false">'Plan pay &amp; tax'!E270</f>
        <v>2.03988734371571</v>
      </c>
      <c r="G44" s="20" t="n">
        <f aca="false">'Plan pay &amp; tax'!G270</f>
        <v>0</v>
      </c>
      <c r="H44" s="20" t="n">
        <f aca="false">'Plan pay &amp; tax'!BT270-'Plan pay &amp; tax'!BS270-'Plan pay &amp; tax'!R270</f>
        <v>75001.7120332972</v>
      </c>
      <c r="I44" s="20" t="n">
        <f aca="false">IF(G44=1,F_CostsM*12,IF(RG_Exists=1,RG_Amount,F_CostsM*12*AS_RetireSpend))*F44+F_OneOffY*F44</f>
        <v>97506.6150296107</v>
      </c>
      <c r="J44" s="20" t="n">
        <f aca="false">HR43</f>
        <v>0</v>
      </c>
      <c r="K44" s="20" t="n">
        <f aca="false">IF(J44&gt;1,'Plan debt months'!AC44,0)</f>
        <v>0</v>
      </c>
      <c r="L44" s="20" t="n">
        <f aca="false">IF(J44&gt;1,'Plan debt months'!AB44,J44)</f>
        <v>0</v>
      </c>
      <c r="M44" s="20" t="n">
        <f aca="false">O43</f>
        <v>0</v>
      </c>
      <c r="N44" s="20" t="n">
        <f aca="false">IF(M44&gt;1,'Plan debt months'!BD44,0)</f>
        <v>0</v>
      </c>
      <c r="O44" s="20" t="n">
        <f aca="false">IF(M44&gt;1,'Plan debt months'!BC44,M44)</f>
        <v>0</v>
      </c>
      <c r="P44" s="20" t="n">
        <f aca="false">R43</f>
        <v>0</v>
      </c>
      <c r="Q44" s="20" t="n">
        <f aca="false">IF(P44&gt;1,'Plan debt months'!CE44,0)</f>
        <v>0</v>
      </c>
      <c r="R44" s="20" t="n">
        <f aca="false">IF(P44&gt;1,'Plan debt months'!CD44,P44)</f>
        <v>0</v>
      </c>
      <c r="S44" s="20" t="n">
        <f aca="false">K44+N44+Q44</f>
        <v>0</v>
      </c>
      <c r="T44" s="20" t="n">
        <f aca="false">QK43+'Plan pay &amp; tax'!Y270</f>
        <v>70027.1158381673</v>
      </c>
      <c r="U44" s="20" t="n">
        <f aca="false">QK43</f>
        <v>70027.1158381673</v>
      </c>
      <c r="V44" s="20" t="n">
        <f aca="false">IF(AND(Slot1_On=1,D44=Slot1_Age),1,0)</f>
        <v>0</v>
      </c>
      <c r="W44" s="20" t="n">
        <f aca="false">IF(AND(Slot1_On=1,Slot1_Age&gt;D44),1,0)</f>
        <v>0</v>
      </c>
      <c r="X44" s="20" t="n">
        <f aca="false">QM43</f>
        <v>0</v>
      </c>
      <c r="Y44" s="20" t="n">
        <f aca="false">V44*MIN(Slot1_Cost,X44)</f>
        <v>0</v>
      </c>
      <c r="Z44" s="20" t="n">
        <f aca="false">V44*Slot1_SpendLike*MIN(Slot1_Cost-Y44,T44)</f>
        <v>0</v>
      </c>
      <c r="AA44" s="20" t="n">
        <f aca="false">Y44+Z44</f>
        <v>0</v>
      </c>
      <c r="AB44" s="20" t="n">
        <f aca="false">T44-Z44+V44*IF(Slot1_SpendLike=1,X44-Y44,IF(Slot1_PotFree=1,X44,0))</f>
        <v>70027.1158381673</v>
      </c>
      <c r="AC44" s="20" t="n">
        <f aca="false">AF44+V44*Slot1_BufPot*X44</f>
        <v>21888.6164461623</v>
      </c>
      <c r="AD44" s="20" t="n">
        <f aca="false">IF(AND(V44=1,Slot1_IsMfree=1),IF(AA44&gt;=Slot1_Cost-1,0,MAX(0,L44-AA44)),L44)</f>
        <v>0</v>
      </c>
      <c r="AE44" s="20" t="n">
        <f aca="false">V44*(Slot1_Cost-AA44)</f>
        <v>0</v>
      </c>
      <c r="AF44" s="20" t="n">
        <f aca="false">QL43</f>
        <v>21888.6164461623</v>
      </c>
      <c r="AG44" s="20" t="n">
        <f aca="false">IF(AND(Slot2_On=1,D44=Slot2_Age),1,0)</f>
        <v>0</v>
      </c>
      <c r="AH44" s="20" t="n">
        <f aca="false">IF(AND(Slot2_On=1,Slot2_Age&gt;D44),1,0)</f>
        <v>0</v>
      </c>
      <c r="AI44" s="20" t="n">
        <f aca="false">QQ43</f>
        <v>0</v>
      </c>
      <c r="AJ44" s="20" t="n">
        <f aca="false">AG44*MIN(Slot2_Cost,AI44)</f>
        <v>0</v>
      </c>
      <c r="AK44" s="20" t="n">
        <f aca="false">AG44*Slot2_SpendLike*MIN(Slot2_Cost-AJ44,AB44)</f>
        <v>0</v>
      </c>
      <c r="AL44" s="20" t="n">
        <f aca="false">AJ44+AK44</f>
        <v>0</v>
      </c>
      <c r="AM44" s="20" t="n">
        <f aca="false">AB44-AK44+AG44*IF(Slot2_SpendLike=1,AI44-AJ44,IF(Slot2_PotFree=1,AI44,0))</f>
        <v>70027.1158381673</v>
      </c>
      <c r="AN44" s="20" t="n">
        <f aca="false">AC44+AG44*Slot2_BufPot*AI44</f>
        <v>21888.6164461623</v>
      </c>
      <c r="AO44" s="20" t="n">
        <f aca="false">IF(AND(AG44=1,Slot2_IsMfree=1),IF(AL44&gt;=Slot2_Cost-1,0,MAX(0,AD44-AL44)),AD44)</f>
        <v>0</v>
      </c>
      <c r="AP44" s="20" t="n">
        <f aca="false">AG44*(Slot2_Cost-AL44)</f>
        <v>0</v>
      </c>
      <c r="AQ44" s="20" t="n">
        <f aca="false">IF(AND(Slot3_On=1,D44=Slot3_Age),1,0)</f>
        <v>0</v>
      </c>
      <c r="AR44" s="20" t="n">
        <f aca="false">IF(AND(Slot3_On=1,Slot3_Age&gt;D44),1,0)</f>
        <v>0</v>
      </c>
      <c r="AS44" s="20" t="n">
        <f aca="false">QU43</f>
        <v>0</v>
      </c>
      <c r="AT44" s="20" t="n">
        <f aca="false">AQ44*MIN(Slot3_Cost,AS44)</f>
        <v>0</v>
      </c>
      <c r="AU44" s="20" t="n">
        <f aca="false">AQ44*Slot3_SpendLike*MIN(Slot3_Cost-AT44,AM44)</f>
        <v>0</v>
      </c>
      <c r="AV44" s="20" t="n">
        <f aca="false">AT44+AU44</f>
        <v>0</v>
      </c>
      <c r="AW44" s="20" t="n">
        <f aca="false">AM44-AU44+AQ44*IF(Slot3_SpendLike=1,AS44-AT44,IF(Slot3_PotFree=1,AS44,0))</f>
        <v>70027.1158381673</v>
      </c>
      <c r="AX44" s="20" t="n">
        <f aca="false">AN44+AQ44*Slot3_BufPot*AS44</f>
        <v>21888.6164461623</v>
      </c>
      <c r="AY44" s="20" t="n">
        <f aca="false">IF(AND(AQ44=1,Slot3_IsMfree=1),IF(AV44&gt;=Slot3_Cost-1,0,MAX(0,AO44-AV44)),AO44)</f>
        <v>0</v>
      </c>
      <c r="AZ44" s="20" t="n">
        <f aca="false">AQ44*(Slot3_Cost-AV44)</f>
        <v>0</v>
      </c>
      <c r="BA44" s="20" t="n">
        <f aca="false">IF(AND(Slot4_On=1,D44=Slot4_Age),1,0)</f>
        <v>0</v>
      </c>
      <c r="BB44" s="20" t="n">
        <f aca="false">IF(AND(Slot4_On=1,Slot4_Age&gt;D44),1,0)</f>
        <v>0</v>
      </c>
      <c r="BC44" s="20" t="n">
        <f aca="false">QY43</f>
        <v>0</v>
      </c>
      <c r="BD44" s="20" t="n">
        <f aca="false">BA44*MIN(Slot4_Cost,BC44)</f>
        <v>0</v>
      </c>
      <c r="BE44" s="20" t="n">
        <f aca="false">BA44*Slot4_SpendLike*MIN(Slot4_Cost-BD44,AW44)</f>
        <v>0</v>
      </c>
      <c r="BF44" s="20" t="n">
        <f aca="false">BD44+BE44</f>
        <v>0</v>
      </c>
      <c r="BG44" s="20" t="n">
        <f aca="false">AW44-BE44+BA44*IF(Slot4_SpendLike=1,BC44-BD44,IF(Slot4_PotFree=1,BC44,0))</f>
        <v>70027.1158381673</v>
      </c>
      <c r="BH44" s="20" t="n">
        <f aca="false">AX44+BA44*Slot4_BufPot*BC44</f>
        <v>21888.6164461623</v>
      </c>
      <c r="BI44" s="20" t="n">
        <f aca="false">IF(AND(BA44=1,Slot4_IsMfree=1),IF(BF44&gt;=Slot4_Cost-1,0,MAX(0,AY44-BF44)),AY44)</f>
        <v>0</v>
      </c>
      <c r="BJ44" s="20" t="n">
        <f aca="false">BA44*(Slot4_Cost-BF44)</f>
        <v>0</v>
      </c>
      <c r="BK44" s="20" t="n">
        <f aca="false">IF(AND(Slot5_On=1,D44=Slot5_Age),1,0)</f>
        <v>0</v>
      </c>
      <c r="BL44" s="20" t="n">
        <f aca="false">IF(AND(Slot5_On=1,Slot5_Age&gt;D44),1,0)</f>
        <v>0</v>
      </c>
      <c r="BM44" s="20" t="n">
        <f aca="false">RC43</f>
        <v>0</v>
      </c>
      <c r="BN44" s="20" t="n">
        <f aca="false">BK44*MIN(Slot5_Cost,BM44)</f>
        <v>0</v>
      </c>
      <c r="BO44" s="20" t="n">
        <f aca="false">BK44*Slot5_SpendLike*MIN(Slot5_Cost-BN44,BG44)</f>
        <v>0</v>
      </c>
      <c r="BP44" s="20" t="n">
        <f aca="false">BN44+BO44</f>
        <v>0</v>
      </c>
      <c r="BQ44" s="20" t="n">
        <f aca="false">BG44-BO44+BK44*IF(Slot5_SpendLike=1,BM44-BN44,IF(Slot5_PotFree=1,BM44,0))</f>
        <v>70027.1158381673</v>
      </c>
      <c r="BR44" s="20" t="n">
        <f aca="false">BH44+BK44*Slot5_BufPot*BM44</f>
        <v>21888.6164461623</v>
      </c>
      <c r="BS44" s="20" t="n">
        <f aca="false">IF(AND(BK44=1,Slot5_IsMfree=1),IF(BP44&gt;=Slot5_Cost-1,0,MAX(0,BI44-BP44)),BI44)</f>
        <v>0</v>
      </c>
      <c r="BT44" s="20" t="n">
        <f aca="false">BK44*(Slot5_Cost-BP44)</f>
        <v>0</v>
      </c>
      <c r="BU44" s="20" t="n">
        <f aca="false">IF(AND(Slot6_On=1,D44=Slot6_Age),1,0)</f>
        <v>0</v>
      </c>
      <c r="BV44" s="20" t="n">
        <f aca="false">IF(AND(Slot6_On=1,Slot6_Age&gt;D44),1,0)</f>
        <v>0</v>
      </c>
      <c r="BW44" s="20" t="n">
        <f aca="false">RG43</f>
        <v>0</v>
      </c>
      <c r="BX44" s="20" t="n">
        <f aca="false">BU44*MIN(Slot6_Cost,BW44)</f>
        <v>0</v>
      </c>
      <c r="BY44" s="20" t="n">
        <f aca="false">BU44*Slot6_SpendLike*MIN(Slot6_Cost-BX44,BQ44)</f>
        <v>0</v>
      </c>
      <c r="BZ44" s="20" t="n">
        <f aca="false">BX44+BY44</f>
        <v>0</v>
      </c>
      <c r="CA44" s="20" t="n">
        <f aca="false">BQ44-BY44+BU44*IF(Slot6_SpendLike=1,BW44-BX44,IF(Slot6_PotFree=1,BW44,0))</f>
        <v>70027.1158381673</v>
      </c>
      <c r="CB44" s="20" t="n">
        <f aca="false">BR44+BU44*Slot6_BufPot*BW44</f>
        <v>21888.6164461623</v>
      </c>
      <c r="CC44" s="20" t="n">
        <f aca="false">IF(AND(BU44=1,Slot6_IsMfree=1),IF(BZ44&gt;=Slot6_Cost-1,0,MAX(0,BS44-BZ44)),BS44)</f>
        <v>0</v>
      </c>
      <c r="CD44" s="20" t="n">
        <f aca="false">BU44*(Slot6_Cost-BZ44)</f>
        <v>0</v>
      </c>
      <c r="CE44" s="20" t="n">
        <f aca="false">IF(AND(Slot7_On=1,D44=Slot7_Age),1,0)</f>
        <v>0</v>
      </c>
      <c r="CF44" s="20" t="n">
        <f aca="false">IF(AND(Slot7_On=1,Slot7_Age&gt;D44),1,0)</f>
        <v>0</v>
      </c>
      <c r="CG44" s="20" t="n">
        <f aca="false">RK43</f>
        <v>0</v>
      </c>
      <c r="CH44" s="20" t="n">
        <f aca="false">CE44*MIN(Slot7_Cost,CG44)</f>
        <v>0</v>
      </c>
      <c r="CI44" s="20" t="n">
        <f aca="false">CE44*Slot7_SpendLike*MIN(Slot7_Cost-CH44,CA44)</f>
        <v>0</v>
      </c>
      <c r="CJ44" s="20" t="n">
        <f aca="false">CH44+CI44</f>
        <v>0</v>
      </c>
      <c r="CK44" s="20" t="n">
        <f aca="false">CA44-CI44+CE44*IF(Slot7_SpendLike=1,CG44-CH44,IF(Slot7_PotFree=1,CG44,0))</f>
        <v>70027.1158381673</v>
      </c>
      <c r="CL44" s="20" t="n">
        <f aca="false">CB44+CE44*Slot7_BufPot*CG44</f>
        <v>21888.6164461623</v>
      </c>
      <c r="CM44" s="20" t="n">
        <f aca="false">IF(AND(CE44=1,Slot7_IsMfree=1),IF(CJ44&gt;=Slot7_Cost-1,0,MAX(0,CC44-CJ44)),CC44)</f>
        <v>0</v>
      </c>
      <c r="CN44" s="20" t="n">
        <f aca="false">CE44*(Slot7_Cost-CJ44)</f>
        <v>0</v>
      </c>
      <c r="CO44" s="20" t="n">
        <f aca="false">IF(AND(Slot8_On=1,D44=Slot8_Age),1,0)</f>
        <v>0</v>
      </c>
      <c r="CP44" s="20" t="n">
        <f aca="false">IF(AND(Slot8_On=1,Slot8_Age&gt;D44),1,0)</f>
        <v>0</v>
      </c>
      <c r="CQ44" s="20" t="n">
        <f aca="false">RO43</f>
        <v>0</v>
      </c>
      <c r="CR44" s="20" t="n">
        <f aca="false">CO44*MIN(Slot8_Cost,CQ44)</f>
        <v>0</v>
      </c>
      <c r="CS44" s="20" t="n">
        <f aca="false">CO44*Slot8_SpendLike*MIN(Slot8_Cost-CR44,CK44)</f>
        <v>0</v>
      </c>
      <c r="CT44" s="20" t="n">
        <f aca="false">CR44+CS44</f>
        <v>0</v>
      </c>
      <c r="CU44" s="20" t="n">
        <f aca="false">CK44-CS44+CO44*IF(Slot8_SpendLike=1,CQ44-CR44,IF(Slot8_PotFree=1,CQ44,0))</f>
        <v>70027.1158381673</v>
      </c>
      <c r="CV44" s="20" t="n">
        <f aca="false">CL44+CO44*Slot8_BufPot*CQ44</f>
        <v>21888.6164461623</v>
      </c>
      <c r="CW44" s="20" t="n">
        <f aca="false">IF(AND(CO44=1,Slot8_IsMfree=1),IF(CT44&gt;=Slot8_Cost-1,0,MAX(0,CM44-CT44)),CM44)</f>
        <v>0</v>
      </c>
      <c r="CX44" s="20" t="n">
        <f aca="false">CO44*(Slot8_Cost-CT44)</f>
        <v>0</v>
      </c>
      <c r="CY44" s="20" t="n">
        <f aca="false">IF(AND(Slot9_On=1,D44=Slot9_Age),1,0)</f>
        <v>0</v>
      </c>
      <c r="CZ44" s="20" t="n">
        <f aca="false">IF(AND(Slot9_On=1,Slot9_Age&gt;D44),1,0)</f>
        <v>0</v>
      </c>
      <c r="DA44" s="20" t="n">
        <f aca="false">RS43</f>
        <v>0</v>
      </c>
      <c r="DB44" s="20" t="n">
        <f aca="false">CY44*MIN(Slot9_Cost,DA44)</f>
        <v>0</v>
      </c>
      <c r="DC44" s="20" t="n">
        <f aca="false">CY44*Slot9_SpendLike*MIN(Slot9_Cost-DB44,CU44)</f>
        <v>0</v>
      </c>
      <c r="DD44" s="20" t="n">
        <f aca="false">DB44+DC44</f>
        <v>0</v>
      </c>
      <c r="DE44" s="20" t="n">
        <f aca="false">CU44-DC44+CY44*IF(Slot9_SpendLike=1,DA44-DB44,IF(Slot9_PotFree=1,DA44,0))</f>
        <v>70027.1158381673</v>
      </c>
      <c r="DF44" s="20" t="n">
        <f aca="false">CV44+CY44*Slot9_BufPot*DA44</f>
        <v>21888.6164461623</v>
      </c>
      <c r="DG44" s="20" t="n">
        <f aca="false">IF(AND(CY44=1,Slot9_IsMfree=1),IF(DD44&gt;=Slot9_Cost-1,0,MAX(0,CW44-DD44)),CW44)</f>
        <v>0</v>
      </c>
      <c r="DH44" s="20" t="n">
        <f aca="false">CY44*(Slot9_Cost-DD44)</f>
        <v>0</v>
      </c>
      <c r="DI44" s="20" t="n">
        <f aca="false">IF(AND(Slot10_On=1,D44=Slot10_Age),1,0)</f>
        <v>0</v>
      </c>
      <c r="DJ44" s="20" t="n">
        <f aca="false">IF(AND(Slot10_On=1,Slot10_Age&gt;D44),1,0)</f>
        <v>0</v>
      </c>
      <c r="DK44" s="20" t="n">
        <f aca="false">RW43</f>
        <v>0</v>
      </c>
      <c r="DL44" s="20" t="n">
        <f aca="false">DI44*MIN(Slot10_Cost,DK44)</f>
        <v>0</v>
      </c>
      <c r="DM44" s="20" t="n">
        <f aca="false">DI44*Slot10_SpendLike*MIN(Slot10_Cost-DL44,DE44)</f>
        <v>0</v>
      </c>
      <c r="DN44" s="20" t="n">
        <f aca="false">DL44+DM44</f>
        <v>0</v>
      </c>
      <c r="DO44" s="20" t="n">
        <f aca="false">DE44-DM44+DI44*IF(Slot10_SpendLike=1,DK44-DL44,IF(Slot10_PotFree=1,DK44,0))</f>
        <v>70027.1158381673</v>
      </c>
      <c r="DP44" s="20" t="n">
        <f aca="false">DF44+DI44*Slot10_BufPot*DK44</f>
        <v>21888.6164461623</v>
      </c>
      <c r="DQ44" s="20" t="n">
        <f aca="false">IF(AND(DI44=1,Slot10_IsMfree=1),IF(DN44&gt;=Slot10_Cost-1,0,MAX(0,DG44-DN44)),DG44)</f>
        <v>0</v>
      </c>
      <c r="DR44" s="20" t="n">
        <f aca="false">DI44*(Slot10_Cost-DN44)</f>
        <v>0</v>
      </c>
      <c r="DS44" s="20" t="n">
        <f aca="false">IF(AND(Slot11_On=1,D44=Slot11_Age),1,0)</f>
        <v>0</v>
      </c>
      <c r="DT44" s="20" t="n">
        <f aca="false">IF(AND(Slot11_On=1,Slot11_Age&gt;D44),1,0)</f>
        <v>0</v>
      </c>
      <c r="DU44" s="20" t="n">
        <f aca="false">SA43</f>
        <v>0</v>
      </c>
      <c r="DV44" s="20" t="n">
        <f aca="false">DS44*MIN(Slot11_Cost,DU44)</f>
        <v>0</v>
      </c>
      <c r="DW44" s="20" t="n">
        <f aca="false">DS44*Slot11_SpendLike*MIN(Slot11_Cost-DV44,DO44)</f>
        <v>0</v>
      </c>
      <c r="DX44" s="20" t="n">
        <f aca="false">DV44+DW44</f>
        <v>0</v>
      </c>
      <c r="DY44" s="20" t="n">
        <f aca="false">DO44-DW44+DS44*IF(Slot11_SpendLike=1,DU44-DV44,IF(Slot11_PotFree=1,DU44,0))</f>
        <v>70027.1158381673</v>
      </c>
      <c r="DZ44" s="20" t="n">
        <f aca="false">DP44+DS44*Slot11_BufPot*DU44</f>
        <v>21888.6164461623</v>
      </c>
      <c r="EA44" s="20" t="n">
        <f aca="false">IF(AND(DS44=1,Slot11_IsMfree=1),IF(DX44&gt;=Slot11_Cost-1,0,MAX(0,DQ44-DX44)),DQ44)</f>
        <v>0</v>
      </c>
      <c r="EB44" s="20" t="n">
        <f aca="false">DS44*(Slot11_Cost-DX44)</f>
        <v>0</v>
      </c>
      <c r="EC44" s="20" t="n">
        <f aca="false">IF(AND(Slot12_On=1,D44=Slot12_Age),1,0)</f>
        <v>0</v>
      </c>
      <c r="ED44" s="20" t="n">
        <f aca="false">IF(AND(Slot12_On=1,Slot12_Age&gt;D44),1,0)</f>
        <v>0</v>
      </c>
      <c r="EE44" s="20" t="n">
        <f aca="false">SE43</f>
        <v>0</v>
      </c>
      <c r="EF44" s="20" t="n">
        <f aca="false">EC44*MIN(Slot12_Cost,EE44)</f>
        <v>0</v>
      </c>
      <c r="EG44" s="20" t="n">
        <f aca="false">EC44*Slot12_SpendLike*MIN(Slot12_Cost-EF44,DY44)</f>
        <v>0</v>
      </c>
      <c r="EH44" s="20" t="n">
        <f aca="false">EF44+EG44</f>
        <v>0</v>
      </c>
      <c r="EI44" s="20" t="n">
        <f aca="false">DY44-EG44+EC44*IF(Slot12_SpendLike=1,EE44-EF44,IF(Slot12_PotFree=1,EE44,0))</f>
        <v>70027.1158381673</v>
      </c>
      <c r="EJ44" s="20" t="n">
        <f aca="false">DZ44+EC44*Slot12_BufPot*EE44</f>
        <v>21888.6164461623</v>
      </c>
      <c r="EK44" s="20" t="n">
        <f aca="false">IF(AND(EC44=1,Slot12_IsMfree=1),IF(EH44&gt;=Slot12_Cost-1,0,MAX(0,EA44-EH44)),EA44)</f>
        <v>0</v>
      </c>
      <c r="EL44" s="20" t="n">
        <f aca="false">EC44*(Slot12_Cost-EH44)</f>
        <v>0</v>
      </c>
      <c r="EM44" s="20" t="n">
        <f aca="false">IF(AND(Slot13_On=1,D44=Slot13_Age),1,0)</f>
        <v>0</v>
      </c>
      <c r="EN44" s="20" t="n">
        <f aca="false">IF(AND(Slot13_On=1,Slot13_Age&gt;D44),1,0)</f>
        <v>0</v>
      </c>
      <c r="EO44" s="20" t="n">
        <f aca="false">SI43</f>
        <v>0</v>
      </c>
      <c r="EP44" s="20" t="n">
        <f aca="false">EM44*MIN(Slot13_Cost,EO44)</f>
        <v>0</v>
      </c>
      <c r="EQ44" s="20" t="n">
        <f aca="false">EM44*Slot13_SpendLike*MIN(Slot13_Cost-EP44,EI44)</f>
        <v>0</v>
      </c>
      <c r="ER44" s="20" t="n">
        <f aca="false">EP44+EQ44</f>
        <v>0</v>
      </c>
      <c r="ES44" s="20" t="n">
        <f aca="false">EI44-EQ44+EM44*IF(Slot13_SpendLike=1,EO44-EP44,IF(Slot13_PotFree=1,EO44,0))</f>
        <v>70027.1158381673</v>
      </c>
      <c r="ET44" s="20" t="n">
        <f aca="false">EJ44+EM44*Slot13_BufPot*EO44</f>
        <v>21888.6164461623</v>
      </c>
      <c r="EU44" s="20" t="n">
        <f aca="false">IF(AND(EM44=1,Slot13_IsMfree=1),IF(ER44&gt;=Slot13_Cost-1,0,MAX(0,EK44-ER44)),EK44)</f>
        <v>0</v>
      </c>
      <c r="EV44" s="20" t="n">
        <f aca="false">EM44*(Slot13_Cost-ER44)</f>
        <v>0</v>
      </c>
      <c r="EW44" s="20" t="n">
        <f aca="false">IF(AND(Slot14_On=1,D44=Slot14_Age),1,0)</f>
        <v>0</v>
      </c>
      <c r="EX44" s="20" t="n">
        <f aca="false">IF(AND(Slot14_On=1,Slot14_Age&gt;D44),1,0)</f>
        <v>0</v>
      </c>
      <c r="EY44" s="20" t="n">
        <f aca="false">SM43</f>
        <v>0</v>
      </c>
      <c r="EZ44" s="20" t="n">
        <f aca="false">EW44*MIN(Slot14_Cost,EY44)</f>
        <v>0</v>
      </c>
      <c r="FA44" s="20" t="n">
        <f aca="false">EW44*Slot14_SpendLike*MIN(Slot14_Cost-EZ44,ES44)</f>
        <v>0</v>
      </c>
      <c r="FB44" s="20" t="n">
        <f aca="false">EZ44+FA44</f>
        <v>0</v>
      </c>
      <c r="FC44" s="20" t="n">
        <f aca="false">ES44-FA44+EW44*IF(Slot14_SpendLike=1,EY44-EZ44,IF(Slot14_PotFree=1,EY44,0))</f>
        <v>70027.1158381673</v>
      </c>
      <c r="FD44" s="20" t="n">
        <f aca="false">ET44+EW44*Slot14_BufPot*EY44</f>
        <v>21888.6164461623</v>
      </c>
      <c r="FE44" s="20" t="n">
        <f aca="false">IF(AND(EW44=1,Slot14_IsMfree=1),IF(FB44&gt;=Slot14_Cost-1,0,MAX(0,EU44-FB44)),EU44)</f>
        <v>0</v>
      </c>
      <c r="FF44" s="20" t="n">
        <f aca="false">EW44*(Slot14_Cost-FB44)</f>
        <v>0</v>
      </c>
      <c r="FG44" s="20" t="n">
        <f aca="false">IF(AND(Slot15_On=1,D44=Slot15_Age),1,0)</f>
        <v>0</v>
      </c>
      <c r="FH44" s="20" t="n">
        <f aca="false">IF(AND(Slot15_On=1,Slot15_Age&gt;D44),1,0)</f>
        <v>0</v>
      </c>
      <c r="FI44" s="20" t="n">
        <f aca="false">SQ43</f>
        <v>0</v>
      </c>
      <c r="FJ44" s="20" t="n">
        <f aca="false">FG44*MIN(Slot15_Cost,FI44)</f>
        <v>0</v>
      </c>
      <c r="FK44" s="20" t="n">
        <f aca="false">FG44*Slot15_SpendLike*MIN(Slot15_Cost-FJ44,FC44)</f>
        <v>0</v>
      </c>
      <c r="FL44" s="20" t="n">
        <f aca="false">FJ44+FK44</f>
        <v>0</v>
      </c>
      <c r="FM44" s="20" t="n">
        <f aca="false">FC44-FK44+FG44*IF(Slot15_SpendLike=1,FI44-FJ44,IF(Slot15_PotFree=1,FI44,0))</f>
        <v>70027.1158381673</v>
      </c>
      <c r="FN44" s="20" t="n">
        <f aca="false">FD44+FG44*Slot15_BufPot*FI44</f>
        <v>21888.6164461623</v>
      </c>
      <c r="FO44" s="20" t="n">
        <f aca="false">IF(AND(FG44=1,Slot15_IsMfree=1),IF(FL44&gt;=Slot15_Cost-1,0,MAX(0,FE44-FL44)),FE44)</f>
        <v>0</v>
      </c>
      <c r="FP44" s="20" t="n">
        <f aca="false">FG44*(Slot15_Cost-FL44)</f>
        <v>0</v>
      </c>
      <c r="FQ44" s="20" t="n">
        <f aca="false">IF(AND(Slot16_On=1,D44=Slot16_Age),1,0)</f>
        <v>0</v>
      </c>
      <c r="FR44" s="20" t="n">
        <f aca="false">IF(AND(Slot16_On=1,Slot16_Age&gt;D44),1,0)</f>
        <v>0</v>
      </c>
      <c r="FS44" s="20" t="n">
        <f aca="false">SU43</f>
        <v>0</v>
      </c>
      <c r="FT44" s="20" t="n">
        <f aca="false">FQ44*MIN(Slot16_Cost,FS44)</f>
        <v>0</v>
      </c>
      <c r="FU44" s="20" t="n">
        <f aca="false">FQ44*Slot16_SpendLike*MIN(Slot16_Cost-FT44,FM44)</f>
        <v>0</v>
      </c>
      <c r="FV44" s="20" t="n">
        <f aca="false">FT44+FU44</f>
        <v>0</v>
      </c>
      <c r="FW44" s="20" t="n">
        <f aca="false">FM44-FU44+FQ44*IF(Slot16_SpendLike=1,FS44-FT44,IF(Slot16_PotFree=1,FS44,0))</f>
        <v>70027.1158381673</v>
      </c>
      <c r="FX44" s="20" t="n">
        <f aca="false">FN44+FQ44*Slot16_BufPot*FS44</f>
        <v>21888.6164461623</v>
      </c>
      <c r="FY44" s="20" t="n">
        <f aca="false">IF(AND(FQ44=1,Slot16_IsMfree=1),IF(FV44&gt;=Slot16_Cost-1,0,MAX(0,FO44-FV44)),FO44)</f>
        <v>0</v>
      </c>
      <c r="FZ44" s="20" t="n">
        <f aca="false">FQ44*(Slot16_Cost-FV44)</f>
        <v>0</v>
      </c>
      <c r="GA44" s="20" t="n">
        <f aca="false">IF(AND(Slot17_On=1,D44=Slot17_Age),1,0)</f>
        <v>0</v>
      </c>
      <c r="GB44" s="20" t="n">
        <f aca="false">IF(AND(Slot17_On=1,Slot17_Age&gt;D44),1,0)</f>
        <v>0</v>
      </c>
      <c r="GC44" s="20" t="n">
        <f aca="false">SY43</f>
        <v>0</v>
      </c>
      <c r="GD44" s="20" t="n">
        <f aca="false">GA44*MIN(Slot17_Cost,GC44)</f>
        <v>0</v>
      </c>
      <c r="GE44" s="20" t="n">
        <f aca="false">GA44*Slot17_SpendLike*MIN(Slot17_Cost-GD44,FW44)</f>
        <v>0</v>
      </c>
      <c r="GF44" s="20" t="n">
        <f aca="false">GD44+GE44</f>
        <v>0</v>
      </c>
      <c r="GG44" s="20" t="n">
        <f aca="false">FW44-GE44+GA44*IF(Slot17_SpendLike=1,GC44-GD44,IF(Slot17_PotFree=1,GC44,0))</f>
        <v>70027.1158381673</v>
      </c>
      <c r="GH44" s="20" t="n">
        <f aca="false">FX44+GA44*Slot17_BufPot*GC44</f>
        <v>21888.6164461623</v>
      </c>
      <c r="GI44" s="20" t="n">
        <f aca="false">IF(AND(GA44=1,Slot17_IsMfree=1),IF(GF44&gt;=Slot17_Cost-1,0,MAX(0,FY44-GF44)),FY44)</f>
        <v>0</v>
      </c>
      <c r="GJ44" s="20" t="n">
        <f aca="false">GA44*(Slot17_Cost-GF44)</f>
        <v>0</v>
      </c>
      <c r="GK44" s="20" t="n">
        <f aca="false">IF(AND(Slot18_On=1,D44=Slot18_Age),1,0)</f>
        <v>0</v>
      </c>
      <c r="GL44" s="20" t="n">
        <f aca="false">IF(AND(Slot18_On=1,Slot18_Age&gt;D44),1,0)</f>
        <v>0</v>
      </c>
      <c r="GM44" s="20" t="n">
        <f aca="false">TC43</f>
        <v>0</v>
      </c>
      <c r="GN44" s="20" t="n">
        <f aca="false">GK44*MIN(Slot18_Cost,GM44)</f>
        <v>0</v>
      </c>
      <c r="GO44" s="20" t="n">
        <f aca="false">GK44*Slot18_SpendLike*MIN(Slot18_Cost-GN44,GG44)</f>
        <v>0</v>
      </c>
      <c r="GP44" s="20" t="n">
        <f aca="false">GN44+GO44</f>
        <v>0</v>
      </c>
      <c r="GQ44" s="20" t="n">
        <f aca="false">GG44-GO44+GK44*IF(Slot18_SpendLike=1,GM44-GN44,IF(Slot18_PotFree=1,GM44,0))</f>
        <v>70027.1158381673</v>
      </c>
      <c r="GR44" s="20" t="n">
        <f aca="false">GH44+GK44*Slot18_BufPot*GM44</f>
        <v>21888.6164461623</v>
      </c>
      <c r="GS44" s="20" t="n">
        <f aca="false">IF(AND(GK44=1,Slot18_IsMfree=1),IF(GP44&gt;=Slot18_Cost-1,0,MAX(0,GI44-GP44)),GI44)</f>
        <v>0</v>
      </c>
      <c r="GT44" s="20" t="n">
        <f aca="false">GK44*(Slot18_Cost-GP44)</f>
        <v>0</v>
      </c>
      <c r="GU44" s="20" t="n">
        <f aca="false">IF(AND(Slot19_On=1,D44=Slot19_Age),1,0)</f>
        <v>0</v>
      </c>
      <c r="GV44" s="20" t="n">
        <f aca="false">IF(AND(Slot19_On=1,Slot19_Age&gt;D44),1,0)</f>
        <v>0</v>
      </c>
      <c r="GW44" s="20" t="n">
        <f aca="false">TG43</f>
        <v>0</v>
      </c>
      <c r="GX44" s="20" t="n">
        <f aca="false">GU44*MIN(Slot19_Cost,GW44)</f>
        <v>0</v>
      </c>
      <c r="GY44" s="20" t="n">
        <f aca="false">GU44*Slot19_SpendLike*MIN(Slot19_Cost-GX44,GQ44)</f>
        <v>0</v>
      </c>
      <c r="GZ44" s="20" t="n">
        <f aca="false">GX44+GY44</f>
        <v>0</v>
      </c>
      <c r="HA44" s="20" t="n">
        <f aca="false">GQ44-GY44+GU44*IF(Slot19_SpendLike=1,GW44-GX44,IF(Slot19_PotFree=1,GW44,0))</f>
        <v>70027.1158381673</v>
      </c>
      <c r="HB44" s="20" t="n">
        <f aca="false">GR44+GU44*Slot19_BufPot*GW44</f>
        <v>21888.6164461623</v>
      </c>
      <c r="HC44" s="20" t="n">
        <f aca="false">IF(AND(GU44=1,Slot19_IsMfree=1),IF(GZ44&gt;=Slot19_Cost-1,0,MAX(0,GS44-GZ44)),GS44)</f>
        <v>0</v>
      </c>
      <c r="HD44" s="20" t="n">
        <f aca="false">GU44*(Slot19_Cost-GZ44)</f>
        <v>0</v>
      </c>
      <c r="HE44" s="20" t="n">
        <f aca="false">IF(AND(Slot20_On=1,D44=Slot20_Age),1,0)</f>
        <v>0</v>
      </c>
      <c r="HF44" s="20" t="n">
        <f aca="false">IF(AND(Slot20_On=1,Slot20_Age&gt;D44),1,0)</f>
        <v>0</v>
      </c>
      <c r="HG44" s="20" t="n">
        <f aca="false">TK43</f>
        <v>0</v>
      </c>
      <c r="HH44" s="20" t="n">
        <f aca="false">HE44*MIN(Slot20_Cost,HG44)</f>
        <v>0</v>
      </c>
      <c r="HI44" s="20" t="n">
        <f aca="false">HE44*Slot20_SpendLike*MIN(Slot20_Cost-HH44,HA44)</f>
        <v>0</v>
      </c>
      <c r="HJ44" s="20" t="n">
        <f aca="false">HH44+HI44</f>
        <v>0</v>
      </c>
      <c r="HK44" s="20" t="n">
        <f aca="false">HA44-HI44+HE44*IF(Slot20_SpendLike=1,HG44-HH44,IF(Slot20_PotFree=1,HG44,0))</f>
        <v>70027.1158381673</v>
      </c>
      <c r="HL44" s="20" t="n">
        <f aca="false">HB44+HE44*Slot20_BufPot*HG44</f>
        <v>21888.6164461623</v>
      </c>
      <c r="HM44" s="20" t="n">
        <f aca="false">IF(AND(HE44=1,Slot20_IsMfree=1),IF(HJ44&gt;=Slot20_Cost-1,0,MAX(0,HC44-HJ44)),HC44)</f>
        <v>0</v>
      </c>
      <c r="HN44" s="20" t="n">
        <f aca="false">HE44*(Slot20_Cost-HJ44)</f>
        <v>0</v>
      </c>
      <c r="HO44" s="20" t="n">
        <f aca="false">V44*Slot1_SpendLike*AA44+AG44*Slot2_SpendLike*AL44+AQ44*Slot3_SpendLike*AV44+BA44*Slot4_SpendLike*BF44+BK44*Slot5_SpendLike*BP44+BU44*Slot6_SpendLike*BZ44+CE44*Slot7_SpendLike*CJ44+CO44*Slot8_SpendLike*CT44+CY44*Slot9_SpendLike*DD44+DI44*Slot10_SpendLike*DN44+DS44*Slot11_SpendLike*DX44+EC44*Slot12_SpendLike*EH44+EM44*Slot13_SpendLike*ER44+EW44*Slot14_SpendLike*FB44+FG44*Slot15_SpendLike*FL44+FQ44*Slot16_SpendLike*FV44+GA44*Slot17_SpendLike*GF44+GK44*Slot18_SpendLike*GP44+GU44*Slot19_SpendLike*GZ44+HE44*Slot20_SpendLike*HJ44</f>
        <v>0</v>
      </c>
      <c r="HP44" s="20" t="n">
        <f aca="false">AE44+AP44+AZ44+BJ44+BT44+CD44+CN44+CX44+DH44+DR44+EB44+EL44+EV44+FF44+FP44+FZ44+GJ44+GT44+HD44+HN44</f>
        <v>0</v>
      </c>
      <c r="HQ44" s="20" t="n">
        <f aca="false">V44*Slot1_Cost+AG44*Slot2_Cost+AQ44*Slot3_Cost+BA44*Slot4_Cost+BK44*Slot5_Cost+BU44*Slot6_Cost+CE44*Slot7_Cost+CO44*Slot8_Cost+CY44*Slot9_Cost+DI44*Slot10_Cost+DS44*Slot11_Cost+EC44*Slot12_Cost+EM44*Slot13_Cost+EW44*Slot14_Cost+FG44*Slot15_Cost+FQ44*Slot16_Cost+GA44*Slot17_Cost+GK44*Slot18_Cost+GU44*Slot19_Cost+HE44*Slot20_Cost</f>
        <v>0</v>
      </c>
      <c r="HR44" s="20" t="n">
        <f aca="false">HM44</f>
        <v>0</v>
      </c>
      <c r="HS44" s="20" t="n">
        <f aca="false">H44-I44-S44</f>
        <v>-22504.9029963136</v>
      </c>
      <c r="HT44" s="20" t="n">
        <f aca="false">IF(B44=0,IF(AND(Has_q6=1,In_q6=4),PR_ShareVaries*(MAX(0,HS44)/12),MIN(IF(Has_q6=1,CHOOSE(In_q6+1,PR_SaveB1,PR_SaveB2,PR_SaveB3,PR_SaveB4,0),AS_NoAnswer),AS_SaveShare*(MAX(0,HS44)/12))),HT43)</f>
        <v>62.3316893520437</v>
      </c>
      <c r="HU44" s="20" t="n">
        <f aca="false">IF(HS44&gt;=0,1,0)</f>
        <v>0</v>
      </c>
      <c r="HV44" s="20" t="n">
        <f aca="false">MAX(0,HS44/12/F44)</f>
        <v>0</v>
      </c>
      <c r="HW44" s="20" t="n">
        <f aca="false">IF(AND(Has_q6=1,In_q6=4),PR_ShareVaries*(HV44),MIN(IF(Has_q6=1,CHOOSE(In_q6+1,PR_SaveB1,PR_SaveB2,PR_SaveB3,PR_SaveB4,0),AS_NoAnswer),AS_SaveShare*(HV44)))</f>
        <v>0</v>
      </c>
      <c r="HX44" s="20" t="n">
        <f aca="false">IF(Has_saveM=1,IF(In_saveUp="Yes",1,IF(In_saveUp="No",0,IF(In_saveM&gt;=HT44-0.5,1,0))),0)</f>
        <v>0</v>
      </c>
      <c r="HY44" s="20" t="n">
        <f aca="false">IF(Has_saveM=1,MIN(HV44,IF(HX44=1,MAX(In_saveM,HW44),MIN(In_saveM,HW44))),HW44)</f>
        <v>0</v>
      </c>
      <c r="HZ44" s="20" t="n">
        <f aca="false">IF(G44=1,HY44*12*F44,0)</f>
        <v>0</v>
      </c>
      <c r="IA44" s="20" t="n">
        <f aca="false">MAX(0,HZ44+IF(AND(WI_Retire=0,WI_M&lt;0,G44=1),WI_M*12*F44,0))</f>
        <v>0</v>
      </c>
      <c r="IB44" s="20" t="n">
        <f aca="false">Slot1_IsWG*W44+Slot2_IsWG*AH44+Slot3_IsWG*AR44+Slot4_IsWG*BB44+Slot5_IsWG*BL44+Slot6_IsWG*BV44+Slot7_IsWG*CF44+Slot8_IsWG*CP44+Slot9_IsWG*CZ44+Slot10_IsWG*DJ44+Slot11_IsWG*DT44+Slot12_IsWG*ED44+Slot13_IsWG*EN44+Slot14_IsWG*EX44+Slot15_IsWG*FH44+Slot16_IsWG*FR44+Slot17_IsWG*GB44+Slot18_IsWG*GL44+Slot19_IsWG*GV44+Slot20_IsWG*HF44</f>
        <v>0</v>
      </c>
      <c r="IC44" s="20" t="n">
        <f aca="false">IF(AND(WI_Retire=0,WI_M&gt;0,G44=1,IB44&gt;=1),WI_M*12*F44,0)</f>
        <v>0</v>
      </c>
      <c r="ID44" s="20" t="n">
        <f aca="false">IF(HU44=1,MIN(IA44,HS44),0)</f>
        <v>0</v>
      </c>
      <c r="IE44" s="20" t="n">
        <f aca="false">IF(HU44=1,MIN(IC44,HS44-ID44),0)</f>
        <v>0</v>
      </c>
      <c r="IF44" s="20" t="n">
        <f aca="false">IF(W44=1,IF(ABS((1+AS_Wage)/(1+Slot1_Rate)-1)&lt;0.000000000001,(Slot1_Age-D44)*(1+Slot1_Rate)^(Slot1_Age-D44),(1+Slot1_Rate)^(Slot1_Age-D44)*(1-((1+AS_Wage)/(1+Slot1_Rate))^(Slot1_Age-D44))/(1-(1+AS_Wage)/(1+Slot1_Rate))),1)</f>
        <v>1</v>
      </c>
      <c r="IG44" s="20" t="n">
        <f aca="false">IF(AND(HU44=1,IE44&gt;0,Slot1_IsWG=1,W44=1),MAX(0,(Slot1_Cost-X44*(1+Slot1_Rate)^(Slot1_Age-D44))/IF44),0)</f>
        <v>0</v>
      </c>
      <c r="IH44" s="20" t="n">
        <f aca="false">IF(AND(HU44=1,IE44&gt;0,Slot1_IsWG=1,W44=1),MIN(IE44,IG44),0)</f>
        <v>0</v>
      </c>
      <c r="II44" s="20" t="n">
        <f aca="false">X44+IH44</f>
        <v>0</v>
      </c>
      <c r="IJ44" s="20" t="n">
        <f aca="false">IF(W44=1,MAX(0,(Slot1_Cost-II44*(1+Slot1_Rate)^(Slot1_Age-D44))/IF44),0)</f>
        <v>0</v>
      </c>
      <c r="IK44" s="20" t="n">
        <f aca="false">IF(W44=1,MAX(0,(Slot1_Cost-X44*(1+Slot1_Rate)^(Slot1_Age-D44))/IF44),0)</f>
        <v>0</v>
      </c>
      <c r="IL44" s="20" t="n">
        <f aca="false">IF(AND(HU44=1,W44=1),MIN(ID44,IJ44),0)</f>
        <v>0</v>
      </c>
      <c r="IM44" s="20" t="n">
        <f aca="false">ID44-IL44</f>
        <v>0</v>
      </c>
      <c r="IN44" s="20" t="n">
        <f aca="false">IF(AH44=1,IF(ABS((1+AS_Wage)/(1+Slot2_Rate)-1)&lt;0.000000000001,(Slot2_Age-D44)*(1+Slot2_Rate)^(Slot2_Age-D44),(1+Slot2_Rate)^(Slot2_Age-D44)*(1-((1+AS_Wage)/(1+Slot2_Rate))^(Slot2_Age-D44))/(1-(1+AS_Wage)/(1+Slot2_Rate))),1)</f>
        <v>1</v>
      </c>
      <c r="IO44" s="20" t="n">
        <f aca="false">IF(AND(HU44=1,IE44&gt;0,Slot2_IsWG=1,AH44=1),MAX(0,(Slot2_Cost-AI44*(1+Slot2_Rate)^(Slot2_Age-D44))/IN44),0)</f>
        <v>0</v>
      </c>
      <c r="IP44" s="20" t="n">
        <f aca="false">IF(AND(HU44=1,IE44&gt;0,Slot2_IsWG=1,AH44=1),MIN(IE44,IO44),0)</f>
        <v>0</v>
      </c>
      <c r="IQ44" s="20" t="n">
        <f aca="false">AI44+IP44</f>
        <v>0</v>
      </c>
      <c r="IR44" s="20" t="n">
        <f aca="false">IF(AH44=1,MAX(0,(Slot2_Cost-IQ44*(1+Slot2_Rate)^(Slot2_Age-D44))/IN44),0)</f>
        <v>0</v>
      </c>
      <c r="IS44" s="20" t="n">
        <f aca="false">IF(AH44=1,MAX(0,(Slot2_Cost-AI44*(1+Slot2_Rate)^(Slot2_Age-D44))/IN44),0)</f>
        <v>0</v>
      </c>
      <c r="IT44" s="20" t="n">
        <f aca="false">IF(AND(HU44=1,AH44=1),MIN(IM44,IR44),0)</f>
        <v>0</v>
      </c>
      <c r="IU44" s="20" t="n">
        <f aca="false">IM44-IT44</f>
        <v>0</v>
      </c>
      <c r="IV44" s="20" t="n">
        <f aca="false">IF(AR44=1,IF(ABS((1+AS_Wage)/(1+Slot3_Rate)-1)&lt;0.000000000001,(Slot3_Age-D44)*(1+Slot3_Rate)^(Slot3_Age-D44),(1+Slot3_Rate)^(Slot3_Age-D44)*(1-((1+AS_Wage)/(1+Slot3_Rate))^(Slot3_Age-D44))/(1-(1+AS_Wage)/(1+Slot3_Rate))),1)</f>
        <v>1</v>
      </c>
      <c r="IW44" s="20" t="n">
        <f aca="false">IF(AND(HU44=1,IE44&gt;0,Slot3_IsWG=1,AR44=1),MAX(0,(Slot3_Cost-AS44*(1+Slot3_Rate)^(Slot3_Age-D44))/IV44),0)</f>
        <v>0</v>
      </c>
      <c r="IX44" s="20" t="n">
        <f aca="false">IF(AND(HU44=1,IE44&gt;0,Slot3_IsWG=1,AR44=1),MIN(IE44,IW44),0)</f>
        <v>0</v>
      </c>
      <c r="IY44" s="20" t="n">
        <f aca="false">AS44+IX44</f>
        <v>0</v>
      </c>
      <c r="IZ44" s="20" t="n">
        <f aca="false">IF(AR44=1,MAX(0,(Slot3_Cost-IY44*(1+Slot3_Rate)^(Slot3_Age-D44))/IV44),0)</f>
        <v>0</v>
      </c>
      <c r="JA44" s="20" t="n">
        <f aca="false">IF(AR44=1,MAX(0,(Slot3_Cost-AS44*(1+Slot3_Rate)^(Slot3_Age-D44))/IV44),0)</f>
        <v>0</v>
      </c>
      <c r="JB44" s="20" t="n">
        <f aca="false">IF(AND(HU44=1,AR44=1),MIN(IU44,IZ44),0)</f>
        <v>0</v>
      </c>
      <c r="JC44" s="20" t="n">
        <f aca="false">IU44-JB44</f>
        <v>0</v>
      </c>
      <c r="JD44" s="20" t="n">
        <f aca="false">IF(BB44=1,IF(ABS((1+AS_Wage)/(1+Slot4_Rate)-1)&lt;0.000000000001,(Slot4_Age-D44)*(1+Slot4_Rate)^(Slot4_Age-D44),(1+Slot4_Rate)^(Slot4_Age-D44)*(1-((1+AS_Wage)/(1+Slot4_Rate))^(Slot4_Age-D44))/(1-(1+AS_Wage)/(1+Slot4_Rate))),1)</f>
        <v>1</v>
      </c>
      <c r="JE44" s="20" t="n">
        <f aca="false">IF(AND(HU44=1,IE44&gt;0,Slot4_IsWG=1,BB44=1),MAX(0,(Slot4_Cost-BC44*(1+Slot4_Rate)^(Slot4_Age-D44))/JD44),0)</f>
        <v>0</v>
      </c>
      <c r="JF44" s="20" t="n">
        <f aca="false">IF(AND(HU44=1,IE44&gt;0,Slot4_IsWG=1,BB44=1),MIN(IE44,JE44),0)</f>
        <v>0</v>
      </c>
      <c r="JG44" s="20" t="n">
        <f aca="false">BC44+JF44</f>
        <v>0</v>
      </c>
      <c r="JH44" s="20" t="n">
        <f aca="false">IF(BB44=1,MAX(0,(Slot4_Cost-JG44*(1+Slot4_Rate)^(Slot4_Age-D44))/JD44),0)</f>
        <v>0</v>
      </c>
      <c r="JI44" s="20" t="n">
        <f aca="false">IF(BB44=1,MAX(0,(Slot4_Cost-BC44*(1+Slot4_Rate)^(Slot4_Age-D44))/JD44),0)</f>
        <v>0</v>
      </c>
      <c r="JJ44" s="20" t="n">
        <f aca="false">IF(AND(HU44=1,BB44=1),MIN(JC44,JH44),0)</f>
        <v>0</v>
      </c>
      <c r="JK44" s="20" t="n">
        <f aca="false">JC44-JJ44</f>
        <v>0</v>
      </c>
      <c r="JL44" s="20" t="n">
        <f aca="false">IF(BL44=1,IF(ABS((1+AS_Wage)/(1+Slot5_Rate)-1)&lt;0.000000000001,(Slot5_Age-D44)*(1+Slot5_Rate)^(Slot5_Age-D44),(1+Slot5_Rate)^(Slot5_Age-D44)*(1-((1+AS_Wage)/(1+Slot5_Rate))^(Slot5_Age-D44))/(1-(1+AS_Wage)/(1+Slot5_Rate))),1)</f>
        <v>1</v>
      </c>
      <c r="JM44" s="20" t="n">
        <f aca="false">IF(AND(HU44=1,IE44&gt;0,Slot5_IsWG=1,BL44=1),MAX(0,(Slot5_Cost-BM44*(1+Slot5_Rate)^(Slot5_Age-D44))/JL44),0)</f>
        <v>0</v>
      </c>
      <c r="JN44" s="20" t="n">
        <f aca="false">IF(AND(HU44=1,IE44&gt;0,Slot5_IsWG=1,BL44=1),MIN(IE44,JM44),0)</f>
        <v>0</v>
      </c>
      <c r="JO44" s="20" t="n">
        <f aca="false">BM44+JN44</f>
        <v>0</v>
      </c>
      <c r="JP44" s="20" t="n">
        <f aca="false">IF(BL44=1,MAX(0,(Slot5_Cost-JO44*(1+Slot5_Rate)^(Slot5_Age-D44))/JL44),0)</f>
        <v>0</v>
      </c>
      <c r="JQ44" s="20" t="n">
        <f aca="false">IF(BL44=1,MAX(0,(Slot5_Cost-BM44*(1+Slot5_Rate)^(Slot5_Age-D44))/JL44),0)</f>
        <v>0</v>
      </c>
      <c r="JR44" s="20" t="n">
        <f aca="false">IF(AND(HU44=1,BL44=1),MIN(JK44,JP44),0)</f>
        <v>0</v>
      </c>
      <c r="JS44" s="20" t="n">
        <f aca="false">JK44-JR44</f>
        <v>0</v>
      </c>
      <c r="JT44" s="20" t="n">
        <f aca="false">IF(BV44=1,IF(ABS((1+AS_Wage)/(1+Slot6_Rate)-1)&lt;0.000000000001,(Slot6_Age-D44)*(1+Slot6_Rate)^(Slot6_Age-D44),(1+Slot6_Rate)^(Slot6_Age-D44)*(1-((1+AS_Wage)/(1+Slot6_Rate))^(Slot6_Age-D44))/(1-(1+AS_Wage)/(1+Slot6_Rate))),1)</f>
        <v>1</v>
      </c>
      <c r="JU44" s="20" t="n">
        <f aca="false">IF(AND(HU44=1,IE44&gt;0,Slot6_IsWG=1,BV44=1),MAX(0,(Slot6_Cost-BW44*(1+Slot6_Rate)^(Slot6_Age-D44))/JT44),0)</f>
        <v>0</v>
      </c>
      <c r="JV44" s="20" t="n">
        <f aca="false">IF(AND(HU44=1,IE44&gt;0,Slot6_IsWG=1,BV44=1),MIN(IE44,JU44),0)</f>
        <v>0</v>
      </c>
      <c r="JW44" s="20" t="n">
        <f aca="false">BW44+JV44</f>
        <v>0</v>
      </c>
      <c r="JX44" s="20" t="n">
        <f aca="false">IF(BV44=1,MAX(0,(Slot6_Cost-JW44*(1+Slot6_Rate)^(Slot6_Age-D44))/JT44),0)</f>
        <v>0</v>
      </c>
      <c r="JY44" s="20" t="n">
        <f aca="false">IF(BV44=1,MAX(0,(Slot6_Cost-BW44*(1+Slot6_Rate)^(Slot6_Age-D44))/JT44),0)</f>
        <v>0</v>
      </c>
      <c r="JZ44" s="20" t="n">
        <f aca="false">IF(AND(HU44=1,BV44=1),MIN(JS44,JX44),0)</f>
        <v>0</v>
      </c>
      <c r="KA44" s="20" t="n">
        <f aca="false">JS44-JZ44</f>
        <v>0</v>
      </c>
      <c r="KB44" s="20" t="n">
        <f aca="false">IF(CF44=1,IF(ABS((1+AS_Wage)/(1+Slot7_Rate)-1)&lt;0.000000000001,(Slot7_Age-D44)*(1+Slot7_Rate)^(Slot7_Age-D44),(1+Slot7_Rate)^(Slot7_Age-D44)*(1-((1+AS_Wage)/(1+Slot7_Rate))^(Slot7_Age-D44))/(1-(1+AS_Wage)/(1+Slot7_Rate))),1)</f>
        <v>1</v>
      </c>
      <c r="KC44" s="20" t="n">
        <f aca="false">IF(AND(HU44=1,IE44&gt;0,Slot7_IsWG=1,CF44=1),MAX(0,(Slot7_Cost-CG44*(1+Slot7_Rate)^(Slot7_Age-D44))/KB44),0)</f>
        <v>0</v>
      </c>
      <c r="KD44" s="20" t="n">
        <f aca="false">IF(AND(HU44=1,IE44&gt;0,Slot7_IsWG=1,CF44=1),MIN(IE44,KC44),0)</f>
        <v>0</v>
      </c>
      <c r="KE44" s="20" t="n">
        <f aca="false">CG44+KD44</f>
        <v>0</v>
      </c>
      <c r="KF44" s="20" t="n">
        <f aca="false">IF(CF44=1,MAX(0,(Slot7_Cost-KE44*(1+Slot7_Rate)^(Slot7_Age-D44))/KB44),0)</f>
        <v>0</v>
      </c>
      <c r="KG44" s="20" t="n">
        <f aca="false">IF(CF44=1,MAX(0,(Slot7_Cost-CG44*(1+Slot7_Rate)^(Slot7_Age-D44))/KB44),0)</f>
        <v>0</v>
      </c>
      <c r="KH44" s="20" t="n">
        <f aca="false">IF(AND(HU44=1,CF44=1),MIN(KA44,KF44),0)</f>
        <v>0</v>
      </c>
      <c r="KI44" s="20" t="n">
        <f aca="false">KA44-KH44</f>
        <v>0</v>
      </c>
      <c r="KJ44" s="20" t="n">
        <f aca="false">IF(CP44=1,IF(ABS((1+AS_Wage)/(1+Slot8_Rate)-1)&lt;0.000000000001,(Slot8_Age-D44)*(1+Slot8_Rate)^(Slot8_Age-D44),(1+Slot8_Rate)^(Slot8_Age-D44)*(1-((1+AS_Wage)/(1+Slot8_Rate))^(Slot8_Age-D44))/(1-(1+AS_Wage)/(1+Slot8_Rate))),1)</f>
        <v>1</v>
      </c>
      <c r="KK44" s="20" t="n">
        <f aca="false">IF(AND(HU44=1,IE44&gt;0,Slot8_IsWG=1,CP44=1),MAX(0,(Slot8_Cost-CQ44*(1+Slot8_Rate)^(Slot8_Age-D44))/KJ44),0)</f>
        <v>0</v>
      </c>
      <c r="KL44" s="20" t="n">
        <f aca="false">IF(AND(HU44=1,IE44&gt;0,Slot8_IsWG=1,CP44=1),MIN(IE44,KK44),0)</f>
        <v>0</v>
      </c>
      <c r="KM44" s="20" t="n">
        <f aca="false">CQ44+KL44</f>
        <v>0</v>
      </c>
      <c r="KN44" s="20" t="n">
        <f aca="false">IF(CP44=1,MAX(0,(Slot8_Cost-KM44*(1+Slot8_Rate)^(Slot8_Age-D44))/KJ44),0)</f>
        <v>0</v>
      </c>
      <c r="KO44" s="20" t="n">
        <f aca="false">IF(CP44=1,MAX(0,(Slot8_Cost-CQ44*(1+Slot8_Rate)^(Slot8_Age-D44))/KJ44),0)</f>
        <v>0</v>
      </c>
      <c r="KP44" s="20" t="n">
        <f aca="false">IF(AND(HU44=1,CP44=1),MIN(KI44,KN44),0)</f>
        <v>0</v>
      </c>
      <c r="KQ44" s="20" t="n">
        <f aca="false">KI44-KP44</f>
        <v>0</v>
      </c>
      <c r="KR44" s="20" t="n">
        <f aca="false">IF(CZ44=1,IF(ABS((1+AS_Wage)/(1+Slot9_Rate)-1)&lt;0.000000000001,(Slot9_Age-D44)*(1+Slot9_Rate)^(Slot9_Age-D44),(1+Slot9_Rate)^(Slot9_Age-D44)*(1-((1+AS_Wage)/(1+Slot9_Rate))^(Slot9_Age-D44))/(1-(1+AS_Wage)/(1+Slot9_Rate))),1)</f>
        <v>1</v>
      </c>
      <c r="KS44" s="20" t="n">
        <f aca="false">IF(AND(HU44=1,IE44&gt;0,Slot9_IsWG=1,CZ44=1),MAX(0,(Slot9_Cost-DA44*(1+Slot9_Rate)^(Slot9_Age-D44))/KR44),0)</f>
        <v>0</v>
      </c>
      <c r="KT44" s="20" t="n">
        <f aca="false">IF(AND(HU44=1,IE44&gt;0,Slot9_IsWG=1,CZ44=1),MIN(IE44,KS44),0)</f>
        <v>0</v>
      </c>
      <c r="KU44" s="20" t="n">
        <f aca="false">DA44+KT44</f>
        <v>0</v>
      </c>
      <c r="KV44" s="20" t="n">
        <f aca="false">IF(CZ44=1,MAX(0,(Slot9_Cost-KU44*(1+Slot9_Rate)^(Slot9_Age-D44))/KR44),0)</f>
        <v>0</v>
      </c>
      <c r="KW44" s="20" t="n">
        <f aca="false">IF(CZ44=1,MAX(0,(Slot9_Cost-DA44*(1+Slot9_Rate)^(Slot9_Age-D44))/KR44),0)</f>
        <v>0</v>
      </c>
      <c r="KX44" s="20" t="n">
        <f aca="false">IF(AND(HU44=1,CZ44=1),MIN(KQ44,KV44),0)</f>
        <v>0</v>
      </c>
      <c r="KY44" s="20" t="n">
        <f aca="false">KQ44-KX44</f>
        <v>0</v>
      </c>
      <c r="KZ44" s="20" t="n">
        <f aca="false">IF(DJ44=1,IF(ABS((1+AS_Wage)/(1+Slot10_Rate)-1)&lt;0.000000000001,(Slot10_Age-D44)*(1+Slot10_Rate)^(Slot10_Age-D44),(1+Slot10_Rate)^(Slot10_Age-D44)*(1-((1+AS_Wage)/(1+Slot10_Rate))^(Slot10_Age-D44))/(1-(1+AS_Wage)/(1+Slot10_Rate))),1)</f>
        <v>1</v>
      </c>
      <c r="LA44" s="20" t="n">
        <f aca="false">IF(AND(HU44=1,IE44&gt;0,Slot10_IsWG=1,DJ44=1),MAX(0,(Slot10_Cost-DK44*(1+Slot10_Rate)^(Slot10_Age-D44))/KZ44),0)</f>
        <v>0</v>
      </c>
      <c r="LB44" s="20" t="n">
        <f aca="false">IF(AND(HU44=1,IE44&gt;0,Slot10_IsWG=1,DJ44=1),MIN(IE44,LA44),0)</f>
        <v>0</v>
      </c>
      <c r="LC44" s="20" t="n">
        <f aca="false">DK44+LB44</f>
        <v>0</v>
      </c>
      <c r="LD44" s="20" t="n">
        <f aca="false">IF(DJ44=1,MAX(0,(Slot10_Cost-LC44*(1+Slot10_Rate)^(Slot10_Age-D44))/KZ44),0)</f>
        <v>0</v>
      </c>
      <c r="LE44" s="20" t="n">
        <f aca="false">IF(DJ44=1,MAX(0,(Slot10_Cost-DK44*(1+Slot10_Rate)^(Slot10_Age-D44))/KZ44),0)</f>
        <v>0</v>
      </c>
      <c r="LF44" s="20" t="n">
        <f aca="false">IF(AND(HU44=1,DJ44=1),MIN(KY44,LD44),0)</f>
        <v>0</v>
      </c>
      <c r="LG44" s="20" t="n">
        <f aca="false">KY44-LF44</f>
        <v>0</v>
      </c>
      <c r="LH44" s="20" t="n">
        <f aca="false">IF(DT44=1,IF(ABS((1+AS_Wage)/(1+Slot11_Rate)-1)&lt;0.000000000001,(Slot11_Age-D44)*(1+Slot11_Rate)^(Slot11_Age-D44),(1+Slot11_Rate)^(Slot11_Age-D44)*(1-((1+AS_Wage)/(1+Slot11_Rate))^(Slot11_Age-D44))/(1-(1+AS_Wage)/(1+Slot11_Rate))),1)</f>
        <v>1</v>
      </c>
      <c r="LI44" s="20" t="n">
        <f aca="false">IF(AND(HU44=1,IE44&gt;0,Slot11_IsWG=1,DT44=1),MAX(0,(Slot11_Cost-DU44*(1+Slot11_Rate)^(Slot11_Age-D44))/LH44),0)</f>
        <v>0</v>
      </c>
      <c r="LJ44" s="20" t="n">
        <f aca="false">IF(AND(HU44=1,IE44&gt;0,Slot11_IsWG=1,DT44=1),MIN(IE44,LI44),0)</f>
        <v>0</v>
      </c>
      <c r="LK44" s="20" t="n">
        <f aca="false">DU44+LJ44</f>
        <v>0</v>
      </c>
      <c r="LL44" s="20" t="n">
        <f aca="false">IF(DT44=1,MAX(0,(Slot11_Cost-LK44*(1+Slot11_Rate)^(Slot11_Age-D44))/LH44),0)</f>
        <v>0</v>
      </c>
      <c r="LM44" s="20" t="n">
        <f aca="false">IF(DT44=1,MAX(0,(Slot11_Cost-DU44*(1+Slot11_Rate)^(Slot11_Age-D44))/LH44),0)</f>
        <v>0</v>
      </c>
      <c r="LN44" s="20" t="n">
        <f aca="false">IF(AND(HU44=1,DT44=1),MIN(LG44,LL44),0)</f>
        <v>0</v>
      </c>
      <c r="LO44" s="20" t="n">
        <f aca="false">LG44-LN44</f>
        <v>0</v>
      </c>
      <c r="LP44" s="20" t="n">
        <f aca="false">IF(ED44=1,IF(ABS((1+AS_Wage)/(1+Slot12_Rate)-1)&lt;0.000000000001,(Slot12_Age-D44)*(1+Slot12_Rate)^(Slot12_Age-D44),(1+Slot12_Rate)^(Slot12_Age-D44)*(1-((1+AS_Wage)/(1+Slot12_Rate))^(Slot12_Age-D44))/(1-(1+AS_Wage)/(1+Slot12_Rate))),1)</f>
        <v>1</v>
      </c>
      <c r="LQ44" s="20" t="n">
        <f aca="false">IF(AND(HU44=1,IE44&gt;0,Slot12_IsWG=1,ED44=1),MAX(0,(Slot12_Cost-EE44*(1+Slot12_Rate)^(Slot12_Age-D44))/LP44),0)</f>
        <v>0</v>
      </c>
      <c r="LR44" s="20" t="n">
        <f aca="false">IF(AND(HU44=1,IE44&gt;0,Slot12_IsWG=1,ED44=1),MIN(IE44,LQ44),0)</f>
        <v>0</v>
      </c>
      <c r="LS44" s="20" t="n">
        <f aca="false">EE44+LR44</f>
        <v>0</v>
      </c>
      <c r="LT44" s="20" t="n">
        <f aca="false">IF(ED44=1,MAX(0,(Slot12_Cost-LS44*(1+Slot12_Rate)^(Slot12_Age-D44))/LP44),0)</f>
        <v>0</v>
      </c>
      <c r="LU44" s="20" t="n">
        <f aca="false">IF(ED44=1,MAX(0,(Slot12_Cost-EE44*(1+Slot12_Rate)^(Slot12_Age-D44))/LP44),0)</f>
        <v>0</v>
      </c>
      <c r="LV44" s="20" t="n">
        <f aca="false">IF(AND(HU44=1,ED44=1),MIN(LO44,LT44),0)</f>
        <v>0</v>
      </c>
      <c r="LW44" s="20" t="n">
        <f aca="false">LO44-LV44</f>
        <v>0</v>
      </c>
      <c r="LX44" s="20" t="n">
        <f aca="false">IF(EN44=1,IF(ABS((1+AS_Wage)/(1+Slot13_Rate)-1)&lt;0.000000000001,(Slot13_Age-D44)*(1+Slot13_Rate)^(Slot13_Age-D44),(1+Slot13_Rate)^(Slot13_Age-D44)*(1-((1+AS_Wage)/(1+Slot13_Rate))^(Slot13_Age-D44))/(1-(1+AS_Wage)/(1+Slot13_Rate))),1)</f>
        <v>1</v>
      </c>
      <c r="LY44" s="20" t="n">
        <f aca="false">IF(AND(HU44=1,IE44&gt;0,Slot13_IsWG=1,EN44=1),MAX(0,(Slot13_Cost-EO44*(1+Slot13_Rate)^(Slot13_Age-D44))/LX44),0)</f>
        <v>0</v>
      </c>
      <c r="LZ44" s="20" t="n">
        <f aca="false">IF(AND(HU44=1,IE44&gt;0,Slot13_IsWG=1,EN44=1),MIN(IE44,LY44),0)</f>
        <v>0</v>
      </c>
      <c r="MA44" s="20" t="n">
        <f aca="false">EO44+LZ44</f>
        <v>0</v>
      </c>
      <c r="MB44" s="20" t="n">
        <f aca="false">IF(EN44=1,MAX(0,(Slot13_Cost-MA44*(1+Slot13_Rate)^(Slot13_Age-D44))/LX44),0)</f>
        <v>0</v>
      </c>
      <c r="MC44" s="20" t="n">
        <f aca="false">IF(EN44=1,MAX(0,(Slot13_Cost-EO44*(1+Slot13_Rate)^(Slot13_Age-D44))/LX44),0)</f>
        <v>0</v>
      </c>
      <c r="MD44" s="20" t="n">
        <f aca="false">IF(AND(HU44=1,EN44=1),MIN(LW44,MB44),0)</f>
        <v>0</v>
      </c>
      <c r="ME44" s="20" t="n">
        <f aca="false">LW44-MD44</f>
        <v>0</v>
      </c>
      <c r="MF44" s="20" t="n">
        <f aca="false">IF(EX44=1,IF(ABS((1+AS_Wage)/(1+Slot14_Rate)-1)&lt;0.000000000001,(Slot14_Age-D44)*(1+Slot14_Rate)^(Slot14_Age-D44),(1+Slot14_Rate)^(Slot14_Age-D44)*(1-((1+AS_Wage)/(1+Slot14_Rate))^(Slot14_Age-D44))/(1-(1+AS_Wage)/(1+Slot14_Rate))),1)</f>
        <v>1</v>
      </c>
      <c r="MG44" s="20" t="n">
        <f aca="false">IF(AND(HU44=1,IE44&gt;0,Slot14_IsWG=1,EX44=1),MAX(0,(Slot14_Cost-EY44*(1+Slot14_Rate)^(Slot14_Age-D44))/MF44),0)</f>
        <v>0</v>
      </c>
      <c r="MH44" s="20" t="n">
        <f aca="false">IF(AND(HU44=1,IE44&gt;0,Slot14_IsWG=1,EX44=1),MIN(IE44,MG44),0)</f>
        <v>0</v>
      </c>
      <c r="MI44" s="20" t="n">
        <f aca="false">EY44+MH44</f>
        <v>0</v>
      </c>
      <c r="MJ44" s="20" t="n">
        <f aca="false">IF(EX44=1,MAX(0,(Slot14_Cost-MI44*(1+Slot14_Rate)^(Slot14_Age-D44))/MF44),0)</f>
        <v>0</v>
      </c>
      <c r="MK44" s="20" t="n">
        <f aca="false">IF(EX44=1,MAX(0,(Slot14_Cost-EY44*(1+Slot14_Rate)^(Slot14_Age-D44))/MF44),0)</f>
        <v>0</v>
      </c>
      <c r="ML44" s="20" t="n">
        <f aca="false">IF(AND(HU44=1,EX44=1),MIN(ME44,MJ44),0)</f>
        <v>0</v>
      </c>
      <c r="MM44" s="20" t="n">
        <f aca="false">ME44-ML44</f>
        <v>0</v>
      </c>
      <c r="MN44" s="20" t="n">
        <f aca="false">IF(FH44=1,IF(ABS((1+AS_Wage)/(1+Slot15_Rate)-1)&lt;0.000000000001,(Slot15_Age-D44)*(1+Slot15_Rate)^(Slot15_Age-D44),(1+Slot15_Rate)^(Slot15_Age-D44)*(1-((1+AS_Wage)/(1+Slot15_Rate))^(Slot15_Age-D44))/(1-(1+AS_Wage)/(1+Slot15_Rate))),1)</f>
        <v>1</v>
      </c>
      <c r="MO44" s="20" t="n">
        <f aca="false">IF(AND(HU44=1,IE44&gt;0,Slot15_IsWG=1,FH44=1),MAX(0,(Slot15_Cost-FI44*(1+Slot15_Rate)^(Slot15_Age-D44))/MN44),0)</f>
        <v>0</v>
      </c>
      <c r="MP44" s="20" t="n">
        <f aca="false">IF(AND(HU44=1,IE44&gt;0,Slot15_IsWG=1,FH44=1),MIN(IE44,MO44),0)</f>
        <v>0</v>
      </c>
      <c r="MQ44" s="20" t="n">
        <f aca="false">FI44+MP44</f>
        <v>0</v>
      </c>
      <c r="MR44" s="20" t="n">
        <f aca="false">IF(FH44=1,MAX(0,(Slot15_Cost-MQ44*(1+Slot15_Rate)^(Slot15_Age-D44))/MN44),0)</f>
        <v>0</v>
      </c>
      <c r="MS44" s="20" t="n">
        <f aca="false">IF(FH44=1,MAX(0,(Slot15_Cost-FI44*(1+Slot15_Rate)^(Slot15_Age-D44))/MN44),0)</f>
        <v>0</v>
      </c>
      <c r="MT44" s="20" t="n">
        <f aca="false">IF(AND(HU44=1,FH44=1),MIN(MM44,MR44),0)</f>
        <v>0</v>
      </c>
      <c r="MU44" s="20" t="n">
        <f aca="false">MM44-MT44</f>
        <v>0</v>
      </c>
      <c r="MV44" s="20" t="n">
        <f aca="false">IF(FR44=1,IF(ABS((1+AS_Wage)/(1+Slot16_Rate)-1)&lt;0.000000000001,(Slot16_Age-D44)*(1+Slot16_Rate)^(Slot16_Age-D44),(1+Slot16_Rate)^(Slot16_Age-D44)*(1-((1+AS_Wage)/(1+Slot16_Rate))^(Slot16_Age-D44))/(1-(1+AS_Wage)/(1+Slot16_Rate))),1)</f>
        <v>1</v>
      </c>
      <c r="MW44" s="20" t="n">
        <f aca="false">IF(AND(HU44=1,IE44&gt;0,Slot16_IsWG=1,FR44=1),MAX(0,(Slot16_Cost-FS44*(1+Slot16_Rate)^(Slot16_Age-D44))/MV44),0)</f>
        <v>0</v>
      </c>
      <c r="MX44" s="20" t="n">
        <f aca="false">IF(AND(HU44=1,IE44&gt;0,Slot16_IsWG=1,FR44=1),MIN(IE44,MW44),0)</f>
        <v>0</v>
      </c>
      <c r="MY44" s="20" t="n">
        <f aca="false">FS44+MX44</f>
        <v>0</v>
      </c>
      <c r="MZ44" s="20" t="n">
        <f aca="false">IF(FR44=1,MAX(0,(Slot16_Cost-MY44*(1+Slot16_Rate)^(Slot16_Age-D44))/MV44),0)</f>
        <v>0</v>
      </c>
      <c r="NA44" s="20" t="n">
        <f aca="false">IF(FR44=1,MAX(0,(Slot16_Cost-FS44*(1+Slot16_Rate)^(Slot16_Age-D44))/MV44),0)</f>
        <v>0</v>
      </c>
      <c r="NB44" s="20" t="n">
        <f aca="false">IF(AND(HU44=1,FR44=1),MIN(MU44,MZ44),0)</f>
        <v>0</v>
      </c>
      <c r="NC44" s="20" t="n">
        <f aca="false">MU44-NB44</f>
        <v>0</v>
      </c>
      <c r="ND44" s="20" t="n">
        <f aca="false">IF(GB44=1,IF(ABS((1+AS_Wage)/(1+Slot17_Rate)-1)&lt;0.000000000001,(Slot17_Age-D44)*(1+Slot17_Rate)^(Slot17_Age-D44),(1+Slot17_Rate)^(Slot17_Age-D44)*(1-((1+AS_Wage)/(1+Slot17_Rate))^(Slot17_Age-D44))/(1-(1+AS_Wage)/(1+Slot17_Rate))),1)</f>
        <v>1</v>
      </c>
      <c r="NE44" s="20" t="n">
        <f aca="false">IF(AND(HU44=1,IE44&gt;0,Slot17_IsWG=1,GB44=1),MAX(0,(Slot17_Cost-GC44*(1+Slot17_Rate)^(Slot17_Age-D44))/ND44),0)</f>
        <v>0</v>
      </c>
      <c r="NF44" s="20" t="n">
        <f aca="false">IF(AND(HU44=1,IE44&gt;0,Slot17_IsWG=1,GB44=1),MIN(IE44,NE44),0)</f>
        <v>0</v>
      </c>
      <c r="NG44" s="20" t="n">
        <f aca="false">GC44+NF44</f>
        <v>0</v>
      </c>
      <c r="NH44" s="20" t="n">
        <f aca="false">IF(GB44=1,MAX(0,(Slot17_Cost-NG44*(1+Slot17_Rate)^(Slot17_Age-D44))/ND44),0)</f>
        <v>0</v>
      </c>
      <c r="NI44" s="20" t="n">
        <f aca="false">IF(GB44=1,MAX(0,(Slot17_Cost-GC44*(1+Slot17_Rate)^(Slot17_Age-D44))/ND44),0)</f>
        <v>0</v>
      </c>
      <c r="NJ44" s="20" t="n">
        <f aca="false">IF(AND(HU44=1,GB44=1),MIN(NC44,NH44),0)</f>
        <v>0</v>
      </c>
      <c r="NK44" s="20" t="n">
        <f aca="false">NC44-NJ44</f>
        <v>0</v>
      </c>
      <c r="NL44" s="20" t="n">
        <f aca="false">IF(GL44=1,IF(ABS((1+AS_Wage)/(1+Slot18_Rate)-1)&lt;0.000000000001,(Slot18_Age-D44)*(1+Slot18_Rate)^(Slot18_Age-D44),(1+Slot18_Rate)^(Slot18_Age-D44)*(1-((1+AS_Wage)/(1+Slot18_Rate))^(Slot18_Age-D44))/(1-(1+AS_Wage)/(1+Slot18_Rate))),1)</f>
        <v>1</v>
      </c>
      <c r="NM44" s="20" t="n">
        <f aca="false">IF(AND(HU44=1,IE44&gt;0,Slot18_IsWG=1,GL44=1),MAX(0,(Slot18_Cost-GM44*(1+Slot18_Rate)^(Slot18_Age-D44))/NL44),0)</f>
        <v>0</v>
      </c>
      <c r="NN44" s="20" t="n">
        <f aca="false">IF(AND(HU44=1,IE44&gt;0,Slot18_IsWG=1,GL44=1),MIN(IE44,NM44),0)</f>
        <v>0</v>
      </c>
      <c r="NO44" s="20" t="n">
        <f aca="false">GM44+NN44</f>
        <v>0</v>
      </c>
      <c r="NP44" s="20" t="n">
        <f aca="false">IF(GL44=1,MAX(0,(Slot18_Cost-NO44*(1+Slot18_Rate)^(Slot18_Age-D44))/NL44),0)</f>
        <v>0</v>
      </c>
      <c r="NQ44" s="20" t="n">
        <f aca="false">IF(GL44=1,MAX(0,(Slot18_Cost-GM44*(1+Slot18_Rate)^(Slot18_Age-D44))/NL44),0)</f>
        <v>0</v>
      </c>
      <c r="NR44" s="20" t="n">
        <f aca="false">IF(AND(HU44=1,GL44=1),MIN(NK44,NP44),0)</f>
        <v>0</v>
      </c>
      <c r="NS44" s="20" t="n">
        <f aca="false">NK44-NR44</f>
        <v>0</v>
      </c>
      <c r="NT44" s="20" t="n">
        <f aca="false">IF(GV44=1,IF(ABS((1+AS_Wage)/(1+Slot19_Rate)-1)&lt;0.000000000001,(Slot19_Age-D44)*(1+Slot19_Rate)^(Slot19_Age-D44),(1+Slot19_Rate)^(Slot19_Age-D44)*(1-((1+AS_Wage)/(1+Slot19_Rate))^(Slot19_Age-D44))/(1-(1+AS_Wage)/(1+Slot19_Rate))),1)</f>
        <v>1</v>
      </c>
      <c r="NU44" s="20" t="n">
        <f aca="false">IF(AND(HU44=1,IE44&gt;0,Slot19_IsWG=1,GV44=1),MAX(0,(Slot19_Cost-GW44*(1+Slot19_Rate)^(Slot19_Age-D44))/NT44),0)</f>
        <v>0</v>
      </c>
      <c r="NV44" s="20" t="n">
        <f aca="false">IF(AND(HU44=1,IE44&gt;0,Slot19_IsWG=1,GV44=1),MIN(IE44,NU44),0)</f>
        <v>0</v>
      </c>
      <c r="NW44" s="20" t="n">
        <f aca="false">GW44+NV44</f>
        <v>0</v>
      </c>
      <c r="NX44" s="20" t="n">
        <f aca="false">IF(GV44=1,MAX(0,(Slot19_Cost-NW44*(1+Slot19_Rate)^(Slot19_Age-D44))/NT44),0)</f>
        <v>0</v>
      </c>
      <c r="NY44" s="20" t="n">
        <f aca="false">IF(GV44=1,MAX(0,(Slot19_Cost-GW44*(1+Slot19_Rate)^(Slot19_Age-D44))/NT44),0)</f>
        <v>0</v>
      </c>
      <c r="NZ44" s="20" t="n">
        <f aca="false">IF(AND(HU44=1,GV44=1),MIN(NS44,NX44),0)</f>
        <v>0</v>
      </c>
      <c r="OA44" s="20" t="n">
        <f aca="false">NS44-NZ44</f>
        <v>0</v>
      </c>
      <c r="OB44" s="20" t="n">
        <f aca="false">IF(HF44=1,IF(ABS((1+AS_Wage)/(1+Slot20_Rate)-1)&lt;0.000000000001,(Slot20_Age-D44)*(1+Slot20_Rate)^(Slot20_Age-D44),(1+Slot20_Rate)^(Slot20_Age-D44)*(1-((1+AS_Wage)/(1+Slot20_Rate))^(Slot20_Age-D44))/(1-(1+AS_Wage)/(1+Slot20_Rate))),1)</f>
        <v>1</v>
      </c>
      <c r="OC44" s="20" t="n">
        <f aca="false">IF(AND(HU44=1,IE44&gt;0,Slot20_IsWG=1,HF44=1),MAX(0,(Slot20_Cost-HG44*(1+Slot20_Rate)^(Slot20_Age-D44))/OB44),0)</f>
        <v>0</v>
      </c>
      <c r="OD44" s="20" t="n">
        <f aca="false">IF(AND(HU44=1,IE44&gt;0,Slot20_IsWG=1,HF44=1),MIN(IE44,OC44),0)</f>
        <v>0</v>
      </c>
      <c r="OE44" s="20" t="n">
        <f aca="false">HG44+OD44</f>
        <v>0</v>
      </c>
      <c r="OF44" s="20" t="n">
        <f aca="false">IF(HF44=1,MAX(0,(Slot20_Cost-OE44*(1+Slot20_Rate)^(Slot20_Age-D44))/OB44),0)</f>
        <v>0</v>
      </c>
      <c r="OG44" s="20" t="n">
        <f aca="false">IF(HF44=1,MAX(0,(Slot20_Cost-HG44*(1+Slot20_Rate)^(Slot20_Age-D44))/OB44),0)</f>
        <v>0</v>
      </c>
      <c r="OH44" s="20" t="n">
        <f aca="false">IF(AND(HU44=1,HF44=1),MIN(OA44,OF44),0)</f>
        <v>0</v>
      </c>
      <c r="OI44" s="20" t="n">
        <f aca="false">OA44-OH44</f>
        <v>0</v>
      </c>
      <c r="OJ44" s="20" t="n">
        <f aca="false">IE44-(IH44+IP44+IX44+JF44+JN44+JV44+KD44+KL44+KT44+LB44+LJ44+LR44+LZ44+MH44+MP44+MX44+NF44+NN44+NV44+OD44)</f>
        <v>0</v>
      </c>
      <c r="OK44" s="20" t="n">
        <f aca="false">IF(HU44=1,HS44-ID44-IE44,0)</f>
        <v>0</v>
      </c>
      <c r="OL44" s="20" t="n">
        <f aca="false">IF(HU44=0,-HS44,0)</f>
        <v>22504.9029963136</v>
      </c>
      <c r="OM44" s="20" t="n">
        <f aca="false">MIN(OL44,HK44)</f>
        <v>22504.9029963136</v>
      </c>
      <c r="ON44" s="20" t="n">
        <f aca="false">OL44-OM44</f>
        <v>0</v>
      </c>
      <c r="OO44" s="20" t="n">
        <f aca="false">MIN(ON44,HL44)</f>
        <v>0</v>
      </c>
      <c r="OP44" s="20" t="n">
        <f aca="false">ON44-OO44</f>
        <v>0</v>
      </c>
      <c r="OQ44" s="20" t="n">
        <f aca="false">IF(AND(HU44=0,HF44=1,OP44&gt;0),MIN(OP44,HG44),0)</f>
        <v>0</v>
      </c>
      <c r="OR44" s="20" t="n">
        <f aca="false">OP44-OQ44</f>
        <v>0</v>
      </c>
      <c r="OS44" s="20" t="n">
        <f aca="false">IF(AND(HU44=0,GV44=1,OR44&gt;0),MIN(OR44,GW44),0)</f>
        <v>0</v>
      </c>
      <c r="OT44" s="20" t="n">
        <f aca="false">OR44-OS44</f>
        <v>0</v>
      </c>
      <c r="OU44" s="20" t="n">
        <f aca="false">IF(AND(HU44=0,GL44=1,OT44&gt;0),MIN(OT44,GM44),0)</f>
        <v>0</v>
      </c>
      <c r="OV44" s="20" t="n">
        <f aca="false">OT44-OU44</f>
        <v>0</v>
      </c>
      <c r="OW44" s="20" t="n">
        <f aca="false">IF(AND(HU44=0,GB44=1,OV44&gt;0),MIN(OV44,GC44),0)</f>
        <v>0</v>
      </c>
      <c r="OX44" s="20" t="n">
        <f aca="false">OV44-OW44</f>
        <v>0</v>
      </c>
      <c r="OY44" s="20" t="n">
        <f aca="false">IF(AND(HU44=0,FR44=1,OX44&gt;0),MIN(OX44,FS44),0)</f>
        <v>0</v>
      </c>
      <c r="OZ44" s="20" t="n">
        <f aca="false">OX44-OY44</f>
        <v>0</v>
      </c>
      <c r="PA44" s="20" t="n">
        <f aca="false">IF(AND(HU44=0,FH44=1,OZ44&gt;0),MIN(OZ44,FI44),0)</f>
        <v>0</v>
      </c>
      <c r="PB44" s="20" t="n">
        <f aca="false">OZ44-PA44</f>
        <v>0</v>
      </c>
      <c r="PC44" s="20" t="n">
        <f aca="false">IF(AND(HU44=0,EX44=1,PB44&gt;0),MIN(PB44,EY44),0)</f>
        <v>0</v>
      </c>
      <c r="PD44" s="20" t="n">
        <f aca="false">PB44-PC44</f>
        <v>0</v>
      </c>
      <c r="PE44" s="20" t="n">
        <f aca="false">IF(AND(HU44=0,EN44=1,PD44&gt;0),MIN(PD44,EO44),0)</f>
        <v>0</v>
      </c>
      <c r="PF44" s="20" t="n">
        <f aca="false">PD44-PE44</f>
        <v>0</v>
      </c>
      <c r="PG44" s="20" t="n">
        <f aca="false">IF(AND(HU44=0,ED44=1,PF44&gt;0),MIN(PF44,EE44),0)</f>
        <v>0</v>
      </c>
      <c r="PH44" s="20" t="n">
        <f aca="false">PF44-PG44</f>
        <v>0</v>
      </c>
      <c r="PI44" s="20" t="n">
        <f aca="false">IF(AND(HU44=0,DT44=1,PH44&gt;0),MIN(PH44,DU44),0)</f>
        <v>0</v>
      </c>
      <c r="PJ44" s="20" t="n">
        <f aca="false">PH44-PI44</f>
        <v>0</v>
      </c>
      <c r="PK44" s="20" t="n">
        <f aca="false">IF(AND(HU44=0,DJ44=1,PJ44&gt;0),MIN(PJ44,DK44),0)</f>
        <v>0</v>
      </c>
      <c r="PL44" s="20" t="n">
        <f aca="false">PJ44-PK44</f>
        <v>0</v>
      </c>
      <c r="PM44" s="20" t="n">
        <f aca="false">IF(AND(HU44=0,CZ44=1,PL44&gt;0),MIN(PL44,DA44),0)</f>
        <v>0</v>
      </c>
      <c r="PN44" s="20" t="n">
        <f aca="false">PL44-PM44</f>
        <v>0</v>
      </c>
      <c r="PO44" s="20" t="n">
        <f aca="false">IF(AND(HU44=0,CP44=1,PN44&gt;0),MIN(PN44,CQ44),0)</f>
        <v>0</v>
      </c>
      <c r="PP44" s="20" t="n">
        <f aca="false">PN44-PO44</f>
        <v>0</v>
      </c>
      <c r="PQ44" s="20" t="n">
        <f aca="false">IF(AND(HU44=0,CF44=1,PP44&gt;0),MIN(PP44,CG44),0)</f>
        <v>0</v>
      </c>
      <c r="PR44" s="20" t="n">
        <f aca="false">PP44-PQ44</f>
        <v>0</v>
      </c>
      <c r="PS44" s="20" t="n">
        <f aca="false">IF(AND(HU44=0,BV44=1,PR44&gt;0),MIN(PR44,BW44),0)</f>
        <v>0</v>
      </c>
      <c r="PT44" s="20" t="n">
        <f aca="false">PR44-PS44</f>
        <v>0</v>
      </c>
      <c r="PU44" s="20" t="n">
        <f aca="false">IF(AND(HU44=0,BL44=1,PT44&gt;0),MIN(PT44,BM44),0)</f>
        <v>0</v>
      </c>
      <c r="PV44" s="20" t="n">
        <f aca="false">PT44-PU44</f>
        <v>0</v>
      </c>
      <c r="PW44" s="20" t="n">
        <f aca="false">IF(AND(HU44=0,BB44=1,PV44&gt;0),MIN(PV44,BC44),0)</f>
        <v>0</v>
      </c>
      <c r="PX44" s="20" t="n">
        <f aca="false">PV44-PW44</f>
        <v>0</v>
      </c>
      <c r="PY44" s="20" t="n">
        <f aca="false">IF(AND(HU44=0,AR44=1,PX44&gt;0),MIN(PX44,AS44),0)</f>
        <v>0</v>
      </c>
      <c r="PZ44" s="20" t="n">
        <f aca="false">PX44-PY44</f>
        <v>0</v>
      </c>
      <c r="QA44" s="20" t="n">
        <f aca="false">IF(AND(HU44=0,AH44=1,PZ44&gt;0),MIN(PZ44,AI44),0)</f>
        <v>0</v>
      </c>
      <c r="QB44" s="20" t="n">
        <f aca="false">PZ44-QA44</f>
        <v>0</v>
      </c>
      <c r="QC44" s="20" t="n">
        <f aca="false">IF(AND(HU44=0,W44=1,QB44&gt;0),MIN(QB44,X44),0)</f>
        <v>0</v>
      </c>
      <c r="QD44" s="20" t="n">
        <f aca="false">QB44-QC44</f>
        <v>0</v>
      </c>
      <c r="QE44" s="20" t="n">
        <f aca="false">IF(HU44=0,QD44,0)</f>
        <v>0</v>
      </c>
      <c r="QF44" s="20" t="n">
        <f aca="false">OM44+OO44+QC44+QA44+PY44+PW44+PU44+PS44+PQ44+PO44+PM44+PK44+PI44+PG44+PE44+PC44+PA44+OY44+OW44+OU44+OS44+OQ44</f>
        <v>22504.9029963136</v>
      </c>
      <c r="QG44" s="20" t="n">
        <f aca="false">IF(HU44=1,HK44+OJ44+OI44+IF(G44=1,0,OK44),HK44-OM44)</f>
        <v>47522.2128418537</v>
      </c>
      <c r="QH44" s="20" t="n">
        <f aca="false">HL44-OO44</f>
        <v>21888.6164461623</v>
      </c>
      <c r="QI44" s="20" t="n">
        <f aca="false">IF(HU44=1,IF(G44=1,ID44+IE44,HS44),0)</f>
        <v>0</v>
      </c>
      <c r="QJ44" s="20" t="n">
        <f aca="false">IF(HU44=1,IF(G44=1,HS44-ID44-IE44,0),0)</f>
        <v>0</v>
      </c>
      <c r="QK44" s="20" t="n">
        <f aca="false">QG44*(1+GR)</f>
        <v>48301.5771324601</v>
      </c>
      <c r="QL44" s="20" t="n">
        <f aca="false">QH44*(1+AS_Cash)</f>
        <v>22107.502610624</v>
      </c>
      <c r="QM44" s="20" t="n">
        <f aca="false">IF(W44=1,IF(HU44=1,II44+IL44,X44-QC44)*(1+Slot1_Rate),0)</f>
        <v>0</v>
      </c>
      <c r="QN44" s="20" t="n">
        <f aca="false">IF(AND(HU44=1,W44=1),(IH44+IL44)/F44,0)</f>
        <v>0</v>
      </c>
      <c r="QO44" s="20" t="n">
        <f aca="false">IF(B44=0,IH44+IL44,0)</f>
        <v>0</v>
      </c>
      <c r="QP44" s="20" t="n">
        <f aca="false">IF(B44=0,IF(HU44=1,IJ44,IK44),0)</f>
        <v>0</v>
      </c>
      <c r="QQ44" s="20" t="n">
        <f aca="false">IF(AH44=1,IF(HU44=1,IQ44+IT44,AI44-QA44)*(1+Slot2_Rate),0)</f>
        <v>0</v>
      </c>
      <c r="QR44" s="20" t="n">
        <f aca="false">IF(AND(HU44=1,AH44=1),(IP44+IT44)/F44,0)</f>
        <v>0</v>
      </c>
      <c r="QS44" s="20" t="n">
        <f aca="false">IF(B44=0,IP44+IT44,0)</f>
        <v>0</v>
      </c>
      <c r="QT44" s="20" t="n">
        <f aca="false">IF(B44=0,IF(HU44=1,IR44,IS44),0)</f>
        <v>0</v>
      </c>
      <c r="QU44" s="20" t="n">
        <f aca="false">IF(AR44=1,IF(HU44=1,IY44+JB44,AS44-PY44)*(1+Slot3_Rate),0)</f>
        <v>0</v>
      </c>
      <c r="QV44" s="20" t="n">
        <f aca="false">IF(AND(HU44=1,AR44=1),(IX44+JB44)/F44,0)</f>
        <v>0</v>
      </c>
      <c r="QW44" s="20" t="n">
        <f aca="false">IF(B44=0,IX44+JB44,0)</f>
        <v>0</v>
      </c>
      <c r="QX44" s="20" t="n">
        <f aca="false">IF(B44=0,IF(HU44=1,IZ44,JA44),0)</f>
        <v>0</v>
      </c>
      <c r="QY44" s="20" t="n">
        <f aca="false">IF(BB44=1,IF(HU44=1,JG44+JJ44,BC44-PW44)*(1+Slot4_Rate),0)</f>
        <v>0</v>
      </c>
      <c r="QZ44" s="20" t="n">
        <f aca="false">IF(AND(HU44=1,BB44=1),(JF44+JJ44)/F44,0)</f>
        <v>0</v>
      </c>
      <c r="RA44" s="20" t="n">
        <f aca="false">IF(B44=0,JF44+JJ44,0)</f>
        <v>0</v>
      </c>
      <c r="RB44" s="20" t="n">
        <f aca="false">IF(B44=0,IF(HU44=1,JH44,JI44),0)</f>
        <v>0</v>
      </c>
      <c r="RC44" s="20" t="n">
        <f aca="false">IF(BL44=1,IF(HU44=1,JO44+JR44,BM44-PU44)*(1+Slot5_Rate),0)</f>
        <v>0</v>
      </c>
      <c r="RD44" s="20" t="n">
        <f aca="false">IF(AND(HU44=1,BL44=1),(JN44+JR44)/F44,0)</f>
        <v>0</v>
      </c>
      <c r="RE44" s="20" t="n">
        <f aca="false">IF(B44=0,JN44+JR44,0)</f>
        <v>0</v>
      </c>
      <c r="RF44" s="20" t="n">
        <f aca="false">IF(B44=0,IF(HU44=1,JP44,JQ44),0)</f>
        <v>0</v>
      </c>
      <c r="RG44" s="20" t="n">
        <f aca="false">IF(BV44=1,IF(HU44=1,JW44+JZ44,BW44-PS44)*(1+Slot6_Rate),0)</f>
        <v>0</v>
      </c>
      <c r="RH44" s="20" t="n">
        <f aca="false">IF(AND(HU44=1,BV44=1),(JV44+JZ44)/F44,0)</f>
        <v>0</v>
      </c>
      <c r="RI44" s="20" t="n">
        <f aca="false">IF(B44=0,JV44+JZ44,0)</f>
        <v>0</v>
      </c>
      <c r="RJ44" s="20" t="n">
        <f aca="false">IF(B44=0,IF(HU44=1,JX44,JY44),0)</f>
        <v>0</v>
      </c>
      <c r="RK44" s="20" t="n">
        <f aca="false">IF(CF44=1,IF(HU44=1,KE44+KH44,CG44-PQ44)*(1+Slot7_Rate),0)</f>
        <v>0</v>
      </c>
      <c r="RL44" s="20" t="n">
        <f aca="false">IF(AND(HU44=1,CF44=1),(KD44+KH44)/F44,0)</f>
        <v>0</v>
      </c>
      <c r="RM44" s="20" t="n">
        <f aca="false">IF(B44=0,KD44+KH44,0)</f>
        <v>0</v>
      </c>
      <c r="RN44" s="20" t="n">
        <f aca="false">IF(B44=0,IF(HU44=1,KF44,KG44),0)</f>
        <v>0</v>
      </c>
      <c r="RO44" s="20" t="n">
        <f aca="false">IF(CP44=1,IF(HU44=1,KM44+KP44,CQ44-PO44)*(1+Slot8_Rate),0)</f>
        <v>0</v>
      </c>
      <c r="RP44" s="20" t="n">
        <f aca="false">IF(AND(HU44=1,CP44=1),(KL44+KP44)/F44,0)</f>
        <v>0</v>
      </c>
      <c r="RQ44" s="20" t="n">
        <f aca="false">IF(B44=0,KL44+KP44,0)</f>
        <v>0</v>
      </c>
      <c r="RR44" s="20" t="n">
        <f aca="false">IF(B44=0,IF(HU44=1,KN44,KO44),0)</f>
        <v>0</v>
      </c>
      <c r="RS44" s="20" t="n">
        <f aca="false">IF(CZ44=1,IF(HU44=1,KU44+KX44,DA44-PM44)*(1+Slot9_Rate),0)</f>
        <v>0</v>
      </c>
      <c r="RT44" s="20" t="n">
        <f aca="false">IF(AND(HU44=1,CZ44=1),(KT44+KX44)/F44,0)</f>
        <v>0</v>
      </c>
      <c r="RU44" s="20" t="n">
        <f aca="false">IF(B44=0,KT44+KX44,0)</f>
        <v>0</v>
      </c>
      <c r="RV44" s="20" t="n">
        <f aca="false">IF(B44=0,IF(HU44=1,KV44,KW44),0)</f>
        <v>0</v>
      </c>
      <c r="RW44" s="20" t="n">
        <f aca="false">IF(DJ44=1,IF(HU44=1,LC44+LF44,DK44-PK44)*(1+Slot10_Rate),0)</f>
        <v>0</v>
      </c>
      <c r="RX44" s="20" t="n">
        <f aca="false">IF(AND(HU44=1,DJ44=1),(LB44+LF44)/F44,0)</f>
        <v>0</v>
      </c>
      <c r="RY44" s="20" t="n">
        <f aca="false">IF(B44=0,LB44+LF44,0)</f>
        <v>0</v>
      </c>
      <c r="RZ44" s="20" t="n">
        <f aca="false">IF(B44=0,IF(HU44=1,LD44,LE44),0)</f>
        <v>0</v>
      </c>
      <c r="SA44" s="20" t="n">
        <f aca="false">IF(DT44=1,IF(HU44=1,LK44+LN44,DU44-PI44)*(1+Slot11_Rate),0)</f>
        <v>0</v>
      </c>
      <c r="SB44" s="20" t="n">
        <f aca="false">IF(AND(HU44=1,DT44=1),(LJ44+LN44)/F44,0)</f>
        <v>0</v>
      </c>
      <c r="SC44" s="20" t="n">
        <f aca="false">IF(B44=0,LJ44+LN44,0)</f>
        <v>0</v>
      </c>
      <c r="SD44" s="20" t="n">
        <f aca="false">IF(B44=0,IF(HU44=1,LL44,LM44),0)</f>
        <v>0</v>
      </c>
      <c r="SE44" s="20" t="n">
        <f aca="false">IF(ED44=1,IF(HU44=1,LS44+LV44,EE44-PG44)*(1+Slot12_Rate),0)</f>
        <v>0</v>
      </c>
      <c r="SF44" s="20" t="n">
        <f aca="false">IF(AND(HU44=1,ED44=1),(LR44+LV44)/F44,0)</f>
        <v>0</v>
      </c>
      <c r="SG44" s="20" t="n">
        <f aca="false">IF(B44=0,LR44+LV44,0)</f>
        <v>0</v>
      </c>
      <c r="SH44" s="20" t="n">
        <f aca="false">IF(B44=0,IF(HU44=1,LT44,LU44),0)</f>
        <v>0</v>
      </c>
      <c r="SI44" s="20" t="n">
        <f aca="false">IF(EN44=1,IF(HU44=1,MA44+MD44,EO44-PE44)*(1+Slot13_Rate),0)</f>
        <v>0</v>
      </c>
      <c r="SJ44" s="20" t="n">
        <f aca="false">IF(AND(HU44=1,EN44=1),(LZ44+MD44)/F44,0)</f>
        <v>0</v>
      </c>
      <c r="SK44" s="20" t="n">
        <f aca="false">IF(B44=0,LZ44+MD44,0)</f>
        <v>0</v>
      </c>
      <c r="SL44" s="20" t="n">
        <f aca="false">IF(B44=0,IF(HU44=1,MB44,MC44),0)</f>
        <v>0</v>
      </c>
      <c r="SM44" s="20" t="n">
        <f aca="false">IF(EX44=1,IF(HU44=1,MI44+ML44,EY44-PC44)*(1+Slot14_Rate),0)</f>
        <v>0</v>
      </c>
      <c r="SN44" s="20" t="n">
        <f aca="false">IF(AND(HU44=1,EX44=1),(MH44+ML44)/F44,0)</f>
        <v>0</v>
      </c>
      <c r="SO44" s="20" t="n">
        <f aca="false">IF(B44=0,MH44+ML44,0)</f>
        <v>0</v>
      </c>
      <c r="SP44" s="20" t="n">
        <f aca="false">IF(B44=0,IF(HU44=1,MJ44,MK44),0)</f>
        <v>0</v>
      </c>
      <c r="SQ44" s="20" t="n">
        <f aca="false">IF(FH44=1,IF(HU44=1,MQ44+MT44,FI44-PA44)*(1+Slot15_Rate),0)</f>
        <v>0</v>
      </c>
      <c r="SR44" s="20" t="n">
        <f aca="false">IF(AND(HU44=1,FH44=1),(MP44+MT44)/F44,0)</f>
        <v>0</v>
      </c>
      <c r="SS44" s="20" t="n">
        <f aca="false">IF(B44=0,MP44+MT44,0)</f>
        <v>0</v>
      </c>
      <c r="ST44" s="20" t="n">
        <f aca="false">IF(B44=0,IF(HU44=1,MR44,MS44),0)</f>
        <v>0</v>
      </c>
      <c r="SU44" s="20" t="n">
        <f aca="false">IF(FR44=1,IF(HU44=1,MY44+NB44,FS44-OY44)*(1+Slot16_Rate),0)</f>
        <v>0</v>
      </c>
      <c r="SV44" s="20" t="n">
        <f aca="false">IF(AND(HU44=1,FR44=1),(MX44+NB44)/F44,0)</f>
        <v>0</v>
      </c>
      <c r="SW44" s="20" t="n">
        <f aca="false">IF(B44=0,MX44+NB44,0)</f>
        <v>0</v>
      </c>
      <c r="SX44" s="20" t="n">
        <f aca="false">IF(B44=0,IF(HU44=1,MZ44,NA44),0)</f>
        <v>0</v>
      </c>
      <c r="SY44" s="20" t="n">
        <f aca="false">IF(GB44=1,IF(HU44=1,NG44+NJ44,GC44-OW44)*(1+Slot17_Rate),0)</f>
        <v>0</v>
      </c>
      <c r="SZ44" s="20" t="n">
        <f aca="false">IF(AND(HU44=1,GB44=1),(NF44+NJ44)/F44,0)</f>
        <v>0</v>
      </c>
      <c r="TA44" s="20" t="n">
        <f aca="false">IF(B44=0,NF44+NJ44,0)</f>
        <v>0</v>
      </c>
      <c r="TB44" s="20" t="n">
        <f aca="false">IF(B44=0,IF(HU44=1,NH44,NI44),0)</f>
        <v>0</v>
      </c>
      <c r="TC44" s="20" t="n">
        <f aca="false">IF(GL44=1,IF(HU44=1,NO44+NR44,GM44-OU44)*(1+Slot18_Rate),0)</f>
        <v>0</v>
      </c>
      <c r="TD44" s="20" t="n">
        <f aca="false">IF(AND(HU44=1,GL44=1),(NN44+NR44)/F44,0)</f>
        <v>0</v>
      </c>
      <c r="TE44" s="20" t="n">
        <f aca="false">IF(B44=0,NN44+NR44,0)</f>
        <v>0</v>
      </c>
      <c r="TF44" s="20" t="n">
        <f aca="false">IF(B44=0,IF(HU44=1,NP44,NQ44),0)</f>
        <v>0</v>
      </c>
      <c r="TG44" s="20" t="n">
        <f aca="false">IF(GV44=1,IF(HU44=1,NW44+NZ44,GW44-OS44)*(1+Slot19_Rate),0)</f>
        <v>0</v>
      </c>
      <c r="TH44" s="20" t="n">
        <f aca="false">IF(AND(HU44=1,GV44=1),(NV44+NZ44)/F44,0)</f>
        <v>0</v>
      </c>
      <c r="TI44" s="20" t="n">
        <f aca="false">IF(B44=0,NV44+NZ44,0)</f>
        <v>0</v>
      </c>
      <c r="TJ44" s="20" t="n">
        <f aca="false">IF(B44=0,IF(HU44=1,NX44,NY44),0)</f>
        <v>0</v>
      </c>
      <c r="TK44" s="20" t="n">
        <f aca="false">IF(HF44=1,IF(HU44=1,OE44+OH44,HG44-OQ44)*(1+Slot20_Rate),0)</f>
        <v>0</v>
      </c>
      <c r="TL44" s="20" t="n">
        <f aca="false">IF(AND(HU44=1,HF44=1),(OD44+OH44)/F44,0)</f>
        <v>0</v>
      </c>
      <c r="TM44" s="20" t="n">
        <f aca="false">IF(B44=0,OD44+OH44,0)</f>
        <v>0</v>
      </c>
      <c r="TN44" s="20" t="n">
        <f aca="false">IF(B44=0,IF(HU44=1,OF44,OG44),0)</f>
        <v>0</v>
      </c>
      <c r="TO44" s="20" t="n">
        <f aca="false">QK44+QL44+QM44+QQ44+QU44+QY44+RC44+RG44+RK44+RO44+RS44+RW44+SA44+SE44+SI44+SM44+SQ44+SU44+SY44+TC44+TG44+TK44</f>
        <v>70409.0797430841</v>
      </c>
      <c r="TP44" s="20" t="n">
        <f aca="false">QE44+HP44</f>
        <v>0</v>
      </c>
      <c r="TQ44" s="20" t="n">
        <f aca="false">I44+S44</f>
        <v>97506.6150296107</v>
      </c>
      <c r="TR44" s="20" t="n">
        <f aca="false">1-G44</f>
        <v>1</v>
      </c>
      <c r="TS44" s="20" t="n">
        <f aca="false">IF(AND(RG_Exists=1,G44=0,C44=1),I44,0)</f>
        <v>97506.6150296107</v>
      </c>
      <c r="TT44" s="20" t="n">
        <f aca="false">IF(AND(RG_Exists=1,G44=0,C44=1),I44-MIN(QE44,I44),0)</f>
        <v>97506.6150296107</v>
      </c>
      <c r="TU44" s="20" t="n">
        <f aca="false">'Plan pay &amp; tax'!AD270</f>
        <v>380838.179365212</v>
      </c>
      <c r="TV44" s="20" t="n">
        <f aca="false">IF(AND(C44=1,QE44&gt;MAX(PR_Short1,TQ44*PR_Short2)),1,0)</f>
        <v>0</v>
      </c>
      <c r="TW44" s="20" t="n">
        <f aca="false">MIN(H44,I44+S44)</f>
        <v>75001.7120332972</v>
      </c>
      <c r="TX44" s="20" t="n">
        <f aca="false">QF44+MAX(0,HQ44-HP44)</f>
        <v>22504.9029963136</v>
      </c>
      <c r="TY44" s="20" t="n">
        <f aca="false">QE44+HP44</f>
        <v>0</v>
      </c>
      <c r="TZ44" s="20" t="n">
        <f aca="false">IF(AND(C44=1,TY44&gt;PR_MinShort),1,0)</f>
        <v>0</v>
      </c>
      <c r="UA44" s="20" t="n">
        <f aca="false">IF(AND(C44=1,TZ44=0,TX44&gt;PR_MinShort),1,0)</f>
        <v>1</v>
      </c>
      <c r="UB44" s="20" t="n">
        <f aca="false">IF(AND(C44=1,QE44&gt;PR_MinShort),1,0)</f>
        <v>0</v>
      </c>
      <c r="UC44" s="20" t="n">
        <f aca="false">IF(AND(C44=1,QF44&gt;1,UJ44=0),1,0)</f>
        <v>1</v>
      </c>
      <c r="UD44" s="20" t="str">
        <f aca="false">IF(C44=0,"",IF(UJ44=1,"Gap to plan for: short "&amp;"€"&amp;TEXT(ROUND(TP44,0),"#,##0"),IF(QF44&gt;1,"Using savings","Comfortable")))</f>
        <v>Using savings</v>
      </c>
      <c r="UE44" s="20" t="n">
        <f aca="false">IF(AND(INT(D44/10)*10=90,B44&gt;0),80,INT(D44/10)*10)</f>
        <v>70</v>
      </c>
      <c r="UF44" s="20" t="n">
        <f aca="false">IF(B44=0,1,IF(UE44&lt;&gt;UE43,UF43+1,UF43))</f>
        <v>5</v>
      </c>
      <c r="UG44" s="20" t="n">
        <f aca="false">IF(AND(C44=1,G44=1,QE44&gt;MAX(PR_Short1,TQ44*PR_Short2)),1,0)</f>
        <v>0</v>
      </c>
      <c r="UH44" s="20" t="n">
        <f aca="false">TR44*TV44</f>
        <v>0</v>
      </c>
      <c r="UI44" s="20" t="n">
        <f aca="false">IF(AND(V44=1,Slot1_PctLow=1),1,0)+IF(AND(AG44=1,Slot2_PctLow=1),1,0)+IF(AND(AQ44=1,Slot3_PctLow=1),1,0)+IF(AND(BA44=1,Slot4_PctLow=1),1,0)+IF(AND(BK44=1,Slot5_PctLow=1),1,0)+IF(AND(BU44=1,Slot6_PctLow=1),1,0)+IF(AND(CE44=1,Slot7_PctLow=1),1,0)+IF(AND(CO44=1,Slot8_PctLow=1),1,0)+IF(AND(CY44=1,Slot9_PctLow=1),1,0)+IF(AND(DI44=1,Slot10_PctLow=1),1,0)+IF(AND(DS44=1,Slot11_PctLow=1),1,0)+IF(AND(EC44=1,Slot12_PctLow=1),1,0)+IF(AND(EM44=1,Slot13_PctLow=1),1,0)+IF(AND(EW44=1,Slot14_PctLow=1),1,0)+IF(AND(FG44=1,Slot15_PctLow=1),1,0)+IF(AND(FQ44=1,Slot16_PctLow=1),1,0)+IF(AND(GA44=1,Slot17_PctLow=1),1,0)+IF(AND(GK44=1,Slot18_PctLow=1),1,0)+IF(AND(GU44=1,Slot19_PctLow=1),1,0)+IF(AND(HE44=1,Slot20_PctLow=1),1,0)</f>
        <v>0</v>
      </c>
      <c r="UJ44" s="20" t="n">
        <f aca="false">IF(C44=1,IF(OR(TV44=1,UI44&gt;0),1,0),0)</f>
        <v>0</v>
      </c>
    </row>
    <row r="45" customFormat="false" ht="15" hidden="false" customHeight="true" outlineLevel="0" collapsed="false">
      <c r="B45" s="20" t="n">
        <v>37</v>
      </c>
      <c r="C45" s="20" t="n">
        <f aca="false">IF(B45&lt;=F_N,1,0)</f>
        <v>1</v>
      </c>
      <c r="D45" s="20" t="n">
        <f aca="false">'Plan pay &amp; tax'!C271</f>
        <v>75</v>
      </c>
      <c r="E45" s="20" t="str">
        <f aca="false">IF($C45=1,"Income tax "&amp;TEXT(N('Plan pay &amp; tax'!BK271),"#,##0")&amp;"; USC "&amp;TEXT(N('Plan pay &amp; tax'!BM271)+N('Plan pay &amp; tax'!BO271),"#,##0")&amp;"; PRSI "&amp;TEXT(N('Plan pay &amp; tax'!BP271)+N('Plan pay &amp; tax'!BQ271),"#,##0")&amp;". DIRT and exit tax are inside the growth rates here.","")</f>
        <v>Income tax 698; USC 0; PRSI 0. DIRT and exit tax are inside the growth rates here.</v>
      </c>
      <c r="F45" s="44" t="n">
        <f aca="false">'Plan pay &amp; tax'!E271</f>
        <v>2.08068509059002</v>
      </c>
      <c r="G45" s="20" t="n">
        <f aca="false">'Plan pay &amp; tax'!G271</f>
        <v>0</v>
      </c>
      <c r="H45" s="20" t="n">
        <f aca="false">'Plan pay &amp; tax'!BT271-'Plan pay &amp; tax'!BS271-'Plan pay &amp; tax'!R271</f>
        <v>75878.7561456141</v>
      </c>
      <c r="I45" s="20" t="n">
        <f aca="false">IF(G45=1,F_CostsM*12,IF(RG_Exists=1,RG_Amount,F_CostsM*12*AS_RetireSpend))*F45+F_OneOffY*F45</f>
        <v>99456.7473302029</v>
      </c>
      <c r="J45" s="20" t="n">
        <f aca="false">HR44</f>
        <v>0</v>
      </c>
      <c r="K45" s="20" t="n">
        <f aca="false">IF(J45&gt;1,'Plan debt months'!AC45,0)</f>
        <v>0</v>
      </c>
      <c r="L45" s="20" t="n">
        <f aca="false">IF(J45&gt;1,'Plan debt months'!AB45,J45)</f>
        <v>0</v>
      </c>
      <c r="M45" s="20" t="n">
        <f aca="false">O44</f>
        <v>0</v>
      </c>
      <c r="N45" s="20" t="n">
        <f aca="false">IF(M45&gt;1,'Plan debt months'!BD45,0)</f>
        <v>0</v>
      </c>
      <c r="O45" s="20" t="n">
        <f aca="false">IF(M45&gt;1,'Plan debt months'!BC45,M45)</f>
        <v>0</v>
      </c>
      <c r="P45" s="20" t="n">
        <f aca="false">R44</f>
        <v>0</v>
      </c>
      <c r="Q45" s="20" t="n">
        <f aca="false">IF(P45&gt;1,'Plan debt months'!CE45,0)</f>
        <v>0</v>
      </c>
      <c r="R45" s="20" t="n">
        <f aca="false">IF(P45&gt;1,'Plan debt months'!CD45,P45)</f>
        <v>0</v>
      </c>
      <c r="S45" s="20" t="n">
        <f aca="false">K45+N45+Q45</f>
        <v>0</v>
      </c>
      <c r="T45" s="20" t="n">
        <f aca="false">QK44+'Plan pay &amp; tax'!Y271</f>
        <v>48301.5771324601</v>
      </c>
      <c r="U45" s="20" t="n">
        <f aca="false">QK44</f>
        <v>48301.5771324601</v>
      </c>
      <c r="V45" s="20" t="n">
        <f aca="false">IF(AND(Slot1_On=1,D45=Slot1_Age),1,0)</f>
        <v>0</v>
      </c>
      <c r="W45" s="20" t="n">
        <f aca="false">IF(AND(Slot1_On=1,Slot1_Age&gt;D45),1,0)</f>
        <v>0</v>
      </c>
      <c r="X45" s="20" t="n">
        <f aca="false">QM44</f>
        <v>0</v>
      </c>
      <c r="Y45" s="20" t="n">
        <f aca="false">V45*MIN(Slot1_Cost,X45)</f>
        <v>0</v>
      </c>
      <c r="Z45" s="20" t="n">
        <f aca="false">V45*Slot1_SpendLike*MIN(Slot1_Cost-Y45,T45)</f>
        <v>0</v>
      </c>
      <c r="AA45" s="20" t="n">
        <f aca="false">Y45+Z45</f>
        <v>0</v>
      </c>
      <c r="AB45" s="20" t="n">
        <f aca="false">T45-Z45+V45*IF(Slot1_SpendLike=1,X45-Y45,IF(Slot1_PotFree=1,X45,0))</f>
        <v>48301.5771324601</v>
      </c>
      <c r="AC45" s="20" t="n">
        <f aca="false">AF45+V45*Slot1_BufPot*X45</f>
        <v>22107.502610624</v>
      </c>
      <c r="AD45" s="20" t="n">
        <f aca="false">IF(AND(V45=1,Slot1_IsMfree=1),IF(AA45&gt;=Slot1_Cost-1,0,MAX(0,L45-AA45)),L45)</f>
        <v>0</v>
      </c>
      <c r="AE45" s="20" t="n">
        <f aca="false">V45*(Slot1_Cost-AA45)</f>
        <v>0</v>
      </c>
      <c r="AF45" s="20" t="n">
        <f aca="false">QL44</f>
        <v>22107.502610624</v>
      </c>
      <c r="AG45" s="20" t="n">
        <f aca="false">IF(AND(Slot2_On=1,D45=Slot2_Age),1,0)</f>
        <v>0</v>
      </c>
      <c r="AH45" s="20" t="n">
        <f aca="false">IF(AND(Slot2_On=1,Slot2_Age&gt;D45),1,0)</f>
        <v>0</v>
      </c>
      <c r="AI45" s="20" t="n">
        <f aca="false">QQ44</f>
        <v>0</v>
      </c>
      <c r="AJ45" s="20" t="n">
        <f aca="false">AG45*MIN(Slot2_Cost,AI45)</f>
        <v>0</v>
      </c>
      <c r="AK45" s="20" t="n">
        <f aca="false">AG45*Slot2_SpendLike*MIN(Slot2_Cost-AJ45,AB45)</f>
        <v>0</v>
      </c>
      <c r="AL45" s="20" t="n">
        <f aca="false">AJ45+AK45</f>
        <v>0</v>
      </c>
      <c r="AM45" s="20" t="n">
        <f aca="false">AB45-AK45+AG45*IF(Slot2_SpendLike=1,AI45-AJ45,IF(Slot2_PotFree=1,AI45,0))</f>
        <v>48301.5771324601</v>
      </c>
      <c r="AN45" s="20" t="n">
        <f aca="false">AC45+AG45*Slot2_BufPot*AI45</f>
        <v>22107.502610624</v>
      </c>
      <c r="AO45" s="20" t="n">
        <f aca="false">IF(AND(AG45=1,Slot2_IsMfree=1),IF(AL45&gt;=Slot2_Cost-1,0,MAX(0,AD45-AL45)),AD45)</f>
        <v>0</v>
      </c>
      <c r="AP45" s="20" t="n">
        <f aca="false">AG45*(Slot2_Cost-AL45)</f>
        <v>0</v>
      </c>
      <c r="AQ45" s="20" t="n">
        <f aca="false">IF(AND(Slot3_On=1,D45=Slot3_Age),1,0)</f>
        <v>0</v>
      </c>
      <c r="AR45" s="20" t="n">
        <f aca="false">IF(AND(Slot3_On=1,Slot3_Age&gt;D45),1,0)</f>
        <v>0</v>
      </c>
      <c r="AS45" s="20" t="n">
        <f aca="false">QU44</f>
        <v>0</v>
      </c>
      <c r="AT45" s="20" t="n">
        <f aca="false">AQ45*MIN(Slot3_Cost,AS45)</f>
        <v>0</v>
      </c>
      <c r="AU45" s="20" t="n">
        <f aca="false">AQ45*Slot3_SpendLike*MIN(Slot3_Cost-AT45,AM45)</f>
        <v>0</v>
      </c>
      <c r="AV45" s="20" t="n">
        <f aca="false">AT45+AU45</f>
        <v>0</v>
      </c>
      <c r="AW45" s="20" t="n">
        <f aca="false">AM45-AU45+AQ45*IF(Slot3_SpendLike=1,AS45-AT45,IF(Slot3_PotFree=1,AS45,0))</f>
        <v>48301.5771324601</v>
      </c>
      <c r="AX45" s="20" t="n">
        <f aca="false">AN45+AQ45*Slot3_BufPot*AS45</f>
        <v>22107.502610624</v>
      </c>
      <c r="AY45" s="20" t="n">
        <f aca="false">IF(AND(AQ45=1,Slot3_IsMfree=1),IF(AV45&gt;=Slot3_Cost-1,0,MAX(0,AO45-AV45)),AO45)</f>
        <v>0</v>
      </c>
      <c r="AZ45" s="20" t="n">
        <f aca="false">AQ45*(Slot3_Cost-AV45)</f>
        <v>0</v>
      </c>
      <c r="BA45" s="20" t="n">
        <f aca="false">IF(AND(Slot4_On=1,D45=Slot4_Age),1,0)</f>
        <v>0</v>
      </c>
      <c r="BB45" s="20" t="n">
        <f aca="false">IF(AND(Slot4_On=1,Slot4_Age&gt;D45),1,0)</f>
        <v>0</v>
      </c>
      <c r="BC45" s="20" t="n">
        <f aca="false">QY44</f>
        <v>0</v>
      </c>
      <c r="BD45" s="20" t="n">
        <f aca="false">BA45*MIN(Slot4_Cost,BC45)</f>
        <v>0</v>
      </c>
      <c r="BE45" s="20" t="n">
        <f aca="false">BA45*Slot4_SpendLike*MIN(Slot4_Cost-BD45,AW45)</f>
        <v>0</v>
      </c>
      <c r="BF45" s="20" t="n">
        <f aca="false">BD45+BE45</f>
        <v>0</v>
      </c>
      <c r="BG45" s="20" t="n">
        <f aca="false">AW45-BE45+BA45*IF(Slot4_SpendLike=1,BC45-BD45,IF(Slot4_PotFree=1,BC45,0))</f>
        <v>48301.5771324601</v>
      </c>
      <c r="BH45" s="20" t="n">
        <f aca="false">AX45+BA45*Slot4_BufPot*BC45</f>
        <v>22107.502610624</v>
      </c>
      <c r="BI45" s="20" t="n">
        <f aca="false">IF(AND(BA45=1,Slot4_IsMfree=1),IF(BF45&gt;=Slot4_Cost-1,0,MAX(0,AY45-BF45)),AY45)</f>
        <v>0</v>
      </c>
      <c r="BJ45" s="20" t="n">
        <f aca="false">BA45*(Slot4_Cost-BF45)</f>
        <v>0</v>
      </c>
      <c r="BK45" s="20" t="n">
        <f aca="false">IF(AND(Slot5_On=1,D45=Slot5_Age),1,0)</f>
        <v>0</v>
      </c>
      <c r="BL45" s="20" t="n">
        <f aca="false">IF(AND(Slot5_On=1,Slot5_Age&gt;D45),1,0)</f>
        <v>0</v>
      </c>
      <c r="BM45" s="20" t="n">
        <f aca="false">RC44</f>
        <v>0</v>
      </c>
      <c r="BN45" s="20" t="n">
        <f aca="false">BK45*MIN(Slot5_Cost,BM45)</f>
        <v>0</v>
      </c>
      <c r="BO45" s="20" t="n">
        <f aca="false">BK45*Slot5_SpendLike*MIN(Slot5_Cost-BN45,BG45)</f>
        <v>0</v>
      </c>
      <c r="BP45" s="20" t="n">
        <f aca="false">BN45+BO45</f>
        <v>0</v>
      </c>
      <c r="BQ45" s="20" t="n">
        <f aca="false">BG45-BO45+BK45*IF(Slot5_SpendLike=1,BM45-BN45,IF(Slot5_PotFree=1,BM45,0))</f>
        <v>48301.5771324601</v>
      </c>
      <c r="BR45" s="20" t="n">
        <f aca="false">BH45+BK45*Slot5_BufPot*BM45</f>
        <v>22107.502610624</v>
      </c>
      <c r="BS45" s="20" t="n">
        <f aca="false">IF(AND(BK45=1,Slot5_IsMfree=1),IF(BP45&gt;=Slot5_Cost-1,0,MAX(0,BI45-BP45)),BI45)</f>
        <v>0</v>
      </c>
      <c r="BT45" s="20" t="n">
        <f aca="false">BK45*(Slot5_Cost-BP45)</f>
        <v>0</v>
      </c>
      <c r="BU45" s="20" t="n">
        <f aca="false">IF(AND(Slot6_On=1,D45=Slot6_Age),1,0)</f>
        <v>0</v>
      </c>
      <c r="BV45" s="20" t="n">
        <f aca="false">IF(AND(Slot6_On=1,Slot6_Age&gt;D45),1,0)</f>
        <v>0</v>
      </c>
      <c r="BW45" s="20" t="n">
        <f aca="false">RG44</f>
        <v>0</v>
      </c>
      <c r="BX45" s="20" t="n">
        <f aca="false">BU45*MIN(Slot6_Cost,BW45)</f>
        <v>0</v>
      </c>
      <c r="BY45" s="20" t="n">
        <f aca="false">BU45*Slot6_SpendLike*MIN(Slot6_Cost-BX45,BQ45)</f>
        <v>0</v>
      </c>
      <c r="BZ45" s="20" t="n">
        <f aca="false">BX45+BY45</f>
        <v>0</v>
      </c>
      <c r="CA45" s="20" t="n">
        <f aca="false">BQ45-BY45+BU45*IF(Slot6_SpendLike=1,BW45-BX45,IF(Slot6_PotFree=1,BW45,0))</f>
        <v>48301.5771324601</v>
      </c>
      <c r="CB45" s="20" t="n">
        <f aca="false">BR45+BU45*Slot6_BufPot*BW45</f>
        <v>22107.502610624</v>
      </c>
      <c r="CC45" s="20" t="n">
        <f aca="false">IF(AND(BU45=1,Slot6_IsMfree=1),IF(BZ45&gt;=Slot6_Cost-1,0,MAX(0,BS45-BZ45)),BS45)</f>
        <v>0</v>
      </c>
      <c r="CD45" s="20" t="n">
        <f aca="false">BU45*(Slot6_Cost-BZ45)</f>
        <v>0</v>
      </c>
      <c r="CE45" s="20" t="n">
        <f aca="false">IF(AND(Slot7_On=1,D45=Slot7_Age),1,0)</f>
        <v>0</v>
      </c>
      <c r="CF45" s="20" t="n">
        <f aca="false">IF(AND(Slot7_On=1,Slot7_Age&gt;D45),1,0)</f>
        <v>0</v>
      </c>
      <c r="CG45" s="20" t="n">
        <f aca="false">RK44</f>
        <v>0</v>
      </c>
      <c r="CH45" s="20" t="n">
        <f aca="false">CE45*MIN(Slot7_Cost,CG45)</f>
        <v>0</v>
      </c>
      <c r="CI45" s="20" t="n">
        <f aca="false">CE45*Slot7_SpendLike*MIN(Slot7_Cost-CH45,CA45)</f>
        <v>0</v>
      </c>
      <c r="CJ45" s="20" t="n">
        <f aca="false">CH45+CI45</f>
        <v>0</v>
      </c>
      <c r="CK45" s="20" t="n">
        <f aca="false">CA45-CI45+CE45*IF(Slot7_SpendLike=1,CG45-CH45,IF(Slot7_PotFree=1,CG45,0))</f>
        <v>48301.5771324601</v>
      </c>
      <c r="CL45" s="20" t="n">
        <f aca="false">CB45+CE45*Slot7_BufPot*CG45</f>
        <v>22107.502610624</v>
      </c>
      <c r="CM45" s="20" t="n">
        <f aca="false">IF(AND(CE45=1,Slot7_IsMfree=1),IF(CJ45&gt;=Slot7_Cost-1,0,MAX(0,CC45-CJ45)),CC45)</f>
        <v>0</v>
      </c>
      <c r="CN45" s="20" t="n">
        <f aca="false">CE45*(Slot7_Cost-CJ45)</f>
        <v>0</v>
      </c>
      <c r="CO45" s="20" t="n">
        <f aca="false">IF(AND(Slot8_On=1,D45=Slot8_Age),1,0)</f>
        <v>0</v>
      </c>
      <c r="CP45" s="20" t="n">
        <f aca="false">IF(AND(Slot8_On=1,Slot8_Age&gt;D45),1,0)</f>
        <v>0</v>
      </c>
      <c r="CQ45" s="20" t="n">
        <f aca="false">RO44</f>
        <v>0</v>
      </c>
      <c r="CR45" s="20" t="n">
        <f aca="false">CO45*MIN(Slot8_Cost,CQ45)</f>
        <v>0</v>
      </c>
      <c r="CS45" s="20" t="n">
        <f aca="false">CO45*Slot8_SpendLike*MIN(Slot8_Cost-CR45,CK45)</f>
        <v>0</v>
      </c>
      <c r="CT45" s="20" t="n">
        <f aca="false">CR45+CS45</f>
        <v>0</v>
      </c>
      <c r="CU45" s="20" t="n">
        <f aca="false">CK45-CS45+CO45*IF(Slot8_SpendLike=1,CQ45-CR45,IF(Slot8_PotFree=1,CQ45,0))</f>
        <v>48301.5771324601</v>
      </c>
      <c r="CV45" s="20" t="n">
        <f aca="false">CL45+CO45*Slot8_BufPot*CQ45</f>
        <v>22107.502610624</v>
      </c>
      <c r="CW45" s="20" t="n">
        <f aca="false">IF(AND(CO45=1,Slot8_IsMfree=1),IF(CT45&gt;=Slot8_Cost-1,0,MAX(0,CM45-CT45)),CM45)</f>
        <v>0</v>
      </c>
      <c r="CX45" s="20" t="n">
        <f aca="false">CO45*(Slot8_Cost-CT45)</f>
        <v>0</v>
      </c>
      <c r="CY45" s="20" t="n">
        <f aca="false">IF(AND(Slot9_On=1,D45=Slot9_Age),1,0)</f>
        <v>0</v>
      </c>
      <c r="CZ45" s="20" t="n">
        <f aca="false">IF(AND(Slot9_On=1,Slot9_Age&gt;D45),1,0)</f>
        <v>0</v>
      </c>
      <c r="DA45" s="20" t="n">
        <f aca="false">RS44</f>
        <v>0</v>
      </c>
      <c r="DB45" s="20" t="n">
        <f aca="false">CY45*MIN(Slot9_Cost,DA45)</f>
        <v>0</v>
      </c>
      <c r="DC45" s="20" t="n">
        <f aca="false">CY45*Slot9_SpendLike*MIN(Slot9_Cost-DB45,CU45)</f>
        <v>0</v>
      </c>
      <c r="DD45" s="20" t="n">
        <f aca="false">DB45+DC45</f>
        <v>0</v>
      </c>
      <c r="DE45" s="20" t="n">
        <f aca="false">CU45-DC45+CY45*IF(Slot9_SpendLike=1,DA45-DB45,IF(Slot9_PotFree=1,DA45,0))</f>
        <v>48301.5771324601</v>
      </c>
      <c r="DF45" s="20" t="n">
        <f aca="false">CV45+CY45*Slot9_BufPot*DA45</f>
        <v>22107.502610624</v>
      </c>
      <c r="DG45" s="20" t="n">
        <f aca="false">IF(AND(CY45=1,Slot9_IsMfree=1),IF(DD45&gt;=Slot9_Cost-1,0,MAX(0,CW45-DD45)),CW45)</f>
        <v>0</v>
      </c>
      <c r="DH45" s="20" t="n">
        <f aca="false">CY45*(Slot9_Cost-DD45)</f>
        <v>0</v>
      </c>
      <c r="DI45" s="20" t="n">
        <f aca="false">IF(AND(Slot10_On=1,D45=Slot10_Age),1,0)</f>
        <v>0</v>
      </c>
      <c r="DJ45" s="20" t="n">
        <f aca="false">IF(AND(Slot10_On=1,Slot10_Age&gt;D45),1,0)</f>
        <v>0</v>
      </c>
      <c r="DK45" s="20" t="n">
        <f aca="false">RW44</f>
        <v>0</v>
      </c>
      <c r="DL45" s="20" t="n">
        <f aca="false">DI45*MIN(Slot10_Cost,DK45)</f>
        <v>0</v>
      </c>
      <c r="DM45" s="20" t="n">
        <f aca="false">DI45*Slot10_SpendLike*MIN(Slot10_Cost-DL45,DE45)</f>
        <v>0</v>
      </c>
      <c r="DN45" s="20" t="n">
        <f aca="false">DL45+DM45</f>
        <v>0</v>
      </c>
      <c r="DO45" s="20" t="n">
        <f aca="false">DE45-DM45+DI45*IF(Slot10_SpendLike=1,DK45-DL45,IF(Slot10_PotFree=1,DK45,0))</f>
        <v>48301.5771324601</v>
      </c>
      <c r="DP45" s="20" t="n">
        <f aca="false">DF45+DI45*Slot10_BufPot*DK45</f>
        <v>22107.502610624</v>
      </c>
      <c r="DQ45" s="20" t="n">
        <f aca="false">IF(AND(DI45=1,Slot10_IsMfree=1),IF(DN45&gt;=Slot10_Cost-1,0,MAX(0,DG45-DN45)),DG45)</f>
        <v>0</v>
      </c>
      <c r="DR45" s="20" t="n">
        <f aca="false">DI45*(Slot10_Cost-DN45)</f>
        <v>0</v>
      </c>
      <c r="DS45" s="20" t="n">
        <f aca="false">IF(AND(Slot11_On=1,D45=Slot11_Age),1,0)</f>
        <v>0</v>
      </c>
      <c r="DT45" s="20" t="n">
        <f aca="false">IF(AND(Slot11_On=1,Slot11_Age&gt;D45),1,0)</f>
        <v>0</v>
      </c>
      <c r="DU45" s="20" t="n">
        <f aca="false">SA44</f>
        <v>0</v>
      </c>
      <c r="DV45" s="20" t="n">
        <f aca="false">DS45*MIN(Slot11_Cost,DU45)</f>
        <v>0</v>
      </c>
      <c r="DW45" s="20" t="n">
        <f aca="false">DS45*Slot11_SpendLike*MIN(Slot11_Cost-DV45,DO45)</f>
        <v>0</v>
      </c>
      <c r="DX45" s="20" t="n">
        <f aca="false">DV45+DW45</f>
        <v>0</v>
      </c>
      <c r="DY45" s="20" t="n">
        <f aca="false">DO45-DW45+DS45*IF(Slot11_SpendLike=1,DU45-DV45,IF(Slot11_PotFree=1,DU45,0))</f>
        <v>48301.5771324601</v>
      </c>
      <c r="DZ45" s="20" t="n">
        <f aca="false">DP45+DS45*Slot11_BufPot*DU45</f>
        <v>22107.502610624</v>
      </c>
      <c r="EA45" s="20" t="n">
        <f aca="false">IF(AND(DS45=1,Slot11_IsMfree=1),IF(DX45&gt;=Slot11_Cost-1,0,MAX(0,DQ45-DX45)),DQ45)</f>
        <v>0</v>
      </c>
      <c r="EB45" s="20" t="n">
        <f aca="false">DS45*(Slot11_Cost-DX45)</f>
        <v>0</v>
      </c>
      <c r="EC45" s="20" t="n">
        <f aca="false">IF(AND(Slot12_On=1,D45=Slot12_Age),1,0)</f>
        <v>0</v>
      </c>
      <c r="ED45" s="20" t="n">
        <f aca="false">IF(AND(Slot12_On=1,Slot12_Age&gt;D45),1,0)</f>
        <v>0</v>
      </c>
      <c r="EE45" s="20" t="n">
        <f aca="false">SE44</f>
        <v>0</v>
      </c>
      <c r="EF45" s="20" t="n">
        <f aca="false">EC45*MIN(Slot12_Cost,EE45)</f>
        <v>0</v>
      </c>
      <c r="EG45" s="20" t="n">
        <f aca="false">EC45*Slot12_SpendLike*MIN(Slot12_Cost-EF45,DY45)</f>
        <v>0</v>
      </c>
      <c r="EH45" s="20" t="n">
        <f aca="false">EF45+EG45</f>
        <v>0</v>
      </c>
      <c r="EI45" s="20" t="n">
        <f aca="false">DY45-EG45+EC45*IF(Slot12_SpendLike=1,EE45-EF45,IF(Slot12_PotFree=1,EE45,0))</f>
        <v>48301.5771324601</v>
      </c>
      <c r="EJ45" s="20" t="n">
        <f aca="false">DZ45+EC45*Slot12_BufPot*EE45</f>
        <v>22107.502610624</v>
      </c>
      <c r="EK45" s="20" t="n">
        <f aca="false">IF(AND(EC45=1,Slot12_IsMfree=1),IF(EH45&gt;=Slot12_Cost-1,0,MAX(0,EA45-EH45)),EA45)</f>
        <v>0</v>
      </c>
      <c r="EL45" s="20" t="n">
        <f aca="false">EC45*(Slot12_Cost-EH45)</f>
        <v>0</v>
      </c>
      <c r="EM45" s="20" t="n">
        <f aca="false">IF(AND(Slot13_On=1,D45=Slot13_Age),1,0)</f>
        <v>0</v>
      </c>
      <c r="EN45" s="20" t="n">
        <f aca="false">IF(AND(Slot13_On=1,Slot13_Age&gt;D45),1,0)</f>
        <v>0</v>
      </c>
      <c r="EO45" s="20" t="n">
        <f aca="false">SI44</f>
        <v>0</v>
      </c>
      <c r="EP45" s="20" t="n">
        <f aca="false">EM45*MIN(Slot13_Cost,EO45)</f>
        <v>0</v>
      </c>
      <c r="EQ45" s="20" t="n">
        <f aca="false">EM45*Slot13_SpendLike*MIN(Slot13_Cost-EP45,EI45)</f>
        <v>0</v>
      </c>
      <c r="ER45" s="20" t="n">
        <f aca="false">EP45+EQ45</f>
        <v>0</v>
      </c>
      <c r="ES45" s="20" t="n">
        <f aca="false">EI45-EQ45+EM45*IF(Slot13_SpendLike=1,EO45-EP45,IF(Slot13_PotFree=1,EO45,0))</f>
        <v>48301.5771324601</v>
      </c>
      <c r="ET45" s="20" t="n">
        <f aca="false">EJ45+EM45*Slot13_BufPot*EO45</f>
        <v>22107.502610624</v>
      </c>
      <c r="EU45" s="20" t="n">
        <f aca="false">IF(AND(EM45=1,Slot13_IsMfree=1),IF(ER45&gt;=Slot13_Cost-1,0,MAX(0,EK45-ER45)),EK45)</f>
        <v>0</v>
      </c>
      <c r="EV45" s="20" t="n">
        <f aca="false">EM45*(Slot13_Cost-ER45)</f>
        <v>0</v>
      </c>
      <c r="EW45" s="20" t="n">
        <f aca="false">IF(AND(Slot14_On=1,D45=Slot14_Age),1,0)</f>
        <v>0</v>
      </c>
      <c r="EX45" s="20" t="n">
        <f aca="false">IF(AND(Slot14_On=1,Slot14_Age&gt;D45),1,0)</f>
        <v>0</v>
      </c>
      <c r="EY45" s="20" t="n">
        <f aca="false">SM44</f>
        <v>0</v>
      </c>
      <c r="EZ45" s="20" t="n">
        <f aca="false">EW45*MIN(Slot14_Cost,EY45)</f>
        <v>0</v>
      </c>
      <c r="FA45" s="20" t="n">
        <f aca="false">EW45*Slot14_SpendLike*MIN(Slot14_Cost-EZ45,ES45)</f>
        <v>0</v>
      </c>
      <c r="FB45" s="20" t="n">
        <f aca="false">EZ45+FA45</f>
        <v>0</v>
      </c>
      <c r="FC45" s="20" t="n">
        <f aca="false">ES45-FA45+EW45*IF(Slot14_SpendLike=1,EY45-EZ45,IF(Slot14_PotFree=1,EY45,0))</f>
        <v>48301.5771324601</v>
      </c>
      <c r="FD45" s="20" t="n">
        <f aca="false">ET45+EW45*Slot14_BufPot*EY45</f>
        <v>22107.502610624</v>
      </c>
      <c r="FE45" s="20" t="n">
        <f aca="false">IF(AND(EW45=1,Slot14_IsMfree=1),IF(FB45&gt;=Slot14_Cost-1,0,MAX(0,EU45-FB45)),EU45)</f>
        <v>0</v>
      </c>
      <c r="FF45" s="20" t="n">
        <f aca="false">EW45*(Slot14_Cost-FB45)</f>
        <v>0</v>
      </c>
      <c r="FG45" s="20" t="n">
        <f aca="false">IF(AND(Slot15_On=1,D45=Slot15_Age),1,0)</f>
        <v>0</v>
      </c>
      <c r="FH45" s="20" t="n">
        <f aca="false">IF(AND(Slot15_On=1,Slot15_Age&gt;D45),1,0)</f>
        <v>0</v>
      </c>
      <c r="FI45" s="20" t="n">
        <f aca="false">SQ44</f>
        <v>0</v>
      </c>
      <c r="FJ45" s="20" t="n">
        <f aca="false">FG45*MIN(Slot15_Cost,FI45)</f>
        <v>0</v>
      </c>
      <c r="FK45" s="20" t="n">
        <f aca="false">FG45*Slot15_SpendLike*MIN(Slot15_Cost-FJ45,FC45)</f>
        <v>0</v>
      </c>
      <c r="FL45" s="20" t="n">
        <f aca="false">FJ45+FK45</f>
        <v>0</v>
      </c>
      <c r="FM45" s="20" t="n">
        <f aca="false">FC45-FK45+FG45*IF(Slot15_SpendLike=1,FI45-FJ45,IF(Slot15_PotFree=1,FI45,0))</f>
        <v>48301.5771324601</v>
      </c>
      <c r="FN45" s="20" t="n">
        <f aca="false">FD45+FG45*Slot15_BufPot*FI45</f>
        <v>22107.502610624</v>
      </c>
      <c r="FO45" s="20" t="n">
        <f aca="false">IF(AND(FG45=1,Slot15_IsMfree=1),IF(FL45&gt;=Slot15_Cost-1,0,MAX(0,FE45-FL45)),FE45)</f>
        <v>0</v>
      </c>
      <c r="FP45" s="20" t="n">
        <f aca="false">FG45*(Slot15_Cost-FL45)</f>
        <v>0</v>
      </c>
      <c r="FQ45" s="20" t="n">
        <f aca="false">IF(AND(Slot16_On=1,D45=Slot16_Age),1,0)</f>
        <v>0</v>
      </c>
      <c r="FR45" s="20" t="n">
        <f aca="false">IF(AND(Slot16_On=1,Slot16_Age&gt;D45),1,0)</f>
        <v>0</v>
      </c>
      <c r="FS45" s="20" t="n">
        <f aca="false">SU44</f>
        <v>0</v>
      </c>
      <c r="FT45" s="20" t="n">
        <f aca="false">FQ45*MIN(Slot16_Cost,FS45)</f>
        <v>0</v>
      </c>
      <c r="FU45" s="20" t="n">
        <f aca="false">FQ45*Slot16_SpendLike*MIN(Slot16_Cost-FT45,FM45)</f>
        <v>0</v>
      </c>
      <c r="FV45" s="20" t="n">
        <f aca="false">FT45+FU45</f>
        <v>0</v>
      </c>
      <c r="FW45" s="20" t="n">
        <f aca="false">FM45-FU45+FQ45*IF(Slot16_SpendLike=1,FS45-FT45,IF(Slot16_PotFree=1,FS45,0))</f>
        <v>48301.5771324601</v>
      </c>
      <c r="FX45" s="20" t="n">
        <f aca="false">FN45+FQ45*Slot16_BufPot*FS45</f>
        <v>22107.502610624</v>
      </c>
      <c r="FY45" s="20" t="n">
        <f aca="false">IF(AND(FQ45=1,Slot16_IsMfree=1),IF(FV45&gt;=Slot16_Cost-1,0,MAX(0,FO45-FV45)),FO45)</f>
        <v>0</v>
      </c>
      <c r="FZ45" s="20" t="n">
        <f aca="false">FQ45*(Slot16_Cost-FV45)</f>
        <v>0</v>
      </c>
      <c r="GA45" s="20" t="n">
        <f aca="false">IF(AND(Slot17_On=1,D45=Slot17_Age),1,0)</f>
        <v>0</v>
      </c>
      <c r="GB45" s="20" t="n">
        <f aca="false">IF(AND(Slot17_On=1,Slot17_Age&gt;D45),1,0)</f>
        <v>0</v>
      </c>
      <c r="GC45" s="20" t="n">
        <f aca="false">SY44</f>
        <v>0</v>
      </c>
      <c r="GD45" s="20" t="n">
        <f aca="false">GA45*MIN(Slot17_Cost,GC45)</f>
        <v>0</v>
      </c>
      <c r="GE45" s="20" t="n">
        <f aca="false">GA45*Slot17_SpendLike*MIN(Slot17_Cost-GD45,FW45)</f>
        <v>0</v>
      </c>
      <c r="GF45" s="20" t="n">
        <f aca="false">GD45+GE45</f>
        <v>0</v>
      </c>
      <c r="GG45" s="20" t="n">
        <f aca="false">FW45-GE45+GA45*IF(Slot17_SpendLike=1,GC45-GD45,IF(Slot17_PotFree=1,GC45,0))</f>
        <v>48301.5771324601</v>
      </c>
      <c r="GH45" s="20" t="n">
        <f aca="false">FX45+GA45*Slot17_BufPot*GC45</f>
        <v>22107.502610624</v>
      </c>
      <c r="GI45" s="20" t="n">
        <f aca="false">IF(AND(GA45=1,Slot17_IsMfree=1),IF(GF45&gt;=Slot17_Cost-1,0,MAX(0,FY45-GF45)),FY45)</f>
        <v>0</v>
      </c>
      <c r="GJ45" s="20" t="n">
        <f aca="false">GA45*(Slot17_Cost-GF45)</f>
        <v>0</v>
      </c>
      <c r="GK45" s="20" t="n">
        <f aca="false">IF(AND(Slot18_On=1,D45=Slot18_Age),1,0)</f>
        <v>0</v>
      </c>
      <c r="GL45" s="20" t="n">
        <f aca="false">IF(AND(Slot18_On=1,Slot18_Age&gt;D45),1,0)</f>
        <v>0</v>
      </c>
      <c r="GM45" s="20" t="n">
        <f aca="false">TC44</f>
        <v>0</v>
      </c>
      <c r="GN45" s="20" t="n">
        <f aca="false">GK45*MIN(Slot18_Cost,GM45)</f>
        <v>0</v>
      </c>
      <c r="GO45" s="20" t="n">
        <f aca="false">GK45*Slot18_SpendLike*MIN(Slot18_Cost-GN45,GG45)</f>
        <v>0</v>
      </c>
      <c r="GP45" s="20" t="n">
        <f aca="false">GN45+GO45</f>
        <v>0</v>
      </c>
      <c r="GQ45" s="20" t="n">
        <f aca="false">GG45-GO45+GK45*IF(Slot18_SpendLike=1,GM45-GN45,IF(Slot18_PotFree=1,GM45,0))</f>
        <v>48301.5771324601</v>
      </c>
      <c r="GR45" s="20" t="n">
        <f aca="false">GH45+GK45*Slot18_BufPot*GM45</f>
        <v>22107.502610624</v>
      </c>
      <c r="GS45" s="20" t="n">
        <f aca="false">IF(AND(GK45=1,Slot18_IsMfree=1),IF(GP45&gt;=Slot18_Cost-1,0,MAX(0,GI45-GP45)),GI45)</f>
        <v>0</v>
      </c>
      <c r="GT45" s="20" t="n">
        <f aca="false">GK45*(Slot18_Cost-GP45)</f>
        <v>0</v>
      </c>
      <c r="GU45" s="20" t="n">
        <f aca="false">IF(AND(Slot19_On=1,D45=Slot19_Age),1,0)</f>
        <v>0</v>
      </c>
      <c r="GV45" s="20" t="n">
        <f aca="false">IF(AND(Slot19_On=1,Slot19_Age&gt;D45),1,0)</f>
        <v>0</v>
      </c>
      <c r="GW45" s="20" t="n">
        <f aca="false">TG44</f>
        <v>0</v>
      </c>
      <c r="GX45" s="20" t="n">
        <f aca="false">GU45*MIN(Slot19_Cost,GW45)</f>
        <v>0</v>
      </c>
      <c r="GY45" s="20" t="n">
        <f aca="false">GU45*Slot19_SpendLike*MIN(Slot19_Cost-GX45,GQ45)</f>
        <v>0</v>
      </c>
      <c r="GZ45" s="20" t="n">
        <f aca="false">GX45+GY45</f>
        <v>0</v>
      </c>
      <c r="HA45" s="20" t="n">
        <f aca="false">GQ45-GY45+GU45*IF(Slot19_SpendLike=1,GW45-GX45,IF(Slot19_PotFree=1,GW45,0))</f>
        <v>48301.5771324601</v>
      </c>
      <c r="HB45" s="20" t="n">
        <f aca="false">GR45+GU45*Slot19_BufPot*GW45</f>
        <v>22107.502610624</v>
      </c>
      <c r="HC45" s="20" t="n">
        <f aca="false">IF(AND(GU45=1,Slot19_IsMfree=1),IF(GZ45&gt;=Slot19_Cost-1,0,MAX(0,GS45-GZ45)),GS45)</f>
        <v>0</v>
      </c>
      <c r="HD45" s="20" t="n">
        <f aca="false">GU45*(Slot19_Cost-GZ45)</f>
        <v>0</v>
      </c>
      <c r="HE45" s="20" t="n">
        <f aca="false">IF(AND(Slot20_On=1,D45=Slot20_Age),1,0)</f>
        <v>0</v>
      </c>
      <c r="HF45" s="20" t="n">
        <f aca="false">IF(AND(Slot20_On=1,Slot20_Age&gt;D45),1,0)</f>
        <v>0</v>
      </c>
      <c r="HG45" s="20" t="n">
        <f aca="false">TK44</f>
        <v>0</v>
      </c>
      <c r="HH45" s="20" t="n">
        <f aca="false">HE45*MIN(Slot20_Cost,HG45)</f>
        <v>0</v>
      </c>
      <c r="HI45" s="20" t="n">
        <f aca="false">HE45*Slot20_SpendLike*MIN(Slot20_Cost-HH45,HA45)</f>
        <v>0</v>
      </c>
      <c r="HJ45" s="20" t="n">
        <f aca="false">HH45+HI45</f>
        <v>0</v>
      </c>
      <c r="HK45" s="20" t="n">
        <f aca="false">HA45-HI45+HE45*IF(Slot20_SpendLike=1,HG45-HH45,IF(Slot20_PotFree=1,HG45,0))</f>
        <v>48301.5771324601</v>
      </c>
      <c r="HL45" s="20" t="n">
        <f aca="false">HB45+HE45*Slot20_BufPot*HG45</f>
        <v>22107.502610624</v>
      </c>
      <c r="HM45" s="20" t="n">
        <f aca="false">IF(AND(HE45=1,Slot20_IsMfree=1),IF(HJ45&gt;=Slot20_Cost-1,0,MAX(0,HC45-HJ45)),HC45)</f>
        <v>0</v>
      </c>
      <c r="HN45" s="20" t="n">
        <f aca="false">HE45*(Slot20_Cost-HJ45)</f>
        <v>0</v>
      </c>
      <c r="HO45" s="20" t="n">
        <f aca="false">V45*Slot1_SpendLike*AA45+AG45*Slot2_SpendLike*AL45+AQ45*Slot3_SpendLike*AV45+BA45*Slot4_SpendLike*BF45+BK45*Slot5_SpendLike*BP45+BU45*Slot6_SpendLike*BZ45+CE45*Slot7_SpendLike*CJ45+CO45*Slot8_SpendLike*CT45+CY45*Slot9_SpendLike*DD45+DI45*Slot10_SpendLike*DN45+DS45*Slot11_SpendLike*DX45+EC45*Slot12_SpendLike*EH45+EM45*Slot13_SpendLike*ER45+EW45*Slot14_SpendLike*FB45+FG45*Slot15_SpendLike*FL45+FQ45*Slot16_SpendLike*FV45+GA45*Slot17_SpendLike*GF45+GK45*Slot18_SpendLike*GP45+GU45*Slot19_SpendLike*GZ45+HE45*Slot20_SpendLike*HJ45</f>
        <v>0</v>
      </c>
      <c r="HP45" s="20" t="n">
        <f aca="false">AE45+AP45+AZ45+BJ45+BT45+CD45+CN45+CX45+DH45+DR45+EB45+EL45+EV45+FF45+FP45+FZ45+GJ45+GT45+HD45+HN45</f>
        <v>0</v>
      </c>
      <c r="HQ45" s="20" t="n">
        <f aca="false">V45*Slot1_Cost+AG45*Slot2_Cost+AQ45*Slot3_Cost+BA45*Slot4_Cost+BK45*Slot5_Cost+BU45*Slot6_Cost+CE45*Slot7_Cost+CO45*Slot8_Cost+CY45*Slot9_Cost+DI45*Slot10_Cost+DS45*Slot11_Cost+EC45*Slot12_Cost+EM45*Slot13_Cost+EW45*Slot14_Cost+FG45*Slot15_Cost+FQ45*Slot16_Cost+GA45*Slot17_Cost+GK45*Slot18_Cost+GU45*Slot19_Cost+HE45*Slot20_Cost</f>
        <v>0</v>
      </c>
      <c r="HR45" s="20" t="n">
        <f aca="false">HM45</f>
        <v>0</v>
      </c>
      <c r="HS45" s="20" t="n">
        <f aca="false">H45-I45-S45</f>
        <v>-23577.9911845889</v>
      </c>
      <c r="HT45" s="20" t="n">
        <f aca="false">IF(B45=0,IF(AND(Has_q6=1,In_q6=4),PR_ShareVaries*(MAX(0,HS45)/12),MIN(IF(Has_q6=1,CHOOSE(In_q6+1,PR_SaveB1,PR_SaveB2,PR_SaveB3,PR_SaveB4,0),AS_NoAnswer),AS_SaveShare*(MAX(0,HS45)/12))),HT44)</f>
        <v>62.3316893520437</v>
      </c>
      <c r="HU45" s="20" t="n">
        <f aca="false">IF(HS45&gt;=0,1,0)</f>
        <v>0</v>
      </c>
      <c r="HV45" s="20" t="n">
        <f aca="false">MAX(0,HS45/12/F45)</f>
        <v>0</v>
      </c>
      <c r="HW45" s="20" t="n">
        <f aca="false">IF(AND(Has_q6=1,In_q6=4),PR_ShareVaries*(HV45),MIN(IF(Has_q6=1,CHOOSE(In_q6+1,PR_SaveB1,PR_SaveB2,PR_SaveB3,PR_SaveB4,0),AS_NoAnswer),AS_SaveShare*(HV45)))</f>
        <v>0</v>
      </c>
      <c r="HX45" s="20" t="n">
        <f aca="false">IF(Has_saveM=1,IF(In_saveUp="Yes",1,IF(In_saveUp="No",0,IF(In_saveM&gt;=HT45-0.5,1,0))),0)</f>
        <v>0</v>
      </c>
      <c r="HY45" s="20" t="n">
        <f aca="false">IF(Has_saveM=1,MIN(HV45,IF(HX45=1,MAX(In_saveM,HW45),MIN(In_saveM,HW45))),HW45)</f>
        <v>0</v>
      </c>
      <c r="HZ45" s="20" t="n">
        <f aca="false">IF(G45=1,HY45*12*F45,0)</f>
        <v>0</v>
      </c>
      <c r="IA45" s="20" t="n">
        <f aca="false">MAX(0,HZ45+IF(AND(WI_Retire=0,WI_M&lt;0,G45=1),WI_M*12*F45,0))</f>
        <v>0</v>
      </c>
      <c r="IB45" s="20" t="n">
        <f aca="false">Slot1_IsWG*W45+Slot2_IsWG*AH45+Slot3_IsWG*AR45+Slot4_IsWG*BB45+Slot5_IsWG*BL45+Slot6_IsWG*BV45+Slot7_IsWG*CF45+Slot8_IsWG*CP45+Slot9_IsWG*CZ45+Slot10_IsWG*DJ45+Slot11_IsWG*DT45+Slot12_IsWG*ED45+Slot13_IsWG*EN45+Slot14_IsWG*EX45+Slot15_IsWG*FH45+Slot16_IsWG*FR45+Slot17_IsWG*GB45+Slot18_IsWG*GL45+Slot19_IsWG*GV45+Slot20_IsWG*HF45</f>
        <v>0</v>
      </c>
      <c r="IC45" s="20" t="n">
        <f aca="false">IF(AND(WI_Retire=0,WI_M&gt;0,G45=1,IB45&gt;=1),WI_M*12*F45,0)</f>
        <v>0</v>
      </c>
      <c r="ID45" s="20" t="n">
        <f aca="false">IF(HU45=1,MIN(IA45,HS45),0)</f>
        <v>0</v>
      </c>
      <c r="IE45" s="20" t="n">
        <f aca="false">IF(HU45=1,MIN(IC45,HS45-ID45),0)</f>
        <v>0</v>
      </c>
      <c r="IF45" s="20" t="n">
        <f aca="false">IF(W45=1,IF(ABS((1+AS_Wage)/(1+Slot1_Rate)-1)&lt;0.000000000001,(Slot1_Age-D45)*(1+Slot1_Rate)^(Slot1_Age-D45),(1+Slot1_Rate)^(Slot1_Age-D45)*(1-((1+AS_Wage)/(1+Slot1_Rate))^(Slot1_Age-D45))/(1-(1+AS_Wage)/(1+Slot1_Rate))),1)</f>
        <v>1</v>
      </c>
      <c r="IG45" s="20" t="n">
        <f aca="false">IF(AND(HU45=1,IE45&gt;0,Slot1_IsWG=1,W45=1),MAX(0,(Slot1_Cost-X45*(1+Slot1_Rate)^(Slot1_Age-D45))/IF45),0)</f>
        <v>0</v>
      </c>
      <c r="IH45" s="20" t="n">
        <f aca="false">IF(AND(HU45=1,IE45&gt;0,Slot1_IsWG=1,W45=1),MIN(IE45,IG45),0)</f>
        <v>0</v>
      </c>
      <c r="II45" s="20" t="n">
        <f aca="false">X45+IH45</f>
        <v>0</v>
      </c>
      <c r="IJ45" s="20" t="n">
        <f aca="false">IF(W45=1,MAX(0,(Slot1_Cost-II45*(1+Slot1_Rate)^(Slot1_Age-D45))/IF45),0)</f>
        <v>0</v>
      </c>
      <c r="IK45" s="20" t="n">
        <f aca="false">IF(W45=1,MAX(0,(Slot1_Cost-X45*(1+Slot1_Rate)^(Slot1_Age-D45))/IF45),0)</f>
        <v>0</v>
      </c>
      <c r="IL45" s="20" t="n">
        <f aca="false">IF(AND(HU45=1,W45=1),MIN(ID45,IJ45),0)</f>
        <v>0</v>
      </c>
      <c r="IM45" s="20" t="n">
        <f aca="false">ID45-IL45</f>
        <v>0</v>
      </c>
      <c r="IN45" s="20" t="n">
        <f aca="false">IF(AH45=1,IF(ABS((1+AS_Wage)/(1+Slot2_Rate)-1)&lt;0.000000000001,(Slot2_Age-D45)*(1+Slot2_Rate)^(Slot2_Age-D45),(1+Slot2_Rate)^(Slot2_Age-D45)*(1-((1+AS_Wage)/(1+Slot2_Rate))^(Slot2_Age-D45))/(1-(1+AS_Wage)/(1+Slot2_Rate))),1)</f>
        <v>1</v>
      </c>
      <c r="IO45" s="20" t="n">
        <f aca="false">IF(AND(HU45=1,IE45&gt;0,Slot2_IsWG=1,AH45=1),MAX(0,(Slot2_Cost-AI45*(1+Slot2_Rate)^(Slot2_Age-D45))/IN45),0)</f>
        <v>0</v>
      </c>
      <c r="IP45" s="20" t="n">
        <f aca="false">IF(AND(HU45=1,IE45&gt;0,Slot2_IsWG=1,AH45=1),MIN(IE45,IO45),0)</f>
        <v>0</v>
      </c>
      <c r="IQ45" s="20" t="n">
        <f aca="false">AI45+IP45</f>
        <v>0</v>
      </c>
      <c r="IR45" s="20" t="n">
        <f aca="false">IF(AH45=1,MAX(0,(Slot2_Cost-IQ45*(1+Slot2_Rate)^(Slot2_Age-D45))/IN45),0)</f>
        <v>0</v>
      </c>
      <c r="IS45" s="20" t="n">
        <f aca="false">IF(AH45=1,MAX(0,(Slot2_Cost-AI45*(1+Slot2_Rate)^(Slot2_Age-D45))/IN45),0)</f>
        <v>0</v>
      </c>
      <c r="IT45" s="20" t="n">
        <f aca="false">IF(AND(HU45=1,AH45=1),MIN(IM45,IR45),0)</f>
        <v>0</v>
      </c>
      <c r="IU45" s="20" t="n">
        <f aca="false">IM45-IT45</f>
        <v>0</v>
      </c>
      <c r="IV45" s="20" t="n">
        <f aca="false">IF(AR45=1,IF(ABS((1+AS_Wage)/(1+Slot3_Rate)-1)&lt;0.000000000001,(Slot3_Age-D45)*(1+Slot3_Rate)^(Slot3_Age-D45),(1+Slot3_Rate)^(Slot3_Age-D45)*(1-((1+AS_Wage)/(1+Slot3_Rate))^(Slot3_Age-D45))/(1-(1+AS_Wage)/(1+Slot3_Rate))),1)</f>
        <v>1</v>
      </c>
      <c r="IW45" s="20" t="n">
        <f aca="false">IF(AND(HU45=1,IE45&gt;0,Slot3_IsWG=1,AR45=1),MAX(0,(Slot3_Cost-AS45*(1+Slot3_Rate)^(Slot3_Age-D45))/IV45),0)</f>
        <v>0</v>
      </c>
      <c r="IX45" s="20" t="n">
        <f aca="false">IF(AND(HU45=1,IE45&gt;0,Slot3_IsWG=1,AR45=1),MIN(IE45,IW45),0)</f>
        <v>0</v>
      </c>
      <c r="IY45" s="20" t="n">
        <f aca="false">AS45+IX45</f>
        <v>0</v>
      </c>
      <c r="IZ45" s="20" t="n">
        <f aca="false">IF(AR45=1,MAX(0,(Slot3_Cost-IY45*(1+Slot3_Rate)^(Slot3_Age-D45))/IV45),0)</f>
        <v>0</v>
      </c>
      <c r="JA45" s="20" t="n">
        <f aca="false">IF(AR45=1,MAX(0,(Slot3_Cost-AS45*(1+Slot3_Rate)^(Slot3_Age-D45))/IV45),0)</f>
        <v>0</v>
      </c>
      <c r="JB45" s="20" t="n">
        <f aca="false">IF(AND(HU45=1,AR45=1),MIN(IU45,IZ45),0)</f>
        <v>0</v>
      </c>
      <c r="JC45" s="20" t="n">
        <f aca="false">IU45-JB45</f>
        <v>0</v>
      </c>
      <c r="JD45" s="20" t="n">
        <f aca="false">IF(BB45=1,IF(ABS((1+AS_Wage)/(1+Slot4_Rate)-1)&lt;0.000000000001,(Slot4_Age-D45)*(1+Slot4_Rate)^(Slot4_Age-D45),(1+Slot4_Rate)^(Slot4_Age-D45)*(1-((1+AS_Wage)/(1+Slot4_Rate))^(Slot4_Age-D45))/(1-(1+AS_Wage)/(1+Slot4_Rate))),1)</f>
        <v>1</v>
      </c>
      <c r="JE45" s="20" t="n">
        <f aca="false">IF(AND(HU45=1,IE45&gt;0,Slot4_IsWG=1,BB45=1),MAX(0,(Slot4_Cost-BC45*(1+Slot4_Rate)^(Slot4_Age-D45))/JD45),0)</f>
        <v>0</v>
      </c>
      <c r="JF45" s="20" t="n">
        <f aca="false">IF(AND(HU45=1,IE45&gt;0,Slot4_IsWG=1,BB45=1),MIN(IE45,JE45),0)</f>
        <v>0</v>
      </c>
      <c r="JG45" s="20" t="n">
        <f aca="false">BC45+JF45</f>
        <v>0</v>
      </c>
      <c r="JH45" s="20" t="n">
        <f aca="false">IF(BB45=1,MAX(0,(Slot4_Cost-JG45*(1+Slot4_Rate)^(Slot4_Age-D45))/JD45),0)</f>
        <v>0</v>
      </c>
      <c r="JI45" s="20" t="n">
        <f aca="false">IF(BB45=1,MAX(0,(Slot4_Cost-BC45*(1+Slot4_Rate)^(Slot4_Age-D45))/JD45),0)</f>
        <v>0</v>
      </c>
      <c r="JJ45" s="20" t="n">
        <f aca="false">IF(AND(HU45=1,BB45=1),MIN(JC45,JH45),0)</f>
        <v>0</v>
      </c>
      <c r="JK45" s="20" t="n">
        <f aca="false">JC45-JJ45</f>
        <v>0</v>
      </c>
      <c r="JL45" s="20" t="n">
        <f aca="false">IF(BL45=1,IF(ABS((1+AS_Wage)/(1+Slot5_Rate)-1)&lt;0.000000000001,(Slot5_Age-D45)*(1+Slot5_Rate)^(Slot5_Age-D45),(1+Slot5_Rate)^(Slot5_Age-D45)*(1-((1+AS_Wage)/(1+Slot5_Rate))^(Slot5_Age-D45))/(1-(1+AS_Wage)/(1+Slot5_Rate))),1)</f>
        <v>1</v>
      </c>
      <c r="JM45" s="20" t="n">
        <f aca="false">IF(AND(HU45=1,IE45&gt;0,Slot5_IsWG=1,BL45=1),MAX(0,(Slot5_Cost-BM45*(1+Slot5_Rate)^(Slot5_Age-D45))/JL45),0)</f>
        <v>0</v>
      </c>
      <c r="JN45" s="20" t="n">
        <f aca="false">IF(AND(HU45=1,IE45&gt;0,Slot5_IsWG=1,BL45=1),MIN(IE45,JM45),0)</f>
        <v>0</v>
      </c>
      <c r="JO45" s="20" t="n">
        <f aca="false">BM45+JN45</f>
        <v>0</v>
      </c>
      <c r="JP45" s="20" t="n">
        <f aca="false">IF(BL45=1,MAX(0,(Slot5_Cost-JO45*(1+Slot5_Rate)^(Slot5_Age-D45))/JL45),0)</f>
        <v>0</v>
      </c>
      <c r="JQ45" s="20" t="n">
        <f aca="false">IF(BL45=1,MAX(0,(Slot5_Cost-BM45*(1+Slot5_Rate)^(Slot5_Age-D45))/JL45),0)</f>
        <v>0</v>
      </c>
      <c r="JR45" s="20" t="n">
        <f aca="false">IF(AND(HU45=1,BL45=1),MIN(JK45,JP45),0)</f>
        <v>0</v>
      </c>
      <c r="JS45" s="20" t="n">
        <f aca="false">JK45-JR45</f>
        <v>0</v>
      </c>
      <c r="JT45" s="20" t="n">
        <f aca="false">IF(BV45=1,IF(ABS((1+AS_Wage)/(1+Slot6_Rate)-1)&lt;0.000000000001,(Slot6_Age-D45)*(1+Slot6_Rate)^(Slot6_Age-D45),(1+Slot6_Rate)^(Slot6_Age-D45)*(1-((1+AS_Wage)/(1+Slot6_Rate))^(Slot6_Age-D45))/(1-(1+AS_Wage)/(1+Slot6_Rate))),1)</f>
        <v>1</v>
      </c>
      <c r="JU45" s="20" t="n">
        <f aca="false">IF(AND(HU45=1,IE45&gt;0,Slot6_IsWG=1,BV45=1),MAX(0,(Slot6_Cost-BW45*(1+Slot6_Rate)^(Slot6_Age-D45))/JT45),0)</f>
        <v>0</v>
      </c>
      <c r="JV45" s="20" t="n">
        <f aca="false">IF(AND(HU45=1,IE45&gt;0,Slot6_IsWG=1,BV45=1),MIN(IE45,JU45),0)</f>
        <v>0</v>
      </c>
      <c r="JW45" s="20" t="n">
        <f aca="false">BW45+JV45</f>
        <v>0</v>
      </c>
      <c r="JX45" s="20" t="n">
        <f aca="false">IF(BV45=1,MAX(0,(Slot6_Cost-JW45*(1+Slot6_Rate)^(Slot6_Age-D45))/JT45),0)</f>
        <v>0</v>
      </c>
      <c r="JY45" s="20" t="n">
        <f aca="false">IF(BV45=1,MAX(0,(Slot6_Cost-BW45*(1+Slot6_Rate)^(Slot6_Age-D45))/JT45),0)</f>
        <v>0</v>
      </c>
      <c r="JZ45" s="20" t="n">
        <f aca="false">IF(AND(HU45=1,BV45=1),MIN(JS45,JX45),0)</f>
        <v>0</v>
      </c>
      <c r="KA45" s="20" t="n">
        <f aca="false">JS45-JZ45</f>
        <v>0</v>
      </c>
      <c r="KB45" s="20" t="n">
        <f aca="false">IF(CF45=1,IF(ABS((1+AS_Wage)/(1+Slot7_Rate)-1)&lt;0.000000000001,(Slot7_Age-D45)*(1+Slot7_Rate)^(Slot7_Age-D45),(1+Slot7_Rate)^(Slot7_Age-D45)*(1-((1+AS_Wage)/(1+Slot7_Rate))^(Slot7_Age-D45))/(1-(1+AS_Wage)/(1+Slot7_Rate))),1)</f>
        <v>1</v>
      </c>
      <c r="KC45" s="20" t="n">
        <f aca="false">IF(AND(HU45=1,IE45&gt;0,Slot7_IsWG=1,CF45=1),MAX(0,(Slot7_Cost-CG45*(1+Slot7_Rate)^(Slot7_Age-D45))/KB45),0)</f>
        <v>0</v>
      </c>
      <c r="KD45" s="20" t="n">
        <f aca="false">IF(AND(HU45=1,IE45&gt;0,Slot7_IsWG=1,CF45=1),MIN(IE45,KC45),0)</f>
        <v>0</v>
      </c>
      <c r="KE45" s="20" t="n">
        <f aca="false">CG45+KD45</f>
        <v>0</v>
      </c>
      <c r="KF45" s="20" t="n">
        <f aca="false">IF(CF45=1,MAX(0,(Slot7_Cost-KE45*(1+Slot7_Rate)^(Slot7_Age-D45))/KB45),0)</f>
        <v>0</v>
      </c>
      <c r="KG45" s="20" t="n">
        <f aca="false">IF(CF45=1,MAX(0,(Slot7_Cost-CG45*(1+Slot7_Rate)^(Slot7_Age-D45))/KB45),0)</f>
        <v>0</v>
      </c>
      <c r="KH45" s="20" t="n">
        <f aca="false">IF(AND(HU45=1,CF45=1),MIN(KA45,KF45),0)</f>
        <v>0</v>
      </c>
      <c r="KI45" s="20" t="n">
        <f aca="false">KA45-KH45</f>
        <v>0</v>
      </c>
      <c r="KJ45" s="20" t="n">
        <f aca="false">IF(CP45=1,IF(ABS((1+AS_Wage)/(1+Slot8_Rate)-1)&lt;0.000000000001,(Slot8_Age-D45)*(1+Slot8_Rate)^(Slot8_Age-D45),(1+Slot8_Rate)^(Slot8_Age-D45)*(1-((1+AS_Wage)/(1+Slot8_Rate))^(Slot8_Age-D45))/(1-(1+AS_Wage)/(1+Slot8_Rate))),1)</f>
        <v>1</v>
      </c>
      <c r="KK45" s="20" t="n">
        <f aca="false">IF(AND(HU45=1,IE45&gt;0,Slot8_IsWG=1,CP45=1),MAX(0,(Slot8_Cost-CQ45*(1+Slot8_Rate)^(Slot8_Age-D45))/KJ45),0)</f>
        <v>0</v>
      </c>
      <c r="KL45" s="20" t="n">
        <f aca="false">IF(AND(HU45=1,IE45&gt;0,Slot8_IsWG=1,CP45=1),MIN(IE45,KK45),0)</f>
        <v>0</v>
      </c>
      <c r="KM45" s="20" t="n">
        <f aca="false">CQ45+KL45</f>
        <v>0</v>
      </c>
      <c r="KN45" s="20" t="n">
        <f aca="false">IF(CP45=1,MAX(0,(Slot8_Cost-KM45*(1+Slot8_Rate)^(Slot8_Age-D45))/KJ45),0)</f>
        <v>0</v>
      </c>
      <c r="KO45" s="20" t="n">
        <f aca="false">IF(CP45=1,MAX(0,(Slot8_Cost-CQ45*(1+Slot8_Rate)^(Slot8_Age-D45))/KJ45),0)</f>
        <v>0</v>
      </c>
      <c r="KP45" s="20" t="n">
        <f aca="false">IF(AND(HU45=1,CP45=1),MIN(KI45,KN45),0)</f>
        <v>0</v>
      </c>
      <c r="KQ45" s="20" t="n">
        <f aca="false">KI45-KP45</f>
        <v>0</v>
      </c>
      <c r="KR45" s="20" t="n">
        <f aca="false">IF(CZ45=1,IF(ABS((1+AS_Wage)/(1+Slot9_Rate)-1)&lt;0.000000000001,(Slot9_Age-D45)*(1+Slot9_Rate)^(Slot9_Age-D45),(1+Slot9_Rate)^(Slot9_Age-D45)*(1-((1+AS_Wage)/(1+Slot9_Rate))^(Slot9_Age-D45))/(1-(1+AS_Wage)/(1+Slot9_Rate))),1)</f>
        <v>1</v>
      </c>
      <c r="KS45" s="20" t="n">
        <f aca="false">IF(AND(HU45=1,IE45&gt;0,Slot9_IsWG=1,CZ45=1),MAX(0,(Slot9_Cost-DA45*(1+Slot9_Rate)^(Slot9_Age-D45))/KR45),0)</f>
        <v>0</v>
      </c>
      <c r="KT45" s="20" t="n">
        <f aca="false">IF(AND(HU45=1,IE45&gt;0,Slot9_IsWG=1,CZ45=1),MIN(IE45,KS45),0)</f>
        <v>0</v>
      </c>
      <c r="KU45" s="20" t="n">
        <f aca="false">DA45+KT45</f>
        <v>0</v>
      </c>
      <c r="KV45" s="20" t="n">
        <f aca="false">IF(CZ45=1,MAX(0,(Slot9_Cost-KU45*(1+Slot9_Rate)^(Slot9_Age-D45))/KR45),0)</f>
        <v>0</v>
      </c>
      <c r="KW45" s="20" t="n">
        <f aca="false">IF(CZ45=1,MAX(0,(Slot9_Cost-DA45*(1+Slot9_Rate)^(Slot9_Age-D45))/KR45),0)</f>
        <v>0</v>
      </c>
      <c r="KX45" s="20" t="n">
        <f aca="false">IF(AND(HU45=1,CZ45=1),MIN(KQ45,KV45),0)</f>
        <v>0</v>
      </c>
      <c r="KY45" s="20" t="n">
        <f aca="false">KQ45-KX45</f>
        <v>0</v>
      </c>
      <c r="KZ45" s="20" t="n">
        <f aca="false">IF(DJ45=1,IF(ABS((1+AS_Wage)/(1+Slot10_Rate)-1)&lt;0.000000000001,(Slot10_Age-D45)*(1+Slot10_Rate)^(Slot10_Age-D45),(1+Slot10_Rate)^(Slot10_Age-D45)*(1-((1+AS_Wage)/(1+Slot10_Rate))^(Slot10_Age-D45))/(1-(1+AS_Wage)/(1+Slot10_Rate))),1)</f>
        <v>1</v>
      </c>
      <c r="LA45" s="20" t="n">
        <f aca="false">IF(AND(HU45=1,IE45&gt;0,Slot10_IsWG=1,DJ45=1),MAX(0,(Slot10_Cost-DK45*(1+Slot10_Rate)^(Slot10_Age-D45))/KZ45),0)</f>
        <v>0</v>
      </c>
      <c r="LB45" s="20" t="n">
        <f aca="false">IF(AND(HU45=1,IE45&gt;0,Slot10_IsWG=1,DJ45=1),MIN(IE45,LA45),0)</f>
        <v>0</v>
      </c>
      <c r="LC45" s="20" t="n">
        <f aca="false">DK45+LB45</f>
        <v>0</v>
      </c>
      <c r="LD45" s="20" t="n">
        <f aca="false">IF(DJ45=1,MAX(0,(Slot10_Cost-LC45*(1+Slot10_Rate)^(Slot10_Age-D45))/KZ45),0)</f>
        <v>0</v>
      </c>
      <c r="LE45" s="20" t="n">
        <f aca="false">IF(DJ45=1,MAX(0,(Slot10_Cost-DK45*(1+Slot10_Rate)^(Slot10_Age-D45))/KZ45),0)</f>
        <v>0</v>
      </c>
      <c r="LF45" s="20" t="n">
        <f aca="false">IF(AND(HU45=1,DJ45=1),MIN(KY45,LD45),0)</f>
        <v>0</v>
      </c>
      <c r="LG45" s="20" t="n">
        <f aca="false">KY45-LF45</f>
        <v>0</v>
      </c>
      <c r="LH45" s="20" t="n">
        <f aca="false">IF(DT45=1,IF(ABS((1+AS_Wage)/(1+Slot11_Rate)-1)&lt;0.000000000001,(Slot11_Age-D45)*(1+Slot11_Rate)^(Slot11_Age-D45),(1+Slot11_Rate)^(Slot11_Age-D45)*(1-((1+AS_Wage)/(1+Slot11_Rate))^(Slot11_Age-D45))/(1-(1+AS_Wage)/(1+Slot11_Rate))),1)</f>
        <v>1</v>
      </c>
      <c r="LI45" s="20" t="n">
        <f aca="false">IF(AND(HU45=1,IE45&gt;0,Slot11_IsWG=1,DT45=1),MAX(0,(Slot11_Cost-DU45*(1+Slot11_Rate)^(Slot11_Age-D45))/LH45),0)</f>
        <v>0</v>
      </c>
      <c r="LJ45" s="20" t="n">
        <f aca="false">IF(AND(HU45=1,IE45&gt;0,Slot11_IsWG=1,DT45=1),MIN(IE45,LI45),0)</f>
        <v>0</v>
      </c>
      <c r="LK45" s="20" t="n">
        <f aca="false">DU45+LJ45</f>
        <v>0</v>
      </c>
      <c r="LL45" s="20" t="n">
        <f aca="false">IF(DT45=1,MAX(0,(Slot11_Cost-LK45*(1+Slot11_Rate)^(Slot11_Age-D45))/LH45),0)</f>
        <v>0</v>
      </c>
      <c r="LM45" s="20" t="n">
        <f aca="false">IF(DT45=1,MAX(0,(Slot11_Cost-DU45*(1+Slot11_Rate)^(Slot11_Age-D45))/LH45),0)</f>
        <v>0</v>
      </c>
      <c r="LN45" s="20" t="n">
        <f aca="false">IF(AND(HU45=1,DT45=1),MIN(LG45,LL45),0)</f>
        <v>0</v>
      </c>
      <c r="LO45" s="20" t="n">
        <f aca="false">LG45-LN45</f>
        <v>0</v>
      </c>
      <c r="LP45" s="20" t="n">
        <f aca="false">IF(ED45=1,IF(ABS((1+AS_Wage)/(1+Slot12_Rate)-1)&lt;0.000000000001,(Slot12_Age-D45)*(1+Slot12_Rate)^(Slot12_Age-D45),(1+Slot12_Rate)^(Slot12_Age-D45)*(1-((1+AS_Wage)/(1+Slot12_Rate))^(Slot12_Age-D45))/(1-(1+AS_Wage)/(1+Slot12_Rate))),1)</f>
        <v>1</v>
      </c>
      <c r="LQ45" s="20" t="n">
        <f aca="false">IF(AND(HU45=1,IE45&gt;0,Slot12_IsWG=1,ED45=1),MAX(0,(Slot12_Cost-EE45*(1+Slot12_Rate)^(Slot12_Age-D45))/LP45),0)</f>
        <v>0</v>
      </c>
      <c r="LR45" s="20" t="n">
        <f aca="false">IF(AND(HU45=1,IE45&gt;0,Slot12_IsWG=1,ED45=1),MIN(IE45,LQ45),0)</f>
        <v>0</v>
      </c>
      <c r="LS45" s="20" t="n">
        <f aca="false">EE45+LR45</f>
        <v>0</v>
      </c>
      <c r="LT45" s="20" t="n">
        <f aca="false">IF(ED45=1,MAX(0,(Slot12_Cost-LS45*(1+Slot12_Rate)^(Slot12_Age-D45))/LP45),0)</f>
        <v>0</v>
      </c>
      <c r="LU45" s="20" t="n">
        <f aca="false">IF(ED45=1,MAX(0,(Slot12_Cost-EE45*(1+Slot12_Rate)^(Slot12_Age-D45))/LP45),0)</f>
        <v>0</v>
      </c>
      <c r="LV45" s="20" t="n">
        <f aca="false">IF(AND(HU45=1,ED45=1),MIN(LO45,LT45),0)</f>
        <v>0</v>
      </c>
      <c r="LW45" s="20" t="n">
        <f aca="false">LO45-LV45</f>
        <v>0</v>
      </c>
      <c r="LX45" s="20" t="n">
        <f aca="false">IF(EN45=1,IF(ABS((1+AS_Wage)/(1+Slot13_Rate)-1)&lt;0.000000000001,(Slot13_Age-D45)*(1+Slot13_Rate)^(Slot13_Age-D45),(1+Slot13_Rate)^(Slot13_Age-D45)*(1-((1+AS_Wage)/(1+Slot13_Rate))^(Slot13_Age-D45))/(1-(1+AS_Wage)/(1+Slot13_Rate))),1)</f>
        <v>1</v>
      </c>
      <c r="LY45" s="20" t="n">
        <f aca="false">IF(AND(HU45=1,IE45&gt;0,Slot13_IsWG=1,EN45=1),MAX(0,(Slot13_Cost-EO45*(1+Slot13_Rate)^(Slot13_Age-D45))/LX45),0)</f>
        <v>0</v>
      </c>
      <c r="LZ45" s="20" t="n">
        <f aca="false">IF(AND(HU45=1,IE45&gt;0,Slot13_IsWG=1,EN45=1),MIN(IE45,LY45),0)</f>
        <v>0</v>
      </c>
      <c r="MA45" s="20" t="n">
        <f aca="false">EO45+LZ45</f>
        <v>0</v>
      </c>
      <c r="MB45" s="20" t="n">
        <f aca="false">IF(EN45=1,MAX(0,(Slot13_Cost-MA45*(1+Slot13_Rate)^(Slot13_Age-D45))/LX45),0)</f>
        <v>0</v>
      </c>
      <c r="MC45" s="20" t="n">
        <f aca="false">IF(EN45=1,MAX(0,(Slot13_Cost-EO45*(1+Slot13_Rate)^(Slot13_Age-D45))/LX45),0)</f>
        <v>0</v>
      </c>
      <c r="MD45" s="20" t="n">
        <f aca="false">IF(AND(HU45=1,EN45=1),MIN(LW45,MB45),0)</f>
        <v>0</v>
      </c>
      <c r="ME45" s="20" t="n">
        <f aca="false">LW45-MD45</f>
        <v>0</v>
      </c>
      <c r="MF45" s="20" t="n">
        <f aca="false">IF(EX45=1,IF(ABS((1+AS_Wage)/(1+Slot14_Rate)-1)&lt;0.000000000001,(Slot14_Age-D45)*(1+Slot14_Rate)^(Slot14_Age-D45),(1+Slot14_Rate)^(Slot14_Age-D45)*(1-((1+AS_Wage)/(1+Slot14_Rate))^(Slot14_Age-D45))/(1-(1+AS_Wage)/(1+Slot14_Rate))),1)</f>
        <v>1</v>
      </c>
      <c r="MG45" s="20" t="n">
        <f aca="false">IF(AND(HU45=1,IE45&gt;0,Slot14_IsWG=1,EX45=1),MAX(0,(Slot14_Cost-EY45*(1+Slot14_Rate)^(Slot14_Age-D45))/MF45),0)</f>
        <v>0</v>
      </c>
      <c r="MH45" s="20" t="n">
        <f aca="false">IF(AND(HU45=1,IE45&gt;0,Slot14_IsWG=1,EX45=1),MIN(IE45,MG45),0)</f>
        <v>0</v>
      </c>
      <c r="MI45" s="20" t="n">
        <f aca="false">EY45+MH45</f>
        <v>0</v>
      </c>
      <c r="MJ45" s="20" t="n">
        <f aca="false">IF(EX45=1,MAX(0,(Slot14_Cost-MI45*(1+Slot14_Rate)^(Slot14_Age-D45))/MF45),0)</f>
        <v>0</v>
      </c>
      <c r="MK45" s="20" t="n">
        <f aca="false">IF(EX45=1,MAX(0,(Slot14_Cost-EY45*(1+Slot14_Rate)^(Slot14_Age-D45))/MF45),0)</f>
        <v>0</v>
      </c>
      <c r="ML45" s="20" t="n">
        <f aca="false">IF(AND(HU45=1,EX45=1),MIN(ME45,MJ45),0)</f>
        <v>0</v>
      </c>
      <c r="MM45" s="20" t="n">
        <f aca="false">ME45-ML45</f>
        <v>0</v>
      </c>
      <c r="MN45" s="20" t="n">
        <f aca="false">IF(FH45=1,IF(ABS((1+AS_Wage)/(1+Slot15_Rate)-1)&lt;0.000000000001,(Slot15_Age-D45)*(1+Slot15_Rate)^(Slot15_Age-D45),(1+Slot15_Rate)^(Slot15_Age-D45)*(1-((1+AS_Wage)/(1+Slot15_Rate))^(Slot15_Age-D45))/(1-(1+AS_Wage)/(1+Slot15_Rate))),1)</f>
        <v>1</v>
      </c>
      <c r="MO45" s="20" t="n">
        <f aca="false">IF(AND(HU45=1,IE45&gt;0,Slot15_IsWG=1,FH45=1),MAX(0,(Slot15_Cost-FI45*(1+Slot15_Rate)^(Slot15_Age-D45))/MN45),0)</f>
        <v>0</v>
      </c>
      <c r="MP45" s="20" t="n">
        <f aca="false">IF(AND(HU45=1,IE45&gt;0,Slot15_IsWG=1,FH45=1),MIN(IE45,MO45),0)</f>
        <v>0</v>
      </c>
      <c r="MQ45" s="20" t="n">
        <f aca="false">FI45+MP45</f>
        <v>0</v>
      </c>
      <c r="MR45" s="20" t="n">
        <f aca="false">IF(FH45=1,MAX(0,(Slot15_Cost-MQ45*(1+Slot15_Rate)^(Slot15_Age-D45))/MN45),0)</f>
        <v>0</v>
      </c>
      <c r="MS45" s="20" t="n">
        <f aca="false">IF(FH45=1,MAX(0,(Slot15_Cost-FI45*(1+Slot15_Rate)^(Slot15_Age-D45))/MN45),0)</f>
        <v>0</v>
      </c>
      <c r="MT45" s="20" t="n">
        <f aca="false">IF(AND(HU45=1,FH45=1),MIN(MM45,MR45),0)</f>
        <v>0</v>
      </c>
      <c r="MU45" s="20" t="n">
        <f aca="false">MM45-MT45</f>
        <v>0</v>
      </c>
      <c r="MV45" s="20" t="n">
        <f aca="false">IF(FR45=1,IF(ABS((1+AS_Wage)/(1+Slot16_Rate)-1)&lt;0.000000000001,(Slot16_Age-D45)*(1+Slot16_Rate)^(Slot16_Age-D45),(1+Slot16_Rate)^(Slot16_Age-D45)*(1-((1+AS_Wage)/(1+Slot16_Rate))^(Slot16_Age-D45))/(1-(1+AS_Wage)/(1+Slot16_Rate))),1)</f>
        <v>1</v>
      </c>
      <c r="MW45" s="20" t="n">
        <f aca="false">IF(AND(HU45=1,IE45&gt;0,Slot16_IsWG=1,FR45=1),MAX(0,(Slot16_Cost-FS45*(1+Slot16_Rate)^(Slot16_Age-D45))/MV45),0)</f>
        <v>0</v>
      </c>
      <c r="MX45" s="20" t="n">
        <f aca="false">IF(AND(HU45=1,IE45&gt;0,Slot16_IsWG=1,FR45=1),MIN(IE45,MW45),0)</f>
        <v>0</v>
      </c>
      <c r="MY45" s="20" t="n">
        <f aca="false">FS45+MX45</f>
        <v>0</v>
      </c>
      <c r="MZ45" s="20" t="n">
        <f aca="false">IF(FR45=1,MAX(0,(Slot16_Cost-MY45*(1+Slot16_Rate)^(Slot16_Age-D45))/MV45),0)</f>
        <v>0</v>
      </c>
      <c r="NA45" s="20" t="n">
        <f aca="false">IF(FR45=1,MAX(0,(Slot16_Cost-FS45*(1+Slot16_Rate)^(Slot16_Age-D45))/MV45),0)</f>
        <v>0</v>
      </c>
      <c r="NB45" s="20" t="n">
        <f aca="false">IF(AND(HU45=1,FR45=1),MIN(MU45,MZ45),0)</f>
        <v>0</v>
      </c>
      <c r="NC45" s="20" t="n">
        <f aca="false">MU45-NB45</f>
        <v>0</v>
      </c>
      <c r="ND45" s="20" t="n">
        <f aca="false">IF(GB45=1,IF(ABS((1+AS_Wage)/(1+Slot17_Rate)-1)&lt;0.000000000001,(Slot17_Age-D45)*(1+Slot17_Rate)^(Slot17_Age-D45),(1+Slot17_Rate)^(Slot17_Age-D45)*(1-((1+AS_Wage)/(1+Slot17_Rate))^(Slot17_Age-D45))/(1-(1+AS_Wage)/(1+Slot17_Rate))),1)</f>
        <v>1</v>
      </c>
      <c r="NE45" s="20" t="n">
        <f aca="false">IF(AND(HU45=1,IE45&gt;0,Slot17_IsWG=1,GB45=1),MAX(0,(Slot17_Cost-GC45*(1+Slot17_Rate)^(Slot17_Age-D45))/ND45),0)</f>
        <v>0</v>
      </c>
      <c r="NF45" s="20" t="n">
        <f aca="false">IF(AND(HU45=1,IE45&gt;0,Slot17_IsWG=1,GB45=1),MIN(IE45,NE45),0)</f>
        <v>0</v>
      </c>
      <c r="NG45" s="20" t="n">
        <f aca="false">GC45+NF45</f>
        <v>0</v>
      </c>
      <c r="NH45" s="20" t="n">
        <f aca="false">IF(GB45=1,MAX(0,(Slot17_Cost-NG45*(1+Slot17_Rate)^(Slot17_Age-D45))/ND45),0)</f>
        <v>0</v>
      </c>
      <c r="NI45" s="20" t="n">
        <f aca="false">IF(GB45=1,MAX(0,(Slot17_Cost-GC45*(1+Slot17_Rate)^(Slot17_Age-D45))/ND45),0)</f>
        <v>0</v>
      </c>
      <c r="NJ45" s="20" t="n">
        <f aca="false">IF(AND(HU45=1,GB45=1),MIN(NC45,NH45),0)</f>
        <v>0</v>
      </c>
      <c r="NK45" s="20" t="n">
        <f aca="false">NC45-NJ45</f>
        <v>0</v>
      </c>
      <c r="NL45" s="20" t="n">
        <f aca="false">IF(GL45=1,IF(ABS((1+AS_Wage)/(1+Slot18_Rate)-1)&lt;0.000000000001,(Slot18_Age-D45)*(1+Slot18_Rate)^(Slot18_Age-D45),(1+Slot18_Rate)^(Slot18_Age-D45)*(1-((1+AS_Wage)/(1+Slot18_Rate))^(Slot18_Age-D45))/(1-(1+AS_Wage)/(1+Slot18_Rate))),1)</f>
        <v>1</v>
      </c>
      <c r="NM45" s="20" t="n">
        <f aca="false">IF(AND(HU45=1,IE45&gt;0,Slot18_IsWG=1,GL45=1),MAX(0,(Slot18_Cost-GM45*(1+Slot18_Rate)^(Slot18_Age-D45))/NL45),0)</f>
        <v>0</v>
      </c>
      <c r="NN45" s="20" t="n">
        <f aca="false">IF(AND(HU45=1,IE45&gt;0,Slot18_IsWG=1,GL45=1),MIN(IE45,NM45),0)</f>
        <v>0</v>
      </c>
      <c r="NO45" s="20" t="n">
        <f aca="false">GM45+NN45</f>
        <v>0</v>
      </c>
      <c r="NP45" s="20" t="n">
        <f aca="false">IF(GL45=1,MAX(0,(Slot18_Cost-NO45*(1+Slot18_Rate)^(Slot18_Age-D45))/NL45),0)</f>
        <v>0</v>
      </c>
      <c r="NQ45" s="20" t="n">
        <f aca="false">IF(GL45=1,MAX(0,(Slot18_Cost-GM45*(1+Slot18_Rate)^(Slot18_Age-D45))/NL45),0)</f>
        <v>0</v>
      </c>
      <c r="NR45" s="20" t="n">
        <f aca="false">IF(AND(HU45=1,GL45=1),MIN(NK45,NP45),0)</f>
        <v>0</v>
      </c>
      <c r="NS45" s="20" t="n">
        <f aca="false">NK45-NR45</f>
        <v>0</v>
      </c>
      <c r="NT45" s="20" t="n">
        <f aca="false">IF(GV45=1,IF(ABS((1+AS_Wage)/(1+Slot19_Rate)-1)&lt;0.000000000001,(Slot19_Age-D45)*(1+Slot19_Rate)^(Slot19_Age-D45),(1+Slot19_Rate)^(Slot19_Age-D45)*(1-((1+AS_Wage)/(1+Slot19_Rate))^(Slot19_Age-D45))/(1-(1+AS_Wage)/(1+Slot19_Rate))),1)</f>
        <v>1</v>
      </c>
      <c r="NU45" s="20" t="n">
        <f aca="false">IF(AND(HU45=1,IE45&gt;0,Slot19_IsWG=1,GV45=1),MAX(0,(Slot19_Cost-GW45*(1+Slot19_Rate)^(Slot19_Age-D45))/NT45),0)</f>
        <v>0</v>
      </c>
      <c r="NV45" s="20" t="n">
        <f aca="false">IF(AND(HU45=1,IE45&gt;0,Slot19_IsWG=1,GV45=1),MIN(IE45,NU45),0)</f>
        <v>0</v>
      </c>
      <c r="NW45" s="20" t="n">
        <f aca="false">GW45+NV45</f>
        <v>0</v>
      </c>
      <c r="NX45" s="20" t="n">
        <f aca="false">IF(GV45=1,MAX(0,(Slot19_Cost-NW45*(1+Slot19_Rate)^(Slot19_Age-D45))/NT45),0)</f>
        <v>0</v>
      </c>
      <c r="NY45" s="20" t="n">
        <f aca="false">IF(GV45=1,MAX(0,(Slot19_Cost-GW45*(1+Slot19_Rate)^(Slot19_Age-D45))/NT45),0)</f>
        <v>0</v>
      </c>
      <c r="NZ45" s="20" t="n">
        <f aca="false">IF(AND(HU45=1,GV45=1),MIN(NS45,NX45),0)</f>
        <v>0</v>
      </c>
      <c r="OA45" s="20" t="n">
        <f aca="false">NS45-NZ45</f>
        <v>0</v>
      </c>
      <c r="OB45" s="20" t="n">
        <f aca="false">IF(HF45=1,IF(ABS((1+AS_Wage)/(1+Slot20_Rate)-1)&lt;0.000000000001,(Slot20_Age-D45)*(1+Slot20_Rate)^(Slot20_Age-D45),(1+Slot20_Rate)^(Slot20_Age-D45)*(1-((1+AS_Wage)/(1+Slot20_Rate))^(Slot20_Age-D45))/(1-(1+AS_Wage)/(1+Slot20_Rate))),1)</f>
        <v>1</v>
      </c>
      <c r="OC45" s="20" t="n">
        <f aca="false">IF(AND(HU45=1,IE45&gt;0,Slot20_IsWG=1,HF45=1),MAX(0,(Slot20_Cost-HG45*(1+Slot20_Rate)^(Slot20_Age-D45))/OB45),0)</f>
        <v>0</v>
      </c>
      <c r="OD45" s="20" t="n">
        <f aca="false">IF(AND(HU45=1,IE45&gt;0,Slot20_IsWG=1,HF45=1),MIN(IE45,OC45),0)</f>
        <v>0</v>
      </c>
      <c r="OE45" s="20" t="n">
        <f aca="false">HG45+OD45</f>
        <v>0</v>
      </c>
      <c r="OF45" s="20" t="n">
        <f aca="false">IF(HF45=1,MAX(0,(Slot20_Cost-OE45*(1+Slot20_Rate)^(Slot20_Age-D45))/OB45),0)</f>
        <v>0</v>
      </c>
      <c r="OG45" s="20" t="n">
        <f aca="false">IF(HF45=1,MAX(0,(Slot20_Cost-HG45*(1+Slot20_Rate)^(Slot20_Age-D45))/OB45),0)</f>
        <v>0</v>
      </c>
      <c r="OH45" s="20" t="n">
        <f aca="false">IF(AND(HU45=1,HF45=1),MIN(OA45,OF45),0)</f>
        <v>0</v>
      </c>
      <c r="OI45" s="20" t="n">
        <f aca="false">OA45-OH45</f>
        <v>0</v>
      </c>
      <c r="OJ45" s="20" t="n">
        <f aca="false">IE45-(IH45+IP45+IX45+JF45+JN45+JV45+KD45+KL45+KT45+LB45+LJ45+LR45+LZ45+MH45+MP45+MX45+NF45+NN45+NV45+OD45)</f>
        <v>0</v>
      </c>
      <c r="OK45" s="20" t="n">
        <f aca="false">IF(HU45=1,HS45-ID45-IE45,0)</f>
        <v>0</v>
      </c>
      <c r="OL45" s="20" t="n">
        <f aca="false">IF(HU45=0,-HS45,0)</f>
        <v>23577.9911845889</v>
      </c>
      <c r="OM45" s="20" t="n">
        <f aca="false">MIN(OL45,HK45)</f>
        <v>23577.9911845889</v>
      </c>
      <c r="ON45" s="20" t="n">
        <f aca="false">OL45-OM45</f>
        <v>0</v>
      </c>
      <c r="OO45" s="20" t="n">
        <f aca="false">MIN(ON45,HL45)</f>
        <v>0</v>
      </c>
      <c r="OP45" s="20" t="n">
        <f aca="false">ON45-OO45</f>
        <v>0</v>
      </c>
      <c r="OQ45" s="20" t="n">
        <f aca="false">IF(AND(HU45=0,HF45=1,OP45&gt;0),MIN(OP45,HG45),0)</f>
        <v>0</v>
      </c>
      <c r="OR45" s="20" t="n">
        <f aca="false">OP45-OQ45</f>
        <v>0</v>
      </c>
      <c r="OS45" s="20" t="n">
        <f aca="false">IF(AND(HU45=0,GV45=1,OR45&gt;0),MIN(OR45,GW45),0)</f>
        <v>0</v>
      </c>
      <c r="OT45" s="20" t="n">
        <f aca="false">OR45-OS45</f>
        <v>0</v>
      </c>
      <c r="OU45" s="20" t="n">
        <f aca="false">IF(AND(HU45=0,GL45=1,OT45&gt;0),MIN(OT45,GM45),0)</f>
        <v>0</v>
      </c>
      <c r="OV45" s="20" t="n">
        <f aca="false">OT45-OU45</f>
        <v>0</v>
      </c>
      <c r="OW45" s="20" t="n">
        <f aca="false">IF(AND(HU45=0,GB45=1,OV45&gt;0),MIN(OV45,GC45),0)</f>
        <v>0</v>
      </c>
      <c r="OX45" s="20" t="n">
        <f aca="false">OV45-OW45</f>
        <v>0</v>
      </c>
      <c r="OY45" s="20" t="n">
        <f aca="false">IF(AND(HU45=0,FR45=1,OX45&gt;0),MIN(OX45,FS45),0)</f>
        <v>0</v>
      </c>
      <c r="OZ45" s="20" t="n">
        <f aca="false">OX45-OY45</f>
        <v>0</v>
      </c>
      <c r="PA45" s="20" t="n">
        <f aca="false">IF(AND(HU45=0,FH45=1,OZ45&gt;0),MIN(OZ45,FI45),0)</f>
        <v>0</v>
      </c>
      <c r="PB45" s="20" t="n">
        <f aca="false">OZ45-PA45</f>
        <v>0</v>
      </c>
      <c r="PC45" s="20" t="n">
        <f aca="false">IF(AND(HU45=0,EX45=1,PB45&gt;0),MIN(PB45,EY45),0)</f>
        <v>0</v>
      </c>
      <c r="PD45" s="20" t="n">
        <f aca="false">PB45-PC45</f>
        <v>0</v>
      </c>
      <c r="PE45" s="20" t="n">
        <f aca="false">IF(AND(HU45=0,EN45=1,PD45&gt;0),MIN(PD45,EO45),0)</f>
        <v>0</v>
      </c>
      <c r="PF45" s="20" t="n">
        <f aca="false">PD45-PE45</f>
        <v>0</v>
      </c>
      <c r="PG45" s="20" t="n">
        <f aca="false">IF(AND(HU45=0,ED45=1,PF45&gt;0),MIN(PF45,EE45),0)</f>
        <v>0</v>
      </c>
      <c r="PH45" s="20" t="n">
        <f aca="false">PF45-PG45</f>
        <v>0</v>
      </c>
      <c r="PI45" s="20" t="n">
        <f aca="false">IF(AND(HU45=0,DT45=1,PH45&gt;0),MIN(PH45,DU45),0)</f>
        <v>0</v>
      </c>
      <c r="PJ45" s="20" t="n">
        <f aca="false">PH45-PI45</f>
        <v>0</v>
      </c>
      <c r="PK45" s="20" t="n">
        <f aca="false">IF(AND(HU45=0,DJ45=1,PJ45&gt;0),MIN(PJ45,DK45),0)</f>
        <v>0</v>
      </c>
      <c r="PL45" s="20" t="n">
        <f aca="false">PJ45-PK45</f>
        <v>0</v>
      </c>
      <c r="PM45" s="20" t="n">
        <f aca="false">IF(AND(HU45=0,CZ45=1,PL45&gt;0),MIN(PL45,DA45),0)</f>
        <v>0</v>
      </c>
      <c r="PN45" s="20" t="n">
        <f aca="false">PL45-PM45</f>
        <v>0</v>
      </c>
      <c r="PO45" s="20" t="n">
        <f aca="false">IF(AND(HU45=0,CP45=1,PN45&gt;0),MIN(PN45,CQ45),0)</f>
        <v>0</v>
      </c>
      <c r="PP45" s="20" t="n">
        <f aca="false">PN45-PO45</f>
        <v>0</v>
      </c>
      <c r="PQ45" s="20" t="n">
        <f aca="false">IF(AND(HU45=0,CF45=1,PP45&gt;0),MIN(PP45,CG45),0)</f>
        <v>0</v>
      </c>
      <c r="PR45" s="20" t="n">
        <f aca="false">PP45-PQ45</f>
        <v>0</v>
      </c>
      <c r="PS45" s="20" t="n">
        <f aca="false">IF(AND(HU45=0,BV45=1,PR45&gt;0),MIN(PR45,BW45),0)</f>
        <v>0</v>
      </c>
      <c r="PT45" s="20" t="n">
        <f aca="false">PR45-PS45</f>
        <v>0</v>
      </c>
      <c r="PU45" s="20" t="n">
        <f aca="false">IF(AND(HU45=0,BL45=1,PT45&gt;0),MIN(PT45,BM45),0)</f>
        <v>0</v>
      </c>
      <c r="PV45" s="20" t="n">
        <f aca="false">PT45-PU45</f>
        <v>0</v>
      </c>
      <c r="PW45" s="20" t="n">
        <f aca="false">IF(AND(HU45=0,BB45=1,PV45&gt;0),MIN(PV45,BC45),0)</f>
        <v>0</v>
      </c>
      <c r="PX45" s="20" t="n">
        <f aca="false">PV45-PW45</f>
        <v>0</v>
      </c>
      <c r="PY45" s="20" t="n">
        <f aca="false">IF(AND(HU45=0,AR45=1,PX45&gt;0),MIN(PX45,AS45),0)</f>
        <v>0</v>
      </c>
      <c r="PZ45" s="20" t="n">
        <f aca="false">PX45-PY45</f>
        <v>0</v>
      </c>
      <c r="QA45" s="20" t="n">
        <f aca="false">IF(AND(HU45=0,AH45=1,PZ45&gt;0),MIN(PZ45,AI45),0)</f>
        <v>0</v>
      </c>
      <c r="QB45" s="20" t="n">
        <f aca="false">PZ45-QA45</f>
        <v>0</v>
      </c>
      <c r="QC45" s="20" t="n">
        <f aca="false">IF(AND(HU45=0,W45=1,QB45&gt;0),MIN(QB45,X45),0)</f>
        <v>0</v>
      </c>
      <c r="QD45" s="20" t="n">
        <f aca="false">QB45-QC45</f>
        <v>0</v>
      </c>
      <c r="QE45" s="20" t="n">
        <f aca="false">IF(HU45=0,QD45,0)</f>
        <v>0</v>
      </c>
      <c r="QF45" s="20" t="n">
        <f aca="false">OM45+OO45+QC45+QA45+PY45+PW45+PU45+PS45+PQ45+PO45+PM45+PK45+PI45+PG45+PE45+PC45+PA45+OY45+OW45+OU45+OS45+OQ45</f>
        <v>23577.9911845889</v>
      </c>
      <c r="QG45" s="20" t="n">
        <f aca="false">IF(HU45=1,HK45+OJ45+OI45+IF(G45=1,0,OK45),HK45-OM45)</f>
        <v>24723.5859478712</v>
      </c>
      <c r="QH45" s="20" t="n">
        <f aca="false">HL45-OO45</f>
        <v>22107.502610624</v>
      </c>
      <c r="QI45" s="20" t="n">
        <f aca="false">IF(HU45=1,IF(G45=1,ID45+IE45,HS45),0)</f>
        <v>0</v>
      </c>
      <c r="QJ45" s="20" t="n">
        <f aca="false">IF(HU45=1,IF(G45=1,HS45-ID45-IE45,0),0)</f>
        <v>0</v>
      </c>
      <c r="QK45" s="20" t="n">
        <f aca="false">QG45*(1+GR)</f>
        <v>25129.0527574163</v>
      </c>
      <c r="QL45" s="20" t="n">
        <f aca="false">QH45*(1+AS_Cash)</f>
        <v>22328.5776367302</v>
      </c>
      <c r="QM45" s="20" t="n">
        <f aca="false">IF(W45=1,IF(HU45=1,II45+IL45,X45-QC45)*(1+Slot1_Rate),0)</f>
        <v>0</v>
      </c>
      <c r="QN45" s="20" t="n">
        <f aca="false">IF(AND(HU45=1,W45=1),(IH45+IL45)/F45,0)</f>
        <v>0</v>
      </c>
      <c r="QO45" s="20" t="n">
        <f aca="false">IF(B45=0,IH45+IL45,0)</f>
        <v>0</v>
      </c>
      <c r="QP45" s="20" t="n">
        <f aca="false">IF(B45=0,IF(HU45=1,IJ45,IK45),0)</f>
        <v>0</v>
      </c>
      <c r="QQ45" s="20" t="n">
        <f aca="false">IF(AH45=1,IF(HU45=1,IQ45+IT45,AI45-QA45)*(1+Slot2_Rate),0)</f>
        <v>0</v>
      </c>
      <c r="QR45" s="20" t="n">
        <f aca="false">IF(AND(HU45=1,AH45=1),(IP45+IT45)/F45,0)</f>
        <v>0</v>
      </c>
      <c r="QS45" s="20" t="n">
        <f aca="false">IF(B45=0,IP45+IT45,0)</f>
        <v>0</v>
      </c>
      <c r="QT45" s="20" t="n">
        <f aca="false">IF(B45=0,IF(HU45=1,IR45,IS45),0)</f>
        <v>0</v>
      </c>
      <c r="QU45" s="20" t="n">
        <f aca="false">IF(AR45=1,IF(HU45=1,IY45+JB45,AS45-PY45)*(1+Slot3_Rate),0)</f>
        <v>0</v>
      </c>
      <c r="QV45" s="20" t="n">
        <f aca="false">IF(AND(HU45=1,AR45=1),(IX45+JB45)/F45,0)</f>
        <v>0</v>
      </c>
      <c r="QW45" s="20" t="n">
        <f aca="false">IF(B45=0,IX45+JB45,0)</f>
        <v>0</v>
      </c>
      <c r="QX45" s="20" t="n">
        <f aca="false">IF(B45=0,IF(HU45=1,IZ45,JA45),0)</f>
        <v>0</v>
      </c>
      <c r="QY45" s="20" t="n">
        <f aca="false">IF(BB45=1,IF(HU45=1,JG45+JJ45,BC45-PW45)*(1+Slot4_Rate),0)</f>
        <v>0</v>
      </c>
      <c r="QZ45" s="20" t="n">
        <f aca="false">IF(AND(HU45=1,BB45=1),(JF45+JJ45)/F45,0)</f>
        <v>0</v>
      </c>
      <c r="RA45" s="20" t="n">
        <f aca="false">IF(B45=0,JF45+JJ45,0)</f>
        <v>0</v>
      </c>
      <c r="RB45" s="20" t="n">
        <f aca="false">IF(B45=0,IF(HU45=1,JH45,JI45),0)</f>
        <v>0</v>
      </c>
      <c r="RC45" s="20" t="n">
        <f aca="false">IF(BL45=1,IF(HU45=1,JO45+JR45,BM45-PU45)*(1+Slot5_Rate),0)</f>
        <v>0</v>
      </c>
      <c r="RD45" s="20" t="n">
        <f aca="false">IF(AND(HU45=1,BL45=1),(JN45+JR45)/F45,0)</f>
        <v>0</v>
      </c>
      <c r="RE45" s="20" t="n">
        <f aca="false">IF(B45=0,JN45+JR45,0)</f>
        <v>0</v>
      </c>
      <c r="RF45" s="20" t="n">
        <f aca="false">IF(B45=0,IF(HU45=1,JP45,JQ45),0)</f>
        <v>0</v>
      </c>
      <c r="RG45" s="20" t="n">
        <f aca="false">IF(BV45=1,IF(HU45=1,JW45+JZ45,BW45-PS45)*(1+Slot6_Rate),0)</f>
        <v>0</v>
      </c>
      <c r="RH45" s="20" t="n">
        <f aca="false">IF(AND(HU45=1,BV45=1),(JV45+JZ45)/F45,0)</f>
        <v>0</v>
      </c>
      <c r="RI45" s="20" t="n">
        <f aca="false">IF(B45=0,JV45+JZ45,0)</f>
        <v>0</v>
      </c>
      <c r="RJ45" s="20" t="n">
        <f aca="false">IF(B45=0,IF(HU45=1,JX45,JY45),0)</f>
        <v>0</v>
      </c>
      <c r="RK45" s="20" t="n">
        <f aca="false">IF(CF45=1,IF(HU45=1,KE45+KH45,CG45-PQ45)*(1+Slot7_Rate),0)</f>
        <v>0</v>
      </c>
      <c r="RL45" s="20" t="n">
        <f aca="false">IF(AND(HU45=1,CF45=1),(KD45+KH45)/F45,0)</f>
        <v>0</v>
      </c>
      <c r="RM45" s="20" t="n">
        <f aca="false">IF(B45=0,KD45+KH45,0)</f>
        <v>0</v>
      </c>
      <c r="RN45" s="20" t="n">
        <f aca="false">IF(B45=0,IF(HU45=1,KF45,KG45),0)</f>
        <v>0</v>
      </c>
      <c r="RO45" s="20" t="n">
        <f aca="false">IF(CP45=1,IF(HU45=1,KM45+KP45,CQ45-PO45)*(1+Slot8_Rate),0)</f>
        <v>0</v>
      </c>
      <c r="RP45" s="20" t="n">
        <f aca="false">IF(AND(HU45=1,CP45=1),(KL45+KP45)/F45,0)</f>
        <v>0</v>
      </c>
      <c r="RQ45" s="20" t="n">
        <f aca="false">IF(B45=0,KL45+KP45,0)</f>
        <v>0</v>
      </c>
      <c r="RR45" s="20" t="n">
        <f aca="false">IF(B45=0,IF(HU45=1,KN45,KO45),0)</f>
        <v>0</v>
      </c>
      <c r="RS45" s="20" t="n">
        <f aca="false">IF(CZ45=1,IF(HU45=1,KU45+KX45,DA45-PM45)*(1+Slot9_Rate),0)</f>
        <v>0</v>
      </c>
      <c r="RT45" s="20" t="n">
        <f aca="false">IF(AND(HU45=1,CZ45=1),(KT45+KX45)/F45,0)</f>
        <v>0</v>
      </c>
      <c r="RU45" s="20" t="n">
        <f aca="false">IF(B45=0,KT45+KX45,0)</f>
        <v>0</v>
      </c>
      <c r="RV45" s="20" t="n">
        <f aca="false">IF(B45=0,IF(HU45=1,KV45,KW45),0)</f>
        <v>0</v>
      </c>
      <c r="RW45" s="20" t="n">
        <f aca="false">IF(DJ45=1,IF(HU45=1,LC45+LF45,DK45-PK45)*(1+Slot10_Rate),0)</f>
        <v>0</v>
      </c>
      <c r="RX45" s="20" t="n">
        <f aca="false">IF(AND(HU45=1,DJ45=1),(LB45+LF45)/F45,0)</f>
        <v>0</v>
      </c>
      <c r="RY45" s="20" t="n">
        <f aca="false">IF(B45=0,LB45+LF45,0)</f>
        <v>0</v>
      </c>
      <c r="RZ45" s="20" t="n">
        <f aca="false">IF(B45=0,IF(HU45=1,LD45,LE45),0)</f>
        <v>0</v>
      </c>
      <c r="SA45" s="20" t="n">
        <f aca="false">IF(DT45=1,IF(HU45=1,LK45+LN45,DU45-PI45)*(1+Slot11_Rate),0)</f>
        <v>0</v>
      </c>
      <c r="SB45" s="20" t="n">
        <f aca="false">IF(AND(HU45=1,DT45=1),(LJ45+LN45)/F45,0)</f>
        <v>0</v>
      </c>
      <c r="SC45" s="20" t="n">
        <f aca="false">IF(B45=0,LJ45+LN45,0)</f>
        <v>0</v>
      </c>
      <c r="SD45" s="20" t="n">
        <f aca="false">IF(B45=0,IF(HU45=1,LL45,LM45),0)</f>
        <v>0</v>
      </c>
      <c r="SE45" s="20" t="n">
        <f aca="false">IF(ED45=1,IF(HU45=1,LS45+LV45,EE45-PG45)*(1+Slot12_Rate),0)</f>
        <v>0</v>
      </c>
      <c r="SF45" s="20" t="n">
        <f aca="false">IF(AND(HU45=1,ED45=1),(LR45+LV45)/F45,0)</f>
        <v>0</v>
      </c>
      <c r="SG45" s="20" t="n">
        <f aca="false">IF(B45=0,LR45+LV45,0)</f>
        <v>0</v>
      </c>
      <c r="SH45" s="20" t="n">
        <f aca="false">IF(B45=0,IF(HU45=1,LT45,LU45),0)</f>
        <v>0</v>
      </c>
      <c r="SI45" s="20" t="n">
        <f aca="false">IF(EN45=1,IF(HU45=1,MA45+MD45,EO45-PE45)*(1+Slot13_Rate),0)</f>
        <v>0</v>
      </c>
      <c r="SJ45" s="20" t="n">
        <f aca="false">IF(AND(HU45=1,EN45=1),(LZ45+MD45)/F45,0)</f>
        <v>0</v>
      </c>
      <c r="SK45" s="20" t="n">
        <f aca="false">IF(B45=0,LZ45+MD45,0)</f>
        <v>0</v>
      </c>
      <c r="SL45" s="20" t="n">
        <f aca="false">IF(B45=0,IF(HU45=1,MB45,MC45),0)</f>
        <v>0</v>
      </c>
      <c r="SM45" s="20" t="n">
        <f aca="false">IF(EX45=1,IF(HU45=1,MI45+ML45,EY45-PC45)*(1+Slot14_Rate),0)</f>
        <v>0</v>
      </c>
      <c r="SN45" s="20" t="n">
        <f aca="false">IF(AND(HU45=1,EX45=1),(MH45+ML45)/F45,0)</f>
        <v>0</v>
      </c>
      <c r="SO45" s="20" t="n">
        <f aca="false">IF(B45=0,MH45+ML45,0)</f>
        <v>0</v>
      </c>
      <c r="SP45" s="20" t="n">
        <f aca="false">IF(B45=0,IF(HU45=1,MJ45,MK45),0)</f>
        <v>0</v>
      </c>
      <c r="SQ45" s="20" t="n">
        <f aca="false">IF(FH45=1,IF(HU45=1,MQ45+MT45,FI45-PA45)*(1+Slot15_Rate),0)</f>
        <v>0</v>
      </c>
      <c r="SR45" s="20" t="n">
        <f aca="false">IF(AND(HU45=1,FH45=1),(MP45+MT45)/F45,0)</f>
        <v>0</v>
      </c>
      <c r="SS45" s="20" t="n">
        <f aca="false">IF(B45=0,MP45+MT45,0)</f>
        <v>0</v>
      </c>
      <c r="ST45" s="20" t="n">
        <f aca="false">IF(B45=0,IF(HU45=1,MR45,MS45),0)</f>
        <v>0</v>
      </c>
      <c r="SU45" s="20" t="n">
        <f aca="false">IF(FR45=1,IF(HU45=1,MY45+NB45,FS45-OY45)*(1+Slot16_Rate),0)</f>
        <v>0</v>
      </c>
      <c r="SV45" s="20" t="n">
        <f aca="false">IF(AND(HU45=1,FR45=1),(MX45+NB45)/F45,0)</f>
        <v>0</v>
      </c>
      <c r="SW45" s="20" t="n">
        <f aca="false">IF(B45=0,MX45+NB45,0)</f>
        <v>0</v>
      </c>
      <c r="SX45" s="20" t="n">
        <f aca="false">IF(B45=0,IF(HU45=1,MZ45,NA45),0)</f>
        <v>0</v>
      </c>
      <c r="SY45" s="20" t="n">
        <f aca="false">IF(GB45=1,IF(HU45=1,NG45+NJ45,GC45-OW45)*(1+Slot17_Rate),0)</f>
        <v>0</v>
      </c>
      <c r="SZ45" s="20" t="n">
        <f aca="false">IF(AND(HU45=1,GB45=1),(NF45+NJ45)/F45,0)</f>
        <v>0</v>
      </c>
      <c r="TA45" s="20" t="n">
        <f aca="false">IF(B45=0,NF45+NJ45,0)</f>
        <v>0</v>
      </c>
      <c r="TB45" s="20" t="n">
        <f aca="false">IF(B45=0,IF(HU45=1,NH45,NI45),0)</f>
        <v>0</v>
      </c>
      <c r="TC45" s="20" t="n">
        <f aca="false">IF(GL45=1,IF(HU45=1,NO45+NR45,GM45-OU45)*(1+Slot18_Rate),0)</f>
        <v>0</v>
      </c>
      <c r="TD45" s="20" t="n">
        <f aca="false">IF(AND(HU45=1,GL45=1),(NN45+NR45)/F45,0)</f>
        <v>0</v>
      </c>
      <c r="TE45" s="20" t="n">
        <f aca="false">IF(B45=0,NN45+NR45,0)</f>
        <v>0</v>
      </c>
      <c r="TF45" s="20" t="n">
        <f aca="false">IF(B45=0,IF(HU45=1,NP45,NQ45),0)</f>
        <v>0</v>
      </c>
      <c r="TG45" s="20" t="n">
        <f aca="false">IF(GV45=1,IF(HU45=1,NW45+NZ45,GW45-OS45)*(1+Slot19_Rate),0)</f>
        <v>0</v>
      </c>
      <c r="TH45" s="20" t="n">
        <f aca="false">IF(AND(HU45=1,GV45=1),(NV45+NZ45)/F45,0)</f>
        <v>0</v>
      </c>
      <c r="TI45" s="20" t="n">
        <f aca="false">IF(B45=0,NV45+NZ45,0)</f>
        <v>0</v>
      </c>
      <c r="TJ45" s="20" t="n">
        <f aca="false">IF(B45=0,IF(HU45=1,NX45,NY45),0)</f>
        <v>0</v>
      </c>
      <c r="TK45" s="20" t="n">
        <f aca="false">IF(HF45=1,IF(HU45=1,OE45+OH45,HG45-OQ45)*(1+Slot20_Rate),0)</f>
        <v>0</v>
      </c>
      <c r="TL45" s="20" t="n">
        <f aca="false">IF(AND(HU45=1,HF45=1),(OD45+OH45)/F45,0)</f>
        <v>0</v>
      </c>
      <c r="TM45" s="20" t="n">
        <f aca="false">IF(B45=0,OD45+OH45,0)</f>
        <v>0</v>
      </c>
      <c r="TN45" s="20" t="n">
        <f aca="false">IF(B45=0,IF(HU45=1,OF45,OG45),0)</f>
        <v>0</v>
      </c>
      <c r="TO45" s="20" t="n">
        <f aca="false">QK45+QL45+QM45+QQ45+QU45+QY45+RC45+RG45+RK45+RO45+RS45+RW45+SA45+SE45+SI45+SM45+SQ45+SU45+SY45+TC45+TG45+TK45</f>
        <v>47457.6303941465</v>
      </c>
      <c r="TP45" s="20" t="n">
        <f aca="false">QE45+HP45</f>
        <v>0</v>
      </c>
      <c r="TQ45" s="20" t="n">
        <f aca="false">I45+S45</f>
        <v>99456.7473302029</v>
      </c>
      <c r="TR45" s="20" t="n">
        <f aca="false">1-G45</f>
        <v>1</v>
      </c>
      <c r="TS45" s="20" t="n">
        <f aca="false">IF(AND(RG_Exists=1,G45=0,C45=1),I45,0)</f>
        <v>99456.7473302029</v>
      </c>
      <c r="TT45" s="20" t="n">
        <f aca="false">IF(AND(RG_Exists=1,G45=0,C45=1),I45-MIN(QE45,I45),0)</f>
        <v>99456.7473302029</v>
      </c>
      <c r="TU45" s="20" t="n">
        <f aca="false">'Plan pay &amp; tax'!AD271</f>
        <v>373192.852914455</v>
      </c>
      <c r="TV45" s="20" t="n">
        <f aca="false">IF(AND(C45=1,QE45&gt;MAX(PR_Short1,TQ45*PR_Short2)),1,0)</f>
        <v>0</v>
      </c>
      <c r="TW45" s="20" t="n">
        <f aca="false">MIN(H45,I45+S45)</f>
        <v>75878.7561456141</v>
      </c>
      <c r="TX45" s="20" t="n">
        <f aca="false">QF45+MAX(0,HQ45-HP45)</f>
        <v>23577.9911845889</v>
      </c>
      <c r="TY45" s="20" t="n">
        <f aca="false">QE45+HP45</f>
        <v>0</v>
      </c>
      <c r="TZ45" s="20" t="n">
        <f aca="false">IF(AND(C45=1,TY45&gt;PR_MinShort),1,0)</f>
        <v>0</v>
      </c>
      <c r="UA45" s="20" t="n">
        <f aca="false">IF(AND(C45=1,TZ45=0,TX45&gt;PR_MinShort),1,0)</f>
        <v>1</v>
      </c>
      <c r="UB45" s="20" t="n">
        <f aca="false">IF(AND(C45=1,QE45&gt;PR_MinShort),1,0)</f>
        <v>0</v>
      </c>
      <c r="UC45" s="20" t="n">
        <f aca="false">IF(AND(C45=1,QF45&gt;1,UJ45=0),1,0)</f>
        <v>1</v>
      </c>
      <c r="UD45" s="20" t="str">
        <f aca="false">IF(C45=0,"",IF(UJ45=1,"Gap to plan for: short "&amp;"€"&amp;TEXT(ROUND(TP45,0),"#,##0"),IF(QF45&gt;1,"Using savings","Comfortable")))</f>
        <v>Using savings</v>
      </c>
      <c r="UE45" s="20" t="n">
        <f aca="false">IF(AND(INT(D45/10)*10=90,B45&gt;0),80,INT(D45/10)*10)</f>
        <v>70</v>
      </c>
      <c r="UF45" s="20" t="n">
        <f aca="false">IF(B45=0,1,IF(UE45&lt;&gt;UE44,UF44+1,UF44))</f>
        <v>5</v>
      </c>
      <c r="UG45" s="20" t="n">
        <f aca="false">IF(AND(C45=1,G45=1,QE45&gt;MAX(PR_Short1,TQ45*PR_Short2)),1,0)</f>
        <v>0</v>
      </c>
      <c r="UH45" s="20" t="n">
        <f aca="false">TR45*TV45</f>
        <v>0</v>
      </c>
      <c r="UI45" s="20" t="n">
        <f aca="false">IF(AND(V45=1,Slot1_PctLow=1),1,0)+IF(AND(AG45=1,Slot2_PctLow=1),1,0)+IF(AND(AQ45=1,Slot3_PctLow=1),1,0)+IF(AND(BA45=1,Slot4_PctLow=1),1,0)+IF(AND(BK45=1,Slot5_PctLow=1),1,0)+IF(AND(BU45=1,Slot6_PctLow=1),1,0)+IF(AND(CE45=1,Slot7_PctLow=1),1,0)+IF(AND(CO45=1,Slot8_PctLow=1),1,0)+IF(AND(CY45=1,Slot9_PctLow=1),1,0)+IF(AND(DI45=1,Slot10_PctLow=1),1,0)+IF(AND(DS45=1,Slot11_PctLow=1),1,0)+IF(AND(EC45=1,Slot12_PctLow=1),1,0)+IF(AND(EM45=1,Slot13_PctLow=1),1,0)+IF(AND(EW45=1,Slot14_PctLow=1),1,0)+IF(AND(FG45=1,Slot15_PctLow=1),1,0)+IF(AND(FQ45=1,Slot16_PctLow=1),1,0)+IF(AND(GA45=1,Slot17_PctLow=1),1,0)+IF(AND(GK45=1,Slot18_PctLow=1),1,0)+IF(AND(GU45=1,Slot19_PctLow=1),1,0)+IF(AND(HE45=1,Slot20_PctLow=1),1,0)</f>
        <v>0</v>
      </c>
      <c r="UJ45" s="20" t="n">
        <f aca="false">IF(C45=1,IF(OR(TV45=1,UI45&gt;0),1,0),0)</f>
        <v>0</v>
      </c>
    </row>
    <row r="46" customFormat="false" ht="15" hidden="false" customHeight="true" outlineLevel="0" collapsed="false">
      <c r="B46" s="20" t="n">
        <v>38</v>
      </c>
      <c r="C46" s="20" t="n">
        <f aca="false">IF(B46&lt;=F_N,1,0)</f>
        <v>1</v>
      </c>
      <c r="D46" s="20" t="n">
        <f aca="false">'Plan pay &amp; tax'!C272</f>
        <v>76</v>
      </c>
      <c r="E46" s="20" t="str">
        <f aca="false">IF($C46=1,"Income tax "&amp;TEXT(N('Plan pay &amp; tax'!BK272),"#,##0")&amp;"; USC "&amp;TEXT(N('Plan pay &amp; tax'!BM272)+N('Plan pay &amp; tax'!BO272),"#,##0")&amp;"; PRSI "&amp;TEXT(N('Plan pay &amp; tax'!BP272)+N('Plan pay &amp; tax'!BQ272),"#,##0")&amp;". DIRT and exit tax are inside the growth rates here.","")</f>
        <v>Income tax 626; USC 0; PRSI 0. DIRT and exit tax are inside the growth rates here.</v>
      </c>
      <c r="F46" s="44" t="n">
        <f aca="false">'Plan pay &amp; tax'!E272</f>
        <v>2.12229879240182</v>
      </c>
      <c r="G46" s="20" t="n">
        <f aca="false">'Plan pay &amp; tax'!G272</f>
        <v>0</v>
      </c>
      <c r="H46" s="20" t="n">
        <f aca="false">'Plan pay &amp; tax'!BT272-'Plan pay &amp; tax'!BS272-'Plan pay &amp; tax'!R272</f>
        <v>76785.8476670039</v>
      </c>
      <c r="I46" s="20" t="n">
        <f aca="false">IF(G46=1,F_CostsM*12,IF(RG_Exists=1,RG_Amount,F_CostsM*12*AS_RetireSpend))*F46+F_OneOffY*F46</f>
        <v>101445.882276807</v>
      </c>
      <c r="J46" s="20" t="n">
        <f aca="false">HR45</f>
        <v>0</v>
      </c>
      <c r="K46" s="20" t="n">
        <f aca="false">IF(J46&gt;1,'Plan debt months'!AC46,0)</f>
        <v>0</v>
      </c>
      <c r="L46" s="20" t="n">
        <f aca="false">IF(J46&gt;1,'Plan debt months'!AB46,J46)</f>
        <v>0</v>
      </c>
      <c r="M46" s="20" t="n">
        <f aca="false">O45</f>
        <v>0</v>
      </c>
      <c r="N46" s="20" t="n">
        <f aca="false">IF(M46&gt;1,'Plan debt months'!BD46,0)</f>
        <v>0</v>
      </c>
      <c r="O46" s="20" t="n">
        <f aca="false">IF(M46&gt;1,'Plan debt months'!BC46,M46)</f>
        <v>0</v>
      </c>
      <c r="P46" s="20" t="n">
        <f aca="false">R45</f>
        <v>0</v>
      </c>
      <c r="Q46" s="20" t="n">
        <f aca="false">IF(P46&gt;1,'Plan debt months'!CE46,0)</f>
        <v>0</v>
      </c>
      <c r="R46" s="20" t="n">
        <f aca="false">IF(P46&gt;1,'Plan debt months'!CD46,P46)</f>
        <v>0</v>
      </c>
      <c r="S46" s="20" t="n">
        <f aca="false">K46+N46+Q46</f>
        <v>0</v>
      </c>
      <c r="T46" s="20" t="n">
        <f aca="false">QK45+'Plan pay &amp; tax'!Y272</f>
        <v>25129.0527574163</v>
      </c>
      <c r="U46" s="20" t="n">
        <f aca="false">QK45</f>
        <v>25129.0527574163</v>
      </c>
      <c r="V46" s="20" t="n">
        <f aca="false">IF(AND(Slot1_On=1,D46=Slot1_Age),1,0)</f>
        <v>0</v>
      </c>
      <c r="W46" s="20" t="n">
        <f aca="false">IF(AND(Slot1_On=1,Slot1_Age&gt;D46),1,0)</f>
        <v>0</v>
      </c>
      <c r="X46" s="20" t="n">
        <f aca="false">QM45</f>
        <v>0</v>
      </c>
      <c r="Y46" s="20" t="n">
        <f aca="false">V46*MIN(Slot1_Cost,X46)</f>
        <v>0</v>
      </c>
      <c r="Z46" s="20" t="n">
        <f aca="false">V46*Slot1_SpendLike*MIN(Slot1_Cost-Y46,T46)</f>
        <v>0</v>
      </c>
      <c r="AA46" s="20" t="n">
        <f aca="false">Y46+Z46</f>
        <v>0</v>
      </c>
      <c r="AB46" s="20" t="n">
        <f aca="false">T46-Z46+V46*IF(Slot1_SpendLike=1,X46-Y46,IF(Slot1_PotFree=1,X46,0))</f>
        <v>25129.0527574163</v>
      </c>
      <c r="AC46" s="20" t="n">
        <f aca="false">AF46+V46*Slot1_BufPot*X46</f>
        <v>22328.5776367302</v>
      </c>
      <c r="AD46" s="20" t="n">
        <f aca="false">IF(AND(V46=1,Slot1_IsMfree=1),IF(AA46&gt;=Slot1_Cost-1,0,MAX(0,L46-AA46)),L46)</f>
        <v>0</v>
      </c>
      <c r="AE46" s="20" t="n">
        <f aca="false">V46*(Slot1_Cost-AA46)</f>
        <v>0</v>
      </c>
      <c r="AF46" s="20" t="n">
        <f aca="false">QL45</f>
        <v>22328.5776367302</v>
      </c>
      <c r="AG46" s="20" t="n">
        <f aca="false">IF(AND(Slot2_On=1,D46=Slot2_Age),1,0)</f>
        <v>0</v>
      </c>
      <c r="AH46" s="20" t="n">
        <f aca="false">IF(AND(Slot2_On=1,Slot2_Age&gt;D46),1,0)</f>
        <v>0</v>
      </c>
      <c r="AI46" s="20" t="n">
        <f aca="false">QQ45</f>
        <v>0</v>
      </c>
      <c r="AJ46" s="20" t="n">
        <f aca="false">AG46*MIN(Slot2_Cost,AI46)</f>
        <v>0</v>
      </c>
      <c r="AK46" s="20" t="n">
        <f aca="false">AG46*Slot2_SpendLike*MIN(Slot2_Cost-AJ46,AB46)</f>
        <v>0</v>
      </c>
      <c r="AL46" s="20" t="n">
        <f aca="false">AJ46+AK46</f>
        <v>0</v>
      </c>
      <c r="AM46" s="20" t="n">
        <f aca="false">AB46-AK46+AG46*IF(Slot2_SpendLike=1,AI46-AJ46,IF(Slot2_PotFree=1,AI46,0))</f>
        <v>25129.0527574163</v>
      </c>
      <c r="AN46" s="20" t="n">
        <f aca="false">AC46+AG46*Slot2_BufPot*AI46</f>
        <v>22328.5776367302</v>
      </c>
      <c r="AO46" s="20" t="n">
        <f aca="false">IF(AND(AG46=1,Slot2_IsMfree=1),IF(AL46&gt;=Slot2_Cost-1,0,MAX(0,AD46-AL46)),AD46)</f>
        <v>0</v>
      </c>
      <c r="AP46" s="20" t="n">
        <f aca="false">AG46*(Slot2_Cost-AL46)</f>
        <v>0</v>
      </c>
      <c r="AQ46" s="20" t="n">
        <f aca="false">IF(AND(Slot3_On=1,D46=Slot3_Age),1,0)</f>
        <v>0</v>
      </c>
      <c r="AR46" s="20" t="n">
        <f aca="false">IF(AND(Slot3_On=1,Slot3_Age&gt;D46),1,0)</f>
        <v>0</v>
      </c>
      <c r="AS46" s="20" t="n">
        <f aca="false">QU45</f>
        <v>0</v>
      </c>
      <c r="AT46" s="20" t="n">
        <f aca="false">AQ46*MIN(Slot3_Cost,AS46)</f>
        <v>0</v>
      </c>
      <c r="AU46" s="20" t="n">
        <f aca="false">AQ46*Slot3_SpendLike*MIN(Slot3_Cost-AT46,AM46)</f>
        <v>0</v>
      </c>
      <c r="AV46" s="20" t="n">
        <f aca="false">AT46+AU46</f>
        <v>0</v>
      </c>
      <c r="AW46" s="20" t="n">
        <f aca="false">AM46-AU46+AQ46*IF(Slot3_SpendLike=1,AS46-AT46,IF(Slot3_PotFree=1,AS46,0))</f>
        <v>25129.0527574163</v>
      </c>
      <c r="AX46" s="20" t="n">
        <f aca="false">AN46+AQ46*Slot3_BufPot*AS46</f>
        <v>22328.5776367302</v>
      </c>
      <c r="AY46" s="20" t="n">
        <f aca="false">IF(AND(AQ46=1,Slot3_IsMfree=1),IF(AV46&gt;=Slot3_Cost-1,0,MAX(0,AO46-AV46)),AO46)</f>
        <v>0</v>
      </c>
      <c r="AZ46" s="20" t="n">
        <f aca="false">AQ46*(Slot3_Cost-AV46)</f>
        <v>0</v>
      </c>
      <c r="BA46" s="20" t="n">
        <f aca="false">IF(AND(Slot4_On=1,D46=Slot4_Age),1,0)</f>
        <v>0</v>
      </c>
      <c r="BB46" s="20" t="n">
        <f aca="false">IF(AND(Slot4_On=1,Slot4_Age&gt;D46),1,0)</f>
        <v>0</v>
      </c>
      <c r="BC46" s="20" t="n">
        <f aca="false">QY45</f>
        <v>0</v>
      </c>
      <c r="BD46" s="20" t="n">
        <f aca="false">BA46*MIN(Slot4_Cost,BC46)</f>
        <v>0</v>
      </c>
      <c r="BE46" s="20" t="n">
        <f aca="false">BA46*Slot4_SpendLike*MIN(Slot4_Cost-BD46,AW46)</f>
        <v>0</v>
      </c>
      <c r="BF46" s="20" t="n">
        <f aca="false">BD46+BE46</f>
        <v>0</v>
      </c>
      <c r="BG46" s="20" t="n">
        <f aca="false">AW46-BE46+BA46*IF(Slot4_SpendLike=1,BC46-BD46,IF(Slot4_PotFree=1,BC46,0))</f>
        <v>25129.0527574163</v>
      </c>
      <c r="BH46" s="20" t="n">
        <f aca="false">AX46+BA46*Slot4_BufPot*BC46</f>
        <v>22328.5776367302</v>
      </c>
      <c r="BI46" s="20" t="n">
        <f aca="false">IF(AND(BA46=1,Slot4_IsMfree=1),IF(BF46&gt;=Slot4_Cost-1,0,MAX(0,AY46-BF46)),AY46)</f>
        <v>0</v>
      </c>
      <c r="BJ46" s="20" t="n">
        <f aca="false">BA46*(Slot4_Cost-BF46)</f>
        <v>0</v>
      </c>
      <c r="BK46" s="20" t="n">
        <f aca="false">IF(AND(Slot5_On=1,D46=Slot5_Age),1,0)</f>
        <v>0</v>
      </c>
      <c r="BL46" s="20" t="n">
        <f aca="false">IF(AND(Slot5_On=1,Slot5_Age&gt;D46),1,0)</f>
        <v>0</v>
      </c>
      <c r="BM46" s="20" t="n">
        <f aca="false">RC45</f>
        <v>0</v>
      </c>
      <c r="BN46" s="20" t="n">
        <f aca="false">BK46*MIN(Slot5_Cost,BM46)</f>
        <v>0</v>
      </c>
      <c r="BO46" s="20" t="n">
        <f aca="false">BK46*Slot5_SpendLike*MIN(Slot5_Cost-BN46,BG46)</f>
        <v>0</v>
      </c>
      <c r="BP46" s="20" t="n">
        <f aca="false">BN46+BO46</f>
        <v>0</v>
      </c>
      <c r="BQ46" s="20" t="n">
        <f aca="false">BG46-BO46+BK46*IF(Slot5_SpendLike=1,BM46-BN46,IF(Slot5_PotFree=1,BM46,0))</f>
        <v>25129.0527574163</v>
      </c>
      <c r="BR46" s="20" t="n">
        <f aca="false">BH46+BK46*Slot5_BufPot*BM46</f>
        <v>22328.5776367302</v>
      </c>
      <c r="BS46" s="20" t="n">
        <f aca="false">IF(AND(BK46=1,Slot5_IsMfree=1),IF(BP46&gt;=Slot5_Cost-1,0,MAX(0,BI46-BP46)),BI46)</f>
        <v>0</v>
      </c>
      <c r="BT46" s="20" t="n">
        <f aca="false">BK46*(Slot5_Cost-BP46)</f>
        <v>0</v>
      </c>
      <c r="BU46" s="20" t="n">
        <f aca="false">IF(AND(Slot6_On=1,D46=Slot6_Age),1,0)</f>
        <v>0</v>
      </c>
      <c r="BV46" s="20" t="n">
        <f aca="false">IF(AND(Slot6_On=1,Slot6_Age&gt;D46),1,0)</f>
        <v>0</v>
      </c>
      <c r="BW46" s="20" t="n">
        <f aca="false">RG45</f>
        <v>0</v>
      </c>
      <c r="BX46" s="20" t="n">
        <f aca="false">BU46*MIN(Slot6_Cost,BW46)</f>
        <v>0</v>
      </c>
      <c r="BY46" s="20" t="n">
        <f aca="false">BU46*Slot6_SpendLike*MIN(Slot6_Cost-BX46,BQ46)</f>
        <v>0</v>
      </c>
      <c r="BZ46" s="20" t="n">
        <f aca="false">BX46+BY46</f>
        <v>0</v>
      </c>
      <c r="CA46" s="20" t="n">
        <f aca="false">BQ46-BY46+BU46*IF(Slot6_SpendLike=1,BW46-BX46,IF(Slot6_PotFree=1,BW46,0))</f>
        <v>25129.0527574163</v>
      </c>
      <c r="CB46" s="20" t="n">
        <f aca="false">BR46+BU46*Slot6_BufPot*BW46</f>
        <v>22328.5776367302</v>
      </c>
      <c r="CC46" s="20" t="n">
        <f aca="false">IF(AND(BU46=1,Slot6_IsMfree=1),IF(BZ46&gt;=Slot6_Cost-1,0,MAX(0,BS46-BZ46)),BS46)</f>
        <v>0</v>
      </c>
      <c r="CD46" s="20" t="n">
        <f aca="false">BU46*(Slot6_Cost-BZ46)</f>
        <v>0</v>
      </c>
      <c r="CE46" s="20" t="n">
        <f aca="false">IF(AND(Slot7_On=1,D46=Slot7_Age),1,0)</f>
        <v>0</v>
      </c>
      <c r="CF46" s="20" t="n">
        <f aca="false">IF(AND(Slot7_On=1,Slot7_Age&gt;D46),1,0)</f>
        <v>0</v>
      </c>
      <c r="CG46" s="20" t="n">
        <f aca="false">RK45</f>
        <v>0</v>
      </c>
      <c r="CH46" s="20" t="n">
        <f aca="false">CE46*MIN(Slot7_Cost,CG46)</f>
        <v>0</v>
      </c>
      <c r="CI46" s="20" t="n">
        <f aca="false">CE46*Slot7_SpendLike*MIN(Slot7_Cost-CH46,CA46)</f>
        <v>0</v>
      </c>
      <c r="CJ46" s="20" t="n">
        <f aca="false">CH46+CI46</f>
        <v>0</v>
      </c>
      <c r="CK46" s="20" t="n">
        <f aca="false">CA46-CI46+CE46*IF(Slot7_SpendLike=1,CG46-CH46,IF(Slot7_PotFree=1,CG46,0))</f>
        <v>25129.0527574163</v>
      </c>
      <c r="CL46" s="20" t="n">
        <f aca="false">CB46+CE46*Slot7_BufPot*CG46</f>
        <v>22328.5776367302</v>
      </c>
      <c r="CM46" s="20" t="n">
        <f aca="false">IF(AND(CE46=1,Slot7_IsMfree=1),IF(CJ46&gt;=Slot7_Cost-1,0,MAX(0,CC46-CJ46)),CC46)</f>
        <v>0</v>
      </c>
      <c r="CN46" s="20" t="n">
        <f aca="false">CE46*(Slot7_Cost-CJ46)</f>
        <v>0</v>
      </c>
      <c r="CO46" s="20" t="n">
        <f aca="false">IF(AND(Slot8_On=1,D46=Slot8_Age),1,0)</f>
        <v>0</v>
      </c>
      <c r="CP46" s="20" t="n">
        <f aca="false">IF(AND(Slot8_On=1,Slot8_Age&gt;D46),1,0)</f>
        <v>0</v>
      </c>
      <c r="CQ46" s="20" t="n">
        <f aca="false">RO45</f>
        <v>0</v>
      </c>
      <c r="CR46" s="20" t="n">
        <f aca="false">CO46*MIN(Slot8_Cost,CQ46)</f>
        <v>0</v>
      </c>
      <c r="CS46" s="20" t="n">
        <f aca="false">CO46*Slot8_SpendLike*MIN(Slot8_Cost-CR46,CK46)</f>
        <v>0</v>
      </c>
      <c r="CT46" s="20" t="n">
        <f aca="false">CR46+CS46</f>
        <v>0</v>
      </c>
      <c r="CU46" s="20" t="n">
        <f aca="false">CK46-CS46+CO46*IF(Slot8_SpendLike=1,CQ46-CR46,IF(Slot8_PotFree=1,CQ46,0))</f>
        <v>25129.0527574163</v>
      </c>
      <c r="CV46" s="20" t="n">
        <f aca="false">CL46+CO46*Slot8_BufPot*CQ46</f>
        <v>22328.5776367302</v>
      </c>
      <c r="CW46" s="20" t="n">
        <f aca="false">IF(AND(CO46=1,Slot8_IsMfree=1),IF(CT46&gt;=Slot8_Cost-1,0,MAX(0,CM46-CT46)),CM46)</f>
        <v>0</v>
      </c>
      <c r="CX46" s="20" t="n">
        <f aca="false">CO46*(Slot8_Cost-CT46)</f>
        <v>0</v>
      </c>
      <c r="CY46" s="20" t="n">
        <f aca="false">IF(AND(Slot9_On=1,D46=Slot9_Age),1,0)</f>
        <v>0</v>
      </c>
      <c r="CZ46" s="20" t="n">
        <f aca="false">IF(AND(Slot9_On=1,Slot9_Age&gt;D46),1,0)</f>
        <v>0</v>
      </c>
      <c r="DA46" s="20" t="n">
        <f aca="false">RS45</f>
        <v>0</v>
      </c>
      <c r="DB46" s="20" t="n">
        <f aca="false">CY46*MIN(Slot9_Cost,DA46)</f>
        <v>0</v>
      </c>
      <c r="DC46" s="20" t="n">
        <f aca="false">CY46*Slot9_SpendLike*MIN(Slot9_Cost-DB46,CU46)</f>
        <v>0</v>
      </c>
      <c r="DD46" s="20" t="n">
        <f aca="false">DB46+DC46</f>
        <v>0</v>
      </c>
      <c r="DE46" s="20" t="n">
        <f aca="false">CU46-DC46+CY46*IF(Slot9_SpendLike=1,DA46-DB46,IF(Slot9_PotFree=1,DA46,0))</f>
        <v>25129.0527574163</v>
      </c>
      <c r="DF46" s="20" t="n">
        <f aca="false">CV46+CY46*Slot9_BufPot*DA46</f>
        <v>22328.5776367302</v>
      </c>
      <c r="DG46" s="20" t="n">
        <f aca="false">IF(AND(CY46=1,Slot9_IsMfree=1),IF(DD46&gt;=Slot9_Cost-1,0,MAX(0,CW46-DD46)),CW46)</f>
        <v>0</v>
      </c>
      <c r="DH46" s="20" t="n">
        <f aca="false">CY46*(Slot9_Cost-DD46)</f>
        <v>0</v>
      </c>
      <c r="DI46" s="20" t="n">
        <f aca="false">IF(AND(Slot10_On=1,D46=Slot10_Age),1,0)</f>
        <v>0</v>
      </c>
      <c r="DJ46" s="20" t="n">
        <f aca="false">IF(AND(Slot10_On=1,Slot10_Age&gt;D46),1,0)</f>
        <v>0</v>
      </c>
      <c r="DK46" s="20" t="n">
        <f aca="false">RW45</f>
        <v>0</v>
      </c>
      <c r="DL46" s="20" t="n">
        <f aca="false">DI46*MIN(Slot10_Cost,DK46)</f>
        <v>0</v>
      </c>
      <c r="DM46" s="20" t="n">
        <f aca="false">DI46*Slot10_SpendLike*MIN(Slot10_Cost-DL46,DE46)</f>
        <v>0</v>
      </c>
      <c r="DN46" s="20" t="n">
        <f aca="false">DL46+DM46</f>
        <v>0</v>
      </c>
      <c r="DO46" s="20" t="n">
        <f aca="false">DE46-DM46+DI46*IF(Slot10_SpendLike=1,DK46-DL46,IF(Slot10_PotFree=1,DK46,0))</f>
        <v>25129.0527574163</v>
      </c>
      <c r="DP46" s="20" t="n">
        <f aca="false">DF46+DI46*Slot10_BufPot*DK46</f>
        <v>22328.5776367302</v>
      </c>
      <c r="DQ46" s="20" t="n">
        <f aca="false">IF(AND(DI46=1,Slot10_IsMfree=1),IF(DN46&gt;=Slot10_Cost-1,0,MAX(0,DG46-DN46)),DG46)</f>
        <v>0</v>
      </c>
      <c r="DR46" s="20" t="n">
        <f aca="false">DI46*(Slot10_Cost-DN46)</f>
        <v>0</v>
      </c>
      <c r="DS46" s="20" t="n">
        <f aca="false">IF(AND(Slot11_On=1,D46=Slot11_Age),1,0)</f>
        <v>0</v>
      </c>
      <c r="DT46" s="20" t="n">
        <f aca="false">IF(AND(Slot11_On=1,Slot11_Age&gt;D46),1,0)</f>
        <v>0</v>
      </c>
      <c r="DU46" s="20" t="n">
        <f aca="false">SA45</f>
        <v>0</v>
      </c>
      <c r="DV46" s="20" t="n">
        <f aca="false">DS46*MIN(Slot11_Cost,DU46)</f>
        <v>0</v>
      </c>
      <c r="DW46" s="20" t="n">
        <f aca="false">DS46*Slot11_SpendLike*MIN(Slot11_Cost-DV46,DO46)</f>
        <v>0</v>
      </c>
      <c r="DX46" s="20" t="n">
        <f aca="false">DV46+DW46</f>
        <v>0</v>
      </c>
      <c r="DY46" s="20" t="n">
        <f aca="false">DO46-DW46+DS46*IF(Slot11_SpendLike=1,DU46-DV46,IF(Slot11_PotFree=1,DU46,0))</f>
        <v>25129.0527574163</v>
      </c>
      <c r="DZ46" s="20" t="n">
        <f aca="false">DP46+DS46*Slot11_BufPot*DU46</f>
        <v>22328.5776367302</v>
      </c>
      <c r="EA46" s="20" t="n">
        <f aca="false">IF(AND(DS46=1,Slot11_IsMfree=1),IF(DX46&gt;=Slot11_Cost-1,0,MAX(0,DQ46-DX46)),DQ46)</f>
        <v>0</v>
      </c>
      <c r="EB46" s="20" t="n">
        <f aca="false">DS46*(Slot11_Cost-DX46)</f>
        <v>0</v>
      </c>
      <c r="EC46" s="20" t="n">
        <f aca="false">IF(AND(Slot12_On=1,D46=Slot12_Age),1,0)</f>
        <v>0</v>
      </c>
      <c r="ED46" s="20" t="n">
        <f aca="false">IF(AND(Slot12_On=1,Slot12_Age&gt;D46),1,0)</f>
        <v>0</v>
      </c>
      <c r="EE46" s="20" t="n">
        <f aca="false">SE45</f>
        <v>0</v>
      </c>
      <c r="EF46" s="20" t="n">
        <f aca="false">EC46*MIN(Slot12_Cost,EE46)</f>
        <v>0</v>
      </c>
      <c r="EG46" s="20" t="n">
        <f aca="false">EC46*Slot12_SpendLike*MIN(Slot12_Cost-EF46,DY46)</f>
        <v>0</v>
      </c>
      <c r="EH46" s="20" t="n">
        <f aca="false">EF46+EG46</f>
        <v>0</v>
      </c>
      <c r="EI46" s="20" t="n">
        <f aca="false">DY46-EG46+EC46*IF(Slot12_SpendLike=1,EE46-EF46,IF(Slot12_PotFree=1,EE46,0))</f>
        <v>25129.0527574163</v>
      </c>
      <c r="EJ46" s="20" t="n">
        <f aca="false">DZ46+EC46*Slot12_BufPot*EE46</f>
        <v>22328.5776367302</v>
      </c>
      <c r="EK46" s="20" t="n">
        <f aca="false">IF(AND(EC46=1,Slot12_IsMfree=1),IF(EH46&gt;=Slot12_Cost-1,0,MAX(0,EA46-EH46)),EA46)</f>
        <v>0</v>
      </c>
      <c r="EL46" s="20" t="n">
        <f aca="false">EC46*(Slot12_Cost-EH46)</f>
        <v>0</v>
      </c>
      <c r="EM46" s="20" t="n">
        <f aca="false">IF(AND(Slot13_On=1,D46=Slot13_Age),1,0)</f>
        <v>0</v>
      </c>
      <c r="EN46" s="20" t="n">
        <f aca="false">IF(AND(Slot13_On=1,Slot13_Age&gt;D46),1,0)</f>
        <v>0</v>
      </c>
      <c r="EO46" s="20" t="n">
        <f aca="false">SI45</f>
        <v>0</v>
      </c>
      <c r="EP46" s="20" t="n">
        <f aca="false">EM46*MIN(Slot13_Cost,EO46)</f>
        <v>0</v>
      </c>
      <c r="EQ46" s="20" t="n">
        <f aca="false">EM46*Slot13_SpendLike*MIN(Slot13_Cost-EP46,EI46)</f>
        <v>0</v>
      </c>
      <c r="ER46" s="20" t="n">
        <f aca="false">EP46+EQ46</f>
        <v>0</v>
      </c>
      <c r="ES46" s="20" t="n">
        <f aca="false">EI46-EQ46+EM46*IF(Slot13_SpendLike=1,EO46-EP46,IF(Slot13_PotFree=1,EO46,0))</f>
        <v>25129.0527574163</v>
      </c>
      <c r="ET46" s="20" t="n">
        <f aca="false">EJ46+EM46*Slot13_BufPot*EO46</f>
        <v>22328.5776367302</v>
      </c>
      <c r="EU46" s="20" t="n">
        <f aca="false">IF(AND(EM46=1,Slot13_IsMfree=1),IF(ER46&gt;=Slot13_Cost-1,0,MAX(0,EK46-ER46)),EK46)</f>
        <v>0</v>
      </c>
      <c r="EV46" s="20" t="n">
        <f aca="false">EM46*(Slot13_Cost-ER46)</f>
        <v>0</v>
      </c>
      <c r="EW46" s="20" t="n">
        <f aca="false">IF(AND(Slot14_On=1,D46=Slot14_Age),1,0)</f>
        <v>0</v>
      </c>
      <c r="EX46" s="20" t="n">
        <f aca="false">IF(AND(Slot14_On=1,Slot14_Age&gt;D46),1,0)</f>
        <v>0</v>
      </c>
      <c r="EY46" s="20" t="n">
        <f aca="false">SM45</f>
        <v>0</v>
      </c>
      <c r="EZ46" s="20" t="n">
        <f aca="false">EW46*MIN(Slot14_Cost,EY46)</f>
        <v>0</v>
      </c>
      <c r="FA46" s="20" t="n">
        <f aca="false">EW46*Slot14_SpendLike*MIN(Slot14_Cost-EZ46,ES46)</f>
        <v>0</v>
      </c>
      <c r="FB46" s="20" t="n">
        <f aca="false">EZ46+FA46</f>
        <v>0</v>
      </c>
      <c r="FC46" s="20" t="n">
        <f aca="false">ES46-FA46+EW46*IF(Slot14_SpendLike=1,EY46-EZ46,IF(Slot14_PotFree=1,EY46,0))</f>
        <v>25129.0527574163</v>
      </c>
      <c r="FD46" s="20" t="n">
        <f aca="false">ET46+EW46*Slot14_BufPot*EY46</f>
        <v>22328.5776367302</v>
      </c>
      <c r="FE46" s="20" t="n">
        <f aca="false">IF(AND(EW46=1,Slot14_IsMfree=1),IF(FB46&gt;=Slot14_Cost-1,0,MAX(0,EU46-FB46)),EU46)</f>
        <v>0</v>
      </c>
      <c r="FF46" s="20" t="n">
        <f aca="false">EW46*(Slot14_Cost-FB46)</f>
        <v>0</v>
      </c>
      <c r="FG46" s="20" t="n">
        <f aca="false">IF(AND(Slot15_On=1,D46=Slot15_Age),1,0)</f>
        <v>0</v>
      </c>
      <c r="FH46" s="20" t="n">
        <f aca="false">IF(AND(Slot15_On=1,Slot15_Age&gt;D46),1,0)</f>
        <v>0</v>
      </c>
      <c r="FI46" s="20" t="n">
        <f aca="false">SQ45</f>
        <v>0</v>
      </c>
      <c r="FJ46" s="20" t="n">
        <f aca="false">FG46*MIN(Slot15_Cost,FI46)</f>
        <v>0</v>
      </c>
      <c r="FK46" s="20" t="n">
        <f aca="false">FG46*Slot15_SpendLike*MIN(Slot15_Cost-FJ46,FC46)</f>
        <v>0</v>
      </c>
      <c r="FL46" s="20" t="n">
        <f aca="false">FJ46+FK46</f>
        <v>0</v>
      </c>
      <c r="FM46" s="20" t="n">
        <f aca="false">FC46-FK46+FG46*IF(Slot15_SpendLike=1,FI46-FJ46,IF(Slot15_PotFree=1,FI46,0))</f>
        <v>25129.0527574163</v>
      </c>
      <c r="FN46" s="20" t="n">
        <f aca="false">FD46+FG46*Slot15_BufPot*FI46</f>
        <v>22328.5776367302</v>
      </c>
      <c r="FO46" s="20" t="n">
        <f aca="false">IF(AND(FG46=1,Slot15_IsMfree=1),IF(FL46&gt;=Slot15_Cost-1,0,MAX(0,FE46-FL46)),FE46)</f>
        <v>0</v>
      </c>
      <c r="FP46" s="20" t="n">
        <f aca="false">FG46*(Slot15_Cost-FL46)</f>
        <v>0</v>
      </c>
      <c r="FQ46" s="20" t="n">
        <f aca="false">IF(AND(Slot16_On=1,D46=Slot16_Age),1,0)</f>
        <v>0</v>
      </c>
      <c r="FR46" s="20" t="n">
        <f aca="false">IF(AND(Slot16_On=1,Slot16_Age&gt;D46),1,0)</f>
        <v>0</v>
      </c>
      <c r="FS46" s="20" t="n">
        <f aca="false">SU45</f>
        <v>0</v>
      </c>
      <c r="FT46" s="20" t="n">
        <f aca="false">FQ46*MIN(Slot16_Cost,FS46)</f>
        <v>0</v>
      </c>
      <c r="FU46" s="20" t="n">
        <f aca="false">FQ46*Slot16_SpendLike*MIN(Slot16_Cost-FT46,FM46)</f>
        <v>0</v>
      </c>
      <c r="FV46" s="20" t="n">
        <f aca="false">FT46+FU46</f>
        <v>0</v>
      </c>
      <c r="FW46" s="20" t="n">
        <f aca="false">FM46-FU46+FQ46*IF(Slot16_SpendLike=1,FS46-FT46,IF(Slot16_PotFree=1,FS46,0))</f>
        <v>25129.0527574163</v>
      </c>
      <c r="FX46" s="20" t="n">
        <f aca="false">FN46+FQ46*Slot16_BufPot*FS46</f>
        <v>22328.5776367302</v>
      </c>
      <c r="FY46" s="20" t="n">
        <f aca="false">IF(AND(FQ46=1,Slot16_IsMfree=1),IF(FV46&gt;=Slot16_Cost-1,0,MAX(0,FO46-FV46)),FO46)</f>
        <v>0</v>
      </c>
      <c r="FZ46" s="20" t="n">
        <f aca="false">FQ46*(Slot16_Cost-FV46)</f>
        <v>0</v>
      </c>
      <c r="GA46" s="20" t="n">
        <f aca="false">IF(AND(Slot17_On=1,D46=Slot17_Age),1,0)</f>
        <v>0</v>
      </c>
      <c r="GB46" s="20" t="n">
        <f aca="false">IF(AND(Slot17_On=1,Slot17_Age&gt;D46),1,0)</f>
        <v>0</v>
      </c>
      <c r="GC46" s="20" t="n">
        <f aca="false">SY45</f>
        <v>0</v>
      </c>
      <c r="GD46" s="20" t="n">
        <f aca="false">GA46*MIN(Slot17_Cost,GC46)</f>
        <v>0</v>
      </c>
      <c r="GE46" s="20" t="n">
        <f aca="false">GA46*Slot17_SpendLike*MIN(Slot17_Cost-GD46,FW46)</f>
        <v>0</v>
      </c>
      <c r="GF46" s="20" t="n">
        <f aca="false">GD46+GE46</f>
        <v>0</v>
      </c>
      <c r="GG46" s="20" t="n">
        <f aca="false">FW46-GE46+GA46*IF(Slot17_SpendLike=1,GC46-GD46,IF(Slot17_PotFree=1,GC46,0))</f>
        <v>25129.0527574163</v>
      </c>
      <c r="GH46" s="20" t="n">
        <f aca="false">FX46+GA46*Slot17_BufPot*GC46</f>
        <v>22328.5776367302</v>
      </c>
      <c r="GI46" s="20" t="n">
        <f aca="false">IF(AND(GA46=1,Slot17_IsMfree=1),IF(GF46&gt;=Slot17_Cost-1,0,MAX(0,FY46-GF46)),FY46)</f>
        <v>0</v>
      </c>
      <c r="GJ46" s="20" t="n">
        <f aca="false">GA46*(Slot17_Cost-GF46)</f>
        <v>0</v>
      </c>
      <c r="GK46" s="20" t="n">
        <f aca="false">IF(AND(Slot18_On=1,D46=Slot18_Age),1,0)</f>
        <v>0</v>
      </c>
      <c r="GL46" s="20" t="n">
        <f aca="false">IF(AND(Slot18_On=1,Slot18_Age&gt;D46),1,0)</f>
        <v>0</v>
      </c>
      <c r="GM46" s="20" t="n">
        <f aca="false">TC45</f>
        <v>0</v>
      </c>
      <c r="GN46" s="20" t="n">
        <f aca="false">GK46*MIN(Slot18_Cost,GM46)</f>
        <v>0</v>
      </c>
      <c r="GO46" s="20" t="n">
        <f aca="false">GK46*Slot18_SpendLike*MIN(Slot18_Cost-GN46,GG46)</f>
        <v>0</v>
      </c>
      <c r="GP46" s="20" t="n">
        <f aca="false">GN46+GO46</f>
        <v>0</v>
      </c>
      <c r="GQ46" s="20" t="n">
        <f aca="false">GG46-GO46+GK46*IF(Slot18_SpendLike=1,GM46-GN46,IF(Slot18_PotFree=1,GM46,0))</f>
        <v>25129.0527574163</v>
      </c>
      <c r="GR46" s="20" t="n">
        <f aca="false">GH46+GK46*Slot18_BufPot*GM46</f>
        <v>22328.5776367302</v>
      </c>
      <c r="GS46" s="20" t="n">
        <f aca="false">IF(AND(GK46=1,Slot18_IsMfree=1),IF(GP46&gt;=Slot18_Cost-1,0,MAX(0,GI46-GP46)),GI46)</f>
        <v>0</v>
      </c>
      <c r="GT46" s="20" t="n">
        <f aca="false">GK46*(Slot18_Cost-GP46)</f>
        <v>0</v>
      </c>
      <c r="GU46" s="20" t="n">
        <f aca="false">IF(AND(Slot19_On=1,D46=Slot19_Age),1,0)</f>
        <v>0</v>
      </c>
      <c r="GV46" s="20" t="n">
        <f aca="false">IF(AND(Slot19_On=1,Slot19_Age&gt;D46),1,0)</f>
        <v>0</v>
      </c>
      <c r="GW46" s="20" t="n">
        <f aca="false">TG45</f>
        <v>0</v>
      </c>
      <c r="GX46" s="20" t="n">
        <f aca="false">GU46*MIN(Slot19_Cost,GW46)</f>
        <v>0</v>
      </c>
      <c r="GY46" s="20" t="n">
        <f aca="false">GU46*Slot19_SpendLike*MIN(Slot19_Cost-GX46,GQ46)</f>
        <v>0</v>
      </c>
      <c r="GZ46" s="20" t="n">
        <f aca="false">GX46+GY46</f>
        <v>0</v>
      </c>
      <c r="HA46" s="20" t="n">
        <f aca="false">GQ46-GY46+GU46*IF(Slot19_SpendLike=1,GW46-GX46,IF(Slot19_PotFree=1,GW46,0))</f>
        <v>25129.0527574163</v>
      </c>
      <c r="HB46" s="20" t="n">
        <f aca="false">GR46+GU46*Slot19_BufPot*GW46</f>
        <v>22328.5776367302</v>
      </c>
      <c r="HC46" s="20" t="n">
        <f aca="false">IF(AND(GU46=1,Slot19_IsMfree=1),IF(GZ46&gt;=Slot19_Cost-1,0,MAX(0,GS46-GZ46)),GS46)</f>
        <v>0</v>
      </c>
      <c r="HD46" s="20" t="n">
        <f aca="false">GU46*(Slot19_Cost-GZ46)</f>
        <v>0</v>
      </c>
      <c r="HE46" s="20" t="n">
        <f aca="false">IF(AND(Slot20_On=1,D46=Slot20_Age),1,0)</f>
        <v>0</v>
      </c>
      <c r="HF46" s="20" t="n">
        <f aca="false">IF(AND(Slot20_On=1,Slot20_Age&gt;D46),1,0)</f>
        <v>0</v>
      </c>
      <c r="HG46" s="20" t="n">
        <f aca="false">TK45</f>
        <v>0</v>
      </c>
      <c r="HH46" s="20" t="n">
        <f aca="false">HE46*MIN(Slot20_Cost,HG46)</f>
        <v>0</v>
      </c>
      <c r="HI46" s="20" t="n">
        <f aca="false">HE46*Slot20_SpendLike*MIN(Slot20_Cost-HH46,HA46)</f>
        <v>0</v>
      </c>
      <c r="HJ46" s="20" t="n">
        <f aca="false">HH46+HI46</f>
        <v>0</v>
      </c>
      <c r="HK46" s="20" t="n">
        <f aca="false">HA46-HI46+HE46*IF(Slot20_SpendLike=1,HG46-HH46,IF(Slot20_PotFree=1,HG46,0))</f>
        <v>25129.0527574163</v>
      </c>
      <c r="HL46" s="20" t="n">
        <f aca="false">HB46+HE46*Slot20_BufPot*HG46</f>
        <v>22328.5776367302</v>
      </c>
      <c r="HM46" s="20" t="n">
        <f aca="false">IF(AND(HE46=1,Slot20_IsMfree=1),IF(HJ46&gt;=Slot20_Cost-1,0,MAX(0,HC46-HJ46)),HC46)</f>
        <v>0</v>
      </c>
      <c r="HN46" s="20" t="n">
        <f aca="false">HE46*(Slot20_Cost-HJ46)</f>
        <v>0</v>
      </c>
      <c r="HO46" s="20" t="n">
        <f aca="false">V46*Slot1_SpendLike*AA46+AG46*Slot2_SpendLike*AL46+AQ46*Slot3_SpendLike*AV46+BA46*Slot4_SpendLike*BF46+BK46*Slot5_SpendLike*BP46+BU46*Slot6_SpendLike*BZ46+CE46*Slot7_SpendLike*CJ46+CO46*Slot8_SpendLike*CT46+CY46*Slot9_SpendLike*DD46+DI46*Slot10_SpendLike*DN46+DS46*Slot11_SpendLike*DX46+EC46*Slot12_SpendLike*EH46+EM46*Slot13_SpendLike*ER46+EW46*Slot14_SpendLike*FB46+FG46*Slot15_SpendLike*FL46+FQ46*Slot16_SpendLike*FV46+GA46*Slot17_SpendLike*GF46+GK46*Slot18_SpendLike*GP46+GU46*Slot19_SpendLike*GZ46+HE46*Slot20_SpendLike*HJ46</f>
        <v>0</v>
      </c>
      <c r="HP46" s="20" t="n">
        <f aca="false">AE46+AP46+AZ46+BJ46+BT46+CD46+CN46+CX46+DH46+DR46+EB46+EL46+EV46+FF46+FP46+FZ46+GJ46+GT46+HD46+HN46</f>
        <v>0</v>
      </c>
      <c r="HQ46" s="20" t="n">
        <f aca="false">V46*Slot1_Cost+AG46*Slot2_Cost+AQ46*Slot3_Cost+BA46*Slot4_Cost+BK46*Slot5_Cost+BU46*Slot6_Cost+CE46*Slot7_Cost+CO46*Slot8_Cost+CY46*Slot9_Cost+DI46*Slot10_Cost+DS46*Slot11_Cost+EC46*Slot12_Cost+EM46*Slot13_Cost+EW46*Slot14_Cost+FG46*Slot15_Cost+FQ46*Slot16_Cost+GA46*Slot17_Cost+GK46*Slot18_Cost+GU46*Slot19_Cost+HE46*Slot20_Cost</f>
        <v>0</v>
      </c>
      <c r="HR46" s="20" t="n">
        <f aca="false">HM46</f>
        <v>0</v>
      </c>
      <c r="HS46" s="20" t="n">
        <f aca="false">H46-I46-S46</f>
        <v>-24660.0346098031</v>
      </c>
      <c r="HT46" s="20" t="n">
        <f aca="false">IF(B46=0,IF(AND(Has_q6=1,In_q6=4),PR_ShareVaries*(MAX(0,HS46)/12),MIN(IF(Has_q6=1,CHOOSE(In_q6+1,PR_SaveB1,PR_SaveB2,PR_SaveB3,PR_SaveB4,0),AS_NoAnswer),AS_SaveShare*(MAX(0,HS46)/12))),HT45)</f>
        <v>62.3316893520437</v>
      </c>
      <c r="HU46" s="20" t="n">
        <f aca="false">IF(HS46&gt;=0,1,0)</f>
        <v>0</v>
      </c>
      <c r="HV46" s="20" t="n">
        <f aca="false">MAX(0,HS46/12/F46)</f>
        <v>0</v>
      </c>
      <c r="HW46" s="20" t="n">
        <f aca="false">IF(AND(Has_q6=1,In_q6=4),PR_ShareVaries*(HV46),MIN(IF(Has_q6=1,CHOOSE(In_q6+1,PR_SaveB1,PR_SaveB2,PR_SaveB3,PR_SaveB4,0),AS_NoAnswer),AS_SaveShare*(HV46)))</f>
        <v>0</v>
      </c>
      <c r="HX46" s="20" t="n">
        <f aca="false">IF(Has_saveM=1,IF(In_saveUp="Yes",1,IF(In_saveUp="No",0,IF(In_saveM&gt;=HT46-0.5,1,0))),0)</f>
        <v>0</v>
      </c>
      <c r="HY46" s="20" t="n">
        <f aca="false">IF(Has_saveM=1,MIN(HV46,IF(HX46=1,MAX(In_saveM,HW46),MIN(In_saveM,HW46))),HW46)</f>
        <v>0</v>
      </c>
      <c r="HZ46" s="20" t="n">
        <f aca="false">IF(G46=1,HY46*12*F46,0)</f>
        <v>0</v>
      </c>
      <c r="IA46" s="20" t="n">
        <f aca="false">MAX(0,HZ46+IF(AND(WI_Retire=0,WI_M&lt;0,G46=1),WI_M*12*F46,0))</f>
        <v>0</v>
      </c>
      <c r="IB46" s="20" t="n">
        <f aca="false">Slot1_IsWG*W46+Slot2_IsWG*AH46+Slot3_IsWG*AR46+Slot4_IsWG*BB46+Slot5_IsWG*BL46+Slot6_IsWG*BV46+Slot7_IsWG*CF46+Slot8_IsWG*CP46+Slot9_IsWG*CZ46+Slot10_IsWG*DJ46+Slot11_IsWG*DT46+Slot12_IsWG*ED46+Slot13_IsWG*EN46+Slot14_IsWG*EX46+Slot15_IsWG*FH46+Slot16_IsWG*FR46+Slot17_IsWG*GB46+Slot18_IsWG*GL46+Slot19_IsWG*GV46+Slot20_IsWG*HF46</f>
        <v>0</v>
      </c>
      <c r="IC46" s="20" t="n">
        <f aca="false">IF(AND(WI_Retire=0,WI_M&gt;0,G46=1,IB46&gt;=1),WI_M*12*F46,0)</f>
        <v>0</v>
      </c>
      <c r="ID46" s="20" t="n">
        <f aca="false">IF(HU46=1,MIN(IA46,HS46),0)</f>
        <v>0</v>
      </c>
      <c r="IE46" s="20" t="n">
        <f aca="false">IF(HU46=1,MIN(IC46,HS46-ID46),0)</f>
        <v>0</v>
      </c>
      <c r="IF46" s="20" t="n">
        <f aca="false">IF(W46=1,IF(ABS((1+AS_Wage)/(1+Slot1_Rate)-1)&lt;0.000000000001,(Slot1_Age-D46)*(1+Slot1_Rate)^(Slot1_Age-D46),(1+Slot1_Rate)^(Slot1_Age-D46)*(1-((1+AS_Wage)/(1+Slot1_Rate))^(Slot1_Age-D46))/(1-(1+AS_Wage)/(1+Slot1_Rate))),1)</f>
        <v>1</v>
      </c>
      <c r="IG46" s="20" t="n">
        <f aca="false">IF(AND(HU46=1,IE46&gt;0,Slot1_IsWG=1,W46=1),MAX(0,(Slot1_Cost-X46*(1+Slot1_Rate)^(Slot1_Age-D46))/IF46),0)</f>
        <v>0</v>
      </c>
      <c r="IH46" s="20" t="n">
        <f aca="false">IF(AND(HU46=1,IE46&gt;0,Slot1_IsWG=1,W46=1),MIN(IE46,IG46),0)</f>
        <v>0</v>
      </c>
      <c r="II46" s="20" t="n">
        <f aca="false">X46+IH46</f>
        <v>0</v>
      </c>
      <c r="IJ46" s="20" t="n">
        <f aca="false">IF(W46=1,MAX(0,(Slot1_Cost-II46*(1+Slot1_Rate)^(Slot1_Age-D46))/IF46),0)</f>
        <v>0</v>
      </c>
      <c r="IK46" s="20" t="n">
        <f aca="false">IF(W46=1,MAX(0,(Slot1_Cost-X46*(1+Slot1_Rate)^(Slot1_Age-D46))/IF46),0)</f>
        <v>0</v>
      </c>
      <c r="IL46" s="20" t="n">
        <f aca="false">IF(AND(HU46=1,W46=1),MIN(ID46,IJ46),0)</f>
        <v>0</v>
      </c>
      <c r="IM46" s="20" t="n">
        <f aca="false">ID46-IL46</f>
        <v>0</v>
      </c>
      <c r="IN46" s="20" t="n">
        <f aca="false">IF(AH46=1,IF(ABS((1+AS_Wage)/(1+Slot2_Rate)-1)&lt;0.000000000001,(Slot2_Age-D46)*(1+Slot2_Rate)^(Slot2_Age-D46),(1+Slot2_Rate)^(Slot2_Age-D46)*(1-((1+AS_Wage)/(1+Slot2_Rate))^(Slot2_Age-D46))/(1-(1+AS_Wage)/(1+Slot2_Rate))),1)</f>
        <v>1</v>
      </c>
      <c r="IO46" s="20" t="n">
        <f aca="false">IF(AND(HU46=1,IE46&gt;0,Slot2_IsWG=1,AH46=1),MAX(0,(Slot2_Cost-AI46*(1+Slot2_Rate)^(Slot2_Age-D46))/IN46),0)</f>
        <v>0</v>
      </c>
      <c r="IP46" s="20" t="n">
        <f aca="false">IF(AND(HU46=1,IE46&gt;0,Slot2_IsWG=1,AH46=1),MIN(IE46,IO46),0)</f>
        <v>0</v>
      </c>
      <c r="IQ46" s="20" t="n">
        <f aca="false">AI46+IP46</f>
        <v>0</v>
      </c>
      <c r="IR46" s="20" t="n">
        <f aca="false">IF(AH46=1,MAX(0,(Slot2_Cost-IQ46*(1+Slot2_Rate)^(Slot2_Age-D46))/IN46),0)</f>
        <v>0</v>
      </c>
      <c r="IS46" s="20" t="n">
        <f aca="false">IF(AH46=1,MAX(0,(Slot2_Cost-AI46*(1+Slot2_Rate)^(Slot2_Age-D46))/IN46),0)</f>
        <v>0</v>
      </c>
      <c r="IT46" s="20" t="n">
        <f aca="false">IF(AND(HU46=1,AH46=1),MIN(IM46,IR46),0)</f>
        <v>0</v>
      </c>
      <c r="IU46" s="20" t="n">
        <f aca="false">IM46-IT46</f>
        <v>0</v>
      </c>
      <c r="IV46" s="20" t="n">
        <f aca="false">IF(AR46=1,IF(ABS((1+AS_Wage)/(1+Slot3_Rate)-1)&lt;0.000000000001,(Slot3_Age-D46)*(1+Slot3_Rate)^(Slot3_Age-D46),(1+Slot3_Rate)^(Slot3_Age-D46)*(1-((1+AS_Wage)/(1+Slot3_Rate))^(Slot3_Age-D46))/(1-(1+AS_Wage)/(1+Slot3_Rate))),1)</f>
        <v>1</v>
      </c>
      <c r="IW46" s="20" t="n">
        <f aca="false">IF(AND(HU46=1,IE46&gt;0,Slot3_IsWG=1,AR46=1),MAX(0,(Slot3_Cost-AS46*(1+Slot3_Rate)^(Slot3_Age-D46))/IV46),0)</f>
        <v>0</v>
      </c>
      <c r="IX46" s="20" t="n">
        <f aca="false">IF(AND(HU46=1,IE46&gt;0,Slot3_IsWG=1,AR46=1),MIN(IE46,IW46),0)</f>
        <v>0</v>
      </c>
      <c r="IY46" s="20" t="n">
        <f aca="false">AS46+IX46</f>
        <v>0</v>
      </c>
      <c r="IZ46" s="20" t="n">
        <f aca="false">IF(AR46=1,MAX(0,(Slot3_Cost-IY46*(1+Slot3_Rate)^(Slot3_Age-D46))/IV46),0)</f>
        <v>0</v>
      </c>
      <c r="JA46" s="20" t="n">
        <f aca="false">IF(AR46=1,MAX(0,(Slot3_Cost-AS46*(1+Slot3_Rate)^(Slot3_Age-D46))/IV46),0)</f>
        <v>0</v>
      </c>
      <c r="JB46" s="20" t="n">
        <f aca="false">IF(AND(HU46=1,AR46=1),MIN(IU46,IZ46),0)</f>
        <v>0</v>
      </c>
      <c r="JC46" s="20" t="n">
        <f aca="false">IU46-JB46</f>
        <v>0</v>
      </c>
      <c r="JD46" s="20" t="n">
        <f aca="false">IF(BB46=1,IF(ABS((1+AS_Wage)/(1+Slot4_Rate)-1)&lt;0.000000000001,(Slot4_Age-D46)*(1+Slot4_Rate)^(Slot4_Age-D46),(1+Slot4_Rate)^(Slot4_Age-D46)*(1-((1+AS_Wage)/(1+Slot4_Rate))^(Slot4_Age-D46))/(1-(1+AS_Wage)/(1+Slot4_Rate))),1)</f>
        <v>1</v>
      </c>
      <c r="JE46" s="20" t="n">
        <f aca="false">IF(AND(HU46=1,IE46&gt;0,Slot4_IsWG=1,BB46=1),MAX(0,(Slot4_Cost-BC46*(1+Slot4_Rate)^(Slot4_Age-D46))/JD46),0)</f>
        <v>0</v>
      </c>
      <c r="JF46" s="20" t="n">
        <f aca="false">IF(AND(HU46=1,IE46&gt;0,Slot4_IsWG=1,BB46=1),MIN(IE46,JE46),0)</f>
        <v>0</v>
      </c>
      <c r="JG46" s="20" t="n">
        <f aca="false">BC46+JF46</f>
        <v>0</v>
      </c>
      <c r="JH46" s="20" t="n">
        <f aca="false">IF(BB46=1,MAX(0,(Slot4_Cost-JG46*(1+Slot4_Rate)^(Slot4_Age-D46))/JD46),0)</f>
        <v>0</v>
      </c>
      <c r="JI46" s="20" t="n">
        <f aca="false">IF(BB46=1,MAX(0,(Slot4_Cost-BC46*(1+Slot4_Rate)^(Slot4_Age-D46))/JD46),0)</f>
        <v>0</v>
      </c>
      <c r="JJ46" s="20" t="n">
        <f aca="false">IF(AND(HU46=1,BB46=1),MIN(JC46,JH46),0)</f>
        <v>0</v>
      </c>
      <c r="JK46" s="20" t="n">
        <f aca="false">JC46-JJ46</f>
        <v>0</v>
      </c>
      <c r="JL46" s="20" t="n">
        <f aca="false">IF(BL46=1,IF(ABS((1+AS_Wage)/(1+Slot5_Rate)-1)&lt;0.000000000001,(Slot5_Age-D46)*(1+Slot5_Rate)^(Slot5_Age-D46),(1+Slot5_Rate)^(Slot5_Age-D46)*(1-((1+AS_Wage)/(1+Slot5_Rate))^(Slot5_Age-D46))/(1-(1+AS_Wage)/(1+Slot5_Rate))),1)</f>
        <v>1</v>
      </c>
      <c r="JM46" s="20" t="n">
        <f aca="false">IF(AND(HU46=1,IE46&gt;0,Slot5_IsWG=1,BL46=1),MAX(0,(Slot5_Cost-BM46*(1+Slot5_Rate)^(Slot5_Age-D46))/JL46),0)</f>
        <v>0</v>
      </c>
      <c r="JN46" s="20" t="n">
        <f aca="false">IF(AND(HU46=1,IE46&gt;0,Slot5_IsWG=1,BL46=1),MIN(IE46,JM46),0)</f>
        <v>0</v>
      </c>
      <c r="JO46" s="20" t="n">
        <f aca="false">BM46+JN46</f>
        <v>0</v>
      </c>
      <c r="JP46" s="20" t="n">
        <f aca="false">IF(BL46=1,MAX(0,(Slot5_Cost-JO46*(1+Slot5_Rate)^(Slot5_Age-D46))/JL46),0)</f>
        <v>0</v>
      </c>
      <c r="JQ46" s="20" t="n">
        <f aca="false">IF(BL46=1,MAX(0,(Slot5_Cost-BM46*(1+Slot5_Rate)^(Slot5_Age-D46))/JL46),0)</f>
        <v>0</v>
      </c>
      <c r="JR46" s="20" t="n">
        <f aca="false">IF(AND(HU46=1,BL46=1),MIN(JK46,JP46),0)</f>
        <v>0</v>
      </c>
      <c r="JS46" s="20" t="n">
        <f aca="false">JK46-JR46</f>
        <v>0</v>
      </c>
      <c r="JT46" s="20" t="n">
        <f aca="false">IF(BV46=1,IF(ABS((1+AS_Wage)/(1+Slot6_Rate)-1)&lt;0.000000000001,(Slot6_Age-D46)*(1+Slot6_Rate)^(Slot6_Age-D46),(1+Slot6_Rate)^(Slot6_Age-D46)*(1-((1+AS_Wage)/(1+Slot6_Rate))^(Slot6_Age-D46))/(1-(1+AS_Wage)/(1+Slot6_Rate))),1)</f>
        <v>1</v>
      </c>
      <c r="JU46" s="20" t="n">
        <f aca="false">IF(AND(HU46=1,IE46&gt;0,Slot6_IsWG=1,BV46=1),MAX(0,(Slot6_Cost-BW46*(1+Slot6_Rate)^(Slot6_Age-D46))/JT46),0)</f>
        <v>0</v>
      </c>
      <c r="JV46" s="20" t="n">
        <f aca="false">IF(AND(HU46=1,IE46&gt;0,Slot6_IsWG=1,BV46=1),MIN(IE46,JU46),0)</f>
        <v>0</v>
      </c>
      <c r="JW46" s="20" t="n">
        <f aca="false">BW46+JV46</f>
        <v>0</v>
      </c>
      <c r="JX46" s="20" t="n">
        <f aca="false">IF(BV46=1,MAX(0,(Slot6_Cost-JW46*(1+Slot6_Rate)^(Slot6_Age-D46))/JT46),0)</f>
        <v>0</v>
      </c>
      <c r="JY46" s="20" t="n">
        <f aca="false">IF(BV46=1,MAX(0,(Slot6_Cost-BW46*(1+Slot6_Rate)^(Slot6_Age-D46))/JT46),0)</f>
        <v>0</v>
      </c>
      <c r="JZ46" s="20" t="n">
        <f aca="false">IF(AND(HU46=1,BV46=1),MIN(JS46,JX46),0)</f>
        <v>0</v>
      </c>
      <c r="KA46" s="20" t="n">
        <f aca="false">JS46-JZ46</f>
        <v>0</v>
      </c>
      <c r="KB46" s="20" t="n">
        <f aca="false">IF(CF46=1,IF(ABS((1+AS_Wage)/(1+Slot7_Rate)-1)&lt;0.000000000001,(Slot7_Age-D46)*(1+Slot7_Rate)^(Slot7_Age-D46),(1+Slot7_Rate)^(Slot7_Age-D46)*(1-((1+AS_Wage)/(1+Slot7_Rate))^(Slot7_Age-D46))/(1-(1+AS_Wage)/(1+Slot7_Rate))),1)</f>
        <v>1</v>
      </c>
      <c r="KC46" s="20" t="n">
        <f aca="false">IF(AND(HU46=1,IE46&gt;0,Slot7_IsWG=1,CF46=1),MAX(0,(Slot7_Cost-CG46*(1+Slot7_Rate)^(Slot7_Age-D46))/KB46),0)</f>
        <v>0</v>
      </c>
      <c r="KD46" s="20" t="n">
        <f aca="false">IF(AND(HU46=1,IE46&gt;0,Slot7_IsWG=1,CF46=1),MIN(IE46,KC46),0)</f>
        <v>0</v>
      </c>
      <c r="KE46" s="20" t="n">
        <f aca="false">CG46+KD46</f>
        <v>0</v>
      </c>
      <c r="KF46" s="20" t="n">
        <f aca="false">IF(CF46=1,MAX(0,(Slot7_Cost-KE46*(1+Slot7_Rate)^(Slot7_Age-D46))/KB46),0)</f>
        <v>0</v>
      </c>
      <c r="KG46" s="20" t="n">
        <f aca="false">IF(CF46=1,MAX(0,(Slot7_Cost-CG46*(1+Slot7_Rate)^(Slot7_Age-D46))/KB46),0)</f>
        <v>0</v>
      </c>
      <c r="KH46" s="20" t="n">
        <f aca="false">IF(AND(HU46=1,CF46=1),MIN(KA46,KF46),0)</f>
        <v>0</v>
      </c>
      <c r="KI46" s="20" t="n">
        <f aca="false">KA46-KH46</f>
        <v>0</v>
      </c>
      <c r="KJ46" s="20" t="n">
        <f aca="false">IF(CP46=1,IF(ABS((1+AS_Wage)/(1+Slot8_Rate)-1)&lt;0.000000000001,(Slot8_Age-D46)*(1+Slot8_Rate)^(Slot8_Age-D46),(1+Slot8_Rate)^(Slot8_Age-D46)*(1-((1+AS_Wage)/(1+Slot8_Rate))^(Slot8_Age-D46))/(1-(1+AS_Wage)/(1+Slot8_Rate))),1)</f>
        <v>1</v>
      </c>
      <c r="KK46" s="20" t="n">
        <f aca="false">IF(AND(HU46=1,IE46&gt;0,Slot8_IsWG=1,CP46=1),MAX(0,(Slot8_Cost-CQ46*(1+Slot8_Rate)^(Slot8_Age-D46))/KJ46),0)</f>
        <v>0</v>
      </c>
      <c r="KL46" s="20" t="n">
        <f aca="false">IF(AND(HU46=1,IE46&gt;0,Slot8_IsWG=1,CP46=1),MIN(IE46,KK46),0)</f>
        <v>0</v>
      </c>
      <c r="KM46" s="20" t="n">
        <f aca="false">CQ46+KL46</f>
        <v>0</v>
      </c>
      <c r="KN46" s="20" t="n">
        <f aca="false">IF(CP46=1,MAX(0,(Slot8_Cost-KM46*(1+Slot8_Rate)^(Slot8_Age-D46))/KJ46),0)</f>
        <v>0</v>
      </c>
      <c r="KO46" s="20" t="n">
        <f aca="false">IF(CP46=1,MAX(0,(Slot8_Cost-CQ46*(1+Slot8_Rate)^(Slot8_Age-D46))/KJ46),0)</f>
        <v>0</v>
      </c>
      <c r="KP46" s="20" t="n">
        <f aca="false">IF(AND(HU46=1,CP46=1),MIN(KI46,KN46),0)</f>
        <v>0</v>
      </c>
      <c r="KQ46" s="20" t="n">
        <f aca="false">KI46-KP46</f>
        <v>0</v>
      </c>
      <c r="KR46" s="20" t="n">
        <f aca="false">IF(CZ46=1,IF(ABS((1+AS_Wage)/(1+Slot9_Rate)-1)&lt;0.000000000001,(Slot9_Age-D46)*(1+Slot9_Rate)^(Slot9_Age-D46),(1+Slot9_Rate)^(Slot9_Age-D46)*(1-((1+AS_Wage)/(1+Slot9_Rate))^(Slot9_Age-D46))/(1-(1+AS_Wage)/(1+Slot9_Rate))),1)</f>
        <v>1</v>
      </c>
      <c r="KS46" s="20" t="n">
        <f aca="false">IF(AND(HU46=1,IE46&gt;0,Slot9_IsWG=1,CZ46=1),MAX(0,(Slot9_Cost-DA46*(1+Slot9_Rate)^(Slot9_Age-D46))/KR46),0)</f>
        <v>0</v>
      </c>
      <c r="KT46" s="20" t="n">
        <f aca="false">IF(AND(HU46=1,IE46&gt;0,Slot9_IsWG=1,CZ46=1),MIN(IE46,KS46),0)</f>
        <v>0</v>
      </c>
      <c r="KU46" s="20" t="n">
        <f aca="false">DA46+KT46</f>
        <v>0</v>
      </c>
      <c r="KV46" s="20" t="n">
        <f aca="false">IF(CZ46=1,MAX(0,(Slot9_Cost-KU46*(1+Slot9_Rate)^(Slot9_Age-D46))/KR46),0)</f>
        <v>0</v>
      </c>
      <c r="KW46" s="20" t="n">
        <f aca="false">IF(CZ46=1,MAX(0,(Slot9_Cost-DA46*(1+Slot9_Rate)^(Slot9_Age-D46))/KR46),0)</f>
        <v>0</v>
      </c>
      <c r="KX46" s="20" t="n">
        <f aca="false">IF(AND(HU46=1,CZ46=1),MIN(KQ46,KV46),0)</f>
        <v>0</v>
      </c>
      <c r="KY46" s="20" t="n">
        <f aca="false">KQ46-KX46</f>
        <v>0</v>
      </c>
      <c r="KZ46" s="20" t="n">
        <f aca="false">IF(DJ46=1,IF(ABS((1+AS_Wage)/(1+Slot10_Rate)-1)&lt;0.000000000001,(Slot10_Age-D46)*(1+Slot10_Rate)^(Slot10_Age-D46),(1+Slot10_Rate)^(Slot10_Age-D46)*(1-((1+AS_Wage)/(1+Slot10_Rate))^(Slot10_Age-D46))/(1-(1+AS_Wage)/(1+Slot10_Rate))),1)</f>
        <v>1</v>
      </c>
      <c r="LA46" s="20" t="n">
        <f aca="false">IF(AND(HU46=1,IE46&gt;0,Slot10_IsWG=1,DJ46=1),MAX(0,(Slot10_Cost-DK46*(1+Slot10_Rate)^(Slot10_Age-D46))/KZ46),0)</f>
        <v>0</v>
      </c>
      <c r="LB46" s="20" t="n">
        <f aca="false">IF(AND(HU46=1,IE46&gt;0,Slot10_IsWG=1,DJ46=1),MIN(IE46,LA46),0)</f>
        <v>0</v>
      </c>
      <c r="LC46" s="20" t="n">
        <f aca="false">DK46+LB46</f>
        <v>0</v>
      </c>
      <c r="LD46" s="20" t="n">
        <f aca="false">IF(DJ46=1,MAX(0,(Slot10_Cost-LC46*(1+Slot10_Rate)^(Slot10_Age-D46))/KZ46),0)</f>
        <v>0</v>
      </c>
      <c r="LE46" s="20" t="n">
        <f aca="false">IF(DJ46=1,MAX(0,(Slot10_Cost-DK46*(1+Slot10_Rate)^(Slot10_Age-D46))/KZ46),0)</f>
        <v>0</v>
      </c>
      <c r="LF46" s="20" t="n">
        <f aca="false">IF(AND(HU46=1,DJ46=1),MIN(KY46,LD46),0)</f>
        <v>0</v>
      </c>
      <c r="LG46" s="20" t="n">
        <f aca="false">KY46-LF46</f>
        <v>0</v>
      </c>
      <c r="LH46" s="20" t="n">
        <f aca="false">IF(DT46=1,IF(ABS((1+AS_Wage)/(1+Slot11_Rate)-1)&lt;0.000000000001,(Slot11_Age-D46)*(1+Slot11_Rate)^(Slot11_Age-D46),(1+Slot11_Rate)^(Slot11_Age-D46)*(1-((1+AS_Wage)/(1+Slot11_Rate))^(Slot11_Age-D46))/(1-(1+AS_Wage)/(1+Slot11_Rate))),1)</f>
        <v>1</v>
      </c>
      <c r="LI46" s="20" t="n">
        <f aca="false">IF(AND(HU46=1,IE46&gt;0,Slot11_IsWG=1,DT46=1),MAX(0,(Slot11_Cost-DU46*(1+Slot11_Rate)^(Slot11_Age-D46))/LH46),0)</f>
        <v>0</v>
      </c>
      <c r="LJ46" s="20" t="n">
        <f aca="false">IF(AND(HU46=1,IE46&gt;0,Slot11_IsWG=1,DT46=1),MIN(IE46,LI46),0)</f>
        <v>0</v>
      </c>
      <c r="LK46" s="20" t="n">
        <f aca="false">DU46+LJ46</f>
        <v>0</v>
      </c>
      <c r="LL46" s="20" t="n">
        <f aca="false">IF(DT46=1,MAX(0,(Slot11_Cost-LK46*(1+Slot11_Rate)^(Slot11_Age-D46))/LH46),0)</f>
        <v>0</v>
      </c>
      <c r="LM46" s="20" t="n">
        <f aca="false">IF(DT46=1,MAX(0,(Slot11_Cost-DU46*(1+Slot11_Rate)^(Slot11_Age-D46))/LH46),0)</f>
        <v>0</v>
      </c>
      <c r="LN46" s="20" t="n">
        <f aca="false">IF(AND(HU46=1,DT46=1),MIN(LG46,LL46),0)</f>
        <v>0</v>
      </c>
      <c r="LO46" s="20" t="n">
        <f aca="false">LG46-LN46</f>
        <v>0</v>
      </c>
      <c r="LP46" s="20" t="n">
        <f aca="false">IF(ED46=1,IF(ABS((1+AS_Wage)/(1+Slot12_Rate)-1)&lt;0.000000000001,(Slot12_Age-D46)*(1+Slot12_Rate)^(Slot12_Age-D46),(1+Slot12_Rate)^(Slot12_Age-D46)*(1-((1+AS_Wage)/(1+Slot12_Rate))^(Slot12_Age-D46))/(1-(1+AS_Wage)/(1+Slot12_Rate))),1)</f>
        <v>1</v>
      </c>
      <c r="LQ46" s="20" t="n">
        <f aca="false">IF(AND(HU46=1,IE46&gt;0,Slot12_IsWG=1,ED46=1),MAX(0,(Slot12_Cost-EE46*(1+Slot12_Rate)^(Slot12_Age-D46))/LP46),0)</f>
        <v>0</v>
      </c>
      <c r="LR46" s="20" t="n">
        <f aca="false">IF(AND(HU46=1,IE46&gt;0,Slot12_IsWG=1,ED46=1),MIN(IE46,LQ46),0)</f>
        <v>0</v>
      </c>
      <c r="LS46" s="20" t="n">
        <f aca="false">EE46+LR46</f>
        <v>0</v>
      </c>
      <c r="LT46" s="20" t="n">
        <f aca="false">IF(ED46=1,MAX(0,(Slot12_Cost-LS46*(1+Slot12_Rate)^(Slot12_Age-D46))/LP46),0)</f>
        <v>0</v>
      </c>
      <c r="LU46" s="20" t="n">
        <f aca="false">IF(ED46=1,MAX(0,(Slot12_Cost-EE46*(1+Slot12_Rate)^(Slot12_Age-D46))/LP46),0)</f>
        <v>0</v>
      </c>
      <c r="LV46" s="20" t="n">
        <f aca="false">IF(AND(HU46=1,ED46=1),MIN(LO46,LT46),0)</f>
        <v>0</v>
      </c>
      <c r="LW46" s="20" t="n">
        <f aca="false">LO46-LV46</f>
        <v>0</v>
      </c>
      <c r="LX46" s="20" t="n">
        <f aca="false">IF(EN46=1,IF(ABS((1+AS_Wage)/(1+Slot13_Rate)-1)&lt;0.000000000001,(Slot13_Age-D46)*(1+Slot13_Rate)^(Slot13_Age-D46),(1+Slot13_Rate)^(Slot13_Age-D46)*(1-((1+AS_Wage)/(1+Slot13_Rate))^(Slot13_Age-D46))/(1-(1+AS_Wage)/(1+Slot13_Rate))),1)</f>
        <v>1</v>
      </c>
      <c r="LY46" s="20" t="n">
        <f aca="false">IF(AND(HU46=1,IE46&gt;0,Slot13_IsWG=1,EN46=1),MAX(0,(Slot13_Cost-EO46*(1+Slot13_Rate)^(Slot13_Age-D46))/LX46),0)</f>
        <v>0</v>
      </c>
      <c r="LZ46" s="20" t="n">
        <f aca="false">IF(AND(HU46=1,IE46&gt;0,Slot13_IsWG=1,EN46=1),MIN(IE46,LY46),0)</f>
        <v>0</v>
      </c>
      <c r="MA46" s="20" t="n">
        <f aca="false">EO46+LZ46</f>
        <v>0</v>
      </c>
      <c r="MB46" s="20" t="n">
        <f aca="false">IF(EN46=1,MAX(0,(Slot13_Cost-MA46*(1+Slot13_Rate)^(Slot13_Age-D46))/LX46),0)</f>
        <v>0</v>
      </c>
      <c r="MC46" s="20" t="n">
        <f aca="false">IF(EN46=1,MAX(0,(Slot13_Cost-EO46*(1+Slot13_Rate)^(Slot13_Age-D46))/LX46),0)</f>
        <v>0</v>
      </c>
      <c r="MD46" s="20" t="n">
        <f aca="false">IF(AND(HU46=1,EN46=1),MIN(LW46,MB46),0)</f>
        <v>0</v>
      </c>
      <c r="ME46" s="20" t="n">
        <f aca="false">LW46-MD46</f>
        <v>0</v>
      </c>
      <c r="MF46" s="20" t="n">
        <f aca="false">IF(EX46=1,IF(ABS((1+AS_Wage)/(1+Slot14_Rate)-1)&lt;0.000000000001,(Slot14_Age-D46)*(1+Slot14_Rate)^(Slot14_Age-D46),(1+Slot14_Rate)^(Slot14_Age-D46)*(1-((1+AS_Wage)/(1+Slot14_Rate))^(Slot14_Age-D46))/(1-(1+AS_Wage)/(1+Slot14_Rate))),1)</f>
        <v>1</v>
      </c>
      <c r="MG46" s="20" t="n">
        <f aca="false">IF(AND(HU46=1,IE46&gt;0,Slot14_IsWG=1,EX46=1),MAX(0,(Slot14_Cost-EY46*(1+Slot14_Rate)^(Slot14_Age-D46))/MF46),0)</f>
        <v>0</v>
      </c>
      <c r="MH46" s="20" t="n">
        <f aca="false">IF(AND(HU46=1,IE46&gt;0,Slot14_IsWG=1,EX46=1),MIN(IE46,MG46),0)</f>
        <v>0</v>
      </c>
      <c r="MI46" s="20" t="n">
        <f aca="false">EY46+MH46</f>
        <v>0</v>
      </c>
      <c r="MJ46" s="20" t="n">
        <f aca="false">IF(EX46=1,MAX(0,(Slot14_Cost-MI46*(1+Slot14_Rate)^(Slot14_Age-D46))/MF46),0)</f>
        <v>0</v>
      </c>
      <c r="MK46" s="20" t="n">
        <f aca="false">IF(EX46=1,MAX(0,(Slot14_Cost-EY46*(1+Slot14_Rate)^(Slot14_Age-D46))/MF46),0)</f>
        <v>0</v>
      </c>
      <c r="ML46" s="20" t="n">
        <f aca="false">IF(AND(HU46=1,EX46=1),MIN(ME46,MJ46),0)</f>
        <v>0</v>
      </c>
      <c r="MM46" s="20" t="n">
        <f aca="false">ME46-ML46</f>
        <v>0</v>
      </c>
      <c r="MN46" s="20" t="n">
        <f aca="false">IF(FH46=1,IF(ABS((1+AS_Wage)/(1+Slot15_Rate)-1)&lt;0.000000000001,(Slot15_Age-D46)*(1+Slot15_Rate)^(Slot15_Age-D46),(1+Slot15_Rate)^(Slot15_Age-D46)*(1-((1+AS_Wage)/(1+Slot15_Rate))^(Slot15_Age-D46))/(1-(1+AS_Wage)/(1+Slot15_Rate))),1)</f>
        <v>1</v>
      </c>
      <c r="MO46" s="20" t="n">
        <f aca="false">IF(AND(HU46=1,IE46&gt;0,Slot15_IsWG=1,FH46=1),MAX(0,(Slot15_Cost-FI46*(1+Slot15_Rate)^(Slot15_Age-D46))/MN46),0)</f>
        <v>0</v>
      </c>
      <c r="MP46" s="20" t="n">
        <f aca="false">IF(AND(HU46=1,IE46&gt;0,Slot15_IsWG=1,FH46=1),MIN(IE46,MO46),0)</f>
        <v>0</v>
      </c>
      <c r="MQ46" s="20" t="n">
        <f aca="false">FI46+MP46</f>
        <v>0</v>
      </c>
      <c r="MR46" s="20" t="n">
        <f aca="false">IF(FH46=1,MAX(0,(Slot15_Cost-MQ46*(1+Slot15_Rate)^(Slot15_Age-D46))/MN46),0)</f>
        <v>0</v>
      </c>
      <c r="MS46" s="20" t="n">
        <f aca="false">IF(FH46=1,MAX(0,(Slot15_Cost-FI46*(1+Slot15_Rate)^(Slot15_Age-D46))/MN46),0)</f>
        <v>0</v>
      </c>
      <c r="MT46" s="20" t="n">
        <f aca="false">IF(AND(HU46=1,FH46=1),MIN(MM46,MR46),0)</f>
        <v>0</v>
      </c>
      <c r="MU46" s="20" t="n">
        <f aca="false">MM46-MT46</f>
        <v>0</v>
      </c>
      <c r="MV46" s="20" t="n">
        <f aca="false">IF(FR46=1,IF(ABS((1+AS_Wage)/(1+Slot16_Rate)-1)&lt;0.000000000001,(Slot16_Age-D46)*(1+Slot16_Rate)^(Slot16_Age-D46),(1+Slot16_Rate)^(Slot16_Age-D46)*(1-((1+AS_Wage)/(1+Slot16_Rate))^(Slot16_Age-D46))/(1-(1+AS_Wage)/(1+Slot16_Rate))),1)</f>
        <v>1</v>
      </c>
      <c r="MW46" s="20" t="n">
        <f aca="false">IF(AND(HU46=1,IE46&gt;0,Slot16_IsWG=1,FR46=1),MAX(0,(Slot16_Cost-FS46*(1+Slot16_Rate)^(Slot16_Age-D46))/MV46),0)</f>
        <v>0</v>
      </c>
      <c r="MX46" s="20" t="n">
        <f aca="false">IF(AND(HU46=1,IE46&gt;0,Slot16_IsWG=1,FR46=1),MIN(IE46,MW46),0)</f>
        <v>0</v>
      </c>
      <c r="MY46" s="20" t="n">
        <f aca="false">FS46+MX46</f>
        <v>0</v>
      </c>
      <c r="MZ46" s="20" t="n">
        <f aca="false">IF(FR46=1,MAX(0,(Slot16_Cost-MY46*(1+Slot16_Rate)^(Slot16_Age-D46))/MV46),0)</f>
        <v>0</v>
      </c>
      <c r="NA46" s="20" t="n">
        <f aca="false">IF(FR46=1,MAX(0,(Slot16_Cost-FS46*(1+Slot16_Rate)^(Slot16_Age-D46))/MV46),0)</f>
        <v>0</v>
      </c>
      <c r="NB46" s="20" t="n">
        <f aca="false">IF(AND(HU46=1,FR46=1),MIN(MU46,MZ46),0)</f>
        <v>0</v>
      </c>
      <c r="NC46" s="20" t="n">
        <f aca="false">MU46-NB46</f>
        <v>0</v>
      </c>
      <c r="ND46" s="20" t="n">
        <f aca="false">IF(GB46=1,IF(ABS((1+AS_Wage)/(1+Slot17_Rate)-1)&lt;0.000000000001,(Slot17_Age-D46)*(1+Slot17_Rate)^(Slot17_Age-D46),(1+Slot17_Rate)^(Slot17_Age-D46)*(1-((1+AS_Wage)/(1+Slot17_Rate))^(Slot17_Age-D46))/(1-(1+AS_Wage)/(1+Slot17_Rate))),1)</f>
        <v>1</v>
      </c>
      <c r="NE46" s="20" t="n">
        <f aca="false">IF(AND(HU46=1,IE46&gt;0,Slot17_IsWG=1,GB46=1),MAX(0,(Slot17_Cost-GC46*(1+Slot17_Rate)^(Slot17_Age-D46))/ND46),0)</f>
        <v>0</v>
      </c>
      <c r="NF46" s="20" t="n">
        <f aca="false">IF(AND(HU46=1,IE46&gt;0,Slot17_IsWG=1,GB46=1),MIN(IE46,NE46),0)</f>
        <v>0</v>
      </c>
      <c r="NG46" s="20" t="n">
        <f aca="false">GC46+NF46</f>
        <v>0</v>
      </c>
      <c r="NH46" s="20" t="n">
        <f aca="false">IF(GB46=1,MAX(0,(Slot17_Cost-NG46*(1+Slot17_Rate)^(Slot17_Age-D46))/ND46),0)</f>
        <v>0</v>
      </c>
      <c r="NI46" s="20" t="n">
        <f aca="false">IF(GB46=1,MAX(0,(Slot17_Cost-GC46*(1+Slot17_Rate)^(Slot17_Age-D46))/ND46),0)</f>
        <v>0</v>
      </c>
      <c r="NJ46" s="20" t="n">
        <f aca="false">IF(AND(HU46=1,GB46=1),MIN(NC46,NH46),0)</f>
        <v>0</v>
      </c>
      <c r="NK46" s="20" t="n">
        <f aca="false">NC46-NJ46</f>
        <v>0</v>
      </c>
      <c r="NL46" s="20" t="n">
        <f aca="false">IF(GL46=1,IF(ABS((1+AS_Wage)/(1+Slot18_Rate)-1)&lt;0.000000000001,(Slot18_Age-D46)*(1+Slot18_Rate)^(Slot18_Age-D46),(1+Slot18_Rate)^(Slot18_Age-D46)*(1-((1+AS_Wage)/(1+Slot18_Rate))^(Slot18_Age-D46))/(1-(1+AS_Wage)/(1+Slot18_Rate))),1)</f>
        <v>1</v>
      </c>
      <c r="NM46" s="20" t="n">
        <f aca="false">IF(AND(HU46=1,IE46&gt;0,Slot18_IsWG=1,GL46=1),MAX(0,(Slot18_Cost-GM46*(1+Slot18_Rate)^(Slot18_Age-D46))/NL46),0)</f>
        <v>0</v>
      </c>
      <c r="NN46" s="20" t="n">
        <f aca="false">IF(AND(HU46=1,IE46&gt;0,Slot18_IsWG=1,GL46=1),MIN(IE46,NM46),0)</f>
        <v>0</v>
      </c>
      <c r="NO46" s="20" t="n">
        <f aca="false">GM46+NN46</f>
        <v>0</v>
      </c>
      <c r="NP46" s="20" t="n">
        <f aca="false">IF(GL46=1,MAX(0,(Slot18_Cost-NO46*(1+Slot18_Rate)^(Slot18_Age-D46))/NL46),0)</f>
        <v>0</v>
      </c>
      <c r="NQ46" s="20" t="n">
        <f aca="false">IF(GL46=1,MAX(0,(Slot18_Cost-GM46*(1+Slot18_Rate)^(Slot18_Age-D46))/NL46),0)</f>
        <v>0</v>
      </c>
      <c r="NR46" s="20" t="n">
        <f aca="false">IF(AND(HU46=1,GL46=1),MIN(NK46,NP46),0)</f>
        <v>0</v>
      </c>
      <c r="NS46" s="20" t="n">
        <f aca="false">NK46-NR46</f>
        <v>0</v>
      </c>
      <c r="NT46" s="20" t="n">
        <f aca="false">IF(GV46=1,IF(ABS((1+AS_Wage)/(1+Slot19_Rate)-1)&lt;0.000000000001,(Slot19_Age-D46)*(1+Slot19_Rate)^(Slot19_Age-D46),(1+Slot19_Rate)^(Slot19_Age-D46)*(1-((1+AS_Wage)/(1+Slot19_Rate))^(Slot19_Age-D46))/(1-(1+AS_Wage)/(1+Slot19_Rate))),1)</f>
        <v>1</v>
      </c>
      <c r="NU46" s="20" t="n">
        <f aca="false">IF(AND(HU46=1,IE46&gt;0,Slot19_IsWG=1,GV46=1),MAX(0,(Slot19_Cost-GW46*(1+Slot19_Rate)^(Slot19_Age-D46))/NT46),0)</f>
        <v>0</v>
      </c>
      <c r="NV46" s="20" t="n">
        <f aca="false">IF(AND(HU46=1,IE46&gt;0,Slot19_IsWG=1,GV46=1),MIN(IE46,NU46),0)</f>
        <v>0</v>
      </c>
      <c r="NW46" s="20" t="n">
        <f aca="false">GW46+NV46</f>
        <v>0</v>
      </c>
      <c r="NX46" s="20" t="n">
        <f aca="false">IF(GV46=1,MAX(0,(Slot19_Cost-NW46*(1+Slot19_Rate)^(Slot19_Age-D46))/NT46),0)</f>
        <v>0</v>
      </c>
      <c r="NY46" s="20" t="n">
        <f aca="false">IF(GV46=1,MAX(0,(Slot19_Cost-GW46*(1+Slot19_Rate)^(Slot19_Age-D46))/NT46),0)</f>
        <v>0</v>
      </c>
      <c r="NZ46" s="20" t="n">
        <f aca="false">IF(AND(HU46=1,GV46=1),MIN(NS46,NX46),0)</f>
        <v>0</v>
      </c>
      <c r="OA46" s="20" t="n">
        <f aca="false">NS46-NZ46</f>
        <v>0</v>
      </c>
      <c r="OB46" s="20" t="n">
        <f aca="false">IF(HF46=1,IF(ABS((1+AS_Wage)/(1+Slot20_Rate)-1)&lt;0.000000000001,(Slot20_Age-D46)*(1+Slot20_Rate)^(Slot20_Age-D46),(1+Slot20_Rate)^(Slot20_Age-D46)*(1-((1+AS_Wage)/(1+Slot20_Rate))^(Slot20_Age-D46))/(1-(1+AS_Wage)/(1+Slot20_Rate))),1)</f>
        <v>1</v>
      </c>
      <c r="OC46" s="20" t="n">
        <f aca="false">IF(AND(HU46=1,IE46&gt;0,Slot20_IsWG=1,HF46=1),MAX(0,(Slot20_Cost-HG46*(1+Slot20_Rate)^(Slot20_Age-D46))/OB46),0)</f>
        <v>0</v>
      </c>
      <c r="OD46" s="20" t="n">
        <f aca="false">IF(AND(HU46=1,IE46&gt;0,Slot20_IsWG=1,HF46=1),MIN(IE46,OC46),0)</f>
        <v>0</v>
      </c>
      <c r="OE46" s="20" t="n">
        <f aca="false">HG46+OD46</f>
        <v>0</v>
      </c>
      <c r="OF46" s="20" t="n">
        <f aca="false">IF(HF46=1,MAX(0,(Slot20_Cost-OE46*(1+Slot20_Rate)^(Slot20_Age-D46))/OB46),0)</f>
        <v>0</v>
      </c>
      <c r="OG46" s="20" t="n">
        <f aca="false">IF(HF46=1,MAX(0,(Slot20_Cost-HG46*(1+Slot20_Rate)^(Slot20_Age-D46))/OB46),0)</f>
        <v>0</v>
      </c>
      <c r="OH46" s="20" t="n">
        <f aca="false">IF(AND(HU46=1,HF46=1),MIN(OA46,OF46),0)</f>
        <v>0</v>
      </c>
      <c r="OI46" s="20" t="n">
        <f aca="false">OA46-OH46</f>
        <v>0</v>
      </c>
      <c r="OJ46" s="20" t="n">
        <f aca="false">IE46-(IH46+IP46+IX46+JF46+JN46+JV46+KD46+KL46+KT46+LB46+LJ46+LR46+LZ46+MH46+MP46+MX46+NF46+NN46+NV46+OD46)</f>
        <v>0</v>
      </c>
      <c r="OK46" s="20" t="n">
        <f aca="false">IF(HU46=1,HS46-ID46-IE46,0)</f>
        <v>0</v>
      </c>
      <c r="OL46" s="20" t="n">
        <f aca="false">IF(HU46=0,-HS46,0)</f>
        <v>24660.0346098031</v>
      </c>
      <c r="OM46" s="20" t="n">
        <f aca="false">MIN(OL46,HK46)</f>
        <v>24660.0346098031</v>
      </c>
      <c r="ON46" s="20" t="n">
        <f aca="false">OL46-OM46</f>
        <v>0</v>
      </c>
      <c r="OO46" s="20" t="n">
        <f aca="false">MIN(ON46,HL46)</f>
        <v>0</v>
      </c>
      <c r="OP46" s="20" t="n">
        <f aca="false">ON46-OO46</f>
        <v>0</v>
      </c>
      <c r="OQ46" s="20" t="n">
        <f aca="false">IF(AND(HU46=0,HF46=1,OP46&gt;0),MIN(OP46,HG46),0)</f>
        <v>0</v>
      </c>
      <c r="OR46" s="20" t="n">
        <f aca="false">OP46-OQ46</f>
        <v>0</v>
      </c>
      <c r="OS46" s="20" t="n">
        <f aca="false">IF(AND(HU46=0,GV46=1,OR46&gt;0),MIN(OR46,GW46),0)</f>
        <v>0</v>
      </c>
      <c r="OT46" s="20" t="n">
        <f aca="false">OR46-OS46</f>
        <v>0</v>
      </c>
      <c r="OU46" s="20" t="n">
        <f aca="false">IF(AND(HU46=0,GL46=1,OT46&gt;0),MIN(OT46,GM46),0)</f>
        <v>0</v>
      </c>
      <c r="OV46" s="20" t="n">
        <f aca="false">OT46-OU46</f>
        <v>0</v>
      </c>
      <c r="OW46" s="20" t="n">
        <f aca="false">IF(AND(HU46=0,GB46=1,OV46&gt;0),MIN(OV46,GC46),0)</f>
        <v>0</v>
      </c>
      <c r="OX46" s="20" t="n">
        <f aca="false">OV46-OW46</f>
        <v>0</v>
      </c>
      <c r="OY46" s="20" t="n">
        <f aca="false">IF(AND(HU46=0,FR46=1,OX46&gt;0),MIN(OX46,FS46),0)</f>
        <v>0</v>
      </c>
      <c r="OZ46" s="20" t="n">
        <f aca="false">OX46-OY46</f>
        <v>0</v>
      </c>
      <c r="PA46" s="20" t="n">
        <f aca="false">IF(AND(HU46=0,FH46=1,OZ46&gt;0),MIN(OZ46,FI46),0)</f>
        <v>0</v>
      </c>
      <c r="PB46" s="20" t="n">
        <f aca="false">OZ46-PA46</f>
        <v>0</v>
      </c>
      <c r="PC46" s="20" t="n">
        <f aca="false">IF(AND(HU46=0,EX46=1,PB46&gt;0),MIN(PB46,EY46),0)</f>
        <v>0</v>
      </c>
      <c r="PD46" s="20" t="n">
        <f aca="false">PB46-PC46</f>
        <v>0</v>
      </c>
      <c r="PE46" s="20" t="n">
        <f aca="false">IF(AND(HU46=0,EN46=1,PD46&gt;0),MIN(PD46,EO46),0)</f>
        <v>0</v>
      </c>
      <c r="PF46" s="20" t="n">
        <f aca="false">PD46-PE46</f>
        <v>0</v>
      </c>
      <c r="PG46" s="20" t="n">
        <f aca="false">IF(AND(HU46=0,ED46=1,PF46&gt;0),MIN(PF46,EE46),0)</f>
        <v>0</v>
      </c>
      <c r="PH46" s="20" t="n">
        <f aca="false">PF46-PG46</f>
        <v>0</v>
      </c>
      <c r="PI46" s="20" t="n">
        <f aca="false">IF(AND(HU46=0,DT46=1,PH46&gt;0),MIN(PH46,DU46),0)</f>
        <v>0</v>
      </c>
      <c r="PJ46" s="20" t="n">
        <f aca="false">PH46-PI46</f>
        <v>0</v>
      </c>
      <c r="PK46" s="20" t="n">
        <f aca="false">IF(AND(HU46=0,DJ46=1,PJ46&gt;0),MIN(PJ46,DK46),0)</f>
        <v>0</v>
      </c>
      <c r="PL46" s="20" t="n">
        <f aca="false">PJ46-PK46</f>
        <v>0</v>
      </c>
      <c r="PM46" s="20" t="n">
        <f aca="false">IF(AND(HU46=0,CZ46=1,PL46&gt;0),MIN(PL46,DA46),0)</f>
        <v>0</v>
      </c>
      <c r="PN46" s="20" t="n">
        <f aca="false">PL46-PM46</f>
        <v>0</v>
      </c>
      <c r="PO46" s="20" t="n">
        <f aca="false">IF(AND(HU46=0,CP46=1,PN46&gt;0),MIN(PN46,CQ46),0)</f>
        <v>0</v>
      </c>
      <c r="PP46" s="20" t="n">
        <f aca="false">PN46-PO46</f>
        <v>0</v>
      </c>
      <c r="PQ46" s="20" t="n">
        <f aca="false">IF(AND(HU46=0,CF46=1,PP46&gt;0),MIN(PP46,CG46),0)</f>
        <v>0</v>
      </c>
      <c r="PR46" s="20" t="n">
        <f aca="false">PP46-PQ46</f>
        <v>0</v>
      </c>
      <c r="PS46" s="20" t="n">
        <f aca="false">IF(AND(HU46=0,BV46=1,PR46&gt;0),MIN(PR46,BW46),0)</f>
        <v>0</v>
      </c>
      <c r="PT46" s="20" t="n">
        <f aca="false">PR46-PS46</f>
        <v>0</v>
      </c>
      <c r="PU46" s="20" t="n">
        <f aca="false">IF(AND(HU46=0,BL46=1,PT46&gt;0),MIN(PT46,BM46),0)</f>
        <v>0</v>
      </c>
      <c r="PV46" s="20" t="n">
        <f aca="false">PT46-PU46</f>
        <v>0</v>
      </c>
      <c r="PW46" s="20" t="n">
        <f aca="false">IF(AND(HU46=0,BB46=1,PV46&gt;0),MIN(PV46,BC46),0)</f>
        <v>0</v>
      </c>
      <c r="PX46" s="20" t="n">
        <f aca="false">PV46-PW46</f>
        <v>0</v>
      </c>
      <c r="PY46" s="20" t="n">
        <f aca="false">IF(AND(HU46=0,AR46=1,PX46&gt;0),MIN(PX46,AS46),0)</f>
        <v>0</v>
      </c>
      <c r="PZ46" s="20" t="n">
        <f aca="false">PX46-PY46</f>
        <v>0</v>
      </c>
      <c r="QA46" s="20" t="n">
        <f aca="false">IF(AND(HU46=0,AH46=1,PZ46&gt;0),MIN(PZ46,AI46),0)</f>
        <v>0</v>
      </c>
      <c r="QB46" s="20" t="n">
        <f aca="false">PZ46-QA46</f>
        <v>0</v>
      </c>
      <c r="QC46" s="20" t="n">
        <f aca="false">IF(AND(HU46=0,W46=1,QB46&gt;0),MIN(QB46,X46),0)</f>
        <v>0</v>
      </c>
      <c r="QD46" s="20" t="n">
        <f aca="false">QB46-QC46</f>
        <v>0</v>
      </c>
      <c r="QE46" s="20" t="n">
        <f aca="false">IF(HU46=0,QD46,0)</f>
        <v>0</v>
      </c>
      <c r="QF46" s="20" t="n">
        <f aca="false">OM46+OO46+QC46+QA46+PY46+PW46+PU46+PS46+PQ46+PO46+PM46+PK46+PI46+PG46+PE46+PC46+PA46+OY46+OW46+OU46+OS46+OQ46</f>
        <v>24660.0346098031</v>
      </c>
      <c r="QG46" s="20" t="n">
        <f aca="false">IF(HU46=1,HK46+OJ46+OI46+IF(G46=1,0,OK46),HK46-OM46)</f>
        <v>469.018147613202</v>
      </c>
      <c r="QH46" s="20" t="n">
        <f aca="false">HL46-OO46</f>
        <v>22328.5776367302</v>
      </c>
      <c r="QI46" s="20" t="n">
        <f aca="false">IF(HU46=1,IF(G46=1,ID46+IE46,HS46),0)</f>
        <v>0</v>
      </c>
      <c r="QJ46" s="20" t="n">
        <f aca="false">IF(HU46=1,IF(G46=1,HS46-ID46-IE46,0),0)</f>
        <v>0</v>
      </c>
      <c r="QK46" s="20" t="n">
        <f aca="false">QG46*(1+GR)</f>
        <v>476.710045234059</v>
      </c>
      <c r="QL46" s="20" t="n">
        <f aca="false">QH46*(1+AS_Cash)</f>
        <v>22551.8634130975</v>
      </c>
      <c r="QM46" s="20" t="n">
        <f aca="false">IF(W46=1,IF(HU46=1,II46+IL46,X46-QC46)*(1+Slot1_Rate),0)</f>
        <v>0</v>
      </c>
      <c r="QN46" s="20" t="n">
        <f aca="false">IF(AND(HU46=1,W46=1),(IH46+IL46)/F46,0)</f>
        <v>0</v>
      </c>
      <c r="QO46" s="20" t="n">
        <f aca="false">IF(B46=0,IH46+IL46,0)</f>
        <v>0</v>
      </c>
      <c r="QP46" s="20" t="n">
        <f aca="false">IF(B46=0,IF(HU46=1,IJ46,IK46),0)</f>
        <v>0</v>
      </c>
      <c r="QQ46" s="20" t="n">
        <f aca="false">IF(AH46=1,IF(HU46=1,IQ46+IT46,AI46-QA46)*(1+Slot2_Rate),0)</f>
        <v>0</v>
      </c>
      <c r="QR46" s="20" t="n">
        <f aca="false">IF(AND(HU46=1,AH46=1),(IP46+IT46)/F46,0)</f>
        <v>0</v>
      </c>
      <c r="QS46" s="20" t="n">
        <f aca="false">IF(B46=0,IP46+IT46,0)</f>
        <v>0</v>
      </c>
      <c r="QT46" s="20" t="n">
        <f aca="false">IF(B46=0,IF(HU46=1,IR46,IS46),0)</f>
        <v>0</v>
      </c>
      <c r="QU46" s="20" t="n">
        <f aca="false">IF(AR46=1,IF(HU46=1,IY46+JB46,AS46-PY46)*(1+Slot3_Rate),0)</f>
        <v>0</v>
      </c>
      <c r="QV46" s="20" t="n">
        <f aca="false">IF(AND(HU46=1,AR46=1),(IX46+JB46)/F46,0)</f>
        <v>0</v>
      </c>
      <c r="QW46" s="20" t="n">
        <f aca="false">IF(B46=0,IX46+JB46,0)</f>
        <v>0</v>
      </c>
      <c r="QX46" s="20" t="n">
        <f aca="false">IF(B46=0,IF(HU46=1,IZ46,JA46),0)</f>
        <v>0</v>
      </c>
      <c r="QY46" s="20" t="n">
        <f aca="false">IF(BB46=1,IF(HU46=1,JG46+JJ46,BC46-PW46)*(1+Slot4_Rate),0)</f>
        <v>0</v>
      </c>
      <c r="QZ46" s="20" t="n">
        <f aca="false">IF(AND(HU46=1,BB46=1),(JF46+JJ46)/F46,0)</f>
        <v>0</v>
      </c>
      <c r="RA46" s="20" t="n">
        <f aca="false">IF(B46=0,JF46+JJ46,0)</f>
        <v>0</v>
      </c>
      <c r="RB46" s="20" t="n">
        <f aca="false">IF(B46=0,IF(HU46=1,JH46,JI46),0)</f>
        <v>0</v>
      </c>
      <c r="RC46" s="20" t="n">
        <f aca="false">IF(BL46=1,IF(HU46=1,JO46+JR46,BM46-PU46)*(1+Slot5_Rate),0)</f>
        <v>0</v>
      </c>
      <c r="RD46" s="20" t="n">
        <f aca="false">IF(AND(HU46=1,BL46=1),(JN46+JR46)/F46,0)</f>
        <v>0</v>
      </c>
      <c r="RE46" s="20" t="n">
        <f aca="false">IF(B46=0,JN46+JR46,0)</f>
        <v>0</v>
      </c>
      <c r="RF46" s="20" t="n">
        <f aca="false">IF(B46=0,IF(HU46=1,JP46,JQ46),0)</f>
        <v>0</v>
      </c>
      <c r="RG46" s="20" t="n">
        <f aca="false">IF(BV46=1,IF(HU46=1,JW46+JZ46,BW46-PS46)*(1+Slot6_Rate),0)</f>
        <v>0</v>
      </c>
      <c r="RH46" s="20" t="n">
        <f aca="false">IF(AND(HU46=1,BV46=1),(JV46+JZ46)/F46,0)</f>
        <v>0</v>
      </c>
      <c r="RI46" s="20" t="n">
        <f aca="false">IF(B46=0,JV46+JZ46,0)</f>
        <v>0</v>
      </c>
      <c r="RJ46" s="20" t="n">
        <f aca="false">IF(B46=0,IF(HU46=1,JX46,JY46),0)</f>
        <v>0</v>
      </c>
      <c r="RK46" s="20" t="n">
        <f aca="false">IF(CF46=1,IF(HU46=1,KE46+KH46,CG46-PQ46)*(1+Slot7_Rate),0)</f>
        <v>0</v>
      </c>
      <c r="RL46" s="20" t="n">
        <f aca="false">IF(AND(HU46=1,CF46=1),(KD46+KH46)/F46,0)</f>
        <v>0</v>
      </c>
      <c r="RM46" s="20" t="n">
        <f aca="false">IF(B46=0,KD46+KH46,0)</f>
        <v>0</v>
      </c>
      <c r="RN46" s="20" t="n">
        <f aca="false">IF(B46=0,IF(HU46=1,KF46,KG46),0)</f>
        <v>0</v>
      </c>
      <c r="RO46" s="20" t="n">
        <f aca="false">IF(CP46=1,IF(HU46=1,KM46+KP46,CQ46-PO46)*(1+Slot8_Rate),0)</f>
        <v>0</v>
      </c>
      <c r="RP46" s="20" t="n">
        <f aca="false">IF(AND(HU46=1,CP46=1),(KL46+KP46)/F46,0)</f>
        <v>0</v>
      </c>
      <c r="RQ46" s="20" t="n">
        <f aca="false">IF(B46=0,KL46+KP46,0)</f>
        <v>0</v>
      </c>
      <c r="RR46" s="20" t="n">
        <f aca="false">IF(B46=0,IF(HU46=1,KN46,KO46),0)</f>
        <v>0</v>
      </c>
      <c r="RS46" s="20" t="n">
        <f aca="false">IF(CZ46=1,IF(HU46=1,KU46+KX46,DA46-PM46)*(1+Slot9_Rate),0)</f>
        <v>0</v>
      </c>
      <c r="RT46" s="20" t="n">
        <f aca="false">IF(AND(HU46=1,CZ46=1),(KT46+KX46)/F46,0)</f>
        <v>0</v>
      </c>
      <c r="RU46" s="20" t="n">
        <f aca="false">IF(B46=0,KT46+KX46,0)</f>
        <v>0</v>
      </c>
      <c r="RV46" s="20" t="n">
        <f aca="false">IF(B46=0,IF(HU46=1,KV46,KW46),0)</f>
        <v>0</v>
      </c>
      <c r="RW46" s="20" t="n">
        <f aca="false">IF(DJ46=1,IF(HU46=1,LC46+LF46,DK46-PK46)*(1+Slot10_Rate),0)</f>
        <v>0</v>
      </c>
      <c r="RX46" s="20" t="n">
        <f aca="false">IF(AND(HU46=1,DJ46=1),(LB46+LF46)/F46,0)</f>
        <v>0</v>
      </c>
      <c r="RY46" s="20" t="n">
        <f aca="false">IF(B46=0,LB46+LF46,0)</f>
        <v>0</v>
      </c>
      <c r="RZ46" s="20" t="n">
        <f aca="false">IF(B46=0,IF(HU46=1,LD46,LE46),0)</f>
        <v>0</v>
      </c>
      <c r="SA46" s="20" t="n">
        <f aca="false">IF(DT46=1,IF(HU46=1,LK46+LN46,DU46-PI46)*(1+Slot11_Rate),0)</f>
        <v>0</v>
      </c>
      <c r="SB46" s="20" t="n">
        <f aca="false">IF(AND(HU46=1,DT46=1),(LJ46+LN46)/F46,0)</f>
        <v>0</v>
      </c>
      <c r="SC46" s="20" t="n">
        <f aca="false">IF(B46=0,LJ46+LN46,0)</f>
        <v>0</v>
      </c>
      <c r="SD46" s="20" t="n">
        <f aca="false">IF(B46=0,IF(HU46=1,LL46,LM46),0)</f>
        <v>0</v>
      </c>
      <c r="SE46" s="20" t="n">
        <f aca="false">IF(ED46=1,IF(HU46=1,LS46+LV46,EE46-PG46)*(1+Slot12_Rate),0)</f>
        <v>0</v>
      </c>
      <c r="SF46" s="20" t="n">
        <f aca="false">IF(AND(HU46=1,ED46=1),(LR46+LV46)/F46,0)</f>
        <v>0</v>
      </c>
      <c r="SG46" s="20" t="n">
        <f aca="false">IF(B46=0,LR46+LV46,0)</f>
        <v>0</v>
      </c>
      <c r="SH46" s="20" t="n">
        <f aca="false">IF(B46=0,IF(HU46=1,LT46,LU46),0)</f>
        <v>0</v>
      </c>
      <c r="SI46" s="20" t="n">
        <f aca="false">IF(EN46=1,IF(HU46=1,MA46+MD46,EO46-PE46)*(1+Slot13_Rate),0)</f>
        <v>0</v>
      </c>
      <c r="SJ46" s="20" t="n">
        <f aca="false">IF(AND(HU46=1,EN46=1),(LZ46+MD46)/F46,0)</f>
        <v>0</v>
      </c>
      <c r="SK46" s="20" t="n">
        <f aca="false">IF(B46=0,LZ46+MD46,0)</f>
        <v>0</v>
      </c>
      <c r="SL46" s="20" t="n">
        <f aca="false">IF(B46=0,IF(HU46=1,MB46,MC46),0)</f>
        <v>0</v>
      </c>
      <c r="SM46" s="20" t="n">
        <f aca="false">IF(EX46=1,IF(HU46=1,MI46+ML46,EY46-PC46)*(1+Slot14_Rate),0)</f>
        <v>0</v>
      </c>
      <c r="SN46" s="20" t="n">
        <f aca="false">IF(AND(HU46=1,EX46=1),(MH46+ML46)/F46,0)</f>
        <v>0</v>
      </c>
      <c r="SO46" s="20" t="n">
        <f aca="false">IF(B46=0,MH46+ML46,0)</f>
        <v>0</v>
      </c>
      <c r="SP46" s="20" t="n">
        <f aca="false">IF(B46=0,IF(HU46=1,MJ46,MK46),0)</f>
        <v>0</v>
      </c>
      <c r="SQ46" s="20" t="n">
        <f aca="false">IF(FH46=1,IF(HU46=1,MQ46+MT46,FI46-PA46)*(1+Slot15_Rate),0)</f>
        <v>0</v>
      </c>
      <c r="SR46" s="20" t="n">
        <f aca="false">IF(AND(HU46=1,FH46=1),(MP46+MT46)/F46,0)</f>
        <v>0</v>
      </c>
      <c r="SS46" s="20" t="n">
        <f aca="false">IF(B46=0,MP46+MT46,0)</f>
        <v>0</v>
      </c>
      <c r="ST46" s="20" t="n">
        <f aca="false">IF(B46=0,IF(HU46=1,MR46,MS46),0)</f>
        <v>0</v>
      </c>
      <c r="SU46" s="20" t="n">
        <f aca="false">IF(FR46=1,IF(HU46=1,MY46+NB46,FS46-OY46)*(1+Slot16_Rate),0)</f>
        <v>0</v>
      </c>
      <c r="SV46" s="20" t="n">
        <f aca="false">IF(AND(HU46=1,FR46=1),(MX46+NB46)/F46,0)</f>
        <v>0</v>
      </c>
      <c r="SW46" s="20" t="n">
        <f aca="false">IF(B46=0,MX46+NB46,0)</f>
        <v>0</v>
      </c>
      <c r="SX46" s="20" t="n">
        <f aca="false">IF(B46=0,IF(HU46=1,MZ46,NA46),0)</f>
        <v>0</v>
      </c>
      <c r="SY46" s="20" t="n">
        <f aca="false">IF(GB46=1,IF(HU46=1,NG46+NJ46,GC46-OW46)*(1+Slot17_Rate),0)</f>
        <v>0</v>
      </c>
      <c r="SZ46" s="20" t="n">
        <f aca="false">IF(AND(HU46=1,GB46=1),(NF46+NJ46)/F46,0)</f>
        <v>0</v>
      </c>
      <c r="TA46" s="20" t="n">
        <f aca="false">IF(B46=0,NF46+NJ46,0)</f>
        <v>0</v>
      </c>
      <c r="TB46" s="20" t="n">
        <f aca="false">IF(B46=0,IF(HU46=1,NH46,NI46),0)</f>
        <v>0</v>
      </c>
      <c r="TC46" s="20" t="n">
        <f aca="false">IF(GL46=1,IF(HU46=1,NO46+NR46,GM46-OU46)*(1+Slot18_Rate),0)</f>
        <v>0</v>
      </c>
      <c r="TD46" s="20" t="n">
        <f aca="false">IF(AND(HU46=1,GL46=1),(NN46+NR46)/F46,0)</f>
        <v>0</v>
      </c>
      <c r="TE46" s="20" t="n">
        <f aca="false">IF(B46=0,NN46+NR46,0)</f>
        <v>0</v>
      </c>
      <c r="TF46" s="20" t="n">
        <f aca="false">IF(B46=0,IF(HU46=1,NP46,NQ46),0)</f>
        <v>0</v>
      </c>
      <c r="TG46" s="20" t="n">
        <f aca="false">IF(GV46=1,IF(HU46=1,NW46+NZ46,GW46-OS46)*(1+Slot19_Rate),0)</f>
        <v>0</v>
      </c>
      <c r="TH46" s="20" t="n">
        <f aca="false">IF(AND(HU46=1,GV46=1),(NV46+NZ46)/F46,0)</f>
        <v>0</v>
      </c>
      <c r="TI46" s="20" t="n">
        <f aca="false">IF(B46=0,NV46+NZ46,0)</f>
        <v>0</v>
      </c>
      <c r="TJ46" s="20" t="n">
        <f aca="false">IF(B46=0,IF(HU46=1,NX46,NY46),0)</f>
        <v>0</v>
      </c>
      <c r="TK46" s="20" t="n">
        <f aca="false">IF(HF46=1,IF(HU46=1,OE46+OH46,HG46-OQ46)*(1+Slot20_Rate),0)</f>
        <v>0</v>
      </c>
      <c r="TL46" s="20" t="n">
        <f aca="false">IF(AND(HU46=1,HF46=1),(OD46+OH46)/F46,0)</f>
        <v>0</v>
      </c>
      <c r="TM46" s="20" t="n">
        <f aca="false">IF(B46=0,OD46+OH46,0)</f>
        <v>0</v>
      </c>
      <c r="TN46" s="20" t="n">
        <f aca="false">IF(B46=0,IF(HU46=1,OF46,OG46),0)</f>
        <v>0</v>
      </c>
      <c r="TO46" s="20" t="n">
        <f aca="false">QK46+QL46+QM46+QQ46+QU46+QY46+RC46+RG46+RK46+RO46+RS46+RW46+SA46+SE46+SI46+SM46+SQ46+SU46+SY46+TC46+TG46+TK46</f>
        <v>23028.5734583316</v>
      </c>
      <c r="TP46" s="20" t="n">
        <f aca="false">QE46+HP46</f>
        <v>0</v>
      </c>
      <c r="TQ46" s="20" t="n">
        <f aca="false">I46+S46</f>
        <v>101445.882276807</v>
      </c>
      <c r="TR46" s="20" t="n">
        <f aca="false">1-G46</f>
        <v>1</v>
      </c>
      <c r="TS46" s="20" t="n">
        <f aca="false">IF(AND(RG_Exists=1,G46=0,C46=1),I46,0)</f>
        <v>101445.882276807</v>
      </c>
      <c r="TT46" s="20" t="n">
        <f aca="false">IF(AND(RG_Exists=1,G46=0,C46=1),I46-MIN(QE46,I46),0)</f>
        <v>101445.882276807</v>
      </c>
      <c r="TU46" s="20" t="n">
        <f aca="false">'Plan pay &amp; tax'!AD272</f>
        <v>365701.006392198</v>
      </c>
      <c r="TV46" s="20" t="n">
        <f aca="false">IF(AND(C46=1,QE46&gt;MAX(PR_Short1,TQ46*PR_Short2)),1,0)</f>
        <v>0</v>
      </c>
      <c r="TW46" s="20" t="n">
        <f aca="false">MIN(H46,I46+S46)</f>
        <v>76785.8476670039</v>
      </c>
      <c r="TX46" s="20" t="n">
        <f aca="false">QF46+MAX(0,HQ46-HP46)</f>
        <v>24660.0346098031</v>
      </c>
      <c r="TY46" s="20" t="n">
        <f aca="false">QE46+HP46</f>
        <v>0</v>
      </c>
      <c r="TZ46" s="20" t="n">
        <f aca="false">IF(AND(C46=1,TY46&gt;PR_MinShort),1,0)</f>
        <v>0</v>
      </c>
      <c r="UA46" s="20" t="n">
        <f aca="false">IF(AND(C46=1,TZ46=0,TX46&gt;PR_MinShort),1,0)</f>
        <v>1</v>
      </c>
      <c r="UB46" s="20" t="n">
        <f aca="false">IF(AND(C46=1,QE46&gt;PR_MinShort),1,0)</f>
        <v>0</v>
      </c>
      <c r="UC46" s="20" t="n">
        <f aca="false">IF(AND(C46=1,QF46&gt;1,UJ46=0),1,0)</f>
        <v>1</v>
      </c>
      <c r="UD46" s="20" t="str">
        <f aca="false">IF(C46=0,"",IF(UJ46=1,"Gap to plan for: short "&amp;"€"&amp;TEXT(ROUND(TP46,0),"#,##0"),IF(QF46&gt;1,"Using savings","Comfortable")))</f>
        <v>Using savings</v>
      </c>
      <c r="UE46" s="20" t="n">
        <f aca="false">IF(AND(INT(D46/10)*10=90,B46&gt;0),80,INT(D46/10)*10)</f>
        <v>70</v>
      </c>
      <c r="UF46" s="20" t="n">
        <f aca="false">IF(B46=0,1,IF(UE46&lt;&gt;UE45,UF45+1,UF45))</f>
        <v>5</v>
      </c>
      <c r="UG46" s="20" t="n">
        <f aca="false">IF(AND(C46=1,G46=1,QE46&gt;MAX(PR_Short1,TQ46*PR_Short2)),1,0)</f>
        <v>0</v>
      </c>
      <c r="UH46" s="20" t="n">
        <f aca="false">TR46*TV46</f>
        <v>0</v>
      </c>
      <c r="UI46" s="20" t="n">
        <f aca="false">IF(AND(V46=1,Slot1_PctLow=1),1,0)+IF(AND(AG46=1,Slot2_PctLow=1),1,0)+IF(AND(AQ46=1,Slot3_PctLow=1),1,0)+IF(AND(BA46=1,Slot4_PctLow=1),1,0)+IF(AND(BK46=1,Slot5_PctLow=1),1,0)+IF(AND(BU46=1,Slot6_PctLow=1),1,0)+IF(AND(CE46=1,Slot7_PctLow=1),1,0)+IF(AND(CO46=1,Slot8_PctLow=1),1,0)+IF(AND(CY46=1,Slot9_PctLow=1),1,0)+IF(AND(DI46=1,Slot10_PctLow=1),1,0)+IF(AND(DS46=1,Slot11_PctLow=1),1,0)+IF(AND(EC46=1,Slot12_PctLow=1),1,0)+IF(AND(EM46=1,Slot13_PctLow=1),1,0)+IF(AND(EW46=1,Slot14_PctLow=1),1,0)+IF(AND(FG46=1,Slot15_PctLow=1),1,0)+IF(AND(FQ46=1,Slot16_PctLow=1),1,0)+IF(AND(GA46=1,Slot17_PctLow=1),1,0)+IF(AND(GK46=1,Slot18_PctLow=1),1,0)+IF(AND(GU46=1,Slot19_PctLow=1),1,0)+IF(AND(HE46=1,Slot20_PctLow=1),1,0)</f>
        <v>0</v>
      </c>
      <c r="UJ46" s="20" t="n">
        <f aca="false">IF(C46=1,IF(OR(TV46=1,UI46&gt;0),1,0),0)</f>
        <v>0</v>
      </c>
    </row>
    <row r="47" customFormat="false" ht="15" hidden="false" customHeight="true" outlineLevel="0" collapsed="false">
      <c r="B47" s="20" t="n">
        <v>39</v>
      </c>
      <c r="C47" s="20" t="n">
        <f aca="false">IF(B47&lt;=F_N,1,0)</f>
        <v>1</v>
      </c>
      <c r="D47" s="20" t="n">
        <f aca="false">'Plan pay &amp; tax'!C273</f>
        <v>77</v>
      </c>
      <c r="E47" s="20" t="str">
        <f aca="false">IF($C47=1,"Income tax "&amp;TEXT(N('Plan pay &amp; tax'!BK273),"#,##0")&amp;"; USC "&amp;TEXT(N('Plan pay &amp; tax'!BM273)+N('Plan pay &amp; tax'!BO273),"#,##0")&amp;"; PRSI "&amp;TEXT(N('Plan pay &amp; tax'!BP273)+N('Plan pay &amp; tax'!BQ273),"#,##0")&amp;". DIRT and exit tax are inside the growth rates here.","")</f>
        <v>Income tax 646; USC 0; PRSI 0. DIRT and exit tax are inside the growth rates here.</v>
      </c>
      <c r="F47" s="44" t="n">
        <f aca="false">'Plan pay &amp; tax'!E273</f>
        <v>2.16474476824986</v>
      </c>
      <c r="G47" s="20" t="n">
        <f aca="false">'Plan pay &amp; tax'!G273</f>
        <v>0</v>
      </c>
      <c r="H47" s="20" t="n">
        <f aca="false">'Plan pay &amp; tax'!BT273-'Plan pay &amp; tax'!BS273-'Plan pay &amp; tax'!R273</f>
        <v>78493.2333326846</v>
      </c>
      <c r="I47" s="20" t="n">
        <f aca="false">IF(G47=1,F_CostsM*12,IF(RG_Exists=1,RG_Amount,F_CostsM*12*AS_RetireSpend))*F47+F_OneOffY*F47</f>
        <v>103474.799922343</v>
      </c>
      <c r="J47" s="20" t="n">
        <f aca="false">HR46</f>
        <v>0</v>
      </c>
      <c r="K47" s="20" t="n">
        <f aca="false">IF(J47&gt;1,'Plan debt months'!AC47,0)</f>
        <v>0</v>
      </c>
      <c r="L47" s="20" t="n">
        <f aca="false">IF(J47&gt;1,'Plan debt months'!AB47,J47)</f>
        <v>0</v>
      </c>
      <c r="M47" s="20" t="n">
        <f aca="false">O46</f>
        <v>0</v>
      </c>
      <c r="N47" s="20" t="n">
        <f aca="false">IF(M47&gt;1,'Plan debt months'!BD47,0)</f>
        <v>0</v>
      </c>
      <c r="O47" s="20" t="n">
        <f aca="false">IF(M47&gt;1,'Plan debt months'!BC47,M47)</f>
        <v>0</v>
      </c>
      <c r="P47" s="20" t="n">
        <f aca="false">R46</f>
        <v>0</v>
      </c>
      <c r="Q47" s="20" t="n">
        <f aca="false">IF(P47&gt;1,'Plan debt months'!CE47,0)</f>
        <v>0</v>
      </c>
      <c r="R47" s="20" t="n">
        <f aca="false">IF(P47&gt;1,'Plan debt months'!CD47,P47)</f>
        <v>0</v>
      </c>
      <c r="S47" s="20" t="n">
        <f aca="false">K47+N47+Q47</f>
        <v>0</v>
      </c>
      <c r="T47" s="20" t="n">
        <f aca="false">QK46+'Plan pay &amp; tax'!Y273</f>
        <v>476.710045234059</v>
      </c>
      <c r="U47" s="20" t="n">
        <f aca="false">QK46</f>
        <v>476.710045234059</v>
      </c>
      <c r="V47" s="20" t="n">
        <f aca="false">IF(AND(Slot1_On=1,D47=Slot1_Age),1,0)</f>
        <v>0</v>
      </c>
      <c r="W47" s="20" t="n">
        <f aca="false">IF(AND(Slot1_On=1,Slot1_Age&gt;D47),1,0)</f>
        <v>0</v>
      </c>
      <c r="X47" s="20" t="n">
        <f aca="false">QM46</f>
        <v>0</v>
      </c>
      <c r="Y47" s="20" t="n">
        <f aca="false">V47*MIN(Slot1_Cost,X47)</f>
        <v>0</v>
      </c>
      <c r="Z47" s="20" t="n">
        <f aca="false">V47*Slot1_SpendLike*MIN(Slot1_Cost-Y47,T47)</f>
        <v>0</v>
      </c>
      <c r="AA47" s="20" t="n">
        <f aca="false">Y47+Z47</f>
        <v>0</v>
      </c>
      <c r="AB47" s="20" t="n">
        <f aca="false">T47-Z47+V47*IF(Slot1_SpendLike=1,X47-Y47,IF(Slot1_PotFree=1,X47,0))</f>
        <v>476.710045234059</v>
      </c>
      <c r="AC47" s="20" t="n">
        <f aca="false">AF47+V47*Slot1_BufPot*X47</f>
        <v>22551.8634130975</v>
      </c>
      <c r="AD47" s="20" t="n">
        <f aca="false">IF(AND(V47=1,Slot1_IsMfree=1),IF(AA47&gt;=Slot1_Cost-1,0,MAX(0,L47-AA47)),L47)</f>
        <v>0</v>
      </c>
      <c r="AE47" s="20" t="n">
        <f aca="false">V47*(Slot1_Cost-AA47)</f>
        <v>0</v>
      </c>
      <c r="AF47" s="20" t="n">
        <f aca="false">QL46</f>
        <v>22551.8634130975</v>
      </c>
      <c r="AG47" s="20" t="n">
        <f aca="false">IF(AND(Slot2_On=1,D47=Slot2_Age),1,0)</f>
        <v>0</v>
      </c>
      <c r="AH47" s="20" t="n">
        <f aca="false">IF(AND(Slot2_On=1,Slot2_Age&gt;D47),1,0)</f>
        <v>0</v>
      </c>
      <c r="AI47" s="20" t="n">
        <f aca="false">QQ46</f>
        <v>0</v>
      </c>
      <c r="AJ47" s="20" t="n">
        <f aca="false">AG47*MIN(Slot2_Cost,AI47)</f>
        <v>0</v>
      </c>
      <c r="AK47" s="20" t="n">
        <f aca="false">AG47*Slot2_SpendLike*MIN(Slot2_Cost-AJ47,AB47)</f>
        <v>0</v>
      </c>
      <c r="AL47" s="20" t="n">
        <f aca="false">AJ47+AK47</f>
        <v>0</v>
      </c>
      <c r="AM47" s="20" t="n">
        <f aca="false">AB47-AK47+AG47*IF(Slot2_SpendLike=1,AI47-AJ47,IF(Slot2_PotFree=1,AI47,0))</f>
        <v>476.710045234059</v>
      </c>
      <c r="AN47" s="20" t="n">
        <f aca="false">AC47+AG47*Slot2_BufPot*AI47</f>
        <v>22551.8634130975</v>
      </c>
      <c r="AO47" s="20" t="n">
        <f aca="false">IF(AND(AG47=1,Slot2_IsMfree=1),IF(AL47&gt;=Slot2_Cost-1,0,MAX(0,AD47-AL47)),AD47)</f>
        <v>0</v>
      </c>
      <c r="AP47" s="20" t="n">
        <f aca="false">AG47*(Slot2_Cost-AL47)</f>
        <v>0</v>
      </c>
      <c r="AQ47" s="20" t="n">
        <f aca="false">IF(AND(Slot3_On=1,D47=Slot3_Age),1,0)</f>
        <v>0</v>
      </c>
      <c r="AR47" s="20" t="n">
        <f aca="false">IF(AND(Slot3_On=1,Slot3_Age&gt;D47),1,0)</f>
        <v>0</v>
      </c>
      <c r="AS47" s="20" t="n">
        <f aca="false">QU46</f>
        <v>0</v>
      </c>
      <c r="AT47" s="20" t="n">
        <f aca="false">AQ47*MIN(Slot3_Cost,AS47)</f>
        <v>0</v>
      </c>
      <c r="AU47" s="20" t="n">
        <f aca="false">AQ47*Slot3_SpendLike*MIN(Slot3_Cost-AT47,AM47)</f>
        <v>0</v>
      </c>
      <c r="AV47" s="20" t="n">
        <f aca="false">AT47+AU47</f>
        <v>0</v>
      </c>
      <c r="AW47" s="20" t="n">
        <f aca="false">AM47-AU47+AQ47*IF(Slot3_SpendLike=1,AS47-AT47,IF(Slot3_PotFree=1,AS47,0))</f>
        <v>476.710045234059</v>
      </c>
      <c r="AX47" s="20" t="n">
        <f aca="false">AN47+AQ47*Slot3_BufPot*AS47</f>
        <v>22551.8634130975</v>
      </c>
      <c r="AY47" s="20" t="n">
        <f aca="false">IF(AND(AQ47=1,Slot3_IsMfree=1),IF(AV47&gt;=Slot3_Cost-1,0,MAX(0,AO47-AV47)),AO47)</f>
        <v>0</v>
      </c>
      <c r="AZ47" s="20" t="n">
        <f aca="false">AQ47*(Slot3_Cost-AV47)</f>
        <v>0</v>
      </c>
      <c r="BA47" s="20" t="n">
        <f aca="false">IF(AND(Slot4_On=1,D47=Slot4_Age),1,0)</f>
        <v>0</v>
      </c>
      <c r="BB47" s="20" t="n">
        <f aca="false">IF(AND(Slot4_On=1,Slot4_Age&gt;D47),1,0)</f>
        <v>0</v>
      </c>
      <c r="BC47" s="20" t="n">
        <f aca="false">QY46</f>
        <v>0</v>
      </c>
      <c r="BD47" s="20" t="n">
        <f aca="false">BA47*MIN(Slot4_Cost,BC47)</f>
        <v>0</v>
      </c>
      <c r="BE47" s="20" t="n">
        <f aca="false">BA47*Slot4_SpendLike*MIN(Slot4_Cost-BD47,AW47)</f>
        <v>0</v>
      </c>
      <c r="BF47" s="20" t="n">
        <f aca="false">BD47+BE47</f>
        <v>0</v>
      </c>
      <c r="BG47" s="20" t="n">
        <f aca="false">AW47-BE47+BA47*IF(Slot4_SpendLike=1,BC47-BD47,IF(Slot4_PotFree=1,BC47,0))</f>
        <v>476.710045234059</v>
      </c>
      <c r="BH47" s="20" t="n">
        <f aca="false">AX47+BA47*Slot4_BufPot*BC47</f>
        <v>22551.8634130975</v>
      </c>
      <c r="BI47" s="20" t="n">
        <f aca="false">IF(AND(BA47=1,Slot4_IsMfree=1),IF(BF47&gt;=Slot4_Cost-1,0,MAX(0,AY47-BF47)),AY47)</f>
        <v>0</v>
      </c>
      <c r="BJ47" s="20" t="n">
        <f aca="false">BA47*(Slot4_Cost-BF47)</f>
        <v>0</v>
      </c>
      <c r="BK47" s="20" t="n">
        <f aca="false">IF(AND(Slot5_On=1,D47=Slot5_Age),1,0)</f>
        <v>0</v>
      </c>
      <c r="BL47" s="20" t="n">
        <f aca="false">IF(AND(Slot5_On=1,Slot5_Age&gt;D47),1,0)</f>
        <v>0</v>
      </c>
      <c r="BM47" s="20" t="n">
        <f aca="false">RC46</f>
        <v>0</v>
      </c>
      <c r="BN47" s="20" t="n">
        <f aca="false">BK47*MIN(Slot5_Cost,BM47)</f>
        <v>0</v>
      </c>
      <c r="BO47" s="20" t="n">
        <f aca="false">BK47*Slot5_SpendLike*MIN(Slot5_Cost-BN47,BG47)</f>
        <v>0</v>
      </c>
      <c r="BP47" s="20" t="n">
        <f aca="false">BN47+BO47</f>
        <v>0</v>
      </c>
      <c r="BQ47" s="20" t="n">
        <f aca="false">BG47-BO47+BK47*IF(Slot5_SpendLike=1,BM47-BN47,IF(Slot5_PotFree=1,BM47,0))</f>
        <v>476.710045234059</v>
      </c>
      <c r="BR47" s="20" t="n">
        <f aca="false">BH47+BK47*Slot5_BufPot*BM47</f>
        <v>22551.8634130975</v>
      </c>
      <c r="BS47" s="20" t="n">
        <f aca="false">IF(AND(BK47=1,Slot5_IsMfree=1),IF(BP47&gt;=Slot5_Cost-1,0,MAX(0,BI47-BP47)),BI47)</f>
        <v>0</v>
      </c>
      <c r="BT47" s="20" t="n">
        <f aca="false">BK47*(Slot5_Cost-BP47)</f>
        <v>0</v>
      </c>
      <c r="BU47" s="20" t="n">
        <f aca="false">IF(AND(Slot6_On=1,D47=Slot6_Age),1,0)</f>
        <v>0</v>
      </c>
      <c r="BV47" s="20" t="n">
        <f aca="false">IF(AND(Slot6_On=1,Slot6_Age&gt;D47),1,0)</f>
        <v>0</v>
      </c>
      <c r="BW47" s="20" t="n">
        <f aca="false">RG46</f>
        <v>0</v>
      </c>
      <c r="BX47" s="20" t="n">
        <f aca="false">BU47*MIN(Slot6_Cost,BW47)</f>
        <v>0</v>
      </c>
      <c r="BY47" s="20" t="n">
        <f aca="false">BU47*Slot6_SpendLike*MIN(Slot6_Cost-BX47,BQ47)</f>
        <v>0</v>
      </c>
      <c r="BZ47" s="20" t="n">
        <f aca="false">BX47+BY47</f>
        <v>0</v>
      </c>
      <c r="CA47" s="20" t="n">
        <f aca="false">BQ47-BY47+BU47*IF(Slot6_SpendLike=1,BW47-BX47,IF(Slot6_PotFree=1,BW47,0))</f>
        <v>476.710045234059</v>
      </c>
      <c r="CB47" s="20" t="n">
        <f aca="false">BR47+BU47*Slot6_BufPot*BW47</f>
        <v>22551.8634130975</v>
      </c>
      <c r="CC47" s="20" t="n">
        <f aca="false">IF(AND(BU47=1,Slot6_IsMfree=1),IF(BZ47&gt;=Slot6_Cost-1,0,MAX(0,BS47-BZ47)),BS47)</f>
        <v>0</v>
      </c>
      <c r="CD47" s="20" t="n">
        <f aca="false">BU47*(Slot6_Cost-BZ47)</f>
        <v>0</v>
      </c>
      <c r="CE47" s="20" t="n">
        <f aca="false">IF(AND(Slot7_On=1,D47=Slot7_Age),1,0)</f>
        <v>0</v>
      </c>
      <c r="CF47" s="20" t="n">
        <f aca="false">IF(AND(Slot7_On=1,Slot7_Age&gt;D47),1,0)</f>
        <v>0</v>
      </c>
      <c r="CG47" s="20" t="n">
        <f aca="false">RK46</f>
        <v>0</v>
      </c>
      <c r="CH47" s="20" t="n">
        <f aca="false">CE47*MIN(Slot7_Cost,CG47)</f>
        <v>0</v>
      </c>
      <c r="CI47" s="20" t="n">
        <f aca="false">CE47*Slot7_SpendLike*MIN(Slot7_Cost-CH47,CA47)</f>
        <v>0</v>
      </c>
      <c r="CJ47" s="20" t="n">
        <f aca="false">CH47+CI47</f>
        <v>0</v>
      </c>
      <c r="CK47" s="20" t="n">
        <f aca="false">CA47-CI47+CE47*IF(Slot7_SpendLike=1,CG47-CH47,IF(Slot7_PotFree=1,CG47,0))</f>
        <v>476.710045234059</v>
      </c>
      <c r="CL47" s="20" t="n">
        <f aca="false">CB47+CE47*Slot7_BufPot*CG47</f>
        <v>22551.8634130975</v>
      </c>
      <c r="CM47" s="20" t="n">
        <f aca="false">IF(AND(CE47=1,Slot7_IsMfree=1),IF(CJ47&gt;=Slot7_Cost-1,0,MAX(0,CC47-CJ47)),CC47)</f>
        <v>0</v>
      </c>
      <c r="CN47" s="20" t="n">
        <f aca="false">CE47*(Slot7_Cost-CJ47)</f>
        <v>0</v>
      </c>
      <c r="CO47" s="20" t="n">
        <f aca="false">IF(AND(Slot8_On=1,D47=Slot8_Age),1,0)</f>
        <v>0</v>
      </c>
      <c r="CP47" s="20" t="n">
        <f aca="false">IF(AND(Slot8_On=1,Slot8_Age&gt;D47),1,0)</f>
        <v>0</v>
      </c>
      <c r="CQ47" s="20" t="n">
        <f aca="false">RO46</f>
        <v>0</v>
      </c>
      <c r="CR47" s="20" t="n">
        <f aca="false">CO47*MIN(Slot8_Cost,CQ47)</f>
        <v>0</v>
      </c>
      <c r="CS47" s="20" t="n">
        <f aca="false">CO47*Slot8_SpendLike*MIN(Slot8_Cost-CR47,CK47)</f>
        <v>0</v>
      </c>
      <c r="CT47" s="20" t="n">
        <f aca="false">CR47+CS47</f>
        <v>0</v>
      </c>
      <c r="CU47" s="20" t="n">
        <f aca="false">CK47-CS47+CO47*IF(Slot8_SpendLike=1,CQ47-CR47,IF(Slot8_PotFree=1,CQ47,0))</f>
        <v>476.710045234059</v>
      </c>
      <c r="CV47" s="20" t="n">
        <f aca="false">CL47+CO47*Slot8_BufPot*CQ47</f>
        <v>22551.8634130975</v>
      </c>
      <c r="CW47" s="20" t="n">
        <f aca="false">IF(AND(CO47=1,Slot8_IsMfree=1),IF(CT47&gt;=Slot8_Cost-1,0,MAX(0,CM47-CT47)),CM47)</f>
        <v>0</v>
      </c>
      <c r="CX47" s="20" t="n">
        <f aca="false">CO47*(Slot8_Cost-CT47)</f>
        <v>0</v>
      </c>
      <c r="CY47" s="20" t="n">
        <f aca="false">IF(AND(Slot9_On=1,D47=Slot9_Age),1,0)</f>
        <v>0</v>
      </c>
      <c r="CZ47" s="20" t="n">
        <f aca="false">IF(AND(Slot9_On=1,Slot9_Age&gt;D47),1,0)</f>
        <v>0</v>
      </c>
      <c r="DA47" s="20" t="n">
        <f aca="false">RS46</f>
        <v>0</v>
      </c>
      <c r="DB47" s="20" t="n">
        <f aca="false">CY47*MIN(Slot9_Cost,DA47)</f>
        <v>0</v>
      </c>
      <c r="DC47" s="20" t="n">
        <f aca="false">CY47*Slot9_SpendLike*MIN(Slot9_Cost-DB47,CU47)</f>
        <v>0</v>
      </c>
      <c r="DD47" s="20" t="n">
        <f aca="false">DB47+DC47</f>
        <v>0</v>
      </c>
      <c r="DE47" s="20" t="n">
        <f aca="false">CU47-DC47+CY47*IF(Slot9_SpendLike=1,DA47-DB47,IF(Slot9_PotFree=1,DA47,0))</f>
        <v>476.710045234059</v>
      </c>
      <c r="DF47" s="20" t="n">
        <f aca="false">CV47+CY47*Slot9_BufPot*DA47</f>
        <v>22551.8634130975</v>
      </c>
      <c r="DG47" s="20" t="n">
        <f aca="false">IF(AND(CY47=1,Slot9_IsMfree=1),IF(DD47&gt;=Slot9_Cost-1,0,MAX(0,CW47-DD47)),CW47)</f>
        <v>0</v>
      </c>
      <c r="DH47" s="20" t="n">
        <f aca="false">CY47*(Slot9_Cost-DD47)</f>
        <v>0</v>
      </c>
      <c r="DI47" s="20" t="n">
        <f aca="false">IF(AND(Slot10_On=1,D47=Slot10_Age),1,0)</f>
        <v>0</v>
      </c>
      <c r="DJ47" s="20" t="n">
        <f aca="false">IF(AND(Slot10_On=1,Slot10_Age&gt;D47),1,0)</f>
        <v>0</v>
      </c>
      <c r="DK47" s="20" t="n">
        <f aca="false">RW46</f>
        <v>0</v>
      </c>
      <c r="DL47" s="20" t="n">
        <f aca="false">DI47*MIN(Slot10_Cost,DK47)</f>
        <v>0</v>
      </c>
      <c r="DM47" s="20" t="n">
        <f aca="false">DI47*Slot10_SpendLike*MIN(Slot10_Cost-DL47,DE47)</f>
        <v>0</v>
      </c>
      <c r="DN47" s="20" t="n">
        <f aca="false">DL47+DM47</f>
        <v>0</v>
      </c>
      <c r="DO47" s="20" t="n">
        <f aca="false">DE47-DM47+DI47*IF(Slot10_SpendLike=1,DK47-DL47,IF(Slot10_PotFree=1,DK47,0))</f>
        <v>476.710045234059</v>
      </c>
      <c r="DP47" s="20" t="n">
        <f aca="false">DF47+DI47*Slot10_BufPot*DK47</f>
        <v>22551.8634130975</v>
      </c>
      <c r="DQ47" s="20" t="n">
        <f aca="false">IF(AND(DI47=1,Slot10_IsMfree=1),IF(DN47&gt;=Slot10_Cost-1,0,MAX(0,DG47-DN47)),DG47)</f>
        <v>0</v>
      </c>
      <c r="DR47" s="20" t="n">
        <f aca="false">DI47*(Slot10_Cost-DN47)</f>
        <v>0</v>
      </c>
      <c r="DS47" s="20" t="n">
        <f aca="false">IF(AND(Slot11_On=1,D47=Slot11_Age),1,0)</f>
        <v>0</v>
      </c>
      <c r="DT47" s="20" t="n">
        <f aca="false">IF(AND(Slot11_On=1,Slot11_Age&gt;D47),1,0)</f>
        <v>0</v>
      </c>
      <c r="DU47" s="20" t="n">
        <f aca="false">SA46</f>
        <v>0</v>
      </c>
      <c r="DV47" s="20" t="n">
        <f aca="false">DS47*MIN(Slot11_Cost,DU47)</f>
        <v>0</v>
      </c>
      <c r="DW47" s="20" t="n">
        <f aca="false">DS47*Slot11_SpendLike*MIN(Slot11_Cost-DV47,DO47)</f>
        <v>0</v>
      </c>
      <c r="DX47" s="20" t="n">
        <f aca="false">DV47+DW47</f>
        <v>0</v>
      </c>
      <c r="DY47" s="20" t="n">
        <f aca="false">DO47-DW47+DS47*IF(Slot11_SpendLike=1,DU47-DV47,IF(Slot11_PotFree=1,DU47,0))</f>
        <v>476.710045234059</v>
      </c>
      <c r="DZ47" s="20" t="n">
        <f aca="false">DP47+DS47*Slot11_BufPot*DU47</f>
        <v>22551.8634130975</v>
      </c>
      <c r="EA47" s="20" t="n">
        <f aca="false">IF(AND(DS47=1,Slot11_IsMfree=1),IF(DX47&gt;=Slot11_Cost-1,0,MAX(0,DQ47-DX47)),DQ47)</f>
        <v>0</v>
      </c>
      <c r="EB47" s="20" t="n">
        <f aca="false">DS47*(Slot11_Cost-DX47)</f>
        <v>0</v>
      </c>
      <c r="EC47" s="20" t="n">
        <f aca="false">IF(AND(Slot12_On=1,D47=Slot12_Age),1,0)</f>
        <v>0</v>
      </c>
      <c r="ED47" s="20" t="n">
        <f aca="false">IF(AND(Slot12_On=1,Slot12_Age&gt;D47),1,0)</f>
        <v>0</v>
      </c>
      <c r="EE47" s="20" t="n">
        <f aca="false">SE46</f>
        <v>0</v>
      </c>
      <c r="EF47" s="20" t="n">
        <f aca="false">EC47*MIN(Slot12_Cost,EE47)</f>
        <v>0</v>
      </c>
      <c r="EG47" s="20" t="n">
        <f aca="false">EC47*Slot12_SpendLike*MIN(Slot12_Cost-EF47,DY47)</f>
        <v>0</v>
      </c>
      <c r="EH47" s="20" t="n">
        <f aca="false">EF47+EG47</f>
        <v>0</v>
      </c>
      <c r="EI47" s="20" t="n">
        <f aca="false">DY47-EG47+EC47*IF(Slot12_SpendLike=1,EE47-EF47,IF(Slot12_PotFree=1,EE47,0))</f>
        <v>476.710045234059</v>
      </c>
      <c r="EJ47" s="20" t="n">
        <f aca="false">DZ47+EC47*Slot12_BufPot*EE47</f>
        <v>22551.8634130975</v>
      </c>
      <c r="EK47" s="20" t="n">
        <f aca="false">IF(AND(EC47=1,Slot12_IsMfree=1),IF(EH47&gt;=Slot12_Cost-1,0,MAX(0,EA47-EH47)),EA47)</f>
        <v>0</v>
      </c>
      <c r="EL47" s="20" t="n">
        <f aca="false">EC47*(Slot12_Cost-EH47)</f>
        <v>0</v>
      </c>
      <c r="EM47" s="20" t="n">
        <f aca="false">IF(AND(Slot13_On=1,D47=Slot13_Age),1,0)</f>
        <v>0</v>
      </c>
      <c r="EN47" s="20" t="n">
        <f aca="false">IF(AND(Slot13_On=1,Slot13_Age&gt;D47),1,0)</f>
        <v>0</v>
      </c>
      <c r="EO47" s="20" t="n">
        <f aca="false">SI46</f>
        <v>0</v>
      </c>
      <c r="EP47" s="20" t="n">
        <f aca="false">EM47*MIN(Slot13_Cost,EO47)</f>
        <v>0</v>
      </c>
      <c r="EQ47" s="20" t="n">
        <f aca="false">EM47*Slot13_SpendLike*MIN(Slot13_Cost-EP47,EI47)</f>
        <v>0</v>
      </c>
      <c r="ER47" s="20" t="n">
        <f aca="false">EP47+EQ47</f>
        <v>0</v>
      </c>
      <c r="ES47" s="20" t="n">
        <f aca="false">EI47-EQ47+EM47*IF(Slot13_SpendLike=1,EO47-EP47,IF(Slot13_PotFree=1,EO47,0))</f>
        <v>476.710045234059</v>
      </c>
      <c r="ET47" s="20" t="n">
        <f aca="false">EJ47+EM47*Slot13_BufPot*EO47</f>
        <v>22551.8634130975</v>
      </c>
      <c r="EU47" s="20" t="n">
        <f aca="false">IF(AND(EM47=1,Slot13_IsMfree=1),IF(ER47&gt;=Slot13_Cost-1,0,MAX(0,EK47-ER47)),EK47)</f>
        <v>0</v>
      </c>
      <c r="EV47" s="20" t="n">
        <f aca="false">EM47*(Slot13_Cost-ER47)</f>
        <v>0</v>
      </c>
      <c r="EW47" s="20" t="n">
        <f aca="false">IF(AND(Slot14_On=1,D47=Slot14_Age),1,0)</f>
        <v>0</v>
      </c>
      <c r="EX47" s="20" t="n">
        <f aca="false">IF(AND(Slot14_On=1,Slot14_Age&gt;D47),1,0)</f>
        <v>0</v>
      </c>
      <c r="EY47" s="20" t="n">
        <f aca="false">SM46</f>
        <v>0</v>
      </c>
      <c r="EZ47" s="20" t="n">
        <f aca="false">EW47*MIN(Slot14_Cost,EY47)</f>
        <v>0</v>
      </c>
      <c r="FA47" s="20" t="n">
        <f aca="false">EW47*Slot14_SpendLike*MIN(Slot14_Cost-EZ47,ES47)</f>
        <v>0</v>
      </c>
      <c r="FB47" s="20" t="n">
        <f aca="false">EZ47+FA47</f>
        <v>0</v>
      </c>
      <c r="FC47" s="20" t="n">
        <f aca="false">ES47-FA47+EW47*IF(Slot14_SpendLike=1,EY47-EZ47,IF(Slot14_PotFree=1,EY47,0))</f>
        <v>476.710045234059</v>
      </c>
      <c r="FD47" s="20" t="n">
        <f aca="false">ET47+EW47*Slot14_BufPot*EY47</f>
        <v>22551.8634130975</v>
      </c>
      <c r="FE47" s="20" t="n">
        <f aca="false">IF(AND(EW47=1,Slot14_IsMfree=1),IF(FB47&gt;=Slot14_Cost-1,0,MAX(0,EU47-FB47)),EU47)</f>
        <v>0</v>
      </c>
      <c r="FF47" s="20" t="n">
        <f aca="false">EW47*(Slot14_Cost-FB47)</f>
        <v>0</v>
      </c>
      <c r="FG47" s="20" t="n">
        <f aca="false">IF(AND(Slot15_On=1,D47=Slot15_Age),1,0)</f>
        <v>0</v>
      </c>
      <c r="FH47" s="20" t="n">
        <f aca="false">IF(AND(Slot15_On=1,Slot15_Age&gt;D47),1,0)</f>
        <v>0</v>
      </c>
      <c r="FI47" s="20" t="n">
        <f aca="false">SQ46</f>
        <v>0</v>
      </c>
      <c r="FJ47" s="20" t="n">
        <f aca="false">FG47*MIN(Slot15_Cost,FI47)</f>
        <v>0</v>
      </c>
      <c r="FK47" s="20" t="n">
        <f aca="false">FG47*Slot15_SpendLike*MIN(Slot15_Cost-FJ47,FC47)</f>
        <v>0</v>
      </c>
      <c r="FL47" s="20" t="n">
        <f aca="false">FJ47+FK47</f>
        <v>0</v>
      </c>
      <c r="FM47" s="20" t="n">
        <f aca="false">FC47-FK47+FG47*IF(Slot15_SpendLike=1,FI47-FJ47,IF(Slot15_PotFree=1,FI47,0))</f>
        <v>476.710045234059</v>
      </c>
      <c r="FN47" s="20" t="n">
        <f aca="false">FD47+FG47*Slot15_BufPot*FI47</f>
        <v>22551.8634130975</v>
      </c>
      <c r="FO47" s="20" t="n">
        <f aca="false">IF(AND(FG47=1,Slot15_IsMfree=1),IF(FL47&gt;=Slot15_Cost-1,0,MAX(0,FE47-FL47)),FE47)</f>
        <v>0</v>
      </c>
      <c r="FP47" s="20" t="n">
        <f aca="false">FG47*(Slot15_Cost-FL47)</f>
        <v>0</v>
      </c>
      <c r="FQ47" s="20" t="n">
        <f aca="false">IF(AND(Slot16_On=1,D47=Slot16_Age),1,0)</f>
        <v>0</v>
      </c>
      <c r="FR47" s="20" t="n">
        <f aca="false">IF(AND(Slot16_On=1,Slot16_Age&gt;D47),1,0)</f>
        <v>0</v>
      </c>
      <c r="FS47" s="20" t="n">
        <f aca="false">SU46</f>
        <v>0</v>
      </c>
      <c r="FT47" s="20" t="n">
        <f aca="false">FQ47*MIN(Slot16_Cost,FS47)</f>
        <v>0</v>
      </c>
      <c r="FU47" s="20" t="n">
        <f aca="false">FQ47*Slot16_SpendLike*MIN(Slot16_Cost-FT47,FM47)</f>
        <v>0</v>
      </c>
      <c r="FV47" s="20" t="n">
        <f aca="false">FT47+FU47</f>
        <v>0</v>
      </c>
      <c r="FW47" s="20" t="n">
        <f aca="false">FM47-FU47+FQ47*IF(Slot16_SpendLike=1,FS47-FT47,IF(Slot16_PotFree=1,FS47,0))</f>
        <v>476.710045234059</v>
      </c>
      <c r="FX47" s="20" t="n">
        <f aca="false">FN47+FQ47*Slot16_BufPot*FS47</f>
        <v>22551.8634130975</v>
      </c>
      <c r="FY47" s="20" t="n">
        <f aca="false">IF(AND(FQ47=1,Slot16_IsMfree=1),IF(FV47&gt;=Slot16_Cost-1,0,MAX(0,FO47-FV47)),FO47)</f>
        <v>0</v>
      </c>
      <c r="FZ47" s="20" t="n">
        <f aca="false">FQ47*(Slot16_Cost-FV47)</f>
        <v>0</v>
      </c>
      <c r="GA47" s="20" t="n">
        <f aca="false">IF(AND(Slot17_On=1,D47=Slot17_Age),1,0)</f>
        <v>0</v>
      </c>
      <c r="GB47" s="20" t="n">
        <f aca="false">IF(AND(Slot17_On=1,Slot17_Age&gt;D47),1,0)</f>
        <v>0</v>
      </c>
      <c r="GC47" s="20" t="n">
        <f aca="false">SY46</f>
        <v>0</v>
      </c>
      <c r="GD47" s="20" t="n">
        <f aca="false">GA47*MIN(Slot17_Cost,GC47)</f>
        <v>0</v>
      </c>
      <c r="GE47" s="20" t="n">
        <f aca="false">GA47*Slot17_SpendLike*MIN(Slot17_Cost-GD47,FW47)</f>
        <v>0</v>
      </c>
      <c r="GF47" s="20" t="n">
        <f aca="false">GD47+GE47</f>
        <v>0</v>
      </c>
      <c r="GG47" s="20" t="n">
        <f aca="false">FW47-GE47+GA47*IF(Slot17_SpendLike=1,GC47-GD47,IF(Slot17_PotFree=1,GC47,0))</f>
        <v>476.710045234059</v>
      </c>
      <c r="GH47" s="20" t="n">
        <f aca="false">FX47+GA47*Slot17_BufPot*GC47</f>
        <v>22551.8634130975</v>
      </c>
      <c r="GI47" s="20" t="n">
        <f aca="false">IF(AND(GA47=1,Slot17_IsMfree=1),IF(GF47&gt;=Slot17_Cost-1,0,MAX(0,FY47-GF47)),FY47)</f>
        <v>0</v>
      </c>
      <c r="GJ47" s="20" t="n">
        <f aca="false">GA47*(Slot17_Cost-GF47)</f>
        <v>0</v>
      </c>
      <c r="GK47" s="20" t="n">
        <f aca="false">IF(AND(Slot18_On=1,D47=Slot18_Age),1,0)</f>
        <v>0</v>
      </c>
      <c r="GL47" s="20" t="n">
        <f aca="false">IF(AND(Slot18_On=1,Slot18_Age&gt;D47),1,0)</f>
        <v>0</v>
      </c>
      <c r="GM47" s="20" t="n">
        <f aca="false">TC46</f>
        <v>0</v>
      </c>
      <c r="GN47" s="20" t="n">
        <f aca="false">GK47*MIN(Slot18_Cost,GM47)</f>
        <v>0</v>
      </c>
      <c r="GO47" s="20" t="n">
        <f aca="false">GK47*Slot18_SpendLike*MIN(Slot18_Cost-GN47,GG47)</f>
        <v>0</v>
      </c>
      <c r="GP47" s="20" t="n">
        <f aca="false">GN47+GO47</f>
        <v>0</v>
      </c>
      <c r="GQ47" s="20" t="n">
        <f aca="false">GG47-GO47+GK47*IF(Slot18_SpendLike=1,GM47-GN47,IF(Slot18_PotFree=1,GM47,0))</f>
        <v>476.710045234059</v>
      </c>
      <c r="GR47" s="20" t="n">
        <f aca="false">GH47+GK47*Slot18_BufPot*GM47</f>
        <v>22551.8634130975</v>
      </c>
      <c r="GS47" s="20" t="n">
        <f aca="false">IF(AND(GK47=1,Slot18_IsMfree=1),IF(GP47&gt;=Slot18_Cost-1,0,MAX(0,GI47-GP47)),GI47)</f>
        <v>0</v>
      </c>
      <c r="GT47" s="20" t="n">
        <f aca="false">GK47*(Slot18_Cost-GP47)</f>
        <v>0</v>
      </c>
      <c r="GU47" s="20" t="n">
        <f aca="false">IF(AND(Slot19_On=1,D47=Slot19_Age),1,0)</f>
        <v>0</v>
      </c>
      <c r="GV47" s="20" t="n">
        <f aca="false">IF(AND(Slot19_On=1,Slot19_Age&gt;D47),1,0)</f>
        <v>0</v>
      </c>
      <c r="GW47" s="20" t="n">
        <f aca="false">TG46</f>
        <v>0</v>
      </c>
      <c r="GX47" s="20" t="n">
        <f aca="false">GU47*MIN(Slot19_Cost,GW47)</f>
        <v>0</v>
      </c>
      <c r="GY47" s="20" t="n">
        <f aca="false">GU47*Slot19_SpendLike*MIN(Slot19_Cost-GX47,GQ47)</f>
        <v>0</v>
      </c>
      <c r="GZ47" s="20" t="n">
        <f aca="false">GX47+GY47</f>
        <v>0</v>
      </c>
      <c r="HA47" s="20" t="n">
        <f aca="false">GQ47-GY47+GU47*IF(Slot19_SpendLike=1,GW47-GX47,IF(Slot19_PotFree=1,GW47,0))</f>
        <v>476.710045234059</v>
      </c>
      <c r="HB47" s="20" t="n">
        <f aca="false">GR47+GU47*Slot19_BufPot*GW47</f>
        <v>22551.8634130975</v>
      </c>
      <c r="HC47" s="20" t="n">
        <f aca="false">IF(AND(GU47=1,Slot19_IsMfree=1),IF(GZ47&gt;=Slot19_Cost-1,0,MAX(0,GS47-GZ47)),GS47)</f>
        <v>0</v>
      </c>
      <c r="HD47" s="20" t="n">
        <f aca="false">GU47*(Slot19_Cost-GZ47)</f>
        <v>0</v>
      </c>
      <c r="HE47" s="20" t="n">
        <f aca="false">IF(AND(Slot20_On=1,D47=Slot20_Age),1,0)</f>
        <v>0</v>
      </c>
      <c r="HF47" s="20" t="n">
        <f aca="false">IF(AND(Slot20_On=1,Slot20_Age&gt;D47),1,0)</f>
        <v>0</v>
      </c>
      <c r="HG47" s="20" t="n">
        <f aca="false">TK46</f>
        <v>0</v>
      </c>
      <c r="HH47" s="20" t="n">
        <f aca="false">HE47*MIN(Slot20_Cost,HG47)</f>
        <v>0</v>
      </c>
      <c r="HI47" s="20" t="n">
        <f aca="false">HE47*Slot20_SpendLike*MIN(Slot20_Cost-HH47,HA47)</f>
        <v>0</v>
      </c>
      <c r="HJ47" s="20" t="n">
        <f aca="false">HH47+HI47</f>
        <v>0</v>
      </c>
      <c r="HK47" s="20" t="n">
        <f aca="false">HA47-HI47+HE47*IF(Slot20_SpendLike=1,HG47-HH47,IF(Slot20_PotFree=1,HG47,0))</f>
        <v>476.710045234059</v>
      </c>
      <c r="HL47" s="20" t="n">
        <f aca="false">HB47+HE47*Slot20_BufPot*HG47</f>
        <v>22551.8634130975</v>
      </c>
      <c r="HM47" s="20" t="n">
        <f aca="false">IF(AND(HE47=1,Slot20_IsMfree=1),IF(HJ47&gt;=Slot20_Cost-1,0,MAX(0,HC47-HJ47)),HC47)</f>
        <v>0</v>
      </c>
      <c r="HN47" s="20" t="n">
        <f aca="false">HE47*(Slot20_Cost-HJ47)</f>
        <v>0</v>
      </c>
      <c r="HO47" s="20" t="n">
        <f aca="false">V47*Slot1_SpendLike*AA47+AG47*Slot2_SpendLike*AL47+AQ47*Slot3_SpendLike*AV47+BA47*Slot4_SpendLike*BF47+BK47*Slot5_SpendLike*BP47+BU47*Slot6_SpendLike*BZ47+CE47*Slot7_SpendLike*CJ47+CO47*Slot8_SpendLike*CT47+CY47*Slot9_SpendLike*DD47+DI47*Slot10_SpendLike*DN47+DS47*Slot11_SpendLike*DX47+EC47*Slot12_SpendLike*EH47+EM47*Slot13_SpendLike*ER47+EW47*Slot14_SpendLike*FB47+FG47*Slot15_SpendLike*FL47+FQ47*Slot16_SpendLike*FV47+GA47*Slot17_SpendLike*GF47+GK47*Slot18_SpendLike*GP47+GU47*Slot19_SpendLike*GZ47+HE47*Slot20_SpendLike*HJ47</f>
        <v>0</v>
      </c>
      <c r="HP47" s="20" t="n">
        <f aca="false">AE47+AP47+AZ47+BJ47+BT47+CD47+CN47+CX47+DH47+DR47+EB47+EL47+EV47+FF47+FP47+FZ47+GJ47+GT47+HD47+HN47</f>
        <v>0</v>
      </c>
      <c r="HQ47" s="20" t="n">
        <f aca="false">V47*Slot1_Cost+AG47*Slot2_Cost+AQ47*Slot3_Cost+BA47*Slot4_Cost+BK47*Slot5_Cost+BU47*Slot6_Cost+CE47*Slot7_Cost+CO47*Slot8_Cost+CY47*Slot9_Cost+DI47*Slot10_Cost+DS47*Slot11_Cost+EC47*Slot12_Cost+EM47*Slot13_Cost+EW47*Slot14_Cost+FG47*Slot15_Cost+FQ47*Slot16_Cost+GA47*Slot17_Cost+GK47*Slot18_Cost+GU47*Slot19_Cost+HE47*Slot20_Cost</f>
        <v>0</v>
      </c>
      <c r="HR47" s="20" t="n">
        <f aca="false">HM47</f>
        <v>0</v>
      </c>
      <c r="HS47" s="20" t="n">
        <f aca="false">H47-I47-S47</f>
        <v>-24981.5665896585</v>
      </c>
      <c r="HT47" s="20" t="n">
        <f aca="false">IF(B47=0,IF(AND(Has_q6=1,In_q6=4),PR_ShareVaries*(MAX(0,HS47)/12),MIN(IF(Has_q6=1,CHOOSE(In_q6+1,PR_SaveB1,PR_SaveB2,PR_SaveB3,PR_SaveB4,0),AS_NoAnswer),AS_SaveShare*(MAX(0,HS47)/12))),HT46)</f>
        <v>62.3316893520437</v>
      </c>
      <c r="HU47" s="20" t="n">
        <f aca="false">IF(HS47&gt;=0,1,0)</f>
        <v>0</v>
      </c>
      <c r="HV47" s="20" t="n">
        <f aca="false">MAX(0,HS47/12/F47)</f>
        <v>0</v>
      </c>
      <c r="HW47" s="20" t="n">
        <f aca="false">IF(AND(Has_q6=1,In_q6=4),PR_ShareVaries*(HV47),MIN(IF(Has_q6=1,CHOOSE(In_q6+1,PR_SaveB1,PR_SaveB2,PR_SaveB3,PR_SaveB4,0),AS_NoAnswer),AS_SaveShare*(HV47)))</f>
        <v>0</v>
      </c>
      <c r="HX47" s="20" t="n">
        <f aca="false">IF(Has_saveM=1,IF(In_saveUp="Yes",1,IF(In_saveUp="No",0,IF(In_saveM&gt;=HT47-0.5,1,0))),0)</f>
        <v>0</v>
      </c>
      <c r="HY47" s="20" t="n">
        <f aca="false">IF(Has_saveM=1,MIN(HV47,IF(HX47=1,MAX(In_saveM,HW47),MIN(In_saveM,HW47))),HW47)</f>
        <v>0</v>
      </c>
      <c r="HZ47" s="20" t="n">
        <f aca="false">IF(G47=1,HY47*12*F47,0)</f>
        <v>0</v>
      </c>
      <c r="IA47" s="20" t="n">
        <f aca="false">MAX(0,HZ47+IF(AND(WI_Retire=0,WI_M&lt;0,G47=1),WI_M*12*F47,0))</f>
        <v>0</v>
      </c>
      <c r="IB47" s="20" t="n">
        <f aca="false">Slot1_IsWG*W47+Slot2_IsWG*AH47+Slot3_IsWG*AR47+Slot4_IsWG*BB47+Slot5_IsWG*BL47+Slot6_IsWG*BV47+Slot7_IsWG*CF47+Slot8_IsWG*CP47+Slot9_IsWG*CZ47+Slot10_IsWG*DJ47+Slot11_IsWG*DT47+Slot12_IsWG*ED47+Slot13_IsWG*EN47+Slot14_IsWG*EX47+Slot15_IsWG*FH47+Slot16_IsWG*FR47+Slot17_IsWG*GB47+Slot18_IsWG*GL47+Slot19_IsWG*GV47+Slot20_IsWG*HF47</f>
        <v>0</v>
      </c>
      <c r="IC47" s="20" t="n">
        <f aca="false">IF(AND(WI_Retire=0,WI_M&gt;0,G47=1,IB47&gt;=1),WI_M*12*F47,0)</f>
        <v>0</v>
      </c>
      <c r="ID47" s="20" t="n">
        <f aca="false">IF(HU47=1,MIN(IA47,HS47),0)</f>
        <v>0</v>
      </c>
      <c r="IE47" s="20" t="n">
        <f aca="false">IF(HU47=1,MIN(IC47,HS47-ID47),0)</f>
        <v>0</v>
      </c>
      <c r="IF47" s="20" t="n">
        <f aca="false">IF(W47=1,IF(ABS((1+AS_Wage)/(1+Slot1_Rate)-1)&lt;0.000000000001,(Slot1_Age-D47)*(1+Slot1_Rate)^(Slot1_Age-D47),(1+Slot1_Rate)^(Slot1_Age-D47)*(1-((1+AS_Wage)/(1+Slot1_Rate))^(Slot1_Age-D47))/(1-(1+AS_Wage)/(1+Slot1_Rate))),1)</f>
        <v>1</v>
      </c>
      <c r="IG47" s="20" t="n">
        <f aca="false">IF(AND(HU47=1,IE47&gt;0,Slot1_IsWG=1,W47=1),MAX(0,(Slot1_Cost-X47*(1+Slot1_Rate)^(Slot1_Age-D47))/IF47),0)</f>
        <v>0</v>
      </c>
      <c r="IH47" s="20" t="n">
        <f aca="false">IF(AND(HU47=1,IE47&gt;0,Slot1_IsWG=1,W47=1),MIN(IE47,IG47),0)</f>
        <v>0</v>
      </c>
      <c r="II47" s="20" t="n">
        <f aca="false">X47+IH47</f>
        <v>0</v>
      </c>
      <c r="IJ47" s="20" t="n">
        <f aca="false">IF(W47=1,MAX(0,(Slot1_Cost-II47*(1+Slot1_Rate)^(Slot1_Age-D47))/IF47),0)</f>
        <v>0</v>
      </c>
      <c r="IK47" s="20" t="n">
        <f aca="false">IF(W47=1,MAX(0,(Slot1_Cost-X47*(1+Slot1_Rate)^(Slot1_Age-D47))/IF47),0)</f>
        <v>0</v>
      </c>
      <c r="IL47" s="20" t="n">
        <f aca="false">IF(AND(HU47=1,W47=1),MIN(ID47,IJ47),0)</f>
        <v>0</v>
      </c>
      <c r="IM47" s="20" t="n">
        <f aca="false">ID47-IL47</f>
        <v>0</v>
      </c>
      <c r="IN47" s="20" t="n">
        <f aca="false">IF(AH47=1,IF(ABS((1+AS_Wage)/(1+Slot2_Rate)-1)&lt;0.000000000001,(Slot2_Age-D47)*(1+Slot2_Rate)^(Slot2_Age-D47),(1+Slot2_Rate)^(Slot2_Age-D47)*(1-((1+AS_Wage)/(1+Slot2_Rate))^(Slot2_Age-D47))/(1-(1+AS_Wage)/(1+Slot2_Rate))),1)</f>
        <v>1</v>
      </c>
      <c r="IO47" s="20" t="n">
        <f aca="false">IF(AND(HU47=1,IE47&gt;0,Slot2_IsWG=1,AH47=1),MAX(0,(Slot2_Cost-AI47*(1+Slot2_Rate)^(Slot2_Age-D47))/IN47),0)</f>
        <v>0</v>
      </c>
      <c r="IP47" s="20" t="n">
        <f aca="false">IF(AND(HU47=1,IE47&gt;0,Slot2_IsWG=1,AH47=1),MIN(IE47,IO47),0)</f>
        <v>0</v>
      </c>
      <c r="IQ47" s="20" t="n">
        <f aca="false">AI47+IP47</f>
        <v>0</v>
      </c>
      <c r="IR47" s="20" t="n">
        <f aca="false">IF(AH47=1,MAX(0,(Slot2_Cost-IQ47*(1+Slot2_Rate)^(Slot2_Age-D47))/IN47),0)</f>
        <v>0</v>
      </c>
      <c r="IS47" s="20" t="n">
        <f aca="false">IF(AH47=1,MAX(0,(Slot2_Cost-AI47*(1+Slot2_Rate)^(Slot2_Age-D47))/IN47),0)</f>
        <v>0</v>
      </c>
      <c r="IT47" s="20" t="n">
        <f aca="false">IF(AND(HU47=1,AH47=1),MIN(IM47,IR47),0)</f>
        <v>0</v>
      </c>
      <c r="IU47" s="20" t="n">
        <f aca="false">IM47-IT47</f>
        <v>0</v>
      </c>
      <c r="IV47" s="20" t="n">
        <f aca="false">IF(AR47=1,IF(ABS((1+AS_Wage)/(1+Slot3_Rate)-1)&lt;0.000000000001,(Slot3_Age-D47)*(1+Slot3_Rate)^(Slot3_Age-D47),(1+Slot3_Rate)^(Slot3_Age-D47)*(1-((1+AS_Wage)/(1+Slot3_Rate))^(Slot3_Age-D47))/(1-(1+AS_Wage)/(1+Slot3_Rate))),1)</f>
        <v>1</v>
      </c>
      <c r="IW47" s="20" t="n">
        <f aca="false">IF(AND(HU47=1,IE47&gt;0,Slot3_IsWG=1,AR47=1),MAX(0,(Slot3_Cost-AS47*(1+Slot3_Rate)^(Slot3_Age-D47))/IV47),0)</f>
        <v>0</v>
      </c>
      <c r="IX47" s="20" t="n">
        <f aca="false">IF(AND(HU47=1,IE47&gt;0,Slot3_IsWG=1,AR47=1),MIN(IE47,IW47),0)</f>
        <v>0</v>
      </c>
      <c r="IY47" s="20" t="n">
        <f aca="false">AS47+IX47</f>
        <v>0</v>
      </c>
      <c r="IZ47" s="20" t="n">
        <f aca="false">IF(AR47=1,MAX(0,(Slot3_Cost-IY47*(1+Slot3_Rate)^(Slot3_Age-D47))/IV47),0)</f>
        <v>0</v>
      </c>
      <c r="JA47" s="20" t="n">
        <f aca="false">IF(AR47=1,MAX(0,(Slot3_Cost-AS47*(1+Slot3_Rate)^(Slot3_Age-D47))/IV47),0)</f>
        <v>0</v>
      </c>
      <c r="JB47" s="20" t="n">
        <f aca="false">IF(AND(HU47=1,AR47=1),MIN(IU47,IZ47),0)</f>
        <v>0</v>
      </c>
      <c r="JC47" s="20" t="n">
        <f aca="false">IU47-JB47</f>
        <v>0</v>
      </c>
      <c r="JD47" s="20" t="n">
        <f aca="false">IF(BB47=1,IF(ABS((1+AS_Wage)/(1+Slot4_Rate)-1)&lt;0.000000000001,(Slot4_Age-D47)*(1+Slot4_Rate)^(Slot4_Age-D47),(1+Slot4_Rate)^(Slot4_Age-D47)*(1-((1+AS_Wage)/(1+Slot4_Rate))^(Slot4_Age-D47))/(1-(1+AS_Wage)/(1+Slot4_Rate))),1)</f>
        <v>1</v>
      </c>
      <c r="JE47" s="20" t="n">
        <f aca="false">IF(AND(HU47=1,IE47&gt;0,Slot4_IsWG=1,BB47=1),MAX(0,(Slot4_Cost-BC47*(1+Slot4_Rate)^(Slot4_Age-D47))/JD47),0)</f>
        <v>0</v>
      </c>
      <c r="JF47" s="20" t="n">
        <f aca="false">IF(AND(HU47=1,IE47&gt;0,Slot4_IsWG=1,BB47=1),MIN(IE47,JE47),0)</f>
        <v>0</v>
      </c>
      <c r="JG47" s="20" t="n">
        <f aca="false">BC47+JF47</f>
        <v>0</v>
      </c>
      <c r="JH47" s="20" t="n">
        <f aca="false">IF(BB47=1,MAX(0,(Slot4_Cost-JG47*(1+Slot4_Rate)^(Slot4_Age-D47))/JD47),0)</f>
        <v>0</v>
      </c>
      <c r="JI47" s="20" t="n">
        <f aca="false">IF(BB47=1,MAX(0,(Slot4_Cost-BC47*(1+Slot4_Rate)^(Slot4_Age-D47))/JD47),0)</f>
        <v>0</v>
      </c>
      <c r="JJ47" s="20" t="n">
        <f aca="false">IF(AND(HU47=1,BB47=1),MIN(JC47,JH47),0)</f>
        <v>0</v>
      </c>
      <c r="JK47" s="20" t="n">
        <f aca="false">JC47-JJ47</f>
        <v>0</v>
      </c>
      <c r="JL47" s="20" t="n">
        <f aca="false">IF(BL47=1,IF(ABS((1+AS_Wage)/(1+Slot5_Rate)-1)&lt;0.000000000001,(Slot5_Age-D47)*(1+Slot5_Rate)^(Slot5_Age-D47),(1+Slot5_Rate)^(Slot5_Age-D47)*(1-((1+AS_Wage)/(1+Slot5_Rate))^(Slot5_Age-D47))/(1-(1+AS_Wage)/(1+Slot5_Rate))),1)</f>
        <v>1</v>
      </c>
      <c r="JM47" s="20" t="n">
        <f aca="false">IF(AND(HU47=1,IE47&gt;0,Slot5_IsWG=1,BL47=1),MAX(0,(Slot5_Cost-BM47*(1+Slot5_Rate)^(Slot5_Age-D47))/JL47),0)</f>
        <v>0</v>
      </c>
      <c r="JN47" s="20" t="n">
        <f aca="false">IF(AND(HU47=1,IE47&gt;0,Slot5_IsWG=1,BL47=1),MIN(IE47,JM47),0)</f>
        <v>0</v>
      </c>
      <c r="JO47" s="20" t="n">
        <f aca="false">BM47+JN47</f>
        <v>0</v>
      </c>
      <c r="JP47" s="20" t="n">
        <f aca="false">IF(BL47=1,MAX(0,(Slot5_Cost-JO47*(1+Slot5_Rate)^(Slot5_Age-D47))/JL47),0)</f>
        <v>0</v>
      </c>
      <c r="JQ47" s="20" t="n">
        <f aca="false">IF(BL47=1,MAX(0,(Slot5_Cost-BM47*(1+Slot5_Rate)^(Slot5_Age-D47))/JL47),0)</f>
        <v>0</v>
      </c>
      <c r="JR47" s="20" t="n">
        <f aca="false">IF(AND(HU47=1,BL47=1),MIN(JK47,JP47),0)</f>
        <v>0</v>
      </c>
      <c r="JS47" s="20" t="n">
        <f aca="false">JK47-JR47</f>
        <v>0</v>
      </c>
      <c r="JT47" s="20" t="n">
        <f aca="false">IF(BV47=1,IF(ABS((1+AS_Wage)/(1+Slot6_Rate)-1)&lt;0.000000000001,(Slot6_Age-D47)*(1+Slot6_Rate)^(Slot6_Age-D47),(1+Slot6_Rate)^(Slot6_Age-D47)*(1-((1+AS_Wage)/(1+Slot6_Rate))^(Slot6_Age-D47))/(1-(1+AS_Wage)/(1+Slot6_Rate))),1)</f>
        <v>1</v>
      </c>
      <c r="JU47" s="20" t="n">
        <f aca="false">IF(AND(HU47=1,IE47&gt;0,Slot6_IsWG=1,BV47=1),MAX(0,(Slot6_Cost-BW47*(1+Slot6_Rate)^(Slot6_Age-D47))/JT47),0)</f>
        <v>0</v>
      </c>
      <c r="JV47" s="20" t="n">
        <f aca="false">IF(AND(HU47=1,IE47&gt;0,Slot6_IsWG=1,BV47=1),MIN(IE47,JU47),0)</f>
        <v>0</v>
      </c>
      <c r="JW47" s="20" t="n">
        <f aca="false">BW47+JV47</f>
        <v>0</v>
      </c>
      <c r="JX47" s="20" t="n">
        <f aca="false">IF(BV47=1,MAX(0,(Slot6_Cost-JW47*(1+Slot6_Rate)^(Slot6_Age-D47))/JT47),0)</f>
        <v>0</v>
      </c>
      <c r="JY47" s="20" t="n">
        <f aca="false">IF(BV47=1,MAX(0,(Slot6_Cost-BW47*(1+Slot6_Rate)^(Slot6_Age-D47))/JT47),0)</f>
        <v>0</v>
      </c>
      <c r="JZ47" s="20" t="n">
        <f aca="false">IF(AND(HU47=1,BV47=1),MIN(JS47,JX47),0)</f>
        <v>0</v>
      </c>
      <c r="KA47" s="20" t="n">
        <f aca="false">JS47-JZ47</f>
        <v>0</v>
      </c>
      <c r="KB47" s="20" t="n">
        <f aca="false">IF(CF47=1,IF(ABS((1+AS_Wage)/(1+Slot7_Rate)-1)&lt;0.000000000001,(Slot7_Age-D47)*(1+Slot7_Rate)^(Slot7_Age-D47),(1+Slot7_Rate)^(Slot7_Age-D47)*(1-((1+AS_Wage)/(1+Slot7_Rate))^(Slot7_Age-D47))/(1-(1+AS_Wage)/(1+Slot7_Rate))),1)</f>
        <v>1</v>
      </c>
      <c r="KC47" s="20" t="n">
        <f aca="false">IF(AND(HU47=1,IE47&gt;0,Slot7_IsWG=1,CF47=1),MAX(0,(Slot7_Cost-CG47*(1+Slot7_Rate)^(Slot7_Age-D47))/KB47),0)</f>
        <v>0</v>
      </c>
      <c r="KD47" s="20" t="n">
        <f aca="false">IF(AND(HU47=1,IE47&gt;0,Slot7_IsWG=1,CF47=1),MIN(IE47,KC47),0)</f>
        <v>0</v>
      </c>
      <c r="KE47" s="20" t="n">
        <f aca="false">CG47+KD47</f>
        <v>0</v>
      </c>
      <c r="KF47" s="20" t="n">
        <f aca="false">IF(CF47=1,MAX(0,(Slot7_Cost-KE47*(1+Slot7_Rate)^(Slot7_Age-D47))/KB47),0)</f>
        <v>0</v>
      </c>
      <c r="KG47" s="20" t="n">
        <f aca="false">IF(CF47=1,MAX(0,(Slot7_Cost-CG47*(1+Slot7_Rate)^(Slot7_Age-D47))/KB47),0)</f>
        <v>0</v>
      </c>
      <c r="KH47" s="20" t="n">
        <f aca="false">IF(AND(HU47=1,CF47=1),MIN(KA47,KF47),0)</f>
        <v>0</v>
      </c>
      <c r="KI47" s="20" t="n">
        <f aca="false">KA47-KH47</f>
        <v>0</v>
      </c>
      <c r="KJ47" s="20" t="n">
        <f aca="false">IF(CP47=1,IF(ABS((1+AS_Wage)/(1+Slot8_Rate)-1)&lt;0.000000000001,(Slot8_Age-D47)*(1+Slot8_Rate)^(Slot8_Age-D47),(1+Slot8_Rate)^(Slot8_Age-D47)*(1-((1+AS_Wage)/(1+Slot8_Rate))^(Slot8_Age-D47))/(1-(1+AS_Wage)/(1+Slot8_Rate))),1)</f>
        <v>1</v>
      </c>
      <c r="KK47" s="20" t="n">
        <f aca="false">IF(AND(HU47=1,IE47&gt;0,Slot8_IsWG=1,CP47=1),MAX(0,(Slot8_Cost-CQ47*(1+Slot8_Rate)^(Slot8_Age-D47))/KJ47),0)</f>
        <v>0</v>
      </c>
      <c r="KL47" s="20" t="n">
        <f aca="false">IF(AND(HU47=1,IE47&gt;0,Slot8_IsWG=1,CP47=1),MIN(IE47,KK47),0)</f>
        <v>0</v>
      </c>
      <c r="KM47" s="20" t="n">
        <f aca="false">CQ47+KL47</f>
        <v>0</v>
      </c>
      <c r="KN47" s="20" t="n">
        <f aca="false">IF(CP47=1,MAX(0,(Slot8_Cost-KM47*(1+Slot8_Rate)^(Slot8_Age-D47))/KJ47),0)</f>
        <v>0</v>
      </c>
      <c r="KO47" s="20" t="n">
        <f aca="false">IF(CP47=1,MAX(0,(Slot8_Cost-CQ47*(1+Slot8_Rate)^(Slot8_Age-D47))/KJ47),0)</f>
        <v>0</v>
      </c>
      <c r="KP47" s="20" t="n">
        <f aca="false">IF(AND(HU47=1,CP47=1),MIN(KI47,KN47),0)</f>
        <v>0</v>
      </c>
      <c r="KQ47" s="20" t="n">
        <f aca="false">KI47-KP47</f>
        <v>0</v>
      </c>
      <c r="KR47" s="20" t="n">
        <f aca="false">IF(CZ47=1,IF(ABS((1+AS_Wage)/(1+Slot9_Rate)-1)&lt;0.000000000001,(Slot9_Age-D47)*(1+Slot9_Rate)^(Slot9_Age-D47),(1+Slot9_Rate)^(Slot9_Age-D47)*(1-((1+AS_Wage)/(1+Slot9_Rate))^(Slot9_Age-D47))/(1-(1+AS_Wage)/(1+Slot9_Rate))),1)</f>
        <v>1</v>
      </c>
      <c r="KS47" s="20" t="n">
        <f aca="false">IF(AND(HU47=1,IE47&gt;0,Slot9_IsWG=1,CZ47=1),MAX(0,(Slot9_Cost-DA47*(1+Slot9_Rate)^(Slot9_Age-D47))/KR47),0)</f>
        <v>0</v>
      </c>
      <c r="KT47" s="20" t="n">
        <f aca="false">IF(AND(HU47=1,IE47&gt;0,Slot9_IsWG=1,CZ47=1),MIN(IE47,KS47),0)</f>
        <v>0</v>
      </c>
      <c r="KU47" s="20" t="n">
        <f aca="false">DA47+KT47</f>
        <v>0</v>
      </c>
      <c r="KV47" s="20" t="n">
        <f aca="false">IF(CZ47=1,MAX(0,(Slot9_Cost-KU47*(1+Slot9_Rate)^(Slot9_Age-D47))/KR47),0)</f>
        <v>0</v>
      </c>
      <c r="KW47" s="20" t="n">
        <f aca="false">IF(CZ47=1,MAX(0,(Slot9_Cost-DA47*(1+Slot9_Rate)^(Slot9_Age-D47))/KR47),0)</f>
        <v>0</v>
      </c>
      <c r="KX47" s="20" t="n">
        <f aca="false">IF(AND(HU47=1,CZ47=1),MIN(KQ47,KV47),0)</f>
        <v>0</v>
      </c>
      <c r="KY47" s="20" t="n">
        <f aca="false">KQ47-KX47</f>
        <v>0</v>
      </c>
      <c r="KZ47" s="20" t="n">
        <f aca="false">IF(DJ47=1,IF(ABS((1+AS_Wage)/(1+Slot10_Rate)-1)&lt;0.000000000001,(Slot10_Age-D47)*(1+Slot10_Rate)^(Slot10_Age-D47),(1+Slot10_Rate)^(Slot10_Age-D47)*(1-((1+AS_Wage)/(1+Slot10_Rate))^(Slot10_Age-D47))/(1-(1+AS_Wage)/(1+Slot10_Rate))),1)</f>
        <v>1</v>
      </c>
      <c r="LA47" s="20" t="n">
        <f aca="false">IF(AND(HU47=1,IE47&gt;0,Slot10_IsWG=1,DJ47=1),MAX(0,(Slot10_Cost-DK47*(1+Slot10_Rate)^(Slot10_Age-D47))/KZ47),0)</f>
        <v>0</v>
      </c>
      <c r="LB47" s="20" t="n">
        <f aca="false">IF(AND(HU47=1,IE47&gt;0,Slot10_IsWG=1,DJ47=1),MIN(IE47,LA47),0)</f>
        <v>0</v>
      </c>
      <c r="LC47" s="20" t="n">
        <f aca="false">DK47+LB47</f>
        <v>0</v>
      </c>
      <c r="LD47" s="20" t="n">
        <f aca="false">IF(DJ47=1,MAX(0,(Slot10_Cost-LC47*(1+Slot10_Rate)^(Slot10_Age-D47))/KZ47),0)</f>
        <v>0</v>
      </c>
      <c r="LE47" s="20" t="n">
        <f aca="false">IF(DJ47=1,MAX(0,(Slot10_Cost-DK47*(1+Slot10_Rate)^(Slot10_Age-D47))/KZ47),0)</f>
        <v>0</v>
      </c>
      <c r="LF47" s="20" t="n">
        <f aca="false">IF(AND(HU47=1,DJ47=1),MIN(KY47,LD47),0)</f>
        <v>0</v>
      </c>
      <c r="LG47" s="20" t="n">
        <f aca="false">KY47-LF47</f>
        <v>0</v>
      </c>
      <c r="LH47" s="20" t="n">
        <f aca="false">IF(DT47=1,IF(ABS((1+AS_Wage)/(1+Slot11_Rate)-1)&lt;0.000000000001,(Slot11_Age-D47)*(1+Slot11_Rate)^(Slot11_Age-D47),(1+Slot11_Rate)^(Slot11_Age-D47)*(1-((1+AS_Wage)/(1+Slot11_Rate))^(Slot11_Age-D47))/(1-(1+AS_Wage)/(1+Slot11_Rate))),1)</f>
        <v>1</v>
      </c>
      <c r="LI47" s="20" t="n">
        <f aca="false">IF(AND(HU47=1,IE47&gt;0,Slot11_IsWG=1,DT47=1),MAX(0,(Slot11_Cost-DU47*(1+Slot11_Rate)^(Slot11_Age-D47))/LH47),0)</f>
        <v>0</v>
      </c>
      <c r="LJ47" s="20" t="n">
        <f aca="false">IF(AND(HU47=1,IE47&gt;0,Slot11_IsWG=1,DT47=1),MIN(IE47,LI47),0)</f>
        <v>0</v>
      </c>
      <c r="LK47" s="20" t="n">
        <f aca="false">DU47+LJ47</f>
        <v>0</v>
      </c>
      <c r="LL47" s="20" t="n">
        <f aca="false">IF(DT47=1,MAX(0,(Slot11_Cost-LK47*(1+Slot11_Rate)^(Slot11_Age-D47))/LH47),0)</f>
        <v>0</v>
      </c>
      <c r="LM47" s="20" t="n">
        <f aca="false">IF(DT47=1,MAX(0,(Slot11_Cost-DU47*(1+Slot11_Rate)^(Slot11_Age-D47))/LH47),0)</f>
        <v>0</v>
      </c>
      <c r="LN47" s="20" t="n">
        <f aca="false">IF(AND(HU47=1,DT47=1),MIN(LG47,LL47),0)</f>
        <v>0</v>
      </c>
      <c r="LO47" s="20" t="n">
        <f aca="false">LG47-LN47</f>
        <v>0</v>
      </c>
      <c r="LP47" s="20" t="n">
        <f aca="false">IF(ED47=1,IF(ABS((1+AS_Wage)/(1+Slot12_Rate)-1)&lt;0.000000000001,(Slot12_Age-D47)*(1+Slot12_Rate)^(Slot12_Age-D47),(1+Slot12_Rate)^(Slot12_Age-D47)*(1-((1+AS_Wage)/(1+Slot12_Rate))^(Slot12_Age-D47))/(1-(1+AS_Wage)/(1+Slot12_Rate))),1)</f>
        <v>1</v>
      </c>
      <c r="LQ47" s="20" t="n">
        <f aca="false">IF(AND(HU47=1,IE47&gt;0,Slot12_IsWG=1,ED47=1),MAX(0,(Slot12_Cost-EE47*(1+Slot12_Rate)^(Slot12_Age-D47))/LP47),0)</f>
        <v>0</v>
      </c>
      <c r="LR47" s="20" t="n">
        <f aca="false">IF(AND(HU47=1,IE47&gt;0,Slot12_IsWG=1,ED47=1),MIN(IE47,LQ47),0)</f>
        <v>0</v>
      </c>
      <c r="LS47" s="20" t="n">
        <f aca="false">EE47+LR47</f>
        <v>0</v>
      </c>
      <c r="LT47" s="20" t="n">
        <f aca="false">IF(ED47=1,MAX(0,(Slot12_Cost-LS47*(1+Slot12_Rate)^(Slot12_Age-D47))/LP47),0)</f>
        <v>0</v>
      </c>
      <c r="LU47" s="20" t="n">
        <f aca="false">IF(ED47=1,MAX(0,(Slot12_Cost-EE47*(1+Slot12_Rate)^(Slot12_Age-D47))/LP47),0)</f>
        <v>0</v>
      </c>
      <c r="LV47" s="20" t="n">
        <f aca="false">IF(AND(HU47=1,ED47=1),MIN(LO47,LT47),0)</f>
        <v>0</v>
      </c>
      <c r="LW47" s="20" t="n">
        <f aca="false">LO47-LV47</f>
        <v>0</v>
      </c>
      <c r="LX47" s="20" t="n">
        <f aca="false">IF(EN47=1,IF(ABS((1+AS_Wage)/(1+Slot13_Rate)-1)&lt;0.000000000001,(Slot13_Age-D47)*(1+Slot13_Rate)^(Slot13_Age-D47),(1+Slot13_Rate)^(Slot13_Age-D47)*(1-((1+AS_Wage)/(1+Slot13_Rate))^(Slot13_Age-D47))/(1-(1+AS_Wage)/(1+Slot13_Rate))),1)</f>
        <v>1</v>
      </c>
      <c r="LY47" s="20" t="n">
        <f aca="false">IF(AND(HU47=1,IE47&gt;0,Slot13_IsWG=1,EN47=1),MAX(0,(Slot13_Cost-EO47*(1+Slot13_Rate)^(Slot13_Age-D47))/LX47),0)</f>
        <v>0</v>
      </c>
      <c r="LZ47" s="20" t="n">
        <f aca="false">IF(AND(HU47=1,IE47&gt;0,Slot13_IsWG=1,EN47=1),MIN(IE47,LY47),0)</f>
        <v>0</v>
      </c>
      <c r="MA47" s="20" t="n">
        <f aca="false">EO47+LZ47</f>
        <v>0</v>
      </c>
      <c r="MB47" s="20" t="n">
        <f aca="false">IF(EN47=1,MAX(0,(Slot13_Cost-MA47*(1+Slot13_Rate)^(Slot13_Age-D47))/LX47),0)</f>
        <v>0</v>
      </c>
      <c r="MC47" s="20" t="n">
        <f aca="false">IF(EN47=1,MAX(0,(Slot13_Cost-EO47*(1+Slot13_Rate)^(Slot13_Age-D47))/LX47),0)</f>
        <v>0</v>
      </c>
      <c r="MD47" s="20" t="n">
        <f aca="false">IF(AND(HU47=1,EN47=1),MIN(LW47,MB47),0)</f>
        <v>0</v>
      </c>
      <c r="ME47" s="20" t="n">
        <f aca="false">LW47-MD47</f>
        <v>0</v>
      </c>
      <c r="MF47" s="20" t="n">
        <f aca="false">IF(EX47=1,IF(ABS((1+AS_Wage)/(1+Slot14_Rate)-1)&lt;0.000000000001,(Slot14_Age-D47)*(1+Slot14_Rate)^(Slot14_Age-D47),(1+Slot14_Rate)^(Slot14_Age-D47)*(1-((1+AS_Wage)/(1+Slot14_Rate))^(Slot14_Age-D47))/(1-(1+AS_Wage)/(1+Slot14_Rate))),1)</f>
        <v>1</v>
      </c>
      <c r="MG47" s="20" t="n">
        <f aca="false">IF(AND(HU47=1,IE47&gt;0,Slot14_IsWG=1,EX47=1),MAX(0,(Slot14_Cost-EY47*(1+Slot14_Rate)^(Slot14_Age-D47))/MF47),0)</f>
        <v>0</v>
      </c>
      <c r="MH47" s="20" t="n">
        <f aca="false">IF(AND(HU47=1,IE47&gt;0,Slot14_IsWG=1,EX47=1),MIN(IE47,MG47),0)</f>
        <v>0</v>
      </c>
      <c r="MI47" s="20" t="n">
        <f aca="false">EY47+MH47</f>
        <v>0</v>
      </c>
      <c r="MJ47" s="20" t="n">
        <f aca="false">IF(EX47=1,MAX(0,(Slot14_Cost-MI47*(1+Slot14_Rate)^(Slot14_Age-D47))/MF47),0)</f>
        <v>0</v>
      </c>
      <c r="MK47" s="20" t="n">
        <f aca="false">IF(EX47=1,MAX(0,(Slot14_Cost-EY47*(1+Slot14_Rate)^(Slot14_Age-D47))/MF47),0)</f>
        <v>0</v>
      </c>
      <c r="ML47" s="20" t="n">
        <f aca="false">IF(AND(HU47=1,EX47=1),MIN(ME47,MJ47),0)</f>
        <v>0</v>
      </c>
      <c r="MM47" s="20" t="n">
        <f aca="false">ME47-ML47</f>
        <v>0</v>
      </c>
      <c r="MN47" s="20" t="n">
        <f aca="false">IF(FH47=1,IF(ABS((1+AS_Wage)/(1+Slot15_Rate)-1)&lt;0.000000000001,(Slot15_Age-D47)*(1+Slot15_Rate)^(Slot15_Age-D47),(1+Slot15_Rate)^(Slot15_Age-D47)*(1-((1+AS_Wage)/(1+Slot15_Rate))^(Slot15_Age-D47))/(1-(1+AS_Wage)/(1+Slot15_Rate))),1)</f>
        <v>1</v>
      </c>
      <c r="MO47" s="20" t="n">
        <f aca="false">IF(AND(HU47=1,IE47&gt;0,Slot15_IsWG=1,FH47=1),MAX(0,(Slot15_Cost-FI47*(1+Slot15_Rate)^(Slot15_Age-D47))/MN47),0)</f>
        <v>0</v>
      </c>
      <c r="MP47" s="20" t="n">
        <f aca="false">IF(AND(HU47=1,IE47&gt;0,Slot15_IsWG=1,FH47=1),MIN(IE47,MO47),0)</f>
        <v>0</v>
      </c>
      <c r="MQ47" s="20" t="n">
        <f aca="false">FI47+MP47</f>
        <v>0</v>
      </c>
      <c r="MR47" s="20" t="n">
        <f aca="false">IF(FH47=1,MAX(0,(Slot15_Cost-MQ47*(1+Slot15_Rate)^(Slot15_Age-D47))/MN47),0)</f>
        <v>0</v>
      </c>
      <c r="MS47" s="20" t="n">
        <f aca="false">IF(FH47=1,MAX(0,(Slot15_Cost-FI47*(1+Slot15_Rate)^(Slot15_Age-D47))/MN47),0)</f>
        <v>0</v>
      </c>
      <c r="MT47" s="20" t="n">
        <f aca="false">IF(AND(HU47=1,FH47=1),MIN(MM47,MR47),0)</f>
        <v>0</v>
      </c>
      <c r="MU47" s="20" t="n">
        <f aca="false">MM47-MT47</f>
        <v>0</v>
      </c>
      <c r="MV47" s="20" t="n">
        <f aca="false">IF(FR47=1,IF(ABS((1+AS_Wage)/(1+Slot16_Rate)-1)&lt;0.000000000001,(Slot16_Age-D47)*(1+Slot16_Rate)^(Slot16_Age-D47),(1+Slot16_Rate)^(Slot16_Age-D47)*(1-((1+AS_Wage)/(1+Slot16_Rate))^(Slot16_Age-D47))/(1-(1+AS_Wage)/(1+Slot16_Rate))),1)</f>
        <v>1</v>
      </c>
      <c r="MW47" s="20" t="n">
        <f aca="false">IF(AND(HU47=1,IE47&gt;0,Slot16_IsWG=1,FR47=1),MAX(0,(Slot16_Cost-FS47*(1+Slot16_Rate)^(Slot16_Age-D47))/MV47),0)</f>
        <v>0</v>
      </c>
      <c r="MX47" s="20" t="n">
        <f aca="false">IF(AND(HU47=1,IE47&gt;0,Slot16_IsWG=1,FR47=1),MIN(IE47,MW47),0)</f>
        <v>0</v>
      </c>
      <c r="MY47" s="20" t="n">
        <f aca="false">FS47+MX47</f>
        <v>0</v>
      </c>
      <c r="MZ47" s="20" t="n">
        <f aca="false">IF(FR47=1,MAX(0,(Slot16_Cost-MY47*(1+Slot16_Rate)^(Slot16_Age-D47))/MV47),0)</f>
        <v>0</v>
      </c>
      <c r="NA47" s="20" t="n">
        <f aca="false">IF(FR47=1,MAX(0,(Slot16_Cost-FS47*(1+Slot16_Rate)^(Slot16_Age-D47))/MV47),0)</f>
        <v>0</v>
      </c>
      <c r="NB47" s="20" t="n">
        <f aca="false">IF(AND(HU47=1,FR47=1),MIN(MU47,MZ47),0)</f>
        <v>0</v>
      </c>
      <c r="NC47" s="20" t="n">
        <f aca="false">MU47-NB47</f>
        <v>0</v>
      </c>
      <c r="ND47" s="20" t="n">
        <f aca="false">IF(GB47=1,IF(ABS((1+AS_Wage)/(1+Slot17_Rate)-1)&lt;0.000000000001,(Slot17_Age-D47)*(1+Slot17_Rate)^(Slot17_Age-D47),(1+Slot17_Rate)^(Slot17_Age-D47)*(1-((1+AS_Wage)/(1+Slot17_Rate))^(Slot17_Age-D47))/(1-(1+AS_Wage)/(1+Slot17_Rate))),1)</f>
        <v>1</v>
      </c>
      <c r="NE47" s="20" t="n">
        <f aca="false">IF(AND(HU47=1,IE47&gt;0,Slot17_IsWG=1,GB47=1),MAX(0,(Slot17_Cost-GC47*(1+Slot17_Rate)^(Slot17_Age-D47))/ND47),0)</f>
        <v>0</v>
      </c>
      <c r="NF47" s="20" t="n">
        <f aca="false">IF(AND(HU47=1,IE47&gt;0,Slot17_IsWG=1,GB47=1),MIN(IE47,NE47),0)</f>
        <v>0</v>
      </c>
      <c r="NG47" s="20" t="n">
        <f aca="false">GC47+NF47</f>
        <v>0</v>
      </c>
      <c r="NH47" s="20" t="n">
        <f aca="false">IF(GB47=1,MAX(0,(Slot17_Cost-NG47*(1+Slot17_Rate)^(Slot17_Age-D47))/ND47),0)</f>
        <v>0</v>
      </c>
      <c r="NI47" s="20" t="n">
        <f aca="false">IF(GB47=1,MAX(0,(Slot17_Cost-GC47*(1+Slot17_Rate)^(Slot17_Age-D47))/ND47),0)</f>
        <v>0</v>
      </c>
      <c r="NJ47" s="20" t="n">
        <f aca="false">IF(AND(HU47=1,GB47=1),MIN(NC47,NH47),0)</f>
        <v>0</v>
      </c>
      <c r="NK47" s="20" t="n">
        <f aca="false">NC47-NJ47</f>
        <v>0</v>
      </c>
      <c r="NL47" s="20" t="n">
        <f aca="false">IF(GL47=1,IF(ABS((1+AS_Wage)/(1+Slot18_Rate)-1)&lt;0.000000000001,(Slot18_Age-D47)*(1+Slot18_Rate)^(Slot18_Age-D47),(1+Slot18_Rate)^(Slot18_Age-D47)*(1-((1+AS_Wage)/(1+Slot18_Rate))^(Slot18_Age-D47))/(1-(1+AS_Wage)/(1+Slot18_Rate))),1)</f>
        <v>1</v>
      </c>
      <c r="NM47" s="20" t="n">
        <f aca="false">IF(AND(HU47=1,IE47&gt;0,Slot18_IsWG=1,GL47=1),MAX(0,(Slot18_Cost-GM47*(1+Slot18_Rate)^(Slot18_Age-D47))/NL47),0)</f>
        <v>0</v>
      </c>
      <c r="NN47" s="20" t="n">
        <f aca="false">IF(AND(HU47=1,IE47&gt;0,Slot18_IsWG=1,GL47=1),MIN(IE47,NM47),0)</f>
        <v>0</v>
      </c>
      <c r="NO47" s="20" t="n">
        <f aca="false">GM47+NN47</f>
        <v>0</v>
      </c>
      <c r="NP47" s="20" t="n">
        <f aca="false">IF(GL47=1,MAX(0,(Slot18_Cost-NO47*(1+Slot18_Rate)^(Slot18_Age-D47))/NL47),0)</f>
        <v>0</v>
      </c>
      <c r="NQ47" s="20" t="n">
        <f aca="false">IF(GL47=1,MAX(0,(Slot18_Cost-GM47*(1+Slot18_Rate)^(Slot18_Age-D47))/NL47),0)</f>
        <v>0</v>
      </c>
      <c r="NR47" s="20" t="n">
        <f aca="false">IF(AND(HU47=1,GL47=1),MIN(NK47,NP47),0)</f>
        <v>0</v>
      </c>
      <c r="NS47" s="20" t="n">
        <f aca="false">NK47-NR47</f>
        <v>0</v>
      </c>
      <c r="NT47" s="20" t="n">
        <f aca="false">IF(GV47=1,IF(ABS((1+AS_Wage)/(1+Slot19_Rate)-1)&lt;0.000000000001,(Slot19_Age-D47)*(1+Slot19_Rate)^(Slot19_Age-D47),(1+Slot19_Rate)^(Slot19_Age-D47)*(1-((1+AS_Wage)/(1+Slot19_Rate))^(Slot19_Age-D47))/(1-(1+AS_Wage)/(1+Slot19_Rate))),1)</f>
        <v>1</v>
      </c>
      <c r="NU47" s="20" t="n">
        <f aca="false">IF(AND(HU47=1,IE47&gt;0,Slot19_IsWG=1,GV47=1),MAX(0,(Slot19_Cost-GW47*(1+Slot19_Rate)^(Slot19_Age-D47))/NT47),0)</f>
        <v>0</v>
      </c>
      <c r="NV47" s="20" t="n">
        <f aca="false">IF(AND(HU47=1,IE47&gt;0,Slot19_IsWG=1,GV47=1),MIN(IE47,NU47),0)</f>
        <v>0</v>
      </c>
      <c r="NW47" s="20" t="n">
        <f aca="false">GW47+NV47</f>
        <v>0</v>
      </c>
      <c r="NX47" s="20" t="n">
        <f aca="false">IF(GV47=1,MAX(0,(Slot19_Cost-NW47*(1+Slot19_Rate)^(Slot19_Age-D47))/NT47),0)</f>
        <v>0</v>
      </c>
      <c r="NY47" s="20" t="n">
        <f aca="false">IF(GV47=1,MAX(0,(Slot19_Cost-GW47*(1+Slot19_Rate)^(Slot19_Age-D47))/NT47),0)</f>
        <v>0</v>
      </c>
      <c r="NZ47" s="20" t="n">
        <f aca="false">IF(AND(HU47=1,GV47=1),MIN(NS47,NX47),0)</f>
        <v>0</v>
      </c>
      <c r="OA47" s="20" t="n">
        <f aca="false">NS47-NZ47</f>
        <v>0</v>
      </c>
      <c r="OB47" s="20" t="n">
        <f aca="false">IF(HF47=1,IF(ABS((1+AS_Wage)/(1+Slot20_Rate)-1)&lt;0.000000000001,(Slot20_Age-D47)*(1+Slot20_Rate)^(Slot20_Age-D47),(1+Slot20_Rate)^(Slot20_Age-D47)*(1-((1+AS_Wage)/(1+Slot20_Rate))^(Slot20_Age-D47))/(1-(1+AS_Wage)/(1+Slot20_Rate))),1)</f>
        <v>1</v>
      </c>
      <c r="OC47" s="20" t="n">
        <f aca="false">IF(AND(HU47=1,IE47&gt;0,Slot20_IsWG=1,HF47=1),MAX(0,(Slot20_Cost-HG47*(1+Slot20_Rate)^(Slot20_Age-D47))/OB47),0)</f>
        <v>0</v>
      </c>
      <c r="OD47" s="20" t="n">
        <f aca="false">IF(AND(HU47=1,IE47&gt;0,Slot20_IsWG=1,HF47=1),MIN(IE47,OC47),0)</f>
        <v>0</v>
      </c>
      <c r="OE47" s="20" t="n">
        <f aca="false">HG47+OD47</f>
        <v>0</v>
      </c>
      <c r="OF47" s="20" t="n">
        <f aca="false">IF(HF47=1,MAX(0,(Slot20_Cost-OE47*(1+Slot20_Rate)^(Slot20_Age-D47))/OB47),0)</f>
        <v>0</v>
      </c>
      <c r="OG47" s="20" t="n">
        <f aca="false">IF(HF47=1,MAX(0,(Slot20_Cost-HG47*(1+Slot20_Rate)^(Slot20_Age-D47))/OB47),0)</f>
        <v>0</v>
      </c>
      <c r="OH47" s="20" t="n">
        <f aca="false">IF(AND(HU47=1,HF47=1),MIN(OA47,OF47),0)</f>
        <v>0</v>
      </c>
      <c r="OI47" s="20" t="n">
        <f aca="false">OA47-OH47</f>
        <v>0</v>
      </c>
      <c r="OJ47" s="20" t="n">
        <f aca="false">IE47-(IH47+IP47+IX47+JF47+JN47+JV47+KD47+KL47+KT47+LB47+LJ47+LR47+LZ47+MH47+MP47+MX47+NF47+NN47+NV47+OD47)</f>
        <v>0</v>
      </c>
      <c r="OK47" s="20" t="n">
        <f aca="false">IF(HU47=1,HS47-ID47-IE47,0)</f>
        <v>0</v>
      </c>
      <c r="OL47" s="20" t="n">
        <f aca="false">IF(HU47=0,-HS47,0)</f>
        <v>24981.5665896585</v>
      </c>
      <c r="OM47" s="20" t="n">
        <f aca="false">MIN(OL47,HK47)</f>
        <v>476.710045234059</v>
      </c>
      <c r="ON47" s="20" t="n">
        <f aca="false">OL47-OM47</f>
        <v>24504.8565444245</v>
      </c>
      <c r="OO47" s="20" t="n">
        <f aca="false">MIN(ON47,HL47)</f>
        <v>22551.8634130975</v>
      </c>
      <c r="OP47" s="20" t="n">
        <f aca="false">ON47-OO47</f>
        <v>1952.99313132697</v>
      </c>
      <c r="OQ47" s="20" t="n">
        <f aca="false">IF(AND(HU47=0,HF47=1,OP47&gt;0),MIN(OP47,HG47),0)</f>
        <v>0</v>
      </c>
      <c r="OR47" s="20" t="n">
        <f aca="false">OP47-OQ47</f>
        <v>1952.99313132697</v>
      </c>
      <c r="OS47" s="20" t="n">
        <f aca="false">IF(AND(HU47=0,GV47=1,OR47&gt;0),MIN(OR47,GW47),0)</f>
        <v>0</v>
      </c>
      <c r="OT47" s="20" t="n">
        <f aca="false">OR47-OS47</f>
        <v>1952.99313132697</v>
      </c>
      <c r="OU47" s="20" t="n">
        <f aca="false">IF(AND(HU47=0,GL47=1,OT47&gt;0),MIN(OT47,GM47),0)</f>
        <v>0</v>
      </c>
      <c r="OV47" s="20" t="n">
        <f aca="false">OT47-OU47</f>
        <v>1952.99313132697</v>
      </c>
      <c r="OW47" s="20" t="n">
        <f aca="false">IF(AND(HU47=0,GB47=1,OV47&gt;0),MIN(OV47,GC47),0)</f>
        <v>0</v>
      </c>
      <c r="OX47" s="20" t="n">
        <f aca="false">OV47-OW47</f>
        <v>1952.99313132697</v>
      </c>
      <c r="OY47" s="20" t="n">
        <f aca="false">IF(AND(HU47=0,FR47=1,OX47&gt;0),MIN(OX47,FS47),0)</f>
        <v>0</v>
      </c>
      <c r="OZ47" s="20" t="n">
        <f aca="false">OX47-OY47</f>
        <v>1952.99313132697</v>
      </c>
      <c r="PA47" s="20" t="n">
        <f aca="false">IF(AND(HU47=0,FH47=1,OZ47&gt;0),MIN(OZ47,FI47),0)</f>
        <v>0</v>
      </c>
      <c r="PB47" s="20" t="n">
        <f aca="false">OZ47-PA47</f>
        <v>1952.99313132697</v>
      </c>
      <c r="PC47" s="20" t="n">
        <f aca="false">IF(AND(HU47=0,EX47=1,PB47&gt;0),MIN(PB47,EY47),0)</f>
        <v>0</v>
      </c>
      <c r="PD47" s="20" t="n">
        <f aca="false">PB47-PC47</f>
        <v>1952.99313132697</v>
      </c>
      <c r="PE47" s="20" t="n">
        <f aca="false">IF(AND(HU47=0,EN47=1,PD47&gt;0),MIN(PD47,EO47),0)</f>
        <v>0</v>
      </c>
      <c r="PF47" s="20" t="n">
        <f aca="false">PD47-PE47</f>
        <v>1952.99313132697</v>
      </c>
      <c r="PG47" s="20" t="n">
        <f aca="false">IF(AND(HU47=0,ED47=1,PF47&gt;0),MIN(PF47,EE47),0)</f>
        <v>0</v>
      </c>
      <c r="PH47" s="20" t="n">
        <f aca="false">PF47-PG47</f>
        <v>1952.99313132697</v>
      </c>
      <c r="PI47" s="20" t="n">
        <f aca="false">IF(AND(HU47=0,DT47=1,PH47&gt;0),MIN(PH47,DU47),0)</f>
        <v>0</v>
      </c>
      <c r="PJ47" s="20" t="n">
        <f aca="false">PH47-PI47</f>
        <v>1952.99313132697</v>
      </c>
      <c r="PK47" s="20" t="n">
        <f aca="false">IF(AND(HU47=0,DJ47=1,PJ47&gt;0),MIN(PJ47,DK47),0)</f>
        <v>0</v>
      </c>
      <c r="PL47" s="20" t="n">
        <f aca="false">PJ47-PK47</f>
        <v>1952.99313132697</v>
      </c>
      <c r="PM47" s="20" t="n">
        <f aca="false">IF(AND(HU47=0,CZ47=1,PL47&gt;0),MIN(PL47,DA47),0)</f>
        <v>0</v>
      </c>
      <c r="PN47" s="20" t="n">
        <f aca="false">PL47-PM47</f>
        <v>1952.99313132697</v>
      </c>
      <c r="PO47" s="20" t="n">
        <f aca="false">IF(AND(HU47=0,CP47=1,PN47&gt;0),MIN(PN47,CQ47),0)</f>
        <v>0</v>
      </c>
      <c r="PP47" s="20" t="n">
        <f aca="false">PN47-PO47</f>
        <v>1952.99313132697</v>
      </c>
      <c r="PQ47" s="20" t="n">
        <f aca="false">IF(AND(HU47=0,CF47=1,PP47&gt;0),MIN(PP47,CG47),0)</f>
        <v>0</v>
      </c>
      <c r="PR47" s="20" t="n">
        <f aca="false">PP47-PQ47</f>
        <v>1952.99313132697</v>
      </c>
      <c r="PS47" s="20" t="n">
        <f aca="false">IF(AND(HU47=0,BV47=1,PR47&gt;0),MIN(PR47,BW47),0)</f>
        <v>0</v>
      </c>
      <c r="PT47" s="20" t="n">
        <f aca="false">PR47-PS47</f>
        <v>1952.99313132697</v>
      </c>
      <c r="PU47" s="20" t="n">
        <f aca="false">IF(AND(HU47=0,BL47=1,PT47&gt;0),MIN(PT47,BM47),0)</f>
        <v>0</v>
      </c>
      <c r="PV47" s="20" t="n">
        <f aca="false">PT47-PU47</f>
        <v>1952.99313132697</v>
      </c>
      <c r="PW47" s="20" t="n">
        <f aca="false">IF(AND(HU47=0,BB47=1,PV47&gt;0),MIN(PV47,BC47),0)</f>
        <v>0</v>
      </c>
      <c r="PX47" s="20" t="n">
        <f aca="false">PV47-PW47</f>
        <v>1952.99313132697</v>
      </c>
      <c r="PY47" s="20" t="n">
        <f aca="false">IF(AND(HU47=0,AR47=1,PX47&gt;0),MIN(PX47,AS47),0)</f>
        <v>0</v>
      </c>
      <c r="PZ47" s="20" t="n">
        <f aca="false">PX47-PY47</f>
        <v>1952.99313132697</v>
      </c>
      <c r="QA47" s="20" t="n">
        <f aca="false">IF(AND(HU47=0,AH47=1,PZ47&gt;0),MIN(PZ47,AI47),0)</f>
        <v>0</v>
      </c>
      <c r="QB47" s="20" t="n">
        <f aca="false">PZ47-QA47</f>
        <v>1952.99313132697</v>
      </c>
      <c r="QC47" s="20" t="n">
        <f aca="false">IF(AND(HU47=0,W47=1,QB47&gt;0),MIN(QB47,X47),0)</f>
        <v>0</v>
      </c>
      <c r="QD47" s="20" t="n">
        <f aca="false">QB47-QC47</f>
        <v>1952.99313132697</v>
      </c>
      <c r="QE47" s="20" t="n">
        <f aca="false">IF(HU47=0,QD47,0)</f>
        <v>1952.99313132697</v>
      </c>
      <c r="QF47" s="20" t="n">
        <f aca="false">OM47+OO47+QC47+QA47+PY47+PW47+PU47+PS47+PQ47+PO47+PM47+PK47+PI47+PG47+PE47+PC47+PA47+OY47+OW47+OU47+OS47+OQ47</f>
        <v>23028.5734583316</v>
      </c>
      <c r="QG47" s="20" t="n">
        <f aca="false">IF(HU47=1,HK47+OJ47+OI47+IF(G47=1,0,OK47),HK47-OM47)</f>
        <v>0</v>
      </c>
      <c r="QH47" s="20" t="n">
        <f aca="false">HL47-OO47</f>
        <v>0</v>
      </c>
      <c r="QI47" s="20" t="n">
        <f aca="false">IF(HU47=1,IF(G47=1,ID47+IE47,HS47),0)</f>
        <v>0</v>
      </c>
      <c r="QJ47" s="20" t="n">
        <f aca="false">IF(HU47=1,IF(G47=1,HS47-ID47-IE47,0),0)</f>
        <v>0</v>
      </c>
      <c r="QK47" s="20" t="n">
        <f aca="false">QG47*(1+GR)</f>
        <v>0</v>
      </c>
      <c r="QL47" s="20" t="n">
        <f aca="false">QH47*(1+AS_Cash)</f>
        <v>0</v>
      </c>
      <c r="QM47" s="20" t="n">
        <f aca="false">IF(W47=1,IF(HU47=1,II47+IL47,X47-QC47)*(1+Slot1_Rate),0)</f>
        <v>0</v>
      </c>
      <c r="QN47" s="20" t="n">
        <f aca="false">IF(AND(HU47=1,W47=1),(IH47+IL47)/F47,0)</f>
        <v>0</v>
      </c>
      <c r="QO47" s="20" t="n">
        <f aca="false">IF(B47=0,IH47+IL47,0)</f>
        <v>0</v>
      </c>
      <c r="QP47" s="20" t="n">
        <f aca="false">IF(B47=0,IF(HU47=1,IJ47,IK47),0)</f>
        <v>0</v>
      </c>
      <c r="QQ47" s="20" t="n">
        <f aca="false">IF(AH47=1,IF(HU47=1,IQ47+IT47,AI47-QA47)*(1+Slot2_Rate),0)</f>
        <v>0</v>
      </c>
      <c r="QR47" s="20" t="n">
        <f aca="false">IF(AND(HU47=1,AH47=1),(IP47+IT47)/F47,0)</f>
        <v>0</v>
      </c>
      <c r="QS47" s="20" t="n">
        <f aca="false">IF(B47=0,IP47+IT47,0)</f>
        <v>0</v>
      </c>
      <c r="QT47" s="20" t="n">
        <f aca="false">IF(B47=0,IF(HU47=1,IR47,IS47),0)</f>
        <v>0</v>
      </c>
      <c r="QU47" s="20" t="n">
        <f aca="false">IF(AR47=1,IF(HU47=1,IY47+JB47,AS47-PY47)*(1+Slot3_Rate),0)</f>
        <v>0</v>
      </c>
      <c r="QV47" s="20" t="n">
        <f aca="false">IF(AND(HU47=1,AR47=1),(IX47+JB47)/F47,0)</f>
        <v>0</v>
      </c>
      <c r="QW47" s="20" t="n">
        <f aca="false">IF(B47=0,IX47+JB47,0)</f>
        <v>0</v>
      </c>
      <c r="QX47" s="20" t="n">
        <f aca="false">IF(B47=0,IF(HU47=1,IZ47,JA47),0)</f>
        <v>0</v>
      </c>
      <c r="QY47" s="20" t="n">
        <f aca="false">IF(BB47=1,IF(HU47=1,JG47+JJ47,BC47-PW47)*(1+Slot4_Rate),0)</f>
        <v>0</v>
      </c>
      <c r="QZ47" s="20" t="n">
        <f aca="false">IF(AND(HU47=1,BB47=1),(JF47+JJ47)/F47,0)</f>
        <v>0</v>
      </c>
      <c r="RA47" s="20" t="n">
        <f aca="false">IF(B47=0,JF47+JJ47,0)</f>
        <v>0</v>
      </c>
      <c r="RB47" s="20" t="n">
        <f aca="false">IF(B47=0,IF(HU47=1,JH47,JI47),0)</f>
        <v>0</v>
      </c>
      <c r="RC47" s="20" t="n">
        <f aca="false">IF(BL47=1,IF(HU47=1,JO47+JR47,BM47-PU47)*(1+Slot5_Rate),0)</f>
        <v>0</v>
      </c>
      <c r="RD47" s="20" t="n">
        <f aca="false">IF(AND(HU47=1,BL47=1),(JN47+JR47)/F47,0)</f>
        <v>0</v>
      </c>
      <c r="RE47" s="20" t="n">
        <f aca="false">IF(B47=0,JN47+JR47,0)</f>
        <v>0</v>
      </c>
      <c r="RF47" s="20" t="n">
        <f aca="false">IF(B47=0,IF(HU47=1,JP47,JQ47),0)</f>
        <v>0</v>
      </c>
      <c r="RG47" s="20" t="n">
        <f aca="false">IF(BV47=1,IF(HU47=1,JW47+JZ47,BW47-PS47)*(1+Slot6_Rate),0)</f>
        <v>0</v>
      </c>
      <c r="RH47" s="20" t="n">
        <f aca="false">IF(AND(HU47=1,BV47=1),(JV47+JZ47)/F47,0)</f>
        <v>0</v>
      </c>
      <c r="RI47" s="20" t="n">
        <f aca="false">IF(B47=0,JV47+JZ47,0)</f>
        <v>0</v>
      </c>
      <c r="RJ47" s="20" t="n">
        <f aca="false">IF(B47=0,IF(HU47=1,JX47,JY47),0)</f>
        <v>0</v>
      </c>
      <c r="RK47" s="20" t="n">
        <f aca="false">IF(CF47=1,IF(HU47=1,KE47+KH47,CG47-PQ47)*(1+Slot7_Rate),0)</f>
        <v>0</v>
      </c>
      <c r="RL47" s="20" t="n">
        <f aca="false">IF(AND(HU47=1,CF47=1),(KD47+KH47)/F47,0)</f>
        <v>0</v>
      </c>
      <c r="RM47" s="20" t="n">
        <f aca="false">IF(B47=0,KD47+KH47,0)</f>
        <v>0</v>
      </c>
      <c r="RN47" s="20" t="n">
        <f aca="false">IF(B47=0,IF(HU47=1,KF47,KG47),0)</f>
        <v>0</v>
      </c>
      <c r="RO47" s="20" t="n">
        <f aca="false">IF(CP47=1,IF(HU47=1,KM47+KP47,CQ47-PO47)*(1+Slot8_Rate),0)</f>
        <v>0</v>
      </c>
      <c r="RP47" s="20" t="n">
        <f aca="false">IF(AND(HU47=1,CP47=1),(KL47+KP47)/F47,0)</f>
        <v>0</v>
      </c>
      <c r="RQ47" s="20" t="n">
        <f aca="false">IF(B47=0,KL47+KP47,0)</f>
        <v>0</v>
      </c>
      <c r="RR47" s="20" t="n">
        <f aca="false">IF(B47=0,IF(HU47=1,KN47,KO47),0)</f>
        <v>0</v>
      </c>
      <c r="RS47" s="20" t="n">
        <f aca="false">IF(CZ47=1,IF(HU47=1,KU47+KX47,DA47-PM47)*(1+Slot9_Rate),0)</f>
        <v>0</v>
      </c>
      <c r="RT47" s="20" t="n">
        <f aca="false">IF(AND(HU47=1,CZ47=1),(KT47+KX47)/F47,0)</f>
        <v>0</v>
      </c>
      <c r="RU47" s="20" t="n">
        <f aca="false">IF(B47=0,KT47+KX47,0)</f>
        <v>0</v>
      </c>
      <c r="RV47" s="20" t="n">
        <f aca="false">IF(B47=0,IF(HU47=1,KV47,KW47),0)</f>
        <v>0</v>
      </c>
      <c r="RW47" s="20" t="n">
        <f aca="false">IF(DJ47=1,IF(HU47=1,LC47+LF47,DK47-PK47)*(1+Slot10_Rate),0)</f>
        <v>0</v>
      </c>
      <c r="RX47" s="20" t="n">
        <f aca="false">IF(AND(HU47=1,DJ47=1),(LB47+LF47)/F47,0)</f>
        <v>0</v>
      </c>
      <c r="RY47" s="20" t="n">
        <f aca="false">IF(B47=0,LB47+LF47,0)</f>
        <v>0</v>
      </c>
      <c r="RZ47" s="20" t="n">
        <f aca="false">IF(B47=0,IF(HU47=1,LD47,LE47),0)</f>
        <v>0</v>
      </c>
      <c r="SA47" s="20" t="n">
        <f aca="false">IF(DT47=1,IF(HU47=1,LK47+LN47,DU47-PI47)*(1+Slot11_Rate),0)</f>
        <v>0</v>
      </c>
      <c r="SB47" s="20" t="n">
        <f aca="false">IF(AND(HU47=1,DT47=1),(LJ47+LN47)/F47,0)</f>
        <v>0</v>
      </c>
      <c r="SC47" s="20" t="n">
        <f aca="false">IF(B47=0,LJ47+LN47,0)</f>
        <v>0</v>
      </c>
      <c r="SD47" s="20" t="n">
        <f aca="false">IF(B47=0,IF(HU47=1,LL47,LM47),0)</f>
        <v>0</v>
      </c>
      <c r="SE47" s="20" t="n">
        <f aca="false">IF(ED47=1,IF(HU47=1,LS47+LV47,EE47-PG47)*(1+Slot12_Rate),0)</f>
        <v>0</v>
      </c>
      <c r="SF47" s="20" t="n">
        <f aca="false">IF(AND(HU47=1,ED47=1),(LR47+LV47)/F47,0)</f>
        <v>0</v>
      </c>
      <c r="SG47" s="20" t="n">
        <f aca="false">IF(B47=0,LR47+LV47,0)</f>
        <v>0</v>
      </c>
      <c r="SH47" s="20" t="n">
        <f aca="false">IF(B47=0,IF(HU47=1,LT47,LU47),0)</f>
        <v>0</v>
      </c>
      <c r="SI47" s="20" t="n">
        <f aca="false">IF(EN47=1,IF(HU47=1,MA47+MD47,EO47-PE47)*(1+Slot13_Rate),0)</f>
        <v>0</v>
      </c>
      <c r="SJ47" s="20" t="n">
        <f aca="false">IF(AND(HU47=1,EN47=1),(LZ47+MD47)/F47,0)</f>
        <v>0</v>
      </c>
      <c r="SK47" s="20" t="n">
        <f aca="false">IF(B47=0,LZ47+MD47,0)</f>
        <v>0</v>
      </c>
      <c r="SL47" s="20" t="n">
        <f aca="false">IF(B47=0,IF(HU47=1,MB47,MC47),0)</f>
        <v>0</v>
      </c>
      <c r="SM47" s="20" t="n">
        <f aca="false">IF(EX47=1,IF(HU47=1,MI47+ML47,EY47-PC47)*(1+Slot14_Rate),0)</f>
        <v>0</v>
      </c>
      <c r="SN47" s="20" t="n">
        <f aca="false">IF(AND(HU47=1,EX47=1),(MH47+ML47)/F47,0)</f>
        <v>0</v>
      </c>
      <c r="SO47" s="20" t="n">
        <f aca="false">IF(B47=0,MH47+ML47,0)</f>
        <v>0</v>
      </c>
      <c r="SP47" s="20" t="n">
        <f aca="false">IF(B47=0,IF(HU47=1,MJ47,MK47),0)</f>
        <v>0</v>
      </c>
      <c r="SQ47" s="20" t="n">
        <f aca="false">IF(FH47=1,IF(HU47=1,MQ47+MT47,FI47-PA47)*(1+Slot15_Rate),0)</f>
        <v>0</v>
      </c>
      <c r="SR47" s="20" t="n">
        <f aca="false">IF(AND(HU47=1,FH47=1),(MP47+MT47)/F47,0)</f>
        <v>0</v>
      </c>
      <c r="SS47" s="20" t="n">
        <f aca="false">IF(B47=0,MP47+MT47,0)</f>
        <v>0</v>
      </c>
      <c r="ST47" s="20" t="n">
        <f aca="false">IF(B47=0,IF(HU47=1,MR47,MS47),0)</f>
        <v>0</v>
      </c>
      <c r="SU47" s="20" t="n">
        <f aca="false">IF(FR47=1,IF(HU47=1,MY47+NB47,FS47-OY47)*(1+Slot16_Rate),0)</f>
        <v>0</v>
      </c>
      <c r="SV47" s="20" t="n">
        <f aca="false">IF(AND(HU47=1,FR47=1),(MX47+NB47)/F47,0)</f>
        <v>0</v>
      </c>
      <c r="SW47" s="20" t="n">
        <f aca="false">IF(B47=0,MX47+NB47,0)</f>
        <v>0</v>
      </c>
      <c r="SX47" s="20" t="n">
        <f aca="false">IF(B47=0,IF(HU47=1,MZ47,NA47),0)</f>
        <v>0</v>
      </c>
      <c r="SY47" s="20" t="n">
        <f aca="false">IF(GB47=1,IF(HU47=1,NG47+NJ47,GC47-OW47)*(1+Slot17_Rate),0)</f>
        <v>0</v>
      </c>
      <c r="SZ47" s="20" t="n">
        <f aca="false">IF(AND(HU47=1,GB47=1),(NF47+NJ47)/F47,0)</f>
        <v>0</v>
      </c>
      <c r="TA47" s="20" t="n">
        <f aca="false">IF(B47=0,NF47+NJ47,0)</f>
        <v>0</v>
      </c>
      <c r="TB47" s="20" t="n">
        <f aca="false">IF(B47=0,IF(HU47=1,NH47,NI47),0)</f>
        <v>0</v>
      </c>
      <c r="TC47" s="20" t="n">
        <f aca="false">IF(GL47=1,IF(HU47=1,NO47+NR47,GM47-OU47)*(1+Slot18_Rate),0)</f>
        <v>0</v>
      </c>
      <c r="TD47" s="20" t="n">
        <f aca="false">IF(AND(HU47=1,GL47=1),(NN47+NR47)/F47,0)</f>
        <v>0</v>
      </c>
      <c r="TE47" s="20" t="n">
        <f aca="false">IF(B47=0,NN47+NR47,0)</f>
        <v>0</v>
      </c>
      <c r="TF47" s="20" t="n">
        <f aca="false">IF(B47=0,IF(HU47=1,NP47,NQ47),0)</f>
        <v>0</v>
      </c>
      <c r="TG47" s="20" t="n">
        <f aca="false">IF(GV47=1,IF(HU47=1,NW47+NZ47,GW47-OS47)*(1+Slot19_Rate),0)</f>
        <v>0</v>
      </c>
      <c r="TH47" s="20" t="n">
        <f aca="false">IF(AND(HU47=1,GV47=1),(NV47+NZ47)/F47,0)</f>
        <v>0</v>
      </c>
      <c r="TI47" s="20" t="n">
        <f aca="false">IF(B47=0,NV47+NZ47,0)</f>
        <v>0</v>
      </c>
      <c r="TJ47" s="20" t="n">
        <f aca="false">IF(B47=0,IF(HU47=1,NX47,NY47),0)</f>
        <v>0</v>
      </c>
      <c r="TK47" s="20" t="n">
        <f aca="false">IF(HF47=1,IF(HU47=1,OE47+OH47,HG47-OQ47)*(1+Slot20_Rate),0)</f>
        <v>0</v>
      </c>
      <c r="TL47" s="20" t="n">
        <f aca="false">IF(AND(HU47=1,HF47=1),(OD47+OH47)/F47,0)</f>
        <v>0</v>
      </c>
      <c r="TM47" s="20" t="n">
        <f aca="false">IF(B47=0,OD47+OH47,0)</f>
        <v>0</v>
      </c>
      <c r="TN47" s="20" t="n">
        <f aca="false">IF(B47=0,IF(HU47=1,OF47,OG47),0)</f>
        <v>0</v>
      </c>
      <c r="TO47" s="20" t="n">
        <f aca="false">QK47+QL47+QM47+QQ47+QU47+QY47+RC47+RG47+RK47+RO47+RS47+RW47+SA47+SE47+SI47+SM47+SQ47+SU47+SY47+TC47+TG47+TK47</f>
        <v>0</v>
      </c>
      <c r="TP47" s="20" t="n">
        <f aca="false">QE47+HP47</f>
        <v>1952.99313132697</v>
      </c>
      <c r="TQ47" s="20" t="n">
        <f aca="false">I47+S47</f>
        <v>103474.799922343</v>
      </c>
      <c r="TR47" s="20" t="n">
        <f aca="false">1-G47</f>
        <v>1</v>
      </c>
      <c r="TS47" s="20" t="n">
        <f aca="false">IF(AND(RG_Exists=1,G47=0,C47=1),I47,0)</f>
        <v>103474.799922343</v>
      </c>
      <c r="TT47" s="20" t="n">
        <f aca="false">IF(AND(RG_Exists=1,G47=0,C47=1),I47-MIN(QE47,I47),0)</f>
        <v>101521.806791016</v>
      </c>
      <c r="TU47" s="20" t="n">
        <f aca="false">'Plan pay &amp; tax'!AD273</f>
        <v>357366.872930734</v>
      </c>
      <c r="TV47" s="20" t="n">
        <f aca="false">IF(AND(C47=1,QE47&gt;MAX(PR_Short1,TQ47*PR_Short2)),1,0)</f>
        <v>0</v>
      </c>
      <c r="TW47" s="20" t="n">
        <f aca="false">MIN(H47,I47+S47)</f>
        <v>78493.2333326846</v>
      </c>
      <c r="TX47" s="20" t="n">
        <f aca="false">QF47+MAX(0,HQ47-HP47)</f>
        <v>23028.5734583316</v>
      </c>
      <c r="TY47" s="20" t="n">
        <f aca="false">QE47+HP47</f>
        <v>1952.99313132697</v>
      </c>
      <c r="TZ47" s="20" t="n">
        <f aca="false">IF(AND(C47=1,TY47&gt;PR_MinShort),1,0)</f>
        <v>1</v>
      </c>
      <c r="UA47" s="20" t="n">
        <f aca="false">IF(AND(C47=1,TZ47=0,TX47&gt;PR_MinShort),1,0)</f>
        <v>0</v>
      </c>
      <c r="UB47" s="20" t="n">
        <f aca="false">IF(AND(C47=1,QE47&gt;PR_MinShort),1,0)</f>
        <v>1</v>
      </c>
      <c r="UC47" s="20" t="n">
        <f aca="false">IF(AND(C47=1,QF47&gt;1,UJ47=0),1,0)</f>
        <v>1</v>
      </c>
      <c r="UD47" s="20" t="str">
        <f aca="false">IF(C47=0,"",IF(UJ47=1,"Gap to plan for: short "&amp;"€"&amp;TEXT(ROUND(TP47,0),"#,##0"),IF(QF47&gt;1,"Using savings","Comfortable")))</f>
        <v>Using savings</v>
      </c>
      <c r="UE47" s="20" t="n">
        <f aca="false">IF(AND(INT(D47/10)*10=90,B47&gt;0),80,INT(D47/10)*10)</f>
        <v>70</v>
      </c>
      <c r="UF47" s="20" t="n">
        <f aca="false">IF(B47=0,1,IF(UE47&lt;&gt;UE46,UF46+1,UF46))</f>
        <v>5</v>
      </c>
      <c r="UG47" s="20" t="n">
        <f aca="false">IF(AND(C47=1,G47=1,QE47&gt;MAX(PR_Short1,TQ47*PR_Short2)),1,0)</f>
        <v>0</v>
      </c>
      <c r="UH47" s="20" t="n">
        <f aca="false">TR47*TV47</f>
        <v>0</v>
      </c>
      <c r="UI47" s="20" t="n">
        <f aca="false">IF(AND(V47=1,Slot1_PctLow=1),1,0)+IF(AND(AG47=1,Slot2_PctLow=1),1,0)+IF(AND(AQ47=1,Slot3_PctLow=1),1,0)+IF(AND(BA47=1,Slot4_PctLow=1),1,0)+IF(AND(BK47=1,Slot5_PctLow=1),1,0)+IF(AND(BU47=1,Slot6_PctLow=1),1,0)+IF(AND(CE47=1,Slot7_PctLow=1),1,0)+IF(AND(CO47=1,Slot8_PctLow=1),1,0)+IF(AND(CY47=1,Slot9_PctLow=1),1,0)+IF(AND(DI47=1,Slot10_PctLow=1),1,0)+IF(AND(DS47=1,Slot11_PctLow=1),1,0)+IF(AND(EC47=1,Slot12_PctLow=1),1,0)+IF(AND(EM47=1,Slot13_PctLow=1),1,0)+IF(AND(EW47=1,Slot14_PctLow=1),1,0)+IF(AND(FG47=1,Slot15_PctLow=1),1,0)+IF(AND(FQ47=1,Slot16_PctLow=1),1,0)+IF(AND(GA47=1,Slot17_PctLow=1),1,0)+IF(AND(GK47=1,Slot18_PctLow=1),1,0)+IF(AND(GU47=1,Slot19_PctLow=1),1,0)+IF(AND(HE47=1,Slot20_PctLow=1),1,0)</f>
        <v>0</v>
      </c>
      <c r="UJ47" s="20" t="n">
        <f aca="false">IF(C47=1,IF(OR(TV47=1,UI47&gt;0),1,0),0)</f>
        <v>0</v>
      </c>
    </row>
    <row r="48" customFormat="false" ht="15" hidden="false" customHeight="true" outlineLevel="0" collapsed="false">
      <c r="B48" s="20" t="n">
        <v>40</v>
      </c>
      <c r="C48" s="20" t="n">
        <f aca="false">IF(B48&lt;=F_N,1,0)</f>
        <v>1</v>
      </c>
      <c r="D48" s="20" t="n">
        <f aca="false">'Plan pay &amp; tax'!C274</f>
        <v>78</v>
      </c>
      <c r="E48" s="20" t="str">
        <f aca="false">IF($C48=1,"Income tax "&amp;TEXT(N('Plan pay &amp; tax'!BK274),"#,##0")&amp;"; USC "&amp;TEXT(N('Plan pay &amp; tax'!BM274)+N('Plan pay &amp; tax'!BO274),"#,##0")&amp;"; PRSI "&amp;TEXT(N('Plan pay &amp; tax'!BP274)+N('Plan pay &amp; tax'!BQ274),"#,##0")&amp;". DIRT and exit tax are inside the growth rates here.","")</f>
        <v>Income tax 666; USC 0; PRSI 0. DIRT and exit tax are inside the growth rates here.</v>
      </c>
      <c r="F48" s="44" t="n">
        <f aca="false">'Plan pay &amp; tax'!E274</f>
        <v>2.20803966361485</v>
      </c>
      <c r="G48" s="20" t="n">
        <f aca="false">'Plan pay &amp; tax'!G274</f>
        <v>0</v>
      </c>
      <c r="H48" s="20" t="n">
        <f aca="false">'Plan pay &amp; tax'!BT274-'Plan pay &amp; tax'!BS274-'Plan pay &amp; tax'!R274</f>
        <v>80240.1742761177</v>
      </c>
      <c r="I48" s="20" t="n">
        <f aca="false">IF(G48=1,F_CostsM*12,IF(RG_Exists=1,RG_Amount,F_CostsM*12*AS_RetireSpend))*F48+F_OneOffY*F48</f>
        <v>105544.29592079</v>
      </c>
      <c r="J48" s="20" t="n">
        <f aca="false">HR47</f>
        <v>0</v>
      </c>
      <c r="K48" s="20" t="n">
        <f aca="false">IF(J48&gt;1,'Plan debt months'!AC48,0)</f>
        <v>0</v>
      </c>
      <c r="L48" s="20" t="n">
        <f aca="false">IF(J48&gt;1,'Plan debt months'!AB48,J48)</f>
        <v>0</v>
      </c>
      <c r="M48" s="20" t="n">
        <f aca="false">O47</f>
        <v>0</v>
      </c>
      <c r="N48" s="20" t="n">
        <f aca="false">IF(M48&gt;1,'Plan debt months'!BD48,0)</f>
        <v>0</v>
      </c>
      <c r="O48" s="20" t="n">
        <f aca="false">IF(M48&gt;1,'Plan debt months'!BC48,M48)</f>
        <v>0</v>
      </c>
      <c r="P48" s="20" t="n">
        <f aca="false">R47</f>
        <v>0</v>
      </c>
      <c r="Q48" s="20" t="n">
        <f aca="false">IF(P48&gt;1,'Plan debt months'!CE48,0)</f>
        <v>0</v>
      </c>
      <c r="R48" s="20" t="n">
        <f aca="false">IF(P48&gt;1,'Plan debt months'!CD48,P48)</f>
        <v>0</v>
      </c>
      <c r="S48" s="20" t="n">
        <f aca="false">K48+N48+Q48</f>
        <v>0</v>
      </c>
      <c r="T48" s="20" t="n">
        <f aca="false">QK47+'Plan pay &amp; tax'!Y274</f>
        <v>0</v>
      </c>
      <c r="U48" s="20" t="n">
        <f aca="false">QK47</f>
        <v>0</v>
      </c>
      <c r="V48" s="20" t="n">
        <f aca="false">IF(AND(Slot1_On=1,D48=Slot1_Age),1,0)</f>
        <v>0</v>
      </c>
      <c r="W48" s="20" t="n">
        <f aca="false">IF(AND(Slot1_On=1,Slot1_Age&gt;D48),1,0)</f>
        <v>0</v>
      </c>
      <c r="X48" s="20" t="n">
        <f aca="false">QM47</f>
        <v>0</v>
      </c>
      <c r="Y48" s="20" t="n">
        <f aca="false">V48*MIN(Slot1_Cost,X48)</f>
        <v>0</v>
      </c>
      <c r="Z48" s="20" t="n">
        <f aca="false">V48*Slot1_SpendLike*MIN(Slot1_Cost-Y48,T48)</f>
        <v>0</v>
      </c>
      <c r="AA48" s="20" t="n">
        <f aca="false">Y48+Z48</f>
        <v>0</v>
      </c>
      <c r="AB48" s="20" t="n">
        <f aca="false">T48-Z48+V48*IF(Slot1_SpendLike=1,X48-Y48,IF(Slot1_PotFree=1,X48,0))</f>
        <v>0</v>
      </c>
      <c r="AC48" s="20" t="n">
        <f aca="false">AF48+V48*Slot1_BufPot*X48</f>
        <v>0</v>
      </c>
      <c r="AD48" s="20" t="n">
        <f aca="false">IF(AND(V48=1,Slot1_IsMfree=1),IF(AA48&gt;=Slot1_Cost-1,0,MAX(0,L48-AA48)),L48)</f>
        <v>0</v>
      </c>
      <c r="AE48" s="20" t="n">
        <f aca="false">V48*(Slot1_Cost-AA48)</f>
        <v>0</v>
      </c>
      <c r="AF48" s="20" t="n">
        <f aca="false">QL47</f>
        <v>0</v>
      </c>
      <c r="AG48" s="20" t="n">
        <f aca="false">IF(AND(Slot2_On=1,D48=Slot2_Age),1,0)</f>
        <v>0</v>
      </c>
      <c r="AH48" s="20" t="n">
        <f aca="false">IF(AND(Slot2_On=1,Slot2_Age&gt;D48),1,0)</f>
        <v>0</v>
      </c>
      <c r="AI48" s="20" t="n">
        <f aca="false">QQ47</f>
        <v>0</v>
      </c>
      <c r="AJ48" s="20" t="n">
        <f aca="false">AG48*MIN(Slot2_Cost,AI48)</f>
        <v>0</v>
      </c>
      <c r="AK48" s="20" t="n">
        <f aca="false">AG48*Slot2_SpendLike*MIN(Slot2_Cost-AJ48,AB48)</f>
        <v>0</v>
      </c>
      <c r="AL48" s="20" t="n">
        <f aca="false">AJ48+AK48</f>
        <v>0</v>
      </c>
      <c r="AM48" s="20" t="n">
        <f aca="false">AB48-AK48+AG48*IF(Slot2_SpendLike=1,AI48-AJ48,IF(Slot2_PotFree=1,AI48,0))</f>
        <v>0</v>
      </c>
      <c r="AN48" s="20" t="n">
        <f aca="false">AC48+AG48*Slot2_BufPot*AI48</f>
        <v>0</v>
      </c>
      <c r="AO48" s="20" t="n">
        <f aca="false">IF(AND(AG48=1,Slot2_IsMfree=1),IF(AL48&gt;=Slot2_Cost-1,0,MAX(0,AD48-AL48)),AD48)</f>
        <v>0</v>
      </c>
      <c r="AP48" s="20" t="n">
        <f aca="false">AG48*(Slot2_Cost-AL48)</f>
        <v>0</v>
      </c>
      <c r="AQ48" s="20" t="n">
        <f aca="false">IF(AND(Slot3_On=1,D48=Slot3_Age),1,0)</f>
        <v>0</v>
      </c>
      <c r="AR48" s="20" t="n">
        <f aca="false">IF(AND(Slot3_On=1,Slot3_Age&gt;D48),1,0)</f>
        <v>0</v>
      </c>
      <c r="AS48" s="20" t="n">
        <f aca="false">QU47</f>
        <v>0</v>
      </c>
      <c r="AT48" s="20" t="n">
        <f aca="false">AQ48*MIN(Slot3_Cost,AS48)</f>
        <v>0</v>
      </c>
      <c r="AU48" s="20" t="n">
        <f aca="false">AQ48*Slot3_SpendLike*MIN(Slot3_Cost-AT48,AM48)</f>
        <v>0</v>
      </c>
      <c r="AV48" s="20" t="n">
        <f aca="false">AT48+AU48</f>
        <v>0</v>
      </c>
      <c r="AW48" s="20" t="n">
        <f aca="false">AM48-AU48+AQ48*IF(Slot3_SpendLike=1,AS48-AT48,IF(Slot3_PotFree=1,AS48,0))</f>
        <v>0</v>
      </c>
      <c r="AX48" s="20" t="n">
        <f aca="false">AN48+AQ48*Slot3_BufPot*AS48</f>
        <v>0</v>
      </c>
      <c r="AY48" s="20" t="n">
        <f aca="false">IF(AND(AQ48=1,Slot3_IsMfree=1),IF(AV48&gt;=Slot3_Cost-1,0,MAX(0,AO48-AV48)),AO48)</f>
        <v>0</v>
      </c>
      <c r="AZ48" s="20" t="n">
        <f aca="false">AQ48*(Slot3_Cost-AV48)</f>
        <v>0</v>
      </c>
      <c r="BA48" s="20" t="n">
        <f aca="false">IF(AND(Slot4_On=1,D48=Slot4_Age),1,0)</f>
        <v>0</v>
      </c>
      <c r="BB48" s="20" t="n">
        <f aca="false">IF(AND(Slot4_On=1,Slot4_Age&gt;D48),1,0)</f>
        <v>0</v>
      </c>
      <c r="BC48" s="20" t="n">
        <f aca="false">QY47</f>
        <v>0</v>
      </c>
      <c r="BD48" s="20" t="n">
        <f aca="false">BA48*MIN(Slot4_Cost,BC48)</f>
        <v>0</v>
      </c>
      <c r="BE48" s="20" t="n">
        <f aca="false">BA48*Slot4_SpendLike*MIN(Slot4_Cost-BD48,AW48)</f>
        <v>0</v>
      </c>
      <c r="BF48" s="20" t="n">
        <f aca="false">BD48+BE48</f>
        <v>0</v>
      </c>
      <c r="BG48" s="20" t="n">
        <f aca="false">AW48-BE48+BA48*IF(Slot4_SpendLike=1,BC48-BD48,IF(Slot4_PotFree=1,BC48,0))</f>
        <v>0</v>
      </c>
      <c r="BH48" s="20" t="n">
        <f aca="false">AX48+BA48*Slot4_BufPot*BC48</f>
        <v>0</v>
      </c>
      <c r="BI48" s="20" t="n">
        <f aca="false">IF(AND(BA48=1,Slot4_IsMfree=1),IF(BF48&gt;=Slot4_Cost-1,0,MAX(0,AY48-BF48)),AY48)</f>
        <v>0</v>
      </c>
      <c r="BJ48" s="20" t="n">
        <f aca="false">BA48*(Slot4_Cost-BF48)</f>
        <v>0</v>
      </c>
      <c r="BK48" s="20" t="n">
        <f aca="false">IF(AND(Slot5_On=1,D48=Slot5_Age),1,0)</f>
        <v>0</v>
      </c>
      <c r="BL48" s="20" t="n">
        <f aca="false">IF(AND(Slot5_On=1,Slot5_Age&gt;D48),1,0)</f>
        <v>0</v>
      </c>
      <c r="BM48" s="20" t="n">
        <f aca="false">RC47</f>
        <v>0</v>
      </c>
      <c r="BN48" s="20" t="n">
        <f aca="false">BK48*MIN(Slot5_Cost,BM48)</f>
        <v>0</v>
      </c>
      <c r="BO48" s="20" t="n">
        <f aca="false">BK48*Slot5_SpendLike*MIN(Slot5_Cost-BN48,BG48)</f>
        <v>0</v>
      </c>
      <c r="BP48" s="20" t="n">
        <f aca="false">BN48+BO48</f>
        <v>0</v>
      </c>
      <c r="BQ48" s="20" t="n">
        <f aca="false">BG48-BO48+BK48*IF(Slot5_SpendLike=1,BM48-BN48,IF(Slot5_PotFree=1,BM48,0))</f>
        <v>0</v>
      </c>
      <c r="BR48" s="20" t="n">
        <f aca="false">BH48+BK48*Slot5_BufPot*BM48</f>
        <v>0</v>
      </c>
      <c r="BS48" s="20" t="n">
        <f aca="false">IF(AND(BK48=1,Slot5_IsMfree=1),IF(BP48&gt;=Slot5_Cost-1,0,MAX(0,BI48-BP48)),BI48)</f>
        <v>0</v>
      </c>
      <c r="BT48" s="20" t="n">
        <f aca="false">BK48*(Slot5_Cost-BP48)</f>
        <v>0</v>
      </c>
      <c r="BU48" s="20" t="n">
        <f aca="false">IF(AND(Slot6_On=1,D48=Slot6_Age),1,0)</f>
        <v>0</v>
      </c>
      <c r="BV48" s="20" t="n">
        <f aca="false">IF(AND(Slot6_On=1,Slot6_Age&gt;D48),1,0)</f>
        <v>0</v>
      </c>
      <c r="BW48" s="20" t="n">
        <f aca="false">RG47</f>
        <v>0</v>
      </c>
      <c r="BX48" s="20" t="n">
        <f aca="false">BU48*MIN(Slot6_Cost,BW48)</f>
        <v>0</v>
      </c>
      <c r="BY48" s="20" t="n">
        <f aca="false">BU48*Slot6_SpendLike*MIN(Slot6_Cost-BX48,BQ48)</f>
        <v>0</v>
      </c>
      <c r="BZ48" s="20" t="n">
        <f aca="false">BX48+BY48</f>
        <v>0</v>
      </c>
      <c r="CA48" s="20" t="n">
        <f aca="false">BQ48-BY48+BU48*IF(Slot6_SpendLike=1,BW48-BX48,IF(Slot6_PotFree=1,BW48,0))</f>
        <v>0</v>
      </c>
      <c r="CB48" s="20" t="n">
        <f aca="false">BR48+BU48*Slot6_BufPot*BW48</f>
        <v>0</v>
      </c>
      <c r="CC48" s="20" t="n">
        <f aca="false">IF(AND(BU48=1,Slot6_IsMfree=1),IF(BZ48&gt;=Slot6_Cost-1,0,MAX(0,BS48-BZ48)),BS48)</f>
        <v>0</v>
      </c>
      <c r="CD48" s="20" t="n">
        <f aca="false">BU48*(Slot6_Cost-BZ48)</f>
        <v>0</v>
      </c>
      <c r="CE48" s="20" t="n">
        <f aca="false">IF(AND(Slot7_On=1,D48=Slot7_Age),1,0)</f>
        <v>0</v>
      </c>
      <c r="CF48" s="20" t="n">
        <f aca="false">IF(AND(Slot7_On=1,Slot7_Age&gt;D48),1,0)</f>
        <v>0</v>
      </c>
      <c r="CG48" s="20" t="n">
        <f aca="false">RK47</f>
        <v>0</v>
      </c>
      <c r="CH48" s="20" t="n">
        <f aca="false">CE48*MIN(Slot7_Cost,CG48)</f>
        <v>0</v>
      </c>
      <c r="CI48" s="20" t="n">
        <f aca="false">CE48*Slot7_SpendLike*MIN(Slot7_Cost-CH48,CA48)</f>
        <v>0</v>
      </c>
      <c r="CJ48" s="20" t="n">
        <f aca="false">CH48+CI48</f>
        <v>0</v>
      </c>
      <c r="CK48" s="20" t="n">
        <f aca="false">CA48-CI48+CE48*IF(Slot7_SpendLike=1,CG48-CH48,IF(Slot7_PotFree=1,CG48,0))</f>
        <v>0</v>
      </c>
      <c r="CL48" s="20" t="n">
        <f aca="false">CB48+CE48*Slot7_BufPot*CG48</f>
        <v>0</v>
      </c>
      <c r="CM48" s="20" t="n">
        <f aca="false">IF(AND(CE48=1,Slot7_IsMfree=1),IF(CJ48&gt;=Slot7_Cost-1,0,MAX(0,CC48-CJ48)),CC48)</f>
        <v>0</v>
      </c>
      <c r="CN48" s="20" t="n">
        <f aca="false">CE48*(Slot7_Cost-CJ48)</f>
        <v>0</v>
      </c>
      <c r="CO48" s="20" t="n">
        <f aca="false">IF(AND(Slot8_On=1,D48=Slot8_Age),1,0)</f>
        <v>0</v>
      </c>
      <c r="CP48" s="20" t="n">
        <f aca="false">IF(AND(Slot8_On=1,Slot8_Age&gt;D48),1,0)</f>
        <v>0</v>
      </c>
      <c r="CQ48" s="20" t="n">
        <f aca="false">RO47</f>
        <v>0</v>
      </c>
      <c r="CR48" s="20" t="n">
        <f aca="false">CO48*MIN(Slot8_Cost,CQ48)</f>
        <v>0</v>
      </c>
      <c r="CS48" s="20" t="n">
        <f aca="false">CO48*Slot8_SpendLike*MIN(Slot8_Cost-CR48,CK48)</f>
        <v>0</v>
      </c>
      <c r="CT48" s="20" t="n">
        <f aca="false">CR48+CS48</f>
        <v>0</v>
      </c>
      <c r="CU48" s="20" t="n">
        <f aca="false">CK48-CS48+CO48*IF(Slot8_SpendLike=1,CQ48-CR48,IF(Slot8_PotFree=1,CQ48,0))</f>
        <v>0</v>
      </c>
      <c r="CV48" s="20" t="n">
        <f aca="false">CL48+CO48*Slot8_BufPot*CQ48</f>
        <v>0</v>
      </c>
      <c r="CW48" s="20" t="n">
        <f aca="false">IF(AND(CO48=1,Slot8_IsMfree=1),IF(CT48&gt;=Slot8_Cost-1,0,MAX(0,CM48-CT48)),CM48)</f>
        <v>0</v>
      </c>
      <c r="CX48" s="20" t="n">
        <f aca="false">CO48*(Slot8_Cost-CT48)</f>
        <v>0</v>
      </c>
      <c r="CY48" s="20" t="n">
        <f aca="false">IF(AND(Slot9_On=1,D48=Slot9_Age),1,0)</f>
        <v>0</v>
      </c>
      <c r="CZ48" s="20" t="n">
        <f aca="false">IF(AND(Slot9_On=1,Slot9_Age&gt;D48),1,0)</f>
        <v>0</v>
      </c>
      <c r="DA48" s="20" t="n">
        <f aca="false">RS47</f>
        <v>0</v>
      </c>
      <c r="DB48" s="20" t="n">
        <f aca="false">CY48*MIN(Slot9_Cost,DA48)</f>
        <v>0</v>
      </c>
      <c r="DC48" s="20" t="n">
        <f aca="false">CY48*Slot9_SpendLike*MIN(Slot9_Cost-DB48,CU48)</f>
        <v>0</v>
      </c>
      <c r="DD48" s="20" t="n">
        <f aca="false">DB48+DC48</f>
        <v>0</v>
      </c>
      <c r="DE48" s="20" t="n">
        <f aca="false">CU48-DC48+CY48*IF(Slot9_SpendLike=1,DA48-DB48,IF(Slot9_PotFree=1,DA48,0))</f>
        <v>0</v>
      </c>
      <c r="DF48" s="20" t="n">
        <f aca="false">CV48+CY48*Slot9_BufPot*DA48</f>
        <v>0</v>
      </c>
      <c r="DG48" s="20" t="n">
        <f aca="false">IF(AND(CY48=1,Slot9_IsMfree=1),IF(DD48&gt;=Slot9_Cost-1,0,MAX(0,CW48-DD48)),CW48)</f>
        <v>0</v>
      </c>
      <c r="DH48" s="20" t="n">
        <f aca="false">CY48*(Slot9_Cost-DD48)</f>
        <v>0</v>
      </c>
      <c r="DI48" s="20" t="n">
        <f aca="false">IF(AND(Slot10_On=1,D48=Slot10_Age),1,0)</f>
        <v>0</v>
      </c>
      <c r="DJ48" s="20" t="n">
        <f aca="false">IF(AND(Slot10_On=1,Slot10_Age&gt;D48),1,0)</f>
        <v>0</v>
      </c>
      <c r="DK48" s="20" t="n">
        <f aca="false">RW47</f>
        <v>0</v>
      </c>
      <c r="DL48" s="20" t="n">
        <f aca="false">DI48*MIN(Slot10_Cost,DK48)</f>
        <v>0</v>
      </c>
      <c r="DM48" s="20" t="n">
        <f aca="false">DI48*Slot10_SpendLike*MIN(Slot10_Cost-DL48,DE48)</f>
        <v>0</v>
      </c>
      <c r="DN48" s="20" t="n">
        <f aca="false">DL48+DM48</f>
        <v>0</v>
      </c>
      <c r="DO48" s="20" t="n">
        <f aca="false">DE48-DM48+DI48*IF(Slot10_SpendLike=1,DK48-DL48,IF(Slot10_PotFree=1,DK48,0))</f>
        <v>0</v>
      </c>
      <c r="DP48" s="20" t="n">
        <f aca="false">DF48+DI48*Slot10_BufPot*DK48</f>
        <v>0</v>
      </c>
      <c r="DQ48" s="20" t="n">
        <f aca="false">IF(AND(DI48=1,Slot10_IsMfree=1),IF(DN48&gt;=Slot10_Cost-1,0,MAX(0,DG48-DN48)),DG48)</f>
        <v>0</v>
      </c>
      <c r="DR48" s="20" t="n">
        <f aca="false">DI48*(Slot10_Cost-DN48)</f>
        <v>0</v>
      </c>
      <c r="DS48" s="20" t="n">
        <f aca="false">IF(AND(Slot11_On=1,D48=Slot11_Age),1,0)</f>
        <v>0</v>
      </c>
      <c r="DT48" s="20" t="n">
        <f aca="false">IF(AND(Slot11_On=1,Slot11_Age&gt;D48),1,0)</f>
        <v>0</v>
      </c>
      <c r="DU48" s="20" t="n">
        <f aca="false">SA47</f>
        <v>0</v>
      </c>
      <c r="DV48" s="20" t="n">
        <f aca="false">DS48*MIN(Slot11_Cost,DU48)</f>
        <v>0</v>
      </c>
      <c r="DW48" s="20" t="n">
        <f aca="false">DS48*Slot11_SpendLike*MIN(Slot11_Cost-DV48,DO48)</f>
        <v>0</v>
      </c>
      <c r="DX48" s="20" t="n">
        <f aca="false">DV48+DW48</f>
        <v>0</v>
      </c>
      <c r="DY48" s="20" t="n">
        <f aca="false">DO48-DW48+DS48*IF(Slot11_SpendLike=1,DU48-DV48,IF(Slot11_PotFree=1,DU48,0))</f>
        <v>0</v>
      </c>
      <c r="DZ48" s="20" t="n">
        <f aca="false">DP48+DS48*Slot11_BufPot*DU48</f>
        <v>0</v>
      </c>
      <c r="EA48" s="20" t="n">
        <f aca="false">IF(AND(DS48=1,Slot11_IsMfree=1),IF(DX48&gt;=Slot11_Cost-1,0,MAX(0,DQ48-DX48)),DQ48)</f>
        <v>0</v>
      </c>
      <c r="EB48" s="20" t="n">
        <f aca="false">DS48*(Slot11_Cost-DX48)</f>
        <v>0</v>
      </c>
      <c r="EC48" s="20" t="n">
        <f aca="false">IF(AND(Slot12_On=1,D48=Slot12_Age),1,0)</f>
        <v>0</v>
      </c>
      <c r="ED48" s="20" t="n">
        <f aca="false">IF(AND(Slot12_On=1,Slot12_Age&gt;D48),1,0)</f>
        <v>0</v>
      </c>
      <c r="EE48" s="20" t="n">
        <f aca="false">SE47</f>
        <v>0</v>
      </c>
      <c r="EF48" s="20" t="n">
        <f aca="false">EC48*MIN(Slot12_Cost,EE48)</f>
        <v>0</v>
      </c>
      <c r="EG48" s="20" t="n">
        <f aca="false">EC48*Slot12_SpendLike*MIN(Slot12_Cost-EF48,DY48)</f>
        <v>0</v>
      </c>
      <c r="EH48" s="20" t="n">
        <f aca="false">EF48+EG48</f>
        <v>0</v>
      </c>
      <c r="EI48" s="20" t="n">
        <f aca="false">DY48-EG48+EC48*IF(Slot12_SpendLike=1,EE48-EF48,IF(Slot12_PotFree=1,EE48,0))</f>
        <v>0</v>
      </c>
      <c r="EJ48" s="20" t="n">
        <f aca="false">DZ48+EC48*Slot12_BufPot*EE48</f>
        <v>0</v>
      </c>
      <c r="EK48" s="20" t="n">
        <f aca="false">IF(AND(EC48=1,Slot12_IsMfree=1),IF(EH48&gt;=Slot12_Cost-1,0,MAX(0,EA48-EH48)),EA48)</f>
        <v>0</v>
      </c>
      <c r="EL48" s="20" t="n">
        <f aca="false">EC48*(Slot12_Cost-EH48)</f>
        <v>0</v>
      </c>
      <c r="EM48" s="20" t="n">
        <f aca="false">IF(AND(Slot13_On=1,D48=Slot13_Age),1,0)</f>
        <v>0</v>
      </c>
      <c r="EN48" s="20" t="n">
        <f aca="false">IF(AND(Slot13_On=1,Slot13_Age&gt;D48),1,0)</f>
        <v>0</v>
      </c>
      <c r="EO48" s="20" t="n">
        <f aca="false">SI47</f>
        <v>0</v>
      </c>
      <c r="EP48" s="20" t="n">
        <f aca="false">EM48*MIN(Slot13_Cost,EO48)</f>
        <v>0</v>
      </c>
      <c r="EQ48" s="20" t="n">
        <f aca="false">EM48*Slot13_SpendLike*MIN(Slot13_Cost-EP48,EI48)</f>
        <v>0</v>
      </c>
      <c r="ER48" s="20" t="n">
        <f aca="false">EP48+EQ48</f>
        <v>0</v>
      </c>
      <c r="ES48" s="20" t="n">
        <f aca="false">EI48-EQ48+EM48*IF(Slot13_SpendLike=1,EO48-EP48,IF(Slot13_PotFree=1,EO48,0))</f>
        <v>0</v>
      </c>
      <c r="ET48" s="20" t="n">
        <f aca="false">EJ48+EM48*Slot13_BufPot*EO48</f>
        <v>0</v>
      </c>
      <c r="EU48" s="20" t="n">
        <f aca="false">IF(AND(EM48=1,Slot13_IsMfree=1),IF(ER48&gt;=Slot13_Cost-1,0,MAX(0,EK48-ER48)),EK48)</f>
        <v>0</v>
      </c>
      <c r="EV48" s="20" t="n">
        <f aca="false">EM48*(Slot13_Cost-ER48)</f>
        <v>0</v>
      </c>
      <c r="EW48" s="20" t="n">
        <f aca="false">IF(AND(Slot14_On=1,D48=Slot14_Age),1,0)</f>
        <v>0</v>
      </c>
      <c r="EX48" s="20" t="n">
        <f aca="false">IF(AND(Slot14_On=1,Slot14_Age&gt;D48),1,0)</f>
        <v>0</v>
      </c>
      <c r="EY48" s="20" t="n">
        <f aca="false">SM47</f>
        <v>0</v>
      </c>
      <c r="EZ48" s="20" t="n">
        <f aca="false">EW48*MIN(Slot14_Cost,EY48)</f>
        <v>0</v>
      </c>
      <c r="FA48" s="20" t="n">
        <f aca="false">EW48*Slot14_SpendLike*MIN(Slot14_Cost-EZ48,ES48)</f>
        <v>0</v>
      </c>
      <c r="FB48" s="20" t="n">
        <f aca="false">EZ48+FA48</f>
        <v>0</v>
      </c>
      <c r="FC48" s="20" t="n">
        <f aca="false">ES48-FA48+EW48*IF(Slot14_SpendLike=1,EY48-EZ48,IF(Slot14_PotFree=1,EY48,0))</f>
        <v>0</v>
      </c>
      <c r="FD48" s="20" t="n">
        <f aca="false">ET48+EW48*Slot14_BufPot*EY48</f>
        <v>0</v>
      </c>
      <c r="FE48" s="20" t="n">
        <f aca="false">IF(AND(EW48=1,Slot14_IsMfree=1),IF(FB48&gt;=Slot14_Cost-1,0,MAX(0,EU48-FB48)),EU48)</f>
        <v>0</v>
      </c>
      <c r="FF48" s="20" t="n">
        <f aca="false">EW48*(Slot14_Cost-FB48)</f>
        <v>0</v>
      </c>
      <c r="FG48" s="20" t="n">
        <f aca="false">IF(AND(Slot15_On=1,D48=Slot15_Age),1,0)</f>
        <v>0</v>
      </c>
      <c r="FH48" s="20" t="n">
        <f aca="false">IF(AND(Slot15_On=1,Slot15_Age&gt;D48),1,0)</f>
        <v>0</v>
      </c>
      <c r="FI48" s="20" t="n">
        <f aca="false">SQ47</f>
        <v>0</v>
      </c>
      <c r="FJ48" s="20" t="n">
        <f aca="false">FG48*MIN(Slot15_Cost,FI48)</f>
        <v>0</v>
      </c>
      <c r="FK48" s="20" t="n">
        <f aca="false">FG48*Slot15_SpendLike*MIN(Slot15_Cost-FJ48,FC48)</f>
        <v>0</v>
      </c>
      <c r="FL48" s="20" t="n">
        <f aca="false">FJ48+FK48</f>
        <v>0</v>
      </c>
      <c r="FM48" s="20" t="n">
        <f aca="false">FC48-FK48+FG48*IF(Slot15_SpendLike=1,FI48-FJ48,IF(Slot15_PotFree=1,FI48,0))</f>
        <v>0</v>
      </c>
      <c r="FN48" s="20" t="n">
        <f aca="false">FD48+FG48*Slot15_BufPot*FI48</f>
        <v>0</v>
      </c>
      <c r="FO48" s="20" t="n">
        <f aca="false">IF(AND(FG48=1,Slot15_IsMfree=1),IF(FL48&gt;=Slot15_Cost-1,0,MAX(0,FE48-FL48)),FE48)</f>
        <v>0</v>
      </c>
      <c r="FP48" s="20" t="n">
        <f aca="false">FG48*(Slot15_Cost-FL48)</f>
        <v>0</v>
      </c>
      <c r="FQ48" s="20" t="n">
        <f aca="false">IF(AND(Slot16_On=1,D48=Slot16_Age),1,0)</f>
        <v>0</v>
      </c>
      <c r="FR48" s="20" t="n">
        <f aca="false">IF(AND(Slot16_On=1,Slot16_Age&gt;D48),1,0)</f>
        <v>0</v>
      </c>
      <c r="FS48" s="20" t="n">
        <f aca="false">SU47</f>
        <v>0</v>
      </c>
      <c r="FT48" s="20" t="n">
        <f aca="false">FQ48*MIN(Slot16_Cost,FS48)</f>
        <v>0</v>
      </c>
      <c r="FU48" s="20" t="n">
        <f aca="false">FQ48*Slot16_SpendLike*MIN(Slot16_Cost-FT48,FM48)</f>
        <v>0</v>
      </c>
      <c r="FV48" s="20" t="n">
        <f aca="false">FT48+FU48</f>
        <v>0</v>
      </c>
      <c r="FW48" s="20" t="n">
        <f aca="false">FM48-FU48+FQ48*IF(Slot16_SpendLike=1,FS48-FT48,IF(Slot16_PotFree=1,FS48,0))</f>
        <v>0</v>
      </c>
      <c r="FX48" s="20" t="n">
        <f aca="false">FN48+FQ48*Slot16_BufPot*FS48</f>
        <v>0</v>
      </c>
      <c r="FY48" s="20" t="n">
        <f aca="false">IF(AND(FQ48=1,Slot16_IsMfree=1),IF(FV48&gt;=Slot16_Cost-1,0,MAX(0,FO48-FV48)),FO48)</f>
        <v>0</v>
      </c>
      <c r="FZ48" s="20" t="n">
        <f aca="false">FQ48*(Slot16_Cost-FV48)</f>
        <v>0</v>
      </c>
      <c r="GA48" s="20" t="n">
        <f aca="false">IF(AND(Slot17_On=1,D48=Slot17_Age),1,0)</f>
        <v>0</v>
      </c>
      <c r="GB48" s="20" t="n">
        <f aca="false">IF(AND(Slot17_On=1,Slot17_Age&gt;D48),1,0)</f>
        <v>0</v>
      </c>
      <c r="GC48" s="20" t="n">
        <f aca="false">SY47</f>
        <v>0</v>
      </c>
      <c r="GD48" s="20" t="n">
        <f aca="false">GA48*MIN(Slot17_Cost,GC48)</f>
        <v>0</v>
      </c>
      <c r="GE48" s="20" t="n">
        <f aca="false">GA48*Slot17_SpendLike*MIN(Slot17_Cost-GD48,FW48)</f>
        <v>0</v>
      </c>
      <c r="GF48" s="20" t="n">
        <f aca="false">GD48+GE48</f>
        <v>0</v>
      </c>
      <c r="GG48" s="20" t="n">
        <f aca="false">FW48-GE48+GA48*IF(Slot17_SpendLike=1,GC48-GD48,IF(Slot17_PotFree=1,GC48,0))</f>
        <v>0</v>
      </c>
      <c r="GH48" s="20" t="n">
        <f aca="false">FX48+GA48*Slot17_BufPot*GC48</f>
        <v>0</v>
      </c>
      <c r="GI48" s="20" t="n">
        <f aca="false">IF(AND(GA48=1,Slot17_IsMfree=1),IF(GF48&gt;=Slot17_Cost-1,0,MAX(0,FY48-GF48)),FY48)</f>
        <v>0</v>
      </c>
      <c r="GJ48" s="20" t="n">
        <f aca="false">GA48*(Slot17_Cost-GF48)</f>
        <v>0</v>
      </c>
      <c r="GK48" s="20" t="n">
        <f aca="false">IF(AND(Slot18_On=1,D48=Slot18_Age),1,0)</f>
        <v>0</v>
      </c>
      <c r="GL48" s="20" t="n">
        <f aca="false">IF(AND(Slot18_On=1,Slot18_Age&gt;D48),1,0)</f>
        <v>0</v>
      </c>
      <c r="GM48" s="20" t="n">
        <f aca="false">TC47</f>
        <v>0</v>
      </c>
      <c r="GN48" s="20" t="n">
        <f aca="false">GK48*MIN(Slot18_Cost,GM48)</f>
        <v>0</v>
      </c>
      <c r="GO48" s="20" t="n">
        <f aca="false">GK48*Slot18_SpendLike*MIN(Slot18_Cost-GN48,GG48)</f>
        <v>0</v>
      </c>
      <c r="GP48" s="20" t="n">
        <f aca="false">GN48+GO48</f>
        <v>0</v>
      </c>
      <c r="GQ48" s="20" t="n">
        <f aca="false">GG48-GO48+GK48*IF(Slot18_SpendLike=1,GM48-GN48,IF(Slot18_PotFree=1,GM48,0))</f>
        <v>0</v>
      </c>
      <c r="GR48" s="20" t="n">
        <f aca="false">GH48+GK48*Slot18_BufPot*GM48</f>
        <v>0</v>
      </c>
      <c r="GS48" s="20" t="n">
        <f aca="false">IF(AND(GK48=1,Slot18_IsMfree=1),IF(GP48&gt;=Slot18_Cost-1,0,MAX(0,GI48-GP48)),GI48)</f>
        <v>0</v>
      </c>
      <c r="GT48" s="20" t="n">
        <f aca="false">GK48*(Slot18_Cost-GP48)</f>
        <v>0</v>
      </c>
      <c r="GU48" s="20" t="n">
        <f aca="false">IF(AND(Slot19_On=1,D48=Slot19_Age),1,0)</f>
        <v>0</v>
      </c>
      <c r="GV48" s="20" t="n">
        <f aca="false">IF(AND(Slot19_On=1,Slot19_Age&gt;D48),1,0)</f>
        <v>0</v>
      </c>
      <c r="GW48" s="20" t="n">
        <f aca="false">TG47</f>
        <v>0</v>
      </c>
      <c r="GX48" s="20" t="n">
        <f aca="false">GU48*MIN(Slot19_Cost,GW48)</f>
        <v>0</v>
      </c>
      <c r="GY48" s="20" t="n">
        <f aca="false">GU48*Slot19_SpendLike*MIN(Slot19_Cost-GX48,GQ48)</f>
        <v>0</v>
      </c>
      <c r="GZ48" s="20" t="n">
        <f aca="false">GX48+GY48</f>
        <v>0</v>
      </c>
      <c r="HA48" s="20" t="n">
        <f aca="false">GQ48-GY48+GU48*IF(Slot19_SpendLike=1,GW48-GX48,IF(Slot19_PotFree=1,GW48,0))</f>
        <v>0</v>
      </c>
      <c r="HB48" s="20" t="n">
        <f aca="false">GR48+GU48*Slot19_BufPot*GW48</f>
        <v>0</v>
      </c>
      <c r="HC48" s="20" t="n">
        <f aca="false">IF(AND(GU48=1,Slot19_IsMfree=1),IF(GZ48&gt;=Slot19_Cost-1,0,MAX(0,GS48-GZ48)),GS48)</f>
        <v>0</v>
      </c>
      <c r="HD48" s="20" t="n">
        <f aca="false">GU48*(Slot19_Cost-GZ48)</f>
        <v>0</v>
      </c>
      <c r="HE48" s="20" t="n">
        <f aca="false">IF(AND(Slot20_On=1,D48=Slot20_Age),1,0)</f>
        <v>0</v>
      </c>
      <c r="HF48" s="20" t="n">
        <f aca="false">IF(AND(Slot20_On=1,Slot20_Age&gt;D48),1,0)</f>
        <v>0</v>
      </c>
      <c r="HG48" s="20" t="n">
        <f aca="false">TK47</f>
        <v>0</v>
      </c>
      <c r="HH48" s="20" t="n">
        <f aca="false">HE48*MIN(Slot20_Cost,HG48)</f>
        <v>0</v>
      </c>
      <c r="HI48" s="20" t="n">
        <f aca="false">HE48*Slot20_SpendLike*MIN(Slot20_Cost-HH48,HA48)</f>
        <v>0</v>
      </c>
      <c r="HJ48" s="20" t="n">
        <f aca="false">HH48+HI48</f>
        <v>0</v>
      </c>
      <c r="HK48" s="20" t="n">
        <f aca="false">HA48-HI48+HE48*IF(Slot20_SpendLike=1,HG48-HH48,IF(Slot20_PotFree=1,HG48,0))</f>
        <v>0</v>
      </c>
      <c r="HL48" s="20" t="n">
        <f aca="false">HB48+HE48*Slot20_BufPot*HG48</f>
        <v>0</v>
      </c>
      <c r="HM48" s="20" t="n">
        <f aca="false">IF(AND(HE48=1,Slot20_IsMfree=1),IF(HJ48&gt;=Slot20_Cost-1,0,MAX(0,HC48-HJ48)),HC48)</f>
        <v>0</v>
      </c>
      <c r="HN48" s="20" t="n">
        <f aca="false">HE48*(Slot20_Cost-HJ48)</f>
        <v>0</v>
      </c>
      <c r="HO48" s="20" t="n">
        <f aca="false">V48*Slot1_SpendLike*AA48+AG48*Slot2_SpendLike*AL48+AQ48*Slot3_SpendLike*AV48+BA48*Slot4_SpendLike*BF48+BK48*Slot5_SpendLike*BP48+BU48*Slot6_SpendLike*BZ48+CE48*Slot7_SpendLike*CJ48+CO48*Slot8_SpendLike*CT48+CY48*Slot9_SpendLike*DD48+DI48*Slot10_SpendLike*DN48+DS48*Slot11_SpendLike*DX48+EC48*Slot12_SpendLike*EH48+EM48*Slot13_SpendLike*ER48+EW48*Slot14_SpendLike*FB48+FG48*Slot15_SpendLike*FL48+FQ48*Slot16_SpendLike*FV48+GA48*Slot17_SpendLike*GF48+GK48*Slot18_SpendLike*GP48+GU48*Slot19_SpendLike*GZ48+HE48*Slot20_SpendLike*HJ48</f>
        <v>0</v>
      </c>
      <c r="HP48" s="20" t="n">
        <f aca="false">AE48+AP48+AZ48+BJ48+BT48+CD48+CN48+CX48+DH48+DR48+EB48+EL48+EV48+FF48+FP48+FZ48+GJ48+GT48+HD48+HN48</f>
        <v>0</v>
      </c>
      <c r="HQ48" s="20" t="n">
        <f aca="false">V48*Slot1_Cost+AG48*Slot2_Cost+AQ48*Slot3_Cost+BA48*Slot4_Cost+BK48*Slot5_Cost+BU48*Slot6_Cost+CE48*Slot7_Cost+CO48*Slot8_Cost+CY48*Slot9_Cost+DI48*Slot10_Cost+DS48*Slot11_Cost+EC48*Slot12_Cost+EM48*Slot13_Cost+EW48*Slot14_Cost+FG48*Slot15_Cost+FQ48*Slot16_Cost+GA48*Slot17_Cost+GK48*Slot18_Cost+GU48*Slot19_Cost+HE48*Slot20_Cost</f>
        <v>0</v>
      </c>
      <c r="HR48" s="20" t="n">
        <f aca="false">HM48</f>
        <v>0</v>
      </c>
      <c r="HS48" s="20" t="n">
        <f aca="false">H48-I48-S48</f>
        <v>-25304.1216446723</v>
      </c>
      <c r="HT48" s="20" t="n">
        <f aca="false">IF(B48=0,IF(AND(Has_q6=1,In_q6=4),PR_ShareVaries*(MAX(0,HS48)/12),MIN(IF(Has_q6=1,CHOOSE(In_q6+1,PR_SaveB1,PR_SaveB2,PR_SaveB3,PR_SaveB4,0),AS_NoAnswer),AS_SaveShare*(MAX(0,HS48)/12))),HT47)</f>
        <v>62.3316893520437</v>
      </c>
      <c r="HU48" s="20" t="n">
        <f aca="false">IF(HS48&gt;=0,1,0)</f>
        <v>0</v>
      </c>
      <c r="HV48" s="20" t="n">
        <f aca="false">MAX(0,HS48/12/F48)</f>
        <v>0</v>
      </c>
      <c r="HW48" s="20" t="n">
        <f aca="false">IF(AND(Has_q6=1,In_q6=4),PR_ShareVaries*(HV48),MIN(IF(Has_q6=1,CHOOSE(In_q6+1,PR_SaveB1,PR_SaveB2,PR_SaveB3,PR_SaveB4,0),AS_NoAnswer),AS_SaveShare*(HV48)))</f>
        <v>0</v>
      </c>
      <c r="HX48" s="20" t="n">
        <f aca="false">IF(Has_saveM=1,IF(In_saveUp="Yes",1,IF(In_saveUp="No",0,IF(In_saveM&gt;=HT48-0.5,1,0))),0)</f>
        <v>0</v>
      </c>
      <c r="HY48" s="20" t="n">
        <f aca="false">IF(Has_saveM=1,MIN(HV48,IF(HX48=1,MAX(In_saveM,HW48),MIN(In_saveM,HW48))),HW48)</f>
        <v>0</v>
      </c>
      <c r="HZ48" s="20" t="n">
        <f aca="false">IF(G48=1,HY48*12*F48,0)</f>
        <v>0</v>
      </c>
      <c r="IA48" s="20" t="n">
        <f aca="false">MAX(0,HZ48+IF(AND(WI_Retire=0,WI_M&lt;0,G48=1),WI_M*12*F48,0))</f>
        <v>0</v>
      </c>
      <c r="IB48" s="20" t="n">
        <f aca="false">Slot1_IsWG*W48+Slot2_IsWG*AH48+Slot3_IsWG*AR48+Slot4_IsWG*BB48+Slot5_IsWG*BL48+Slot6_IsWG*BV48+Slot7_IsWG*CF48+Slot8_IsWG*CP48+Slot9_IsWG*CZ48+Slot10_IsWG*DJ48+Slot11_IsWG*DT48+Slot12_IsWG*ED48+Slot13_IsWG*EN48+Slot14_IsWG*EX48+Slot15_IsWG*FH48+Slot16_IsWG*FR48+Slot17_IsWG*GB48+Slot18_IsWG*GL48+Slot19_IsWG*GV48+Slot20_IsWG*HF48</f>
        <v>0</v>
      </c>
      <c r="IC48" s="20" t="n">
        <f aca="false">IF(AND(WI_Retire=0,WI_M&gt;0,G48=1,IB48&gt;=1),WI_M*12*F48,0)</f>
        <v>0</v>
      </c>
      <c r="ID48" s="20" t="n">
        <f aca="false">IF(HU48=1,MIN(IA48,HS48),0)</f>
        <v>0</v>
      </c>
      <c r="IE48" s="20" t="n">
        <f aca="false">IF(HU48=1,MIN(IC48,HS48-ID48),0)</f>
        <v>0</v>
      </c>
      <c r="IF48" s="20" t="n">
        <f aca="false">IF(W48=1,IF(ABS((1+AS_Wage)/(1+Slot1_Rate)-1)&lt;0.000000000001,(Slot1_Age-D48)*(1+Slot1_Rate)^(Slot1_Age-D48),(1+Slot1_Rate)^(Slot1_Age-D48)*(1-((1+AS_Wage)/(1+Slot1_Rate))^(Slot1_Age-D48))/(1-(1+AS_Wage)/(1+Slot1_Rate))),1)</f>
        <v>1</v>
      </c>
      <c r="IG48" s="20" t="n">
        <f aca="false">IF(AND(HU48=1,IE48&gt;0,Slot1_IsWG=1,W48=1),MAX(0,(Slot1_Cost-X48*(1+Slot1_Rate)^(Slot1_Age-D48))/IF48),0)</f>
        <v>0</v>
      </c>
      <c r="IH48" s="20" t="n">
        <f aca="false">IF(AND(HU48=1,IE48&gt;0,Slot1_IsWG=1,W48=1),MIN(IE48,IG48),0)</f>
        <v>0</v>
      </c>
      <c r="II48" s="20" t="n">
        <f aca="false">X48+IH48</f>
        <v>0</v>
      </c>
      <c r="IJ48" s="20" t="n">
        <f aca="false">IF(W48=1,MAX(0,(Slot1_Cost-II48*(1+Slot1_Rate)^(Slot1_Age-D48))/IF48),0)</f>
        <v>0</v>
      </c>
      <c r="IK48" s="20" t="n">
        <f aca="false">IF(W48=1,MAX(0,(Slot1_Cost-X48*(1+Slot1_Rate)^(Slot1_Age-D48))/IF48),0)</f>
        <v>0</v>
      </c>
      <c r="IL48" s="20" t="n">
        <f aca="false">IF(AND(HU48=1,W48=1),MIN(ID48,IJ48),0)</f>
        <v>0</v>
      </c>
      <c r="IM48" s="20" t="n">
        <f aca="false">ID48-IL48</f>
        <v>0</v>
      </c>
      <c r="IN48" s="20" t="n">
        <f aca="false">IF(AH48=1,IF(ABS((1+AS_Wage)/(1+Slot2_Rate)-1)&lt;0.000000000001,(Slot2_Age-D48)*(1+Slot2_Rate)^(Slot2_Age-D48),(1+Slot2_Rate)^(Slot2_Age-D48)*(1-((1+AS_Wage)/(1+Slot2_Rate))^(Slot2_Age-D48))/(1-(1+AS_Wage)/(1+Slot2_Rate))),1)</f>
        <v>1</v>
      </c>
      <c r="IO48" s="20" t="n">
        <f aca="false">IF(AND(HU48=1,IE48&gt;0,Slot2_IsWG=1,AH48=1),MAX(0,(Slot2_Cost-AI48*(1+Slot2_Rate)^(Slot2_Age-D48))/IN48),0)</f>
        <v>0</v>
      </c>
      <c r="IP48" s="20" t="n">
        <f aca="false">IF(AND(HU48=1,IE48&gt;0,Slot2_IsWG=1,AH48=1),MIN(IE48,IO48),0)</f>
        <v>0</v>
      </c>
      <c r="IQ48" s="20" t="n">
        <f aca="false">AI48+IP48</f>
        <v>0</v>
      </c>
      <c r="IR48" s="20" t="n">
        <f aca="false">IF(AH48=1,MAX(0,(Slot2_Cost-IQ48*(1+Slot2_Rate)^(Slot2_Age-D48))/IN48),0)</f>
        <v>0</v>
      </c>
      <c r="IS48" s="20" t="n">
        <f aca="false">IF(AH48=1,MAX(0,(Slot2_Cost-AI48*(1+Slot2_Rate)^(Slot2_Age-D48))/IN48),0)</f>
        <v>0</v>
      </c>
      <c r="IT48" s="20" t="n">
        <f aca="false">IF(AND(HU48=1,AH48=1),MIN(IM48,IR48),0)</f>
        <v>0</v>
      </c>
      <c r="IU48" s="20" t="n">
        <f aca="false">IM48-IT48</f>
        <v>0</v>
      </c>
      <c r="IV48" s="20" t="n">
        <f aca="false">IF(AR48=1,IF(ABS((1+AS_Wage)/(1+Slot3_Rate)-1)&lt;0.000000000001,(Slot3_Age-D48)*(1+Slot3_Rate)^(Slot3_Age-D48),(1+Slot3_Rate)^(Slot3_Age-D48)*(1-((1+AS_Wage)/(1+Slot3_Rate))^(Slot3_Age-D48))/(1-(1+AS_Wage)/(1+Slot3_Rate))),1)</f>
        <v>1</v>
      </c>
      <c r="IW48" s="20" t="n">
        <f aca="false">IF(AND(HU48=1,IE48&gt;0,Slot3_IsWG=1,AR48=1),MAX(0,(Slot3_Cost-AS48*(1+Slot3_Rate)^(Slot3_Age-D48))/IV48),0)</f>
        <v>0</v>
      </c>
      <c r="IX48" s="20" t="n">
        <f aca="false">IF(AND(HU48=1,IE48&gt;0,Slot3_IsWG=1,AR48=1),MIN(IE48,IW48),0)</f>
        <v>0</v>
      </c>
      <c r="IY48" s="20" t="n">
        <f aca="false">AS48+IX48</f>
        <v>0</v>
      </c>
      <c r="IZ48" s="20" t="n">
        <f aca="false">IF(AR48=1,MAX(0,(Slot3_Cost-IY48*(1+Slot3_Rate)^(Slot3_Age-D48))/IV48),0)</f>
        <v>0</v>
      </c>
      <c r="JA48" s="20" t="n">
        <f aca="false">IF(AR48=1,MAX(0,(Slot3_Cost-AS48*(1+Slot3_Rate)^(Slot3_Age-D48))/IV48),0)</f>
        <v>0</v>
      </c>
      <c r="JB48" s="20" t="n">
        <f aca="false">IF(AND(HU48=1,AR48=1),MIN(IU48,IZ48),0)</f>
        <v>0</v>
      </c>
      <c r="JC48" s="20" t="n">
        <f aca="false">IU48-JB48</f>
        <v>0</v>
      </c>
      <c r="JD48" s="20" t="n">
        <f aca="false">IF(BB48=1,IF(ABS((1+AS_Wage)/(1+Slot4_Rate)-1)&lt;0.000000000001,(Slot4_Age-D48)*(1+Slot4_Rate)^(Slot4_Age-D48),(1+Slot4_Rate)^(Slot4_Age-D48)*(1-((1+AS_Wage)/(1+Slot4_Rate))^(Slot4_Age-D48))/(1-(1+AS_Wage)/(1+Slot4_Rate))),1)</f>
        <v>1</v>
      </c>
      <c r="JE48" s="20" t="n">
        <f aca="false">IF(AND(HU48=1,IE48&gt;0,Slot4_IsWG=1,BB48=1),MAX(0,(Slot4_Cost-BC48*(1+Slot4_Rate)^(Slot4_Age-D48))/JD48),0)</f>
        <v>0</v>
      </c>
      <c r="JF48" s="20" t="n">
        <f aca="false">IF(AND(HU48=1,IE48&gt;0,Slot4_IsWG=1,BB48=1),MIN(IE48,JE48),0)</f>
        <v>0</v>
      </c>
      <c r="JG48" s="20" t="n">
        <f aca="false">BC48+JF48</f>
        <v>0</v>
      </c>
      <c r="JH48" s="20" t="n">
        <f aca="false">IF(BB48=1,MAX(0,(Slot4_Cost-JG48*(1+Slot4_Rate)^(Slot4_Age-D48))/JD48),0)</f>
        <v>0</v>
      </c>
      <c r="JI48" s="20" t="n">
        <f aca="false">IF(BB48=1,MAX(0,(Slot4_Cost-BC48*(1+Slot4_Rate)^(Slot4_Age-D48))/JD48),0)</f>
        <v>0</v>
      </c>
      <c r="JJ48" s="20" t="n">
        <f aca="false">IF(AND(HU48=1,BB48=1),MIN(JC48,JH48),0)</f>
        <v>0</v>
      </c>
      <c r="JK48" s="20" t="n">
        <f aca="false">JC48-JJ48</f>
        <v>0</v>
      </c>
      <c r="JL48" s="20" t="n">
        <f aca="false">IF(BL48=1,IF(ABS((1+AS_Wage)/(1+Slot5_Rate)-1)&lt;0.000000000001,(Slot5_Age-D48)*(1+Slot5_Rate)^(Slot5_Age-D48),(1+Slot5_Rate)^(Slot5_Age-D48)*(1-((1+AS_Wage)/(1+Slot5_Rate))^(Slot5_Age-D48))/(1-(1+AS_Wage)/(1+Slot5_Rate))),1)</f>
        <v>1</v>
      </c>
      <c r="JM48" s="20" t="n">
        <f aca="false">IF(AND(HU48=1,IE48&gt;0,Slot5_IsWG=1,BL48=1),MAX(0,(Slot5_Cost-BM48*(1+Slot5_Rate)^(Slot5_Age-D48))/JL48),0)</f>
        <v>0</v>
      </c>
      <c r="JN48" s="20" t="n">
        <f aca="false">IF(AND(HU48=1,IE48&gt;0,Slot5_IsWG=1,BL48=1),MIN(IE48,JM48),0)</f>
        <v>0</v>
      </c>
      <c r="JO48" s="20" t="n">
        <f aca="false">BM48+JN48</f>
        <v>0</v>
      </c>
      <c r="JP48" s="20" t="n">
        <f aca="false">IF(BL48=1,MAX(0,(Slot5_Cost-JO48*(1+Slot5_Rate)^(Slot5_Age-D48))/JL48),0)</f>
        <v>0</v>
      </c>
      <c r="JQ48" s="20" t="n">
        <f aca="false">IF(BL48=1,MAX(0,(Slot5_Cost-BM48*(1+Slot5_Rate)^(Slot5_Age-D48))/JL48),0)</f>
        <v>0</v>
      </c>
      <c r="JR48" s="20" t="n">
        <f aca="false">IF(AND(HU48=1,BL48=1),MIN(JK48,JP48),0)</f>
        <v>0</v>
      </c>
      <c r="JS48" s="20" t="n">
        <f aca="false">JK48-JR48</f>
        <v>0</v>
      </c>
      <c r="JT48" s="20" t="n">
        <f aca="false">IF(BV48=1,IF(ABS((1+AS_Wage)/(1+Slot6_Rate)-1)&lt;0.000000000001,(Slot6_Age-D48)*(1+Slot6_Rate)^(Slot6_Age-D48),(1+Slot6_Rate)^(Slot6_Age-D48)*(1-((1+AS_Wage)/(1+Slot6_Rate))^(Slot6_Age-D48))/(1-(1+AS_Wage)/(1+Slot6_Rate))),1)</f>
        <v>1</v>
      </c>
      <c r="JU48" s="20" t="n">
        <f aca="false">IF(AND(HU48=1,IE48&gt;0,Slot6_IsWG=1,BV48=1),MAX(0,(Slot6_Cost-BW48*(1+Slot6_Rate)^(Slot6_Age-D48))/JT48),0)</f>
        <v>0</v>
      </c>
      <c r="JV48" s="20" t="n">
        <f aca="false">IF(AND(HU48=1,IE48&gt;0,Slot6_IsWG=1,BV48=1),MIN(IE48,JU48),0)</f>
        <v>0</v>
      </c>
      <c r="JW48" s="20" t="n">
        <f aca="false">BW48+JV48</f>
        <v>0</v>
      </c>
      <c r="JX48" s="20" t="n">
        <f aca="false">IF(BV48=1,MAX(0,(Slot6_Cost-JW48*(1+Slot6_Rate)^(Slot6_Age-D48))/JT48),0)</f>
        <v>0</v>
      </c>
      <c r="JY48" s="20" t="n">
        <f aca="false">IF(BV48=1,MAX(0,(Slot6_Cost-BW48*(1+Slot6_Rate)^(Slot6_Age-D48))/JT48),0)</f>
        <v>0</v>
      </c>
      <c r="JZ48" s="20" t="n">
        <f aca="false">IF(AND(HU48=1,BV48=1),MIN(JS48,JX48),0)</f>
        <v>0</v>
      </c>
      <c r="KA48" s="20" t="n">
        <f aca="false">JS48-JZ48</f>
        <v>0</v>
      </c>
      <c r="KB48" s="20" t="n">
        <f aca="false">IF(CF48=1,IF(ABS((1+AS_Wage)/(1+Slot7_Rate)-1)&lt;0.000000000001,(Slot7_Age-D48)*(1+Slot7_Rate)^(Slot7_Age-D48),(1+Slot7_Rate)^(Slot7_Age-D48)*(1-((1+AS_Wage)/(1+Slot7_Rate))^(Slot7_Age-D48))/(1-(1+AS_Wage)/(1+Slot7_Rate))),1)</f>
        <v>1</v>
      </c>
      <c r="KC48" s="20" t="n">
        <f aca="false">IF(AND(HU48=1,IE48&gt;0,Slot7_IsWG=1,CF48=1),MAX(0,(Slot7_Cost-CG48*(1+Slot7_Rate)^(Slot7_Age-D48))/KB48),0)</f>
        <v>0</v>
      </c>
      <c r="KD48" s="20" t="n">
        <f aca="false">IF(AND(HU48=1,IE48&gt;0,Slot7_IsWG=1,CF48=1),MIN(IE48,KC48),0)</f>
        <v>0</v>
      </c>
      <c r="KE48" s="20" t="n">
        <f aca="false">CG48+KD48</f>
        <v>0</v>
      </c>
      <c r="KF48" s="20" t="n">
        <f aca="false">IF(CF48=1,MAX(0,(Slot7_Cost-KE48*(1+Slot7_Rate)^(Slot7_Age-D48))/KB48),0)</f>
        <v>0</v>
      </c>
      <c r="KG48" s="20" t="n">
        <f aca="false">IF(CF48=1,MAX(0,(Slot7_Cost-CG48*(1+Slot7_Rate)^(Slot7_Age-D48))/KB48),0)</f>
        <v>0</v>
      </c>
      <c r="KH48" s="20" t="n">
        <f aca="false">IF(AND(HU48=1,CF48=1),MIN(KA48,KF48),0)</f>
        <v>0</v>
      </c>
      <c r="KI48" s="20" t="n">
        <f aca="false">KA48-KH48</f>
        <v>0</v>
      </c>
      <c r="KJ48" s="20" t="n">
        <f aca="false">IF(CP48=1,IF(ABS((1+AS_Wage)/(1+Slot8_Rate)-1)&lt;0.000000000001,(Slot8_Age-D48)*(1+Slot8_Rate)^(Slot8_Age-D48),(1+Slot8_Rate)^(Slot8_Age-D48)*(1-((1+AS_Wage)/(1+Slot8_Rate))^(Slot8_Age-D48))/(1-(1+AS_Wage)/(1+Slot8_Rate))),1)</f>
        <v>1</v>
      </c>
      <c r="KK48" s="20" t="n">
        <f aca="false">IF(AND(HU48=1,IE48&gt;0,Slot8_IsWG=1,CP48=1),MAX(0,(Slot8_Cost-CQ48*(1+Slot8_Rate)^(Slot8_Age-D48))/KJ48),0)</f>
        <v>0</v>
      </c>
      <c r="KL48" s="20" t="n">
        <f aca="false">IF(AND(HU48=1,IE48&gt;0,Slot8_IsWG=1,CP48=1),MIN(IE48,KK48),0)</f>
        <v>0</v>
      </c>
      <c r="KM48" s="20" t="n">
        <f aca="false">CQ48+KL48</f>
        <v>0</v>
      </c>
      <c r="KN48" s="20" t="n">
        <f aca="false">IF(CP48=1,MAX(0,(Slot8_Cost-KM48*(1+Slot8_Rate)^(Slot8_Age-D48))/KJ48),0)</f>
        <v>0</v>
      </c>
      <c r="KO48" s="20" t="n">
        <f aca="false">IF(CP48=1,MAX(0,(Slot8_Cost-CQ48*(1+Slot8_Rate)^(Slot8_Age-D48))/KJ48),0)</f>
        <v>0</v>
      </c>
      <c r="KP48" s="20" t="n">
        <f aca="false">IF(AND(HU48=1,CP48=1),MIN(KI48,KN48),0)</f>
        <v>0</v>
      </c>
      <c r="KQ48" s="20" t="n">
        <f aca="false">KI48-KP48</f>
        <v>0</v>
      </c>
      <c r="KR48" s="20" t="n">
        <f aca="false">IF(CZ48=1,IF(ABS((1+AS_Wage)/(1+Slot9_Rate)-1)&lt;0.000000000001,(Slot9_Age-D48)*(1+Slot9_Rate)^(Slot9_Age-D48),(1+Slot9_Rate)^(Slot9_Age-D48)*(1-((1+AS_Wage)/(1+Slot9_Rate))^(Slot9_Age-D48))/(1-(1+AS_Wage)/(1+Slot9_Rate))),1)</f>
        <v>1</v>
      </c>
      <c r="KS48" s="20" t="n">
        <f aca="false">IF(AND(HU48=1,IE48&gt;0,Slot9_IsWG=1,CZ48=1),MAX(0,(Slot9_Cost-DA48*(1+Slot9_Rate)^(Slot9_Age-D48))/KR48),0)</f>
        <v>0</v>
      </c>
      <c r="KT48" s="20" t="n">
        <f aca="false">IF(AND(HU48=1,IE48&gt;0,Slot9_IsWG=1,CZ48=1),MIN(IE48,KS48),0)</f>
        <v>0</v>
      </c>
      <c r="KU48" s="20" t="n">
        <f aca="false">DA48+KT48</f>
        <v>0</v>
      </c>
      <c r="KV48" s="20" t="n">
        <f aca="false">IF(CZ48=1,MAX(0,(Slot9_Cost-KU48*(1+Slot9_Rate)^(Slot9_Age-D48))/KR48),0)</f>
        <v>0</v>
      </c>
      <c r="KW48" s="20" t="n">
        <f aca="false">IF(CZ48=1,MAX(0,(Slot9_Cost-DA48*(1+Slot9_Rate)^(Slot9_Age-D48))/KR48),0)</f>
        <v>0</v>
      </c>
      <c r="KX48" s="20" t="n">
        <f aca="false">IF(AND(HU48=1,CZ48=1),MIN(KQ48,KV48),0)</f>
        <v>0</v>
      </c>
      <c r="KY48" s="20" t="n">
        <f aca="false">KQ48-KX48</f>
        <v>0</v>
      </c>
      <c r="KZ48" s="20" t="n">
        <f aca="false">IF(DJ48=1,IF(ABS((1+AS_Wage)/(1+Slot10_Rate)-1)&lt;0.000000000001,(Slot10_Age-D48)*(1+Slot10_Rate)^(Slot10_Age-D48),(1+Slot10_Rate)^(Slot10_Age-D48)*(1-((1+AS_Wage)/(1+Slot10_Rate))^(Slot10_Age-D48))/(1-(1+AS_Wage)/(1+Slot10_Rate))),1)</f>
        <v>1</v>
      </c>
      <c r="LA48" s="20" t="n">
        <f aca="false">IF(AND(HU48=1,IE48&gt;0,Slot10_IsWG=1,DJ48=1),MAX(0,(Slot10_Cost-DK48*(1+Slot10_Rate)^(Slot10_Age-D48))/KZ48),0)</f>
        <v>0</v>
      </c>
      <c r="LB48" s="20" t="n">
        <f aca="false">IF(AND(HU48=1,IE48&gt;0,Slot10_IsWG=1,DJ48=1),MIN(IE48,LA48),0)</f>
        <v>0</v>
      </c>
      <c r="LC48" s="20" t="n">
        <f aca="false">DK48+LB48</f>
        <v>0</v>
      </c>
      <c r="LD48" s="20" t="n">
        <f aca="false">IF(DJ48=1,MAX(0,(Slot10_Cost-LC48*(1+Slot10_Rate)^(Slot10_Age-D48))/KZ48),0)</f>
        <v>0</v>
      </c>
      <c r="LE48" s="20" t="n">
        <f aca="false">IF(DJ48=1,MAX(0,(Slot10_Cost-DK48*(1+Slot10_Rate)^(Slot10_Age-D48))/KZ48),0)</f>
        <v>0</v>
      </c>
      <c r="LF48" s="20" t="n">
        <f aca="false">IF(AND(HU48=1,DJ48=1),MIN(KY48,LD48),0)</f>
        <v>0</v>
      </c>
      <c r="LG48" s="20" t="n">
        <f aca="false">KY48-LF48</f>
        <v>0</v>
      </c>
      <c r="LH48" s="20" t="n">
        <f aca="false">IF(DT48=1,IF(ABS((1+AS_Wage)/(1+Slot11_Rate)-1)&lt;0.000000000001,(Slot11_Age-D48)*(1+Slot11_Rate)^(Slot11_Age-D48),(1+Slot11_Rate)^(Slot11_Age-D48)*(1-((1+AS_Wage)/(1+Slot11_Rate))^(Slot11_Age-D48))/(1-(1+AS_Wage)/(1+Slot11_Rate))),1)</f>
        <v>1</v>
      </c>
      <c r="LI48" s="20" t="n">
        <f aca="false">IF(AND(HU48=1,IE48&gt;0,Slot11_IsWG=1,DT48=1),MAX(0,(Slot11_Cost-DU48*(1+Slot11_Rate)^(Slot11_Age-D48))/LH48),0)</f>
        <v>0</v>
      </c>
      <c r="LJ48" s="20" t="n">
        <f aca="false">IF(AND(HU48=1,IE48&gt;0,Slot11_IsWG=1,DT48=1),MIN(IE48,LI48),0)</f>
        <v>0</v>
      </c>
      <c r="LK48" s="20" t="n">
        <f aca="false">DU48+LJ48</f>
        <v>0</v>
      </c>
      <c r="LL48" s="20" t="n">
        <f aca="false">IF(DT48=1,MAX(0,(Slot11_Cost-LK48*(1+Slot11_Rate)^(Slot11_Age-D48))/LH48),0)</f>
        <v>0</v>
      </c>
      <c r="LM48" s="20" t="n">
        <f aca="false">IF(DT48=1,MAX(0,(Slot11_Cost-DU48*(1+Slot11_Rate)^(Slot11_Age-D48))/LH48),0)</f>
        <v>0</v>
      </c>
      <c r="LN48" s="20" t="n">
        <f aca="false">IF(AND(HU48=1,DT48=1),MIN(LG48,LL48),0)</f>
        <v>0</v>
      </c>
      <c r="LO48" s="20" t="n">
        <f aca="false">LG48-LN48</f>
        <v>0</v>
      </c>
      <c r="LP48" s="20" t="n">
        <f aca="false">IF(ED48=1,IF(ABS((1+AS_Wage)/(1+Slot12_Rate)-1)&lt;0.000000000001,(Slot12_Age-D48)*(1+Slot12_Rate)^(Slot12_Age-D48),(1+Slot12_Rate)^(Slot12_Age-D48)*(1-((1+AS_Wage)/(1+Slot12_Rate))^(Slot12_Age-D48))/(1-(1+AS_Wage)/(1+Slot12_Rate))),1)</f>
        <v>1</v>
      </c>
      <c r="LQ48" s="20" t="n">
        <f aca="false">IF(AND(HU48=1,IE48&gt;0,Slot12_IsWG=1,ED48=1),MAX(0,(Slot12_Cost-EE48*(1+Slot12_Rate)^(Slot12_Age-D48))/LP48),0)</f>
        <v>0</v>
      </c>
      <c r="LR48" s="20" t="n">
        <f aca="false">IF(AND(HU48=1,IE48&gt;0,Slot12_IsWG=1,ED48=1),MIN(IE48,LQ48),0)</f>
        <v>0</v>
      </c>
      <c r="LS48" s="20" t="n">
        <f aca="false">EE48+LR48</f>
        <v>0</v>
      </c>
      <c r="LT48" s="20" t="n">
        <f aca="false">IF(ED48=1,MAX(0,(Slot12_Cost-LS48*(1+Slot12_Rate)^(Slot12_Age-D48))/LP48),0)</f>
        <v>0</v>
      </c>
      <c r="LU48" s="20" t="n">
        <f aca="false">IF(ED48=1,MAX(0,(Slot12_Cost-EE48*(1+Slot12_Rate)^(Slot12_Age-D48))/LP48),0)</f>
        <v>0</v>
      </c>
      <c r="LV48" s="20" t="n">
        <f aca="false">IF(AND(HU48=1,ED48=1),MIN(LO48,LT48),0)</f>
        <v>0</v>
      </c>
      <c r="LW48" s="20" t="n">
        <f aca="false">LO48-LV48</f>
        <v>0</v>
      </c>
      <c r="LX48" s="20" t="n">
        <f aca="false">IF(EN48=1,IF(ABS((1+AS_Wage)/(1+Slot13_Rate)-1)&lt;0.000000000001,(Slot13_Age-D48)*(1+Slot13_Rate)^(Slot13_Age-D48),(1+Slot13_Rate)^(Slot13_Age-D48)*(1-((1+AS_Wage)/(1+Slot13_Rate))^(Slot13_Age-D48))/(1-(1+AS_Wage)/(1+Slot13_Rate))),1)</f>
        <v>1</v>
      </c>
      <c r="LY48" s="20" t="n">
        <f aca="false">IF(AND(HU48=1,IE48&gt;0,Slot13_IsWG=1,EN48=1),MAX(0,(Slot13_Cost-EO48*(1+Slot13_Rate)^(Slot13_Age-D48))/LX48),0)</f>
        <v>0</v>
      </c>
      <c r="LZ48" s="20" t="n">
        <f aca="false">IF(AND(HU48=1,IE48&gt;0,Slot13_IsWG=1,EN48=1),MIN(IE48,LY48),0)</f>
        <v>0</v>
      </c>
      <c r="MA48" s="20" t="n">
        <f aca="false">EO48+LZ48</f>
        <v>0</v>
      </c>
      <c r="MB48" s="20" t="n">
        <f aca="false">IF(EN48=1,MAX(0,(Slot13_Cost-MA48*(1+Slot13_Rate)^(Slot13_Age-D48))/LX48),0)</f>
        <v>0</v>
      </c>
      <c r="MC48" s="20" t="n">
        <f aca="false">IF(EN48=1,MAX(0,(Slot13_Cost-EO48*(1+Slot13_Rate)^(Slot13_Age-D48))/LX48),0)</f>
        <v>0</v>
      </c>
      <c r="MD48" s="20" t="n">
        <f aca="false">IF(AND(HU48=1,EN48=1),MIN(LW48,MB48),0)</f>
        <v>0</v>
      </c>
      <c r="ME48" s="20" t="n">
        <f aca="false">LW48-MD48</f>
        <v>0</v>
      </c>
      <c r="MF48" s="20" t="n">
        <f aca="false">IF(EX48=1,IF(ABS((1+AS_Wage)/(1+Slot14_Rate)-1)&lt;0.000000000001,(Slot14_Age-D48)*(1+Slot14_Rate)^(Slot14_Age-D48),(1+Slot14_Rate)^(Slot14_Age-D48)*(1-((1+AS_Wage)/(1+Slot14_Rate))^(Slot14_Age-D48))/(1-(1+AS_Wage)/(1+Slot14_Rate))),1)</f>
        <v>1</v>
      </c>
      <c r="MG48" s="20" t="n">
        <f aca="false">IF(AND(HU48=1,IE48&gt;0,Slot14_IsWG=1,EX48=1),MAX(0,(Slot14_Cost-EY48*(1+Slot14_Rate)^(Slot14_Age-D48))/MF48),0)</f>
        <v>0</v>
      </c>
      <c r="MH48" s="20" t="n">
        <f aca="false">IF(AND(HU48=1,IE48&gt;0,Slot14_IsWG=1,EX48=1),MIN(IE48,MG48),0)</f>
        <v>0</v>
      </c>
      <c r="MI48" s="20" t="n">
        <f aca="false">EY48+MH48</f>
        <v>0</v>
      </c>
      <c r="MJ48" s="20" t="n">
        <f aca="false">IF(EX48=1,MAX(0,(Slot14_Cost-MI48*(1+Slot14_Rate)^(Slot14_Age-D48))/MF48),0)</f>
        <v>0</v>
      </c>
      <c r="MK48" s="20" t="n">
        <f aca="false">IF(EX48=1,MAX(0,(Slot14_Cost-EY48*(1+Slot14_Rate)^(Slot14_Age-D48))/MF48),0)</f>
        <v>0</v>
      </c>
      <c r="ML48" s="20" t="n">
        <f aca="false">IF(AND(HU48=1,EX48=1),MIN(ME48,MJ48),0)</f>
        <v>0</v>
      </c>
      <c r="MM48" s="20" t="n">
        <f aca="false">ME48-ML48</f>
        <v>0</v>
      </c>
      <c r="MN48" s="20" t="n">
        <f aca="false">IF(FH48=1,IF(ABS((1+AS_Wage)/(1+Slot15_Rate)-1)&lt;0.000000000001,(Slot15_Age-D48)*(1+Slot15_Rate)^(Slot15_Age-D48),(1+Slot15_Rate)^(Slot15_Age-D48)*(1-((1+AS_Wage)/(1+Slot15_Rate))^(Slot15_Age-D48))/(1-(1+AS_Wage)/(1+Slot15_Rate))),1)</f>
        <v>1</v>
      </c>
      <c r="MO48" s="20" t="n">
        <f aca="false">IF(AND(HU48=1,IE48&gt;0,Slot15_IsWG=1,FH48=1),MAX(0,(Slot15_Cost-FI48*(1+Slot15_Rate)^(Slot15_Age-D48))/MN48),0)</f>
        <v>0</v>
      </c>
      <c r="MP48" s="20" t="n">
        <f aca="false">IF(AND(HU48=1,IE48&gt;0,Slot15_IsWG=1,FH48=1),MIN(IE48,MO48),0)</f>
        <v>0</v>
      </c>
      <c r="MQ48" s="20" t="n">
        <f aca="false">FI48+MP48</f>
        <v>0</v>
      </c>
      <c r="MR48" s="20" t="n">
        <f aca="false">IF(FH48=1,MAX(0,(Slot15_Cost-MQ48*(1+Slot15_Rate)^(Slot15_Age-D48))/MN48),0)</f>
        <v>0</v>
      </c>
      <c r="MS48" s="20" t="n">
        <f aca="false">IF(FH48=1,MAX(0,(Slot15_Cost-FI48*(1+Slot15_Rate)^(Slot15_Age-D48))/MN48),0)</f>
        <v>0</v>
      </c>
      <c r="MT48" s="20" t="n">
        <f aca="false">IF(AND(HU48=1,FH48=1),MIN(MM48,MR48),0)</f>
        <v>0</v>
      </c>
      <c r="MU48" s="20" t="n">
        <f aca="false">MM48-MT48</f>
        <v>0</v>
      </c>
      <c r="MV48" s="20" t="n">
        <f aca="false">IF(FR48=1,IF(ABS((1+AS_Wage)/(1+Slot16_Rate)-1)&lt;0.000000000001,(Slot16_Age-D48)*(1+Slot16_Rate)^(Slot16_Age-D48),(1+Slot16_Rate)^(Slot16_Age-D48)*(1-((1+AS_Wage)/(1+Slot16_Rate))^(Slot16_Age-D48))/(1-(1+AS_Wage)/(1+Slot16_Rate))),1)</f>
        <v>1</v>
      </c>
      <c r="MW48" s="20" t="n">
        <f aca="false">IF(AND(HU48=1,IE48&gt;0,Slot16_IsWG=1,FR48=1),MAX(0,(Slot16_Cost-FS48*(1+Slot16_Rate)^(Slot16_Age-D48))/MV48),0)</f>
        <v>0</v>
      </c>
      <c r="MX48" s="20" t="n">
        <f aca="false">IF(AND(HU48=1,IE48&gt;0,Slot16_IsWG=1,FR48=1),MIN(IE48,MW48),0)</f>
        <v>0</v>
      </c>
      <c r="MY48" s="20" t="n">
        <f aca="false">FS48+MX48</f>
        <v>0</v>
      </c>
      <c r="MZ48" s="20" t="n">
        <f aca="false">IF(FR48=1,MAX(0,(Slot16_Cost-MY48*(1+Slot16_Rate)^(Slot16_Age-D48))/MV48),0)</f>
        <v>0</v>
      </c>
      <c r="NA48" s="20" t="n">
        <f aca="false">IF(FR48=1,MAX(0,(Slot16_Cost-FS48*(1+Slot16_Rate)^(Slot16_Age-D48))/MV48),0)</f>
        <v>0</v>
      </c>
      <c r="NB48" s="20" t="n">
        <f aca="false">IF(AND(HU48=1,FR48=1),MIN(MU48,MZ48),0)</f>
        <v>0</v>
      </c>
      <c r="NC48" s="20" t="n">
        <f aca="false">MU48-NB48</f>
        <v>0</v>
      </c>
      <c r="ND48" s="20" t="n">
        <f aca="false">IF(GB48=1,IF(ABS((1+AS_Wage)/(1+Slot17_Rate)-1)&lt;0.000000000001,(Slot17_Age-D48)*(1+Slot17_Rate)^(Slot17_Age-D48),(1+Slot17_Rate)^(Slot17_Age-D48)*(1-((1+AS_Wage)/(1+Slot17_Rate))^(Slot17_Age-D48))/(1-(1+AS_Wage)/(1+Slot17_Rate))),1)</f>
        <v>1</v>
      </c>
      <c r="NE48" s="20" t="n">
        <f aca="false">IF(AND(HU48=1,IE48&gt;0,Slot17_IsWG=1,GB48=1),MAX(0,(Slot17_Cost-GC48*(1+Slot17_Rate)^(Slot17_Age-D48))/ND48),0)</f>
        <v>0</v>
      </c>
      <c r="NF48" s="20" t="n">
        <f aca="false">IF(AND(HU48=1,IE48&gt;0,Slot17_IsWG=1,GB48=1),MIN(IE48,NE48),0)</f>
        <v>0</v>
      </c>
      <c r="NG48" s="20" t="n">
        <f aca="false">GC48+NF48</f>
        <v>0</v>
      </c>
      <c r="NH48" s="20" t="n">
        <f aca="false">IF(GB48=1,MAX(0,(Slot17_Cost-NG48*(1+Slot17_Rate)^(Slot17_Age-D48))/ND48),0)</f>
        <v>0</v>
      </c>
      <c r="NI48" s="20" t="n">
        <f aca="false">IF(GB48=1,MAX(0,(Slot17_Cost-GC48*(1+Slot17_Rate)^(Slot17_Age-D48))/ND48),0)</f>
        <v>0</v>
      </c>
      <c r="NJ48" s="20" t="n">
        <f aca="false">IF(AND(HU48=1,GB48=1),MIN(NC48,NH48),0)</f>
        <v>0</v>
      </c>
      <c r="NK48" s="20" t="n">
        <f aca="false">NC48-NJ48</f>
        <v>0</v>
      </c>
      <c r="NL48" s="20" t="n">
        <f aca="false">IF(GL48=1,IF(ABS((1+AS_Wage)/(1+Slot18_Rate)-1)&lt;0.000000000001,(Slot18_Age-D48)*(1+Slot18_Rate)^(Slot18_Age-D48),(1+Slot18_Rate)^(Slot18_Age-D48)*(1-((1+AS_Wage)/(1+Slot18_Rate))^(Slot18_Age-D48))/(1-(1+AS_Wage)/(1+Slot18_Rate))),1)</f>
        <v>1</v>
      </c>
      <c r="NM48" s="20" t="n">
        <f aca="false">IF(AND(HU48=1,IE48&gt;0,Slot18_IsWG=1,GL48=1),MAX(0,(Slot18_Cost-GM48*(1+Slot18_Rate)^(Slot18_Age-D48))/NL48),0)</f>
        <v>0</v>
      </c>
      <c r="NN48" s="20" t="n">
        <f aca="false">IF(AND(HU48=1,IE48&gt;0,Slot18_IsWG=1,GL48=1),MIN(IE48,NM48),0)</f>
        <v>0</v>
      </c>
      <c r="NO48" s="20" t="n">
        <f aca="false">GM48+NN48</f>
        <v>0</v>
      </c>
      <c r="NP48" s="20" t="n">
        <f aca="false">IF(GL48=1,MAX(0,(Slot18_Cost-NO48*(1+Slot18_Rate)^(Slot18_Age-D48))/NL48),0)</f>
        <v>0</v>
      </c>
      <c r="NQ48" s="20" t="n">
        <f aca="false">IF(GL48=1,MAX(0,(Slot18_Cost-GM48*(1+Slot18_Rate)^(Slot18_Age-D48))/NL48),0)</f>
        <v>0</v>
      </c>
      <c r="NR48" s="20" t="n">
        <f aca="false">IF(AND(HU48=1,GL48=1),MIN(NK48,NP48),0)</f>
        <v>0</v>
      </c>
      <c r="NS48" s="20" t="n">
        <f aca="false">NK48-NR48</f>
        <v>0</v>
      </c>
      <c r="NT48" s="20" t="n">
        <f aca="false">IF(GV48=1,IF(ABS((1+AS_Wage)/(1+Slot19_Rate)-1)&lt;0.000000000001,(Slot19_Age-D48)*(1+Slot19_Rate)^(Slot19_Age-D48),(1+Slot19_Rate)^(Slot19_Age-D48)*(1-((1+AS_Wage)/(1+Slot19_Rate))^(Slot19_Age-D48))/(1-(1+AS_Wage)/(1+Slot19_Rate))),1)</f>
        <v>1</v>
      </c>
      <c r="NU48" s="20" t="n">
        <f aca="false">IF(AND(HU48=1,IE48&gt;0,Slot19_IsWG=1,GV48=1),MAX(0,(Slot19_Cost-GW48*(1+Slot19_Rate)^(Slot19_Age-D48))/NT48),0)</f>
        <v>0</v>
      </c>
      <c r="NV48" s="20" t="n">
        <f aca="false">IF(AND(HU48=1,IE48&gt;0,Slot19_IsWG=1,GV48=1),MIN(IE48,NU48),0)</f>
        <v>0</v>
      </c>
      <c r="NW48" s="20" t="n">
        <f aca="false">GW48+NV48</f>
        <v>0</v>
      </c>
      <c r="NX48" s="20" t="n">
        <f aca="false">IF(GV48=1,MAX(0,(Slot19_Cost-NW48*(1+Slot19_Rate)^(Slot19_Age-D48))/NT48),0)</f>
        <v>0</v>
      </c>
      <c r="NY48" s="20" t="n">
        <f aca="false">IF(GV48=1,MAX(0,(Slot19_Cost-GW48*(1+Slot19_Rate)^(Slot19_Age-D48))/NT48),0)</f>
        <v>0</v>
      </c>
      <c r="NZ48" s="20" t="n">
        <f aca="false">IF(AND(HU48=1,GV48=1),MIN(NS48,NX48),0)</f>
        <v>0</v>
      </c>
      <c r="OA48" s="20" t="n">
        <f aca="false">NS48-NZ48</f>
        <v>0</v>
      </c>
      <c r="OB48" s="20" t="n">
        <f aca="false">IF(HF48=1,IF(ABS((1+AS_Wage)/(1+Slot20_Rate)-1)&lt;0.000000000001,(Slot20_Age-D48)*(1+Slot20_Rate)^(Slot20_Age-D48),(1+Slot20_Rate)^(Slot20_Age-D48)*(1-((1+AS_Wage)/(1+Slot20_Rate))^(Slot20_Age-D48))/(1-(1+AS_Wage)/(1+Slot20_Rate))),1)</f>
        <v>1</v>
      </c>
      <c r="OC48" s="20" t="n">
        <f aca="false">IF(AND(HU48=1,IE48&gt;0,Slot20_IsWG=1,HF48=1),MAX(0,(Slot20_Cost-HG48*(1+Slot20_Rate)^(Slot20_Age-D48))/OB48),0)</f>
        <v>0</v>
      </c>
      <c r="OD48" s="20" t="n">
        <f aca="false">IF(AND(HU48=1,IE48&gt;0,Slot20_IsWG=1,HF48=1),MIN(IE48,OC48),0)</f>
        <v>0</v>
      </c>
      <c r="OE48" s="20" t="n">
        <f aca="false">HG48+OD48</f>
        <v>0</v>
      </c>
      <c r="OF48" s="20" t="n">
        <f aca="false">IF(HF48=1,MAX(0,(Slot20_Cost-OE48*(1+Slot20_Rate)^(Slot20_Age-D48))/OB48),0)</f>
        <v>0</v>
      </c>
      <c r="OG48" s="20" t="n">
        <f aca="false">IF(HF48=1,MAX(0,(Slot20_Cost-HG48*(1+Slot20_Rate)^(Slot20_Age-D48))/OB48),0)</f>
        <v>0</v>
      </c>
      <c r="OH48" s="20" t="n">
        <f aca="false">IF(AND(HU48=1,HF48=1),MIN(OA48,OF48),0)</f>
        <v>0</v>
      </c>
      <c r="OI48" s="20" t="n">
        <f aca="false">OA48-OH48</f>
        <v>0</v>
      </c>
      <c r="OJ48" s="20" t="n">
        <f aca="false">IE48-(IH48+IP48+IX48+JF48+JN48+JV48+KD48+KL48+KT48+LB48+LJ48+LR48+LZ48+MH48+MP48+MX48+NF48+NN48+NV48+OD48)</f>
        <v>0</v>
      </c>
      <c r="OK48" s="20" t="n">
        <f aca="false">IF(HU48=1,HS48-ID48-IE48,0)</f>
        <v>0</v>
      </c>
      <c r="OL48" s="20" t="n">
        <f aca="false">IF(HU48=0,-HS48,0)</f>
        <v>25304.1216446723</v>
      </c>
      <c r="OM48" s="20" t="n">
        <f aca="false">MIN(OL48,HK48)</f>
        <v>0</v>
      </c>
      <c r="ON48" s="20" t="n">
        <f aca="false">OL48-OM48</f>
        <v>25304.1216446723</v>
      </c>
      <c r="OO48" s="20" t="n">
        <f aca="false">MIN(ON48,HL48)</f>
        <v>0</v>
      </c>
      <c r="OP48" s="20" t="n">
        <f aca="false">ON48-OO48</f>
        <v>25304.1216446723</v>
      </c>
      <c r="OQ48" s="20" t="n">
        <f aca="false">IF(AND(HU48=0,HF48=1,OP48&gt;0),MIN(OP48,HG48),0)</f>
        <v>0</v>
      </c>
      <c r="OR48" s="20" t="n">
        <f aca="false">OP48-OQ48</f>
        <v>25304.1216446723</v>
      </c>
      <c r="OS48" s="20" t="n">
        <f aca="false">IF(AND(HU48=0,GV48=1,OR48&gt;0),MIN(OR48,GW48),0)</f>
        <v>0</v>
      </c>
      <c r="OT48" s="20" t="n">
        <f aca="false">OR48-OS48</f>
        <v>25304.1216446723</v>
      </c>
      <c r="OU48" s="20" t="n">
        <f aca="false">IF(AND(HU48=0,GL48=1,OT48&gt;0),MIN(OT48,GM48),0)</f>
        <v>0</v>
      </c>
      <c r="OV48" s="20" t="n">
        <f aca="false">OT48-OU48</f>
        <v>25304.1216446723</v>
      </c>
      <c r="OW48" s="20" t="n">
        <f aca="false">IF(AND(HU48=0,GB48=1,OV48&gt;0),MIN(OV48,GC48),0)</f>
        <v>0</v>
      </c>
      <c r="OX48" s="20" t="n">
        <f aca="false">OV48-OW48</f>
        <v>25304.1216446723</v>
      </c>
      <c r="OY48" s="20" t="n">
        <f aca="false">IF(AND(HU48=0,FR48=1,OX48&gt;0),MIN(OX48,FS48),0)</f>
        <v>0</v>
      </c>
      <c r="OZ48" s="20" t="n">
        <f aca="false">OX48-OY48</f>
        <v>25304.1216446723</v>
      </c>
      <c r="PA48" s="20" t="n">
        <f aca="false">IF(AND(HU48=0,FH48=1,OZ48&gt;0),MIN(OZ48,FI48),0)</f>
        <v>0</v>
      </c>
      <c r="PB48" s="20" t="n">
        <f aca="false">OZ48-PA48</f>
        <v>25304.1216446723</v>
      </c>
      <c r="PC48" s="20" t="n">
        <f aca="false">IF(AND(HU48=0,EX48=1,PB48&gt;0),MIN(PB48,EY48),0)</f>
        <v>0</v>
      </c>
      <c r="PD48" s="20" t="n">
        <f aca="false">PB48-PC48</f>
        <v>25304.1216446723</v>
      </c>
      <c r="PE48" s="20" t="n">
        <f aca="false">IF(AND(HU48=0,EN48=1,PD48&gt;0),MIN(PD48,EO48),0)</f>
        <v>0</v>
      </c>
      <c r="PF48" s="20" t="n">
        <f aca="false">PD48-PE48</f>
        <v>25304.1216446723</v>
      </c>
      <c r="PG48" s="20" t="n">
        <f aca="false">IF(AND(HU48=0,ED48=1,PF48&gt;0),MIN(PF48,EE48),0)</f>
        <v>0</v>
      </c>
      <c r="PH48" s="20" t="n">
        <f aca="false">PF48-PG48</f>
        <v>25304.1216446723</v>
      </c>
      <c r="PI48" s="20" t="n">
        <f aca="false">IF(AND(HU48=0,DT48=1,PH48&gt;0),MIN(PH48,DU48),0)</f>
        <v>0</v>
      </c>
      <c r="PJ48" s="20" t="n">
        <f aca="false">PH48-PI48</f>
        <v>25304.1216446723</v>
      </c>
      <c r="PK48" s="20" t="n">
        <f aca="false">IF(AND(HU48=0,DJ48=1,PJ48&gt;0),MIN(PJ48,DK48),0)</f>
        <v>0</v>
      </c>
      <c r="PL48" s="20" t="n">
        <f aca="false">PJ48-PK48</f>
        <v>25304.1216446723</v>
      </c>
      <c r="PM48" s="20" t="n">
        <f aca="false">IF(AND(HU48=0,CZ48=1,PL48&gt;0),MIN(PL48,DA48),0)</f>
        <v>0</v>
      </c>
      <c r="PN48" s="20" t="n">
        <f aca="false">PL48-PM48</f>
        <v>25304.1216446723</v>
      </c>
      <c r="PO48" s="20" t="n">
        <f aca="false">IF(AND(HU48=0,CP48=1,PN48&gt;0),MIN(PN48,CQ48),0)</f>
        <v>0</v>
      </c>
      <c r="PP48" s="20" t="n">
        <f aca="false">PN48-PO48</f>
        <v>25304.1216446723</v>
      </c>
      <c r="PQ48" s="20" t="n">
        <f aca="false">IF(AND(HU48=0,CF48=1,PP48&gt;0),MIN(PP48,CG48),0)</f>
        <v>0</v>
      </c>
      <c r="PR48" s="20" t="n">
        <f aca="false">PP48-PQ48</f>
        <v>25304.1216446723</v>
      </c>
      <c r="PS48" s="20" t="n">
        <f aca="false">IF(AND(HU48=0,BV48=1,PR48&gt;0),MIN(PR48,BW48),0)</f>
        <v>0</v>
      </c>
      <c r="PT48" s="20" t="n">
        <f aca="false">PR48-PS48</f>
        <v>25304.1216446723</v>
      </c>
      <c r="PU48" s="20" t="n">
        <f aca="false">IF(AND(HU48=0,BL48=1,PT48&gt;0),MIN(PT48,BM48),0)</f>
        <v>0</v>
      </c>
      <c r="PV48" s="20" t="n">
        <f aca="false">PT48-PU48</f>
        <v>25304.1216446723</v>
      </c>
      <c r="PW48" s="20" t="n">
        <f aca="false">IF(AND(HU48=0,BB48=1,PV48&gt;0),MIN(PV48,BC48),0)</f>
        <v>0</v>
      </c>
      <c r="PX48" s="20" t="n">
        <f aca="false">PV48-PW48</f>
        <v>25304.1216446723</v>
      </c>
      <c r="PY48" s="20" t="n">
        <f aca="false">IF(AND(HU48=0,AR48=1,PX48&gt;0),MIN(PX48,AS48),0)</f>
        <v>0</v>
      </c>
      <c r="PZ48" s="20" t="n">
        <f aca="false">PX48-PY48</f>
        <v>25304.1216446723</v>
      </c>
      <c r="QA48" s="20" t="n">
        <f aca="false">IF(AND(HU48=0,AH48=1,PZ48&gt;0),MIN(PZ48,AI48),0)</f>
        <v>0</v>
      </c>
      <c r="QB48" s="20" t="n">
        <f aca="false">PZ48-QA48</f>
        <v>25304.1216446723</v>
      </c>
      <c r="QC48" s="20" t="n">
        <f aca="false">IF(AND(HU48=0,W48=1,QB48&gt;0),MIN(QB48,X48),0)</f>
        <v>0</v>
      </c>
      <c r="QD48" s="20" t="n">
        <f aca="false">QB48-QC48</f>
        <v>25304.1216446723</v>
      </c>
      <c r="QE48" s="20" t="n">
        <f aca="false">IF(HU48=0,QD48,0)</f>
        <v>25304.1216446723</v>
      </c>
      <c r="QF48" s="20" t="n">
        <f aca="false">OM48+OO48+QC48+QA48+PY48+PW48+PU48+PS48+PQ48+PO48+PM48+PK48+PI48+PG48+PE48+PC48+PA48+OY48+OW48+OU48+OS48+OQ48</f>
        <v>0</v>
      </c>
      <c r="QG48" s="20" t="n">
        <f aca="false">IF(HU48=1,HK48+OJ48+OI48+IF(G48=1,0,OK48),HK48-OM48)</f>
        <v>0</v>
      </c>
      <c r="QH48" s="20" t="n">
        <f aca="false">HL48-OO48</f>
        <v>0</v>
      </c>
      <c r="QI48" s="20" t="n">
        <f aca="false">IF(HU48=1,IF(G48=1,ID48+IE48,HS48),0)</f>
        <v>0</v>
      </c>
      <c r="QJ48" s="20" t="n">
        <f aca="false">IF(HU48=1,IF(G48=1,HS48-ID48-IE48,0),0)</f>
        <v>0</v>
      </c>
      <c r="QK48" s="20" t="n">
        <f aca="false">QG48*(1+GR)</f>
        <v>0</v>
      </c>
      <c r="QL48" s="20" t="n">
        <f aca="false">QH48*(1+AS_Cash)</f>
        <v>0</v>
      </c>
      <c r="QM48" s="20" t="n">
        <f aca="false">IF(W48=1,IF(HU48=1,II48+IL48,X48-QC48)*(1+Slot1_Rate),0)</f>
        <v>0</v>
      </c>
      <c r="QN48" s="20" t="n">
        <f aca="false">IF(AND(HU48=1,W48=1),(IH48+IL48)/F48,0)</f>
        <v>0</v>
      </c>
      <c r="QO48" s="20" t="n">
        <f aca="false">IF(B48=0,IH48+IL48,0)</f>
        <v>0</v>
      </c>
      <c r="QP48" s="20" t="n">
        <f aca="false">IF(B48=0,IF(HU48=1,IJ48,IK48),0)</f>
        <v>0</v>
      </c>
      <c r="QQ48" s="20" t="n">
        <f aca="false">IF(AH48=1,IF(HU48=1,IQ48+IT48,AI48-QA48)*(1+Slot2_Rate),0)</f>
        <v>0</v>
      </c>
      <c r="QR48" s="20" t="n">
        <f aca="false">IF(AND(HU48=1,AH48=1),(IP48+IT48)/F48,0)</f>
        <v>0</v>
      </c>
      <c r="QS48" s="20" t="n">
        <f aca="false">IF(B48=0,IP48+IT48,0)</f>
        <v>0</v>
      </c>
      <c r="QT48" s="20" t="n">
        <f aca="false">IF(B48=0,IF(HU48=1,IR48,IS48),0)</f>
        <v>0</v>
      </c>
      <c r="QU48" s="20" t="n">
        <f aca="false">IF(AR48=1,IF(HU48=1,IY48+JB48,AS48-PY48)*(1+Slot3_Rate),0)</f>
        <v>0</v>
      </c>
      <c r="QV48" s="20" t="n">
        <f aca="false">IF(AND(HU48=1,AR48=1),(IX48+JB48)/F48,0)</f>
        <v>0</v>
      </c>
      <c r="QW48" s="20" t="n">
        <f aca="false">IF(B48=0,IX48+JB48,0)</f>
        <v>0</v>
      </c>
      <c r="QX48" s="20" t="n">
        <f aca="false">IF(B48=0,IF(HU48=1,IZ48,JA48),0)</f>
        <v>0</v>
      </c>
      <c r="QY48" s="20" t="n">
        <f aca="false">IF(BB48=1,IF(HU48=1,JG48+JJ48,BC48-PW48)*(1+Slot4_Rate),0)</f>
        <v>0</v>
      </c>
      <c r="QZ48" s="20" t="n">
        <f aca="false">IF(AND(HU48=1,BB48=1),(JF48+JJ48)/F48,0)</f>
        <v>0</v>
      </c>
      <c r="RA48" s="20" t="n">
        <f aca="false">IF(B48=0,JF48+JJ48,0)</f>
        <v>0</v>
      </c>
      <c r="RB48" s="20" t="n">
        <f aca="false">IF(B48=0,IF(HU48=1,JH48,JI48),0)</f>
        <v>0</v>
      </c>
      <c r="RC48" s="20" t="n">
        <f aca="false">IF(BL48=1,IF(HU48=1,JO48+JR48,BM48-PU48)*(1+Slot5_Rate),0)</f>
        <v>0</v>
      </c>
      <c r="RD48" s="20" t="n">
        <f aca="false">IF(AND(HU48=1,BL48=1),(JN48+JR48)/F48,0)</f>
        <v>0</v>
      </c>
      <c r="RE48" s="20" t="n">
        <f aca="false">IF(B48=0,JN48+JR48,0)</f>
        <v>0</v>
      </c>
      <c r="RF48" s="20" t="n">
        <f aca="false">IF(B48=0,IF(HU48=1,JP48,JQ48),0)</f>
        <v>0</v>
      </c>
      <c r="RG48" s="20" t="n">
        <f aca="false">IF(BV48=1,IF(HU48=1,JW48+JZ48,BW48-PS48)*(1+Slot6_Rate),0)</f>
        <v>0</v>
      </c>
      <c r="RH48" s="20" t="n">
        <f aca="false">IF(AND(HU48=1,BV48=1),(JV48+JZ48)/F48,0)</f>
        <v>0</v>
      </c>
      <c r="RI48" s="20" t="n">
        <f aca="false">IF(B48=0,JV48+JZ48,0)</f>
        <v>0</v>
      </c>
      <c r="RJ48" s="20" t="n">
        <f aca="false">IF(B48=0,IF(HU48=1,JX48,JY48),0)</f>
        <v>0</v>
      </c>
      <c r="RK48" s="20" t="n">
        <f aca="false">IF(CF48=1,IF(HU48=1,KE48+KH48,CG48-PQ48)*(1+Slot7_Rate),0)</f>
        <v>0</v>
      </c>
      <c r="RL48" s="20" t="n">
        <f aca="false">IF(AND(HU48=1,CF48=1),(KD48+KH48)/F48,0)</f>
        <v>0</v>
      </c>
      <c r="RM48" s="20" t="n">
        <f aca="false">IF(B48=0,KD48+KH48,0)</f>
        <v>0</v>
      </c>
      <c r="RN48" s="20" t="n">
        <f aca="false">IF(B48=0,IF(HU48=1,KF48,KG48),0)</f>
        <v>0</v>
      </c>
      <c r="RO48" s="20" t="n">
        <f aca="false">IF(CP48=1,IF(HU48=1,KM48+KP48,CQ48-PO48)*(1+Slot8_Rate),0)</f>
        <v>0</v>
      </c>
      <c r="RP48" s="20" t="n">
        <f aca="false">IF(AND(HU48=1,CP48=1),(KL48+KP48)/F48,0)</f>
        <v>0</v>
      </c>
      <c r="RQ48" s="20" t="n">
        <f aca="false">IF(B48=0,KL48+KP48,0)</f>
        <v>0</v>
      </c>
      <c r="RR48" s="20" t="n">
        <f aca="false">IF(B48=0,IF(HU48=1,KN48,KO48),0)</f>
        <v>0</v>
      </c>
      <c r="RS48" s="20" t="n">
        <f aca="false">IF(CZ48=1,IF(HU48=1,KU48+KX48,DA48-PM48)*(1+Slot9_Rate),0)</f>
        <v>0</v>
      </c>
      <c r="RT48" s="20" t="n">
        <f aca="false">IF(AND(HU48=1,CZ48=1),(KT48+KX48)/F48,0)</f>
        <v>0</v>
      </c>
      <c r="RU48" s="20" t="n">
        <f aca="false">IF(B48=0,KT48+KX48,0)</f>
        <v>0</v>
      </c>
      <c r="RV48" s="20" t="n">
        <f aca="false">IF(B48=0,IF(HU48=1,KV48,KW48),0)</f>
        <v>0</v>
      </c>
      <c r="RW48" s="20" t="n">
        <f aca="false">IF(DJ48=1,IF(HU48=1,LC48+LF48,DK48-PK48)*(1+Slot10_Rate),0)</f>
        <v>0</v>
      </c>
      <c r="RX48" s="20" t="n">
        <f aca="false">IF(AND(HU48=1,DJ48=1),(LB48+LF48)/F48,0)</f>
        <v>0</v>
      </c>
      <c r="RY48" s="20" t="n">
        <f aca="false">IF(B48=0,LB48+LF48,0)</f>
        <v>0</v>
      </c>
      <c r="RZ48" s="20" t="n">
        <f aca="false">IF(B48=0,IF(HU48=1,LD48,LE48),0)</f>
        <v>0</v>
      </c>
      <c r="SA48" s="20" t="n">
        <f aca="false">IF(DT48=1,IF(HU48=1,LK48+LN48,DU48-PI48)*(1+Slot11_Rate),0)</f>
        <v>0</v>
      </c>
      <c r="SB48" s="20" t="n">
        <f aca="false">IF(AND(HU48=1,DT48=1),(LJ48+LN48)/F48,0)</f>
        <v>0</v>
      </c>
      <c r="SC48" s="20" t="n">
        <f aca="false">IF(B48=0,LJ48+LN48,0)</f>
        <v>0</v>
      </c>
      <c r="SD48" s="20" t="n">
        <f aca="false">IF(B48=0,IF(HU48=1,LL48,LM48),0)</f>
        <v>0</v>
      </c>
      <c r="SE48" s="20" t="n">
        <f aca="false">IF(ED48=1,IF(HU48=1,LS48+LV48,EE48-PG48)*(1+Slot12_Rate),0)</f>
        <v>0</v>
      </c>
      <c r="SF48" s="20" t="n">
        <f aca="false">IF(AND(HU48=1,ED48=1),(LR48+LV48)/F48,0)</f>
        <v>0</v>
      </c>
      <c r="SG48" s="20" t="n">
        <f aca="false">IF(B48=0,LR48+LV48,0)</f>
        <v>0</v>
      </c>
      <c r="SH48" s="20" t="n">
        <f aca="false">IF(B48=0,IF(HU48=1,LT48,LU48),0)</f>
        <v>0</v>
      </c>
      <c r="SI48" s="20" t="n">
        <f aca="false">IF(EN48=1,IF(HU48=1,MA48+MD48,EO48-PE48)*(1+Slot13_Rate),0)</f>
        <v>0</v>
      </c>
      <c r="SJ48" s="20" t="n">
        <f aca="false">IF(AND(HU48=1,EN48=1),(LZ48+MD48)/F48,0)</f>
        <v>0</v>
      </c>
      <c r="SK48" s="20" t="n">
        <f aca="false">IF(B48=0,LZ48+MD48,0)</f>
        <v>0</v>
      </c>
      <c r="SL48" s="20" t="n">
        <f aca="false">IF(B48=0,IF(HU48=1,MB48,MC48),0)</f>
        <v>0</v>
      </c>
      <c r="SM48" s="20" t="n">
        <f aca="false">IF(EX48=1,IF(HU48=1,MI48+ML48,EY48-PC48)*(1+Slot14_Rate),0)</f>
        <v>0</v>
      </c>
      <c r="SN48" s="20" t="n">
        <f aca="false">IF(AND(HU48=1,EX48=1),(MH48+ML48)/F48,0)</f>
        <v>0</v>
      </c>
      <c r="SO48" s="20" t="n">
        <f aca="false">IF(B48=0,MH48+ML48,0)</f>
        <v>0</v>
      </c>
      <c r="SP48" s="20" t="n">
        <f aca="false">IF(B48=0,IF(HU48=1,MJ48,MK48),0)</f>
        <v>0</v>
      </c>
      <c r="SQ48" s="20" t="n">
        <f aca="false">IF(FH48=1,IF(HU48=1,MQ48+MT48,FI48-PA48)*(1+Slot15_Rate),0)</f>
        <v>0</v>
      </c>
      <c r="SR48" s="20" t="n">
        <f aca="false">IF(AND(HU48=1,FH48=1),(MP48+MT48)/F48,0)</f>
        <v>0</v>
      </c>
      <c r="SS48" s="20" t="n">
        <f aca="false">IF(B48=0,MP48+MT48,0)</f>
        <v>0</v>
      </c>
      <c r="ST48" s="20" t="n">
        <f aca="false">IF(B48=0,IF(HU48=1,MR48,MS48),0)</f>
        <v>0</v>
      </c>
      <c r="SU48" s="20" t="n">
        <f aca="false">IF(FR48=1,IF(HU48=1,MY48+NB48,FS48-OY48)*(1+Slot16_Rate),0)</f>
        <v>0</v>
      </c>
      <c r="SV48" s="20" t="n">
        <f aca="false">IF(AND(HU48=1,FR48=1),(MX48+NB48)/F48,0)</f>
        <v>0</v>
      </c>
      <c r="SW48" s="20" t="n">
        <f aca="false">IF(B48=0,MX48+NB48,0)</f>
        <v>0</v>
      </c>
      <c r="SX48" s="20" t="n">
        <f aca="false">IF(B48=0,IF(HU48=1,MZ48,NA48),0)</f>
        <v>0</v>
      </c>
      <c r="SY48" s="20" t="n">
        <f aca="false">IF(GB48=1,IF(HU48=1,NG48+NJ48,GC48-OW48)*(1+Slot17_Rate),0)</f>
        <v>0</v>
      </c>
      <c r="SZ48" s="20" t="n">
        <f aca="false">IF(AND(HU48=1,GB48=1),(NF48+NJ48)/F48,0)</f>
        <v>0</v>
      </c>
      <c r="TA48" s="20" t="n">
        <f aca="false">IF(B48=0,NF48+NJ48,0)</f>
        <v>0</v>
      </c>
      <c r="TB48" s="20" t="n">
        <f aca="false">IF(B48=0,IF(HU48=1,NH48,NI48),0)</f>
        <v>0</v>
      </c>
      <c r="TC48" s="20" t="n">
        <f aca="false">IF(GL48=1,IF(HU48=1,NO48+NR48,GM48-OU48)*(1+Slot18_Rate),0)</f>
        <v>0</v>
      </c>
      <c r="TD48" s="20" t="n">
        <f aca="false">IF(AND(HU48=1,GL48=1),(NN48+NR48)/F48,0)</f>
        <v>0</v>
      </c>
      <c r="TE48" s="20" t="n">
        <f aca="false">IF(B48=0,NN48+NR48,0)</f>
        <v>0</v>
      </c>
      <c r="TF48" s="20" t="n">
        <f aca="false">IF(B48=0,IF(HU48=1,NP48,NQ48),0)</f>
        <v>0</v>
      </c>
      <c r="TG48" s="20" t="n">
        <f aca="false">IF(GV48=1,IF(HU48=1,NW48+NZ48,GW48-OS48)*(1+Slot19_Rate),0)</f>
        <v>0</v>
      </c>
      <c r="TH48" s="20" t="n">
        <f aca="false">IF(AND(HU48=1,GV48=1),(NV48+NZ48)/F48,0)</f>
        <v>0</v>
      </c>
      <c r="TI48" s="20" t="n">
        <f aca="false">IF(B48=0,NV48+NZ48,0)</f>
        <v>0</v>
      </c>
      <c r="TJ48" s="20" t="n">
        <f aca="false">IF(B48=0,IF(HU48=1,NX48,NY48),0)</f>
        <v>0</v>
      </c>
      <c r="TK48" s="20" t="n">
        <f aca="false">IF(HF48=1,IF(HU48=1,OE48+OH48,HG48-OQ48)*(1+Slot20_Rate),0)</f>
        <v>0</v>
      </c>
      <c r="TL48" s="20" t="n">
        <f aca="false">IF(AND(HU48=1,HF48=1),(OD48+OH48)/F48,0)</f>
        <v>0</v>
      </c>
      <c r="TM48" s="20" t="n">
        <f aca="false">IF(B48=0,OD48+OH48,0)</f>
        <v>0</v>
      </c>
      <c r="TN48" s="20" t="n">
        <f aca="false">IF(B48=0,IF(HU48=1,OF48,OG48),0)</f>
        <v>0</v>
      </c>
      <c r="TO48" s="20" t="n">
        <f aca="false">QK48+QL48+QM48+QQ48+QU48+QY48+RC48+RG48+RK48+RO48+RS48+RW48+SA48+SE48+SI48+SM48+SQ48+SU48+SY48+TC48+TG48+TK48</f>
        <v>0</v>
      </c>
      <c r="TP48" s="20" t="n">
        <f aca="false">QE48+HP48</f>
        <v>25304.1216446723</v>
      </c>
      <c r="TQ48" s="20" t="n">
        <f aca="false">I48+S48</f>
        <v>105544.29592079</v>
      </c>
      <c r="TR48" s="20" t="n">
        <f aca="false">1-G48</f>
        <v>1</v>
      </c>
      <c r="TS48" s="20" t="n">
        <f aca="false">IF(AND(RG_Exists=1,G48=0,C48=1),I48,0)</f>
        <v>105544.29592079</v>
      </c>
      <c r="TT48" s="20" t="n">
        <f aca="false">IF(AND(RG_Exists=1,G48=0,C48=1),I48-MIN(QE48,I48),0)</f>
        <v>80240.1742761177</v>
      </c>
      <c r="TU48" s="20" t="n">
        <f aca="false">'Plan pay &amp; tax'!AD274</f>
        <v>348144.822237604</v>
      </c>
      <c r="TV48" s="20" t="n">
        <f aca="false">IF(AND(C48=1,QE48&gt;MAX(PR_Short1,TQ48*PR_Short2)),1,0)</f>
        <v>1</v>
      </c>
      <c r="TW48" s="20" t="n">
        <f aca="false">MIN(H48,I48+S48)</f>
        <v>80240.1742761177</v>
      </c>
      <c r="TX48" s="20" t="n">
        <f aca="false">QF48+MAX(0,HQ48-HP48)</f>
        <v>0</v>
      </c>
      <c r="TY48" s="20" t="n">
        <f aca="false">QE48+HP48</f>
        <v>25304.1216446723</v>
      </c>
      <c r="TZ48" s="20" t="n">
        <f aca="false">IF(AND(C48=1,TY48&gt;PR_MinShort),1,0)</f>
        <v>1</v>
      </c>
      <c r="UA48" s="20" t="n">
        <f aca="false">IF(AND(C48=1,TZ48=0,TX48&gt;PR_MinShort),1,0)</f>
        <v>0</v>
      </c>
      <c r="UB48" s="20" t="n">
        <f aca="false">IF(AND(C48=1,QE48&gt;PR_MinShort),1,0)</f>
        <v>1</v>
      </c>
      <c r="UC48" s="20" t="n">
        <f aca="false">IF(AND(C48=1,QF48&gt;1,UJ48=0),1,0)</f>
        <v>0</v>
      </c>
      <c r="UD48" s="20" t="str">
        <f aca="false">IF(C48=0,"",IF(UJ48=1,"Gap to plan for: short "&amp;"€"&amp;TEXT(ROUND(TP48,0),"#,##0"),IF(QF48&gt;1,"Using savings","Comfortable")))</f>
        <v>Gap to plan for: short €25,304</v>
      </c>
      <c r="UE48" s="20" t="n">
        <f aca="false">IF(AND(INT(D48/10)*10=90,B48&gt;0),80,INT(D48/10)*10)</f>
        <v>70</v>
      </c>
      <c r="UF48" s="20" t="n">
        <f aca="false">IF(B48=0,1,IF(UE48&lt;&gt;UE47,UF47+1,UF47))</f>
        <v>5</v>
      </c>
      <c r="UG48" s="20" t="n">
        <f aca="false">IF(AND(C48=1,G48=1,QE48&gt;MAX(PR_Short1,TQ48*PR_Short2)),1,0)</f>
        <v>0</v>
      </c>
      <c r="UH48" s="20" t="n">
        <f aca="false">TR48*TV48</f>
        <v>1</v>
      </c>
      <c r="UI48" s="20" t="n">
        <f aca="false">IF(AND(V48=1,Slot1_PctLow=1),1,0)+IF(AND(AG48=1,Slot2_PctLow=1),1,0)+IF(AND(AQ48=1,Slot3_PctLow=1),1,0)+IF(AND(BA48=1,Slot4_PctLow=1),1,0)+IF(AND(BK48=1,Slot5_PctLow=1),1,0)+IF(AND(BU48=1,Slot6_PctLow=1),1,0)+IF(AND(CE48=1,Slot7_PctLow=1),1,0)+IF(AND(CO48=1,Slot8_PctLow=1),1,0)+IF(AND(CY48=1,Slot9_PctLow=1),1,0)+IF(AND(DI48=1,Slot10_PctLow=1),1,0)+IF(AND(DS48=1,Slot11_PctLow=1),1,0)+IF(AND(EC48=1,Slot12_PctLow=1),1,0)+IF(AND(EM48=1,Slot13_PctLow=1),1,0)+IF(AND(EW48=1,Slot14_PctLow=1),1,0)+IF(AND(FG48=1,Slot15_PctLow=1),1,0)+IF(AND(FQ48=1,Slot16_PctLow=1),1,0)+IF(AND(GA48=1,Slot17_PctLow=1),1,0)+IF(AND(GK48=1,Slot18_PctLow=1),1,0)+IF(AND(GU48=1,Slot19_PctLow=1),1,0)+IF(AND(HE48=1,Slot20_PctLow=1),1,0)</f>
        <v>0</v>
      </c>
      <c r="UJ48" s="20" t="n">
        <f aca="false">IF(C48=1,IF(OR(TV48=1,UI48&gt;0),1,0),0)</f>
        <v>1</v>
      </c>
    </row>
    <row r="49" customFormat="false" ht="15" hidden="false" customHeight="true" outlineLevel="0" collapsed="false">
      <c r="B49" s="20" t="n">
        <v>41</v>
      </c>
      <c r="C49" s="20" t="n">
        <f aca="false">IF(B49&lt;=F_N,1,0)</f>
        <v>1</v>
      </c>
      <c r="D49" s="20" t="n">
        <f aca="false">'Plan pay &amp; tax'!C275</f>
        <v>79</v>
      </c>
      <c r="E49" s="20" t="str">
        <f aca="false">IF($C49=1,"Income tax "&amp;TEXT(N('Plan pay &amp; tax'!BK275),"#,##0")&amp;"; USC "&amp;TEXT(N('Plan pay &amp; tax'!BM275)+N('Plan pay &amp; tax'!BO275),"#,##0")&amp;"; PRSI "&amp;TEXT(N('Plan pay &amp; tax'!BP275)+N('Plan pay &amp; tax'!BQ275),"#,##0")&amp;". DIRT and exit tax are inside the growth rates here.","")</f>
        <v>Income tax 686; USC 0; PRSI 0. DIRT and exit tax are inside the growth rates here.</v>
      </c>
      <c r="F49" s="44" t="n">
        <f aca="false">'Plan pay &amp; tax'!E275</f>
        <v>2.25220045688715</v>
      </c>
      <c r="G49" s="20" t="n">
        <f aca="false">'Plan pay &amp; tax'!G275</f>
        <v>0</v>
      </c>
      <c r="H49" s="20" t="n">
        <f aca="false">'Plan pay &amp; tax'!BT275-'Plan pay &amp; tax'!BS275-'Plan pay &amp; tax'!R275</f>
        <v>82027.631941138</v>
      </c>
      <c r="I49" s="20" t="n">
        <f aca="false">IF(G49=1,F_CostsM*12,IF(RG_Exists=1,RG_Amount,F_CostsM*12*AS_RetireSpend))*F49+F_OneOffY*F49</f>
        <v>107655.181839206</v>
      </c>
      <c r="J49" s="20" t="n">
        <f aca="false">HR48</f>
        <v>0</v>
      </c>
      <c r="K49" s="20" t="n">
        <f aca="false">IF(J49&gt;1,'Plan debt months'!AC49,0)</f>
        <v>0</v>
      </c>
      <c r="L49" s="20" t="n">
        <f aca="false">IF(J49&gt;1,'Plan debt months'!AB49,J49)</f>
        <v>0</v>
      </c>
      <c r="M49" s="20" t="n">
        <f aca="false">O48</f>
        <v>0</v>
      </c>
      <c r="N49" s="20" t="n">
        <f aca="false">IF(M49&gt;1,'Plan debt months'!BD49,0)</f>
        <v>0</v>
      </c>
      <c r="O49" s="20" t="n">
        <f aca="false">IF(M49&gt;1,'Plan debt months'!BC49,M49)</f>
        <v>0</v>
      </c>
      <c r="P49" s="20" t="n">
        <f aca="false">R48</f>
        <v>0</v>
      </c>
      <c r="Q49" s="20" t="n">
        <f aca="false">IF(P49&gt;1,'Plan debt months'!CE49,0)</f>
        <v>0</v>
      </c>
      <c r="R49" s="20" t="n">
        <f aca="false">IF(P49&gt;1,'Plan debt months'!CD49,P49)</f>
        <v>0</v>
      </c>
      <c r="S49" s="20" t="n">
        <f aca="false">K49+N49+Q49</f>
        <v>0</v>
      </c>
      <c r="T49" s="20" t="n">
        <f aca="false">QK48+'Plan pay &amp; tax'!Y275</f>
        <v>0</v>
      </c>
      <c r="U49" s="20" t="n">
        <f aca="false">QK48</f>
        <v>0</v>
      </c>
      <c r="V49" s="20" t="n">
        <f aca="false">IF(AND(Slot1_On=1,D49=Slot1_Age),1,0)</f>
        <v>0</v>
      </c>
      <c r="W49" s="20" t="n">
        <f aca="false">IF(AND(Slot1_On=1,Slot1_Age&gt;D49),1,0)</f>
        <v>0</v>
      </c>
      <c r="X49" s="20" t="n">
        <f aca="false">QM48</f>
        <v>0</v>
      </c>
      <c r="Y49" s="20" t="n">
        <f aca="false">V49*MIN(Slot1_Cost,X49)</f>
        <v>0</v>
      </c>
      <c r="Z49" s="20" t="n">
        <f aca="false">V49*Slot1_SpendLike*MIN(Slot1_Cost-Y49,T49)</f>
        <v>0</v>
      </c>
      <c r="AA49" s="20" t="n">
        <f aca="false">Y49+Z49</f>
        <v>0</v>
      </c>
      <c r="AB49" s="20" t="n">
        <f aca="false">T49-Z49+V49*IF(Slot1_SpendLike=1,X49-Y49,IF(Slot1_PotFree=1,X49,0))</f>
        <v>0</v>
      </c>
      <c r="AC49" s="20" t="n">
        <f aca="false">AF49+V49*Slot1_BufPot*X49</f>
        <v>0</v>
      </c>
      <c r="AD49" s="20" t="n">
        <f aca="false">IF(AND(V49=1,Slot1_IsMfree=1),IF(AA49&gt;=Slot1_Cost-1,0,MAX(0,L49-AA49)),L49)</f>
        <v>0</v>
      </c>
      <c r="AE49" s="20" t="n">
        <f aca="false">V49*(Slot1_Cost-AA49)</f>
        <v>0</v>
      </c>
      <c r="AF49" s="20" t="n">
        <f aca="false">QL48</f>
        <v>0</v>
      </c>
      <c r="AG49" s="20" t="n">
        <f aca="false">IF(AND(Slot2_On=1,D49=Slot2_Age),1,0)</f>
        <v>0</v>
      </c>
      <c r="AH49" s="20" t="n">
        <f aca="false">IF(AND(Slot2_On=1,Slot2_Age&gt;D49),1,0)</f>
        <v>0</v>
      </c>
      <c r="AI49" s="20" t="n">
        <f aca="false">QQ48</f>
        <v>0</v>
      </c>
      <c r="AJ49" s="20" t="n">
        <f aca="false">AG49*MIN(Slot2_Cost,AI49)</f>
        <v>0</v>
      </c>
      <c r="AK49" s="20" t="n">
        <f aca="false">AG49*Slot2_SpendLike*MIN(Slot2_Cost-AJ49,AB49)</f>
        <v>0</v>
      </c>
      <c r="AL49" s="20" t="n">
        <f aca="false">AJ49+AK49</f>
        <v>0</v>
      </c>
      <c r="AM49" s="20" t="n">
        <f aca="false">AB49-AK49+AG49*IF(Slot2_SpendLike=1,AI49-AJ49,IF(Slot2_PotFree=1,AI49,0))</f>
        <v>0</v>
      </c>
      <c r="AN49" s="20" t="n">
        <f aca="false">AC49+AG49*Slot2_BufPot*AI49</f>
        <v>0</v>
      </c>
      <c r="AO49" s="20" t="n">
        <f aca="false">IF(AND(AG49=1,Slot2_IsMfree=1),IF(AL49&gt;=Slot2_Cost-1,0,MAX(0,AD49-AL49)),AD49)</f>
        <v>0</v>
      </c>
      <c r="AP49" s="20" t="n">
        <f aca="false">AG49*(Slot2_Cost-AL49)</f>
        <v>0</v>
      </c>
      <c r="AQ49" s="20" t="n">
        <f aca="false">IF(AND(Slot3_On=1,D49=Slot3_Age),1,0)</f>
        <v>0</v>
      </c>
      <c r="AR49" s="20" t="n">
        <f aca="false">IF(AND(Slot3_On=1,Slot3_Age&gt;D49),1,0)</f>
        <v>0</v>
      </c>
      <c r="AS49" s="20" t="n">
        <f aca="false">QU48</f>
        <v>0</v>
      </c>
      <c r="AT49" s="20" t="n">
        <f aca="false">AQ49*MIN(Slot3_Cost,AS49)</f>
        <v>0</v>
      </c>
      <c r="AU49" s="20" t="n">
        <f aca="false">AQ49*Slot3_SpendLike*MIN(Slot3_Cost-AT49,AM49)</f>
        <v>0</v>
      </c>
      <c r="AV49" s="20" t="n">
        <f aca="false">AT49+AU49</f>
        <v>0</v>
      </c>
      <c r="AW49" s="20" t="n">
        <f aca="false">AM49-AU49+AQ49*IF(Slot3_SpendLike=1,AS49-AT49,IF(Slot3_PotFree=1,AS49,0))</f>
        <v>0</v>
      </c>
      <c r="AX49" s="20" t="n">
        <f aca="false">AN49+AQ49*Slot3_BufPot*AS49</f>
        <v>0</v>
      </c>
      <c r="AY49" s="20" t="n">
        <f aca="false">IF(AND(AQ49=1,Slot3_IsMfree=1),IF(AV49&gt;=Slot3_Cost-1,0,MAX(0,AO49-AV49)),AO49)</f>
        <v>0</v>
      </c>
      <c r="AZ49" s="20" t="n">
        <f aca="false">AQ49*(Slot3_Cost-AV49)</f>
        <v>0</v>
      </c>
      <c r="BA49" s="20" t="n">
        <f aca="false">IF(AND(Slot4_On=1,D49=Slot4_Age),1,0)</f>
        <v>0</v>
      </c>
      <c r="BB49" s="20" t="n">
        <f aca="false">IF(AND(Slot4_On=1,Slot4_Age&gt;D49),1,0)</f>
        <v>0</v>
      </c>
      <c r="BC49" s="20" t="n">
        <f aca="false">QY48</f>
        <v>0</v>
      </c>
      <c r="BD49" s="20" t="n">
        <f aca="false">BA49*MIN(Slot4_Cost,BC49)</f>
        <v>0</v>
      </c>
      <c r="BE49" s="20" t="n">
        <f aca="false">BA49*Slot4_SpendLike*MIN(Slot4_Cost-BD49,AW49)</f>
        <v>0</v>
      </c>
      <c r="BF49" s="20" t="n">
        <f aca="false">BD49+BE49</f>
        <v>0</v>
      </c>
      <c r="BG49" s="20" t="n">
        <f aca="false">AW49-BE49+BA49*IF(Slot4_SpendLike=1,BC49-BD49,IF(Slot4_PotFree=1,BC49,0))</f>
        <v>0</v>
      </c>
      <c r="BH49" s="20" t="n">
        <f aca="false">AX49+BA49*Slot4_BufPot*BC49</f>
        <v>0</v>
      </c>
      <c r="BI49" s="20" t="n">
        <f aca="false">IF(AND(BA49=1,Slot4_IsMfree=1),IF(BF49&gt;=Slot4_Cost-1,0,MAX(0,AY49-BF49)),AY49)</f>
        <v>0</v>
      </c>
      <c r="BJ49" s="20" t="n">
        <f aca="false">BA49*(Slot4_Cost-BF49)</f>
        <v>0</v>
      </c>
      <c r="BK49" s="20" t="n">
        <f aca="false">IF(AND(Slot5_On=1,D49=Slot5_Age),1,0)</f>
        <v>0</v>
      </c>
      <c r="BL49" s="20" t="n">
        <f aca="false">IF(AND(Slot5_On=1,Slot5_Age&gt;D49),1,0)</f>
        <v>0</v>
      </c>
      <c r="BM49" s="20" t="n">
        <f aca="false">RC48</f>
        <v>0</v>
      </c>
      <c r="BN49" s="20" t="n">
        <f aca="false">BK49*MIN(Slot5_Cost,BM49)</f>
        <v>0</v>
      </c>
      <c r="BO49" s="20" t="n">
        <f aca="false">BK49*Slot5_SpendLike*MIN(Slot5_Cost-BN49,BG49)</f>
        <v>0</v>
      </c>
      <c r="BP49" s="20" t="n">
        <f aca="false">BN49+BO49</f>
        <v>0</v>
      </c>
      <c r="BQ49" s="20" t="n">
        <f aca="false">BG49-BO49+BK49*IF(Slot5_SpendLike=1,BM49-BN49,IF(Slot5_PotFree=1,BM49,0))</f>
        <v>0</v>
      </c>
      <c r="BR49" s="20" t="n">
        <f aca="false">BH49+BK49*Slot5_BufPot*BM49</f>
        <v>0</v>
      </c>
      <c r="BS49" s="20" t="n">
        <f aca="false">IF(AND(BK49=1,Slot5_IsMfree=1),IF(BP49&gt;=Slot5_Cost-1,0,MAX(0,BI49-BP49)),BI49)</f>
        <v>0</v>
      </c>
      <c r="BT49" s="20" t="n">
        <f aca="false">BK49*(Slot5_Cost-BP49)</f>
        <v>0</v>
      </c>
      <c r="BU49" s="20" t="n">
        <f aca="false">IF(AND(Slot6_On=1,D49=Slot6_Age),1,0)</f>
        <v>0</v>
      </c>
      <c r="BV49" s="20" t="n">
        <f aca="false">IF(AND(Slot6_On=1,Slot6_Age&gt;D49),1,0)</f>
        <v>0</v>
      </c>
      <c r="BW49" s="20" t="n">
        <f aca="false">RG48</f>
        <v>0</v>
      </c>
      <c r="BX49" s="20" t="n">
        <f aca="false">BU49*MIN(Slot6_Cost,BW49)</f>
        <v>0</v>
      </c>
      <c r="BY49" s="20" t="n">
        <f aca="false">BU49*Slot6_SpendLike*MIN(Slot6_Cost-BX49,BQ49)</f>
        <v>0</v>
      </c>
      <c r="BZ49" s="20" t="n">
        <f aca="false">BX49+BY49</f>
        <v>0</v>
      </c>
      <c r="CA49" s="20" t="n">
        <f aca="false">BQ49-BY49+BU49*IF(Slot6_SpendLike=1,BW49-BX49,IF(Slot6_PotFree=1,BW49,0))</f>
        <v>0</v>
      </c>
      <c r="CB49" s="20" t="n">
        <f aca="false">BR49+BU49*Slot6_BufPot*BW49</f>
        <v>0</v>
      </c>
      <c r="CC49" s="20" t="n">
        <f aca="false">IF(AND(BU49=1,Slot6_IsMfree=1),IF(BZ49&gt;=Slot6_Cost-1,0,MAX(0,BS49-BZ49)),BS49)</f>
        <v>0</v>
      </c>
      <c r="CD49" s="20" t="n">
        <f aca="false">BU49*(Slot6_Cost-BZ49)</f>
        <v>0</v>
      </c>
      <c r="CE49" s="20" t="n">
        <f aca="false">IF(AND(Slot7_On=1,D49=Slot7_Age),1,0)</f>
        <v>0</v>
      </c>
      <c r="CF49" s="20" t="n">
        <f aca="false">IF(AND(Slot7_On=1,Slot7_Age&gt;D49),1,0)</f>
        <v>0</v>
      </c>
      <c r="CG49" s="20" t="n">
        <f aca="false">RK48</f>
        <v>0</v>
      </c>
      <c r="CH49" s="20" t="n">
        <f aca="false">CE49*MIN(Slot7_Cost,CG49)</f>
        <v>0</v>
      </c>
      <c r="CI49" s="20" t="n">
        <f aca="false">CE49*Slot7_SpendLike*MIN(Slot7_Cost-CH49,CA49)</f>
        <v>0</v>
      </c>
      <c r="CJ49" s="20" t="n">
        <f aca="false">CH49+CI49</f>
        <v>0</v>
      </c>
      <c r="CK49" s="20" t="n">
        <f aca="false">CA49-CI49+CE49*IF(Slot7_SpendLike=1,CG49-CH49,IF(Slot7_PotFree=1,CG49,0))</f>
        <v>0</v>
      </c>
      <c r="CL49" s="20" t="n">
        <f aca="false">CB49+CE49*Slot7_BufPot*CG49</f>
        <v>0</v>
      </c>
      <c r="CM49" s="20" t="n">
        <f aca="false">IF(AND(CE49=1,Slot7_IsMfree=1),IF(CJ49&gt;=Slot7_Cost-1,0,MAX(0,CC49-CJ49)),CC49)</f>
        <v>0</v>
      </c>
      <c r="CN49" s="20" t="n">
        <f aca="false">CE49*(Slot7_Cost-CJ49)</f>
        <v>0</v>
      </c>
      <c r="CO49" s="20" t="n">
        <f aca="false">IF(AND(Slot8_On=1,D49=Slot8_Age),1,0)</f>
        <v>0</v>
      </c>
      <c r="CP49" s="20" t="n">
        <f aca="false">IF(AND(Slot8_On=1,Slot8_Age&gt;D49),1,0)</f>
        <v>0</v>
      </c>
      <c r="CQ49" s="20" t="n">
        <f aca="false">RO48</f>
        <v>0</v>
      </c>
      <c r="CR49" s="20" t="n">
        <f aca="false">CO49*MIN(Slot8_Cost,CQ49)</f>
        <v>0</v>
      </c>
      <c r="CS49" s="20" t="n">
        <f aca="false">CO49*Slot8_SpendLike*MIN(Slot8_Cost-CR49,CK49)</f>
        <v>0</v>
      </c>
      <c r="CT49" s="20" t="n">
        <f aca="false">CR49+CS49</f>
        <v>0</v>
      </c>
      <c r="CU49" s="20" t="n">
        <f aca="false">CK49-CS49+CO49*IF(Slot8_SpendLike=1,CQ49-CR49,IF(Slot8_PotFree=1,CQ49,0))</f>
        <v>0</v>
      </c>
      <c r="CV49" s="20" t="n">
        <f aca="false">CL49+CO49*Slot8_BufPot*CQ49</f>
        <v>0</v>
      </c>
      <c r="CW49" s="20" t="n">
        <f aca="false">IF(AND(CO49=1,Slot8_IsMfree=1),IF(CT49&gt;=Slot8_Cost-1,0,MAX(0,CM49-CT49)),CM49)</f>
        <v>0</v>
      </c>
      <c r="CX49" s="20" t="n">
        <f aca="false">CO49*(Slot8_Cost-CT49)</f>
        <v>0</v>
      </c>
      <c r="CY49" s="20" t="n">
        <f aca="false">IF(AND(Slot9_On=1,D49=Slot9_Age),1,0)</f>
        <v>0</v>
      </c>
      <c r="CZ49" s="20" t="n">
        <f aca="false">IF(AND(Slot9_On=1,Slot9_Age&gt;D49),1,0)</f>
        <v>0</v>
      </c>
      <c r="DA49" s="20" t="n">
        <f aca="false">RS48</f>
        <v>0</v>
      </c>
      <c r="DB49" s="20" t="n">
        <f aca="false">CY49*MIN(Slot9_Cost,DA49)</f>
        <v>0</v>
      </c>
      <c r="DC49" s="20" t="n">
        <f aca="false">CY49*Slot9_SpendLike*MIN(Slot9_Cost-DB49,CU49)</f>
        <v>0</v>
      </c>
      <c r="DD49" s="20" t="n">
        <f aca="false">DB49+DC49</f>
        <v>0</v>
      </c>
      <c r="DE49" s="20" t="n">
        <f aca="false">CU49-DC49+CY49*IF(Slot9_SpendLike=1,DA49-DB49,IF(Slot9_PotFree=1,DA49,0))</f>
        <v>0</v>
      </c>
      <c r="DF49" s="20" t="n">
        <f aca="false">CV49+CY49*Slot9_BufPot*DA49</f>
        <v>0</v>
      </c>
      <c r="DG49" s="20" t="n">
        <f aca="false">IF(AND(CY49=1,Slot9_IsMfree=1),IF(DD49&gt;=Slot9_Cost-1,0,MAX(0,CW49-DD49)),CW49)</f>
        <v>0</v>
      </c>
      <c r="DH49" s="20" t="n">
        <f aca="false">CY49*(Slot9_Cost-DD49)</f>
        <v>0</v>
      </c>
      <c r="DI49" s="20" t="n">
        <f aca="false">IF(AND(Slot10_On=1,D49=Slot10_Age),1,0)</f>
        <v>0</v>
      </c>
      <c r="DJ49" s="20" t="n">
        <f aca="false">IF(AND(Slot10_On=1,Slot10_Age&gt;D49),1,0)</f>
        <v>0</v>
      </c>
      <c r="DK49" s="20" t="n">
        <f aca="false">RW48</f>
        <v>0</v>
      </c>
      <c r="DL49" s="20" t="n">
        <f aca="false">DI49*MIN(Slot10_Cost,DK49)</f>
        <v>0</v>
      </c>
      <c r="DM49" s="20" t="n">
        <f aca="false">DI49*Slot10_SpendLike*MIN(Slot10_Cost-DL49,DE49)</f>
        <v>0</v>
      </c>
      <c r="DN49" s="20" t="n">
        <f aca="false">DL49+DM49</f>
        <v>0</v>
      </c>
      <c r="DO49" s="20" t="n">
        <f aca="false">DE49-DM49+DI49*IF(Slot10_SpendLike=1,DK49-DL49,IF(Slot10_PotFree=1,DK49,0))</f>
        <v>0</v>
      </c>
      <c r="DP49" s="20" t="n">
        <f aca="false">DF49+DI49*Slot10_BufPot*DK49</f>
        <v>0</v>
      </c>
      <c r="DQ49" s="20" t="n">
        <f aca="false">IF(AND(DI49=1,Slot10_IsMfree=1),IF(DN49&gt;=Slot10_Cost-1,0,MAX(0,DG49-DN49)),DG49)</f>
        <v>0</v>
      </c>
      <c r="DR49" s="20" t="n">
        <f aca="false">DI49*(Slot10_Cost-DN49)</f>
        <v>0</v>
      </c>
      <c r="DS49" s="20" t="n">
        <f aca="false">IF(AND(Slot11_On=1,D49=Slot11_Age),1,0)</f>
        <v>0</v>
      </c>
      <c r="DT49" s="20" t="n">
        <f aca="false">IF(AND(Slot11_On=1,Slot11_Age&gt;D49),1,0)</f>
        <v>0</v>
      </c>
      <c r="DU49" s="20" t="n">
        <f aca="false">SA48</f>
        <v>0</v>
      </c>
      <c r="DV49" s="20" t="n">
        <f aca="false">DS49*MIN(Slot11_Cost,DU49)</f>
        <v>0</v>
      </c>
      <c r="DW49" s="20" t="n">
        <f aca="false">DS49*Slot11_SpendLike*MIN(Slot11_Cost-DV49,DO49)</f>
        <v>0</v>
      </c>
      <c r="DX49" s="20" t="n">
        <f aca="false">DV49+DW49</f>
        <v>0</v>
      </c>
      <c r="DY49" s="20" t="n">
        <f aca="false">DO49-DW49+DS49*IF(Slot11_SpendLike=1,DU49-DV49,IF(Slot11_PotFree=1,DU49,0))</f>
        <v>0</v>
      </c>
      <c r="DZ49" s="20" t="n">
        <f aca="false">DP49+DS49*Slot11_BufPot*DU49</f>
        <v>0</v>
      </c>
      <c r="EA49" s="20" t="n">
        <f aca="false">IF(AND(DS49=1,Slot11_IsMfree=1),IF(DX49&gt;=Slot11_Cost-1,0,MAX(0,DQ49-DX49)),DQ49)</f>
        <v>0</v>
      </c>
      <c r="EB49" s="20" t="n">
        <f aca="false">DS49*(Slot11_Cost-DX49)</f>
        <v>0</v>
      </c>
      <c r="EC49" s="20" t="n">
        <f aca="false">IF(AND(Slot12_On=1,D49=Slot12_Age),1,0)</f>
        <v>0</v>
      </c>
      <c r="ED49" s="20" t="n">
        <f aca="false">IF(AND(Slot12_On=1,Slot12_Age&gt;D49),1,0)</f>
        <v>0</v>
      </c>
      <c r="EE49" s="20" t="n">
        <f aca="false">SE48</f>
        <v>0</v>
      </c>
      <c r="EF49" s="20" t="n">
        <f aca="false">EC49*MIN(Slot12_Cost,EE49)</f>
        <v>0</v>
      </c>
      <c r="EG49" s="20" t="n">
        <f aca="false">EC49*Slot12_SpendLike*MIN(Slot12_Cost-EF49,DY49)</f>
        <v>0</v>
      </c>
      <c r="EH49" s="20" t="n">
        <f aca="false">EF49+EG49</f>
        <v>0</v>
      </c>
      <c r="EI49" s="20" t="n">
        <f aca="false">DY49-EG49+EC49*IF(Slot12_SpendLike=1,EE49-EF49,IF(Slot12_PotFree=1,EE49,0))</f>
        <v>0</v>
      </c>
      <c r="EJ49" s="20" t="n">
        <f aca="false">DZ49+EC49*Slot12_BufPot*EE49</f>
        <v>0</v>
      </c>
      <c r="EK49" s="20" t="n">
        <f aca="false">IF(AND(EC49=1,Slot12_IsMfree=1),IF(EH49&gt;=Slot12_Cost-1,0,MAX(0,EA49-EH49)),EA49)</f>
        <v>0</v>
      </c>
      <c r="EL49" s="20" t="n">
        <f aca="false">EC49*(Slot12_Cost-EH49)</f>
        <v>0</v>
      </c>
      <c r="EM49" s="20" t="n">
        <f aca="false">IF(AND(Slot13_On=1,D49=Slot13_Age),1,0)</f>
        <v>0</v>
      </c>
      <c r="EN49" s="20" t="n">
        <f aca="false">IF(AND(Slot13_On=1,Slot13_Age&gt;D49),1,0)</f>
        <v>0</v>
      </c>
      <c r="EO49" s="20" t="n">
        <f aca="false">SI48</f>
        <v>0</v>
      </c>
      <c r="EP49" s="20" t="n">
        <f aca="false">EM49*MIN(Slot13_Cost,EO49)</f>
        <v>0</v>
      </c>
      <c r="EQ49" s="20" t="n">
        <f aca="false">EM49*Slot13_SpendLike*MIN(Slot13_Cost-EP49,EI49)</f>
        <v>0</v>
      </c>
      <c r="ER49" s="20" t="n">
        <f aca="false">EP49+EQ49</f>
        <v>0</v>
      </c>
      <c r="ES49" s="20" t="n">
        <f aca="false">EI49-EQ49+EM49*IF(Slot13_SpendLike=1,EO49-EP49,IF(Slot13_PotFree=1,EO49,0))</f>
        <v>0</v>
      </c>
      <c r="ET49" s="20" t="n">
        <f aca="false">EJ49+EM49*Slot13_BufPot*EO49</f>
        <v>0</v>
      </c>
      <c r="EU49" s="20" t="n">
        <f aca="false">IF(AND(EM49=1,Slot13_IsMfree=1),IF(ER49&gt;=Slot13_Cost-1,0,MAX(0,EK49-ER49)),EK49)</f>
        <v>0</v>
      </c>
      <c r="EV49" s="20" t="n">
        <f aca="false">EM49*(Slot13_Cost-ER49)</f>
        <v>0</v>
      </c>
      <c r="EW49" s="20" t="n">
        <f aca="false">IF(AND(Slot14_On=1,D49=Slot14_Age),1,0)</f>
        <v>0</v>
      </c>
      <c r="EX49" s="20" t="n">
        <f aca="false">IF(AND(Slot14_On=1,Slot14_Age&gt;D49),1,0)</f>
        <v>0</v>
      </c>
      <c r="EY49" s="20" t="n">
        <f aca="false">SM48</f>
        <v>0</v>
      </c>
      <c r="EZ49" s="20" t="n">
        <f aca="false">EW49*MIN(Slot14_Cost,EY49)</f>
        <v>0</v>
      </c>
      <c r="FA49" s="20" t="n">
        <f aca="false">EW49*Slot14_SpendLike*MIN(Slot14_Cost-EZ49,ES49)</f>
        <v>0</v>
      </c>
      <c r="FB49" s="20" t="n">
        <f aca="false">EZ49+FA49</f>
        <v>0</v>
      </c>
      <c r="FC49" s="20" t="n">
        <f aca="false">ES49-FA49+EW49*IF(Slot14_SpendLike=1,EY49-EZ49,IF(Slot14_PotFree=1,EY49,0))</f>
        <v>0</v>
      </c>
      <c r="FD49" s="20" t="n">
        <f aca="false">ET49+EW49*Slot14_BufPot*EY49</f>
        <v>0</v>
      </c>
      <c r="FE49" s="20" t="n">
        <f aca="false">IF(AND(EW49=1,Slot14_IsMfree=1),IF(FB49&gt;=Slot14_Cost-1,0,MAX(0,EU49-FB49)),EU49)</f>
        <v>0</v>
      </c>
      <c r="FF49" s="20" t="n">
        <f aca="false">EW49*(Slot14_Cost-FB49)</f>
        <v>0</v>
      </c>
      <c r="FG49" s="20" t="n">
        <f aca="false">IF(AND(Slot15_On=1,D49=Slot15_Age),1,0)</f>
        <v>0</v>
      </c>
      <c r="FH49" s="20" t="n">
        <f aca="false">IF(AND(Slot15_On=1,Slot15_Age&gt;D49),1,0)</f>
        <v>0</v>
      </c>
      <c r="FI49" s="20" t="n">
        <f aca="false">SQ48</f>
        <v>0</v>
      </c>
      <c r="FJ49" s="20" t="n">
        <f aca="false">FG49*MIN(Slot15_Cost,FI49)</f>
        <v>0</v>
      </c>
      <c r="FK49" s="20" t="n">
        <f aca="false">FG49*Slot15_SpendLike*MIN(Slot15_Cost-FJ49,FC49)</f>
        <v>0</v>
      </c>
      <c r="FL49" s="20" t="n">
        <f aca="false">FJ49+FK49</f>
        <v>0</v>
      </c>
      <c r="FM49" s="20" t="n">
        <f aca="false">FC49-FK49+FG49*IF(Slot15_SpendLike=1,FI49-FJ49,IF(Slot15_PotFree=1,FI49,0))</f>
        <v>0</v>
      </c>
      <c r="FN49" s="20" t="n">
        <f aca="false">FD49+FG49*Slot15_BufPot*FI49</f>
        <v>0</v>
      </c>
      <c r="FO49" s="20" t="n">
        <f aca="false">IF(AND(FG49=1,Slot15_IsMfree=1),IF(FL49&gt;=Slot15_Cost-1,0,MAX(0,FE49-FL49)),FE49)</f>
        <v>0</v>
      </c>
      <c r="FP49" s="20" t="n">
        <f aca="false">FG49*(Slot15_Cost-FL49)</f>
        <v>0</v>
      </c>
      <c r="FQ49" s="20" t="n">
        <f aca="false">IF(AND(Slot16_On=1,D49=Slot16_Age),1,0)</f>
        <v>0</v>
      </c>
      <c r="FR49" s="20" t="n">
        <f aca="false">IF(AND(Slot16_On=1,Slot16_Age&gt;D49),1,0)</f>
        <v>0</v>
      </c>
      <c r="FS49" s="20" t="n">
        <f aca="false">SU48</f>
        <v>0</v>
      </c>
      <c r="FT49" s="20" t="n">
        <f aca="false">FQ49*MIN(Slot16_Cost,FS49)</f>
        <v>0</v>
      </c>
      <c r="FU49" s="20" t="n">
        <f aca="false">FQ49*Slot16_SpendLike*MIN(Slot16_Cost-FT49,FM49)</f>
        <v>0</v>
      </c>
      <c r="FV49" s="20" t="n">
        <f aca="false">FT49+FU49</f>
        <v>0</v>
      </c>
      <c r="FW49" s="20" t="n">
        <f aca="false">FM49-FU49+FQ49*IF(Slot16_SpendLike=1,FS49-FT49,IF(Slot16_PotFree=1,FS49,0))</f>
        <v>0</v>
      </c>
      <c r="FX49" s="20" t="n">
        <f aca="false">FN49+FQ49*Slot16_BufPot*FS49</f>
        <v>0</v>
      </c>
      <c r="FY49" s="20" t="n">
        <f aca="false">IF(AND(FQ49=1,Slot16_IsMfree=1),IF(FV49&gt;=Slot16_Cost-1,0,MAX(0,FO49-FV49)),FO49)</f>
        <v>0</v>
      </c>
      <c r="FZ49" s="20" t="n">
        <f aca="false">FQ49*(Slot16_Cost-FV49)</f>
        <v>0</v>
      </c>
      <c r="GA49" s="20" t="n">
        <f aca="false">IF(AND(Slot17_On=1,D49=Slot17_Age),1,0)</f>
        <v>0</v>
      </c>
      <c r="GB49" s="20" t="n">
        <f aca="false">IF(AND(Slot17_On=1,Slot17_Age&gt;D49),1,0)</f>
        <v>0</v>
      </c>
      <c r="GC49" s="20" t="n">
        <f aca="false">SY48</f>
        <v>0</v>
      </c>
      <c r="GD49" s="20" t="n">
        <f aca="false">GA49*MIN(Slot17_Cost,GC49)</f>
        <v>0</v>
      </c>
      <c r="GE49" s="20" t="n">
        <f aca="false">GA49*Slot17_SpendLike*MIN(Slot17_Cost-GD49,FW49)</f>
        <v>0</v>
      </c>
      <c r="GF49" s="20" t="n">
        <f aca="false">GD49+GE49</f>
        <v>0</v>
      </c>
      <c r="GG49" s="20" t="n">
        <f aca="false">FW49-GE49+GA49*IF(Slot17_SpendLike=1,GC49-GD49,IF(Slot17_PotFree=1,GC49,0))</f>
        <v>0</v>
      </c>
      <c r="GH49" s="20" t="n">
        <f aca="false">FX49+GA49*Slot17_BufPot*GC49</f>
        <v>0</v>
      </c>
      <c r="GI49" s="20" t="n">
        <f aca="false">IF(AND(GA49=1,Slot17_IsMfree=1),IF(GF49&gt;=Slot17_Cost-1,0,MAX(0,FY49-GF49)),FY49)</f>
        <v>0</v>
      </c>
      <c r="GJ49" s="20" t="n">
        <f aca="false">GA49*(Slot17_Cost-GF49)</f>
        <v>0</v>
      </c>
      <c r="GK49" s="20" t="n">
        <f aca="false">IF(AND(Slot18_On=1,D49=Slot18_Age),1,0)</f>
        <v>0</v>
      </c>
      <c r="GL49" s="20" t="n">
        <f aca="false">IF(AND(Slot18_On=1,Slot18_Age&gt;D49),1,0)</f>
        <v>0</v>
      </c>
      <c r="GM49" s="20" t="n">
        <f aca="false">TC48</f>
        <v>0</v>
      </c>
      <c r="GN49" s="20" t="n">
        <f aca="false">GK49*MIN(Slot18_Cost,GM49)</f>
        <v>0</v>
      </c>
      <c r="GO49" s="20" t="n">
        <f aca="false">GK49*Slot18_SpendLike*MIN(Slot18_Cost-GN49,GG49)</f>
        <v>0</v>
      </c>
      <c r="GP49" s="20" t="n">
        <f aca="false">GN49+GO49</f>
        <v>0</v>
      </c>
      <c r="GQ49" s="20" t="n">
        <f aca="false">GG49-GO49+GK49*IF(Slot18_SpendLike=1,GM49-GN49,IF(Slot18_PotFree=1,GM49,0))</f>
        <v>0</v>
      </c>
      <c r="GR49" s="20" t="n">
        <f aca="false">GH49+GK49*Slot18_BufPot*GM49</f>
        <v>0</v>
      </c>
      <c r="GS49" s="20" t="n">
        <f aca="false">IF(AND(GK49=1,Slot18_IsMfree=1),IF(GP49&gt;=Slot18_Cost-1,0,MAX(0,GI49-GP49)),GI49)</f>
        <v>0</v>
      </c>
      <c r="GT49" s="20" t="n">
        <f aca="false">GK49*(Slot18_Cost-GP49)</f>
        <v>0</v>
      </c>
      <c r="GU49" s="20" t="n">
        <f aca="false">IF(AND(Slot19_On=1,D49=Slot19_Age),1,0)</f>
        <v>0</v>
      </c>
      <c r="GV49" s="20" t="n">
        <f aca="false">IF(AND(Slot19_On=1,Slot19_Age&gt;D49),1,0)</f>
        <v>0</v>
      </c>
      <c r="GW49" s="20" t="n">
        <f aca="false">TG48</f>
        <v>0</v>
      </c>
      <c r="GX49" s="20" t="n">
        <f aca="false">GU49*MIN(Slot19_Cost,GW49)</f>
        <v>0</v>
      </c>
      <c r="GY49" s="20" t="n">
        <f aca="false">GU49*Slot19_SpendLike*MIN(Slot19_Cost-GX49,GQ49)</f>
        <v>0</v>
      </c>
      <c r="GZ49" s="20" t="n">
        <f aca="false">GX49+GY49</f>
        <v>0</v>
      </c>
      <c r="HA49" s="20" t="n">
        <f aca="false">GQ49-GY49+GU49*IF(Slot19_SpendLike=1,GW49-GX49,IF(Slot19_PotFree=1,GW49,0))</f>
        <v>0</v>
      </c>
      <c r="HB49" s="20" t="n">
        <f aca="false">GR49+GU49*Slot19_BufPot*GW49</f>
        <v>0</v>
      </c>
      <c r="HC49" s="20" t="n">
        <f aca="false">IF(AND(GU49=1,Slot19_IsMfree=1),IF(GZ49&gt;=Slot19_Cost-1,0,MAX(0,GS49-GZ49)),GS49)</f>
        <v>0</v>
      </c>
      <c r="HD49" s="20" t="n">
        <f aca="false">GU49*(Slot19_Cost-GZ49)</f>
        <v>0</v>
      </c>
      <c r="HE49" s="20" t="n">
        <f aca="false">IF(AND(Slot20_On=1,D49=Slot20_Age),1,0)</f>
        <v>0</v>
      </c>
      <c r="HF49" s="20" t="n">
        <f aca="false">IF(AND(Slot20_On=1,Slot20_Age&gt;D49),1,0)</f>
        <v>0</v>
      </c>
      <c r="HG49" s="20" t="n">
        <f aca="false">TK48</f>
        <v>0</v>
      </c>
      <c r="HH49" s="20" t="n">
        <f aca="false">HE49*MIN(Slot20_Cost,HG49)</f>
        <v>0</v>
      </c>
      <c r="HI49" s="20" t="n">
        <f aca="false">HE49*Slot20_SpendLike*MIN(Slot20_Cost-HH49,HA49)</f>
        <v>0</v>
      </c>
      <c r="HJ49" s="20" t="n">
        <f aca="false">HH49+HI49</f>
        <v>0</v>
      </c>
      <c r="HK49" s="20" t="n">
        <f aca="false">HA49-HI49+HE49*IF(Slot20_SpendLike=1,HG49-HH49,IF(Slot20_PotFree=1,HG49,0))</f>
        <v>0</v>
      </c>
      <c r="HL49" s="20" t="n">
        <f aca="false">HB49+HE49*Slot20_BufPot*HG49</f>
        <v>0</v>
      </c>
      <c r="HM49" s="20" t="n">
        <f aca="false">IF(AND(HE49=1,Slot20_IsMfree=1),IF(HJ49&gt;=Slot20_Cost-1,0,MAX(0,HC49-HJ49)),HC49)</f>
        <v>0</v>
      </c>
      <c r="HN49" s="20" t="n">
        <f aca="false">HE49*(Slot20_Cost-HJ49)</f>
        <v>0</v>
      </c>
      <c r="HO49" s="20" t="n">
        <f aca="false">V49*Slot1_SpendLike*AA49+AG49*Slot2_SpendLike*AL49+AQ49*Slot3_SpendLike*AV49+BA49*Slot4_SpendLike*BF49+BK49*Slot5_SpendLike*BP49+BU49*Slot6_SpendLike*BZ49+CE49*Slot7_SpendLike*CJ49+CO49*Slot8_SpendLike*CT49+CY49*Slot9_SpendLike*DD49+DI49*Slot10_SpendLike*DN49+DS49*Slot11_SpendLike*DX49+EC49*Slot12_SpendLike*EH49+EM49*Slot13_SpendLike*ER49+EW49*Slot14_SpendLike*FB49+FG49*Slot15_SpendLike*FL49+FQ49*Slot16_SpendLike*FV49+GA49*Slot17_SpendLike*GF49+GK49*Slot18_SpendLike*GP49+GU49*Slot19_SpendLike*GZ49+HE49*Slot20_SpendLike*HJ49</f>
        <v>0</v>
      </c>
      <c r="HP49" s="20" t="n">
        <f aca="false">AE49+AP49+AZ49+BJ49+BT49+CD49+CN49+CX49+DH49+DR49+EB49+EL49+EV49+FF49+FP49+FZ49+GJ49+GT49+HD49+HN49</f>
        <v>0</v>
      </c>
      <c r="HQ49" s="20" t="n">
        <f aca="false">V49*Slot1_Cost+AG49*Slot2_Cost+AQ49*Slot3_Cost+BA49*Slot4_Cost+BK49*Slot5_Cost+BU49*Slot6_Cost+CE49*Slot7_Cost+CO49*Slot8_Cost+CY49*Slot9_Cost+DI49*Slot10_Cost+DS49*Slot11_Cost+EC49*Slot12_Cost+EM49*Slot13_Cost+EW49*Slot14_Cost+FG49*Slot15_Cost+FQ49*Slot16_Cost+GA49*Slot17_Cost+GK49*Slot18_Cost+GU49*Slot19_Cost+HE49*Slot20_Cost</f>
        <v>0</v>
      </c>
      <c r="HR49" s="20" t="n">
        <f aca="false">HM49</f>
        <v>0</v>
      </c>
      <c r="HS49" s="20" t="n">
        <f aca="false">H49-I49-S49</f>
        <v>-25627.5498980678</v>
      </c>
      <c r="HT49" s="20" t="n">
        <f aca="false">IF(B49=0,IF(AND(Has_q6=1,In_q6=4),PR_ShareVaries*(MAX(0,HS49)/12),MIN(IF(Has_q6=1,CHOOSE(In_q6+1,PR_SaveB1,PR_SaveB2,PR_SaveB3,PR_SaveB4,0),AS_NoAnswer),AS_SaveShare*(MAX(0,HS49)/12))),HT48)</f>
        <v>62.3316893520437</v>
      </c>
      <c r="HU49" s="20" t="n">
        <f aca="false">IF(HS49&gt;=0,1,0)</f>
        <v>0</v>
      </c>
      <c r="HV49" s="20" t="n">
        <f aca="false">MAX(0,HS49/12/F49)</f>
        <v>0</v>
      </c>
      <c r="HW49" s="20" t="n">
        <f aca="false">IF(AND(Has_q6=1,In_q6=4),PR_ShareVaries*(HV49),MIN(IF(Has_q6=1,CHOOSE(In_q6+1,PR_SaveB1,PR_SaveB2,PR_SaveB3,PR_SaveB4,0),AS_NoAnswer),AS_SaveShare*(HV49)))</f>
        <v>0</v>
      </c>
      <c r="HX49" s="20" t="n">
        <f aca="false">IF(Has_saveM=1,IF(In_saveUp="Yes",1,IF(In_saveUp="No",0,IF(In_saveM&gt;=HT49-0.5,1,0))),0)</f>
        <v>0</v>
      </c>
      <c r="HY49" s="20" t="n">
        <f aca="false">IF(Has_saveM=1,MIN(HV49,IF(HX49=1,MAX(In_saveM,HW49),MIN(In_saveM,HW49))),HW49)</f>
        <v>0</v>
      </c>
      <c r="HZ49" s="20" t="n">
        <f aca="false">IF(G49=1,HY49*12*F49,0)</f>
        <v>0</v>
      </c>
      <c r="IA49" s="20" t="n">
        <f aca="false">MAX(0,HZ49+IF(AND(WI_Retire=0,WI_M&lt;0,G49=1),WI_M*12*F49,0))</f>
        <v>0</v>
      </c>
      <c r="IB49" s="20" t="n">
        <f aca="false">Slot1_IsWG*W49+Slot2_IsWG*AH49+Slot3_IsWG*AR49+Slot4_IsWG*BB49+Slot5_IsWG*BL49+Slot6_IsWG*BV49+Slot7_IsWG*CF49+Slot8_IsWG*CP49+Slot9_IsWG*CZ49+Slot10_IsWG*DJ49+Slot11_IsWG*DT49+Slot12_IsWG*ED49+Slot13_IsWG*EN49+Slot14_IsWG*EX49+Slot15_IsWG*FH49+Slot16_IsWG*FR49+Slot17_IsWG*GB49+Slot18_IsWG*GL49+Slot19_IsWG*GV49+Slot20_IsWG*HF49</f>
        <v>0</v>
      </c>
      <c r="IC49" s="20" t="n">
        <f aca="false">IF(AND(WI_Retire=0,WI_M&gt;0,G49=1,IB49&gt;=1),WI_M*12*F49,0)</f>
        <v>0</v>
      </c>
      <c r="ID49" s="20" t="n">
        <f aca="false">IF(HU49=1,MIN(IA49,HS49),0)</f>
        <v>0</v>
      </c>
      <c r="IE49" s="20" t="n">
        <f aca="false">IF(HU49=1,MIN(IC49,HS49-ID49),0)</f>
        <v>0</v>
      </c>
      <c r="IF49" s="20" t="n">
        <f aca="false">IF(W49=1,IF(ABS((1+AS_Wage)/(1+Slot1_Rate)-1)&lt;0.000000000001,(Slot1_Age-D49)*(1+Slot1_Rate)^(Slot1_Age-D49),(1+Slot1_Rate)^(Slot1_Age-D49)*(1-((1+AS_Wage)/(1+Slot1_Rate))^(Slot1_Age-D49))/(1-(1+AS_Wage)/(1+Slot1_Rate))),1)</f>
        <v>1</v>
      </c>
      <c r="IG49" s="20" t="n">
        <f aca="false">IF(AND(HU49=1,IE49&gt;0,Slot1_IsWG=1,W49=1),MAX(0,(Slot1_Cost-X49*(1+Slot1_Rate)^(Slot1_Age-D49))/IF49),0)</f>
        <v>0</v>
      </c>
      <c r="IH49" s="20" t="n">
        <f aca="false">IF(AND(HU49=1,IE49&gt;0,Slot1_IsWG=1,W49=1),MIN(IE49,IG49),0)</f>
        <v>0</v>
      </c>
      <c r="II49" s="20" t="n">
        <f aca="false">X49+IH49</f>
        <v>0</v>
      </c>
      <c r="IJ49" s="20" t="n">
        <f aca="false">IF(W49=1,MAX(0,(Slot1_Cost-II49*(1+Slot1_Rate)^(Slot1_Age-D49))/IF49),0)</f>
        <v>0</v>
      </c>
      <c r="IK49" s="20" t="n">
        <f aca="false">IF(W49=1,MAX(0,(Slot1_Cost-X49*(1+Slot1_Rate)^(Slot1_Age-D49))/IF49),0)</f>
        <v>0</v>
      </c>
      <c r="IL49" s="20" t="n">
        <f aca="false">IF(AND(HU49=1,W49=1),MIN(ID49,IJ49),0)</f>
        <v>0</v>
      </c>
      <c r="IM49" s="20" t="n">
        <f aca="false">ID49-IL49</f>
        <v>0</v>
      </c>
      <c r="IN49" s="20" t="n">
        <f aca="false">IF(AH49=1,IF(ABS((1+AS_Wage)/(1+Slot2_Rate)-1)&lt;0.000000000001,(Slot2_Age-D49)*(1+Slot2_Rate)^(Slot2_Age-D49),(1+Slot2_Rate)^(Slot2_Age-D49)*(1-((1+AS_Wage)/(1+Slot2_Rate))^(Slot2_Age-D49))/(1-(1+AS_Wage)/(1+Slot2_Rate))),1)</f>
        <v>1</v>
      </c>
      <c r="IO49" s="20" t="n">
        <f aca="false">IF(AND(HU49=1,IE49&gt;0,Slot2_IsWG=1,AH49=1),MAX(0,(Slot2_Cost-AI49*(1+Slot2_Rate)^(Slot2_Age-D49))/IN49),0)</f>
        <v>0</v>
      </c>
      <c r="IP49" s="20" t="n">
        <f aca="false">IF(AND(HU49=1,IE49&gt;0,Slot2_IsWG=1,AH49=1),MIN(IE49,IO49),0)</f>
        <v>0</v>
      </c>
      <c r="IQ49" s="20" t="n">
        <f aca="false">AI49+IP49</f>
        <v>0</v>
      </c>
      <c r="IR49" s="20" t="n">
        <f aca="false">IF(AH49=1,MAX(0,(Slot2_Cost-IQ49*(1+Slot2_Rate)^(Slot2_Age-D49))/IN49),0)</f>
        <v>0</v>
      </c>
      <c r="IS49" s="20" t="n">
        <f aca="false">IF(AH49=1,MAX(0,(Slot2_Cost-AI49*(1+Slot2_Rate)^(Slot2_Age-D49))/IN49),0)</f>
        <v>0</v>
      </c>
      <c r="IT49" s="20" t="n">
        <f aca="false">IF(AND(HU49=1,AH49=1),MIN(IM49,IR49),0)</f>
        <v>0</v>
      </c>
      <c r="IU49" s="20" t="n">
        <f aca="false">IM49-IT49</f>
        <v>0</v>
      </c>
      <c r="IV49" s="20" t="n">
        <f aca="false">IF(AR49=1,IF(ABS((1+AS_Wage)/(1+Slot3_Rate)-1)&lt;0.000000000001,(Slot3_Age-D49)*(1+Slot3_Rate)^(Slot3_Age-D49),(1+Slot3_Rate)^(Slot3_Age-D49)*(1-((1+AS_Wage)/(1+Slot3_Rate))^(Slot3_Age-D49))/(1-(1+AS_Wage)/(1+Slot3_Rate))),1)</f>
        <v>1</v>
      </c>
      <c r="IW49" s="20" t="n">
        <f aca="false">IF(AND(HU49=1,IE49&gt;0,Slot3_IsWG=1,AR49=1),MAX(0,(Slot3_Cost-AS49*(1+Slot3_Rate)^(Slot3_Age-D49))/IV49),0)</f>
        <v>0</v>
      </c>
      <c r="IX49" s="20" t="n">
        <f aca="false">IF(AND(HU49=1,IE49&gt;0,Slot3_IsWG=1,AR49=1),MIN(IE49,IW49),0)</f>
        <v>0</v>
      </c>
      <c r="IY49" s="20" t="n">
        <f aca="false">AS49+IX49</f>
        <v>0</v>
      </c>
      <c r="IZ49" s="20" t="n">
        <f aca="false">IF(AR49=1,MAX(0,(Slot3_Cost-IY49*(1+Slot3_Rate)^(Slot3_Age-D49))/IV49),0)</f>
        <v>0</v>
      </c>
      <c r="JA49" s="20" t="n">
        <f aca="false">IF(AR49=1,MAX(0,(Slot3_Cost-AS49*(1+Slot3_Rate)^(Slot3_Age-D49))/IV49),0)</f>
        <v>0</v>
      </c>
      <c r="JB49" s="20" t="n">
        <f aca="false">IF(AND(HU49=1,AR49=1),MIN(IU49,IZ49),0)</f>
        <v>0</v>
      </c>
      <c r="JC49" s="20" t="n">
        <f aca="false">IU49-JB49</f>
        <v>0</v>
      </c>
      <c r="JD49" s="20" t="n">
        <f aca="false">IF(BB49=1,IF(ABS((1+AS_Wage)/(1+Slot4_Rate)-1)&lt;0.000000000001,(Slot4_Age-D49)*(1+Slot4_Rate)^(Slot4_Age-D49),(1+Slot4_Rate)^(Slot4_Age-D49)*(1-((1+AS_Wage)/(1+Slot4_Rate))^(Slot4_Age-D49))/(1-(1+AS_Wage)/(1+Slot4_Rate))),1)</f>
        <v>1</v>
      </c>
      <c r="JE49" s="20" t="n">
        <f aca="false">IF(AND(HU49=1,IE49&gt;0,Slot4_IsWG=1,BB49=1),MAX(0,(Slot4_Cost-BC49*(1+Slot4_Rate)^(Slot4_Age-D49))/JD49),0)</f>
        <v>0</v>
      </c>
      <c r="JF49" s="20" t="n">
        <f aca="false">IF(AND(HU49=1,IE49&gt;0,Slot4_IsWG=1,BB49=1),MIN(IE49,JE49),0)</f>
        <v>0</v>
      </c>
      <c r="JG49" s="20" t="n">
        <f aca="false">BC49+JF49</f>
        <v>0</v>
      </c>
      <c r="JH49" s="20" t="n">
        <f aca="false">IF(BB49=1,MAX(0,(Slot4_Cost-JG49*(1+Slot4_Rate)^(Slot4_Age-D49))/JD49),0)</f>
        <v>0</v>
      </c>
      <c r="JI49" s="20" t="n">
        <f aca="false">IF(BB49=1,MAX(0,(Slot4_Cost-BC49*(1+Slot4_Rate)^(Slot4_Age-D49))/JD49),0)</f>
        <v>0</v>
      </c>
      <c r="JJ49" s="20" t="n">
        <f aca="false">IF(AND(HU49=1,BB49=1),MIN(JC49,JH49),0)</f>
        <v>0</v>
      </c>
      <c r="JK49" s="20" t="n">
        <f aca="false">JC49-JJ49</f>
        <v>0</v>
      </c>
      <c r="JL49" s="20" t="n">
        <f aca="false">IF(BL49=1,IF(ABS((1+AS_Wage)/(1+Slot5_Rate)-1)&lt;0.000000000001,(Slot5_Age-D49)*(1+Slot5_Rate)^(Slot5_Age-D49),(1+Slot5_Rate)^(Slot5_Age-D49)*(1-((1+AS_Wage)/(1+Slot5_Rate))^(Slot5_Age-D49))/(1-(1+AS_Wage)/(1+Slot5_Rate))),1)</f>
        <v>1</v>
      </c>
      <c r="JM49" s="20" t="n">
        <f aca="false">IF(AND(HU49=1,IE49&gt;0,Slot5_IsWG=1,BL49=1),MAX(0,(Slot5_Cost-BM49*(1+Slot5_Rate)^(Slot5_Age-D49))/JL49),0)</f>
        <v>0</v>
      </c>
      <c r="JN49" s="20" t="n">
        <f aca="false">IF(AND(HU49=1,IE49&gt;0,Slot5_IsWG=1,BL49=1),MIN(IE49,JM49),0)</f>
        <v>0</v>
      </c>
      <c r="JO49" s="20" t="n">
        <f aca="false">BM49+JN49</f>
        <v>0</v>
      </c>
      <c r="JP49" s="20" t="n">
        <f aca="false">IF(BL49=1,MAX(0,(Slot5_Cost-JO49*(1+Slot5_Rate)^(Slot5_Age-D49))/JL49),0)</f>
        <v>0</v>
      </c>
      <c r="JQ49" s="20" t="n">
        <f aca="false">IF(BL49=1,MAX(0,(Slot5_Cost-BM49*(1+Slot5_Rate)^(Slot5_Age-D49))/JL49),0)</f>
        <v>0</v>
      </c>
      <c r="JR49" s="20" t="n">
        <f aca="false">IF(AND(HU49=1,BL49=1),MIN(JK49,JP49),0)</f>
        <v>0</v>
      </c>
      <c r="JS49" s="20" t="n">
        <f aca="false">JK49-JR49</f>
        <v>0</v>
      </c>
      <c r="JT49" s="20" t="n">
        <f aca="false">IF(BV49=1,IF(ABS((1+AS_Wage)/(1+Slot6_Rate)-1)&lt;0.000000000001,(Slot6_Age-D49)*(1+Slot6_Rate)^(Slot6_Age-D49),(1+Slot6_Rate)^(Slot6_Age-D49)*(1-((1+AS_Wage)/(1+Slot6_Rate))^(Slot6_Age-D49))/(1-(1+AS_Wage)/(1+Slot6_Rate))),1)</f>
        <v>1</v>
      </c>
      <c r="JU49" s="20" t="n">
        <f aca="false">IF(AND(HU49=1,IE49&gt;0,Slot6_IsWG=1,BV49=1),MAX(0,(Slot6_Cost-BW49*(1+Slot6_Rate)^(Slot6_Age-D49))/JT49),0)</f>
        <v>0</v>
      </c>
      <c r="JV49" s="20" t="n">
        <f aca="false">IF(AND(HU49=1,IE49&gt;0,Slot6_IsWG=1,BV49=1),MIN(IE49,JU49),0)</f>
        <v>0</v>
      </c>
      <c r="JW49" s="20" t="n">
        <f aca="false">BW49+JV49</f>
        <v>0</v>
      </c>
      <c r="JX49" s="20" t="n">
        <f aca="false">IF(BV49=1,MAX(0,(Slot6_Cost-JW49*(1+Slot6_Rate)^(Slot6_Age-D49))/JT49),0)</f>
        <v>0</v>
      </c>
      <c r="JY49" s="20" t="n">
        <f aca="false">IF(BV49=1,MAX(0,(Slot6_Cost-BW49*(1+Slot6_Rate)^(Slot6_Age-D49))/JT49),0)</f>
        <v>0</v>
      </c>
      <c r="JZ49" s="20" t="n">
        <f aca="false">IF(AND(HU49=1,BV49=1),MIN(JS49,JX49),0)</f>
        <v>0</v>
      </c>
      <c r="KA49" s="20" t="n">
        <f aca="false">JS49-JZ49</f>
        <v>0</v>
      </c>
      <c r="KB49" s="20" t="n">
        <f aca="false">IF(CF49=1,IF(ABS((1+AS_Wage)/(1+Slot7_Rate)-1)&lt;0.000000000001,(Slot7_Age-D49)*(1+Slot7_Rate)^(Slot7_Age-D49),(1+Slot7_Rate)^(Slot7_Age-D49)*(1-((1+AS_Wage)/(1+Slot7_Rate))^(Slot7_Age-D49))/(1-(1+AS_Wage)/(1+Slot7_Rate))),1)</f>
        <v>1</v>
      </c>
      <c r="KC49" s="20" t="n">
        <f aca="false">IF(AND(HU49=1,IE49&gt;0,Slot7_IsWG=1,CF49=1),MAX(0,(Slot7_Cost-CG49*(1+Slot7_Rate)^(Slot7_Age-D49))/KB49),0)</f>
        <v>0</v>
      </c>
      <c r="KD49" s="20" t="n">
        <f aca="false">IF(AND(HU49=1,IE49&gt;0,Slot7_IsWG=1,CF49=1),MIN(IE49,KC49),0)</f>
        <v>0</v>
      </c>
      <c r="KE49" s="20" t="n">
        <f aca="false">CG49+KD49</f>
        <v>0</v>
      </c>
      <c r="KF49" s="20" t="n">
        <f aca="false">IF(CF49=1,MAX(0,(Slot7_Cost-KE49*(1+Slot7_Rate)^(Slot7_Age-D49))/KB49),0)</f>
        <v>0</v>
      </c>
      <c r="KG49" s="20" t="n">
        <f aca="false">IF(CF49=1,MAX(0,(Slot7_Cost-CG49*(1+Slot7_Rate)^(Slot7_Age-D49))/KB49),0)</f>
        <v>0</v>
      </c>
      <c r="KH49" s="20" t="n">
        <f aca="false">IF(AND(HU49=1,CF49=1),MIN(KA49,KF49),0)</f>
        <v>0</v>
      </c>
      <c r="KI49" s="20" t="n">
        <f aca="false">KA49-KH49</f>
        <v>0</v>
      </c>
      <c r="KJ49" s="20" t="n">
        <f aca="false">IF(CP49=1,IF(ABS((1+AS_Wage)/(1+Slot8_Rate)-1)&lt;0.000000000001,(Slot8_Age-D49)*(1+Slot8_Rate)^(Slot8_Age-D49),(1+Slot8_Rate)^(Slot8_Age-D49)*(1-((1+AS_Wage)/(1+Slot8_Rate))^(Slot8_Age-D49))/(1-(1+AS_Wage)/(1+Slot8_Rate))),1)</f>
        <v>1</v>
      </c>
      <c r="KK49" s="20" t="n">
        <f aca="false">IF(AND(HU49=1,IE49&gt;0,Slot8_IsWG=1,CP49=1),MAX(0,(Slot8_Cost-CQ49*(1+Slot8_Rate)^(Slot8_Age-D49))/KJ49),0)</f>
        <v>0</v>
      </c>
      <c r="KL49" s="20" t="n">
        <f aca="false">IF(AND(HU49=1,IE49&gt;0,Slot8_IsWG=1,CP49=1),MIN(IE49,KK49),0)</f>
        <v>0</v>
      </c>
      <c r="KM49" s="20" t="n">
        <f aca="false">CQ49+KL49</f>
        <v>0</v>
      </c>
      <c r="KN49" s="20" t="n">
        <f aca="false">IF(CP49=1,MAX(0,(Slot8_Cost-KM49*(1+Slot8_Rate)^(Slot8_Age-D49))/KJ49),0)</f>
        <v>0</v>
      </c>
      <c r="KO49" s="20" t="n">
        <f aca="false">IF(CP49=1,MAX(0,(Slot8_Cost-CQ49*(1+Slot8_Rate)^(Slot8_Age-D49))/KJ49),0)</f>
        <v>0</v>
      </c>
      <c r="KP49" s="20" t="n">
        <f aca="false">IF(AND(HU49=1,CP49=1),MIN(KI49,KN49),0)</f>
        <v>0</v>
      </c>
      <c r="KQ49" s="20" t="n">
        <f aca="false">KI49-KP49</f>
        <v>0</v>
      </c>
      <c r="KR49" s="20" t="n">
        <f aca="false">IF(CZ49=1,IF(ABS((1+AS_Wage)/(1+Slot9_Rate)-1)&lt;0.000000000001,(Slot9_Age-D49)*(1+Slot9_Rate)^(Slot9_Age-D49),(1+Slot9_Rate)^(Slot9_Age-D49)*(1-((1+AS_Wage)/(1+Slot9_Rate))^(Slot9_Age-D49))/(1-(1+AS_Wage)/(1+Slot9_Rate))),1)</f>
        <v>1</v>
      </c>
      <c r="KS49" s="20" t="n">
        <f aca="false">IF(AND(HU49=1,IE49&gt;0,Slot9_IsWG=1,CZ49=1),MAX(0,(Slot9_Cost-DA49*(1+Slot9_Rate)^(Slot9_Age-D49))/KR49),0)</f>
        <v>0</v>
      </c>
      <c r="KT49" s="20" t="n">
        <f aca="false">IF(AND(HU49=1,IE49&gt;0,Slot9_IsWG=1,CZ49=1),MIN(IE49,KS49),0)</f>
        <v>0</v>
      </c>
      <c r="KU49" s="20" t="n">
        <f aca="false">DA49+KT49</f>
        <v>0</v>
      </c>
      <c r="KV49" s="20" t="n">
        <f aca="false">IF(CZ49=1,MAX(0,(Slot9_Cost-KU49*(1+Slot9_Rate)^(Slot9_Age-D49))/KR49),0)</f>
        <v>0</v>
      </c>
      <c r="KW49" s="20" t="n">
        <f aca="false">IF(CZ49=1,MAX(0,(Slot9_Cost-DA49*(1+Slot9_Rate)^(Slot9_Age-D49))/KR49),0)</f>
        <v>0</v>
      </c>
      <c r="KX49" s="20" t="n">
        <f aca="false">IF(AND(HU49=1,CZ49=1),MIN(KQ49,KV49),0)</f>
        <v>0</v>
      </c>
      <c r="KY49" s="20" t="n">
        <f aca="false">KQ49-KX49</f>
        <v>0</v>
      </c>
      <c r="KZ49" s="20" t="n">
        <f aca="false">IF(DJ49=1,IF(ABS((1+AS_Wage)/(1+Slot10_Rate)-1)&lt;0.000000000001,(Slot10_Age-D49)*(1+Slot10_Rate)^(Slot10_Age-D49),(1+Slot10_Rate)^(Slot10_Age-D49)*(1-((1+AS_Wage)/(1+Slot10_Rate))^(Slot10_Age-D49))/(1-(1+AS_Wage)/(1+Slot10_Rate))),1)</f>
        <v>1</v>
      </c>
      <c r="LA49" s="20" t="n">
        <f aca="false">IF(AND(HU49=1,IE49&gt;0,Slot10_IsWG=1,DJ49=1),MAX(0,(Slot10_Cost-DK49*(1+Slot10_Rate)^(Slot10_Age-D49))/KZ49),0)</f>
        <v>0</v>
      </c>
      <c r="LB49" s="20" t="n">
        <f aca="false">IF(AND(HU49=1,IE49&gt;0,Slot10_IsWG=1,DJ49=1),MIN(IE49,LA49),0)</f>
        <v>0</v>
      </c>
      <c r="LC49" s="20" t="n">
        <f aca="false">DK49+LB49</f>
        <v>0</v>
      </c>
      <c r="LD49" s="20" t="n">
        <f aca="false">IF(DJ49=1,MAX(0,(Slot10_Cost-LC49*(1+Slot10_Rate)^(Slot10_Age-D49))/KZ49),0)</f>
        <v>0</v>
      </c>
      <c r="LE49" s="20" t="n">
        <f aca="false">IF(DJ49=1,MAX(0,(Slot10_Cost-DK49*(1+Slot10_Rate)^(Slot10_Age-D49))/KZ49),0)</f>
        <v>0</v>
      </c>
      <c r="LF49" s="20" t="n">
        <f aca="false">IF(AND(HU49=1,DJ49=1),MIN(KY49,LD49),0)</f>
        <v>0</v>
      </c>
      <c r="LG49" s="20" t="n">
        <f aca="false">KY49-LF49</f>
        <v>0</v>
      </c>
      <c r="LH49" s="20" t="n">
        <f aca="false">IF(DT49=1,IF(ABS((1+AS_Wage)/(1+Slot11_Rate)-1)&lt;0.000000000001,(Slot11_Age-D49)*(1+Slot11_Rate)^(Slot11_Age-D49),(1+Slot11_Rate)^(Slot11_Age-D49)*(1-((1+AS_Wage)/(1+Slot11_Rate))^(Slot11_Age-D49))/(1-(1+AS_Wage)/(1+Slot11_Rate))),1)</f>
        <v>1</v>
      </c>
      <c r="LI49" s="20" t="n">
        <f aca="false">IF(AND(HU49=1,IE49&gt;0,Slot11_IsWG=1,DT49=1),MAX(0,(Slot11_Cost-DU49*(1+Slot11_Rate)^(Slot11_Age-D49))/LH49),0)</f>
        <v>0</v>
      </c>
      <c r="LJ49" s="20" t="n">
        <f aca="false">IF(AND(HU49=1,IE49&gt;0,Slot11_IsWG=1,DT49=1),MIN(IE49,LI49),0)</f>
        <v>0</v>
      </c>
      <c r="LK49" s="20" t="n">
        <f aca="false">DU49+LJ49</f>
        <v>0</v>
      </c>
      <c r="LL49" s="20" t="n">
        <f aca="false">IF(DT49=1,MAX(0,(Slot11_Cost-LK49*(1+Slot11_Rate)^(Slot11_Age-D49))/LH49),0)</f>
        <v>0</v>
      </c>
      <c r="LM49" s="20" t="n">
        <f aca="false">IF(DT49=1,MAX(0,(Slot11_Cost-DU49*(1+Slot11_Rate)^(Slot11_Age-D49))/LH49),0)</f>
        <v>0</v>
      </c>
      <c r="LN49" s="20" t="n">
        <f aca="false">IF(AND(HU49=1,DT49=1),MIN(LG49,LL49),0)</f>
        <v>0</v>
      </c>
      <c r="LO49" s="20" t="n">
        <f aca="false">LG49-LN49</f>
        <v>0</v>
      </c>
      <c r="LP49" s="20" t="n">
        <f aca="false">IF(ED49=1,IF(ABS((1+AS_Wage)/(1+Slot12_Rate)-1)&lt;0.000000000001,(Slot12_Age-D49)*(1+Slot12_Rate)^(Slot12_Age-D49),(1+Slot12_Rate)^(Slot12_Age-D49)*(1-((1+AS_Wage)/(1+Slot12_Rate))^(Slot12_Age-D49))/(1-(1+AS_Wage)/(1+Slot12_Rate))),1)</f>
        <v>1</v>
      </c>
      <c r="LQ49" s="20" t="n">
        <f aca="false">IF(AND(HU49=1,IE49&gt;0,Slot12_IsWG=1,ED49=1),MAX(0,(Slot12_Cost-EE49*(1+Slot12_Rate)^(Slot12_Age-D49))/LP49),0)</f>
        <v>0</v>
      </c>
      <c r="LR49" s="20" t="n">
        <f aca="false">IF(AND(HU49=1,IE49&gt;0,Slot12_IsWG=1,ED49=1),MIN(IE49,LQ49),0)</f>
        <v>0</v>
      </c>
      <c r="LS49" s="20" t="n">
        <f aca="false">EE49+LR49</f>
        <v>0</v>
      </c>
      <c r="LT49" s="20" t="n">
        <f aca="false">IF(ED49=1,MAX(0,(Slot12_Cost-LS49*(1+Slot12_Rate)^(Slot12_Age-D49))/LP49),0)</f>
        <v>0</v>
      </c>
      <c r="LU49" s="20" t="n">
        <f aca="false">IF(ED49=1,MAX(0,(Slot12_Cost-EE49*(1+Slot12_Rate)^(Slot12_Age-D49))/LP49),0)</f>
        <v>0</v>
      </c>
      <c r="LV49" s="20" t="n">
        <f aca="false">IF(AND(HU49=1,ED49=1),MIN(LO49,LT49),0)</f>
        <v>0</v>
      </c>
      <c r="LW49" s="20" t="n">
        <f aca="false">LO49-LV49</f>
        <v>0</v>
      </c>
      <c r="LX49" s="20" t="n">
        <f aca="false">IF(EN49=1,IF(ABS((1+AS_Wage)/(1+Slot13_Rate)-1)&lt;0.000000000001,(Slot13_Age-D49)*(1+Slot13_Rate)^(Slot13_Age-D49),(1+Slot13_Rate)^(Slot13_Age-D49)*(1-((1+AS_Wage)/(1+Slot13_Rate))^(Slot13_Age-D49))/(1-(1+AS_Wage)/(1+Slot13_Rate))),1)</f>
        <v>1</v>
      </c>
      <c r="LY49" s="20" t="n">
        <f aca="false">IF(AND(HU49=1,IE49&gt;0,Slot13_IsWG=1,EN49=1),MAX(0,(Slot13_Cost-EO49*(1+Slot13_Rate)^(Slot13_Age-D49))/LX49),0)</f>
        <v>0</v>
      </c>
      <c r="LZ49" s="20" t="n">
        <f aca="false">IF(AND(HU49=1,IE49&gt;0,Slot13_IsWG=1,EN49=1),MIN(IE49,LY49),0)</f>
        <v>0</v>
      </c>
      <c r="MA49" s="20" t="n">
        <f aca="false">EO49+LZ49</f>
        <v>0</v>
      </c>
      <c r="MB49" s="20" t="n">
        <f aca="false">IF(EN49=1,MAX(0,(Slot13_Cost-MA49*(1+Slot13_Rate)^(Slot13_Age-D49))/LX49),0)</f>
        <v>0</v>
      </c>
      <c r="MC49" s="20" t="n">
        <f aca="false">IF(EN49=1,MAX(0,(Slot13_Cost-EO49*(1+Slot13_Rate)^(Slot13_Age-D49))/LX49),0)</f>
        <v>0</v>
      </c>
      <c r="MD49" s="20" t="n">
        <f aca="false">IF(AND(HU49=1,EN49=1),MIN(LW49,MB49),0)</f>
        <v>0</v>
      </c>
      <c r="ME49" s="20" t="n">
        <f aca="false">LW49-MD49</f>
        <v>0</v>
      </c>
      <c r="MF49" s="20" t="n">
        <f aca="false">IF(EX49=1,IF(ABS((1+AS_Wage)/(1+Slot14_Rate)-1)&lt;0.000000000001,(Slot14_Age-D49)*(1+Slot14_Rate)^(Slot14_Age-D49),(1+Slot14_Rate)^(Slot14_Age-D49)*(1-((1+AS_Wage)/(1+Slot14_Rate))^(Slot14_Age-D49))/(1-(1+AS_Wage)/(1+Slot14_Rate))),1)</f>
        <v>1</v>
      </c>
      <c r="MG49" s="20" t="n">
        <f aca="false">IF(AND(HU49=1,IE49&gt;0,Slot14_IsWG=1,EX49=1),MAX(0,(Slot14_Cost-EY49*(1+Slot14_Rate)^(Slot14_Age-D49))/MF49),0)</f>
        <v>0</v>
      </c>
      <c r="MH49" s="20" t="n">
        <f aca="false">IF(AND(HU49=1,IE49&gt;0,Slot14_IsWG=1,EX49=1),MIN(IE49,MG49),0)</f>
        <v>0</v>
      </c>
      <c r="MI49" s="20" t="n">
        <f aca="false">EY49+MH49</f>
        <v>0</v>
      </c>
      <c r="MJ49" s="20" t="n">
        <f aca="false">IF(EX49=1,MAX(0,(Slot14_Cost-MI49*(1+Slot14_Rate)^(Slot14_Age-D49))/MF49),0)</f>
        <v>0</v>
      </c>
      <c r="MK49" s="20" t="n">
        <f aca="false">IF(EX49=1,MAX(0,(Slot14_Cost-EY49*(1+Slot14_Rate)^(Slot14_Age-D49))/MF49),0)</f>
        <v>0</v>
      </c>
      <c r="ML49" s="20" t="n">
        <f aca="false">IF(AND(HU49=1,EX49=1),MIN(ME49,MJ49),0)</f>
        <v>0</v>
      </c>
      <c r="MM49" s="20" t="n">
        <f aca="false">ME49-ML49</f>
        <v>0</v>
      </c>
      <c r="MN49" s="20" t="n">
        <f aca="false">IF(FH49=1,IF(ABS((1+AS_Wage)/(1+Slot15_Rate)-1)&lt;0.000000000001,(Slot15_Age-D49)*(1+Slot15_Rate)^(Slot15_Age-D49),(1+Slot15_Rate)^(Slot15_Age-D49)*(1-((1+AS_Wage)/(1+Slot15_Rate))^(Slot15_Age-D49))/(1-(1+AS_Wage)/(1+Slot15_Rate))),1)</f>
        <v>1</v>
      </c>
      <c r="MO49" s="20" t="n">
        <f aca="false">IF(AND(HU49=1,IE49&gt;0,Slot15_IsWG=1,FH49=1),MAX(0,(Slot15_Cost-FI49*(1+Slot15_Rate)^(Slot15_Age-D49))/MN49),0)</f>
        <v>0</v>
      </c>
      <c r="MP49" s="20" t="n">
        <f aca="false">IF(AND(HU49=1,IE49&gt;0,Slot15_IsWG=1,FH49=1),MIN(IE49,MO49),0)</f>
        <v>0</v>
      </c>
      <c r="MQ49" s="20" t="n">
        <f aca="false">FI49+MP49</f>
        <v>0</v>
      </c>
      <c r="MR49" s="20" t="n">
        <f aca="false">IF(FH49=1,MAX(0,(Slot15_Cost-MQ49*(1+Slot15_Rate)^(Slot15_Age-D49))/MN49),0)</f>
        <v>0</v>
      </c>
      <c r="MS49" s="20" t="n">
        <f aca="false">IF(FH49=1,MAX(0,(Slot15_Cost-FI49*(1+Slot15_Rate)^(Slot15_Age-D49))/MN49),0)</f>
        <v>0</v>
      </c>
      <c r="MT49" s="20" t="n">
        <f aca="false">IF(AND(HU49=1,FH49=1),MIN(MM49,MR49),0)</f>
        <v>0</v>
      </c>
      <c r="MU49" s="20" t="n">
        <f aca="false">MM49-MT49</f>
        <v>0</v>
      </c>
      <c r="MV49" s="20" t="n">
        <f aca="false">IF(FR49=1,IF(ABS((1+AS_Wage)/(1+Slot16_Rate)-1)&lt;0.000000000001,(Slot16_Age-D49)*(1+Slot16_Rate)^(Slot16_Age-D49),(1+Slot16_Rate)^(Slot16_Age-D49)*(1-((1+AS_Wage)/(1+Slot16_Rate))^(Slot16_Age-D49))/(1-(1+AS_Wage)/(1+Slot16_Rate))),1)</f>
        <v>1</v>
      </c>
      <c r="MW49" s="20" t="n">
        <f aca="false">IF(AND(HU49=1,IE49&gt;0,Slot16_IsWG=1,FR49=1),MAX(0,(Slot16_Cost-FS49*(1+Slot16_Rate)^(Slot16_Age-D49))/MV49),0)</f>
        <v>0</v>
      </c>
      <c r="MX49" s="20" t="n">
        <f aca="false">IF(AND(HU49=1,IE49&gt;0,Slot16_IsWG=1,FR49=1),MIN(IE49,MW49),0)</f>
        <v>0</v>
      </c>
      <c r="MY49" s="20" t="n">
        <f aca="false">FS49+MX49</f>
        <v>0</v>
      </c>
      <c r="MZ49" s="20" t="n">
        <f aca="false">IF(FR49=1,MAX(0,(Slot16_Cost-MY49*(1+Slot16_Rate)^(Slot16_Age-D49))/MV49),0)</f>
        <v>0</v>
      </c>
      <c r="NA49" s="20" t="n">
        <f aca="false">IF(FR49=1,MAX(0,(Slot16_Cost-FS49*(1+Slot16_Rate)^(Slot16_Age-D49))/MV49),0)</f>
        <v>0</v>
      </c>
      <c r="NB49" s="20" t="n">
        <f aca="false">IF(AND(HU49=1,FR49=1),MIN(MU49,MZ49),0)</f>
        <v>0</v>
      </c>
      <c r="NC49" s="20" t="n">
        <f aca="false">MU49-NB49</f>
        <v>0</v>
      </c>
      <c r="ND49" s="20" t="n">
        <f aca="false">IF(GB49=1,IF(ABS((1+AS_Wage)/(1+Slot17_Rate)-1)&lt;0.000000000001,(Slot17_Age-D49)*(1+Slot17_Rate)^(Slot17_Age-D49),(1+Slot17_Rate)^(Slot17_Age-D49)*(1-((1+AS_Wage)/(1+Slot17_Rate))^(Slot17_Age-D49))/(1-(1+AS_Wage)/(1+Slot17_Rate))),1)</f>
        <v>1</v>
      </c>
      <c r="NE49" s="20" t="n">
        <f aca="false">IF(AND(HU49=1,IE49&gt;0,Slot17_IsWG=1,GB49=1),MAX(0,(Slot17_Cost-GC49*(1+Slot17_Rate)^(Slot17_Age-D49))/ND49),0)</f>
        <v>0</v>
      </c>
      <c r="NF49" s="20" t="n">
        <f aca="false">IF(AND(HU49=1,IE49&gt;0,Slot17_IsWG=1,GB49=1),MIN(IE49,NE49),0)</f>
        <v>0</v>
      </c>
      <c r="NG49" s="20" t="n">
        <f aca="false">GC49+NF49</f>
        <v>0</v>
      </c>
      <c r="NH49" s="20" t="n">
        <f aca="false">IF(GB49=1,MAX(0,(Slot17_Cost-NG49*(1+Slot17_Rate)^(Slot17_Age-D49))/ND49),0)</f>
        <v>0</v>
      </c>
      <c r="NI49" s="20" t="n">
        <f aca="false">IF(GB49=1,MAX(0,(Slot17_Cost-GC49*(1+Slot17_Rate)^(Slot17_Age-D49))/ND49),0)</f>
        <v>0</v>
      </c>
      <c r="NJ49" s="20" t="n">
        <f aca="false">IF(AND(HU49=1,GB49=1),MIN(NC49,NH49),0)</f>
        <v>0</v>
      </c>
      <c r="NK49" s="20" t="n">
        <f aca="false">NC49-NJ49</f>
        <v>0</v>
      </c>
      <c r="NL49" s="20" t="n">
        <f aca="false">IF(GL49=1,IF(ABS((1+AS_Wage)/(1+Slot18_Rate)-1)&lt;0.000000000001,(Slot18_Age-D49)*(1+Slot18_Rate)^(Slot18_Age-D49),(1+Slot18_Rate)^(Slot18_Age-D49)*(1-((1+AS_Wage)/(1+Slot18_Rate))^(Slot18_Age-D49))/(1-(1+AS_Wage)/(1+Slot18_Rate))),1)</f>
        <v>1</v>
      </c>
      <c r="NM49" s="20" t="n">
        <f aca="false">IF(AND(HU49=1,IE49&gt;0,Slot18_IsWG=1,GL49=1),MAX(0,(Slot18_Cost-GM49*(1+Slot18_Rate)^(Slot18_Age-D49))/NL49),0)</f>
        <v>0</v>
      </c>
      <c r="NN49" s="20" t="n">
        <f aca="false">IF(AND(HU49=1,IE49&gt;0,Slot18_IsWG=1,GL49=1),MIN(IE49,NM49),0)</f>
        <v>0</v>
      </c>
      <c r="NO49" s="20" t="n">
        <f aca="false">GM49+NN49</f>
        <v>0</v>
      </c>
      <c r="NP49" s="20" t="n">
        <f aca="false">IF(GL49=1,MAX(0,(Slot18_Cost-NO49*(1+Slot18_Rate)^(Slot18_Age-D49))/NL49),0)</f>
        <v>0</v>
      </c>
      <c r="NQ49" s="20" t="n">
        <f aca="false">IF(GL49=1,MAX(0,(Slot18_Cost-GM49*(1+Slot18_Rate)^(Slot18_Age-D49))/NL49),0)</f>
        <v>0</v>
      </c>
      <c r="NR49" s="20" t="n">
        <f aca="false">IF(AND(HU49=1,GL49=1),MIN(NK49,NP49),0)</f>
        <v>0</v>
      </c>
      <c r="NS49" s="20" t="n">
        <f aca="false">NK49-NR49</f>
        <v>0</v>
      </c>
      <c r="NT49" s="20" t="n">
        <f aca="false">IF(GV49=1,IF(ABS((1+AS_Wage)/(1+Slot19_Rate)-1)&lt;0.000000000001,(Slot19_Age-D49)*(1+Slot19_Rate)^(Slot19_Age-D49),(1+Slot19_Rate)^(Slot19_Age-D49)*(1-((1+AS_Wage)/(1+Slot19_Rate))^(Slot19_Age-D49))/(1-(1+AS_Wage)/(1+Slot19_Rate))),1)</f>
        <v>1</v>
      </c>
      <c r="NU49" s="20" t="n">
        <f aca="false">IF(AND(HU49=1,IE49&gt;0,Slot19_IsWG=1,GV49=1),MAX(0,(Slot19_Cost-GW49*(1+Slot19_Rate)^(Slot19_Age-D49))/NT49),0)</f>
        <v>0</v>
      </c>
      <c r="NV49" s="20" t="n">
        <f aca="false">IF(AND(HU49=1,IE49&gt;0,Slot19_IsWG=1,GV49=1),MIN(IE49,NU49),0)</f>
        <v>0</v>
      </c>
      <c r="NW49" s="20" t="n">
        <f aca="false">GW49+NV49</f>
        <v>0</v>
      </c>
      <c r="NX49" s="20" t="n">
        <f aca="false">IF(GV49=1,MAX(0,(Slot19_Cost-NW49*(1+Slot19_Rate)^(Slot19_Age-D49))/NT49),0)</f>
        <v>0</v>
      </c>
      <c r="NY49" s="20" t="n">
        <f aca="false">IF(GV49=1,MAX(0,(Slot19_Cost-GW49*(1+Slot19_Rate)^(Slot19_Age-D49))/NT49),0)</f>
        <v>0</v>
      </c>
      <c r="NZ49" s="20" t="n">
        <f aca="false">IF(AND(HU49=1,GV49=1),MIN(NS49,NX49),0)</f>
        <v>0</v>
      </c>
      <c r="OA49" s="20" t="n">
        <f aca="false">NS49-NZ49</f>
        <v>0</v>
      </c>
      <c r="OB49" s="20" t="n">
        <f aca="false">IF(HF49=1,IF(ABS((1+AS_Wage)/(1+Slot20_Rate)-1)&lt;0.000000000001,(Slot20_Age-D49)*(1+Slot20_Rate)^(Slot20_Age-D49),(1+Slot20_Rate)^(Slot20_Age-D49)*(1-((1+AS_Wage)/(1+Slot20_Rate))^(Slot20_Age-D49))/(1-(1+AS_Wage)/(1+Slot20_Rate))),1)</f>
        <v>1</v>
      </c>
      <c r="OC49" s="20" t="n">
        <f aca="false">IF(AND(HU49=1,IE49&gt;0,Slot20_IsWG=1,HF49=1),MAX(0,(Slot20_Cost-HG49*(1+Slot20_Rate)^(Slot20_Age-D49))/OB49),0)</f>
        <v>0</v>
      </c>
      <c r="OD49" s="20" t="n">
        <f aca="false">IF(AND(HU49=1,IE49&gt;0,Slot20_IsWG=1,HF49=1),MIN(IE49,OC49),0)</f>
        <v>0</v>
      </c>
      <c r="OE49" s="20" t="n">
        <f aca="false">HG49+OD49</f>
        <v>0</v>
      </c>
      <c r="OF49" s="20" t="n">
        <f aca="false">IF(HF49=1,MAX(0,(Slot20_Cost-OE49*(1+Slot20_Rate)^(Slot20_Age-D49))/OB49),0)</f>
        <v>0</v>
      </c>
      <c r="OG49" s="20" t="n">
        <f aca="false">IF(HF49=1,MAX(0,(Slot20_Cost-HG49*(1+Slot20_Rate)^(Slot20_Age-D49))/OB49),0)</f>
        <v>0</v>
      </c>
      <c r="OH49" s="20" t="n">
        <f aca="false">IF(AND(HU49=1,HF49=1),MIN(OA49,OF49),0)</f>
        <v>0</v>
      </c>
      <c r="OI49" s="20" t="n">
        <f aca="false">OA49-OH49</f>
        <v>0</v>
      </c>
      <c r="OJ49" s="20" t="n">
        <f aca="false">IE49-(IH49+IP49+IX49+JF49+JN49+JV49+KD49+KL49+KT49+LB49+LJ49+LR49+LZ49+MH49+MP49+MX49+NF49+NN49+NV49+OD49)</f>
        <v>0</v>
      </c>
      <c r="OK49" s="20" t="n">
        <f aca="false">IF(HU49=1,HS49-ID49-IE49,0)</f>
        <v>0</v>
      </c>
      <c r="OL49" s="20" t="n">
        <f aca="false">IF(HU49=0,-HS49,0)</f>
        <v>25627.5498980678</v>
      </c>
      <c r="OM49" s="20" t="n">
        <f aca="false">MIN(OL49,HK49)</f>
        <v>0</v>
      </c>
      <c r="ON49" s="20" t="n">
        <f aca="false">OL49-OM49</f>
        <v>25627.5498980678</v>
      </c>
      <c r="OO49" s="20" t="n">
        <f aca="false">MIN(ON49,HL49)</f>
        <v>0</v>
      </c>
      <c r="OP49" s="20" t="n">
        <f aca="false">ON49-OO49</f>
        <v>25627.5498980678</v>
      </c>
      <c r="OQ49" s="20" t="n">
        <f aca="false">IF(AND(HU49=0,HF49=1,OP49&gt;0),MIN(OP49,HG49),0)</f>
        <v>0</v>
      </c>
      <c r="OR49" s="20" t="n">
        <f aca="false">OP49-OQ49</f>
        <v>25627.5498980678</v>
      </c>
      <c r="OS49" s="20" t="n">
        <f aca="false">IF(AND(HU49=0,GV49=1,OR49&gt;0),MIN(OR49,GW49),0)</f>
        <v>0</v>
      </c>
      <c r="OT49" s="20" t="n">
        <f aca="false">OR49-OS49</f>
        <v>25627.5498980678</v>
      </c>
      <c r="OU49" s="20" t="n">
        <f aca="false">IF(AND(HU49=0,GL49=1,OT49&gt;0),MIN(OT49,GM49),0)</f>
        <v>0</v>
      </c>
      <c r="OV49" s="20" t="n">
        <f aca="false">OT49-OU49</f>
        <v>25627.5498980678</v>
      </c>
      <c r="OW49" s="20" t="n">
        <f aca="false">IF(AND(HU49=0,GB49=1,OV49&gt;0),MIN(OV49,GC49),0)</f>
        <v>0</v>
      </c>
      <c r="OX49" s="20" t="n">
        <f aca="false">OV49-OW49</f>
        <v>25627.5498980678</v>
      </c>
      <c r="OY49" s="20" t="n">
        <f aca="false">IF(AND(HU49=0,FR49=1,OX49&gt;0),MIN(OX49,FS49),0)</f>
        <v>0</v>
      </c>
      <c r="OZ49" s="20" t="n">
        <f aca="false">OX49-OY49</f>
        <v>25627.5498980678</v>
      </c>
      <c r="PA49" s="20" t="n">
        <f aca="false">IF(AND(HU49=0,FH49=1,OZ49&gt;0),MIN(OZ49,FI49),0)</f>
        <v>0</v>
      </c>
      <c r="PB49" s="20" t="n">
        <f aca="false">OZ49-PA49</f>
        <v>25627.5498980678</v>
      </c>
      <c r="PC49" s="20" t="n">
        <f aca="false">IF(AND(HU49=0,EX49=1,PB49&gt;0),MIN(PB49,EY49),0)</f>
        <v>0</v>
      </c>
      <c r="PD49" s="20" t="n">
        <f aca="false">PB49-PC49</f>
        <v>25627.5498980678</v>
      </c>
      <c r="PE49" s="20" t="n">
        <f aca="false">IF(AND(HU49=0,EN49=1,PD49&gt;0),MIN(PD49,EO49),0)</f>
        <v>0</v>
      </c>
      <c r="PF49" s="20" t="n">
        <f aca="false">PD49-PE49</f>
        <v>25627.5498980678</v>
      </c>
      <c r="PG49" s="20" t="n">
        <f aca="false">IF(AND(HU49=0,ED49=1,PF49&gt;0),MIN(PF49,EE49),0)</f>
        <v>0</v>
      </c>
      <c r="PH49" s="20" t="n">
        <f aca="false">PF49-PG49</f>
        <v>25627.5498980678</v>
      </c>
      <c r="PI49" s="20" t="n">
        <f aca="false">IF(AND(HU49=0,DT49=1,PH49&gt;0),MIN(PH49,DU49),0)</f>
        <v>0</v>
      </c>
      <c r="PJ49" s="20" t="n">
        <f aca="false">PH49-PI49</f>
        <v>25627.5498980678</v>
      </c>
      <c r="PK49" s="20" t="n">
        <f aca="false">IF(AND(HU49=0,DJ49=1,PJ49&gt;0),MIN(PJ49,DK49),0)</f>
        <v>0</v>
      </c>
      <c r="PL49" s="20" t="n">
        <f aca="false">PJ49-PK49</f>
        <v>25627.5498980678</v>
      </c>
      <c r="PM49" s="20" t="n">
        <f aca="false">IF(AND(HU49=0,CZ49=1,PL49&gt;0),MIN(PL49,DA49),0)</f>
        <v>0</v>
      </c>
      <c r="PN49" s="20" t="n">
        <f aca="false">PL49-PM49</f>
        <v>25627.5498980678</v>
      </c>
      <c r="PO49" s="20" t="n">
        <f aca="false">IF(AND(HU49=0,CP49=1,PN49&gt;0),MIN(PN49,CQ49),0)</f>
        <v>0</v>
      </c>
      <c r="PP49" s="20" t="n">
        <f aca="false">PN49-PO49</f>
        <v>25627.5498980678</v>
      </c>
      <c r="PQ49" s="20" t="n">
        <f aca="false">IF(AND(HU49=0,CF49=1,PP49&gt;0),MIN(PP49,CG49),0)</f>
        <v>0</v>
      </c>
      <c r="PR49" s="20" t="n">
        <f aca="false">PP49-PQ49</f>
        <v>25627.5498980678</v>
      </c>
      <c r="PS49" s="20" t="n">
        <f aca="false">IF(AND(HU49=0,BV49=1,PR49&gt;0),MIN(PR49,BW49),0)</f>
        <v>0</v>
      </c>
      <c r="PT49" s="20" t="n">
        <f aca="false">PR49-PS49</f>
        <v>25627.5498980678</v>
      </c>
      <c r="PU49" s="20" t="n">
        <f aca="false">IF(AND(HU49=0,BL49=1,PT49&gt;0),MIN(PT49,BM49),0)</f>
        <v>0</v>
      </c>
      <c r="PV49" s="20" t="n">
        <f aca="false">PT49-PU49</f>
        <v>25627.5498980678</v>
      </c>
      <c r="PW49" s="20" t="n">
        <f aca="false">IF(AND(HU49=0,BB49=1,PV49&gt;0),MIN(PV49,BC49),0)</f>
        <v>0</v>
      </c>
      <c r="PX49" s="20" t="n">
        <f aca="false">PV49-PW49</f>
        <v>25627.5498980678</v>
      </c>
      <c r="PY49" s="20" t="n">
        <f aca="false">IF(AND(HU49=0,AR49=1,PX49&gt;0),MIN(PX49,AS49),0)</f>
        <v>0</v>
      </c>
      <c r="PZ49" s="20" t="n">
        <f aca="false">PX49-PY49</f>
        <v>25627.5498980678</v>
      </c>
      <c r="QA49" s="20" t="n">
        <f aca="false">IF(AND(HU49=0,AH49=1,PZ49&gt;0),MIN(PZ49,AI49),0)</f>
        <v>0</v>
      </c>
      <c r="QB49" s="20" t="n">
        <f aca="false">PZ49-QA49</f>
        <v>25627.5498980678</v>
      </c>
      <c r="QC49" s="20" t="n">
        <f aca="false">IF(AND(HU49=0,W49=1,QB49&gt;0),MIN(QB49,X49),0)</f>
        <v>0</v>
      </c>
      <c r="QD49" s="20" t="n">
        <f aca="false">QB49-QC49</f>
        <v>25627.5498980678</v>
      </c>
      <c r="QE49" s="20" t="n">
        <f aca="false">IF(HU49=0,QD49,0)</f>
        <v>25627.5498980678</v>
      </c>
      <c r="QF49" s="20" t="n">
        <f aca="false">OM49+OO49+QC49+QA49+PY49+PW49+PU49+PS49+PQ49+PO49+PM49+PK49+PI49+PG49+PE49+PC49+PA49+OY49+OW49+OU49+OS49+OQ49</f>
        <v>0</v>
      </c>
      <c r="QG49" s="20" t="n">
        <f aca="false">IF(HU49=1,HK49+OJ49+OI49+IF(G49=1,0,OK49),HK49-OM49)</f>
        <v>0</v>
      </c>
      <c r="QH49" s="20" t="n">
        <f aca="false">HL49-OO49</f>
        <v>0</v>
      </c>
      <c r="QI49" s="20" t="n">
        <f aca="false">IF(HU49=1,IF(G49=1,ID49+IE49,HS49),0)</f>
        <v>0</v>
      </c>
      <c r="QJ49" s="20" t="n">
        <f aca="false">IF(HU49=1,IF(G49=1,HS49-ID49-IE49,0),0)</f>
        <v>0</v>
      </c>
      <c r="QK49" s="20" t="n">
        <f aca="false">QG49*(1+GR)</f>
        <v>0</v>
      </c>
      <c r="QL49" s="20" t="n">
        <f aca="false">QH49*(1+AS_Cash)</f>
        <v>0</v>
      </c>
      <c r="QM49" s="20" t="n">
        <f aca="false">IF(W49=1,IF(HU49=1,II49+IL49,X49-QC49)*(1+Slot1_Rate),0)</f>
        <v>0</v>
      </c>
      <c r="QN49" s="20" t="n">
        <f aca="false">IF(AND(HU49=1,W49=1),(IH49+IL49)/F49,0)</f>
        <v>0</v>
      </c>
      <c r="QO49" s="20" t="n">
        <f aca="false">IF(B49=0,IH49+IL49,0)</f>
        <v>0</v>
      </c>
      <c r="QP49" s="20" t="n">
        <f aca="false">IF(B49=0,IF(HU49=1,IJ49,IK49),0)</f>
        <v>0</v>
      </c>
      <c r="QQ49" s="20" t="n">
        <f aca="false">IF(AH49=1,IF(HU49=1,IQ49+IT49,AI49-QA49)*(1+Slot2_Rate),0)</f>
        <v>0</v>
      </c>
      <c r="QR49" s="20" t="n">
        <f aca="false">IF(AND(HU49=1,AH49=1),(IP49+IT49)/F49,0)</f>
        <v>0</v>
      </c>
      <c r="QS49" s="20" t="n">
        <f aca="false">IF(B49=0,IP49+IT49,0)</f>
        <v>0</v>
      </c>
      <c r="QT49" s="20" t="n">
        <f aca="false">IF(B49=0,IF(HU49=1,IR49,IS49),0)</f>
        <v>0</v>
      </c>
      <c r="QU49" s="20" t="n">
        <f aca="false">IF(AR49=1,IF(HU49=1,IY49+JB49,AS49-PY49)*(1+Slot3_Rate),0)</f>
        <v>0</v>
      </c>
      <c r="QV49" s="20" t="n">
        <f aca="false">IF(AND(HU49=1,AR49=1),(IX49+JB49)/F49,0)</f>
        <v>0</v>
      </c>
      <c r="QW49" s="20" t="n">
        <f aca="false">IF(B49=0,IX49+JB49,0)</f>
        <v>0</v>
      </c>
      <c r="QX49" s="20" t="n">
        <f aca="false">IF(B49=0,IF(HU49=1,IZ49,JA49),0)</f>
        <v>0</v>
      </c>
      <c r="QY49" s="20" t="n">
        <f aca="false">IF(BB49=1,IF(HU49=1,JG49+JJ49,BC49-PW49)*(1+Slot4_Rate),0)</f>
        <v>0</v>
      </c>
      <c r="QZ49" s="20" t="n">
        <f aca="false">IF(AND(HU49=1,BB49=1),(JF49+JJ49)/F49,0)</f>
        <v>0</v>
      </c>
      <c r="RA49" s="20" t="n">
        <f aca="false">IF(B49=0,JF49+JJ49,0)</f>
        <v>0</v>
      </c>
      <c r="RB49" s="20" t="n">
        <f aca="false">IF(B49=0,IF(HU49=1,JH49,JI49),0)</f>
        <v>0</v>
      </c>
      <c r="RC49" s="20" t="n">
        <f aca="false">IF(BL49=1,IF(HU49=1,JO49+JR49,BM49-PU49)*(1+Slot5_Rate),0)</f>
        <v>0</v>
      </c>
      <c r="RD49" s="20" t="n">
        <f aca="false">IF(AND(HU49=1,BL49=1),(JN49+JR49)/F49,0)</f>
        <v>0</v>
      </c>
      <c r="RE49" s="20" t="n">
        <f aca="false">IF(B49=0,JN49+JR49,0)</f>
        <v>0</v>
      </c>
      <c r="RF49" s="20" t="n">
        <f aca="false">IF(B49=0,IF(HU49=1,JP49,JQ49),0)</f>
        <v>0</v>
      </c>
      <c r="RG49" s="20" t="n">
        <f aca="false">IF(BV49=1,IF(HU49=1,JW49+JZ49,BW49-PS49)*(1+Slot6_Rate),0)</f>
        <v>0</v>
      </c>
      <c r="RH49" s="20" t="n">
        <f aca="false">IF(AND(HU49=1,BV49=1),(JV49+JZ49)/F49,0)</f>
        <v>0</v>
      </c>
      <c r="RI49" s="20" t="n">
        <f aca="false">IF(B49=0,JV49+JZ49,0)</f>
        <v>0</v>
      </c>
      <c r="RJ49" s="20" t="n">
        <f aca="false">IF(B49=0,IF(HU49=1,JX49,JY49),0)</f>
        <v>0</v>
      </c>
      <c r="RK49" s="20" t="n">
        <f aca="false">IF(CF49=1,IF(HU49=1,KE49+KH49,CG49-PQ49)*(1+Slot7_Rate),0)</f>
        <v>0</v>
      </c>
      <c r="RL49" s="20" t="n">
        <f aca="false">IF(AND(HU49=1,CF49=1),(KD49+KH49)/F49,0)</f>
        <v>0</v>
      </c>
      <c r="RM49" s="20" t="n">
        <f aca="false">IF(B49=0,KD49+KH49,0)</f>
        <v>0</v>
      </c>
      <c r="RN49" s="20" t="n">
        <f aca="false">IF(B49=0,IF(HU49=1,KF49,KG49),0)</f>
        <v>0</v>
      </c>
      <c r="RO49" s="20" t="n">
        <f aca="false">IF(CP49=1,IF(HU49=1,KM49+KP49,CQ49-PO49)*(1+Slot8_Rate),0)</f>
        <v>0</v>
      </c>
      <c r="RP49" s="20" t="n">
        <f aca="false">IF(AND(HU49=1,CP49=1),(KL49+KP49)/F49,0)</f>
        <v>0</v>
      </c>
      <c r="RQ49" s="20" t="n">
        <f aca="false">IF(B49=0,KL49+KP49,0)</f>
        <v>0</v>
      </c>
      <c r="RR49" s="20" t="n">
        <f aca="false">IF(B49=0,IF(HU49=1,KN49,KO49),0)</f>
        <v>0</v>
      </c>
      <c r="RS49" s="20" t="n">
        <f aca="false">IF(CZ49=1,IF(HU49=1,KU49+KX49,DA49-PM49)*(1+Slot9_Rate),0)</f>
        <v>0</v>
      </c>
      <c r="RT49" s="20" t="n">
        <f aca="false">IF(AND(HU49=1,CZ49=1),(KT49+KX49)/F49,0)</f>
        <v>0</v>
      </c>
      <c r="RU49" s="20" t="n">
        <f aca="false">IF(B49=0,KT49+KX49,0)</f>
        <v>0</v>
      </c>
      <c r="RV49" s="20" t="n">
        <f aca="false">IF(B49=0,IF(HU49=1,KV49,KW49),0)</f>
        <v>0</v>
      </c>
      <c r="RW49" s="20" t="n">
        <f aca="false">IF(DJ49=1,IF(HU49=1,LC49+LF49,DK49-PK49)*(1+Slot10_Rate),0)</f>
        <v>0</v>
      </c>
      <c r="RX49" s="20" t="n">
        <f aca="false">IF(AND(HU49=1,DJ49=1),(LB49+LF49)/F49,0)</f>
        <v>0</v>
      </c>
      <c r="RY49" s="20" t="n">
        <f aca="false">IF(B49=0,LB49+LF49,0)</f>
        <v>0</v>
      </c>
      <c r="RZ49" s="20" t="n">
        <f aca="false">IF(B49=0,IF(HU49=1,LD49,LE49),0)</f>
        <v>0</v>
      </c>
      <c r="SA49" s="20" t="n">
        <f aca="false">IF(DT49=1,IF(HU49=1,LK49+LN49,DU49-PI49)*(1+Slot11_Rate),0)</f>
        <v>0</v>
      </c>
      <c r="SB49" s="20" t="n">
        <f aca="false">IF(AND(HU49=1,DT49=1),(LJ49+LN49)/F49,0)</f>
        <v>0</v>
      </c>
      <c r="SC49" s="20" t="n">
        <f aca="false">IF(B49=0,LJ49+LN49,0)</f>
        <v>0</v>
      </c>
      <c r="SD49" s="20" t="n">
        <f aca="false">IF(B49=0,IF(HU49=1,LL49,LM49),0)</f>
        <v>0</v>
      </c>
      <c r="SE49" s="20" t="n">
        <f aca="false">IF(ED49=1,IF(HU49=1,LS49+LV49,EE49-PG49)*(1+Slot12_Rate),0)</f>
        <v>0</v>
      </c>
      <c r="SF49" s="20" t="n">
        <f aca="false">IF(AND(HU49=1,ED49=1),(LR49+LV49)/F49,0)</f>
        <v>0</v>
      </c>
      <c r="SG49" s="20" t="n">
        <f aca="false">IF(B49=0,LR49+LV49,0)</f>
        <v>0</v>
      </c>
      <c r="SH49" s="20" t="n">
        <f aca="false">IF(B49=0,IF(HU49=1,LT49,LU49),0)</f>
        <v>0</v>
      </c>
      <c r="SI49" s="20" t="n">
        <f aca="false">IF(EN49=1,IF(HU49=1,MA49+MD49,EO49-PE49)*(1+Slot13_Rate),0)</f>
        <v>0</v>
      </c>
      <c r="SJ49" s="20" t="n">
        <f aca="false">IF(AND(HU49=1,EN49=1),(LZ49+MD49)/F49,0)</f>
        <v>0</v>
      </c>
      <c r="SK49" s="20" t="n">
        <f aca="false">IF(B49=0,LZ49+MD49,0)</f>
        <v>0</v>
      </c>
      <c r="SL49" s="20" t="n">
        <f aca="false">IF(B49=0,IF(HU49=1,MB49,MC49),0)</f>
        <v>0</v>
      </c>
      <c r="SM49" s="20" t="n">
        <f aca="false">IF(EX49=1,IF(HU49=1,MI49+ML49,EY49-PC49)*(1+Slot14_Rate),0)</f>
        <v>0</v>
      </c>
      <c r="SN49" s="20" t="n">
        <f aca="false">IF(AND(HU49=1,EX49=1),(MH49+ML49)/F49,0)</f>
        <v>0</v>
      </c>
      <c r="SO49" s="20" t="n">
        <f aca="false">IF(B49=0,MH49+ML49,0)</f>
        <v>0</v>
      </c>
      <c r="SP49" s="20" t="n">
        <f aca="false">IF(B49=0,IF(HU49=1,MJ49,MK49),0)</f>
        <v>0</v>
      </c>
      <c r="SQ49" s="20" t="n">
        <f aca="false">IF(FH49=1,IF(HU49=1,MQ49+MT49,FI49-PA49)*(1+Slot15_Rate),0)</f>
        <v>0</v>
      </c>
      <c r="SR49" s="20" t="n">
        <f aca="false">IF(AND(HU49=1,FH49=1),(MP49+MT49)/F49,0)</f>
        <v>0</v>
      </c>
      <c r="SS49" s="20" t="n">
        <f aca="false">IF(B49=0,MP49+MT49,0)</f>
        <v>0</v>
      </c>
      <c r="ST49" s="20" t="n">
        <f aca="false">IF(B49=0,IF(HU49=1,MR49,MS49),0)</f>
        <v>0</v>
      </c>
      <c r="SU49" s="20" t="n">
        <f aca="false">IF(FR49=1,IF(HU49=1,MY49+NB49,FS49-OY49)*(1+Slot16_Rate),0)</f>
        <v>0</v>
      </c>
      <c r="SV49" s="20" t="n">
        <f aca="false">IF(AND(HU49=1,FR49=1),(MX49+NB49)/F49,0)</f>
        <v>0</v>
      </c>
      <c r="SW49" s="20" t="n">
        <f aca="false">IF(B49=0,MX49+NB49,0)</f>
        <v>0</v>
      </c>
      <c r="SX49" s="20" t="n">
        <f aca="false">IF(B49=0,IF(HU49=1,MZ49,NA49),0)</f>
        <v>0</v>
      </c>
      <c r="SY49" s="20" t="n">
        <f aca="false">IF(GB49=1,IF(HU49=1,NG49+NJ49,GC49-OW49)*(1+Slot17_Rate),0)</f>
        <v>0</v>
      </c>
      <c r="SZ49" s="20" t="n">
        <f aca="false">IF(AND(HU49=1,GB49=1),(NF49+NJ49)/F49,0)</f>
        <v>0</v>
      </c>
      <c r="TA49" s="20" t="n">
        <f aca="false">IF(B49=0,NF49+NJ49,0)</f>
        <v>0</v>
      </c>
      <c r="TB49" s="20" t="n">
        <f aca="false">IF(B49=0,IF(HU49=1,NH49,NI49),0)</f>
        <v>0</v>
      </c>
      <c r="TC49" s="20" t="n">
        <f aca="false">IF(GL49=1,IF(HU49=1,NO49+NR49,GM49-OU49)*(1+Slot18_Rate),0)</f>
        <v>0</v>
      </c>
      <c r="TD49" s="20" t="n">
        <f aca="false">IF(AND(HU49=1,GL49=1),(NN49+NR49)/F49,0)</f>
        <v>0</v>
      </c>
      <c r="TE49" s="20" t="n">
        <f aca="false">IF(B49=0,NN49+NR49,0)</f>
        <v>0</v>
      </c>
      <c r="TF49" s="20" t="n">
        <f aca="false">IF(B49=0,IF(HU49=1,NP49,NQ49),0)</f>
        <v>0</v>
      </c>
      <c r="TG49" s="20" t="n">
        <f aca="false">IF(GV49=1,IF(HU49=1,NW49+NZ49,GW49-OS49)*(1+Slot19_Rate),0)</f>
        <v>0</v>
      </c>
      <c r="TH49" s="20" t="n">
        <f aca="false">IF(AND(HU49=1,GV49=1),(NV49+NZ49)/F49,0)</f>
        <v>0</v>
      </c>
      <c r="TI49" s="20" t="n">
        <f aca="false">IF(B49=0,NV49+NZ49,0)</f>
        <v>0</v>
      </c>
      <c r="TJ49" s="20" t="n">
        <f aca="false">IF(B49=0,IF(HU49=1,NX49,NY49),0)</f>
        <v>0</v>
      </c>
      <c r="TK49" s="20" t="n">
        <f aca="false">IF(HF49=1,IF(HU49=1,OE49+OH49,HG49-OQ49)*(1+Slot20_Rate),0)</f>
        <v>0</v>
      </c>
      <c r="TL49" s="20" t="n">
        <f aca="false">IF(AND(HU49=1,HF49=1),(OD49+OH49)/F49,0)</f>
        <v>0</v>
      </c>
      <c r="TM49" s="20" t="n">
        <f aca="false">IF(B49=0,OD49+OH49,0)</f>
        <v>0</v>
      </c>
      <c r="TN49" s="20" t="n">
        <f aca="false">IF(B49=0,IF(HU49=1,OF49,OG49),0)</f>
        <v>0</v>
      </c>
      <c r="TO49" s="20" t="n">
        <f aca="false">QK49+QL49+QM49+QQ49+QU49+QY49+RC49+RG49+RK49+RO49+RS49+RW49+SA49+SE49+SI49+SM49+SQ49+SU49+SY49+TC49+TG49+TK49</f>
        <v>0</v>
      </c>
      <c r="TP49" s="20" t="n">
        <f aca="false">QE49+HP49</f>
        <v>25627.5498980678</v>
      </c>
      <c r="TQ49" s="20" t="n">
        <f aca="false">I49+S49</f>
        <v>107655.181839206</v>
      </c>
      <c r="TR49" s="20" t="n">
        <f aca="false">1-G49</f>
        <v>1</v>
      </c>
      <c r="TS49" s="20" t="n">
        <f aca="false">IF(AND(RG_Exists=1,G49=0,C49=1),I49,0)</f>
        <v>107655.181839206</v>
      </c>
      <c r="TT49" s="20" t="n">
        <f aca="false">IF(AND(RG_Exists=1,G49=0,C49=1),I49-MIN(QE49,I49),0)</f>
        <v>82027.631941138</v>
      </c>
      <c r="TU49" s="20" t="n">
        <f aca="false">'Plan pay &amp; tax'!AD275</f>
        <v>337987.185071142</v>
      </c>
      <c r="TV49" s="20" t="n">
        <f aca="false">IF(AND(C49=1,QE49&gt;MAX(PR_Short1,TQ49*PR_Short2)),1,0)</f>
        <v>1</v>
      </c>
      <c r="TW49" s="20" t="n">
        <f aca="false">MIN(H49,I49+S49)</f>
        <v>82027.631941138</v>
      </c>
      <c r="TX49" s="20" t="n">
        <f aca="false">QF49+MAX(0,HQ49-HP49)</f>
        <v>0</v>
      </c>
      <c r="TY49" s="20" t="n">
        <f aca="false">QE49+HP49</f>
        <v>25627.5498980678</v>
      </c>
      <c r="TZ49" s="20" t="n">
        <f aca="false">IF(AND(C49=1,TY49&gt;PR_MinShort),1,0)</f>
        <v>1</v>
      </c>
      <c r="UA49" s="20" t="n">
        <f aca="false">IF(AND(C49=1,TZ49=0,TX49&gt;PR_MinShort),1,0)</f>
        <v>0</v>
      </c>
      <c r="UB49" s="20" t="n">
        <f aca="false">IF(AND(C49=1,QE49&gt;PR_MinShort),1,0)</f>
        <v>1</v>
      </c>
      <c r="UC49" s="20" t="n">
        <f aca="false">IF(AND(C49=1,QF49&gt;1,UJ49=0),1,0)</f>
        <v>0</v>
      </c>
      <c r="UD49" s="20" t="str">
        <f aca="false">IF(C49=0,"",IF(UJ49=1,"Gap to plan for: short "&amp;"€"&amp;TEXT(ROUND(TP49,0),"#,##0"),IF(QF49&gt;1,"Using savings","Comfortable")))</f>
        <v>Gap to plan for: short €25,628</v>
      </c>
      <c r="UE49" s="20" t="n">
        <f aca="false">IF(AND(INT(D49/10)*10=90,B49&gt;0),80,INT(D49/10)*10)</f>
        <v>70</v>
      </c>
      <c r="UF49" s="20" t="n">
        <f aca="false">IF(B49=0,1,IF(UE49&lt;&gt;UE48,UF48+1,UF48))</f>
        <v>5</v>
      </c>
      <c r="UG49" s="20" t="n">
        <f aca="false">IF(AND(C49=1,G49=1,QE49&gt;MAX(PR_Short1,TQ49*PR_Short2)),1,0)</f>
        <v>0</v>
      </c>
      <c r="UH49" s="20" t="n">
        <f aca="false">TR49*TV49</f>
        <v>1</v>
      </c>
      <c r="UI49" s="20" t="n">
        <f aca="false">IF(AND(V49=1,Slot1_PctLow=1),1,0)+IF(AND(AG49=1,Slot2_PctLow=1),1,0)+IF(AND(AQ49=1,Slot3_PctLow=1),1,0)+IF(AND(BA49=1,Slot4_PctLow=1),1,0)+IF(AND(BK49=1,Slot5_PctLow=1),1,0)+IF(AND(BU49=1,Slot6_PctLow=1),1,0)+IF(AND(CE49=1,Slot7_PctLow=1),1,0)+IF(AND(CO49=1,Slot8_PctLow=1),1,0)+IF(AND(CY49=1,Slot9_PctLow=1),1,0)+IF(AND(DI49=1,Slot10_PctLow=1),1,0)+IF(AND(DS49=1,Slot11_PctLow=1),1,0)+IF(AND(EC49=1,Slot12_PctLow=1),1,0)+IF(AND(EM49=1,Slot13_PctLow=1),1,0)+IF(AND(EW49=1,Slot14_PctLow=1),1,0)+IF(AND(FG49=1,Slot15_PctLow=1),1,0)+IF(AND(FQ49=1,Slot16_PctLow=1),1,0)+IF(AND(GA49=1,Slot17_PctLow=1),1,0)+IF(AND(GK49=1,Slot18_PctLow=1),1,0)+IF(AND(GU49=1,Slot19_PctLow=1),1,0)+IF(AND(HE49=1,Slot20_PctLow=1),1,0)</f>
        <v>0</v>
      </c>
      <c r="UJ49" s="20" t="n">
        <f aca="false">IF(C49=1,IF(OR(TV49=1,UI49&gt;0),1,0),0)</f>
        <v>1</v>
      </c>
    </row>
    <row r="50" customFormat="false" ht="15" hidden="false" customHeight="true" outlineLevel="0" collapsed="false">
      <c r="B50" s="20" t="n">
        <v>42</v>
      </c>
      <c r="C50" s="20" t="n">
        <f aca="false">IF(B50&lt;=F_N,1,0)</f>
        <v>1</v>
      </c>
      <c r="D50" s="20" t="n">
        <f aca="false">'Plan pay &amp; tax'!C276</f>
        <v>80</v>
      </c>
      <c r="E50" s="20" t="str">
        <f aca="false">IF($C50=1,"Income tax "&amp;TEXT(N('Plan pay &amp; tax'!BK276),"#,##0")&amp;"; USC "&amp;TEXT(N('Plan pay &amp; tax'!BM276)+N('Plan pay &amp; tax'!BO276),"#,##0")&amp;"; PRSI "&amp;TEXT(N('Plan pay &amp; tax'!BP276)+N('Plan pay &amp; tax'!BQ276),"#,##0")&amp;". DIRT and exit tax are inside the growth rates here.","")</f>
        <v>Income tax 811; USC 0; PRSI 0. DIRT and exit tax are inside the growth rates here.</v>
      </c>
      <c r="F50" s="44" t="n">
        <f aca="false">'Plan pay &amp; tax'!E276</f>
        <v>2.29724446602489</v>
      </c>
      <c r="G50" s="20" t="n">
        <f aca="false">'Plan pay &amp; tax'!G276</f>
        <v>0</v>
      </c>
      <c r="H50" s="20" t="n">
        <f aca="false">'Plan pay &amp; tax'!BT276-'Plan pay &amp; tax'!BS276-'Plan pay &amp; tax'!R276</f>
        <v>84812.2460639792</v>
      </c>
      <c r="I50" s="20" t="n">
        <f aca="false">IF(G50=1,F_CostsM*12,IF(RG_Exists=1,RG_Amount,F_CostsM*12*AS_RetireSpend))*F50+F_OneOffY*F50</f>
        <v>109808.28547599</v>
      </c>
      <c r="J50" s="20" t="n">
        <f aca="false">HR49</f>
        <v>0</v>
      </c>
      <c r="K50" s="20" t="n">
        <f aca="false">IF(J50&gt;1,'Plan debt months'!AC50,0)</f>
        <v>0</v>
      </c>
      <c r="L50" s="20" t="n">
        <f aca="false">IF(J50&gt;1,'Plan debt months'!AB50,J50)</f>
        <v>0</v>
      </c>
      <c r="M50" s="20" t="n">
        <f aca="false">O49</f>
        <v>0</v>
      </c>
      <c r="N50" s="20" t="n">
        <f aca="false">IF(M50&gt;1,'Plan debt months'!BD50,0)</f>
        <v>0</v>
      </c>
      <c r="O50" s="20" t="n">
        <f aca="false">IF(M50&gt;1,'Plan debt months'!BC50,M50)</f>
        <v>0</v>
      </c>
      <c r="P50" s="20" t="n">
        <f aca="false">R49</f>
        <v>0</v>
      </c>
      <c r="Q50" s="20" t="n">
        <f aca="false">IF(P50&gt;1,'Plan debt months'!CE50,0)</f>
        <v>0</v>
      </c>
      <c r="R50" s="20" t="n">
        <f aca="false">IF(P50&gt;1,'Plan debt months'!CD50,P50)</f>
        <v>0</v>
      </c>
      <c r="S50" s="20" t="n">
        <f aca="false">K50+N50+Q50</f>
        <v>0</v>
      </c>
      <c r="T50" s="20" t="n">
        <f aca="false">QK49+'Plan pay &amp; tax'!Y276</f>
        <v>0</v>
      </c>
      <c r="U50" s="20" t="n">
        <f aca="false">QK49</f>
        <v>0</v>
      </c>
      <c r="V50" s="20" t="n">
        <f aca="false">IF(AND(Slot1_On=1,D50=Slot1_Age),1,0)</f>
        <v>0</v>
      </c>
      <c r="W50" s="20" t="n">
        <f aca="false">IF(AND(Slot1_On=1,Slot1_Age&gt;D50),1,0)</f>
        <v>0</v>
      </c>
      <c r="X50" s="20" t="n">
        <f aca="false">QM49</f>
        <v>0</v>
      </c>
      <c r="Y50" s="20" t="n">
        <f aca="false">V50*MIN(Slot1_Cost,X50)</f>
        <v>0</v>
      </c>
      <c r="Z50" s="20" t="n">
        <f aca="false">V50*Slot1_SpendLike*MIN(Slot1_Cost-Y50,T50)</f>
        <v>0</v>
      </c>
      <c r="AA50" s="20" t="n">
        <f aca="false">Y50+Z50</f>
        <v>0</v>
      </c>
      <c r="AB50" s="20" t="n">
        <f aca="false">T50-Z50+V50*IF(Slot1_SpendLike=1,X50-Y50,IF(Slot1_PotFree=1,X50,0))</f>
        <v>0</v>
      </c>
      <c r="AC50" s="20" t="n">
        <f aca="false">AF50+V50*Slot1_BufPot*X50</f>
        <v>0</v>
      </c>
      <c r="AD50" s="20" t="n">
        <f aca="false">IF(AND(V50=1,Slot1_IsMfree=1),IF(AA50&gt;=Slot1_Cost-1,0,MAX(0,L50-AA50)),L50)</f>
        <v>0</v>
      </c>
      <c r="AE50" s="20" t="n">
        <f aca="false">V50*(Slot1_Cost-AA50)</f>
        <v>0</v>
      </c>
      <c r="AF50" s="20" t="n">
        <f aca="false">QL49</f>
        <v>0</v>
      </c>
      <c r="AG50" s="20" t="n">
        <f aca="false">IF(AND(Slot2_On=1,D50=Slot2_Age),1,0)</f>
        <v>0</v>
      </c>
      <c r="AH50" s="20" t="n">
        <f aca="false">IF(AND(Slot2_On=1,Slot2_Age&gt;D50),1,0)</f>
        <v>0</v>
      </c>
      <c r="AI50" s="20" t="n">
        <f aca="false">QQ49</f>
        <v>0</v>
      </c>
      <c r="AJ50" s="20" t="n">
        <f aca="false">AG50*MIN(Slot2_Cost,AI50)</f>
        <v>0</v>
      </c>
      <c r="AK50" s="20" t="n">
        <f aca="false">AG50*Slot2_SpendLike*MIN(Slot2_Cost-AJ50,AB50)</f>
        <v>0</v>
      </c>
      <c r="AL50" s="20" t="n">
        <f aca="false">AJ50+AK50</f>
        <v>0</v>
      </c>
      <c r="AM50" s="20" t="n">
        <f aca="false">AB50-AK50+AG50*IF(Slot2_SpendLike=1,AI50-AJ50,IF(Slot2_PotFree=1,AI50,0))</f>
        <v>0</v>
      </c>
      <c r="AN50" s="20" t="n">
        <f aca="false">AC50+AG50*Slot2_BufPot*AI50</f>
        <v>0</v>
      </c>
      <c r="AO50" s="20" t="n">
        <f aca="false">IF(AND(AG50=1,Slot2_IsMfree=1),IF(AL50&gt;=Slot2_Cost-1,0,MAX(0,AD50-AL50)),AD50)</f>
        <v>0</v>
      </c>
      <c r="AP50" s="20" t="n">
        <f aca="false">AG50*(Slot2_Cost-AL50)</f>
        <v>0</v>
      </c>
      <c r="AQ50" s="20" t="n">
        <f aca="false">IF(AND(Slot3_On=1,D50=Slot3_Age),1,0)</f>
        <v>0</v>
      </c>
      <c r="AR50" s="20" t="n">
        <f aca="false">IF(AND(Slot3_On=1,Slot3_Age&gt;D50),1,0)</f>
        <v>0</v>
      </c>
      <c r="AS50" s="20" t="n">
        <f aca="false">QU49</f>
        <v>0</v>
      </c>
      <c r="AT50" s="20" t="n">
        <f aca="false">AQ50*MIN(Slot3_Cost,AS50)</f>
        <v>0</v>
      </c>
      <c r="AU50" s="20" t="n">
        <f aca="false">AQ50*Slot3_SpendLike*MIN(Slot3_Cost-AT50,AM50)</f>
        <v>0</v>
      </c>
      <c r="AV50" s="20" t="n">
        <f aca="false">AT50+AU50</f>
        <v>0</v>
      </c>
      <c r="AW50" s="20" t="n">
        <f aca="false">AM50-AU50+AQ50*IF(Slot3_SpendLike=1,AS50-AT50,IF(Slot3_PotFree=1,AS50,0))</f>
        <v>0</v>
      </c>
      <c r="AX50" s="20" t="n">
        <f aca="false">AN50+AQ50*Slot3_BufPot*AS50</f>
        <v>0</v>
      </c>
      <c r="AY50" s="20" t="n">
        <f aca="false">IF(AND(AQ50=1,Slot3_IsMfree=1),IF(AV50&gt;=Slot3_Cost-1,0,MAX(0,AO50-AV50)),AO50)</f>
        <v>0</v>
      </c>
      <c r="AZ50" s="20" t="n">
        <f aca="false">AQ50*(Slot3_Cost-AV50)</f>
        <v>0</v>
      </c>
      <c r="BA50" s="20" t="n">
        <f aca="false">IF(AND(Slot4_On=1,D50=Slot4_Age),1,0)</f>
        <v>0</v>
      </c>
      <c r="BB50" s="20" t="n">
        <f aca="false">IF(AND(Slot4_On=1,Slot4_Age&gt;D50),1,0)</f>
        <v>0</v>
      </c>
      <c r="BC50" s="20" t="n">
        <f aca="false">QY49</f>
        <v>0</v>
      </c>
      <c r="BD50" s="20" t="n">
        <f aca="false">BA50*MIN(Slot4_Cost,BC50)</f>
        <v>0</v>
      </c>
      <c r="BE50" s="20" t="n">
        <f aca="false">BA50*Slot4_SpendLike*MIN(Slot4_Cost-BD50,AW50)</f>
        <v>0</v>
      </c>
      <c r="BF50" s="20" t="n">
        <f aca="false">BD50+BE50</f>
        <v>0</v>
      </c>
      <c r="BG50" s="20" t="n">
        <f aca="false">AW50-BE50+BA50*IF(Slot4_SpendLike=1,BC50-BD50,IF(Slot4_PotFree=1,BC50,0))</f>
        <v>0</v>
      </c>
      <c r="BH50" s="20" t="n">
        <f aca="false">AX50+BA50*Slot4_BufPot*BC50</f>
        <v>0</v>
      </c>
      <c r="BI50" s="20" t="n">
        <f aca="false">IF(AND(BA50=1,Slot4_IsMfree=1),IF(BF50&gt;=Slot4_Cost-1,0,MAX(0,AY50-BF50)),AY50)</f>
        <v>0</v>
      </c>
      <c r="BJ50" s="20" t="n">
        <f aca="false">BA50*(Slot4_Cost-BF50)</f>
        <v>0</v>
      </c>
      <c r="BK50" s="20" t="n">
        <f aca="false">IF(AND(Slot5_On=1,D50=Slot5_Age),1,0)</f>
        <v>0</v>
      </c>
      <c r="BL50" s="20" t="n">
        <f aca="false">IF(AND(Slot5_On=1,Slot5_Age&gt;D50),1,0)</f>
        <v>0</v>
      </c>
      <c r="BM50" s="20" t="n">
        <f aca="false">RC49</f>
        <v>0</v>
      </c>
      <c r="BN50" s="20" t="n">
        <f aca="false">BK50*MIN(Slot5_Cost,BM50)</f>
        <v>0</v>
      </c>
      <c r="BO50" s="20" t="n">
        <f aca="false">BK50*Slot5_SpendLike*MIN(Slot5_Cost-BN50,BG50)</f>
        <v>0</v>
      </c>
      <c r="BP50" s="20" t="n">
        <f aca="false">BN50+BO50</f>
        <v>0</v>
      </c>
      <c r="BQ50" s="20" t="n">
        <f aca="false">BG50-BO50+BK50*IF(Slot5_SpendLike=1,BM50-BN50,IF(Slot5_PotFree=1,BM50,0))</f>
        <v>0</v>
      </c>
      <c r="BR50" s="20" t="n">
        <f aca="false">BH50+BK50*Slot5_BufPot*BM50</f>
        <v>0</v>
      </c>
      <c r="BS50" s="20" t="n">
        <f aca="false">IF(AND(BK50=1,Slot5_IsMfree=1),IF(BP50&gt;=Slot5_Cost-1,0,MAX(0,BI50-BP50)),BI50)</f>
        <v>0</v>
      </c>
      <c r="BT50" s="20" t="n">
        <f aca="false">BK50*(Slot5_Cost-BP50)</f>
        <v>0</v>
      </c>
      <c r="BU50" s="20" t="n">
        <f aca="false">IF(AND(Slot6_On=1,D50=Slot6_Age),1,0)</f>
        <v>0</v>
      </c>
      <c r="BV50" s="20" t="n">
        <f aca="false">IF(AND(Slot6_On=1,Slot6_Age&gt;D50),1,0)</f>
        <v>0</v>
      </c>
      <c r="BW50" s="20" t="n">
        <f aca="false">RG49</f>
        <v>0</v>
      </c>
      <c r="BX50" s="20" t="n">
        <f aca="false">BU50*MIN(Slot6_Cost,BW50)</f>
        <v>0</v>
      </c>
      <c r="BY50" s="20" t="n">
        <f aca="false">BU50*Slot6_SpendLike*MIN(Slot6_Cost-BX50,BQ50)</f>
        <v>0</v>
      </c>
      <c r="BZ50" s="20" t="n">
        <f aca="false">BX50+BY50</f>
        <v>0</v>
      </c>
      <c r="CA50" s="20" t="n">
        <f aca="false">BQ50-BY50+BU50*IF(Slot6_SpendLike=1,BW50-BX50,IF(Slot6_PotFree=1,BW50,0))</f>
        <v>0</v>
      </c>
      <c r="CB50" s="20" t="n">
        <f aca="false">BR50+BU50*Slot6_BufPot*BW50</f>
        <v>0</v>
      </c>
      <c r="CC50" s="20" t="n">
        <f aca="false">IF(AND(BU50=1,Slot6_IsMfree=1),IF(BZ50&gt;=Slot6_Cost-1,0,MAX(0,BS50-BZ50)),BS50)</f>
        <v>0</v>
      </c>
      <c r="CD50" s="20" t="n">
        <f aca="false">BU50*(Slot6_Cost-BZ50)</f>
        <v>0</v>
      </c>
      <c r="CE50" s="20" t="n">
        <f aca="false">IF(AND(Slot7_On=1,D50=Slot7_Age),1,0)</f>
        <v>0</v>
      </c>
      <c r="CF50" s="20" t="n">
        <f aca="false">IF(AND(Slot7_On=1,Slot7_Age&gt;D50),1,0)</f>
        <v>0</v>
      </c>
      <c r="CG50" s="20" t="n">
        <f aca="false">RK49</f>
        <v>0</v>
      </c>
      <c r="CH50" s="20" t="n">
        <f aca="false">CE50*MIN(Slot7_Cost,CG50)</f>
        <v>0</v>
      </c>
      <c r="CI50" s="20" t="n">
        <f aca="false">CE50*Slot7_SpendLike*MIN(Slot7_Cost-CH50,CA50)</f>
        <v>0</v>
      </c>
      <c r="CJ50" s="20" t="n">
        <f aca="false">CH50+CI50</f>
        <v>0</v>
      </c>
      <c r="CK50" s="20" t="n">
        <f aca="false">CA50-CI50+CE50*IF(Slot7_SpendLike=1,CG50-CH50,IF(Slot7_PotFree=1,CG50,0))</f>
        <v>0</v>
      </c>
      <c r="CL50" s="20" t="n">
        <f aca="false">CB50+CE50*Slot7_BufPot*CG50</f>
        <v>0</v>
      </c>
      <c r="CM50" s="20" t="n">
        <f aca="false">IF(AND(CE50=1,Slot7_IsMfree=1),IF(CJ50&gt;=Slot7_Cost-1,0,MAX(0,CC50-CJ50)),CC50)</f>
        <v>0</v>
      </c>
      <c r="CN50" s="20" t="n">
        <f aca="false">CE50*(Slot7_Cost-CJ50)</f>
        <v>0</v>
      </c>
      <c r="CO50" s="20" t="n">
        <f aca="false">IF(AND(Slot8_On=1,D50=Slot8_Age),1,0)</f>
        <v>0</v>
      </c>
      <c r="CP50" s="20" t="n">
        <f aca="false">IF(AND(Slot8_On=1,Slot8_Age&gt;D50),1,0)</f>
        <v>0</v>
      </c>
      <c r="CQ50" s="20" t="n">
        <f aca="false">RO49</f>
        <v>0</v>
      </c>
      <c r="CR50" s="20" t="n">
        <f aca="false">CO50*MIN(Slot8_Cost,CQ50)</f>
        <v>0</v>
      </c>
      <c r="CS50" s="20" t="n">
        <f aca="false">CO50*Slot8_SpendLike*MIN(Slot8_Cost-CR50,CK50)</f>
        <v>0</v>
      </c>
      <c r="CT50" s="20" t="n">
        <f aca="false">CR50+CS50</f>
        <v>0</v>
      </c>
      <c r="CU50" s="20" t="n">
        <f aca="false">CK50-CS50+CO50*IF(Slot8_SpendLike=1,CQ50-CR50,IF(Slot8_PotFree=1,CQ50,0))</f>
        <v>0</v>
      </c>
      <c r="CV50" s="20" t="n">
        <f aca="false">CL50+CO50*Slot8_BufPot*CQ50</f>
        <v>0</v>
      </c>
      <c r="CW50" s="20" t="n">
        <f aca="false">IF(AND(CO50=1,Slot8_IsMfree=1),IF(CT50&gt;=Slot8_Cost-1,0,MAX(0,CM50-CT50)),CM50)</f>
        <v>0</v>
      </c>
      <c r="CX50" s="20" t="n">
        <f aca="false">CO50*(Slot8_Cost-CT50)</f>
        <v>0</v>
      </c>
      <c r="CY50" s="20" t="n">
        <f aca="false">IF(AND(Slot9_On=1,D50=Slot9_Age),1,0)</f>
        <v>0</v>
      </c>
      <c r="CZ50" s="20" t="n">
        <f aca="false">IF(AND(Slot9_On=1,Slot9_Age&gt;D50),1,0)</f>
        <v>0</v>
      </c>
      <c r="DA50" s="20" t="n">
        <f aca="false">RS49</f>
        <v>0</v>
      </c>
      <c r="DB50" s="20" t="n">
        <f aca="false">CY50*MIN(Slot9_Cost,DA50)</f>
        <v>0</v>
      </c>
      <c r="DC50" s="20" t="n">
        <f aca="false">CY50*Slot9_SpendLike*MIN(Slot9_Cost-DB50,CU50)</f>
        <v>0</v>
      </c>
      <c r="DD50" s="20" t="n">
        <f aca="false">DB50+DC50</f>
        <v>0</v>
      </c>
      <c r="DE50" s="20" t="n">
        <f aca="false">CU50-DC50+CY50*IF(Slot9_SpendLike=1,DA50-DB50,IF(Slot9_PotFree=1,DA50,0))</f>
        <v>0</v>
      </c>
      <c r="DF50" s="20" t="n">
        <f aca="false">CV50+CY50*Slot9_BufPot*DA50</f>
        <v>0</v>
      </c>
      <c r="DG50" s="20" t="n">
        <f aca="false">IF(AND(CY50=1,Slot9_IsMfree=1),IF(DD50&gt;=Slot9_Cost-1,0,MAX(0,CW50-DD50)),CW50)</f>
        <v>0</v>
      </c>
      <c r="DH50" s="20" t="n">
        <f aca="false">CY50*(Slot9_Cost-DD50)</f>
        <v>0</v>
      </c>
      <c r="DI50" s="20" t="n">
        <f aca="false">IF(AND(Slot10_On=1,D50=Slot10_Age),1,0)</f>
        <v>0</v>
      </c>
      <c r="DJ50" s="20" t="n">
        <f aca="false">IF(AND(Slot10_On=1,Slot10_Age&gt;D50),1,0)</f>
        <v>0</v>
      </c>
      <c r="DK50" s="20" t="n">
        <f aca="false">RW49</f>
        <v>0</v>
      </c>
      <c r="DL50" s="20" t="n">
        <f aca="false">DI50*MIN(Slot10_Cost,DK50)</f>
        <v>0</v>
      </c>
      <c r="DM50" s="20" t="n">
        <f aca="false">DI50*Slot10_SpendLike*MIN(Slot10_Cost-DL50,DE50)</f>
        <v>0</v>
      </c>
      <c r="DN50" s="20" t="n">
        <f aca="false">DL50+DM50</f>
        <v>0</v>
      </c>
      <c r="DO50" s="20" t="n">
        <f aca="false">DE50-DM50+DI50*IF(Slot10_SpendLike=1,DK50-DL50,IF(Slot10_PotFree=1,DK50,0))</f>
        <v>0</v>
      </c>
      <c r="DP50" s="20" t="n">
        <f aca="false">DF50+DI50*Slot10_BufPot*DK50</f>
        <v>0</v>
      </c>
      <c r="DQ50" s="20" t="n">
        <f aca="false">IF(AND(DI50=1,Slot10_IsMfree=1),IF(DN50&gt;=Slot10_Cost-1,0,MAX(0,DG50-DN50)),DG50)</f>
        <v>0</v>
      </c>
      <c r="DR50" s="20" t="n">
        <f aca="false">DI50*(Slot10_Cost-DN50)</f>
        <v>0</v>
      </c>
      <c r="DS50" s="20" t="n">
        <f aca="false">IF(AND(Slot11_On=1,D50=Slot11_Age),1,0)</f>
        <v>0</v>
      </c>
      <c r="DT50" s="20" t="n">
        <f aca="false">IF(AND(Slot11_On=1,Slot11_Age&gt;D50),1,0)</f>
        <v>0</v>
      </c>
      <c r="DU50" s="20" t="n">
        <f aca="false">SA49</f>
        <v>0</v>
      </c>
      <c r="DV50" s="20" t="n">
        <f aca="false">DS50*MIN(Slot11_Cost,DU50)</f>
        <v>0</v>
      </c>
      <c r="DW50" s="20" t="n">
        <f aca="false">DS50*Slot11_SpendLike*MIN(Slot11_Cost-DV50,DO50)</f>
        <v>0</v>
      </c>
      <c r="DX50" s="20" t="n">
        <f aca="false">DV50+DW50</f>
        <v>0</v>
      </c>
      <c r="DY50" s="20" t="n">
        <f aca="false">DO50-DW50+DS50*IF(Slot11_SpendLike=1,DU50-DV50,IF(Slot11_PotFree=1,DU50,0))</f>
        <v>0</v>
      </c>
      <c r="DZ50" s="20" t="n">
        <f aca="false">DP50+DS50*Slot11_BufPot*DU50</f>
        <v>0</v>
      </c>
      <c r="EA50" s="20" t="n">
        <f aca="false">IF(AND(DS50=1,Slot11_IsMfree=1),IF(DX50&gt;=Slot11_Cost-1,0,MAX(0,DQ50-DX50)),DQ50)</f>
        <v>0</v>
      </c>
      <c r="EB50" s="20" t="n">
        <f aca="false">DS50*(Slot11_Cost-DX50)</f>
        <v>0</v>
      </c>
      <c r="EC50" s="20" t="n">
        <f aca="false">IF(AND(Slot12_On=1,D50=Slot12_Age),1,0)</f>
        <v>0</v>
      </c>
      <c r="ED50" s="20" t="n">
        <f aca="false">IF(AND(Slot12_On=1,Slot12_Age&gt;D50),1,0)</f>
        <v>0</v>
      </c>
      <c r="EE50" s="20" t="n">
        <f aca="false">SE49</f>
        <v>0</v>
      </c>
      <c r="EF50" s="20" t="n">
        <f aca="false">EC50*MIN(Slot12_Cost,EE50)</f>
        <v>0</v>
      </c>
      <c r="EG50" s="20" t="n">
        <f aca="false">EC50*Slot12_SpendLike*MIN(Slot12_Cost-EF50,DY50)</f>
        <v>0</v>
      </c>
      <c r="EH50" s="20" t="n">
        <f aca="false">EF50+EG50</f>
        <v>0</v>
      </c>
      <c r="EI50" s="20" t="n">
        <f aca="false">DY50-EG50+EC50*IF(Slot12_SpendLike=1,EE50-EF50,IF(Slot12_PotFree=1,EE50,0))</f>
        <v>0</v>
      </c>
      <c r="EJ50" s="20" t="n">
        <f aca="false">DZ50+EC50*Slot12_BufPot*EE50</f>
        <v>0</v>
      </c>
      <c r="EK50" s="20" t="n">
        <f aca="false">IF(AND(EC50=1,Slot12_IsMfree=1),IF(EH50&gt;=Slot12_Cost-1,0,MAX(0,EA50-EH50)),EA50)</f>
        <v>0</v>
      </c>
      <c r="EL50" s="20" t="n">
        <f aca="false">EC50*(Slot12_Cost-EH50)</f>
        <v>0</v>
      </c>
      <c r="EM50" s="20" t="n">
        <f aca="false">IF(AND(Slot13_On=1,D50=Slot13_Age),1,0)</f>
        <v>0</v>
      </c>
      <c r="EN50" s="20" t="n">
        <f aca="false">IF(AND(Slot13_On=1,Slot13_Age&gt;D50),1,0)</f>
        <v>0</v>
      </c>
      <c r="EO50" s="20" t="n">
        <f aca="false">SI49</f>
        <v>0</v>
      </c>
      <c r="EP50" s="20" t="n">
        <f aca="false">EM50*MIN(Slot13_Cost,EO50)</f>
        <v>0</v>
      </c>
      <c r="EQ50" s="20" t="n">
        <f aca="false">EM50*Slot13_SpendLike*MIN(Slot13_Cost-EP50,EI50)</f>
        <v>0</v>
      </c>
      <c r="ER50" s="20" t="n">
        <f aca="false">EP50+EQ50</f>
        <v>0</v>
      </c>
      <c r="ES50" s="20" t="n">
        <f aca="false">EI50-EQ50+EM50*IF(Slot13_SpendLike=1,EO50-EP50,IF(Slot13_PotFree=1,EO50,0))</f>
        <v>0</v>
      </c>
      <c r="ET50" s="20" t="n">
        <f aca="false">EJ50+EM50*Slot13_BufPot*EO50</f>
        <v>0</v>
      </c>
      <c r="EU50" s="20" t="n">
        <f aca="false">IF(AND(EM50=1,Slot13_IsMfree=1),IF(ER50&gt;=Slot13_Cost-1,0,MAX(0,EK50-ER50)),EK50)</f>
        <v>0</v>
      </c>
      <c r="EV50" s="20" t="n">
        <f aca="false">EM50*(Slot13_Cost-ER50)</f>
        <v>0</v>
      </c>
      <c r="EW50" s="20" t="n">
        <f aca="false">IF(AND(Slot14_On=1,D50=Slot14_Age),1,0)</f>
        <v>0</v>
      </c>
      <c r="EX50" s="20" t="n">
        <f aca="false">IF(AND(Slot14_On=1,Slot14_Age&gt;D50),1,0)</f>
        <v>0</v>
      </c>
      <c r="EY50" s="20" t="n">
        <f aca="false">SM49</f>
        <v>0</v>
      </c>
      <c r="EZ50" s="20" t="n">
        <f aca="false">EW50*MIN(Slot14_Cost,EY50)</f>
        <v>0</v>
      </c>
      <c r="FA50" s="20" t="n">
        <f aca="false">EW50*Slot14_SpendLike*MIN(Slot14_Cost-EZ50,ES50)</f>
        <v>0</v>
      </c>
      <c r="FB50" s="20" t="n">
        <f aca="false">EZ50+FA50</f>
        <v>0</v>
      </c>
      <c r="FC50" s="20" t="n">
        <f aca="false">ES50-FA50+EW50*IF(Slot14_SpendLike=1,EY50-EZ50,IF(Slot14_PotFree=1,EY50,0))</f>
        <v>0</v>
      </c>
      <c r="FD50" s="20" t="n">
        <f aca="false">ET50+EW50*Slot14_BufPot*EY50</f>
        <v>0</v>
      </c>
      <c r="FE50" s="20" t="n">
        <f aca="false">IF(AND(EW50=1,Slot14_IsMfree=1),IF(FB50&gt;=Slot14_Cost-1,0,MAX(0,EU50-FB50)),EU50)</f>
        <v>0</v>
      </c>
      <c r="FF50" s="20" t="n">
        <f aca="false">EW50*(Slot14_Cost-FB50)</f>
        <v>0</v>
      </c>
      <c r="FG50" s="20" t="n">
        <f aca="false">IF(AND(Slot15_On=1,D50=Slot15_Age),1,0)</f>
        <v>0</v>
      </c>
      <c r="FH50" s="20" t="n">
        <f aca="false">IF(AND(Slot15_On=1,Slot15_Age&gt;D50),1,0)</f>
        <v>0</v>
      </c>
      <c r="FI50" s="20" t="n">
        <f aca="false">SQ49</f>
        <v>0</v>
      </c>
      <c r="FJ50" s="20" t="n">
        <f aca="false">FG50*MIN(Slot15_Cost,FI50)</f>
        <v>0</v>
      </c>
      <c r="FK50" s="20" t="n">
        <f aca="false">FG50*Slot15_SpendLike*MIN(Slot15_Cost-FJ50,FC50)</f>
        <v>0</v>
      </c>
      <c r="FL50" s="20" t="n">
        <f aca="false">FJ50+FK50</f>
        <v>0</v>
      </c>
      <c r="FM50" s="20" t="n">
        <f aca="false">FC50-FK50+FG50*IF(Slot15_SpendLike=1,FI50-FJ50,IF(Slot15_PotFree=1,FI50,0))</f>
        <v>0</v>
      </c>
      <c r="FN50" s="20" t="n">
        <f aca="false">FD50+FG50*Slot15_BufPot*FI50</f>
        <v>0</v>
      </c>
      <c r="FO50" s="20" t="n">
        <f aca="false">IF(AND(FG50=1,Slot15_IsMfree=1),IF(FL50&gt;=Slot15_Cost-1,0,MAX(0,FE50-FL50)),FE50)</f>
        <v>0</v>
      </c>
      <c r="FP50" s="20" t="n">
        <f aca="false">FG50*(Slot15_Cost-FL50)</f>
        <v>0</v>
      </c>
      <c r="FQ50" s="20" t="n">
        <f aca="false">IF(AND(Slot16_On=1,D50=Slot16_Age),1,0)</f>
        <v>0</v>
      </c>
      <c r="FR50" s="20" t="n">
        <f aca="false">IF(AND(Slot16_On=1,Slot16_Age&gt;D50),1,0)</f>
        <v>0</v>
      </c>
      <c r="FS50" s="20" t="n">
        <f aca="false">SU49</f>
        <v>0</v>
      </c>
      <c r="FT50" s="20" t="n">
        <f aca="false">FQ50*MIN(Slot16_Cost,FS50)</f>
        <v>0</v>
      </c>
      <c r="FU50" s="20" t="n">
        <f aca="false">FQ50*Slot16_SpendLike*MIN(Slot16_Cost-FT50,FM50)</f>
        <v>0</v>
      </c>
      <c r="FV50" s="20" t="n">
        <f aca="false">FT50+FU50</f>
        <v>0</v>
      </c>
      <c r="FW50" s="20" t="n">
        <f aca="false">FM50-FU50+FQ50*IF(Slot16_SpendLike=1,FS50-FT50,IF(Slot16_PotFree=1,FS50,0))</f>
        <v>0</v>
      </c>
      <c r="FX50" s="20" t="n">
        <f aca="false">FN50+FQ50*Slot16_BufPot*FS50</f>
        <v>0</v>
      </c>
      <c r="FY50" s="20" t="n">
        <f aca="false">IF(AND(FQ50=1,Slot16_IsMfree=1),IF(FV50&gt;=Slot16_Cost-1,0,MAX(0,FO50-FV50)),FO50)</f>
        <v>0</v>
      </c>
      <c r="FZ50" s="20" t="n">
        <f aca="false">FQ50*(Slot16_Cost-FV50)</f>
        <v>0</v>
      </c>
      <c r="GA50" s="20" t="n">
        <f aca="false">IF(AND(Slot17_On=1,D50=Slot17_Age),1,0)</f>
        <v>0</v>
      </c>
      <c r="GB50" s="20" t="n">
        <f aca="false">IF(AND(Slot17_On=1,Slot17_Age&gt;D50),1,0)</f>
        <v>0</v>
      </c>
      <c r="GC50" s="20" t="n">
        <f aca="false">SY49</f>
        <v>0</v>
      </c>
      <c r="GD50" s="20" t="n">
        <f aca="false">GA50*MIN(Slot17_Cost,GC50)</f>
        <v>0</v>
      </c>
      <c r="GE50" s="20" t="n">
        <f aca="false">GA50*Slot17_SpendLike*MIN(Slot17_Cost-GD50,FW50)</f>
        <v>0</v>
      </c>
      <c r="GF50" s="20" t="n">
        <f aca="false">GD50+GE50</f>
        <v>0</v>
      </c>
      <c r="GG50" s="20" t="n">
        <f aca="false">FW50-GE50+GA50*IF(Slot17_SpendLike=1,GC50-GD50,IF(Slot17_PotFree=1,GC50,0))</f>
        <v>0</v>
      </c>
      <c r="GH50" s="20" t="n">
        <f aca="false">FX50+GA50*Slot17_BufPot*GC50</f>
        <v>0</v>
      </c>
      <c r="GI50" s="20" t="n">
        <f aca="false">IF(AND(GA50=1,Slot17_IsMfree=1),IF(GF50&gt;=Slot17_Cost-1,0,MAX(0,FY50-GF50)),FY50)</f>
        <v>0</v>
      </c>
      <c r="GJ50" s="20" t="n">
        <f aca="false">GA50*(Slot17_Cost-GF50)</f>
        <v>0</v>
      </c>
      <c r="GK50" s="20" t="n">
        <f aca="false">IF(AND(Slot18_On=1,D50=Slot18_Age),1,0)</f>
        <v>0</v>
      </c>
      <c r="GL50" s="20" t="n">
        <f aca="false">IF(AND(Slot18_On=1,Slot18_Age&gt;D50),1,0)</f>
        <v>0</v>
      </c>
      <c r="GM50" s="20" t="n">
        <f aca="false">TC49</f>
        <v>0</v>
      </c>
      <c r="GN50" s="20" t="n">
        <f aca="false">GK50*MIN(Slot18_Cost,GM50)</f>
        <v>0</v>
      </c>
      <c r="GO50" s="20" t="n">
        <f aca="false">GK50*Slot18_SpendLike*MIN(Slot18_Cost-GN50,GG50)</f>
        <v>0</v>
      </c>
      <c r="GP50" s="20" t="n">
        <f aca="false">GN50+GO50</f>
        <v>0</v>
      </c>
      <c r="GQ50" s="20" t="n">
        <f aca="false">GG50-GO50+GK50*IF(Slot18_SpendLike=1,GM50-GN50,IF(Slot18_PotFree=1,GM50,0))</f>
        <v>0</v>
      </c>
      <c r="GR50" s="20" t="n">
        <f aca="false">GH50+GK50*Slot18_BufPot*GM50</f>
        <v>0</v>
      </c>
      <c r="GS50" s="20" t="n">
        <f aca="false">IF(AND(GK50=1,Slot18_IsMfree=1),IF(GP50&gt;=Slot18_Cost-1,0,MAX(0,GI50-GP50)),GI50)</f>
        <v>0</v>
      </c>
      <c r="GT50" s="20" t="n">
        <f aca="false">GK50*(Slot18_Cost-GP50)</f>
        <v>0</v>
      </c>
      <c r="GU50" s="20" t="n">
        <f aca="false">IF(AND(Slot19_On=1,D50=Slot19_Age),1,0)</f>
        <v>0</v>
      </c>
      <c r="GV50" s="20" t="n">
        <f aca="false">IF(AND(Slot19_On=1,Slot19_Age&gt;D50),1,0)</f>
        <v>0</v>
      </c>
      <c r="GW50" s="20" t="n">
        <f aca="false">TG49</f>
        <v>0</v>
      </c>
      <c r="GX50" s="20" t="n">
        <f aca="false">GU50*MIN(Slot19_Cost,GW50)</f>
        <v>0</v>
      </c>
      <c r="GY50" s="20" t="n">
        <f aca="false">GU50*Slot19_SpendLike*MIN(Slot19_Cost-GX50,GQ50)</f>
        <v>0</v>
      </c>
      <c r="GZ50" s="20" t="n">
        <f aca="false">GX50+GY50</f>
        <v>0</v>
      </c>
      <c r="HA50" s="20" t="n">
        <f aca="false">GQ50-GY50+GU50*IF(Slot19_SpendLike=1,GW50-GX50,IF(Slot19_PotFree=1,GW50,0))</f>
        <v>0</v>
      </c>
      <c r="HB50" s="20" t="n">
        <f aca="false">GR50+GU50*Slot19_BufPot*GW50</f>
        <v>0</v>
      </c>
      <c r="HC50" s="20" t="n">
        <f aca="false">IF(AND(GU50=1,Slot19_IsMfree=1),IF(GZ50&gt;=Slot19_Cost-1,0,MAX(0,GS50-GZ50)),GS50)</f>
        <v>0</v>
      </c>
      <c r="HD50" s="20" t="n">
        <f aca="false">GU50*(Slot19_Cost-GZ50)</f>
        <v>0</v>
      </c>
      <c r="HE50" s="20" t="n">
        <f aca="false">IF(AND(Slot20_On=1,D50=Slot20_Age),1,0)</f>
        <v>0</v>
      </c>
      <c r="HF50" s="20" t="n">
        <f aca="false">IF(AND(Slot20_On=1,Slot20_Age&gt;D50),1,0)</f>
        <v>0</v>
      </c>
      <c r="HG50" s="20" t="n">
        <f aca="false">TK49</f>
        <v>0</v>
      </c>
      <c r="HH50" s="20" t="n">
        <f aca="false">HE50*MIN(Slot20_Cost,HG50)</f>
        <v>0</v>
      </c>
      <c r="HI50" s="20" t="n">
        <f aca="false">HE50*Slot20_SpendLike*MIN(Slot20_Cost-HH50,HA50)</f>
        <v>0</v>
      </c>
      <c r="HJ50" s="20" t="n">
        <f aca="false">HH50+HI50</f>
        <v>0</v>
      </c>
      <c r="HK50" s="20" t="n">
        <f aca="false">HA50-HI50+HE50*IF(Slot20_SpendLike=1,HG50-HH50,IF(Slot20_PotFree=1,HG50,0))</f>
        <v>0</v>
      </c>
      <c r="HL50" s="20" t="n">
        <f aca="false">HB50+HE50*Slot20_BufPot*HG50</f>
        <v>0</v>
      </c>
      <c r="HM50" s="20" t="n">
        <f aca="false">IF(AND(HE50=1,Slot20_IsMfree=1),IF(HJ50&gt;=Slot20_Cost-1,0,MAX(0,HC50-HJ50)),HC50)</f>
        <v>0</v>
      </c>
      <c r="HN50" s="20" t="n">
        <f aca="false">HE50*(Slot20_Cost-HJ50)</f>
        <v>0</v>
      </c>
      <c r="HO50" s="20" t="n">
        <f aca="false">V50*Slot1_SpendLike*AA50+AG50*Slot2_SpendLike*AL50+AQ50*Slot3_SpendLike*AV50+BA50*Slot4_SpendLike*BF50+BK50*Slot5_SpendLike*BP50+BU50*Slot6_SpendLike*BZ50+CE50*Slot7_SpendLike*CJ50+CO50*Slot8_SpendLike*CT50+CY50*Slot9_SpendLike*DD50+DI50*Slot10_SpendLike*DN50+DS50*Slot11_SpendLike*DX50+EC50*Slot12_SpendLike*EH50+EM50*Slot13_SpendLike*ER50+EW50*Slot14_SpendLike*FB50+FG50*Slot15_SpendLike*FL50+FQ50*Slot16_SpendLike*FV50+GA50*Slot17_SpendLike*GF50+GK50*Slot18_SpendLike*GP50+GU50*Slot19_SpendLike*GZ50+HE50*Slot20_SpendLike*HJ50</f>
        <v>0</v>
      </c>
      <c r="HP50" s="20" t="n">
        <f aca="false">AE50+AP50+AZ50+BJ50+BT50+CD50+CN50+CX50+DH50+DR50+EB50+EL50+EV50+FF50+FP50+FZ50+GJ50+GT50+HD50+HN50</f>
        <v>0</v>
      </c>
      <c r="HQ50" s="20" t="n">
        <f aca="false">V50*Slot1_Cost+AG50*Slot2_Cost+AQ50*Slot3_Cost+BA50*Slot4_Cost+BK50*Slot5_Cost+BU50*Slot6_Cost+CE50*Slot7_Cost+CO50*Slot8_Cost+CY50*Slot9_Cost+DI50*Slot10_Cost+DS50*Slot11_Cost+EC50*Slot12_Cost+EM50*Slot13_Cost+EW50*Slot14_Cost+FG50*Slot15_Cost+FQ50*Slot16_Cost+GA50*Slot17_Cost+GK50*Slot18_Cost+GU50*Slot19_Cost+HE50*Slot20_Cost</f>
        <v>0</v>
      </c>
      <c r="HR50" s="20" t="n">
        <f aca="false">HM50</f>
        <v>0</v>
      </c>
      <c r="HS50" s="20" t="n">
        <f aca="false">H50-I50-S50</f>
        <v>-24996.0394120107</v>
      </c>
      <c r="HT50" s="20" t="n">
        <f aca="false">IF(B50=0,IF(AND(Has_q6=1,In_q6=4),PR_ShareVaries*(MAX(0,HS50)/12),MIN(IF(Has_q6=1,CHOOSE(In_q6+1,PR_SaveB1,PR_SaveB2,PR_SaveB3,PR_SaveB4,0),AS_NoAnswer),AS_SaveShare*(MAX(0,HS50)/12))),HT49)</f>
        <v>62.3316893520437</v>
      </c>
      <c r="HU50" s="20" t="n">
        <f aca="false">IF(HS50&gt;=0,1,0)</f>
        <v>0</v>
      </c>
      <c r="HV50" s="20" t="n">
        <f aca="false">MAX(0,HS50/12/F50)</f>
        <v>0</v>
      </c>
      <c r="HW50" s="20" t="n">
        <f aca="false">IF(AND(Has_q6=1,In_q6=4),PR_ShareVaries*(HV50),MIN(IF(Has_q6=1,CHOOSE(In_q6+1,PR_SaveB1,PR_SaveB2,PR_SaveB3,PR_SaveB4,0),AS_NoAnswer),AS_SaveShare*(HV50)))</f>
        <v>0</v>
      </c>
      <c r="HX50" s="20" t="n">
        <f aca="false">IF(Has_saveM=1,IF(In_saveUp="Yes",1,IF(In_saveUp="No",0,IF(In_saveM&gt;=HT50-0.5,1,0))),0)</f>
        <v>0</v>
      </c>
      <c r="HY50" s="20" t="n">
        <f aca="false">IF(Has_saveM=1,MIN(HV50,IF(HX50=1,MAX(In_saveM,HW50),MIN(In_saveM,HW50))),HW50)</f>
        <v>0</v>
      </c>
      <c r="HZ50" s="20" t="n">
        <f aca="false">IF(G50=1,HY50*12*F50,0)</f>
        <v>0</v>
      </c>
      <c r="IA50" s="20" t="n">
        <f aca="false">MAX(0,HZ50+IF(AND(WI_Retire=0,WI_M&lt;0,G50=1),WI_M*12*F50,0))</f>
        <v>0</v>
      </c>
      <c r="IB50" s="20" t="n">
        <f aca="false">Slot1_IsWG*W50+Slot2_IsWG*AH50+Slot3_IsWG*AR50+Slot4_IsWG*BB50+Slot5_IsWG*BL50+Slot6_IsWG*BV50+Slot7_IsWG*CF50+Slot8_IsWG*CP50+Slot9_IsWG*CZ50+Slot10_IsWG*DJ50+Slot11_IsWG*DT50+Slot12_IsWG*ED50+Slot13_IsWG*EN50+Slot14_IsWG*EX50+Slot15_IsWG*FH50+Slot16_IsWG*FR50+Slot17_IsWG*GB50+Slot18_IsWG*GL50+Slot19_IsWG*GV50+Slot20_IsWG*HF50</f>
        <v>0</v>
      </c>
      <c r="IC50" s="20" t="n">
        <f aca="false">IF(AND(WI_Retire=0,WI_M&gt;0,G50=1,IB50&gt;=1),WI_M*12*F50,0)</f>
        <v>0</v>
      </c>
      <c r="ID50" s="20" t="n">
        <f aca="false">IF(HU50=1,MIN(IA50,HS50),0)</f>
        <v>0</v>
      </c>
      <c r="IE50" s="20" t="n">
        <f aca="false">IF(HU50=1,MIN(IC50,HS50-ID50),0)</f>
        <v>0</v>
      </c>
      <c r="IF50" s="20" t="n">
        <f aca="false">IF(W50=1,IF(ABS((1+AS_Wage)/(1+Slot1_Rate)-1)&lt;0.000000000001,(Slot1_Age-D50)*(1+Slot1_Rate)^(Slot1_Age-D50),(1+Slot1_Rate)^(Slot1_Age-D50)*(1-((1+AS_Wage)/(1+Slot1_Rate))^(Slot1_Age-D50))/(1-(1+AS_Wage)/(1+Slot1_Rate))),1)</f>
        <v>1</v>
      </c>
      <c r="IG50" s="20" t="n">
        <f aca="false">IF(AND(HU50=1,IE50&gt;0,Slot1_IsWG=1,W50=1),MAX(0,(Slot1_Cost-X50*(1+Slot1_Rate)^(Slot1_Age-D50))/IF50),0)</f>
        <v>0</v>
      </c>
      <c r="IH50" s="20" t="n">
        <f aca="false">IF(AND(HU50=1,IE50&gt;0,Slot1_IsWG=1,W50=1),MIN(IE50,IG50),0)</f>
        <v>0</v>
      </c>
      <c r="II50" s="20" t="n">
        <f aca="false">X50+IH50</f>
        <v>0</v>
      </c>
      <c r="IJ50" s="20" t="n">
        <f aca="false">IF(W50=1,MAX(0,(Slot1_Cost-II50*(1+Slot1_Rate)^(Slot1_Age-D50))/IF50),0)</f>
        <v>0</v>
      </c>
      <c r="IK50" s="20" t="n">
        <f aca="false">IF(W50=1,MAX(0,(Slot1_Cost-X50*(1+Slot1_Rate)^(Slot1_Age-D50))/IF50),0)</f>
        <v>0</v>
      </c>
      <c r="IL50" s="20" t="n">
        <f aca="false">IF(AND(HU50=1,W50=1),MIN(ID50,IJ50),0)</f>
        <v>0</v>
      </c>
      <c r="IM50" s="20" t="n">
        <f aca="false">ID50-IL50</f>
        <v>0</v>
      </c>
      <c r="IN50" s="20" t="n">
        <f aca="false">IF(AH50=1,IF(ABS((1+AS_Wage)/(1+Slot2_Rate)-1)&lt;0.000000000001,(Slot2_Age-D50)*(1+Slot2_Rate)^(Slot2_Age-D50),(1+Slot2_Rate)^(Slot2_Age-D50)*(1-((1+AS_Wage)/(1+Slot2_Rate))^(Slot2_Age-D50))/(1-(1+AS_Wage)/(1+Slot2_Rate))),1)</f>
        <v>1</v>
      </c>
      <c r="IO50" s="20" t="n">
        <f aca="false">IF(AND(HU50=1,IE50&gt;0,Slot2_IsWG=1,AH50=1),MAX(0,(Slot2_Cost-AI50*(1+Slot2_Rate)^(Slot2_Age-D50))/IN50),0)</f>
        <v>0</v>
      </c>
      <c r="IP50" s="20" t="n">
        <f aca="false">IF(AND(HU50=1,IE50&gt;0,Slot2_IsWG=1,AH50=1),MIN(IE50,IO50),0)</f>
        <v>0</v>
      </c>
      <c r="IQ50" s="20" t="n">
        <f aca="false">AI50+IP50</f>
        <v>0</v>
      </c>
      <c r="IR50" s="20" t="n">
        <f aca="false">IF(AH50=1,MAX(0,(Slot2_Cost-IQ50*(1+Slot2_Rate)^(Slot2_Age-D50))/IN50),0)</f>
        <v>0</v>
      </c>
      <c r="IS50" s="20" t="n">
        <f aca="false">IF(AH50=1,MAX(0,(Slot2_Cost-AI50*(1+Slot2_Rate)^(Slot2_Age-D50))/IN50),0)</f>
        <v>0</v>
      </c>
      <c r="IT50" s="20" t="n">
        <f aca="false">IF(AND(HU50=1,AH50=1),MIN(IM50,IR50),0)</f>
        <v>0</v>
      </c>
      <c r="IU50" s="20" t="n">
        <f aca="false">IM50-IT50</f>
        <v>0</v>
      </c>
      <c r="IV50" s="20" t="n">
        <f aca="false">IF(AR50=1,IF(ABS((1+AS_Wage)/(1+Slot3_Rate)-1)&lt;0.000000000001,(Slot3_Age-D50)*(1+Slot3_Rate)^(Slot3_Age-D50),(1+Slot3_Rate)^(Slot3_Age-D50)*(1-((1+AS_Wage)/(1+Slot3_Rate))^(Slot3_Age-D50))/(1-(1+AS_Wage)/(1+Slot3_Rate))),1)</f>
        <v>1</v>
      </c>
      <c r="IW50" s="20" t="n">
        <f aca="false">IF(AND(HU50=1,IE50&gt;0,Slot3_IsWG=1,AR50=1),MAX(0,(Slot3_Cost-AS50*(1+Slot3_Rate)^(Slot3_Age-D50))/IV50),0)</f>
        <v>0</v>
      </c>
      <c r="IX50" s="20" t="n">
        <f aca="false">IF(AND(HU50=1,IE50&gt;0,Slot3_IsWG=1,AR50=1),MIN(IE50,IW50),0)</f>
        <v>0</v>
      </c>
      <c r="IY50" s="20" t="n">
        <f aca="false">AS50+IX50</f>
        <v>0</v>
      </c>
      <c r="IZ50" s="20" t="n">
        <f aca="false">IF(AR50=1,MAX(0,(Slot3_Cost-IY50*(1+Slot3_Rate)^(Slot3_Age-D50))/IV50),0)</f>
        <v>0</v>
      </c>
      <c r="JA50" s="20" t="n">
        <f aca="false">IF(AR50=1,MAX(0,(Slot3_Cost-AS50*(1+Slot3_Rate)^(Slot3_Age-D50))/IV50),0)</f>
        <v>0</v>
      </c>
      <c r="JB50" s="20" t="n">
        <f aca="false">IF(AND(HU50=1,AR50=1),MIN(IU50,IZ50),0)</f>
        <v>0</v>
      </c>
      <c r="JC50" s="20" t="n">
        <f aca="false">IU50-JB50</f>
        <v>0</v>
      </c>
      <c r="JD50" s="20" t="n">
        <f aca="false">IF(BB50=1,IF(ABS((1+AS_Wage)/(1+Slot4_Rate)-1)&lt;0.000000000001,(Slot4_Age-D50)*(1+Slot4_Rate)^(Slot4_Age-D50),(1+Slot4_Rate)^(Slot4_Age-D50)*(1-((1+AS_Wage)/(1+Slot4_Rate))^(Slot4_Age-D50))/(1-(1+AS_Wage)/(1+Slot4_Rate))),1)</f>
        <v>1</v>
      </c>
      <c r="JE50" s="20" t="n">
        <f aca="false">IF(AND(HU50=1,IE50&gt;0,Slot4_IsWG=1,BB50=1),MAX(0,(Slot4_Cost-BC50*(1+Slot4_Rate)^(Slot4_Age-D50))/JD50),0)</f>
        <v>0</v>
      </c>
      <c r="JF50" s="20" t="n">
        <f aca="false">IF(AND(HU50=1,IE50&gt;0,Slot4_IsWG=1,BB50=1),MIN(IE50,JE50),0)</f>
        <v>0</v>
      </c>
      <c r="JG50" s="20" t="n">
        <f aca="false">BC50+JF50</f>
        <v>0</v>
      </c>
      <c r="JH50" s="20" t="n">
        <f aca="false">IF(BB50=1,MAX(0,(Slot4_Cost-JG50*(1+Slot4_Rate)^(Slot4_Age-D50))/JD50),0)</f>
        <v>0</v>
      </c>
      <c r="JI50" s="20" t="n">
        <f aca="false">IF(BB50=1,MAX(0,(Slot4_Cost-BC50*(1+Slot4_Rate)^(Slot4_Age-D50))/JD50),0)</f>
        <v>0</v>
      </c>
      <c r="JJ50" s="20" t="n">
        <f aca="false">IF(AND(HU50=1,BB50=1),MIN(JC50,JH50),0)</f>
        <v>0</v>
      </c>
      <c r="JK50" s="20" t="n">
        <f aca="false">JC50-JJ50</f>
        <v>0</v>
      </c>
      <c r="JL50" s="20" t="n">
        <f aca="false">IF(BL50=1,IF(ABS((1+AS_Wage)/(1+Slot5_Rate)-1)&lt;0.000000000001,(Slot5_Age-D50)*(1+Slot5_Rate)^(Slot5_Age-D50),(1+Slot5_Rate)^(Slot5_Age-D50)*(1-((1+AS_Wage)/(1+Slot5_Rate))^(Slot5_Age-D50))/(1-(1+AS_Wage)/(1+Slot5_Rate))),1)</f>
        <v>1</v>
      </c>
      <c r="JM50" s="20" t="n">
        <f aca="false">IF(AND(HU50=1,IE50&gt;0,Slot5_IsWG=1,BL50=1),MAX(0,(Slot5_Cost-BM50*(1+Slot5_Rate)^(Slot5_Age-D50))/JL50),0)</f>
        <v>0</v>
      </c>
      <c r="JN50" s="20" t="n">
        <f aca="false">IF(AND(HU50=1,IE50&gt;0,Slot5_IsWG=1,BL50=1),MIN(IE50,JM50),0)</f>
        <v>0</v>
      </c>
      <c r="JO50" s="20" t="n">
        <f aca="false">BM50+JN50</f>
        <v>0</v>
      </c>
      <c r="JP50" s="20" t="n">
        <f aca="false">IF(BL50=1,MAX(0,(Slot5_Cost-JO50*(1+Slot5_Rate)^(Slot5_Age-D50))/JL50),0)</f>
        <v>0</v>
      </c>
      <c r="JQ50" s="20" t="n">
        <f aca="false">IF(BL50=1,MAX(0,(Slot5_Cost-BM50*(1+Slot5_Rate)^(Slot5_Age-D50))/JL50),0)</f>
        <v>0</v>
      </c>
      <c r="JR50" s="20" t="n">
        <f aca="false">IF(AND(HU50=1,BL50=1),MIN(JK50,JP50),0)</f>
        <v>0</v>
      </c>
      <c r="JS50" s="20" t="n">
        <f aca="false">JK50-JR50</f>
        <v>0</v>
      </c>
      <c r="JT50" s="20" t="n">
        <f aca="false">IF(BV50=1,IF(ABS((1+AS_Wage)/(1+Slot6_Rate)-1)&lt;0.000000000001,(Slot6_Age-D50)*(1+Slot6_Rate)^(Slot6_Age-D50),(1+Slot6_Rate)^(Slot6_Age-D50)*(1-((1+AS_Wage)/(1+Slot6_Rate))^(Slot6_Age-D50))/(1-(1+AS_Wage)/(1+Slot6_Rate))),1)</f>
        <v>1</v>
      </c>
      <c r="JU50" s="20" t="n">
        <f aca="false">IF(AND(HU50=1,IE50&gt;0,Slot6_IsWG=1,BV50=1),MAX(0,(Slot6_Cost-BW50*(1+Slot6_Rate)^(Slot6_Age-D50))/JT50),0)</f>
        <v>0</v>
      </c>
      <c r="JV50" s="20" t="n">
        <f aca="false">IF(AND(HU50=1,IE50&gt;0,Slot6_IsWG=1,BV50=1),MIN(IE50,JU50),0)</f>
        <v>0</v>
      </c>
      <c r="JW50" s="20" t="n">
        <f aca="false">BW50+JV50</f>
        <v>0</v>
      </c>
      <c r="JX50" s="20" t="n">
        <f aca="false">IF(BV50=1,MAX(0,(Slot6_Cost-JW50*(1+Slot6_Rate)^(Slot6_Age-D50))/JT50),0)</f>
        <v>0</v>
      </c>
      <c r="JY50" s="20" t="n">
        <f aca="false">IF(BV50=1,MAX(0,(Slot6_Cost-BW50*(1+Slot6_Rate)^(Slot6_Age-D50))/JT50),0)</f>
        <v>0</v>
      </c>
      <c r="JZ50" s="20" t="n">
        <f aca="false">IF(AND(HU50=1,BV50=1),MIN(JS50,JX50),0)</f>
        <v>0</v>
      </c>
      <c r="KA50" s="20" t="n">
        <f aca="false">JS50-JZ50</f>
        <v>0</v>
      </c>
      <c r="KB50" s="20" t="n">
        <f aca="false">IF(CF50=1,IF(ABS((1+AS_Wage)/(1+Slot7_Rate)-1)&lt;0.000000000001,(Slot7_Age-D50)*(1+Slot7_Rate)^(Slot7_Age-D50),(1+Slot7_Rate)^(Slot7_Age-D50)*(1-((1+AS_Wage)/(1+Slot7_Rate))^(Slot7_Age-D50))/(1-(1+AS_Wage)/(1+Slot7_Rate))),1)</f>
        <v>1</v>
      </c>
      <c r="KC50" s="20" t="n">
        <f aca="false">IF(AND(HU50=1,IE50&gt;0,Slot7_IsWG=1,CF50=1),MAX(0,(Slot7_Cost-CG50*(1+Slot7_Rate)^(Slot7_Age-D50))/KB50),0)</f>
        <v>0</v>
      </c>
      <c r="KD50" s="20" t="n">
        <f aca="false">IF(AND(HU50=1,IE50&gt;0,Slot7_IsWG=1,CF50=1),MIN(IE50,KC50),0)</f>
        <v>0</v>
      </c>
      <c r="KE50" s="20" t="n">
        <f aca="false">CG50+KD50</f>
        <v>0</v>
      </c>
      <c r="KF50" s="20" t="n">
        <f aca="false">IF(CF50=1,MAX(0,(Slot7_Cost-KE50*(1+Slot7_Rate)^(Slot7_Age-D50))/KB50),0)</f>
        <v>0</v>
      </c>
      <c r="KG50" s="20" t="n">
        <f aca="false">IF(CF50=1,MAX(0,(Slot7_Cost-CG50*(1+Slot7_Rate)^(Slot7_Age-D50))/KB50),0)</f>
        <v>0</v>
      </c>
      <c r="KH50" s="20" t="n">
        <f aca="false">IF(AND(HU50=1,CF50=1),MIN(KA50,KF50),0)</f>
        <v>0</v>
      </c>
      <c r="KI50" s="20" t="n">
        <f aca="false">KA50-KH50</f>
        <v>0</v>
      </c>
      <c r="KJ50" s="20" t="n">
        <f aca="false">IF(CP50=1,IF(ABS((1+AS_Wage)/(1+Slot8_Rate)-1)&lt;0.000000000001,(Slot8_Age-D50)*(1+Slot8_Rate)^(Slot8_Age-D50),(1+Slot8_Rate)^(Slot8_Age-D50)*(1-((1+AS_Wage)/(1+Slot8_Rate))^(Slot8_Age-D50))/(1-(1+AS_Wage)/(1+Slot8_Rate))),1)</f>
        <v>1</v>
      </c>
      <c r="KK50" s="20" t="n">
        <f aca="false">IF(AND(HU50=1,IE50&gt;0,Slot8_IsWG=1,CP50=1),MAX(0,(Slot8_Cost-CQ50*(1+Slot8_Rate)^(Slot8_Age-D50))/KJ50),0)</f>
        <v>0</v>
      </c>
      <c r="KL50" s="20" t="n">
        <f aca="false">IF(AND(HU50=1,IE50&gt;0,Slot8_IsWG=1,CP50=1),MIN(IE50,KK50),0)</f>
        <v>0</v>
      </c>
      <c r="KM50" s="20" t="n">
        <f aca="false">CQ50+KL50</f>
        <v>0</v>
      </c>
      <c r="KN50" s="20" t="n">
        <f aca="false">IF(CP50=1,MAX(0,(Slot8_Cost-KM50*(1+Slot8_Rate)^(Slot8_Age-D50))/KJ50),0)</f>
        <v>0</v>
      </c>
      <c r="KO50" s="20" t="n">
        <f aca="false">IF(CP50=1,MAX(0,(Slot8_Cost-CQ50*(1+Slot8_Rate)^(Slot8_Age-D50))/KJ50),0)</f>
        <v>0</v>
      </c>
      <c r="KP50" s="20" t="n">
        <f aca="false">IF(AND(HU50=1,CP50=1),MIN(KI50,KN50),0)</f>
        <v>0</v>
      </c>
      <c r="KQ50" s="20" t="n">
        <f aca="false">KI50-KP50</f>
        <v>0</v>
      </c>
      <c r="KR50" s="20" t="n">
        <f aca="false">IF(CZ50=1,IF(ABS((1+AS_Wage)/(1+Slot9_Rate)-1)&lt;0.000000000001,(Slot9_Age-D50)*(1+Slot9_Rate)^(Slot9_Age-D50),(1+Slot9_Rate)^(Slot9_Age-D50)*(1-((1+AS_Wage)/(1+Slot9_Rate))^(Slot9_Age-D50))/(1-(1+AS_Wage)/(1+Slot9_Rate))),1)</f>
        <v>1</v>
      </c>
      <c r="KS50" s="20" t="n">
        <f aca="false">IF(AND(HU50=1,IE50&gt;0,Slot9_IsWG=1,CZ50=1),MAX(0,(Slot9_Cost-DA50*(1+Slot9_Rate)^(Slot9_Age-D50))/KR50),0)</f>
        <v>0</v>
      </c>
      <c r="KT50" s="20" t="n">
        <f aca="false">IF(AND(HU50=1,IE50&gt;0,Slot9_IsWG=1,CZ50=1),MIN(IE50,KS50),0)</f>
        <v>0</v>
      </c>
      <c r="KU50" s="20" t="n">
        <f aca="false">DA50+KT50</f>
        <v>0</v>
      </c>
      <c r="KV50" s="20" t="n">
        <f aca="false">IF(CZ50=1,MAX(0,(Slot9_Cost-KU50*(1+Slot9_Rate)^(Slot9_Age-D50))/KR50),0)</f>
        <v>0</v>
      </c>
      <c r="KW50" s="20" t="n">
        <f aca="false">IF(CZ50=1,MAX(0,(Slot9_Cost-DA50*(1+Slot9_Rate)^(Slot9_Age-D50))/KR50),0)</f>
        <v>0</v>
      </c>
      <c r="KX50" s="20" t="n">
        <f aca="false">IF(AND(HU50=1,CZ50=1),MIN(KQ50,KV50),0)</f>
        <v>0</v>
      </c>
      <c r="KY50" s="20" t="n">
        <f aca="false">KQ50-KX50</f>
        <v>0</v>
      </c>
      <c r="KZ50" s="20" t="n">
        <f aca="false">IF(DJ50=1,IF(ABS((1+AS_Wage)/(1+Slot10_Rate)-1)&lt;0.000000000001,(Slot10_Age-D50)*(1+Slot10_Rate)^(Slot10_Age-D50),(1+Slot10_Rate)^(Slot10_Age-D50)*(1-((1+AS_Wage)/(1+Slot10_Rate))^(Slot10_Age-D50))/(1-(1+AS_Wage)/(1+Slot10_Rate))),1)</f>
        <v>1</v>
      </c>
      <c r="LA50" s="20" t="n">
        <f aca="false">IF(AND(HU50=1,IE50&gt;0,Slot10_IsWG=1,DJ50=1),MAX(0,(Slot10_Cost-DK50*(1+Slot10_Rate)^(Slot10_Age-D50))/KZ50),0)</f>
        <v>0</v>
      </c>
      <c r="LB50" s="20" t="n">
        <f aca="false">IF(AND(HU50=1,IE50&gt;0,Slot10_IsWG=1,DJ50=1),MIN(IE50,LA50),0)</f>
        <v>0</v>
      </c>
      <c r="LC50" s="20" t="n">
        <f aca="false">DK50+LB50</f>
        <v>0</v>
      </c>
      <c r="LD50" s="20" t="n">
        <f aca="false">IF(DJ50=1,MAX(0,(Slot10_Cost-LC50*(1+Slot10_Rate)^(Slot10_Age-D50))/KZ50),0)</f>
        <v>0</v>
      </c>
      <c r="LE50" s="20" t="n">
        <f aca="false">IF(DJ50=1,MAX(0,(Slot10_Cost-DK50*(1+Slot10_Rate)^(Slot10_Age-D50))/KZ50),0)</f>
        <v>0</v>
      </c>
      <c r="LF50" s="20" t="n">
        <f aca="false">IF(AND(HU50=1,DJ50=1),MIN(KY50,LD50),0)</f>
        <v>0</v>
      </c>
      <c r="LG50" s="20" t="n">
        <f aca="false">KY50-LF50</f>
        <v>0</v>
      </c>
      <c r="LH50" s="20" t="n">
        <f aca="false">IF(DT50=1,IF(ABS((1+AS_Wage)/(1+Slot11_Rate)-1)&lt;0.000000000001,(Slot11_Age-D50)*(1+Slot11_Rate)^(Slot11_Age-D50),(1+Slot11_Rate)^(Slot11_Age-D50)*(1-((1+AS_Wage)/(1+Slot11_Rate))^(Slot11_Age-D50))/(1-(1+AS_Wage)/(1+Slot11_Rate))),1)</f>
        <v>1</v>
      </c>
      <c r="LI50" s="20" t="n">
        <f aca="false">IF(AND(HU50=1,IE50&gt;0,Slot11_IsWG=1,DT50=1),MAX(0,(Slot11_Cost-DU50*(1+Slot11_Rate)^(Slot11_Age-D50))/LH50),0)</f>
        <v>0</v>
      </c>
      <c r="LJ50" s="20" t="n">
        <f aca="false">IF(AND(HU50=1,IE50&gt;0,Slot11_IsWG=1,DT50=1),MIN(IE50,LI50),0)</f>
        <v>0</v>
      </c>
      <c r="LK50" s="20" t="n">
        <f aca="false">DU50+LJ50</f>
        <v>0</v>
      </c>
      <c r="LL50" s="20" t="n">
        <f aca="false">IF(DT50=1,MAX(0,(Slot11_Cost-LK50*(1+Slot11_Rate)^(Slot11_Age-D50))/LH50),0)</f>
        <v>0</v>
      </c>
      <c r="LM50" s="20" t="n">
        <f aca="false">IF(DT50=1,MAX(0,(Slot11_Cost-DU50*(1+Slot11_Rate)^(Slot11_Age-D50))/LH50),0)</f>
        <v>0</v>
      </c>
      <c r="LN50" s="20" t="n">
        <f aca="false">IF(AND(HU50=1,DT50=1),MIN(LG50,LL50),0)</f>
        <v>0</v>
      </c>
      <c r="LO50" s="20" t="n">
        <f aca="false">LG50-LN50</f>
        <v>0</v>
      </c>
      <c r="LP50" s="20" t="n">
        <f aca="false">IF(ED50=1,IF(ABS((1+AS_Wage)/(1+Slot12_Rate)-1)&lt;0.000000000001,(Slot12_Age-D50)*(1+Slot12_Rate)^(Slot12_Age-D50),(1+Slot12_Rate)^(Slot12_Age-D50)*(1-((1+AS_Wage)/(1+Slot12_Rate))^(Slot12_Age-D50))/(1-(1+AS_Wage)/(1+Slot12_Rate))),1)</f>
        <v>1</v>
      </c>
      <c r="LQ50" s="20" t="n">
        <f aca="false">IF(AND(HU50=1,IE50&gt;0,Slot12_IsWG=1,ED50=1),MAX(0,(Slot12_Cost-EE50*(1+Slot12_Rate)^(Slot12_Age-D50))/LP50),0)</f>
        <v>0</v>
      </c>
      <c r="LR50" s="20" t="n">
        <f aca="false">IF(AND(HU50=1,IE50&gt;0,Slot12_IsWG=1,ED50=1),MIN(IE50,LQ50),0)</f>
        <v>0</v>
      </c>
      <c r="LS50" s="20" t="n">
        <f aca="false">EE50+LR50</f>
        <v>0</v>
      </c>
      <c r="LT50" s="20" t="n">
        <f aca="false">IF(ED50=1,MAX(0,(Slot12_Cost-LS50*(1+Slot12_Rate)^(Slot12_Age-D50))/LP50),0)</f>
        <v>0</v>
      </c>
      <c r="LU50" s="20" t="n">
        <f aca="false">IF(ED50=1,MAX(0,(Slot12_Cost-EE50*(1+Slot12_Rate)^(Slot12_Age-D50))/LP50),0)</f>
        <v>0</v>
      </c>
      <c r="LV50" s="20" t="n">
        <f aca="false">IF(AND(HU50=1,ED50=1),MIN(LO50,LT50),0)</f>
        <v>0</v>
      </c>
      <c r="LW50" s="20" t="n">
        <f aca="false">LO50-LV50</f>
        <v>0</v>
      </c>
      <c r="LX50" s="20" t="n">
        <f aca="false">IF(EN50=1,IF(ABS((1+AS_Wage)/(1+Slot13_Rate)-1)&lt;0.000000000001,(Slot13_Age-D50)*(1+Slot13_Rate)^(Slot13_Age-D50),(1+Slot13_Rate)^(Slot13_Age-D50)*(1-((1+AS_Wage)/(1+Slot13_Rate))^(Slot13_Age-D50))/(1-(1+AS_Wage)/(1+Slot13_Rate))),1)</f>
        <v>1</v>
      </c>
      <c r="LY50" s="20" t="n">
        <f aca="false">IF(AND(HU50=1,IE50&gt;0,Slot13_IsWG=1,EN50=1),MAX(0,(Slot13_Cost-EO50*(1+Slot13_Rate)^(Slot13_Age-D50))/LX50),0)</f>
        <v>0</v>
      </c>
      <c r="LZ50" s="20" t="n">
        <f aca="false">IF(AND(HU50=1,IE50&gt;0,Slot13_IsWG=1,EN50=1),MIN(IE50,LY50),0)</f>
        <v>0</v>
      </c>
      <c r="MA50" s="20" t="n">
        <f aca="false">EO50+LZ50</f>
        <v>0</v>
      </c>
      <c r="MB50" s="20" t="n">
        <f aca="false">IF(EN50=1,MAX(0,(Slot13_Cost-MA50*(1+Slot13_Rate)^(Slot13_Age-D50))/LX50),0)</f>
        <v>0</v>
      </c>
      <c r="MC50" s="20" t="n">
        <f aca="false">IF(EN50=1,MAX(0,(Slot13_Cost-EO50*(1+Slot13_Rate)^(Slot13_Age-D50))/LX50),0)</f>
        <v>0</v>
      </c>
      <c r="MD50" s="20" t="n">
        <f aca="false">IF(AND(HU50=1,EN50=1),MIN(LW50,MB50),0)</f>
        <v>0</v>
      </c>
      <c r="ME50" s="20" t="n">
        <f aca="false">LW50-MD50</f>
        <v>0</v>
      </c>
      <c r="MF50" s="20" t="n">
        <f aca="false">IF(EX50=1,IF(ABS((1+AS_Wage)/(1+Slot14_Rate)-1)&lt;0.000000000001,(Slot14_Age-D50)*(1+Slot14_Rate)^(Slot14_Age-D50),(1+Slot14_Rate)^(Slot14_Age-D50)*(1-((1+AS_Wage)/(1+Slot14_Rate))^(Slot14_Age-D50))/(1-(1+AS_Wage)/(1+Slot14_Rate))),1)</f>
        <v>1</v>
      </c>
      <c r="MG50" s="20" t="n">
        <f aca="false">IF(AND(HU50=1,IE50&gt;0,Slot14_IsWG=1,EX50=1),MAX(0,(Slot14_Cost-EY50*(1+Slot14_Rate)^(Slot14_Age-D50))/MF50),0)</f>
        <v>0</v>
      </c>
      <c r="MH50" s="20" t="n">
        <f aca="false">IF(AND(HU50=1,IE50&gt;0,Slot14_IsWG=1,EX50=1),MIN(IE50,MG50),0)</f>
        <v>0</v>
      </c>
      <c r="MI50" s="20" t="n">
        <f aca="false">EY50+MH50</f>
        <v>0</v>
      </c>
      <c r="MJ50" s="20" t="n">
        <f aca="false">IF(EX50=1,MAX(0,(Slot14_Cost-MI50*(1+Slot14_Rate)^(Slot14_Age-D50))/MF50),0)</f>
        <v>0</v>
      </c>
      <c r="MK50" s="20" t="n">
        <f aca="false">IF(EX50=1,MAX(0,(Slot14_Cost-EY50*(1+Slot14_Rate)^(Slot14_Age-D50))/MF50),0)</f>
        <v>0</v>
      </c>
      <c r="ML50" s="20" t="n">
        <f aca="false">IF(AND(HU50=1,EX50=1),MIN(ME50,MJ50),0)</f>
        <v>0</v>
      </c>
      <c r="MM50" s="20" t="n">
        <f aca="false">ME50-ML50</f>
        <v>0</v>
      </c>
      <c r="MN50" s="20" t="n">
        <f aca="false">IF(FH50=1,IF(ABS((1+AS_Wage)/(1+Slot15_Rate)-1)&lt;0.000000000001,(Slot15_Age-D50)*(1+Slot15_Rate)^(Slot15_Age-D50),(1+Slot15_Rate)^(Slot15_Age-D50)*(1-((1+AS_Wage)/(1+Slot15_Rate))^(Slot15_Age-D50))/(1-(1+AS_Wage)/(1+Slot15_Rate))),1)</f>
        <v>1</v>
      </c>
      <c r="MO50" s="20" t="n">
        <f aca="false">IF(AND(HU50=1,IE50&gt;0,Slot15_IsWG=1,FH50=1),MAX(0,(Slot15_Cost-FI50*(1+Slot15_Rate)^(Slot15_Age-D50))/MN50),0)</f>
        <v>0</v>
      </c>
      <c r="MP50" s="20" t="n">
        <f aca="false">IF(AND(HU50=1,IE50&gt;0,Slot15_IsWG=1,FH50=1),MIN(IE50,MO50),0)</f>
        <v>0</v>
      </c>
      <c r="MQ50" s="20" t="n">
        <f aca="false">FI50+MP50</f>
        <v>0</v>
      </c>
      <c r="MR50" s="20" t="n">
        <f aca="false">IF(FH50=1,MAX(0,(Slot15_Cost-MQ50*(1+Slot15_Rate)^(Slot15_Age-D50))/MN50),0)</f>
        <v>0</v>
      </c>
      <c r="MS50" s="20" t="n">
        <f aca="false">IF(FH50=1,MAX(0,(Slot15_Cost-FI50*(1+Slot15_Rate)^(Slot15_Age-D50))/MN50),0)</f>
        <v>0</v>
      </c>
      <c r="MT50" s="20" t="n">
        <f aca="false">IF(AND(HU50=1,FH50=1),MIN(MM50,MR50),0)</f>
        <v>0</v>
      </c>
      <c r="MU50" s="20" t="n">
        <f aca="false">MM50-MT50</f>
        <v>0</v>
      </c>
      <c r="MV50" s="20" t="n">
        <f aca="false">IF(FR50=1,IF(ABS((1+AS_Wage)/(1+Slot16_Rate)-1)&lt;0.000000000001,(Slot16_Age-D50)*(1+Slot16_Rate)^(Slot16_Age-D50),(1+Slot16_Rate)^(Slot16_Age-D50)*(1-((1+AS_Wage)/(1+Slot16_Rate))^(Slot16_Age-D50))/(1-(1+AS_Wage)/(1+Slot16_Rate))),1)</f>
        <v>1</v>
      </c>
      <c r="MW50" s="20" t="n">
        <f aca="false">IF(AND(HU50=1,IE50&gt;0,Slot16_IsWG=1,FR50=1),MAX(0,(Slot16_Cost-FS50*(1+Slot16_Rate)^(Slot16_Age-D50))/MV50),0)</f>
        <v>0</v>
      </c>
      <c r="MX50" s="20" t="n">
        <f aca="false">IF(AND(HU50=1,IE50&gt;0,Slot16_IsWG=1,FR50=1),MIN(IE50,MW50),0)</f>
        <v>0</v>
      </c>
      <c r="MY50" s="20" t="n">
        <f aca="false">FS50+MX50</f>
        <v>0</v>
      </c>
      <c r="MZ50" s="20" t="n">
        <f aca="false">IF(FR50=1,MAX(0,(Slot16_Cost-MY50*(1+Slot16_Rate)^(Slot16_Age-D50))/MV50),0)</f>
        <v>0</v>
      </c>
      <c r="NA50" s="20" t="n">
        <f aca="false">IF(FR50=1,MAX(0,(Slot16_Cost-FS50*(1+Slot16_Rate)^(Slot16_Age-D50))/MV50),0)</f>
        <v>0</v>
      </c>
      <c r="NB50" s="20" t="n">
        <f aca="false">IF(AND(HU50=1,FR50=1),MIN(MU50,MZ50),0)</f>
        <v>0</v>
      </c>
      <c r="NC50" s="20" t="n">
        <f aca="false">MU50-NB50</f>
        <v>0</v>
      </c>
      <c r="ND50" s="20" t="n">
        <f aca="false">IF(GB50=1,IF(ABS((1+AS_Wage)/(1+Slot17_Rate)-1)&lt;0.000000000001,(Slot17_Age-D50)*(1+Slot17_Rate)^(Slot17_Age-D50),(1+Slot17_Rate)^(Slot17_Age-D50)*(1-((1+AS_Wage)/(1+Slot17_Rate))^(Slot17_Age-D50))/(1-(1+AS_Wage)/(1+Slot17_Rate))),1)</f>
        <v>1</v>
      </c>
      <c r="NE50" s="20" t="n">
        <f aca="false">IF(AND(HU50=1,IE50&gt;0,Slot17_IsWG=1,GB50=1),MAX(0,(Slot17_Cost-GC50*(1+Slot17_Rate)^(Slot17_Age-D50))/ND50),0)</f>
        <v>0</v>
      </c>
      <c r="NF50" s="20" t="n">
        <f aca="false">IF(AND(HU50=1,IE50&gt;0,Slot17_IsWG=1,GB50=1),MIN(IE50,NE50),0)</f>
        <v>0</v>
      </c>
      <c r="NG50" s="20" t="n">
        <f aca="false">GC50+NF50</f>
        <v>0</v>
      </c>
      <c r="NH50" s="20" t="n">
        <f aca="false">IF(GB50=1,MAX(0,(Slot17_Cost-NG50*(1+Slot17_Rate)^(Slot17_Age-D50))/ND50),0)</f>
        <v>0</v>
      </c>
      <c r="NI50" s="20" t="n">
        <f aca="false">IF(GB50=1,MAX(0,(Slot17_Cost-GC50*(1+Slot17_Rate)^(Slot17_Age-D50))/ND50),0)</f>
        <v>0</v>
      </c>
      <c r="NJ50" s="20" t="n">
        <f aca="false">IF(AND(HU50=1,GB50=1),MIN(NC50,NH50),0)</f>
        <v>0</v>
      </c>
      <c r="NK50" s="20" t="n">
        <f aca="false">NC50-NJ50</f>
        <v>0</v>
      </c>
      <c r="NL50" s="20" t="n">
        <f aca="false">IF(GL50=1,IF(ABS((1+AS_Wage)/(1+Slot18_Rate)-1)&lt;0.000000000001,(Slot18_Age-D50)*(1+Slot18_Rate)^(Slot18_Age-D50),(1+Slot18_Rate)^(Slot18_Age-D50)*(1-((1+AS_Wage)/(1+Slot18_Rate))^(Slot18_Age-D50))/(1-(1+AS_Wage)/(1+Slot18_Rate))),1)</f>
        <v>1</v>
      </c>
      <c r="NM50" s="20" t="n">
        <f aca="false">IF(AND(HU50=1,IE50&gt;0,Slot18_IsWG=1,GL50=1),MAX(0,(Slot18_Cost-GM50*(1+Slot18_Rate)^(Slot18_Age-D50))/NL50),0)</f>
        <v>0</v>
      </c>
      <c r="NN50" s="20" t="n">
        <f aca="false">IF(AND(HU50=1,IE50&gt;0,Slot18_IsWG=1,GL50=1),MIN(IE50,NM50),0)</f>
        <v>0</v>
      </c>
      <c r="NO50" s="20" t="n">
        <f aca="false">GM50+NN50</f>
        <v>0</v>
      </c>
      <c r="NP50" s="20" t="n">
        <f aca="false">IF(GL50=1,MAX(0,(Slot18_Cost-NO50*(1+Slot18_Rate)^(Slot18_Age-D50))/NL50),0)</f>
        <v>0</v>
      </c>
      <c r="NQ50" s="20" t="n">
        <f aca="false">IF(GL50=1,MAX(0,(Slot18_Cost-GM50*(1+Slot18_Rate)^(Slot18_Age-D50))/NL50),0)</f>
        <v>0</v>
      </c>
      <c r="NR50" s="20" t="n">
        <f aca="false">IF(AND(HU50=1,GL50=1),MIN(NK50,NP50),0)</f>
        <v>0</v>
      </c>
      <c r="NS50" s="20" t="n">
        <f aca="false">NK50-NR50</f>
        <v>0</v>
      </c>
      <c r="NT50" s="20" t="n">
        <f aca="false">IF(GV50=1,IF(ABS((1+AS_Wage)/(1+Slot19_Rate)-1)&lt;0.000000000001,(Slot19_Age-D50)*(1+Slot19_Rate)^(Slot19_Age-D50),(1+Slot19_Rate)^(Slot19_Age-D50)*(1-((1+AS_Wage)/(1+Slot19_Rate))^(Slot19_Age-D50))/(1-(1+AS_Wage)/(1+Slot19_Rate))),1)</f>
        <v>1</v>
      </c>
      <c r="NU50" s="20" t="n">
        <f aca="false">IF(AND(HU50=1,IE50&gt;0,Slot19_IsWG=1,GV50=1),MAX(0,(Slot19_Cost-GW50*(1+Slot19_Rate)^(Slot19_Age-D50))/NT50),0)</f>
        <v>0</v>
      </c>
      <c r="NV50" s="20" t="n">
        <f aca="false">IF(AND(HU50=1,IE50&gt;0,Slot19_IsWG=1,GV50=1),MIN(IE50,NU50),0)</f>
        <v>0</v>
      </c>
      <c r="NW50" s="20" t="n">
        <f aca="false">GW50+NV50</f>
        <v>0</v>
      </c>
      <c r="NX50" s="20" t="n">
        <f aca="false">IF(GV50=1,MAX(0,(Slot19_Cost-NW50*(1+Slot19_Rate)^(Slot19_Age-D50))/NT50),0)</f>
        <v>0</v>
      </c>
      <c r="NY50" s="20" t="n">
        <f aca="false">IF(GV50=1,MAX(0,(Slot19_Cost-GW50*(1+Slot19_Rate)^(Slot19_Age-D50))/NT50),0)</f>
        <v>0</v>
      </c>
      <c r="NZ50" s="20" t="n">
        <f aca="false">IF(AND(HU50=1,GV50=1),MIN(NS50,NX50),0)</f>
        <v>0</v>
      </c>
      <c r="OA50" s="20" t="n">
        <f aca="false">NS50-NZ50</f>
        <v>0</v>
      </c>
      <c r="OB50" s="20" t="n">
        <f aca="false">IF(HF50=1,IF(ABS((1+AS_Wage)/(1+Slot20_Rate)-1)&lt;0.000000000001,(Slot20_Age-D50)*(1+Slot20_Rate)^(Slot20_Age-D50),(1+Slot20_Rate)^(Slot20_Age-D50)*(1-((1+AS_Wage)/(1+Slot20_Rate))^(Slot20_Age-D50))/(1-(1+AS_Wage)/(1+Slot20_Rate))),1)</f>
        <v>1</v>
      </c>
      <c r="OC50" s="20" t="n">
        <f aca="false">IF(AND(HU50=1,IE50&gt;0,Slot20_IsWG=1,HF50=1),MAX(0,(Slot20_Cost-HG50*(1+Slot20_Rate)^(Slot20_Age-D50))/OB50),0)</f>
        <v>0</v>
      </c>
      <c r="OD50" s="20" t="n">
        <f aca="false">IF(AND(HU50=1,IE50&gt;0,Slot20_IsWG=1,HF50=1),MIN(IE50,OC50),0)</f>
        <v>0</v>
      </c>
      <c r="OE50" s="20" t="n">
        <f aca="false">HG50+OD50</f>
        <v>0</v>
      </c>
      <c r="OF50" s="20" t="n">
        <f aca="false">IF(HF50=1,MAX(0,(Slot20_Cost-OE50*(1+Slot20_Rate)^(Slot20_Age-D50))/OB50),0)</f>
        <v>0</v>
      </c>
      <c r="OG50" s="20" t="n">
        <f aca="false">IF(HF50=1,MAX(0,(Slot20_Cost-HG50*(1+Slot20_Rate)^(Slot20_Age-D50))/OB50),0)</f>
        <v>0</v>
      </c>
      <c r="OH50" s="20" t="n">
        <f aca="false">IF(AND(HU50=1,HF50=1),MIN(OA50,OF50),0)</f>
        <v>0</v>
      </c>
      <c r="OI50" s="20" t="n">
        <f aca="false">OA50-OH50</f>
        <v>0</v>
      </c>
      <c r="OJ50" s="20" t="n">
        <f aca="false">IE50-(IH50+IP50+IX50+JF50+JN50+JV50+KD50+KL50+KT50+LB50+LJ50+LR50+LZ50+MH50+MP50+MX50+NF50+NN50+NV50+OD50)</f>
        <v>0</v>
      </c>
      <c r="OK50" s="20" t="n">
        <f aca="false">IF(HU50=1,HS50-ID50-IE50,0)</f>
        <v>0</v>
      </c>
      <c r="OL50" s="20" t="n">
        <f aca="false">IF(HU50=0,-HS50,0)</f>
        <v>24996.0394120107</v>
      </c>
      <c r="OM50" s="20" t="n">
        <f aca="false">MIN(OL50,HK50)</f>
        <v>0</v>
      </c>
      <c r="ON50" s="20" t="n">
        <f aca="false">OL50-OM50</f>
        <v>24996.0394120107</v>
      </c>
      <c r="OO50" s="20" t="n">
        <f aca="false">MIN(ON50,HL50)</f>
        <v>0</v>
      </c>
      <c r="OP50" s="20" t="n">
        <f aca="false">ON50-OO50</f>
        <v>24996.0394120107</v>
      </c>
      <c r="OQ50" s="20" t="n">
        <f aca="false">IF(AND(HU50=0,HF50=1,OP50&gt;0),MIN(OP50,HG50),0)</f>
        <v>0</v>
      </c>
      <c r="OR50" s="20" t="n">
        <f aca="false">OP50-OQ50</f>
        <v>24996.0394120107</v>
      </c>
      <c r="OS50" s="20" t="n">
        <f aca="false">IF(AND(HU50=0,GV50=1,OR50&gt;0),MIN(OR50,GW50),0)</f>
        <v>0</v>
      </c>
      <c r="OT50" s="20" t="n">
        <f aca="false">OR50-OS50</f>
        <v>24996.0394120107</v>
      </c>
      <c r="OU50" s="20" t="n">
        <f aca="false">IF(AND(HU50=0,GL50=1,OT50&gt;0),MIN(OT50,GM50),0)</f>
        <v>0</v>
      </c>
      <c r="OV50" s="20" t="n">
        <f aca="false">OT50-OU50</f>
        <v>24996.0394120107</v>
      </c>
      <c r="OW50" s="20" t="n">
        <f aca="false">IF(AND(HU50=0,GB50=1,OV50&gt;0),MIN(OV50,GC50),0)</f>
        <v>0</v>
      </c>
      <c r="OX50" s="20" t="n">
        <f aca="false">OV50-OW50</f>
        <v>24996.0394120107</v>
      </c>
      <c r="OY50" s="20" t="n">
        <f aca="false">IF(AND(HU50=0,FR50=1,OX50&gt;0),MIN(OX50,FS50),0)</f>
        <v>0</v>
      </c>
      <c r="OZ50" s="20" t="n">
        <f aca="false">OX50-OY50</f>
        <v>24996.0394120107</v>
      </c>
      <c r="PA50" s="20" t="n">
        <f aca="false">IF(AND(HU50=0,FH50=1,OZ50&gt;0),MIN(OZ50,FI50),0)</f>
        <v>0</v>
      </c>
      <c r="PB50" s="20" t="n">
        <f aca="false">OZ50-PA50</f>
        <v>24996.0394120107</v>
      </c>
      <c r="PC50" s="20" t="n">
        <f aca="false">IF(AND(HU50=0,EX50=1,PB50&gt;0),MIN(PB50,EY50),0)</f>
        <v>0</v>
      </c>
      <c r="PD50" s="20" t="n">
        <f aca="false">PB50-PC50</f>
        <v>24996.0394120107</v>
      </c>
      <c r="PE50" s="20" t="n">
        <f aca="false">IF(AND(HU50=0,EN50=1,PD50&gt;0),MIN(PD50,EO50),0)</f>
        <v>0</v>
      </c>
      <c r="PF50" s="20" t="n">
        <f aca="false">PD50-PE50</f>
        <v>24996.0394120107</v>
      </c>
      <c r="PG50" s="20" t="n">
        <f aca="false">IF(AND(HU50=0,ED50=1,PF50&gt;0),MIN(PF50,EE50),0)</f>
        <v>0</v>
      </c>
      <c r="PH50" s="20" t="n">
        <f aca="false">PF50-PG50</f>
        <v>24996.0394120107</v>
      </c>
      <c r="PI50" s="20" t="n">
        <f aca="false">IF(AND(HU50=0,DT50=1,PH50&gt;0),MIN(PH50,DU50),0)</f>
        <v>0</v>
      </c>
      <c r="PJ50" s="20" t="n">
        <f aca="false">PH50-PI50</f>
        <v>24996.0394120107</v>
      </c>
      <c r="PK50" s="20" t="n">
        <f aca="false">IF(AND(HU50=0,DJ50=1,PJ50&gt;0),MIN(PJ50,DK50),0)</f>
        <v>0</v>
      </c>
      <c r="PL50" s="20" t="n">
        <f aca="false">PJ50-PK50</f>
        <v>24996.0394120107</v>
      </c>
      <c r="PM50" s="20" t="n">
        <f aca="false">IF(AND(HU50=0,CZ50=1,PL50&gt;0),MIN(PL50,DA50),0)</f>
        <v>0</v>
      </c>
      <c r="PN50" s="20" t="n">
        <f aca="false">PL50-PM50</f>
        <v>24996.0394120107</v>
      </c>
      <c r="PO50" s="20" t="n">
        <f aca="false">IF(AND(HU50=0,CP50=1,PN50&gt;0),MIN(PN50,CQ50),0)</f>
        <v>0</v>
      </c>
      <c r="PP50" s="20" t="n">
        <f aca="false">PN50-PO50</f>
        <v>24996.0394120107</v>
      </c>
      <c r="PQ50" s="20" t="n">
        <f aca="false">IF(AND(HU50=0,CF50=1,PP50&gt;0),MIN(PP50,CG50),0)</f>
        <v>0</v>
      </c>
      <c r="PR50" s="20" t="n">
        <f aca="false">PP50-PQ50</f>
        <v>24996.0394120107</v>
      </c>
      <c r="PS50" s="20" t="n">
        <f aca="false">IF(AND(HU50=0,BV50=1,PR50&gt;0),MIN(PR50,BW50),0)</f>
        <v>0</v>
      </c>
      <c r="PT50" s="20" t="n">
        <f aca="false">PR50-PS50</f>
        <v>24996.0394120107</v>
      </c>
      <c r="PU50" s="20" t="n">
        <f aca="false">IF(AND(HU50=0,BL50=1,PT50&gt;0),MIN(PT50,BM50),0)</f>
        <v>0</v>
      </c>
      <c r="PV50" s="20" t="n">
        <f aca="false">PT50-PU50</f>
        <v>24996.0394120107</v>
      </c>
      <c r="PW50" s="20" t="n">
        <f aca="false">IF(AND(HU50=0,BB50=1,PV50&gt;0),MIN(PV50,BC50),0)</f>
        <v>0</v>
      </c>
      <c r="PX50" s="20" t="n">
        <f aca="false">PV50-PW50</f>
        <v>24996.0394120107</v>
      </c>
      <c r="PY50" s="20" t="n">
        <f aca="false">IF(AND(HU50=0,AR50=1,PX50&gt;0),MIN(PX50,AS50),0)</f>
        <v>0</v>
      </c>
      <c r="PZ50" s="20" t="n">
        <f aca="false">PX50-PY50</f>
        <v>24996.0394120107</v>
      </c>
      <c r="QA50" s="20" t="n">
        <f aca="false">IF(AND(HU50=0,AH50=1,PZ50&gt;0),MIN(PZ50,AI50),0)</f>
        <v>0</v>
      </c>
      <c r="QB50" s="20" t="n">
        <f aca="false">PZ50-QA50</f>
        <v>24996.0394120107</v>
      </c>
      <c r="QC50" s="20" t="n">
        <f aca="false">IF(AND(HU50=0,W50=1,QB50&gt;0),MIN(QB50,X50),0)</f>
        <v>0</v>
      </c>
      <c r="QD50" s="20" t="n">
        <f aca="false">QB50-QC50</f>
        <v>24996.0394120107</v>
      </c>
      <c r="QE50" s="20" t="n">
        <f aca="false">IF(HU50=0,QD50,0)</f>
        <v>24996.0394120107</v>
      </c>
      <c r="QF50" s="20" t="n">
        <f aca="false">OM50+OO50+QC50+QA50+PY50+PW50+PU50+PS50+PQ50+PO50+PM50+PK50+PI50+PG50+PE50+PC50+PA50+OY50+OW50+OU50+OS50+OQ50</f>
        <v>0</v>
      </c>
      <c r="QG50" s="20" t="n">
        <f aca="false">IF(HU50=1,HK50+OJ50+OI50+IF(G50=1,0,OK50),HK50-OM50)</f>
        <v>0</v>
      </c>
      <c r="QH50" s="20" t="n">
        <f aca="false">HL50-OO50</f>
        <v>0</v>
      </c>
      <c r="QI50" s="20" t="n">
        <f aca="false">IF(HU50=1,IF(G50=1,ID50+IE50,HS50),0)</f>
        <v>0</v>
      </c>
      <c r="QJ50" s="20" t="n">
        <f aca="false">IF(HU50=1,IF(G50=1,HS50-ID50-IE50,0),0)</f>
        <v>0</v>
      </c>
      <c r="QK50" s="20" t="n">
        <f aca="false">QG50*(1+GR)</f>
        <v>0</v>
      </c>
      <c r="QL50" s="20" t="n">
        <f aca="false">QH50*(1+AS_Cash)</f>
        <v>0</v>
      </c>
      <c r="QM50" s="20" t="n">
        <f aca="false">IF(W50=1,IF(HU50=1,II50+IL50,X50-QC50)*(1+Slot1_Rate),0)</f>
        <v>0</v>
      </c>
      <c r="QN50" s="20" t="n">
        <f aca="false">IF(AND(HU50=1,W50=1),(IH50+IL50)/F50,0)</f>
        <v>0</v>
      </c>
      <c r="QO50" s="20" t="n">
        <f aca="false">IF(B50=0,IH50+IL50,0)</f>
        <v>0</v>
      </c>
      <c r="QP50" s="20" t="n">
        <f aca="false">IF(B50=0,IF(HU50=1,IJ50,IK50),0)</f>
        <v>0</v>
      </c>
      <c r="QQ50" s="20" t="n">
        <f aca="false">IF(AH50=1,IF(HU50=1,IQ50+IT50,AI50-QA50)*(1+Slot2_Rate),0)</f>
        <v>0</v>
      </c>
      <c r="QR50" s="20" t="n">
        <f aca="false">IF(AND(HU50=1,AH50=1),(IP50+IT50)/F50,0)</f>
        <v>0</v>
      </c>
      <c r="QS50" s="20" t="n">
        <f aca="false">IF(B50=0,IP50+IT50,0)</f>
        <v>0</v>
      </c>
      <c r="QT50" s="20" t="n">
        <f aca="false">IF(B50=0,IF(HU50=1,IR50,IS50),0)</f>
        <v>0</v>
      </c>
      <c r="QU50" s="20" t="n">
        <f aca="false">IF(AR50=1,IF(HU50=1,IY50+JB50,AS50-PY50)*(1+Slot3_Rate),0)</f>
        <v>0</v>
      </c>
      <c r="QV50" s="20" t="n">
        <f aca="false">IF(AND(HU50=1,AR50=1),(IX50+JB50)/F50,0)</f>
        <v>0</v>
      </c>
      <c r="QW50" s="20" t="n">
        <f aca="false">IF(B50=0,IX50+JB50,0)</f>
        <v>0</v>
      </c>
      <c r="QX50" s="20" t="n">
        <f aca="false">IF(B50=0,IF(HU50=1,IZ50,JA50),0)</f>
        <v>0</v>
      </c>
      <c r="QY50" s="20" t="n">
        <f aca="false">IF(BB50=1,IF(HU50=1,JG50+JJ50,BC50-PW50)*(1+Slot4_Rate),0)</f>
        <v>0</v>
      </c>
      <c r="QZ50" s="20" t="n">
        <f aca="false">IF(AND(HU50=1,BB50=1),(JF50+JJ50)/F50,0)</f>
        <v>0</v>
      </c>
      <c r="RA50" s="20" t="n">
        <f aca="false">IF(B50=0,JF50+JJ50,0)</f>
        <v>0</v>
      </c>
      <c r="RB50" s="20" t="n">
        <f aca="false">IF(B50=0,IF(HU50=1,JH50,JI50),0)</f>
        <v>0</v>
      </c>
      <c r="RC50" s="20" t="n">
        <f aca="false">IF(BL50=1,IF(HU50=1,JO50+JR50,BM50-PU50)*(1+Slot5_Rate),0)</f>
        <v>0</v>
      </c>
      <c r="RD50" s="20" t="n">
        <f aca="false">IF(AND(HU50=1,BL50=1),(JN50+JR50)/F50,0)</f>
        <v>0</v>
      </c>
      <c r="RE50" s="20" t="n">
        <f aca="false">IF(B50=0,JN50+JR50,0)</f>
        <v>0</v>
      </c>
      <c r="RF50" s="20" t="n">
        <f aca="false">IF(B50=0,IF(HU50=1,JP50,JQ50),0)</f>
        <v>0</v>
      </c>
      <c r="RG50" s="20" t="n">
        <f aca="false">IF(BV50=1,IF(HU50=1,JW50+JZ50,BW50-PS50)*(1+Slot6_Rate),0)</f>
        <v>0</v>
      </c>
      <c r="RH50" s="20" t="n">
        <f aca="false">IF(AND(HU50=1,BV50=1),(JV50+JZ50)/F50,0)</f>
        <v>0</v>
      </c>
      <c r="RI50" s="20" t="n">
        <f aca="false">IF(B50=0,JV50+JZ50,0)</f>
        <v>0</v>
      </c>
      <c r="RJ50" s="20" t="n">
        <f aca="false">IF(B50=0,IF(HU50=1,JX50,JY50),0)</f>
        <v>0</v>
      </c>
      <c r="RK50" s="20" t="n">
        <f aca="false">IF(CF50=1,IF(HU50=1,KE50+KH50,CG50-PQ50)*(1+Slot7_Rate),0)</f>
        <v>0</v>
      </c>
      <c r="RL50" s="20" t="n">
        <f aca="false">IF(AND(HU50=1,CF50=1),(KD50+KH50)/F50,0)</f>
        <v>0</v>
      </c>
      <c r="RM50" s="20" t="n">
        <f aca="false">IF(B50=0,KD50+KH50,0)</f>
        <v>0</v>
      </c>
      <c r="RN50" s="20" t="n">
        <f aca="false">IF(B50=0,IF(HU50=1,KF50,KG50),0)</f>
        <v>0</v>
      </c>
      <c r="RO50" s="20" t="n">
        <f aca="false">IF(CP50=1,IF(HU50=1,KM50+KP50,CQ50-PO50)*(1+Slot8_Rate),0)</f>
        <v>0</v>
      </c>
      <c r="RP50" s="20" t="n">
        <f aca="false">IF(AND(HU50=1,CP50=1),(KL50+KP50)/F50,0)</f>
        <v>0</v>
      </c>
      <c r="RQ50" s="20" t="n">
        <f aca="false">IF(B50=0,KL50+KP50,0)</f>
        <v>0</v>
      </c>
      <c r="RR50" s="20" t="n">
        <f aca="false">IF(B50=0,IF(HU50=1,KN50,KO50),0)</f>
        <v>0</v>
      </c>
      <c r="RS50" s="20" t="n">
        <f aca="false">IF(CZ50=1,IF(HU50=1,KU50+KX50,DA50-PM50)*(1+Slot9_Rate),0)</f>
        <v>0</v>
      </c>
      <c r="RT50" s="20" t="n">
        <f aca="false">IF(AND(HU50=1,CZ50=1),(KT50+KX50)/F50,0)</f>
        <v>0</v>
      </c>
      <c r="RU50" s="20" t="n">
        <f aca="false">IF(B50=0,KT50+KX50,0)</f>
        <v>0</v>
      </c>
      <c r="RV50" s="20" t="n">
        <f aca="false">IF(B50=0,IF(HU50=1,KV50,KW50),0)</f>
        <v>0</v>
      </c>
      <c r="RW50" s="20" t="n">
        <f aca="false">IF(DJ50=1,IF(HU50=1,LC50+LF50,DK50-PK50)*(1+Slot10_Rate),0)</f>
        <v>0</v>
      </c>
      <c r="RX50" s="20" t="n">
        <f aca="false">IF(AND(HU50=1,DJ50=1),(LB50+LF50)/F50,0)</f>
        <v>0</v>
      </c>
      <c r="RY50" s="20" t="n">
        <f aca="false">IF(B50=0,LB50+LF50,0)</f>
        <v>0</v>
      </c>
      <c r="RZ50" s="20" t="n">
        <f aca="false">IF(B50=0,IF(HU50=1,LD50,LE50),0)</f>
        <v>0</v>
      </c>
      <c r="SA50" s="20" t="n">
        <f aca="false">IF(DT50=1,IF(HU50=1,LK50+LN50,DU50-PI50)*(1+Slot11_Rate),0)</f>
        <v>0</v>
      </c>
      <c r="SB50" s="20" t="n">
        <f aca="false">IF(AND(HU50=1,DT50=1),(LJ50+LN50)/F50,0)</f>
        <v>0</v>
      </c>
      <c r="SC50" s="20" t="n">
        <f aca="false">IF(B50=0,LJ50+LN50,0)</f>
        <v>0</v>
      </c>
      <c r="SD50" s="20" t="n">
        <f aca="false">IF(B50=0,IF(HU50=1,LL50,LM50),0)</f>
        <v>0</v>
      </c>
      <c r="SE50" s="20" t="n">
        <f aca="false">IF(ED50=1,IF(HU50=1,LS50+LV50,EE50-PG50)*(1+Slot12_Rate),0)</f>
        <v>0</v>
      </c>
      <c r="SF50" s="20" t="n">
        <f aca="false">IF(AND(HU50=1,ED50=1),(LR50+LV50)/F50,0)</f>
        <v>0</v>
      </c>
      <c r="SG50" s="20" t="n">
        <f aca="false">IF(B50=0,LR50+LV50,0)</f>
        <v>0</v>
      </c>
      <c r="SH50" s="20" t="n">
        <f aca="false">IF(B50=0,IF(HU50=1,LT50,LU50),0)</f>
        <v>0</v>
      </c>
      <c r="SI50" s="20" t="n">
        <f aca="false">IF(EN50=1,IF(HU50=1,MA50+MD50,EO50-PE50)*(1+Slot13_Rate),0)</f>
        <v>0</v>
      </c>
      <c r="SJ50" s="20" t="n">
        <f aca="false">IF(AND(HU50=1,EN50=1),(LZ50+MD50)/F50,0)</f>
        <v>0</v>
      </c>
      <c r="SK50" s="20" t="n">
        <f aca="false">IF(B50=0,LZ50+MD50,0)</f>
        <v>0</v>
      </c>
      <c r="SL50" s="20" t="n">
        <f aca="false">IF(B50=0,IF(HU50=1,MB50,MC50),0)</f>
        <v>0</v>
      </c>
      <c r="SM50" s="20" t="n">
        <f aca="false">IF(EX50=1,IF(HU50=1,MI50+ML50,EY50-PC50)*(1+Slot14_Rate),0)</f>
        <v>0</v>
      </c>
      <c r="SN50" s="20" t="n">
        <f aca="false">IF(AND(HU50=1,EX50=1),(MH50+ML50)/F50,0)</f>
        <v>0</v>
      </c>
      <c r="SO50" s="20" t="n">
        <f aca="false">IF(B50=0,MH50+ML50,0)</f>
        <v>0</v>
      </c>
      <c r="SP50" s="20" t="n">
        <f aca="false">IF(B50=0,IF(HU50=1,MJ50,MK50),0)</f>
        <v>0</v>
      </c>
      <c r="SQ50" s="20" t="n">
        <f aca="false">IF(FH50=1,IF(HU50=1,MQ50+MT50,FI50-PA50)*(1+Slot15_Rate),0)</f>
        <v>0</v>
      </c>
      <c r="SR50" s="20" t="n">
        <f aca="false">IF(AND(HU50=1,FH50=1),(MP50+MT50)/F50,0)</f>
        <v>0</v>
      </c>
      <c r="SS50" s="20" t="n">
        <f aca="false">IF(B50=0,MP50+MT50,0)</f>
        <v>0</v>
      </c>
      <c r="ST50" s="20" t="n">
        <f aca="false">IF(B50=0,IF(HU50=1,MR50,MS50),0)</f>
        <v>0</v>
      </c>
      <c r="SU50" s="20" t="n">
        <f aca="false">IF(FR50=1,IF(HU50=1,MY50+NB50,FS50-OY50)*(1+Slot16_Rate),0)</f>
        <v>0</v>
      </c>
      <c r="SV50" s="20" t="n">
        <f aca="false">IF(AND(HU50=1,FR50=1),(MX50+NB50)/F50,0)</f>
        <v>0</v>
      </c>
      <c r="SW50" s="20" t="n">
        <f aca="false">IF(B50=0,MX50+NB50,0)</f>
        <v>0</v>
      </c>
      <c r="SX50" s="20" t="n">
        <f aca="false">IF(B50=0,IF(HU50=1,MZ50,NA50),0)</f>
        <v>0</v>
      </c>
      <c r="SY50" s="20" t="n">
        <f aca="false">IF(GB50=1,IF(HU50=1,NG50+NJ50,GC50-OW50)*(1+Slot17_Rate),0)</f>
        <v>0</v>
      </c>
      <c r="SZ50" s="20" t="n">
        <f aca="false">IF(AND(HU50=1,GB50=1),(NF50+NJ50)/F50,0)</f>
        <v>0</v>
      </c>
      <c r="TA50" s="20" t="n">
        <f aca="false">IF(B50=0,NF50+NJ50,0)</f>
        <v>0</v>
      </c>
      <c r="TB50" s="20" t="n">
        <f aca="false">IF(B50=0,IF(HU50=1,NH50,NI50),0)</f>
        <v>0</v>
      </c>
      <c r="TC50" s="20" t="n">
        <f aca="false">IF(GL50=1,IF(HU50=1,NO50+NR50,GM50-OU50)*(1+Slot18_Rate),0)</f>
        <v>0</v>
      </c>
      <c r="TD50" s="20" t="n">
        <f aca="false">IF(AND(HU50=1,GL50=1),(NN50+NR50)/F50,0)</f>
        <v>0</v>
      </c>
      <c r="TE50" s="20" t="n">
        <f aca="false">IF(B50=0,NN50+NR50,0)</f>
        <v>0</v>
      </c>
      <c r="TF50" s="20" t="n">
        <f aca="false">IF(B50=0,IF(HU50=1,NP50,NQ50),0)</f>
        <v>0</v>
      </c>
      <c r="TG50" s="20" t="n">
        <f aca="false">IF(GV50=1,IF(HU50=1,NW50+NZ50,GW50-OS50)*(1+Slot19_Rate),0)</f>
        <v>0</v>
      </c>
      <c r="TH50" s="20" t="n">
        <f aca="false">IF(AND(HU50=1,GV50=1),(NV50+NZ50)/F50,0)</f>
        <v>0</v>
      </c>
      <c r="TI50" s="20" t="n">
        <f aca="false">IF(B50=0,NV50+NZ50,0)</f>
        <v>0</v>
      </c>
      <c r="TJ50" s="20" t="n">
        <f aca="false">IF(B50=0,IF(HU50=1,NX50,NY50),0)</f>
        <v>0</v>
      </c>
      <c r="TK50" s="20" t="n">
        <f aca="false">IF(HF50=1,IF(HU50=1,OE50+OH50,HG50-OQ50)*(1+Slot20_Rate),0)</f>
        <v>0</v>
      </c>
      <c r="TL50" s="20" t="n">
        <f aca="false">IF(AND(HU50=1,HF50=1),(OD50+OH50)/F50,0)</f>
        <v>0</v>
      </c>
      <c r="TM50" s="20" t="n">
        <f aca="false">IF(B50=0,OD50+OH50,0)</f>
        <v>0</v>
      </c>
      <c r="TN50" s="20" t="n">
        <f aca="false">IF(B50=0,IF(HU50=1,OF50,OG50),0)</f>
        <v>0</v>
      </c>
      <c r="TO50" s="20" t="n">
        <f aca="false">QK50+QL50+QM50+QQ50+QU50+QY50+RC50+RG50+RK50+RO50+RS50+RW50+SA50+SE50+SI50+SM50+SQ50+SU50+SY50+TC50+TG50+TK50</f>
        <v>0</v>
      </c>
      <c r="TP50" s="20" t="n">
        <f aca="false">QE50+HP50</f>
        <v>24996.0394120107</v>
      </c>
      <c r="TQ50" s="20" t="n">
        <f aca="false">I50+S50</f>
        <v>109808.28547599</v>
      </c>
      <c r="TR50" s="20" t="n">
        <f aca="false">1-G50</f>
        <v>1</v>
      </c>
      <c r="TS50" s="20" t="n">
        <f aca="false">IF(AND(RG_Exists=1,G50=0,C50=1),I50,0)</f>
        <v>109808.28547599</v>
      </c>
      <c r="TT50" s="20" t="n">
        <f aca="false">IF(AND(RG_Exists=1,G50=0,C50=1),I50-MIN(QE50,I50),0)</f>
        <v>84812.2460639792</v>
      </c>
      <c r="TU50" s="20" t="n">
        <f aca="false">'Plan pay &amp; tax'!AD276</f>
        <v>326844.170063328</v>
      </c>
      <c r="TV50" s="20" t="n">
        <f aca="false">IF(AND(C50=1,QE50&gt;MAX(PR_Short1,TQ50*PR_Short2)),1,0)</f>
        <v>1</v>
      </c>
      <c r="TW50" s="20" t="n">
        <f aca="false">MIN(H50,I50+S50)</f>
        <v>84812.2460639792</v>
      </c>
      <c r="TX50" s="20" t="n">
        <f aca="false">QF50+MAX(0,HQ50-HP50)</f>
        <v>0</v>
      </c>
      <c r="TY50" s="20" t="n">
        <f aca="false">QE50+HP50</f>
        <v>24996.0394120107</v>
      </c>
      <c r="TZ50" s="20" t="n">
        <f aca="false">IF(AND(C50=1,TY50&gt;PR_MinShort),1,0)</f>
        <v>1</v>
      </c>
      <c r="UA50" s="20" t="n">
        <f aca="false">IF(AND(C50=1,TZ50=0,TX50&gt;PR_MinShort),1,0)</f>
        <v>0</v>
      </c>
      <c r="UB50" s="20" t="n">
        <f aca="false">IF(AND(C50=1,QE50&gt;PR_MinShort),1,0)</f>
        <v>1</v>
      </c>
      <c r="UC50" s="20" t="n">
        <f aca="false">IF(AND(C50=1,QF50&gt;1,UJ50=0),1,0)</f>
        <v>0</v>
      </c>
      <c r="UD50" s="20" t="str">
        <f aca="false">IF(C50=0,"",IF(UJ50=1,"Gap to plan for: short "&amp;"€"&amp;TEXT(ROUND(TP50,0),"#,##0"),IF(QF50&gt;1,"Using savings","Comfortable")))</f>
        <v>Gap to plan for: short €24,996</v>
      </c>
      <c r="UE50" s="20" t="n">
        <f aca="false">IF(AND(INT(D50/10)*10=90,B50&gt;0),80,INT(D50/10)*10)</f>
        <v>80</v>
      </c>
      <c r="UF50" s="20" t="n">
        <f aca="false">IF(B50=0,1,IF(UE50&lt;&gt;UE49,UF49+1,UF49))</f>
        <v>6</v>
      </c>
      <c r="UG50" s="20" t="n">
        <f aca="false">IF(AND(C50=1,G50=1,QE50&gt;MAX(PR_Short1,TQ50*PR_Short2)),1,0)</f>
        <v>0</v>
      </c>
      <c r="UH50" s="20" t="n">
        <f aca="false">TR50*TV50</f>
        <v>1</v>
      </c>
      <c r="UI50" s="20" t="n">
        <f aca="false">IF(AND(V50=1,Slot1_PctLow=1),1,0)+IF(AND(AG50=1,Slot2_PctLow=1),1,0)+IF(AND(AQ50=1,Slot3_PctLow=1),1,0)+IF(AND(BA50=1,Slot4_PctLow=1),1,0)+IF(AND(BK50=1,Slot5_PctLow=1),1,0)+IF(AND(BU50=1,Slot6_PctLow=1),1,0)+IF(AND(CE50=1,Slot7_PctLow=1),1,0)+IF(AND(CO50=1,Slot8_PctLow=1),1,0)+IF(AND(CY50=1,Slot9_PctLow=1),1,0)+IF(AND(DI50=1,Slot10_PctLow=1),1,0)+IF(AND(DS50=1,Slot11_PctLow=1),1,0)+IF(AND(EC50=1,Slot12_PctLow=1),1,0)+IF(AND(EM50=1,Slot13_PctLow=1),1,0)+IF(AND(EW50=1,Slot14_PctLow=1),1,0)+IF(AND(FG50=1,Slot15_PctLow=1),1,0)+IF(AND(FQ50=1,Slot16_PctLow=1),1,0)+IF(AND(GA50=1,Slot17_PctLow=1),1,0)+IF(AND(GK50=1,Slot18_PctLow=1),1,0)+IF(AND(GU50=1,Slot19_PctLow=1),1,0)+IF(AND(HE50=1,Slot20_PctLow=1),1,0)</f>
        <v>0</v>
      </c>
      <c r="UJ50" s="20" t="n">
        <f aca="false">IF(C50=1,IF(OR(TV50=1,UI50&gt;0),1,0),0)</f>
        <v>1</v>
      </c>
    </row>
    <row r="51" customFormat="false" ht="15" hidden="false" customHeight="true" outlineLevel="0" collapsed="false">
      <c r="B51" s="20" t="n">
        <v>43</v>
      </c>
      <c r="C51" s="20" t="n">
        <f aca="false">IF(B51&lt;=F_N,1,0)</f>
        <v>1</v>
      </c>
      <c r="D51" s="20" t="n">
        <f aca="false">'Plan pay &amp; tax'!C277</f>
        <v>81</v>
      </c>
      <c r="E51" s="20" t="str">
        <f aca="false">IF($C51=1,"Income tax "&amp;TEXT(N('Plan pay &amp; tax'!BK277),"#,##0")&amp;"; USC "&amp;TEXT(N('Plan pay &amp; tax'!BM277)+N('Plan pay &amp; tax'!BO277),"#,##0")&amp;"; PRSI "&amp;TEXT(N('Plan pay &amp; tax'!BP277)+N('Plan pay &amp; tax'!BQ277),"#,##0")&amp;". DIRT and exit tax are inside the growth rates here.","")</f>
        <v>Income tax 832; USC 0; PRSI 0. DIRT and exit tax are inside the growth rates here.</v>
      </c>
      <c r="F51" s="44" t="n">
        <f aca="false">'Plan pay &amp; tax'!E277</f>
        <v>2.34318935534539</v>
      </c>
      <c r="G51" s="20" t="n">
        <f aca="false">'Plan pay &amp; tax'!G277</f>
        <v>0</v>
      </c>
      <c r="H51" s="20" t="n">
        <f aca="false">'Plan pay &amp; tax'!BT277-'Plan pay &amp; tax'!BS277-'Plan pay &amp; tax'!R277</f>
        <v>86702.8336166747</v>
      </c>
      <c r="I51" s="20" t="n">
        <f aca="false">IF(G51=1,F_CostsM*12,IF(RG_Exists=1,RG_Amount,F_CostsM*12*AS_RetireSpend))*F51+F_OneOffY*F51</f>
        <v>112004.45118551</v>
      </c>
      <c r="J51" s="20" t="n">
        <f aca="false">HR50</f>
        <v>0</v>
      </c>
      <c r="K51" s="20" t="n">
        <f aca="false">IF(J51&gt;1,'Plan debt months'!AC51,0)</f>
        <v>0</v>
      </c>
      <c r="L51" s="20" t="n">
        <f aca="false">IF(J51&gt;1,'Plan debt months'!AB51,J51)</f>
        <v>0</v>
      </c>
      <c r="M51" s="20" t="n">
        <f aca="false">O50</f>
        <v>0</v>
      </c>
      <c r="N51" s="20" t="n">
        <f aca="false">IF(M51&gt;1,'Plan debt months'!BD51,0)</f>
        <v>0</v>
      </c>
      <c r="O51" s="20" t="n">
        <f aca="false">IF(M51&gt;1,'Plan debt months'!BC51,M51)</f>
        <v>0</v>
      </c>
      <c r="P51" s="20" t="n">
        <f aca="false">R50</f>
        <v>0</v>
      </c>
      <c r="Q51" s="20" t="n">
        <f aca="false">IF(P51&gt;1,'Plan debt months'!CE51,0)</f>
        <v>0</v>
      </c>
      <c r="R51" s="20" t="n">
        <f aca="false">IF(P51&gt;1,'Plan debt months'!CD51,P51)</f>
        <v>0</v>
      </c>
      <c r="S51" s="20" t="n">
        <f aca="false">K51+N51+Q51</f>
        <v>0</v>
      </c>
      <c r="T51" s="20" t="n">
        <f aca="false">QK50+'Plan pay &amp; tax'!Y277</f>
        <v>0</v>
      </c>
      <c r="U51" s="20" t="n">
        <f aca="false">QK50</f>
        <v>0</v>
      </c>
      <c r="V51" s="20" t="n">
        <f aca="false">IF(AND(Slot1_On=1,D51=Slot1_Age),1,0)</f>
        <v>0</v>
      </c>
      <c r="W51" s="20" t="n">
        <f aca="false">IF(AND(Slot1_On=1,Slot1_Age&gt;D51),1,0)</f>
        <v>0</v>
      </c>
      <c r="X51" s="20" t="n">
        <f aca="false">QM50</f>
        <v>0</v>
      </c>
      <c r="Y51" s="20" t="n">
        <f aca="false">V51*MIN(Slot1_Cost,X51)</f>
        <v>0</v>
      </c>
      <c r="Z51" s="20" t="n">
        <f aca="false">V51*Slot1_SpendLike*MIN(Slot1_Cost-Y51,T51)</f>
        <v>0</v>
      </c>
      <c r="AA51" s="20" t="n">
        <f aca="false">Y51+Z51</f>
        <v>0</v>
      </c>
      <c r="AB51" s="20" t="n">
        <f aca="false">T51-Z51+V51*IF(Slot1_SpendLike=1,X51-Y51,IF(Slot1_PotFree=1,X51,0))</f>
        <v>0</v>
      </c>
      <c r="AC51" s="20" t="n">
        <f aca="false">AF51+V51*Slot1_BufPot*X51</f>
        <v>0</v>
      </c>
      <c r="AD51" s="20" t="n">
        <f aca="false">IF(AND(V51=1,Slot1_IsMfree=1),IF(AA51&gt;=Slot1_Cost-1,0,MAX(0,L51-AA51)),L51)</f>
        <v>0</v>
      </c>
      <c r="AE51" s="20" t="n">
        <f aca="false">V51*(Slot1_Cost-AA51)</f>
        <v>0</v>
      </c>
      <c r="AF51" s="20" t="n">
        <f aca="false">QL50</f>
        <v>0</v>
      </c>
      <c r="AG51" s="20" t="n">
        <f aca="false">IF(AND(Slot2_On=1,D51=Slot2_Age),1,0)</f>
        <v>0</v>
      </c>
      <c r="AH51" s="20" t="n">
        <f aca="false">IF(AND(Slot2_On=1,Slot2_Age&gt;D51),1,0)</f>
        <v>0</v>
      </c>
      <c r="AI51" s="20" t="n">
        <f aca="false">QQ50</f>
        <v>0</v>
      </c>
      <c r="AJ51" s="20" t="n">
        <f aca="false">AG51*MIN(Slot2_Cost,AI51)</f>
        <v>0</v>
      </c>
      <c r="AK51" s="20" t="n">
        <f aca="false">AG51*Slot2_SpendLike*MIN(Slot2_Cost-AJ51,AB51)</f>
        <v>0</v>
      </c>
      <c r="AL51" s="20" t="n">
        <f aca="false">AJ51+AK51</f>
        <v>0</v>
      </c>
      <c r="AM51" s="20" t="n">
        <f aca="false">AB51-AK51+AG51*IF(Slot2_SpendLike=1,AI51-AJ51,IF(Slot2_PotFree=1,AI51,0))</f>
        <v>0</v>
      </c>
      <c r="AN51" s="20" t="n">
        <f aca="false">AC51+AG51*Slot2_BufPot*AI51</f>
        <v>0</v>
      </c>
      <c r="AO51" s="20" t="n">
        <f aca="false">IF(AND(AG51=1,Slot2_IsMfree=1),IF(AL51&gt;=Slot2_Cost-1,0,MAX(0,AD51-AL51)),AD51)</f>
        <v>0</v>
      </c>
      <c r="AP51" s="20" t="n">
        <f aca="false">AG51*(Slot2_Cost-AL51)</f>
        <v>0</v>
      </c>
      <c r="AQ51" s="20" t="n">
        <f aca="false">IF(AND(Slot3_On=1,D51=Slot3_Age),1,0)</f>
        <v>0</v>
      </c>
      <c r="AR51" s="20" t="n">
        <f aca="false">IF(AND(Slot3_On=1,Slot3_Age&gt;D51),1,0)</f>
        <v>0</v>
      </c>
      <c r="AS51" s="20" t="n">
        <f aca="false">QU50</f>
        <v>0</v>
      </c>
      <c r="AT51" s="20" t="n">
        <f aca="false">AQ51*MIN(Slot3_Cost,AS51)</f>
        <v>0</v>
      </c>
      <c r="AU51" s="20" t="n">
        <f aca="false">AQ51*Slot3_SpendLike*MIN(Slot3_Cost-AT51,AM51)</f>
        <v>0</v>
      </c>
      <c r="AV51" s="20" t="n">
        <f aca="false">AT51+AU51</f>
        <v>0</v>
      </c>
      <c r="AW51" s="20" t="n">
        <f aca="false">AM51-AU51+AQ51*IF(Slot3_SpendLike=1,AS51-AT51,IF(Slot3_PotFree=1,AS51,0))</f>
        <v>0</v>
      </c>
      <c r="AX51" s="20" t="n">
        <f aca="false">AN51+AQ51*Slot3_BufPot*AS51</f>
        <v>0</v>
      </c>
      <c r="AY51" s="20" t="n">
        <f aca="false">IF(AND(AQ51=1,Slot3_IsMfree=1),IF(AV51&gt;=Slot3_Cost-1,0,MAX(0,AO51-AV51)),AO51)</f>
        <v>0</v>
      </c>
      <c r="AZ51" s="20" t="n">
        <f aca="false">AQ51*(Slot3_Cost-AV51)</f>
        <v>0</v>
      </c>
      <c r="BA51" s="20" t="n">
        <f aca="false">IF(AND(Slot4_On=1,D51=Slot4_Age),1,0)</f>
        <v>0</v>
      </c>
      <c r="BB51" s="20" t="n">
        <f aca="false">IF(AND(Slot4_On=1,Slot4_Age&gt;D51),1,0)</f>
        <v>0</v>
      </c>
      <c r="BC51" s="20" t="n">
        <f aca="false">QY50</f>
        <v>0</v>
      </c>
      <c r="BD51" s="20" t="n">
        <f aca="false">BA51*MIN(Slot4_Cost,BC51)</f>
        <v>0</v>
      </c>
      <c r="BE51" s="20" t="n">
        <f aca="false">BA51*Slot4_SpendLike*MIN(Slot4_Cost-BD51,AW51)</f>
        <v>0</v>
      </c>
      <c r="BF51" s="20" t="n">
        <f aca="false">BD51+BE51</f>
        <v>0</v>
      </c>
      <c r="BG51" s="20" t="n">
        <f aca="false">AW51-BE51+BA51*IF(Slot4_SpendLike=1,BC51-BD51,IF(Slot4_PotFree=1,BC51,0))</f>
        <v>0</v>
      </c>
      <c r="BH51" s="20" t="n">
        <f aca="false">AX51+BA51*Slot4_BufPot*BC51</f>
        <v>0</v>
      </c>
      <c r="BI51" s="20" t="n">
        <f aca="false">IF(AND(BA51=1,Slot4_IsMfree=1),IF(BF51&gt;=Slot4_Cost-1,0,MAX(0,AY51-BF51)),AY51)</f>
        <v>0</v>
      </c>
      <c r="BJ51" s="20" t="n">
        <f aca="false">BA51*(Slot4_Cost-BF51)</f>
        <v>0</v>
      </c>
      <c r="BK51" s="20" t="n">
        <f aca="false">IF(AND(Slot5_On=1,D51=Slot5_Age),1,0)</f>
        <v>0</v>
      </c>
      <c r="BL51" s="20" t="n">
        <f aca="false">IF(AND(Slot5_On=1,Slot5_Age&gt;D51),1,0)</f>
        <v>0</v>
      </c>
      <c r="BM51" s="20" t="n">
        <f aca="false">RC50</f>
        <v>0</v>
      </c>
      <c r="BN51" s="20" t="n">
        <f aca="false">BK51*MIN(Slot5_Cost,BM51)</f>
        <v>0</v>
      </c>
      <c r="BO51" s="20" t="n">
        <f aca="false">BK51*Slot5_SpendLike*MIN(Slot5_Cost-BN51,BG51)</f>
        <v>0</v>
      </c>
      <c r="BP51" s="20" t="n">
        <f aca="false">BN51+BO51</f>
        <v>0</v>
      </c>
      <c r="BQ51" s="20" t="n">
        <f aca="false">BG51-BO51+BK51*IF(Slot5_SpendLike=1,BM51-BN51,IF(Slot5_PotFree=1,BM51,0))</f>
        <v>0</v>
      </c>
      <c r="BR51" s="20" t="n">
        <f aca="false">BH51+BK51*Slot5_BufPot*BM51</f>
        <v>0</v>
      </c>
      <c r="BS51" s="20" t="n">
        <f aca="false">IF(AND(BK51=1,Slot5_IsMfree=1),IF(BP51&gt;=Slot5_Cost-1,0,MAX(0,BI51-BP51)),BI51)</f>
        <v>0</v>
      </c>
      <c r="BT51" s="20" t="n">
        <f aca="false">BK51*(Slot5_Cost-BP51)</f>
        <v>0</v>
      </c>
      <c r="BU51" s="20" t="n">
        <f aca="false">IF(AND(Slot6_On=1,D51=Slot6_Age),1,0)</f>
        <v>0</v>
      </c>
      <c r="BV51" s="20" t="n">
        <f aca="false">IF(AND(Slot6_On=1,Slot6_Age&gt;D51),1,0)</f>
        <v>0</v>
      </c>
      <c r="BW51" s="20" t="n">
        <f aca="false">RG50</f>
        <v>0</v>
      </c>
      <c r="BX51" s="20" t="n">
        <f aca="false">BU51*MIN(Slot6_Cost,BW51)</f>
        <v>0</v>
      </c>
      <c r="BY51" s="20" t="n">
        <f aca="false">BU51*Slot6_SpendLike*MIN(Slot6_Cost-BX51,BQ51)</f>
        <v>0</v>
      </c>
      <c r="BZ51" s="20" t="n">
        <f aca="false">BX51+BY51</f>
        <v>0</v>
      </c>
      <c r="CA51" s="20" t="n">
        <f aca="false">BQ51-BY51+BU51*IF(Slot6_SpendLike=1,BW51-BX51,IF(Slot6_PotFree=1,BW51,0))</f>
        <v>0</v>
      </c>
      <c r="CB51" s="20" t="n">
        <f aca="false">BR51+BU51*Slot6_BufPot*BW51</f>
        <v>0</v>
      </c>
      <c r="CC51" s="20" t="n">
        <f aca="false">IF(AND(BU51=1,Slot6_IsMfree=1),IF(BZ51&gt;=Slot6_Cost-1,0,MAX(0,BS51-BZ51)),BS51)</f>
        <v>0</v>
      </c>
      <c r="CD51" s="20" t="n">
        <f aca="false">BU51*(Slot6_Cost-BZ51)</f>
        <v>0</v>
      </c>
      <c r="CE51" s="20" t="n">
        <f aca="false">IF(AND(Slot7_On=1,D51=Slot7_Age),1,0)</f>
        <v>0</v>
      </c>
      <c r="CF51" s="20" t="n">
        <f aca="false">IF(AND(Slot7_On=1,Slot7_Age&gt;D51),1,0)</f>
        <v>0</v>
      </c>
      <c r="CG51" s="20" t="n">
        <f aca="false">RK50</f>
        <v>0</v>
      </c>
      <c r="CH51" s="20" t="n">
        <f aca="false">CE51*MIN(Slot7_Cost,CG51)</f>
        <v>0</v>
      </c>
      <c r="CI51" s="20" t="n">
        <f aca="false">CE51*Slot7_SpendLike*MIN(Slot7_Cost-CH51,CA51)</f>
        <v>0</v>
      </c>
      <c r="CJ51" s="20" t="n">
        <f aca="false">CH51+CI51</f>
        <v>0</v>
      </c>
      <c r="CK51" s="20" t="n">
        <f aca="false">CA51-CI51+CE51*IF(Slot7_SpendLike=1,CG51-CH51,IF(Slot7_PotFree=1,CG51,0))</f>
        <v>0</v>
      </c>
      <c r="CL51" s="20" t="n">
        <f aca="false">CB51+CE51*Slot7_BufPot*CG51</f>
        <v>0</v>
      </c>
      <c r="CM51" s="20" t="n">
        <f aca="false">IF(AND(CE51=1,Slot7_IsMfree=1),IF(CJ51&gt;=Slot7_Cost-1,0,MAX(0,CC51-CJ51)),CC51)</f>
        <v>0</v>
      </c>
      <c r="CN51" s="20" t="n">
        <f aca="false">CE51*(Slot7_Cost-CJ51)</f>
        <v>0</v>
      </c>
      <c r="CO51" s="20" t="n">
        <f aca="false">IF(AND(Slot8_On=1,D51=Slot8_Age),1,0)</f>
        <v>0</v>
      </c>
      <c r="CP51" s="20" t="n">
        <f aca="false">IF(AND(Slot8_On=1,Slot8_Age&gt;D51),1,0)</f>
        <v>0</v>
      </c>
      <c r="CQ51" s="20" t="n">
        <f aca="false">RO50</f>
        <v>0</v>
      </c>
      <c r="CR51" s="20" t="n">
        <f aca="false">CO51*MIN(Slot8_Cost,CQ51)</f>
        <v>0</v>
      </c>
      <c r="CS51" s="20" t="n">
        <f aca="false">CO51*Slot8_SpendLike*MIN(Slot8_Cost-CR51,CK51)</f>
        <v>0</v>
      </c>
      <c r="CT51" s="20" t="n">
        <f aca="false">CR51+CS51</f>
        <v>0</v>
      </c>
      <c r="CU51" s="20" t="n">
        <f aca="false">CK51-CS51+CO51*IF(Slot8_SpendLike=1,CQ51-CR51,IF(Slot8_PotFree=1,CQ51,0))</f>
        <v>0</v>
      </c>
      <c r="CV51" s="20" t="n">
        <f aca="false">CL51+CO51*Slot8_BufPot*CQ51</f>
        <v>0</v>
      </c>
      <c r="CW51" s="20" t="n">
        <f aca="false">IF(AND(CO51=1,Slot8_IsMfree=1),IF(CT51&gt;=Slot8_Cost-1,0,MAX(0,CM51-CT51)),CM51)</f>
        <v>0</v>
      </c>
      <c r="CX51" s="20" t="n">
        <f aca="false">CO51*(Slot8_Cost-CT51)</f>
        <v>0</v>
      </c>
      <c r="CY51" s="20" t="n">
        <f aca="false">IF(AND(Slot9_On=1,D51=Slot9_Age),1,0)</f>
        <v>0</v>
      </c>
      <c r="CZ51" s="20" t="n">
        <f aca="false">IF(AND(Slot9_On=1,Slot9_Age&gt;D51),1,0)</f>
        <v>0</v>
      </c>
      <c r="DA51" s="20" t="n">
        <f aca="false">RS50</f>
        <v>0</v>
      </c>
      <c r="DB51" s="20" t="n">
        <f aca="false">CY51*MIN(Slot9_Cost,DA51)</f>
        <v>0</v>
      </c>
      <c r="DC51" s="20" t="n">
        <f aca="false">CY51*Slot9_SpendLike*MIN(Slot9_Cost-DB51,CU51)</f>
        <v>0</v>
      </c>
      <c r="DD51" s="20" t="n">
        <f aca="false">DB51+DC51</f>
        <v>0</v>
      </c>
      <c r="DE51" s="20" t="n">
        <f aca="false">CU51-DC51+CY51*IF(Slot9_SpendLike=1,DA51-DB51,IF(Slot9_PotFree=1,DA51,0))</f>
        <v>0</v>
      </c>
      <c r="DF51" s="20" t="n">
        <f aca="false">CV51+CY51*Slot9_BufPot*DA51</f>
        <v>0</v>
      </c>
      <c r="DG51" s="20" t="n">
        <f aca="false">IF(AND(CY51=1,Slot9_IsMfree=1),IF(DD51&gt;=Slot9_Cost-1,0,MAX(0,CW51-DD51)),CW51)</f>
        <v>0</v>
      </c>
      <c r="DH51" s="20" t="n">
        <f aca="false">CY51*(Slot9_Cost-DD51)</f>
        <v>0</v>
      </c>
      <c r="DI51" s="20" t="n">
        <f aca="false">IF(AND(Slot10_On=1,D51=Slot10_Age),1,0)</f>
        <v>0</v>
      </c>
      <c r="DJ51" s="20" t="n">
        <f aca="false">IF(AND(Slot10_On=1,Slot10_Age&gt;D51),1,0)</f>
        <v>0</v>
      </c>
      <c r="DK51" s="20" t="n">
        <f aca="false">RW50</f>
        <v>0</v>
      </c>
      <c r="DL51" s="20" t="n">
        <f aca="false">DI51*MIN(Slot10_Cost,DK51)</f>
        <v>0</v>
      </c>
      <c r="DM51" s="20" t="n">
        <f aca="false">DI51*Slot10_SpendLike*MIN(Slot10_Cost-DL51,DE51)</f>
        <v>0</v>
      </c>
      <c r="DN51" s="20" t="n">
        <f aca="false">DL51+DM51</f>
        <v>0</v>
      </c>
      <c r="DO51" s="20" t="n">
        <f aca="false">DE51-DM51+DI51*IF(Slot10_SpendLike=1,DK51-DL51,IF(Slot10_PotFree=1,DK51,0))</f>
        <v>0</v>
      </c>
      <c r="DP51" s="20" t="n">
        <f aca="false">DF51+DI51*Slot10_BufPot*DK51</f>
        <v>0</v>
      </c>
      <c r="DQ51" s="20" t="n">
        <f aca="false">IF(AND(DI51=1,Slot10_IsMfree=1),IF(DN51&gt;=Slot10_Cost-1,0,MAX(0,DG51-DN51)),DG51)</f>
        <v>0</v>
      </c>
      <c r="DR51" s="20" t="n">
        <f aca="false">DI51*(Slot10_Cost-DN51)</f>
        <v>0</v>
      </c>
      <c r="DS51" s="20" t="n">
        <f aca="false">IF(AND(Slot11_On=1,D51=Slot11_Age),1,0)</f>
        <v>0</v>
      </c>
      <c r="DT51" s="20" t="n">
        <f aca="false">IF(AND(Slot11_On=1,Slot11_Age&gt;D51),1,0)</f>
        <v>0</v>
      </c>
      <c r="DU51" s="20" t="n">
        <f aca="false">SA50</f>
        <v>0</v>
      </c>
      <c r="DV51" s="20" t="n">
        <f aca="false">DS51*MIN(Slot11_Cost,DU51)</f>
        <v>0</v>
      </c>
      <c r="DW51" s="20" t="n">
        <f aca="false">DS51*Slot11_SpendLike*MIN(Slot11_Cost-DV51,DO51)</f>
        <v>0</v>
      </c>
      <c r="DX51" s="20" t="n">
        <f aca="false">DV51+DW51</f>
        <v>0</v>
      </c>
      <c r="DY51" s="20" t="n">
        <f aca="false">DO51-DW51+DS51*IF(Slot11_SpendLike=1,DU51-DV51,IF(Slot11_PotFree=1,DU51,0))</f>
        <v>0</v>
      </c>
      <c r="DZ51" s="20" t="n">
        <f aca="false">DP51+DS51*Slot11_BufPot*DU51</f>
        <v>0</v>
      </c>
      <c r="EA51" s="20" t="n">
        <f aca="false">IF(AND(DS51=1,Slot11_IsMfree=1),IF(DX51&gt;=Slot11_Cost-1,0,MAX(0,DQ51-DX51)),DQ51)</f>
        <v>0</v>
      </c>
      <c r="EB51" s="20" t="n">
        <f aca="false">DS51*(Slot11_Cost-DX51)</f>
        <v>0</v>
      </c>
      <c r="EC51" s="20" t="n">
        <f aca="false">IF(AND(Slot12_On=1,D51=Slot12_Age),1,0)</f>
        <v>0</v>
      </c>
      <c r="ED51" s="20" t="n">
        <f aca="false">IF(AND(Slot12_On=1,Slot12_Age&gt;D51),1,0)</f>
        <v>0</v>
      </c>
      <c r="EE51" s="20" t="n">
        <f aca="false">SE50</f>
        <v>0</v>
      </c>
      <c r="EF51" s="20" t="n">
        <f aca="false">EC51*MIN(Slot12_Cost,EE51)</f>
        <v>0</v>
      </c>
      <c r="EG51" s="20" t="n">
        <f aca="false">EC51*Slot12_SpendLike*MIN(Slot12_Cost-EF51,DY51)</f>
        <v>0</v>
      </c>
      <c r="EH51" s="20" t="n">
        <f aca="false">EF51+EG51</f>
        <v>0</v>
      </c>
      <c r="EI51" s="20" t="n">
        <f aca="false">DY51-EG51+EC51*IF(Slot12_SpendLike=1,EE51-EF51,IF(Slot12_PotFree=1,EE51,0))</f>
        <v>0</v>
      </c>
      <c r="EJ51" s="20" t="n">
        <f aca="false">DZ51+EC51*Slot12_BufPot*EE51</f>
        <v>0</v>
      </c>
      <c r="EK51" s="20" t="n">
        <f aca="false">IF(AND(EC51=1,Slot12_IsMfree=1),IF(EH51&gt;=Slot12_Cost-1,0,MAX(0,EA51-EH51)),EA51)</f>
        <v>0</v>
      </c>
      <c r="EL51" s="20" t="n">
        <f aca="false">EC51*(Slot12_Cost-EH51)</f>
        <v>0</v>
      </c>
      <c r="EM51" s="20" t="n">
        <f aca="false">IF(AND(Slot13_On=1,D51=Slot13_Age),1,0)</f>
        <v>0</v>
      </c>
      <c r="EN51" s="20" t="n">
        <f aca="false">IF(AND(Slot13_On=1,Slot13_Age&gt;D51),1,0)</f>
        <v>0</v>
      </c>
      <c r="EO51" s="20" t="n">
        <f aca="false">SI50</f>
        <v>0</v>
      </c>
      <c r="EP51" s="20" t="n">
        <f aca="false">EM51*MIN(Slot13_Cost,EO51)</f>
        <v>0</v>
      </c>
      <c r="EQ51" s="20" t="n">
        <f aca="false">EM51*Slot13_SpendLike*MIN(Slot13_Cost-EP51,EI51)</f>
        <v>0</v>
      </c>
      <c r="ER51" s="20" t="n">
        <f aca="false">EP51+EQ51</f>
        <v>0</v>
      </c>
      <c r="ES51" s="20" t="n">
        <f aca="false">EI51-EQ51+EM51*IF(Slot13_SpendLike=1,EO51-EP51,IF(Slot13_PotFree=1,EO51,0))</f>
        <v>0</v>
      </c>
      <c r="ET51" s="20" t="n">
        <f aca="false">EJ51+EM51*Slot13_BufPot*EO51</f>
        <v>0</v>
      </c>
      <c r="EU51" s="20" t="n">
        <f aca="false">IF(AND(EM51=1,Slot13_IsMfree=1),IF(ER51&gt;=Slot13_Cost-1,0,MAX(0,EK51-ER51)),EK51)</f>
        <v>0</v>
      </c>
      <c r="EV51" s="20" t="n">
        <f aca="false">EM51*(Slot13_Cost-ER51)</f>
        <v>0</v>
      </c>
      <c r="EW51" s="20" t="n">
        <f aca="false">IF(AND(Slot14_On=1,D51=Slot14_Age),1,0)</f>
        <v>0</v>
      </c>
      <c r="EX51" s="20" t="n">
        <f aca="false">IF(AND(Slot14_On=1,Slot14_Age&gt;D51),1,0)</f>
        <v>0</v>
      </c>
      <c r="EY51" s="20" t="n">
        <f aca="false">SM50</f>
        <v>0</v>
      </c>
      <c r="EZ51" s="20" t="n">
        <f aca="false">EW51*MIN(Slot14_Cost,EY51)</f>
        <v>0</v>
      </c>
      <c r="FA51" s="20" t="n">
        <f aca="false">EW51*Slot14_SpendLike*MIN(Slot14_Cost-EZ51,ES51)</f>
        <v>0</v>
      </c>
      <c r="FB51" s="20" t="n">
        <f aca="false">EZ51+FA51</f>
        <v>0</v>
      </c>
      <c r="FC51" s="20" t="n">
        <f aca="false">ES51-FA51+EW51*IF(Slot14_SpendLike=1,EY51-EZ51,IF(Slot14_PotFree=1,EY51,0))</f>
        <v>0</v>
      </c>
      <c r="FD51" s="20" t="n">
        <f aca="false">ET51+EW51*Slot14_BufPot*EY51</f>
        <v>0</v>
      </c>
      <c r="FE51" s="20" t="n">
        <f aca="false">IF(AND(EW51=1,Slot14_IsMfree=1),IF(FB51&gt;=Slot14_Cost-1,0,MAX(0,EU51-FB51)),EU51)</f>
        <v>0</v>
      </c>
      <c r="FF51" s="20" t="n">
        <f aca="false">EW51*(Slot14_Cost-FB51)</f>
        <v>0</v>
      </c>
      <c r="FG51" s="20" t="n">
        <f aca="false">IF(AND(Slot15_On=1,D51=Slot15_Age),1,0)</f>
        <v>0</v>
      </c>
      <c r="FH51" s="20" t="n">
        <f aca="false">IF(AND(Slot15_On=1,Slot15_Age&gt;D51),1,0)</f>
        <v>0</v>
      </c>
      <c r="FI51" s="20" t="n">
        <f aca="false">SQ50</f>
        <v>0</v>
      </c>
      <c r="FJ51" s="20" t="n">
        <f aca="false">FG51*MIN(Slot15_Cost,FI51)</f>
        <v>0</v>
      </c>
      <c r="FK51" s="20" t="n">
        <f aca="false">FG51*Slot15_SpendLike*MIN(Slot15_Cost-FJ51,FC51)</f>
        <v>0</v>
      </c>
      <c r="FL51" s="20" t="n">
        <f aca="false">FJ51+FK51</f>
        <v>0</v>
      </c>
      <c r="FM51" s="20" t="n">
        <f aca="false">FC51-FK51+FG51*IF(Slot15_SpendLike=1,FI51-FJ51,IF(Slot15_PotFree=1,FI51,0))</f>
        <v>0</v>
      </c>
      <c r="FN51" s="20" t="n">
        <f aca="false">FD51+FG51*Slot15_BufPot*FI51</f>
        <v>0</v>
      </c>
      <c r="FO51" s="20" t="n">
        <f aca="false">IF(AND(FG51=1,Slot15_IsMfree=1),IF(FL51&gt;=Slot15_Cost-1,0,MAX(0,FE51-FL51)),FE51)</f>
        <v>0</v>
      </c>
      <c r="FP51" s="20" t="n">
        <f aca="false">FG51*(Slot15_Cost-FL51)</f>
        <v>0</v>
      </c>
      <c r="FQ51" s="20" t="n">
        <f aca="false">IF(AND(Slot16_On=1,D51=Slot16_Age),1,0)</f>
        <v>0</v>
      </c>
      <c r="FR51" s="20" t="n">
        <f aca="false">IF(AND(Slot16_On=1,Slot16_Age&gt;D51),1,0)</f>
        <v>0</v>
      </c>
      <c r="FS51" s="20" t="n">
        <f aca="false">SU50</f>
        <v>0</v>
      </c>
      <c r="FT51" s="20" t="n">
        <f aca="false">FQ51*MIN(Slot16_Cost,FS51)</f>
        <v>0</v>
      </c>
      <c r="FU51" s="20" t="n">
        <f aca="false">FQ51*Slot16_SpendLike*MIN(Slot16_Cost-FT51,FM51)</f>
        <v>0</v>
      </c>
      <c r="FV51" s="20" t="n">
        <f aca="false">FT51+FU51</f>
        <v>0</v>
      </c>
      <c r="FW51" s="20" t="n">
        <f aca="false">FM51-FU51+FQ51*IF(Slot16_SpendLike=1,FS51-FT51,IF(Slot16_PotFree=1,FS51,0))</f>
        <v>0</v>
      </c>
      <c r="FX51" s="20" t="n">
        <f aca="false">FN51+FQ51*Slot16_BufPot*FS51</f>
        <v>0</v>
      </c>
      <c r="FY51" s="20" t="n">
        <f aca="false">IF(AND(FQ51=1,Slot16_IsMfree=1),IF(FV51&gt;=Slot16_Cost-1,0,MAX(0,FO51-FV51)),FO51)</f>
        <v>0</v>
      </c>
      <c r="FZ51" s="20" t="n">
        <f aca="false">FQ51*(Slot16_Cost-FV51)</f>
        <v>0</v>
      </c>
      <c r="GA51" s="20" t="n">
        <f aca="false">IF(AND(Slot17_On=1,D51=Slot17_Age),1,0)</f>
        <v>0</v>
      </c>
      <c r="GB51" s="20" t="n">
        <f aca="false">IF(AND(Slot17_On=1,Slot17_Age&gt;D51),1,0)</f>
        <v>0</v>
      </c>
      <c r="GC51" s="20" t="n">
        <f aca="false">SY50</f>
        <v>0</v>
      </c>
      <c r="GD51" s="20" t="n">
        <f aca="false">GA51*MIN(Slot17_Cost,GC51)</f>
        <v>0</v>
      </c>
      <c r="GE51" s="20" t="n">
        <f aca="false">GA51*Slot17_SpendLike*MIN(Slot17_Cost-GD51,FW51)</f>
        <v>0</v>
      </c>
      <c r="GF51" s="20" t="n">
        <f aca="false">GD51+GE51</f>
        <v>0</v>
      </c>
      <c r="GG51" s="20" t="n">
        <f aca="false">FW51-GE51+GA51*IF(Slot17_SpendLike=1,GC51-GD51,IF(Slot17_PotFree=1,GC51,0))</f>
        <v>0</v>
      </c>
      <c r="GH51" s="20" t="n">
        <f aca="false">FX51+GA51*Slot17_BufPot*GC51</f>
        <v>0</v>
      </c>
      <c r="GI51" s="20" t="n">
        <f aca="false">IF(AND(GA51=1,Slot17_IsMfree=1),IF(GF51&gt;=Slot17_Cost-1,0,MAX(0,FY51-GF51)),FY51)</f>
        <v>0</v>
      </c>
      <c r="GJ51" s="20" t="n">
        <f aca="false">GA51*(Slot17_Cost-GF51)</f>
        <v>0</v>
      </c>
      <c r="GK51" s="20" t="n">
        <f aca="false">IF(AND(Slot18_On=1,D51=Slot18_Age),1,0)</f>
        <v>0</v>
      </c>
      <c r="GL51" s="20" t="n">
        <f aca="false">IF(AND(Slot18_On=1,Slot18_Age&gt;D51),1,0)</f>
        <v>0</v>
      </c>
      <c r="GM51" s="20" t="n">
        <f aca="false">TC50</f>
        <v>0</v>
      </c>
      <c r="GN51" s="20" t="n">
        <f aca="false">GK51*MIN(Slot18_Cost,GM51)</f>
        <v>0</v>
      </c>
      <c r="GO51" s="20" t="n">
        <f aca="false">GK51*Slot18_SpendLike*MIN(Slot18_Cost-GN51,GG51)</f>
        <v>0</v>
      </c>
      <c r="GP51" s="20" t="n">
        <f aca="false">GN51+GO51</f>
        <v>0</v>
      </c>
      <c r="GQ51" s="20" t="n">
        <f aca="false">GG51-GO51+GK51*IF(Slot18_SpendLike=1,GM51-GN51,IF(Slot18_PotFree=1,GM51,0))</f>
        <v>0</v>
      </c>
      <c r="GR51" s="20" t="n">
        <f aca="false">GH51+GK51*Slot18_BufPot*GM51</f>
        <v>0</v>
      </c>
      <c r="GS51" s="20" t="n">
        <f aca="false">IF(AND(GK51=1,Slot18_IsMfree=1),IF(GP51&gt;=Slot18_Cost-1,0,MAX(0,GI51-GP51)),GI51)</f>
        <v>0</v>
      </c>
      <c r="GT51" s="20" t="n">
        <f aca="false">GK51*(Slot18_Cost-GP51)</f>
        <v>0</v>
      </c>
      <c r="GU51" s="20" t="n">
        <f aca="false">IF(AND(Slot19_On=1,D51=Slot19_Age),1,0)</f>
        <v>0</v>
      </c>
      <c r="GV51" s="20" t="n">
        <f aca="false">IF(AND(Slot19_On=1,Slot19_Age&gt;D51),1,0)</f>
        <v>0</v>
      </c>
      <c r="GW51" s="20" t="n">
        <f aca="false">TG50</f>
        <v>0</v>
      </c>
      <c r="GX51" s="20" t="n">
        <f aca="false">GU51*MIN(Slot19_Cost,GW51)</f>
        <v>0</v>
      </c>
      <c r="GY51" s="20" t="n">
        <f aca="false">GU51*Slot19_SpendLike*MIN(Slot19_Cost-GX51,GQ51)</f>
        <v>0</v>
      </c>
      <c r="GZ51" s="20" t="n">
        <f aca="false">GX51+GY51</f>
        <v>0</v>
      </c>
      <c r="HA51" s="20" t="n">
        <f aca="false">GQ51-GY51+GU51*IF(Slot19_SpendLike=1,GW51-GX51,IF(Slot19_PotFree=1,GW51,0))</f>
        <v>0</v>
      </c>
      <c r="HB51" s="20" t="n">
        <f aca="false">GR51+GU51*Slot19_BufPot*GW51</f>
        <v>0</v>
      </c>
      <c r="HC51" s="20" t="n">
        <f aca="false">IF(AND(GU51=1,Slot19_IsMfree=1),IF(GZ51&gt;=Slot19_Cost-1,0,MAX(0,GS51-GZ51)),GS51)</f>
        <v>0</v>
      </c>
      <c r="HD51" s="20" t="n">
        <f aca="false">GU51*(Slot19_Cost-GZ51)</f>
        <v>0</v>
      </c>
      <c r="HE51" s="20" t="n">
        <f aca="false">IF(AND(Slot20_On=1,D51=Slot20_Age),1,0)</f>
        <v>0</v>
      </c>
      <c r="HF51" s="20" t="n">
        <f aca="false">IF(AND(Slot20_On=1,Slot20_Age&gt;D51),1,0)</f>
        <v>0</v>
      </c>
      <c r="HG51" s="20" t="n">
        <f aca="false">TK50</f>
        <v>0</v>
      </c>
      <c r="HH51" s="20" t="n">
        <f aca="false">HE51*MIN(Slot20_Cost,HG51)</f>
        <v>0</v>
      </c>
      <c r="HI51" s="20" t="n">
        <f aca="false">HE51*Slot20_SpendLike*MIN(Slot20_Cost-HH51,HA51)</f>
        <v>0</v>
      </c>
      <c r="HJ51" s="20" t="n">
        <f aca="false">HH51+HI51</f>
        <v>0</v>
      </c>
      <c r="HK51" s="20" t="n">
        <f aca="false">HA51-HI51+HE51*IF(Slot20_SpendLike=1,HG51-HH51,IF(Slot20_PotFree=1,HG51,0))</f>
        <v>0</v>
      </c>
      <c r="HL51" s="20" t="n">
        <f aca="false">HB51+HE51*Slot20_BufPot*HG51</f>
        <v>0</v>
      </c>
      <c r="HM51" s="20" t="n">
        <f aca="false">IF(AND(HE51=1,Slot20_IsMfree=1),IF(HJ51&gt;=Slot20_Cost-1,0,MAX(0,HC51-HJ51)),HC51)</f>
        <v>0</v>
      </c>
      <c r="HN51" s="20" t="n">
        <f aca="false">HE51*(Slot20_Cost-HJ51)</f>
        <v>0</v>
      </c>
      <c r="HO51" s="20" t="n">
        <f aca="false">V51*Slot1_SpendLike*AA51+AG51*Slot2_SpendLike*AL51+AQ51*Slot3_SpendLike*AV51+BA51*Slot4_SpendLike*BF51+BK51*Slot5_SpendLike*BP51+BU51*Slot6_SpendLike*BZ51+CE51*Slot7_SpendLike*CJ51+CO51*Slot8_SpendLike*CT51+CY51*Slot9_SpendLike*DD51+DI51*Slot10_SpendLike*DN51+DS51*Slot11_SpendLike*DX51+EC51*Slot12_SpendLike*EH51+EM51*Slot13_SpendLike*ER51+EW51*Slot14_SpendLike*FB51+FG51*Slot15_SpendLike*FL51+FQ51*Slot16_SpendLike*FV51+GA51*Slot17_SpendLike*GF51+GK51*Slot18_SpendLike*GP51+GU51*Slot19_SpendLike*GZ51+HE51*Slot20_SpendLike*HJ51</f>
        <v>0</v>
      </c>
      <c r="HP51" s="20" t="n">
        <f aca="false">AE51+AP51+AZ51+BJ51+BT51+CD51+CN51+CX51+DH51+DR51+EB51+EL51+EV51+FF51+FP51+FZ51+GJ51+GT51+HD51+HN51</f>
        <v>0</v>
      </c>
      <c r="HQ51" s="20" t="n">
        <f aca="false">V51*Slot1_Cost+AG51*Slot2_Cost+AQ51*Slot3_Cost+BA51*Slot4_Cost+BK51*Slot5_Cost+BU51*Slot6_Cost+CE51*Slot7_Cost+CO51*Slot8_Cost+CY51*Slot9_Cost+DI51*Slot10_Cost+DS51*Slot11_Cost+EC51*Slot12_Cost+EM51*Slot13_Cost+EW51*Slot14_Cost+FG51*Slot15_Cost+FQ51*Slot16_Cost+GA51*Slot17_Cost+GK51*Slot18_Cost+GU51*Slot19_Cost+HE51*Slot20_Cost</f>
        <v>0</v>
      </c>
      <c r="HR51" s="20" t="n">
        <f aca="false">HM51</f>
        <v>0</v>
      </c>
      <c r="HS51" s="20" t="n">
        <f aca="false">H51-I51-S51</f>
        <v>-25301.617568835</v>
      </c>
      <c r="HT51" s="20" t="n">
        <f aca="false">IF(B51=0,IF(AND(Has_q6=1,In_q6=4),PR_ShareVaries*(MAX(0,HS51)/12),MIN(IF(Has_q6=1,CHOOSE(In_q6+1,PR_SaveB1,PR_SaveB2,PR_SaveB3,PR_SaveB4,0),AS_NoAnswer),AS_SaveShare*(MAX(0,HS51)/12))),HT50)</f>
        <v>62.3316893520437</v>
      </c>
      <c r="HU51" s="20" t="n">
        <f aca="false">IF(HS51&gt;=0,1,0)</f>
        <v>0</v>
      </c>
      <c r="HV51" s="20" t="n">
        <f aca="false">MAX(0,HS51/12/F51)</f>
        <v>0</v>
      </c>
      <c r="HW51" s="20" t="n">
        <f aca="false">IF(AND(Has_q6=1,In_q6=4),PR_ShareVaries*(HV51),MIN(IF(Has_q6=1,CHOOSE(In_q6+1,PR_SaveB1,PR_SaveB2,PR_SaveB3,PR_SaveB4,0),AS_NoAnswer),AS_SaveShare*(HV51)))</f>
        <v>0</v>
      </c>
      <c r="HX51" s="20" t="n">
        <f aca="false">IF(Has_saveM=1,IF(In_saveUp="Yes",1,IF(In_saveUp="No",0,IF(In_saveM&gt;=HT51-0.5,1,0))),0)</f>
        <v>0</v>
      </c>
      <c r="HY51" s="20" t="n">
        <f aca="false">IF(Has_saveM=1,MIN(HV51,IF(HX51=1,MAX(In_saveM,HW51),MIN(In_saveM,HW51))),HW51)</f>
        <v>0</v>
      </c>
      <c r="HZ51" s="20" t="n">
        <f aca="false">IF(G51=1,HY51*12*F51,0)</f>
        <v>0</v>
      </c>
      <c r="IA51" s="20" t="n">
        <f aca="false">MAX(0,HZ51+IF(AND(WI_Retire=0,WI_M&lt;0,G51=1),WI_M*12*F51,0))</f>
        <v>0</v>
      </c>
      <c r="IB51" s="20" t="n">
        <f aca="false">Slot1_IsWG*W51+Slot2_IsWG*AH51+Slot3_IsWG*AR51+Slot4_IsWG*BB51+Slot5_IsWG*BL51+Slot6_IsWG*BV51+Slot7_IsWG*CF51+Slot8_IsWG*CP51+Slot9_IsWG*CZ51+Slot10_IsWG*DJ51+Slot11_IsWG*DT51+Slot12_IsWG*ED51+Slot13_IsWG*EN51+Slot14_IsWG*EX51+Slot15_IsWG*FH51+Slot16_IsWG*FR51+Slot17_IsWG*GB51+Slot18_IsWG*GL51+Slot19_IsWG*GV51+Slot20_IsWG*HF51</f>
        <v>0</v>
      </c>
      <c r="IC51" s="20" t="n">
        <f aca="false">IF(AND(WI_Retire=0,WI_M&gt;0,G51=1,IB51&gt;=1),WI_M*12*F51,0)</f>
        <v>0</v>
      </c>
      <c r="ID51" s="20" t="n">
        <f aca="false">IF(HU51=1,MIN(IA51,HS51),0)</f>
        <v>0</v>
      </c>
      <c r="IE51" s="20" t="n">
        <f aca="false">IF(HU51=1,MIN(IC51,HS51-ID51),0)</f>
        <v>0</v>
      </c>
      <c r="IF51" s="20" t="n">
        <f aca="false">IF(W51=1,IF(ABS((1+AS_Wage)/(1+Slot1_Rate)-1)&lt;0.000000000001,(Slot1_Age-D51)*(1+Slot1_Rate)^(Slot1_Age-D51),(1+Slot1_Rate)^(Slot1_Age-D51)*(1-((1+AS_Wage)/(1+Slot1_Rate))^(Slot1_Age-D51))/(1-(1+AS_Wage)/(1+Slot1_Rate))),1)</f>
        <v>1</v>
      </c>
      <c r="IG51" s="20" t="n">
        <f aca="false">IF(AND(HU51=1,IE51&gt;0,Slot1_IsWG=1,W51=1),MAX(0,(Slot1_Cost-X51*(1+Slot1_Rate)^(Slot1_Age-D51))/IF51),0)</f>
        <v>0</v>
      </c>
      <c r="IH51" s="20" t="n">
        <f aca="false">IF(AND(HU51=1,IE51&gt;0,Slot1_IsWG=1,W51=1),MIN(IE51,IG51),0)</f>
        <v>0</v>
      </c>
      <c r="II51" s="20" t="n">
        <f aca="false">X51+IH51</f>
        <v>0</v>
      </c>
      <c r="IJ51" s="20" t="n">
        <f aca="false">IF(W51=1,MAX(0,(Slot1_Cost-II51*(1+Slot1_Rate)^(Slot1_Age-D51))/IF51),0)</f>
        <v>0</v>
      </c>
      <c r="IK51" s="20" t="n">
        <f aca="false">IF(W51=1,MAX(0,(Slot1_Cost-X51*(1+Slot1_Rate)^(Slot1_Age-D51))/IF51),0)</f>
        <v>0</v>
      </c>
      <c r="IL51" s="20" t="n">
        <f aca="false">IF(AND(HU51=1,W51=1),MIN(ID51,IJ51),0)</f>
        <v>0</v>
      </c>
      <c r="IM51" s="20" t="n">
        <f aca="false">ID51-IL51</f>
        <v>0</v>
      </c>
      <c r="IN51" s="20" t="n">
        <f aca="false">IF(AH51=1,IF(ABS((1+AS_Wage)/(1+Slot2_Rate)-1)&lt;0.000000000001,(Slot2_Age-D51)*(1+Slot2_Rate)^(Slot2_Age-D51),(1+Slot2_Rate)^(Slot2_Age-D51)*(1-((1+AS_Wage)/(1+Slot2_Rate))^(Slot2_Age-D51))/(1-(1+AS_Wage)/(1+Slot2_Rate))),1)</f>
        <v>1</v>
      </c>
      <c r="IO51" s="20" t="n">
        <f aca="false">IF(AND(HU51=1,IE51&gt;0,Slot2_IsWG=1,AH51=1),MAX(0,(Slot2_Cost-AI51*(1+Slot2_Rate)^(Slot2_Age-D51))/IN51),0)</f>
        <v>0</v>
      </c>
      <c r="IP51" s="20" t="n">
        <f aca="false">IF(AND(HU51=1,IE51&gt;0,Slot2_IsWG=1,AH51=1),MIN(IE51,IO51),0)</f>
        <v>0</v>
      </c>
      <c r="IQ51" s="20" t="n">
        <f aca="false">AI51+IP51</f>
        <v>0</v>
      </c>
      <c r="IR51" s="20" t="n">
        <f aca="false">IF(AH51=1,MAX(0,(Slot2_Cost-IQ51*(1+Slot2_Rate)^(Slot2_Age-D51))/IN51),0)</f>
        <v>0</v>
      </c>
      <c r="IS51" s="20" t="n">
        <f aca="false">IF(AH51=1,MAX(0,(Slot2_Cost-AI51*(1+Slot2_Rate)^(Slot2_Age-D51))/IN51),0)</f>
        <v>0</v>
      </c>
      <c r="IT51" s="20" t="n">
        <f aca="false">IF(AND(HU51=1,AH51=1),MIN(IM51,IR51),0)</f>
        <v>0</v>
      </c>
      <c r="IU51" s="20" t="n">
        <f aca="false">IM51-IT51</f>
        <v>0</v>
      </c>
      <c r="IV51" s="20" t="n">
        <f aca="false">IF(AR51=1,IF(ABS((1+AS_Wage)/(1+Slot3_Rate)-1)&lt;0.000000000001,(Slot3_Age-D51)*(1+Slot3_Rate)^(Slot3_Age-D51),(1+Slot3_Rate)^(Slot3_Age-D51)*(1-((1+AS_Wage)/(1+Slot3_Rate))^(Slot3_Age-D51))/(1-(1+AS_Wage)/(1+Slot3_Rate))),1)</f>
        <v>1</v>
      </c>
      <c r="IW51" s="20" t="n">
        <f aca="false">IF(AND(HU51=1,IE51&gt;0,Slot3_IsWG=1,AR51=1),MAX(0,(Slot3_Cost-AS51*(1+Slot3_Rate)^(Slot3_Age-D51))/IV51),0)</f>
        <v>0</v>
      </c>
      <c r="IX51" s="20" t="n">
        <f aca="false">IF(AND(HU51=1,IE51&gt;0,Slot3_IsWG=1,AR51=1),MIN(IE51,IW51),0)</f>
        <v>0</v>
      </c>
      <c r="IY51" s="20" t="n">
        <f aca="false">AS51+IX51</f>
        <v>0</v>
      </c>
      <c r="IZ51" s="20" t="n">
        <f aca="false">IF(AR51=1,MAX(0,(Slot3_Cost-IY51*(1+Slot3_Rate)^(Slot3_Age-D51))/IV51),0)</f>
        <v>0</v>
      </c>
      <c r="JA51" s="20" t="n">
        <f aca="false">IF(AR51=1,MAX(0,(Slot3_Cost-AS51*(1+Slot3_Rate)^(Slot3_Age-D51))/IV51),0)</f>
        <v>0</v>
      </c>
      <c r="JB51" s="20" t="n">
        <f aca="false">IF(AND(HU51=1,AR51=1),MIN(IU51,IZ51),0)</f>
        <v>0</v>
      </c>
      <c r="JC51" s="20" t="n">
        <f aca="false">IU51-JB51</f>
        <v>0</v>
      </c>
      <c r="JD51" s="20" t="n">
        <f aca="false">IF(BB51=1,IF(ABS((1+AS_Wage)/(1+Slot4_Rate)-1)&lt;0.000000000001,(Slot4_Age-D51)*(1+Slot4_Rate)^(Slot4_Age-D51),(1+Slot4_Rate)^(Slot4_Age-D51)*(1-((1+AS_Wage)/(1+Slot4_Rate))^(Slot4_Age-D51))/(1-(1+AS_Wage)/(1+Slot4_Rate))),1)</f>
        <v>1</v>
      </c>
      <c r="JE51" s="20" t="n">
        <f aca="false">IF(AND(HU51=1,IE51&gt;0,Slot4_IsWG=1,BB51=1),MAX(0,(Slot4_Cost-BC51*(1+Slot4_Rate)^(Slot4_Age-D51))/JD51),0)</f>
        <v>0</v>
      </c>
      <c r="JF51" s="20" t="n">
        <f aca="false">IF(AND(HU51=1,IE51&gt;0,Slot4_IsWG=1,BB51=1),MIN(IE51,JE51),0)</f>
        <v>0</v>
      </c>
      <c r="JG51" s="20" t="n">
        <f aca="false">BC51+JF51</f>
        <v>0</v>
      </c>
      <c r="JH51" s="20" t="n">
        <f aca="false">IF(BB51=1,MAX(0,(Slot4_Cost-JG51*(1+Slot4_Rate)^(Slot4_Age-D51))/JD51),0)</f>
        <v>0</v>
      </c>
      <c r="JI51" s="20" t="n">
        <f aca="false">IF(BB51=1,MAX(0,(Slot4_Cost-BC51*(1+Slot4_Rate)^(Slot4_Age-D51))/JD51),0)</f>
        <v>0</v>
      </c>
      <c r="JJ51" s="20" t="n">
        <f aca="false">IF(AND(HU51=1,BB51=1),MIN(JC51,JH51),0)</f>
        <v>0</v>
      </c>
      <c r="JK51" s="20" t="n">
        <f aca="false">JC51-JJ51</f>
        <v>0</v>
      </c>
      <c r="JL51" s="20" t="n">
        <f aca="false">IF(BL51=1,IF(ABS((1+AS_Wage)/(1+Slot5_Rate)-1)&lt;0.000000000001,(Slot5_Age-D51)*(1+Slot5_Rate)^(Slot5_Age-D51),(1+Slot5_Rate)^(Slot5_Age-D51)*(1-((1+AS_Wage)/(1+Slot5_Rate))^(Slot5_Age-D51))/(1-(1+AS_Wage)/(1+Slot5_Rate))),1)</f>
        <v>1</v>
      </c>
      <c r="JM51" s="20" t="n">
        <f aca="false">IF(AND(HU51=1,IE51&gt;0,Slot5_IsWG=1,BL51=1),MAX(0,(Slot5_Cost-BM51*(1+Slot5_Rate)^(Slot5_Age-D51))/JL51),0)</f>
        <v>0</v>
      </c>
      <c r="JN51" s="20" t="n">
        <f aca="false">IF(AND(HU51=1,IE51&gt;0,Slot5_IsWG=1,BL51=1),MIN(IE51,JM51),0)</f>
        <v>0</v>
      </c>
      <c r="JO51" s="20" t="n">
        <f aca="false">BM51+JN51</f>
        <v>0</v>
      </c>
      <c r="JP51" s="20" t="n">
        <f aca="false">IF(BL51=1,MAX(0,(Slot5_Cost-JO51*(1+Slot5_Rate)^(Slot5_Age-D51))/JL51),0)</f>
        <v>0</v>
      </c>
      <c r="JQ51" s="20" t="n">
        <f aca="false">IF(BL51=1,MAX(0,(Slot5_Cost-BM51*(1+Slot5_Rate)^(Slot5_Age-D51))/JL51),0)</f>
        <v>0</v>
      </c>
      <c r="JR51" s="20" t="n">
        <f aca="false">IF(AND(HU51=1,BL51=1),MIN(JK51,JP51),0)</f>
        <v>0</v>
      </c>
      <c r="JS51" s="20" t="n">
        <f aca="false">JK51-JR51</f>
        <v>0</v>
      </c>
      <c r="JT51" s="20" t="n">
        <f aca="false">IF(BV51=1,IF(ABS((1+AS_Wage)/(1+Slot6_Rate)-1)&lt;0.000000000001,(Slot6_Age-D51)*(1+Slot6_Rate)^(Slot6_Age-D51),(1+Slot6_Rate)^(Slot6_Age-D51)*(1-((1+AS_Wage)/(1+Slot6_Rate))^(Slot6_Age-D51))/(1-(1+AS_Wage)/(1+Slot6_Rate))),1)</f>
        <v>1</v>
      </c>
      <c r="JU51" s="20" t="n">
        <f aca="false">IF(AND(HU51=1,IE51&gt;0,Slot6_IsWG=1,BV51=1),MAX(0,(Slot6_Cost-BW51*(1+Slot6_Rate)^(Slot6_Age-D51))/JT51),0)</f>
        <v>0</v>
      </c>
      <c r="JV51" s="20" t="n">
        <f aca="false">IF(AND(HU51=1,IE51&gt;0,Slot6_IsWG=1,BV51=1),MIN(IE51,JU51),0)</f>
        <v>0</v>
      </c>
      <c r="JW51" s="20" t="n">
        <f aca="false">BW51+JV51</f>
        <v>0</v>
      </c>
      <c r="JX51" s="20" t="n">
        <f aca="false">IF(BV51=1,MAX(0,(Slot6_Cost-JW51*(1+Slot6_Rate)^(Slot6_Age-D51))/JT51),0)</f>
        <v>0</v>
      </c>
      <c r="JY51" s="20" t="n">
        <f aca="false">IF(BV51=1,MAX(0,(Slot6_Cost-BW51*(1+Slot6_Rate)^(Slot6_Age-D51))/JT51),0)</f>
        <v>0</v>
      </c>
      <c r="JZ51" s="20" t="n">
        <f aca="false">IF(AND(HU51=1,BV51=1),MIN(JS51,JX51),0)</f>
        <v>0</v>
      </c>
      <c r="KA51" s="20" t="n">
        <f aca="false">JS51-JZ51</f>
        <v>0</v>
      </c>
      <c r="KB51" s="20" t="n">
        <f aca="false">IF(CF51=1,IF(ABS((1+AS_Wage)/(1+Slot7_Rate)-1)&lt;0.000000000001,(Slot7_Age-D51)*(1+Slot7_Rate)^(Slot7_Age-D51),(1+Slot7_Rate)^(Slot7_Age-D51)*(1-((1+AS_Wage)/(1+Slot7_Rate))^(Slot7_Age-D51))/(1-(1+AS_Wage)/(1+Slot7_Rate))),1)</f>
        <v>1</v>
      </c>
      <c r="KC51" s="20" t="n">
        <f aca="false">IF(AND(HU51=1,IE51&gt;0,Slot7_IsWG=1,CF51=1),MAX(0,(Slot7_Cost-CG51*(1+Slot7_Rate)^(Slot7_Age-D51))/KB51),0)</f>
        <v>0</v>
      </c>
      <c r="KD51" s="20" t="n">
        <f aca="false">IF(AND(HU51=1,IE51&gt;0,Slot7_IsWG=1,CF51=1),MIN(IE51,KC51),0)</f>
        <v>0</v>
      </c>
      <c r="KE51" s="20" t="n">
        <f aca="false">CG51+KD51</f>
        <v>0</v>
      </c>
      <c r="KF51" s="20" t="n">
        <f aca="false">IF(CF51=1,MAX(0,(Slot7_Cost-KE51*(1+Slot7_Rate)^(Slot7_Age-D51))/KB51),0)</f>
        <v>0</v>
      </c>
      <c r="KG51" s="20" t="n">
        <f aca="false">IF(CF51=1,MAX(0,(Slot7_Cost-CG51*(1+Slot7_Rate)^(Slot7_Age-D51))/KB51),0)</f>
        <v>0</v>
      </c>
      <c r="KH51" s="20" t="n">
        <f aca="false">IF(AND(HU51=1,CF51=1),MIN(KA51,KF51),0)</f>
        <v>0</v>
      </c>
      <c r="KI51" s="20" t="n">
        <f aca="false">KA51-KH51</f>
        <v>0</v>
      </c>
      <c r="KJ51" s="20" t="n">
        <f aca="false">IF(CP51=1,IF(ABS((1+AS_Wage)/(1+Slot8_Rate)-1)&lt;0.000000000001,(Slot8_Age-D51)*(1+Slot8_Rate)^(Slot8_Age-D51),(1+Slot8_Rate)^(Slot8_Age-D51)*(1-((1+AS_Wage)/(1+Slot8_Rate))^(Slot8_Age-D51))/(1-(1+AS_Wage)/(1+Slot8_Rate))),1)</f>
        <v>1</v>
      </c>
      <c r="KK51" s="20" t="n">
        <f aca="false">IF(AND(HU51=1,IE51&gt;0,Slot8_IsWG=1,CP51=1),MAX(0,(Slot8_Cost-CQ51*(1+Slot8_Rate)^(Slot8_Age-D51))/KJ51),0)</f>
        <v>0</v>
      </c>
      <c r="KL51" s="20" t="n">
        <f aca="false">IF(AND(HU51=1,IE51&gt;0,Slot8_IsWG=1,CP51=1),MIN(IE51,KK51),0)</f>
        <v>0</v>
      </c>
      <c r="KM51" s="20" t="n">
        <f aca="false">CQ51+KL51</f>
        <v>0</v>
      </c>
      <c r="KN51" s="20" t="n">
        <f aca="false">IF(CP51=1,MAX(0,(Slot8_Cost-KM51*(1+Slot8_Rate)^(Slot8_Age-D51))/KJ51),0)</f>
        <v>0</v>
      </c>
      <c r="KO51" s="20" t="n">
        <f aca="false">IF(CP51=1,MAX(0,(Slot8_Cost-CQ51*(1+Slot8_Rate)^(Slot8_Age-D51))/KJ51),0)</f>
        <v>0</v>
      </c>
      <c r="KP51" s="20" t="n">
        <f aca="false">IF(AND(HU51=1,CP51=1),MIN(KI51,KN51),0)</f>
        <v>0</v>
      </c>
      <c r="KQ51" s="20" t="n">
        <f aca="false">KI51-KP51</f>
        <v>0</v>
      </c>
      <c r="KR51" s="20" t="n">
        <f aca="false">IF(CZ51=1,IF(ABS((1+AS_Wage)/(1+Slot9_Rate)-1)&lt;0.000000000001,(Slot9_Age-D51)*(1+Slot9_Rate)^(Slot9_Age-D51),(1+Slot9_Rate)^(Slot9_Age-D51)*(1-((1+AS_Wage)/(1+Slot9_Rate))^(Slot9_Age-D51))/(1-(1+AS_Wage)/(1+Slot9_Rate))),1)</f>
        <v>1</v>
      </c>
      <c r="KS51" s="20" t="n">
        <f aca="false">IF(AND(HU51=1,IE51&gt;0,Slot9_IsWG=1,CZ51=1),MAX(0,(Slot9_Cost-DA51*(1+Slot9_Rate)^(Slot9_Age-D51))/KR51),0)</f>
        <v>0</v>
      </c>
      <c r="KT51" s="20" t="n">
        <f aca="false">IF(AND(HU51=1,IE51&gt;0,Slot9_IsWG=1,CZ51=1),MIN(IE51,KS51),0)</f>
        <v>0</v>
      </c>
      <c r="KU51" s="20" t="n">
        <f aca="false">DA51+KT51</f>
        <v>0</v>
      </c>
      <c r="KV51" s="20" t="n">
        <f aca="false">IF(CZ51=1,MAX(0,(Slot9_Cost-KU51*(1+Slot9_Rate)^(Slot9_Age-D51))/KR51),0)</f>
        <v>0</v>
      </c>
      <c r="KW51" s="20" t="n">
        <f aca="false">IF(CZ51=1,MAX(0,(Slot9_Cost-DA51*(1+Slot9_Rate)^(Slot9_Age-D51))/KR51),0)</f>
        <v>0</v>
      </c>
      <c r="KX51" s="20" t="n">
        <f aca="false">IF(AND(HU51=1,CZ51=1),MIN(KQ51,KV51),0)</f>
        <v>0</v>
      </c>
      <c r="KY51" s="20" t="n">
        <f aca="false">KQ51-KX51</f>
        <v>0</v>
      </c>
      <c r="KZ51" s="20" t="n">
        <f aca="false">IF(DJ51=1,IF(ABS((1+AS_Wage)/(1+Slot10_Rate)-1)&lt;0.000000000001,(Slot10_Age-D51)*(1+Slot10_Rate)^(Slot10_Age-D51),(1+Slot10_Rate)^(Slot10_Age-D51)*(1-((1+AS_Wage)/(1+Slot10_Rate))^(Slot10_Age-D51))/(1-(1+AS_Wage)/(1+Slot10_Rate))),1)</f>
        <v>1</v>
      </c>
      <c r="LA51" s="20" t="n">
        <f aca="false">IF(AND(HU51=1,IE51&gt;0,Slot10_IsWG=1,DJ51=1),MAX(0,(Slot10_Cost-DK51*(1+Slot10_Rate)^(Slot10_Age-D51))/KZ51),0)</f>
        <v>0</v>
      </c>
      <c r="LB51" s="20" t="n">
        <f aca="false">IF(AND(HU51=1,IE51&gt;0,Slot10_IsWG=1,DJ51=1),MIN(IE51,LA51),0)</f>
        <v>0</v>
      </c>
      <c r="LC51" s="20" t="n">
        <f aca="false">DK51+LB51</f>
        <v>0</v>
      </c>
      <c r="LD51" s="20" t="n">
        <f aca="false">IF(DJ51=1,MAX(0,(Slot10_Cost-LC51*(1+Slot10_Rate)^(Slot10_Age-D51))/KZ51),0)</f>
        <v>0</v>
      </c>
      <c r="LE51" s="20" t="n">
        <f aca="false">IF(DJ51=1,MAX(0,(Slot10_Cost-DK51*(1+Slot10_Rate)^(Slot10_Age-D51))/KZ51),0)</f>
        <v>0</v>
      </c>
      <c r="LF51" s="20" t="n">
        <f aca="false">IF(AND(HU51=1,DJ51=1),MIN(KY51,LD51),0)</f>
        <v>0</v>
      </c>
      <c r="LG51" s="20" t="n">
        <f aca="false">KY51-LF51</f>
        <v>0</v>
      </c>
      <c r="LH51" s="20" t="n">
        <f aca="false">IF(DT51=1,IF(ABS((1+AS_Wage)/(1+Slot11_Rate)-1)&lt;0.000000000001,(Slot11_Age-D51)*(1+Slot11_Rate)^(Slot11_Age-D51),(1+Slot11_Rate)^(Slot11_Age-D51)*(1-((1+AS_Wage)/(1+Slot11_Rate))^(Slot11_Age-D51))/(1-(1+AS_Wage)/(1+Slot11_Rate))),1)</f>
        <v>1</v>
      </c>
      <c r="LI51" s="20" t="n">
        <f aca="false">IF(AND(HU51=1,IE51&gt;0,Slot11_IsWG=1,DT51=1),MAX(0,(Slot11_Cost-DU51*(1+Slot11_Rate)^(Slot11_Age-D51))/LH51),0)</f>
        <v>0</v>
      </c>
      <c r="LJ51" s="20" t="n">
        <f aca="false">IF(AND(HU51=1,IE51&gt;0,Slot11_IsWG=1,DT51=1),MIN(IE51,LI51),0)</f>
        <v>0</v>
      </c>
      <c r="LK51" s="20" t="n">
        <f aca="false">DU51+LJ51</f>
        <v>0</v>
      </c>
      <c r="LL51" s="20" t="n">
        <f aca="false">IF(DT51=1,MAX(0,(Slot11_Cost-LK51*(1+Slot11_Rate)^(Slot11_Age-D51))/LH51),0)</f>
        <v>0</v>
      </c>
      <c r="LM51" s="20" t="n">
        <f aca="false">IF(DT51=1,MAX(0,(Slot11_Cost-DU51*(1+Slot11_Rate)^(Slot11_Age-D51))/LH51),0)</f>
        <v>0</v>
      </c>
      <c r="LN51" s="20" t="n">
        <f aca="false">IF(AND(HU51=1,DT51=1),MIN(LG51,LL51),0)</f>
        <v>0</v>
      </c>
      <c r="LO51" s="20" t="n">
        <f aca="false">LG51-LN51</f>
        <v>0</v>
      </c>
      <c r="LP51" s="20" t="n">
        <f aca="false">IF(ED51=1,IF(ABS((1+AS_Wage)/(1+Slot12_Rate)-1)&lt;0.000000000001,(Slot12_Age-D51)*(1+Slot12_Rate)^(Slot12_Age-D51),(1+Slot12_Rate)^(Slot12_Age-D51)*(1-((1+AS_Wage)/(1+Slot12_Rate))^(Slot12_Age-D51))/(1-(1+AS_Wage)/(1+Slot12_Rate))),1)</f>
        <v>1</v>
      </c>
      <c r="LQ51" s="20" t="n">
        <f aca="false">IF(AND(HU51=1,IE51&gt;0,Slot12_IsWG=1,ED51=1),MAX(0,(Slot12_Cost-EE51*(1+Slot12_Rate)^(Slot12_Age-D51))/LP51),0)</f>
        <v>0</v>
      </c>
      <c r="LR51" s="20" t="n">
        <f aca="false">IF(AND(HU51=1,IE51&gt;0,Slot12_IsWG=1,ED51=1),MIN(IE51,LQ51),0)</f>
        <v>0</v>
      </c>
      <c r="LS51" s="20" t="n">
        <f aca="false">EE51+LR51</f>
        <v>0</v>
      </c>
      <c r="LT51" s="20" t="n">
        <f aca="false">IF(ED51=1,MAX(0,(Slot12_Cost-LS51*(1+Slot12_Rate)^(Slot12_Age-D51))/LP51),0)</f>
        <v>0</v>
      </c>
      <c r="LU51" s="20" t="n">
        <f aca="false">IF(ED51=1,MAX(0,(Slot12_Cost-EE51*(1+Slot12_Rate)^(Slot12_Age-D51))/LP51),0)</f>
        <v>0</v>
      </c>
      <c r="LV51" s="20" t="n">
        <f aca="false">IF(AND(HU51=1,ED51=1),MIN(LO51,LT51),0)</f>
        <v>0</v>
      </c>
      <c r="LW51" s="20" t="n">
        <f aca="false">LO51-LV51</f>
        <v>0</v>
      </c>
      <c r="LX51" s="20" t="n">
        <f aca="false">IF(EN51=1,IF(ABS((1+AS_Wage)/(1+Slot13_Rate)-1)&lt;0.000000000001,(Slot13_Age-D51)*(1+Slot13_Rate)^(Slot13_Age-D51),(1+Slot13_Rate)^(Slot13_Age-D51)*(1-((1+AS_Wage)/(1+Slot13_Rate))^(Slot13_Age-D51))/(1-(1+AS_Wage)/(1+Slot13_Rate))),1)</f>
        <v>1</v>
      </c>
      <c r="LY51" s="20" t="n">
        <f aca="false">IF(AND(HU51=1,IE51&gt;0,Slot13_IsWG=1,EN51=1),MAX(0,(Slot13_Cost-EO51*(1+Slot13_Rate)^(Slot13_Age-D51))/LX51),0)</f>
        <v>0</v>
      </c>
      <c r="LZ51" s="20" t="n">
        <f aca="false">IF(AND(HU51=1,IE51&gt;0,Slot13_IsWG=1,EN51=1),MIN(IE51,LY51),0)</f>
        <v>0</v>
      </c>
      <c r="MA51" s="20" t="n">
        <f aca="false">EO51+LZ51</f>
        <v>0</v>
      </c>
      <c r="MB51" s="20" t="n">
        <f aca="false">IF(EN51=1,MAX(0,(Slot13_Cost-MA51*(1+Slot13_Rate)^(Slot13_Age-D51))/LX51),0)</f>
        <v>0</v>
      </c>
      <c r="MC51" s="20" t="n">
        <f aca="false">IF(EN51=1,MAX(0,(Slot13_Cost-EO51*(1+Slot13_Rate)^(Slot13_Age-D51))/LX51),0)</f>
        <v>0</v>
      </c>
      <c r="MD51" s="20" t="n">
        <f aca="false">IF(AND(HU51=1,EN51=1),MIN(LW51,MB51),0)</f>
        <v>0</v>
      </c>
      <c r="ME51" s="20" t="n">
        <f aca="false">LW51-MD51</f>
        <v>0</v>
      </c>
      <c r="MF51" s="20" t="n">
        <f aca="false">IF(EX51=1,IF(ABS((1+AS_Wage)/(1+Slot14_Rate)-1)&lt;0.000000000001,(Slot14_Age-D51)*(1+Slot14_Rate)^(Slot14_Age-D51),(1+Slot14_Rate)^(Slot14_Age-D51)*(1-((1+AS_Wage)/(1+Slot14_Rate))^(Slot14_Age-D51))/(1-(1+AS_Wage)/(1+Slot14_Rate))),1)</f>
        <v>1</v>
      </c>
      <c r="MG51" s="20" t="n">
        <f aca="false">IF(AND(HU51=1,IE51&gt;0,Slot14_IsWG=1,EX51=1),MAX(0,(Slot14_Cost-EY51*(1+Slot14_Rate)^(Slot14_Age-D51))/MF51),0)</f>
        <v>0</v>
      </c>
      <c r="MH51" s="20" t="n">
        <f aca="false">IF(AND(HU51=1,IE51&gt;0,Slot14_IsWG=1,EX51=1),MIN(IE51,MG51),0)</f>
        <v>0</v>
      </c>
      <c r="MI51" s="20" t="n">
        <f aca="false">EY51+MH51</f>
        <v>0</v>
      </c>
      <c r="MJ51" s="20" t="n">
        <f aca="false">IF(EX51=1,MAX(0,(Slot14_Cost-MI51*(1+Slot14_Rate)^(Slot14_Age-D51))/MF51),0)</f>
        <v>0</v>
      </c>
      <c r="MK51" s="20" t="n">
        <f aca="false">IF(EX51=1,MAX(0,(Slot14_Cost-EY51*(1+Slot14_Rate)^(Slot14_Age-D51))/MF51),0)</f>
        <v>0</v>
      </c>
      <c r="ML51" s="20" t="n">
        <f aca="false">IF(AND(HU51=1,EX51=1),MIN(ME51,MJ51),0)</f>
        <v>0</v>
      </c>
      <c r="MM51" s="20" t="n">
        <f aca="false">ME51-ML51</f>
        <v>0</v>
      </c>
      <c r="MN51" s="20" t="n">
        <f aca="false">IF(FH51=1,IF(ABS((1+AS_Wage)/(1+Slot15_Rate)-1)&lt;0.000000000001,(Slot15_Age-D51)*(1+Slot15_Rate)^(Slot15_Age-D51),(1+Slot15_Rate)^(Slot15_Age-D51)*(1-((1+AS_Wage)/(1+Slot15_Rate))^(Slot15_Age-D51))/(1-(1+AS_Wage)/(1+Slot15_Rate))),1)</f>
        <v>1</v>
      </c>
      <c r="MO51" s="20" t="n">
        <f aca="false">IF(AND(HU51=1,IE51&gt;0,Slot15_IsWG=1,FH51=1),MAX(0,(Slot15_Cost-FI51*(1+Slot15_Rate)^(Slot15_Age-D51))/MN51),0)</f>
        <v>0</v>
      </c>
      <c r="MP51" s="20" t="n">
        <f aca="false">IF(AND(HU51=1,IE51&gt;0,Slot15_IsWG=1,FH51=1),MIN(IE51,MO51),0)</f>
        <v>0</v>
      </c>
      <c r="MQ51" s="20" t="n">
        <f aca="false">FI51+MP51</f>
        <v>0</v>
      </c>
      <c r="MR51" s="20" t="n">
        <f aca="false">IF(FH51=1,MAX(0,(Slot15_Cost-MQ51*(1+Slot15_Rate)^(Slot15_Age-D51))/MN51),0)</f>
        <v>0</v>
      </c>
      <c r="MS51" s="20" t="n">
        <f aca="false">IF(FH51=1,MAX(0,(Slot15_Cost-FI51*(1+Slot15_Rate)^(Slot15_Age-D51))/MN51),0)</f>
        <v>0</v>
      </c>
      <c r="MT51" s="20" t="n">
        <f aca="false">IF(AND(HU51=1,FH51=1),MIN(MM51,MR51),0)</f>
        <v>0</v>
      </c>
      <c r="MU51" s="20" t="n">
        <f aca="false">MM51-MT51</f>
        <v>0</v>
      </c>
      <c r="MV51" s="20" t="n">
        <f aca="false">IF(FR51=1,IF(ABS((1+AS_Wage)/(1+Slot16_Rate)-1)&lt;0.000000000001,(Slot16_Age-D51)*(1+Slot16_Rate)^(Slot16_Age-D51),(1+Slot16_Rate)^(Slot16_Age-D51)*(1-((1+AS_Wage)/(1+Slot16_Rate))^(Slot16_Age-D51))/(1-(1+AS_Wage)/(1+Slot16_Rate))),1)</f>
        <v>1</v>
      </c>
      <c r="MW51" s="20" t="n">
        <f aca="false">IF(AND(HU51=1,IE51&gt;0,Slot16_IsWG=1,FR51=1),MAX(0,(Slot16_Cost-FS51*(1+Slot16_Rate)^(Slot16_Age-D51))/MV51),0)</f>
        <v>0</v>
      </c>
      <c r="MX51" s="20" t="n">
        <f aca="false">IF(AND(HU51=1,IE51&gt;0,Slot16_IsWG=1,FR51=1),MIN(IE51,MW51),0)</f>
        <v>0</v>
      </c>
      <c r="MY51" s="20" t="n">
        <f aca="false">FS51+MX51</f>
        <v>0</v>
      </c>
      <c r="MZ51" s="20" t="n">
        <f aca="false">IF(FR51=1,MAX(0,(Slot16_Cost-MY51*(1+Slot16_Rate)^(Slot16_Age-D51))/MV51),0)</f>
        <v>0</v>
      </c>
      <c r="NA51" s="20" t="n">
        <f aca="false">IF(FR51=1,MAX(0,(Slot16_Cost-FS51*(1+Slot16_Rate)^(Slot16_Age-D51))/MV51),0)</f>
        <v>0</v>
      </c>
      <c r="NB51" s="20" t="n">
        <f aca="false">IF(AND(HU51=1,FR51=1),MIN(MU51,MZ51),0)</f>
        <v>0</v>
      </c>
      <c r="NC51" s="20" t="n">
        <f aca="false">MU51-NB51</f>
        <v>0</v>
      </c>
      <c r="ND51" s="20" t="n">
        <f aca="false">IF(GB51=1,IF(ABS((1+AS_Wage)/(1+Slot17_Rate)-1)&lt;0.000000000001,(Slot17_Age-D51)*(1+Slot17_Rate)^(Slot17_Age-D51),(1+Slot17_Rate)^(Slot17_Age-D51)*(1-((1+AS_Wage)/(1+Slot17_Rate))^(Slot17_Age-D51))/(1-(1+AS_Wage)/(1+Slot17_Rate))),1)</f>
        <v>1</v>
      </c>
      <c r="NE51" s="20" t="n">
        <f aca="false">IF(AND(HU51=1,IE51&gt;0,Slot17_IsWG=1,GB51=1),MAX(0,(Slot17_Cost-GC51*(1+Slot17_Rate)^(Slot17_Age-D51))/ND51),0)</f>
        <v>0</v>
      </c>
      <c r="NF51" s="20" t="n">
        <f aca="false">IF(AND(HU51=1,IE51&gt;0,Slot17_IsWG=1,GB51=1),MIN(IE51,NE51),0)</f>
        <v>0</v>
      </c>
      <c r="NG51" s="20" t="n">
        <f aca="false">GC51+NF51</f>
        <v>0</v>
      </c>
      <c r="NH51" s="20" t="n">
        <f aca="false">IF(GB51=1,MAX(0,(Slot17_Cost-NG51*(1+Slot17_Rate)^(Slot17_Age-D51))/ND51),0)</f>
        <v>0</v>
      </c>
      <c r="NI51" s="20" t="n">
        <f aca="false">IF(GB51=1,MAX(0,(Slot17_Cost-GC51*(1+Slot17_Rate)^(Slot17_Age-D51))/ND51),0)</f>
        <v>0</v>
      </c>
      <c r="NJ51" s="20" t="n">
        <f aca="false">IF(AND(HU51=1,GB51=1),MIN(NC51,NH51),0)</f>
        <v>0</v>
      </c>
      <c r="NK51" s="20" t="n">
        <f aca="false">NC51-NJ51</f>
        <v>0</v>
      </c>
      <c r="NL51" s="20" t="n">
        <f aca="false">IF(GL51=1,IF(ABS((1+AS_Wage)/(1+Slot18_Rate)-1)&lt;0.000000000001,(Slot18_Age-D51)*(1+Slot18_Rate)^(Slot18_Age-D51),(1+Slot18_Rate)^(Slot18_Age-D51)*(1-((1+AS_Wage)/(1+Slot18_Rate))^(Slot18_Age-D51))/(1-(1+AS_Wage)/(1+Slot18_Rate))),1)</f>
        <v>1</v>
      </c>
      <c r="NM51" s="20" t="n">
        <f aca="false">IF(AND(HU51=1,IE51&gt;0,Slot18_IsWG=1,GL51=1),MAX(0,(Slot18_Cost-GM51*(1+Slot18_Rate)^(Slot18_Age-D51))/NL51),0)</f>
        <v>0</v>
      </c>
      <c r="NN51" s="20" t="n">
        <f aca="false">IF(AND(HU51=1,IE51&gt;0,Slot18_IsWG=1,GL51=1),MIN(IE51,NM51),0)</f>
        <v>0</v>
      </c>
      <c r="NO51" s="20" t="n">
        <f aca="false">GM51+NN51</f>
        <v>0</v>
      </c>
      <c r="NP51" s="20" t="n">
        <f aca="false">IF(GL51=1,MAX(0,(Slot18_Cost-NO51*(1+Slot18_Rate)^(Slot18_Age-D51))/NL51),0)</f>
        <v>0</v>
      </c>
      <c r="NQ51" s="20" t="n">
        <f aca="false">IF(GL51=1,MAX(0,(Slot18_Cost-GM51*(1+Slot18_Rate)^(Slot18_Age-D51))/NL51),0)</f>
        <v>0</v>
      </c>
      <c r="NR51" s="20" t="n">
        <f aca="false">IF(AND(HU51=1,GL51=1),MIN(NK51,NP51),0)</f>
        <v>0</v>
      </c>
      <c r="NS51" s="20" t="n">
        <f aca="false">NK51-NR51</f>
        <v>0</v>
      </c>
      <c r="NT51" s="20" t="n">
        <f aca="false">IF(GV51=1,IF(ABS((1+AS_Wage)/(1+Slot19_Rate)-1)&lt;0.000000000001,(Slot19_Age-D51)*(1+Slot19_Rate)^(Slot19_Age-D51),(1+Slot19_Rate)^(Slot19_Age-D51)*(1-((1+AS_Wage)/(1+Slot19_Rate))^(Slot19_Age-D51))/(1-(1+AS_Wage)/(1+Slot19_Rate))),1)</f>
        <v>1</v>
      </c>
      <c r="NU51" s="20" t="n">
        <f aca="false">IF(AND(HU51=1,IE51&gt;0,Slot19_IsWG=1,GV51=1),MAX(0,(Slot19_Cost-GW51*(1+Slot19_Rate)^(Slot19_Age-D51))/NT51),0)</f>
        <v>0</v>
      </c>
      <c r="NV51" s="20" t="n">
        <f aca="false">IF(AND(HU51=1,IE51&gt;0,Slot19_IsWG=1,GV51=1),MIN(IE51,NU51),0)</f>
        <v>0</v>
      </c>
      <c r="NW51" s="20" t="n">
        <f aca="false">GW51+NV51</f>
        <v>0</v>
      </c>
      <c r="NX51" s="20" t="n">
        <f aca="false">IF(GV51=1,MAX(0,(Slot19_Cost-NW51*(1+Slot19_Rate)^(Slot19_Age-D51))/NT51),0)</f>
        <v>0</v>
      </c>
      <c r="NY51" s="20" t="n">
        <f aca="false">IF(GV51=1,MAX(0,(Slot19_Cost-GW51*(1+Slot19_Rate)^(Slot19_Age-D51))/NT51),0)</f>
        <v>0</v>
      </c>
      <c r="NZ51" s="20" t="n">
        <f aca="false">IF(AND(HU51=1,GV51=1),MIN(NS51,NX51),0)</f>
        <v>0</v>
      </c>
      <c r="OA51" s="20" t="n">
        <f aca="false">NS51-NZ51</f>
        <v>0</v>
      </c>
      <c r="OB51" s="20" t="n">
        <f aca="false">IF(HF51=1,IF(ABS((1+AS_Wage)/(1+Slot20_Rate)-1)&lt;0.000000000001,(Slot20_Age-D51)*(1+Slot20_Rate)^(Slot20_Age-D51),(1+Slot20_Rate)^(Slot20_Age-D51)*(1-((1+AS_Wage)/(1+Slot20_Rate))^(Slot20_Age-D51))/(1-(1+AS_Wage)/(1+Slot20_Rate))),1)</f>
        <v>1</v>
      </c>
      <c r="OC51" s="20" t="n">
        <f aca="false">IF(AND(HU51=1,IE51&gt;0,Slot20_IsWG=1,HF51=1),MAX(0,(Slot20_Cost-HG51*(1+Slot20_Rate)^(Slot20_Age-D51))/OB51),0)</f>
        <v>0</v>
      </c>
      <c r="OD51" s="20" t="n">
        <f aca="false">IF(AND(HU51=1,IE51&gt;0,Slot20_IsWG=1,HF51=1),MIN(IE51,OC51),0)</f>
        <v>0</v>
      </c>
      <c r="OE51" s="20" t="n">
        <f aca="false">HG51+OD51</f>
        <v>0</v>
      </c>
      <c r="OF51" s="20" t="n">
        <f aca="false">IF(HF51=1,MAX(0,(Slot20_Cost-OE51*(1+Slot20_Rate)^(Slot20_Age-D51))/OB51),0)</f>
        <v>0</v>
      </c>
      <c r="OG51" s="20" t="n">
        <f aca="false">IF(HF51=1,MAX(0,(Slot20_Cost-HG51*(1+Slot20_Rate)^(Slot20_Age-D51))/OB51),0)</f>
        <v>0</v>
      </c>
      <c r="OH51" s="20" t="n">
        <f aca="false">IF(AND(HU51=1,HF51=1),MIN(OA51,OF51),0)</f>
        <v>0</v>
      </c>
      <c r="OI51" s="20" t="n">
        <f aca="false">OA51-OH51</f>
        <v>0</v>
      </c>
      <c r="OJ51" s="20" t="n">
        <f aca="false">IE51-(IH51+IP51+IX51+JF51+JN51+JV51+KD51+KL51+KT51+LB51+LJ51+LR51+LZ51+MH51+MP51+MX51+NF51+NN51+NV51+OD51)</f>
        <v>0</v>
      </c>
      <c r="OK51" s="20" t="n">
        <f aca="false">IF(HU51=1,HS51-ID51-IE51,0)</f>
        <v>0</v>
      </c>
      <c r="OL51" s="20" t="n">
        <f aca="false">IF(HU51=0,-HS51,0)</f>
        <v>25301.617568835</v>
      </c>
      <c r="OM51" s="20" t="n">
        <f aca="false">MIN(OL51,HK51)</f>
        <v>0</v>
      </c>
      <c r="ON51" s="20" t="n">
        <f aca="false">OL51-OM51</f>
        <v>25301.617568835</v>
      </c>
      <c r="OO51" s="20" t="n">
        <f aca="false">MIN(ON51,HL51)</f>
        <v>0</v>
      </c>
      <c r="OP51" s="20" t="n">
        <f aca="false">ON51-OO51</f>
        <v>25301.617568835</v>
      </c>
      <c r="OQ51" s="20" t="n">
        <f aca="false">IF(AND(HU51=0,HF51=1,OP51&gt;0),MIN(OP51,HG51),0)</f>
        <v>0</v>
      </c>
      <c r="OR51" s="20" t="n">
        <f aca="false">OP51-OQ51</f>
        <v>25301.617568835</v>
      </c>
      <c r="OS51" s="20" t="n">
        <f aca="false">IF(AND(HU51=0,GV51=1,OR51&gt;0),MIN(OR51,GW51),0)</f>
        <v>0</v>
      </c>
      <c r="OT51" s="20" t="n">
        <f aca="false">OR51-OS51</f>
        <v>25301.617568835</v>
      </c>
      <c r="OU51" s="20" t="n">
        <f aca="false">IF(AND(HU51=0,GL51=1,OT51&gt;0),MIN(OT51,GM51),0)</f>
        <v>0</v>
      </c>
      <c r="OV51" s="20" t="n">
        <f aca="false">OT51-OU51</f>
        <v>25301.617568835</v>
      </c>
      <c r="OW51" s="20" t="n">
        <f aca="false">IF(AND(HU51=0,GB51=1,OV51&gt;0),MIN(OV51,GC51),0)</f>
        <v>0</v>
      </c>
      <c r="OX51" s="20" t="n">
        <f aca="false">OV51-OW51</f>
        <v>25301.617568835</v>
      </c>
      <c r="OY51" s="20" t="n">
        <f aca="false">IF(AND(HU51=0,FR51=1,OX51&gt;0),MIN(OX51,FS51),0)</f>
        <v>0</v>
      </c>
      <c r="OZ51" s="20" t="n">
        <f aca="false">OX51-OY51</f>
        <v>25301.617568835</v>
      </c>
      <c r="PA51" s="20" t="n">
        <f aca="false">IF(AND(HU51=0,FH51=1,OZ51&gt;0),MIN(OZ51,FI51),0)</f>
        <v>0</v>
      </c>
      <c r="PB51" s="20" t="n">
        <f aca="false">OZ51-PA51</f>
        <v>25301.617568835</v>
      </c>
      <c r="PC51" s="20" t="n">
        <f aca="false">IF(AND(HU51=0,EX51=1,PB51&gt;0),MIN(PB51,EY51),0)</f>
        <v>0</v>
      </c>
      <c r="PD51" s="20" t="n">
        <f aca="false">PB51-PC51</f>
        <v>25301.617568835</v>
      </c>
      <c r="PE51" s="20" t="n">
        <f aca="false">IF(AND(HU51=0,EN51=1,PD51&gt;0),MIN(PD51,EO51),0)</f>
        <v>0</v>
      </c>
      <c r="PF51" s="20" t="n">
        <f aca="false">PD51-PE51</f>
        <v>25301.617568835</v>
      </c>
      <c r="PG51" s="20" t="n">
        <f aca="false">IF(AND(HU51=0,ED51=1,PF51&gt;0),MIN(PF51,EE51),0)</f>
        <v>0</v>
      </c>
      <c r="PH51" s="20" t="n">
        <f aca="false">PF51-PG51</f>
        <v>25301.617568835</v>
      </c>
      <c r="PI51" s="20" t="n">
        <f aca="false">IF(AND(HU51=0,DT51=1,PH51&gt;0),MIN(PH51,DU51),0)</f>
        <v>0</v>
      </c>
      <c r="PJ51" s="20" t="n">
        <f aca="false">PH51-PI51</f>
        <v>25301.617568835</v>
      </c>
      <c r="PK51" s="20" t="n">
        <f aca="false">IF(AND(HU51=0,DJ51=1,PJ51&gt;0),MIN(PJ51,DK51),0)</f>
        <v>0</v>
      </c>
      <c r="PL51" s="20" t="n">
        <f aca="false">PJ51-PK51</f>
        <v>25301.617568835</v>
      </c>
      <c r="PM51" s="20" t="n">
        <f aca="false">IF(AND(HU51=0,CZ51=1,PL51&gt;0),MIN(PL51,DA51),0)</f>
        <v>0</v>
      </c>
      <c r="PN51" s="20" t="n">
        <f aca="false">PL51-PM51</f>
        <v>25301.617568835</v>
      </c>
      <c r="PO51" s="20" t="n">
        <f aca="false">IF(AND(HU51=0,CP51=1,PN51&gt;0),MIN(PN51,CQ51),0)</f>
        <v>0</v>
      </c>
      <c r="PP51" s="20" t="n">
        <f aca="false">PN51-PO51</f>
        <v>25301.617568835</v>
      </c>
      <c r="PQ51" s="20" t="n">
        <f aca="false">IF(AND(HU51=0,CF51=1,PP51&gt;0),MIN(PP51,CG51),0)</f>
        <v>0</v>
      </c>
      <c r="PR51" s="20" t="n">
        <f aca="false">PP51-PQ51</f>
        <v>25301.617568835</v>
      </c>
      <c r="PS51" s="20" t="n">
        <f aca="false">IF(AND(HU51=0,BV51=1,PR51&gt;0),MIN(PR51,BW51),0)</f>
        <v>0</v>
      </c>
      <c r="PT51" s="20" t="n">
        <f aca="false">PR51-PS51</f>
        <v>25301.617568835</v>
      </c>
      <c r="PU51" s="20" t="n">
        <f aca="false">IF(AND(HU51=0,BL51=1,PT51&gt;0),MIN(PT51,BM51),0)</f>
        <v>0</v>
      </c>
      <c r="PV51" s="20" t="n">
        <f aca="false">PT51-PU51</f>
        <v>25301.617568835</v>
      </c>
      <c r="PW51" s="20" t="n">
        <f aca="false">IF(AND(HU51=0,BB51=1,PV51&gt;0),MIN(PV51,BC51),0)</f>
        <v>0</v>
      </c>
      <c r="PX51" s="20" t="n">
        <f aca="false">PV51-PW51</f>
        <v>25301.617568835</v>
      </c>
      <c r="PY51" s="20" t="n">
        <f aca="false">IF(AND(HU51=0,AR51=1,PX51&gt;0),MIN(PX51,AS51),0)</f>
        <v>0</v>
      </c>
      <c r="PZ51" s="20" t="n">
        <f aca="false">PX51-PY51</f>
        <v>25301.617568835</v>
      </c>
      <c r="QA51" s="20" t="n">
        <f aca="false">IF(AND(HU51=0,AH51=1,PZ51&gt;0),MIN(PZ51,AI51),0)</f>
        <v>0</v>
      </c>
      <c r="QB51" s="20" t="n">
        <f aca="false">PZ51-QA51</f>
        <v>25301.617568835</v>
      </c>
      <c r="QC51" s="20" t="n">
        <f aca="false">IF(AND(HU51=0,W51=1,QB51&gt;0),MIN(QB51,X51),0)</f>
        <v>0</v>
      </c>
      <c r="QD51" s="20" t="n">
        <f aca="false">QB51-QC51</f>
        <v>25301.617568835</v>
      </c>
      <c r="QE51" s="20" t="n">
        <f aca="false">IF(HU51=0,QD51,0)</f>
        <v>25301.617568835</v>
      </c>
      <c r="QF51" s="20" t="n">
        <f aca="false">OM51+OO51+QC51+QA51+PY51+PW51+PU51+PS51+PQ51+PO51+PM51+PK51+PI51+PG51+PE51+PC51+PA51+OY51+OW51+OU51+OS51+OQ51</f>
        <v>0</v>
      </c>
      <c r="QG51" s="20" t="n">
        <f aca="false">IF(HU51=1,HK51+OJ51+OI51+IF(G51=1,0,OK51),HK51-OM51)</f>
        <v>0</v>
      </c>
      <c r="QH51" s="20" t="n">
        <f aca="false">HL51-OO51</f>
        <v>0</v>
      </c>
      <c r="QI51" s="20" t="n">
        <f aca="false">IF(HU51=1,IF(G51=1,ID51+IE51,HS51),0)</f>
        <v>0</v>
      </c>
      <c r="QJ51" s="20" t="n">
        <f aca="false">IF(HU51=1,IF(G51=1,HS51-ID51-IE51,0),0)</f>
        <v>0</v>
      </c>
      <c r="QK51" s="20" t="n">
        <f aca="false">QG51*(1+GR)</f>
        <v>0</v>
      </c>
      <c r="QL51" s="20" t="n">
        <f aca="false">QH51*(1+AS_Cash)</f>
        <v>0</v>
      </c>
      <c r="QM51" s="20" t="n">
        <f aca="false">IF(W51=1,IF(HU51=1,II51+IL51,X51-QC51)*(1+Slot1_Rate),0)</f>
        <v>0</v>
      </c>
      <c r="QN51" s="20" t="n">
        <f aca="false">IF(AND(HU51=1,W51=1),(IH51+IL51)/F51,0)</f>
        <v>0</v>
      </c>
      <c r="QO51" s="20" t="n">
        <f aca="false">IF(B51=0,IH51+IL51,0)</f>
        <v>0</v>
      </c>
      <c r="QP51" s="20" t="n">
        <f aca="false">IF(B51=0,IF(HU51=1,IJ51,IK51),0)</f>
        <v>0</v>
      </c>
      <c r="QQ51" s="20" t="n">
        <f aca="false">IF(AH51=1,IF(HU51=1,IQ51+IT51,AI51-QA51)*(1+Slot2_Rate),0)</f>
        <v>0</v>
      </c>
      <c r="QR51" s="20" t="n">
        <f aca="false">IF(AND(HU51=1,AH51=1),(IP51+IT51)/F51,0)</f>
        <v>0</v>
      </c>
      <c r="QS51" s="20" t="n">
        <f aca="false">IF(B51=0,IP51+IT51,0)</f>
        <v>0</v>
      </c>
      <c r="QT51" s="20" t="n">
        <f aca="false">IF(B51=0,IF(HU51=1,IR51,IS51),0)</f>
        <v>0</v>
      </c>
      <c r="QU51" s="20" t="n">
        <f aca="false">IF(AR51=1,IF(HU51=1,IY51+JB51,AS51-PY51)*(1+Slot3_Rate),0)</f>
        <v>0</v>
      </c>
      <c r="QV51" s="20" t="n">
        <f aca="false">IF(AND(HU51=1,AR51=1),(IX51+JB51)/F51,0)</f>
        <v>0</v>
      </c>
      <c r="QW51" s="20" t="n">
        <f aca="false">IF(B51=0,IX51+JB51,0)</f>
        <v>0</v>
      </c>
      <c r="QX51" s="20" t="n">
        <f aca="false">IF(B51=0,IF(HU51=1,IZ51,JA51),0)</f>
        <v>0</v>
      </c>
      <c r="QY51" s="20" t="n">
        <f aca="false">IF(BB51=1,IF(HU51=1,JG51+JJ51,BC51-PW51)*(1+Slot4_Rate),0)</f>
        <v>0</v>
      </c>
      <c r="QZ51" s="20" t="n">
        <f aca="false">IF(AND(HU51=1,BB51=1),(JF51+JJ51)/F51,0)</f>
        <v>0</v>
      </c>
      <c r="RA51" s="20" t="n">
        <f aca="false">IF(B51=0,JF51+JJ51,0)</f>
        <v>0</v>
      </c>
      <c r="RB51" s="20" t="n">
        <f aca="false">IF(B51=0,IF(HU51=1,JH51,JI51),0)</f>
        <v>0</v>
      </c>
      <c r="RC51" s="20" t="n">
        <f aca="false">IF(BL51=1,IF(HU51=1,JO51+JR51,BM51-PU51)*(1+Slot5_Rate),0)</f>
        <v>0</v>
      </c>
      <c r="RD51" s="20" t="n">
        <f aca="false">IF(AND(HU51=1,BL51=1),(JN51+JR51)/F51,0)</f>
        <v>0</v>
      </c>
      <c r="RE51" s="20" t="n">
        <f aca="false">IF(B51=0,JN51+JR51,0)</f>
        <v>0</v>
      </c>
      <c r="RF51" s="20" t="n">
        <f aca="false">IF(B51=0,IF(HU51=1,JP51,JQ51),0)</f>
        <v>0</v>
      </c>
      <c r="RG51" s="20" t="n">
        <f aca="false">IF(BV51=1,IF(HU51=1,JW51+JZ51,BW51-PS51)*(1+Slot6_Rate),0)</f>
        <v>0</v>
      </c>
      <c r="RH51" s="20" t="n">
        <f aca="false">IF(AND(HU51=1,BV51=1),(JV51+JZ51)/F51,0)</f>
        <v>0</v>
      </c>
      <c r="RI51" s="20" t="n">
        <f aca="false">IF(B51=0,JV51+JZ51,0)</f>
        <v>0</v>
      </c>
      <c r="RJ51" s="20" t="n">
        <f aca="false">IF(B51=0,IF(HU51=1,JX51,JY51),0)</f>
        <v>0</v>
      </c>
      <c r="RK51" s="20" t="n">
        <f aca="false">IF(CF51=1,IF(HU51=1,KE51+KH51,CG51-PQ51)*(1+Slot7_Rate),0)</f>
        <v>0</v>
      </c>
      <c r="RL51" s="20" t="n">
        <f aca="false">IF(AND(HU51=1,CF51=1),(KD51+KH51)/F51,0)</f>
        <v>0</v>
      </c>
      <c r="RM51" s="20" t="n">
        <f aca="false">IF(B51=0,KD51+KH51,0)</f>
        <v>0</v>
      </c>
      <c r="RN51" s="20" t="n">
        <f aca="false">IF(B51=0,IF(HU51=1,KF51,KG51),0)</f>
        <v>0</v>
      </c>
      <c r="RO51" s="20" t="n">
        <f aca="false">IF(CP51=1,IF(HU51=1,KM51+KP51,CQ51-PO51)*(1+Slot8_Rate),0)</f>
        <v>0</v>
      </c>
      <c r="RP51" s="20" t="n">
        <f aca="false">IF(AND(HU51=1,CP51=1),(KL51+KP51)/F51,0)</f>
        <v>0</v>
      </c>
      <c r="RQ51" s="20" t="n">
        <f aca="false">IF(B51=0,KL51+KP51,0)</f>
        <v>0</v>
      </c>
      <c r="RR51" s="20" t="n">
        <f aca="false">IF(B51=0,IF(HU51=1,KN51,KO51),0)</f>
        <v>0</v>
      </c>
      <c r="RS51" s="20" t="n">
        <f aca="false">IF(CZ51=1,IF(HU51=1,KU51+KX51,DA51-PM51)*(1+Slot9_Rate),0)</f>
        <v>0</v>
      </c>
      <c r="RT51" s="20" t="n">
        <f aca="false">IF(AND(HU51=1,CZ51=1),(KT51+KX51)/F51,0)</f>
        <v>0</v>
      </c>
      <c r="RU51" s="20" t="n">
        <f aca="false">IF(B51=0,KT51+KX51,0)</f>
        <v>0</v>
      </c>
      <c r="RV51" s="20" t="n">
        <f aca="false">IF(B51=0,IF(HU51=1,KV51,KW51),0)</f>
        <v>0</v>
      </c>
      <c r="RW51" s="20" t="n">
        <f aca="false">IF(DJ51=1,IF(HU51=1,LC51+LF51,DK51-PK51)*(1+Slot10_Rate),0)</f>
        <v>0</v>
      </c>
      <c r="RX51" s="20" t="n">
        <f aca="false">IF(AND(HU51=1,DJ51=1),(LB51+LF51)/F51,0)</f>
        <v>0</v>
      </c>
      <c r="RY51" s="20" t="n">
        <f aca="false">IF(B51=0,LB51+LF51,0)</f>
        <v>0</v>
      </c>
      <c r="RZ51" s="20" t="n">
        <f aca="false">IF(B51=0,IF(HU51=1,LD51,LE51),0)</f>
        <v>0</v>
      </c>
      <c r="SA51" s="20" t="n">
        <f aca="false">IF(DT51=1,IF(HU51=1,LK51+LN51,DU51-PI51)*(1+Slot11_Rate),0)</f>
        <v>0</v>
      </c>
      <c r="SB51" s="20" t="n">
        <f aca="false">IF(AND(HU51=1,DT51=1),(LJ51+LN51)/F51,0)</f>
        <v>0</v>
      </c>
      <c r="SC51" s="20" t="n">
        <f aca="false">IF(B51=0,LJ51+LN51,0)</f>
        <v>0</v>
      </c>
      <c r="SD51" s="20" t="n">
        <f aca="false">IF(B51=0,IF(HU51=1,LL51,LM51),0)</f>
        <v>0</v>
      </c>
      <c r="SE51" s="20" t="n">
        <f aca="false">IF(ED51=1,IF(HU51=1,LS51+LV51,EE51-PG51)*(1+Slot12_Rate),0)</f>
        <v>0</v>
      </c>
      <c r="SF51" s="20" t="n">
        <f aca="false">IF(AND(HU51=1,ED51=1),(LR51+LV51)/F51,0)</f>
        <v>0</v>
      </c>
      <c r="SG51" s="20" t="n">
        <f aca="false">IF(B51=0,LR51+LV51,0)</f>
        <v>0</v>
      </c>
      <c r="SH51" s="20" t="n">
        <f aca="false">IF(B51=0,IF(HU51=1,LT51,LU51),0)</f>
        <v>0</v>
      </c>
      <c r="SI51" s="20" t="n">
        <f aca="false">IF(EN51=1,IF(HU51=1,MA51+MD51,EO51-PE51)*(1+Slot13_Rate),0)</f>
        <v>0</v>
      </c>
      <c r="SJ51" s="20" t="n">
        <f aca="false">IF(AND(HU51=1,EN51=1),(LZ51+MD51)/F51,0)</f>
        <v>0</v>
      </c>
      <c r="SK51" s="20" t="n">
        <f aca="false">IF(B51=0,LZ51+MD51,0)</f>
        <v>0</v>
      </c>
      <c r="SL51" s="20" t="n">
        <f aca="false">IF(B51=0,IF(HU51=1,MB51,MC51),0)</f>
        <v>0</v>
      </c>
      <c r="SM51" s="20" t="n">
        <f aca="false">IF(EX51=1,IF(HU51=1,MI51+ML51,EY51-PC51)*(1+Slot14_Rate),0)</f>
        <v>0</v>
      </c>
      <c r="SN51" s="20" t="n">
        <f aca="false">IF(AND(HU51=1,EX51=1),(MH51+ML51)/F51,0)</f>
        <v>0</v>
      </c>
      <c r="SO51" s="20" t="n">
        <f aca="false">IF(B51=0,MH51+ML51,0)</f>
        <v>0</v>
      </c>
      <c r="SP51" s="20" t="n">
        <f aca="false">IF(B51=0,IF(HU51=1,MJ51,MK51),0)</f>
        <v>0</v>
      </c>
      <c r="SQ51" s="20" t="n">
        <f aca="false">IF(FH51=1,IF(HU51=1,MQ51+MT51,FI51-PA51)*(1+Slot15_Rate),0)</f>
        <v>0</v>
      </c>
      <c r="SR51" s="20" t="n">
        <f aca="false">IF(AND(HU51=1,FH51=1),(MP51+MT51)/F51,0)</f>
        <v>0</v>
      </c>
      <c r="SS51" s="20" t="n">
        <f aca="false">IF(B51=0,MP51+MT51,0)</f>
        <v>0</v>
      </c>
      <c r="ST51" s="20" t="n">
        <f aca="false">IF(B51=0,IF(HU51=1,MR51,MS51),0)</f>
        <v>0</v>
      </c>
      <c r="SU51" s="20" t="n">
        <f aca="false">IF(FR51=1,IF(HU51=1,MY51+NB51,FS51-OY51)*(1+Slot16_Rate),0)</f>
        <v>0</v>
      </c>
      <c r="SV51" s="20" t="n">
        <f aca="false">IF(AND(HU51=1,FR51=1),(MX51+NB51)/F51,0)</f>
        <v>0</v>
      </c>
      <c r="SW51" s="20" t="n">
        <f aca="false">IF(B51=0,MX51+NB51,0)</f>
        <v>0</v>
      </c>
      <c r="SX51" s="20" t="n">
        <f aca="false">IF(B51=0,IF(HU51=1,MZ51,NA51),0)</f>
        <v>0</v>
      </c>
      <c r="SY51" s="20" t="n">
        <f aca="false">IF(GB51=1,IF(HU51=1,NG51+NJ51,GC51-OW51)*(1+Slot17_Rate),0)</f>
        <v>0</v>
      </c>
      <c r="SZ51" s="20" t="n">
        <f aca="false">IF(AND(HU51=1,GB51=1),(NF51+NJ51)/F51,0)</f>
        <v>0</v>
      </c>
      <c r="TA51" s="20" t="n">
        <f aca="false">IF(B51=0,NF51+NJ51,0)</f>
        <v>0</v>
      </c>
      <c r="TB51" s="20" t="n">
        <f aca="false">IF(B51=0,IF(HU51=1,NH51,NI51),0)</f>
        <v>0</v>
      </c>
      <c r="TC51" s="20" t="n">
        <f aca="false">IF(GL51=1,IF(HU51=1,NO51+NR51,GM51-OU51)*(1+Slot18_Rate),0)</f>
        <v>0</v>
      </c>
      <c r="TD51" s="20" t="n">
        <f aca="false">IF(AND(HU51=1,GL51=1),(NN51+NR51)/F51,0)</f>
        <v>0</v>
      </c>
      <c r="TE51" s="20" t="n">
        <f aca="false">IF(B51=0,NN51+NR51,0)</f>
        <v>0</v>
      </c>
      <c r="TF51" s="20" t="n">
        <f aca="false">IF(B51=0,IF(HU51=1,NP51,NQ51),0)</f>
        <v>0</v>
      </c>
      <c r="TG51" s="20" t="n">
        <f aca="false">IF(GV51=1,IF(HU51=1,NW51+NZ51,GW51-OS51)*(1+Slot19_Rate),0)</f>
        <v>0</v>
      </c>
      <c r="TH51" s="20" t="n">
        <f aca="false">IF(AND(HU51=1,GV51=1),(NV51+NZ51)/F51,0)</f>
        <v>0</v>
      </c>
      <c r="TI51" s="20" t="n">
        <f aca="false">IF(B51=0,NV51+NZ51,0)</f>
        <v>0</v>
      </c>
      <c r="TJ51" s="20" t="n">
        <f aca="false">IF(B51=0,IF(HU51=1,NX51,NY51),0)</f>
        <v>0</v>
      </c>
      <c r="TK51" s="20" t="n">
        <f aca="false">IF(HF51=1,IF(HU51=1,OE51+OH51,HG51-OQ51)*(1+Slot20_Rate),0)</f>
        <v>0</v>
      </c>
      <c r="TL51" s="20" t="n">
        <f aca="false">IF(AND(HU51=1,HF51=1),(OD51+OH51)/F51,0)</f>
        <v>0</v>
      </c>
      <c r="TM51" s="20" t="n">
        <f aca="false">IF(B51=0,OD51+OH51,0)</f>
        <v>0</v>
      </c>
      <c r="TN51" s="20" t="n">
        <f aca="false">IF(B51=0,IF(HU51=1,OF51,OG51),0)</f>
        <v>0</v>
      </c>
      <c r="TO51" s="20" t="n">
        <f aca="false">QK51+QL51+QM51+QQ51+QU51+QY51+RC51+RG51+RK51+RO51+RS51+RW51+SA51+SE51+SI51+SM51+SQ51+SU51+SY51+TC51+TG51+TK51</f>
        <v>0</v>
      </c>
      <c r="TP51" s="20" t="n">
        <f aca="false">QE51+HP51</f>
        <v>25301.617568835</v>
      </c>
      <c r="TQ51" s="20" t="n">
        <f aca="false">I51+S51</f>
        <v>112004.45118551</v>
      </c>
      <c r="TR51" s="20" t="n">
        <f aca="false">1-G51</f>
        <v>1</v>
      </c>
      <c r="TS51" s="20" t="n">
        <f aca="false">IF(AND(RG_Exists=1,G51=0,C51=1),I51,0)</f>
        <v>112004.45118551</v>
      </c>
      <c r="TT51" s="20" t="n">
        <f aca="false">IF(AND(RG_Exists=1,G51=0,C51=1),I51-MIN(QE51,I51),0)</f>
        <v>86702.8336166747</v>
      </c>
      <c r="TU51" s="20" t="n">
        <f aca="false">'Plan pay &amp; tax'!AD277</f>
        <v>314663.777325635</v>
      </c>
      <c r="TV51" s="20" t="n">
        <f aca="false">IF(AND(C51=1,QE51&gt;MAX(PR_Short1,TQ51*PR_Short2)),1,0)</f>
        <v>1</v>
      </c>
      <c r="TW51" s="20" t="n">
        <f aca="false">MIN(H51,I51+S51)</f>
        <v>86702.8336166747</v>
      </c>
      <c r="TX51" s="20" t="n">
        <f aca="false">QF51+MAX(0,HQ51-HP51)</f>
        <v>0</v>
      </c>
      <c r="TY51" s="20" t="n">
        <f aca="false">QE51+HP51</f>
        <v>25301.617568835</v>
      </c>
      <c r="TZ51" s="20" t="n">
        <f aca="false">IF(AND(C51=1,TY51&gt;PR_MinShort),1,0)</f>
        <v>1</v>
      </c>
      <c r="UA51" s="20" t="n">
        <f aca="false">IF(AND(C51=1,TZ51=0,TX51&gt;PR_MinShort),1,0)</f>
        <v>0</v>
      </c>
      <c r="UB51" s="20" t="n">
        <f aca="false">IF(AND(C51=1,QE51&gt;PR_MinShort),1,0)</f>
        <v>1</v>
      </c>
      <c r="UC51" s="20" t="n">
        <f aca="false">IF(AND(C51=1,QF51&gt;1,UJ51=0),1,0)</f>
        <v>0</v>
      </c>
      <c r="UD51" s="20" t="str">
        <f aca="false">IF(C51=0,"",IF(UJ51=1,"Gap to plan for: short "&amp;"€"&amp;TEXT(ROUND(TP51,0),"#,##0"),IF(QF51&gt;1,"Using savings","Comfortable")))</f>
        <v>Gap to plan for: short €25,302</v>
      </c>
      <c r="UE51" s="20" t="n">
        <f aca="false">IF(AND(INT(D51/10)*10=90,B51&gt;0),80,INT(D51/10)*10)</f>
        <v>80</v>
      </c>
      <c r="UF51" s="20" t="n">
        <f aca="false">IF(B51=0,1,IF(UE51&lt;&gt;UE50,UF50+1,UF50))</f>
        <v>6</v>
      </c>
      <c r="UG51" s="20" t="n">
        <f aca="false">IF(AND(C51=1,G51=1,QE51&gt;MAX(PR_Short1,TQ51*PR_Short2)),1,0)</f>
        <v>0</v>
      </c>
      <c r="UH51" s="20" t="n">
        <f aca="false">TR51*TV51</f>
        <v>1</v>
      </c>
      <c r="UI51" s="20" t="n">
        <f aca="false">IF(AND(V51=1,Slot1_PctLow=1),1,0)+IF(AND(AG51=1,Slot2_PctLow=1),1,0)+IF(AND(AQ51=1,Slot3_PctLow=1),1,0)+IF(AND(BA51=1,Slot4_PctLow=1),1,0)+IF(AND(BK51=1,Slot5_PctLow=1),1,0)+IF(AND(BU51=1,Slot6_PctLow=1),1,0)+IF(AND(CE51=1,Slot7_PctLow=1),1,0)+IF(AND(CO51=1,Slot8_PctLow=1),1,0)+IF(AND(CY51=1,Slot9_PctLow=1),1,0)+IF(AND(DI51=1,Slot10_PctLow=1),1,0)+IF(AND(DS51=1,Slot11_PctLow=1),1,0)+IF(AND(EC51=1,Slot12_PctLow=1),1,0)+IF(AND(EM51=1,Slot13_PctLow=1),1,0)+IF(AND(EW51=1,Slot14_PctLow=1),1,0)+IF(AND(FG51=1,Slot15_PctLow=1),1,0)+IF(AND(FQ51=1,Slot16_PctLow=1),1,0)+IF(AND(GA51=1,Slot17_PctLow=1),1,0)+IF(AND(GK51=1,Slot18_PctLow=1),1,0)+IF(AND(GU51=1,Slot19_PctLow=1),1,0)+IF(AND(HE51=1,Slot20_PctLow=1),1,0)</f>
        <v>0</v>
      </c>
      <c r="UJ51" s="20" t="n">
        <f aca="false">IF(C51=1,IF(OR(TV51=1,UI51&gt;0),1,0),0)</f>
        <v>1</v>
      </c>
    </row>
    <row r="52" customFormat="false" ht="15" hidden="false" customHeight="true" outlineLevel="0" collapsed="false">
      <c r="B52" s="20" t="n">
        <v>44</v>
      </c>
      <c r="C52" s="20" t="n">
        <f aca="false">IF(B52&lt;=F_N,1,0)</f>
        <v>1</v>
      </c>
      <c r="D52" s="20" t="n">
        <f aca="false">'Plan pay &amp; tax'!C278</f>
        <v>82</v>
      </c>
      <c r="E52" s="20" t="str">
        <f aca="false">IF($C52=1,"Income tax "&amp;TEXT(N('Plan pay &amp; tax'!BK278),"#,##0")&amp;"; USC "&amp;TEXT(N('Plan pay &amp; tax'!BM278)+N('Plan pay &amp; tax'!BO278),"#,##0")&amp;"; PRSI "&amp;TEXT(N('Plan pay &amp; tax'!BP278)+N('Plan pay &amp; tax'!BQ278),"#,##0")&amp;". DIRT and exit tax are inside the growth rates here.","")</f>
        <v>Income tax 853; USC 0; PRSI 0. DIRT and exit tax are inside the growth rates here.</v>
      </c>
      <c r="F52" s="44" t="n">
        <f aca="false">'Plan pay &amp; tax'!E278</f>
        <v>2.3900531424523</v>
      </c>
      <c r="G52" s="20" t="n">
        <f aca="false">'Plan pay &amp; tax'!G278</f>
        <v>0</v>
      </c>
      <c r="H52" s="20" t="n">
        <f aca="false">'Plan pay &amp; tax'!BT278-'Plan pay &amp; tax'!BS278-'Plan pay &amp; tax'!R278</f>
        <v>88637.3547133137</v>
      </c>
      <c r="I52" s="20" t="n">
        <f aca="false">IF(G52=1,F_CostsM*12,IF(RG_Exists=1,RG_Amount,F_CostsM*12*AS_RetireSpend))*F52+F_OneOffY*F52</f>
        <v>114244.54020922</v>
      </c>
      <c r="J52" s="20" t="n">
        <f aca="false">HR51</f>
        <v>0</v>
      </c>
      <c r="K52" s="20" t="n">
        <f aca="false">IF(J52&gt;1,'Plan debt months'!AC52,0)</f>
        <v>0</v>
      </c>
      <c r="L52" s="20" t="n">
        <f aca="false">IF(J52&gt;1,'Plan debt months'!AB52,J52)</f>
        <v>0</v>
      </c>
      <c r="M52" s="20" t="n">
        <f aca="false">O51</f>
        <v>0</v>
      </c>
      <c r="N52" s="20" t="n">
        <f aca="false">IF(M52&gt;1,'Plan debt months'!BD52,0)</f>
        <v>0</v>
      </c>
      <c r="O52" s="20" t="n">
        <f aca="false">IF(M52&gt;1,'Plan debt months'!BC52,M52)</f>
        <v>0</v>
      </c>
      <c r="P52" s="20" t="n">
        <f aca="false">R51</f>
        <v>0</v>
      </c>
      <c r="Q52" s="20" t="n">
        <f aca="false">IF(P52&gt;1,'Plan debt months'!CE52,0)</f>
        <v>0</v>
      </c>
      <c r="R52" s="20" t="n">
        <f aca="false">IF(P52&gt;1,'Plan debt months'!CD52,P52)</f>
        <v>0</v>
      </c>
      <c r="S52" s="20" t="n">
        <f aca="false">K52+N52+Q52</f>
        <v>0</v>
      </c>
      <c r="T52" s="20" t="n">
        <f aca="false">QK51+'Plan pay &amp; tax'!Y278</f>
        <v>0</v>
      </c>
      <c r="U52" s="20" t="n">
        <f aca="false">QK51</f>
        <v>0</v>
      </c>
      <c r="V52" s="20" t="n">
        <f aca="false">IF(AND(Slot1_On=1,D52=Slot1_Age),1,0)</f>
        <v>0</v>
      </c>
      <c r="W52" s="20" t="n">
        <f aca="false">IF(AND(Slot1_On=1,Slot1_Age&gt;D52),1,0)</f>
        <v>0</v>
      </c>
      <c r="X52" s="20" t="n">
        <f aca="false">QM51</f>
        <v>0</v>
      </c>
      <c r="Y52" s="20" t="n">
        <f aca="false">V52*MIN(Slot1_Cost,X52)</f>
        <v>0</v>
      </c>
      <c r="Z52" s="20" t="n">
        <f aca="false">V52*Slot1_SpendLike*MIN(Slot1_Cost-Y52,T52)</f>
        <v>0</v>
      </c>
      <c r="AA52" s="20" t="n">
        <f aca="false">Y52+Z52</f>
        <v>0</v>
      </c>
      <c r="AB52" s="20" t="n">
        <f aca="false">T52-Z52+V52*IF(Slot1_SpendLike=1,X52-Y52,IF(Slot1_PotFree=1,X52,0))</f>
        <v>0</v>
      </c>
      <c r="AC52" s="20" t="n">
        <f aca="false">AF52+V52*Slot1_BufPot*X52</f>
        <v>0</v>
      </c>
      <c r="AD52" s="20" t="n">
        <f aca="false">IF(AND(V52=1,Slot1_IsMfree=1),IF(AA52&gt;=Slot1_Cost-1,0,MAX(0,L52-AA52)),L52)</f>
        <v>0</v>
      </c>
      <c r="AE52" s="20" t="n">
        <f aca="false">V52*(Slot1_Cost-AA52)</f>
        <v>0</v>
      </c>
      <c r="AF52" s="20" t="n">
        <f aca="false">QL51</f>
        <v>0</v>
      </c>
      <c r="AG52" s="20" t="n">
        <f aca="false">IF(AND(Slot2_On=1,D52=Slot2_Age),1,0)</f>
        <v>0</v>
      </c>
      <c r="AH52" s="20" t="n">
        <f aca="false">IF(AND(Slot2_On=1,Slot2_Age&gt;D52),1,0)</f>
        <v>0</v>
      </c>
      <c r="AI52" s="20" t="n">
        <f aca="false">QQ51</f>
        <v>0</v>
      </c>
      <c r="AJ52" s="20" t="n">
        <f aca="false">AG52*MIN(Slot2_Cost,AI52)</f>
        <v>0</v>
      </c>
      <c r="AK52" s="20" t="n">
        <f aca="false">AG52*Slot2_SpendLike*MIN(Slot2_Cost-AJ52,AB52)</f>
        <v>0</v>
      </c>
      <c r="AL52" s="20" t="n">
        <f aca="false">AJ52+AK52</f>
        <v>0</v>
      </c>
      <c r="AM52" s="20" t="n">
        <f aca="false">AB52-AK52+AG52*IF(Slot2_SpendLike=1,AI52-AJ52,IF(Slot2_PotFree=1,AI52,0))</f>
        <v>0</v>
      </c>
      <c r="AN52" s="20" t="n">
        <f aca="false">AC52+AG52*Slot2_BufPot*AI52</f>
        <v>0</v>
      </c>
      <c r="AO52" s="20" t="n">
        <f aca="false">IF(AND(AG52=1,Slot2_IsMfree=1),IF(AL52&gt;=Slot2_Cost-1,0,MAX(0,AD52-AL52)),AD52)</f>
        <v>0</v>
      </c>
      <c r="AP52" s="20" t="n">
        <f aca="false">AG52*(Slot2_Cost-AL52)</f>
        <v>0</v>
      </c>
      <c r="AQ52" s="20" t="n">
        <f aca="false">IF(AND(Slot3_On=1,D52=Slot3_Age),1,0)</f>
        <v>0</v>
      </c>
      <c r="AR52" s="20" t="n">
        <f aca="false">IF(AND(Slot3_On=1,Slot3_Age&gt;D52),1,0)</f>
        <v>0</v>
      </c>
      <c r="AS52" s="20" t="n">
        <f aca="false">QU51</f>
        <v>0</v>
      </c>
      <c r="AT52" s="20" t="n">
        <f aca="false">AQ52*MIN(Slot3_Cost,AS52)</f>
        <v>0</v>
      </c>
      <c r="AU52" s="20" t="n">
        <f aca="false">AQ52*Slot3_SpendLike*MIN(Slot3_Cost-AT52,AM52)</f>
        <v>0</v>
      </c>
      <c r="AV52" s="20" t="n">
        <f aca="false">AT52+AU52</f>
        <v>0</v>
      </c>
      <c r="AW52" s="20" t="n">
        <f aca="false">AM52-AU52+AQ52*IF(Slot3_SpendLike=1,AS52-AT52,IF(Slot3_PotFree=1,AS52,0))</f>
        <v>0</v>
      </c>
      <c r="AX52" s="20" t="n">
        <f aca="false">AN52+AQ52*Slot3_BufPot*AS52</f>
        <v>0</v>
      </c>
      <c r="AY52" s="20" t="n">
        <f aca="false">IF(AND(AQ52=1,Slot3_IsMfree=1),IF(AV52&gt;=Slot3_Cost-1,0,MAX(0,AO52-AV52)),AO52)</f>
        <v>0</v>
      </c>
      <c r="AZ52" s="20" t="n">
        <f aca="false">AQ52*(Slot3_Cost-AV52)</f>
        <v>0</v>
      </c>
      <c r="BA52" s="20" t="n">
        <f aca="false">IF(AND(Slot4_On=1,D52=Slot4_Age),1,0)</f>
        <v>0</v>
      </c>
      <c r="BB52" s="20" t="n">
        <f aca="false">IF(AND(Slot4_On=1,Slot4_Age&gt;D52),1,0)</f>
        <v>0</v>
      </c>
      <c r="BC52" s="20" t="n">
        <f aca="false">QY51</f>
        <v>0</v>
      </c>
      <c r="BD52" s="20" t="n">
        <f aca="false">BA52*MIN(Slot4_Cost,BC52)</f>
        <v>0</v>
      </c>
      <c r="BE52" s="20" t="n">
        <f aca="false">BA52*Slot4_SpendLike*MIN(Slot4_Cost-BD52,AW52)</f>
        <v>0</v>
      </c>
      <c r="BF52" s="20" t="n">
        <f aca="false">BD52+BE52</f>
        <v>0</v>
      </c>
      <c r="BG52" s="20" t="n">
        <f aca="false">AW52-BE52+BA52*IF(Slot4_SpendLike=1,BC52-BD52,IF(Slot4_PotFree=1,BC52,0))</f>
        <v>0</v>
      </c>
      <c r="BH52" s="20" t="n">
        <f aca="false">AX52+BA52*Slot4_BufPot*BC52</f>
        <v>0</v>
      </c>
      <c r="BI52" s="20" t="n">
        <f aca="false">IF(AND(BA52=1,Slot4_IsMfree=1),IF(BF52&gt;=Slot4_Cost-1,0,MAX(0,AY52-BF52)),AY52)</f>
        <v>0</v>
      </c>
      <c r="BJ52" s="20" t="n">
        <f aca="false">BA52*(Slot4_Cost-BF52)</f>
        <v>0</v>
      </c>
      <c r="BK52" s="20" t="n">
        <f aca="false">IF(AND(Slot5_On=1,D52=Slot5_Age),1,0)</f>
        <v>0</v>
      </c>
      <c r="BL52" s="20" t="n">
        <f aca="false">IF(AND(Slot5_On=1,Slot5_Age&gt;D52),1,0)</f>
        <v>0</v>
      </c>
      <c r="BM52" s="20" t="n">
        <f aca="false">RC51</f>
        <v>0</v>
      </c>
      <c r="BN52" s="20" t="n">
        <f aca="false">BK52*MIN(Slot5_Cost,BM52)</f>
        <v>0</v>
      </c>
      <c r="BO52" s="20" t="n">
        <f aca="false">BK52*Slot5_SpendLike*MIN(Slot5_Cost-BN52,BG52)</f>
        <v>0</v>
      </c>
      <c r="BP52" s="20" t="n">
        <f aca="false">BN52+BO52</f>
        <v>0</v>
      </c>
      <c r="BQ52" s="20" t="n">
        <f aca="false">BG52-BO52+BK52*IF(Slot5_SpendLike=1,BM52-BN52,IF(Slot5_PotFree=1,BM52,0))</f>
        <v>0</v>
      </c>
      <c r="BR52" s="20" t="n">
        <f aca="false">BH52+BK52*Slot5_BufPot*BM52</f>
        <v>0</v>
      </c>
      <c r="BS52" s="20" t="n">
        <f aca="false">IF(AND(BK52=1,Slot5_IsMfree=1),IF(BP52&gt;=Slot5_Cost-1,0,MAX(0,BI52-BP52)),BI52)</f>
        <v>0</v>
      </c>
      <c r="BT52" s="20" t="n">
        <f aca="false">BK52*(Slot5_Cost-BP52)</f>
        <v>0</v>
      </c>
      <c r="BU52" s="20" t="n">
        <f aca="false">IF(AND(Slot6_On=1,D52=Slot6_Age),1,0)</f>
        <v>0</v>
      </c>
      <c r="BV52" s="20" t="n">
        <f aca="false">IF(AND(Slot6_On=1,Slot6_Age&gt;D52),1,0)</f>
        <v>0</v>
      </c>
      <c r="BW52" s="20" t="n">
        <f aca="false">RG51</f>
        <v>0</v>
      </c>
      <c r="BX52" s="20" t="n">
        <f aca="false">BU52*MIN(Slot6_Cost,BW52)</f>
        <v>0</v>
      </c>
      <c r="BY52" s="20" t="n">
        <f aca="false">BU52*Slot6_SpendLike*MIN(Slot6_Cost-BX52,BQ52)</f>
        <v>0</v>
      </c>
      <c r="BZ52" s="20" t="n">
        <f aca="false">BX52+BY52</f>
        <v>0</v>
      </c>
      <c r="CA52" s="20" t="n">
        <f aca="false">BQ52-BY52+BU52*IF(Slot6_SpendLike=1,BW52-BX52,IF(Slot6_PotFree=1,BW52,0))</f>
        <v>0</v>
      </c>
      <c r="CB52" s="20" t="n">
        <f aca="false">BR52+BU52*Slot6_BufPot*BW52</f>
        <v>0</v>
      </c>
      <c r="CC52" s="20" t="n">
        <f aca="false">IF(AND(BU52=1,Slot6_IsMfree=1),IF(BZ52&gt;=Slot6_Cost-1,0,MAX(0,BS52-BZ52)),BS52)</f>
        <v>0</v>
      </c>
      <c r="CD52" s="20" t="n">
        <f aca="false">BU52*(Slot6_Cost-BZ52)</f>
        <v>0</v>
      </c>
      <c r="CE52" s="20" t="n">
        <f aca="false">IF(AND(Slot7_On=1,D52=Slot7_Age),1,0)</f>
        <v>0</v>
      </c>
      <c r="CF52" s="20" t="n">
        <f aca="false">IF(AND(Slot7_On=1,Slot7_Age&gt;D52),1,0)</f>
        <v>0</v>
      </c>
      <c r="CG52" s="20" t="n">
        <f aca="false">RK51</f>
        <v>0</v>
      </c>
      <c r="CH52" s="20" t="n">
        <f aca="false">CE52*MIN(Slot7_Cost,CG52)</f>
        <v>0</v>
      </c>
      <c r="CI52" s="20" t="n">
        <f aca="false">CE52*Slot7_SpendLike*MIN(Slot7_Cost-CH52,CA52)</f>
        <v>0</v>
      </c>
      <c r="CJ52" s="20" t="n">
        <f aca="false">CH52+CI52</f>
        <v>0</v>
      </c>
      <c r="CK52" s="20" t="n">
        <f aca="false">CA52-CI52+CE52*IF(Slot7_SpendLike=1,CG52-CH52,IF(Slot7_PotFree=1,CG52,0))</f>
        <v>0</v>
      </c>
      <c r="CL52" s="20" t="n">
        <f aca="false">CB52+CE52*Slot7_BufPot*CG52</f>
        <v>0</v>
      </c>
      <c r="CM52" s="20" t="n">
        <f aca="false">IF(AND(CE52=1,Slot7_IsMfree=1),IF(CJ52&gt;=Slot7_Cost-1,0,MAX(0,CC52-CJ52)),CC52)</f>
        <v>0</v>
      </c>
      <c r="CN52" s="20" t="n">
        <f aca="false">CE52*(Slot7_Cost-CJ52)</f>
        <v>0</v>
      </c>
      <c r="CO52" s="20" t="n">
        <f aca="false">IF(AND(Slot8_On=1,D52=Slot8_Age),1,0)</f>
        <v>0</v>
      </c>
      <c r="CP52" s="20" t="n">
        <f aca="false">IF(AND(Slot8_On=1,Slot8_Age&gt;D52),1,0)</f>
        <v>0</v>
      </c>
      <c r="CQ52" s="20" t="n">
        <f aca="false">RO51</f>
        <v>0</v>
      </c>
      <c r="CR52" s="20" t="n">
        <f aca="false">CO52*MIN(Slot8_Cost,CQ52)</f>
        <v>0</v>
      </c>
      <c r="CS52" s="20" t="n">
        <f aca="false">CO52*Slot8_SpendLike*MIN(Slot8_Cost-CR52,CK52)</f>
        <v>0</v>
      </c>
      <c r="CT52" s="20" t="n">
        <f aca="false">CR52+CS52</f>
        <v>0</v>
      </c>
      <c r="CU52" s="20" t="n">
        <f aca="false">CK52-CS52+CO52*IF(Slot8_SpendLike=1,CQ52-CR52,IF(Slot8_PotFree=1,CQ52,0))</f>
        <v>0</v>
      </c>
      <c r="CV52" s="20" t="n">
        <f aca="false">CL52+CO52*Slot8_BufPot*CQ52</f>
        <v>0</v>
      </c>
      <c r="CW52" s="20" t="n">
        <f aca="false">IF(AND(CO52=1,Slot8_IsMfree=1),IF(CT52&gt;=Slot8_Cost-1,0,MAX(0,CM52-CT52)),CM52)</f>
        <v>0</v>
      </c>
      <c r="CX52" s="20" t="n">
        <f aca="false">CO52*(Slot8_Cost-CT52)</f>
        <v>0</v>
      </c>
      <c r="CY52" s="20" t="n">
        <f aca="false">IF(AND(Slot9_On=1,D52=Slot9_Age),1,0)</f>
        <v>0</v>
      </c>
      <c r="CZ52" s="20" t="n">
        <f aca="false">IF(AND(Slot9_On=1,Slot9_Age&gt;D52),1,0)</f>
        <v>0</v>
      </c>
      <c r="DA52" s="20" t="n">
        <f aca="false">RS51</f>
        <v>0</v>
      </c>
      <c r="DB52" s="20" t="n">
        <f aca="false">CY52*MIN(Slot9_Cost,DA52)</f>
        <v>0</v>
      </c>
      <c r="DC52" s="20" t="n">
        <f aca="false">CY52*Slot9_SpendLike*MIN(Slot9_Cost-DB52,CU52)</f>
        <v>0</v>
      </c>
      <c r="DD52" s="20" t="n">
        <f aca="false">DB52+DC52</f>
        <v>0</v>
      </c>
      <c r="DE52" s="20" t="n">
        <f aca="false">CU52-DC52+CY52*IF(Slot9_SpendLike=1,DA52-DB52,IF(Slot9_PotFree=1,DA52,0))</f>
        <v>0</v>
      </c>
      <c r="DF52" s="20" t="n">
        <f aca="false">CV52+CY52*Slot9_BufPot*DA52</f>
        <v>0</v>
      </c>
      <c r="DG52" s="20" t="n">
        <f aca="false">IF(AND(CY52=1,Slot9_IsMfree=1),IF(DD52&gt;=Slot9_Cost-1,0,MAX(0,CW52-DD52)),CW52)</f>
        <v>0</v>
      </c>
      <c r="DH52" s="20" t="n">
        <f aca="false">CY52*(Slot9_Cost-DD52)</f>
        <v>0</v>
      </c>
      <c r="DI52" s="20" t="n">
        <f aca="false">IF(AND(Slot10_On=1,D52=Slot10_Age),1,0)</f>
        <v>0</v>
      </c>
      <c r="DJ52" s="20" t="n">
        <f aca="false">IF(AND(Slot10_On=1,Slot10_Age&gt;D52),1,0)</f>
        <v>0</v>
      </c>
      <c r="DK52" s="20" t="n">
        <f aca="false">RW51</f>
        <v>0</v>
      </c>
      <c r="DL52" s="20" t="n">
        <f aca="false">DI52*MIN(Slot10_Cost,DK52)</f>
        <v>0</v>
      </c>
      <c r="DM52" s="20" t="n">
        <f aca="false">DI52*Slot10_SpendLike*MIN(Slot10_Cost-DL52,DE52)</f>
        <v>0</v>
      </c>
      <c r="DN52" s="20" t="n">
        <f aca="false">DL52+DM52</f>
        <v>0</v>
      </c>
      <c r="DO52" s="20" t="n">
        <f aca="false">DE52-DM52+DI52*IF(Slot10_SpendLike=1,DK52-DL52,IF(Slot10_PotFree=1,DK52,0))</f>
        <v>0</v>
      </c>
      <c r="DP52" s="20" t="n">
        <f aca="false">DF52+DI52*Slot10_BufPot*DK52</f>
        <v>0</v>
      </c>
      <c r="DQ52" s="20" t="n">
        <f aca="false">IF(AND(DI52=1,Slot10_IsMfree=1),IF(DN52&gt;=Slot10_Cost-1,0,MAX(0,DG52-DN52)),DG52)</f>
        <v>0</v>
      </c>
      <c r="DR52" s="20" t="n">
        <f aca="false">DI52*(Slot10_Cost-DN52)</f>
        <v>0</v>
      </c>
      <c r="DS52" s="20" t="n">
        <f aca="false">IF(AND(Slot11_On=1,D52=Slot11_Age),1,0)</f>
        <v>0</v>
      </c>
      <c r="DT52" s="20" t="n">
        <f aca="false">IF(AND(Slot11_On=1,Slot11_Age&gt;D52),1,0)</f>
        <v>0</v>
      </c>
      <c r="DU52" s="20" t="n">
        <f aca="false">SA51</f>
        <v>0</v>
      </c>
      <c r="DV52" s="20" t="n">
        <f aca="false">DS52*MIN(Slot11_Cost,DU52)</f>
        <v>0</v>
      </c>
      <c r="DW52" s="20" t="n">
        <f aca="false">DS52*Slot11_SpendLike*MIN(Slot11_Cost-DV52,DO52)</f>
        <v>0</v>
      </c>
      <c r="DX52" s="20" t="n">
        <f aca="false">DV52+DW52</f>
        <v>0</v>
      </c>
      <c r="DY52" s="20" t="n">
        <f aca="false">DO52-DW52+DS52*IF(Slot11_SpendLike=1,DU52-DV52,IF(Slot11_PotFree=1,DU52,0))</f>
        <v>0</v>
      </c>
      <c r="DZ52" s="20" t="n">
        <f aca="false">DP52+DS52*Slot11_BufPot*DU52</f>
        <v>0</v>
      </c>
      <c r="EA52" s="20" t="n">
        <f aca="false">IF(AND(DS52=1,Slot11_IsMfree=1),IF(DX52&gt;=Slot11_Cost-1,0,MAX(0,DQ52-DX52)),DQ52)</f>
        <v>0</v>
      </c>
      <c r="EB52" s="20" t="n">
        <f aca="false">DS52*(Slot11_Cost-DX52)</f>
        <v>0</v>
      </c>
      <c r="EC52" s="20" t="n">
        <f aca="false">IF(AND(Slot12_On=1,D52=Slot12_Age),1,0)</f>
        <v>0</v>
      </c>
      <c r="ED52" s="20" t="n">
        <f aca="false">IF(AND(Slot12_On=1,Slot12_Age&gt;D52),1,0)</f>
        <v>0</v>
      </c>
      <c r="EE52" s="20" t="n">
        <f aca="false">SE51</f>
        <v>0</v>
      </c>
      <c r="EF52" s="20" t="n">
        <f aca="false">EC52*MIN(Slot12_Cost,EE52)</f>
        <v>0</v>
      </c>
      <c r="EG52" s="20" t="n">
        <f aca="false">EC52*Slot12_SpendLike*MIN(Slot12_Cost-EF52,DY52)</f>
        <v>0</v>
      </c>
      <c r="EH52" s="20" t="n">
        <f aca="false">EF52+EG52</f>
        <v>0</v>
      </c>
      <c r="EI52" s="20" t="n">
        <f aca="false">DY52-EG52+EC52*IF(Slot12_SpendLike=1,EE52-EF52,IF(Slot12_PotFree=1,EE52,0))</f>
        <v>0</v>
      </c>
      <c r="EJ52" s="20" t="n">
        <f aca="false">DZ52+EC52*Slot12_BufPot*EE52</f>
        <v>0</v>
      </c>
      <c r="EK52" s="20" t="n">
        <f aca="false">IF(AND(EC52=1,Slot12_IsMfree=1),IF(EH52&gt;=Slot12_Cost-1,0,MAX(0,EA52-EH52)),EA52)</f>
        <v>0</v>
      </c>
      <c r="EL52" s="20" t="n">
        <f aca="false">EC52*(Slot12_Cost-EH52)</f>
        <v>0</v>
      </c>
      <c r="EM52" s="20" t="n">
        <f aca="false">IF(AND(Slot13_On=1,D52=Slot13_Age),1,0)</f>
        <v>0</v>
      </c>
      <c r="EN52" s="20" t="n">
        <f aca="false">IF(AND(Slot13_On=1,Slot13_Age&gt;D52),1,0)</f>
        <v>0</v>
      </c>
      <c r="EO52" s="20" t="n">
        <f aca="false">SI51</f>
        <v>0</v>
      </c>
      <c r="EP52" s="20" t="n">
        <f aca="false">EM52*MIN(Slot13_Cost,EO52)</f>
        <v>0</v>
      </c>
      <c r="EQ52" s="20" t="n">
        <f aca="false">EM52*Slot13_SpendLike*MIN(Slot13_Cost-EP52,EI52)</f>
        <v>0</v>
      </c>
      <c r="ER52" s="20" t="n">
        <f aca="false">EP52+EQ52</f>
        <v>0</v>
      </c>
      <c r="ES52" s="20" t="n">
        <f aca="false">EI52-EQ52+EM52*IF(Slot13_SpendLike=1,EO52-EP52,IF(Slot13_PotFree=1,EO52,0))</f>
        <v>0</v>
      </c>
      <c r="ET52" s="20" t="n">
        <f aca="false">EJ52+EM52*Slot13_BufPot*EO52</f>
        <v>0</v>
      </c>
      <c r="EU52" s="20" t="n">
        <f aca="false">IF(AND(EM52=1,Slot13_IsMfree=1),IF(ER52&gt;=Slot13_Cost-1,0,MAX(0,EK52-ER52)),EK52)</f>
        <v>0</v>
      </c>
      <c r="EV52" s="20" t="n">
        <f aca="false">EM52*(Slot13_Cost-ER52)</f>
        <v>0</v>
      </c>
      <c r="EW52" s="20" t="n">
        <f aca="false">IF(AND(Slot14_On=1,D52=Slot14_Age),1,0)</f>
        <v>0</v>
      </c>
      <c r="EX52" s="20" t="n">
        <f aca="false">IF(AND(Slot14_On=1,Slot14_Age&gt;D52),1,0)</f>
        <v>0</v>
      </c>
      <c r="EY52" s="20" t="n">
        <f aca="false">SM51</f>
        <v>0</v>
      </c>
      <c r="EZ52" s="20" t="n">
        <f aca="false">EW52*MIN(Slot14_Cost,EY52)</f>
        <v>0</v>
      </c>
      <c r="FA52" s="20" t="n">
        <f aca="false">EW52*Slot14_SpendLike*MIN(Slot14_Cost-EZ52,ES52)</f>
        <v>0</v>
      </c>
      <c r="FB52" s="20" t="n">
        <f aca="false">EZ52+FA52</f>
        <v>0</v>
      </c>
      <c r="FC52" s="20" t="n">
        <f aca="false">ES52-FA52+EW52*IF(Slot14_SpendLike=1,EY52-EZ52,IF(Slot14_PotFree=1,EY52,0))</f>
        <v>0</v>
      </c>
      <c r="FD52" s="20" t="n">
        <f aca="false">ET52+EW52*Slot14_BufPot*EY52</f>
        <v>0</v>
      </c>
      <c r="FE52" s="20" t="n">
        <f aca="false">IF(AND(EW52=1,Slot14_IsMfree=1),IF(FB52&gt;=Slot14_Cost-1,0,MAX(0,EU52-FB52)),EU52)</f>
        <v>0</v>
      </c>
      <c r="FF52" s="20" t="n">
        <f aca="false">EW52*(Slot14_Cost-FB52)</f>
        <v>0</v>
      </c>
      <c r="FG52" s="20" t="n">
        <f aca="false">IF(AND(Slot15_On=1,D52=Slot15_Age),1,0)</f>
        <v>0</v>
      </c>
      <c r="FH52" s="20" t="n">
        <f aca="false">IF(AND(Slot15_On=1,Slot15_Age&gt;D52),1,0)</f>
        <v>0</v>
      </c>
      <c r="FI52" s="20" t="n">
        <f aca="false">SQ51</f>
        <v>0</v>
      </c>
      <c r="FJ52" s="20" t="n">
        <f aca="false">FG52*MIN(Slot15_Cost,FI52)</f>
        <v>0</v>
      </c>
      <c r="FK52" s="20" t="n">
        <f aca="false">FG52*Slot15_SpendLike*MIN(Slot15_Cost-FJ52,FC52)</f>
        <v>0</v>
      </c>
      <c r="FL52" s="20" t="n">
        <f aca="false">FJ52+FK52</f>
        <v>0</v>
      </c>
      <c r="FM52" s="20" t="n">
        <f aca="false">FC52-FK52+FG52*IF(Slot15_SpendLike=1,FI52-FJ52,IF(Slot15_PotFree=1,FI52,0))</f>
        <v>0</v>
      </c>
      <c r="FN52" s="20" t="n">
        <f aca="false">FD52+FG52*Slot15_BufPot*FI52</f>
        <v>0</v>
      </c>
      <c r="FO52" s="20" t="n">
        <f aca="false">IF(AND(FG52=1,Slot15_IsMfree=1),IF(FL52&gt;=Slot15_Cost-1,0,MAX(0,FE52-FL52)),FE52)</f>
        <v>0</v>
      </c>
      <c r="FP52" s="20" t="n">
        <f aca="false">FG52*(Slot15_Cost-FL52)</f>
        <v>0</v>
      </c>
      <c r="FQ52" s="20" t="n">
        <f aca="false">IF(AND(Slot16_On=1,D52=Slot16_Age),1,0)</f>
        <v>0</v>
      </c>
      <c r="FR52" s="20" t="n">
        <f aca="false">IF(AND(Slot16_On=1,Slot16_Age&gt;D52),1,0)</f>
        <v>0</v>
      </c>
      <c r="FS52" s="20" t="n">
        <f aca="false">SU51</f>
        <v>0</v>
      </c>
      <c r="FT52" s="20" t="n">
        <f aca="false">FQ52*MIN(Slot16_Cost,FS52)</f>
        <v>0</v>
      </c>
      <c r="FU52" s="20" t="n">
        <f aca="false">FQ52*Slot16_SpendLike*MIN(Slot16_Cost-FT52,FM52)</f>
        <v>0</v>
      </c>
      <c r="FV52" s="20" t="n">
        <f aca="false">FT52+FU52</f>
        <v>0</v>
      </c>
      <c r="FW52" s="20" t="n">
        <f aca="false">FM52-FU52+FQ52*IF(Slot16_SpendLike=1,FS52-FT52,IF(Slot16_PotFree=1,FS52,0))</f>
        <v>0</v>
      </c>
      <c r="FX52" s="20" t="n">
        <f aca="false">FN52+FQ52*Slot16_BufPot*FS52</f>
        <v>0</v>
      </c>
      <c r="FY52" s="20" t="n">
        <f aca="false">IF(AND(FQ52=1,Slot16_IsMfree=1),IF(FV52&gt;=Slot16_Cost-1,0,MAX(0,FO52-FV52)),FO52)</f>
        <v>0</v>
      </c>
      <c r="FZ52" s="20" t="n">
        <f aca="false">FQ52*(Slot16_Cost-FV52)</f>
        <v>0</v>
      </c>
      <c r="GA52" s="20" t="n">
        <f aca="false">IF(AND(Slot17_On=1,D52=Slot17_Age),1,0)</f>
        <v>0</v>
      </c>
      <c r="GB52" s="20" t="n">
        <f aca="false">IF(AND(Slot17_On=1,Slot17_Age&gt;D52),1,0)</f>
        <v>0</v>
      </c>
      <c r="GC52" s="20" t="n">
        <f aca="false">SY51</f>
        <v>0</v>
      </c>
      <c r="GD52" s="20" t="n">
        <f aca="false">GA52*MIN(Slot17_Cost,GC52)</f>
        <v>0</v>
      </c>
      <c r="GE52" s="20" t="n">
        <f aca="false">GA52*Slot17_SpendLike*MIN(Slot17_Cost-GD52,FW52)</f>
        <v>0</v>
      </c>
      <c r="GF52" s="20" t="n">
        <f aca="false">GD52+GE52</f>
        <v>0</v>
      </c>
      <c r="GG52" s="20" t="n">
        <f aca="false">FW52-GE52+GA52*IF(Slot17_SpendLike=1,GC52-GD52,IF(Slot17_PotFree=1,GC52,0))</f>
        <v>0</v>
      </c>
      <c r="GH52" s="20" t="n">
        <f aca="false">FX52+GA52*Slot17_BufPot*GC52</f>
        <v>0</v>
      </c>
      <c r="GI52" s="20" t="n">
        <f aca="false">IF(AND(GA52=1,Slot17_IsMfree=1),IF(GF52&gt;=Slot17_Cost-1,0,MAX(0,FY52-GF52)),FY52)</f>
        <v>0</v>
      </c>
      <c r="GJ52" s="20" t="n">
        <f aca="false">GA52*(Slot17_Cost-GF52)</f>
        <v>0</v>
      </c>
      <c r="GK52" s="20" t="n">
        <f aca="false">IF(AND(Slot18_On=1,D52=Slot18_Age),1,0)</f>
        <v>0</v>
      </c>
      <c r="GL52" s="20" t="n">
        <f aca="false">IF(AND(Slot18_On=1,Slot18_Age&gt;D52),1,0)</f>
        <v>0</v>
      </c>
      <c r="GM52" s="20" t="n">
        <f aca="false">TC51</f>
        <v>0</v>
      </c>
      <c r="GN52" s="20" t="n">
        <f aca="false">GK52*MIN(Slot18_Cost,GM52)</f>
        <v>0</v>
      </c>
      <c r="GO52" s="20" t="n">
        <f aca="false">GK52*Slot18_SpendLike*MIN(Slot18_Cost-GN52,GG52)</f>
        <v>0</v>
      </c>
      <c r="GP52" s="20" t="n">
        <f aca="false">GN52+GO52</f>
        <v>0</v>
      </c>
      <c r="GQ52" s="20" t="n">
        <f aca="false">GG52-GO52+GK52*IF(Slot18_SpendLike=1,GM52-GN52,IF(Slot18_PotFree=1,GM52,0))</f>
        <v>0</v>
      </c>
      <c r="GR52" s="20" t="n">
        <f aca="false">GH52+GK52*Slot18_BufPot*GM52</f>
        <v>0</v>
      </c>
      <c r="GS52" s="20" t="n">
        <f aca="false">IF(AND(GK52=1,Slot18_IsMfree=1),IF(GP52&gt;=Slot18_Cost-1,0,MAX(0,GI52-GP52)),GI52)</f>
        <v>0</v>
      </c>
      <c r="GT52" s="20" t="n">
        <f aca="false">GK52*(Slot18_Cost-GP52)</f>
        <v>0</v>
      </c>
      <c r="GU52" s="20" t="n">
        <f aca="false">IF(AND(Slot19_On=1,D52=Slot19_Age),1,0)</f>
        <v>0</v>
      </c>
      <c r="GV52" s="20" t="n">
        <f aca="false">IF(AND(Slot19_On=1,Slot19_Age&gt;D52),1,0)</f>
        <v>0</v>
      </c>
      <c r="GW52" s="20" t="n">
        <f aca="false">TG51</f>
        <v>0</v>
      </c>
      <c r="GX52" s="20" t="n">
        <f aca="false">GU52*MIN(Slot19_Cost,GW52)</f>
        <v>0</v>
      </c>
      <c r="GY52" s="20" t="n">
        <f aca="false">GU52*Slot19_SpendLike*MIN(Slot19_Cost-GX52,GQ52)</f>
        <v>0</v>
      </c>
      <c r="GZ52" s="20" t="n">
        <f aca="false">GX52+GY52</f>
        <v>0</v>
      </c>
      <c r="HA52" s="20" t="n">
        <f aca="false">GQ52-GY52+GU52*IF(Slot19_SpendLike=1,GW52-GX52,IF(Slot19_PotFree=1,GW52,0))</f>
        <v>0</v>
      </c>
      <c r="HB52" s="20" t="n">
        <f aca="false">GR52+GU52*Slot19_BufPot*GW52</f>
        <v>0</v>
      </c>
      <c r="HC52" s="20" t="n">
        <f aca="false">IF(AND(GU52=1,Slot19_IsMfree=1),IF(GZ52&gt;=Slot19_Cost-1,0,MAX(0,GS52-GZ52)),GS52)</f>
        <v>0</v>
      </c>
      <c r="HD52" s="20" t="n">
        <f aca="false">GU52*(Slot19_Cost-GZ52)</f>
        <v>0</v>
      </c>
      <c r="HE52" s="20" t="n">
        <f aca="false">IF(AND(Slot20_On=1,D52=Slot20_Age),1,0)</f>
        <v>0</v>
      </c>
      <c r="HF52" s="20" t="n">
        <f aca="false">IF(AND(Slot20_On=1,Slot20_Age&gt;D52),1,0)</f>
        <v>0</v>
      </c>
      <c r="HG52" s="20" t="n">
        <f aca="false">TK51</f>
        <v>0</v>
      </c>
      <c r="HH52" s="20" t="n">
        <f aca="false">HE52*MIN(Slot20_Cost,HG52)</f>
        <v>0</v>
      </c>
      <c r="HI52" s="20" t="n">
        <f aca="false">HE52*Slot20_SpendLike*MIN(Slot20_Cost-HH52,HA52)</f>
        <v>0</v>
      </c>
      <c r="HJ52" s="20" t="n">
        <f aca="false">HH52+HI52</f>
        <v>0</v>
      </c>
      <c r="HK52" s="20" t="n">
        <f aca="false">HA52-HI52+HE52*IF(Slot20_SpendLike=1,HG52-HH52,IF(Slot20_PotFree=1,HG52,0))</f>
        <v>0</v>
      </c>
      <c r="HL52" s="20" t="n">
        <f aca="false">HB52+HE52*Slot20_BufPot*HG52</f>
        <v>0</v>
      </c>
      <c r="HM52" s="20" t="n">
        <f aca="false">IF(AND(HE52=1,Slot20_IsMfree=1),IF(HJ52&gt;=Slot20_Cost-1,0,MAX(0,HC52-HJ52)),HC52)</f>
        <v>0</v>
      </c>
      <c r="HN52" s="20" t="n">
        <f aca="false">HE52*(Slot20_Cost-HJ52)</f>
        <v>0</v>
      </c>
      <c r="HO52" s="20" t="n">
        <f aca="false">V52*Slot1_SpendLike*AA52+AG52*Slot2_SpendLike*AL52+AQ52*Slot3_SpendLike*AV52+BA52*Slot4_SpendLike*BF52+BK52*Slot5_SpendLike*BP52+BU52*Slot6_SpendLike*BZ52+CE52*Slot7_SpendLike*CJ52+CO52*Slot8_SpendLike*CT52+CY52*Slot9_SpendLike*DD52+DI52*Slot10_SpendLike*DN52+DS52*Slot11_SpendLike*DX52+EC52*Slot12_SpendLike*EH52+EM52*Slot13_SpendLike*ER52+EW52*Slot14_SpendLike*FB52+FG52*Slot15_SpendLike*FL52+FQ52*Slot16_SpendLike*FV52+GA52*Slot17_SpendLike*GF52+GK52*Slot18_SpendLike*GP52+GU52*Slot19_SpendLike*GZ52+HE52*Slot20_SpendLike*HJ52</f>
        <v>0</v>
      </c>
      <c r="HP52" s="20" t="n">
        <f aca="false">AE52+AP52+AZ52+BJ52+BT52+CD52+CN52+CX52+DH52+DR52+EB52+EL52+EV52+FF52+FP52+FZ52+GJ52+GT52+HD52+HN52</f>
        <v>0</v>
      </c>
      <c r="HQ52" s="20" t="n">
        <f aca="false">V52*Slot1_Cost+AG52*Slot2_Cost+AQ52*Slot3_Cost+BA52*Slot4_Cost+BK52*Slot5_Cost+BU52*Slot6_Cost+CE52*Slot7_Cost+CO52*Slot8_Cost+CY52*Slot9_Cost+DI52*Slot10_Cost+DS52*Slot11_Cost+EC52*Slot12_Cost+EM52*Slot13_Cost+EW52*Slot14_Cost+FG52*Slot15_Cost+FQ52*Slot16_Cost+GA52*Slot17_Cost+GK52*Slot18_Cost+GU52*Slot19_Cost+HE52*Slot20_Cost</f>
        <v>0</v>
      </c>
      <c r="HR52" s="20" t="n">
        <f aca="false">HM52</f>
        <v>0</v>
      </c>
      <c r="HS52" s="20" t="n">
        <f aca="false">H52-I52-S52</f>
        <v>-25607.1854959062</v>
      </c>
      <c r="HT52" s="20" t="n">
        <f aca="false">IF(B52=0,IF(AND(Has_q6=1,In_q6=4),PR_ShareVaries*(MAX(0,HS52)/12),MIN(IF(Has_q6=1,CHOOSE(In_q6+1,PR_SaveB1,PR_SaveB2,PR_SaveB3,PR_SaveB4,0),AS_NoAnswer),AS_SaveShare*(MAX(0,HS52)/12))),HT51)</f>
        <v>62.3316893520437</v>
      </c>
      <c r="HU52" s="20" t="n">
        <f aca="false">IF(HS52&gt;=0,1,0)</f>
        <v>0</v>
      </c>
      <c r="HV52" s="20" t="n">
        <f aca="false">MAX(0,HS52/12/F52)</f>
        <v>0</v>
      </c>
      <c r="HW52" s="20" t="n">
        <f aca="false">IF(AND(Has_q6=1,In_q6=4),PR_ShareVaries*(HV52),MIN(IF(Has_q6=1,CHOOSE(In_q6+1,PR_SaveB1,PR_SaveB2,PR_SaveB3,PR_SaveB4,0),AS_NoAnswer),AS_SaveShare*(HV52)))</f>
        <v>0</v>
      </c>
      <c r="HX52" s="20" t="n">
        <f aca="false">IF(Has_saveM=1,IF(In_saveUp="Yes",1,IF(In_saveUp="No",0,IF(In_saveM&gt;=HT52-0.5,1,0))),0)</f>
        <v>0</v>
      </c>
      <c r="HY52" s="20" t="n">
        <f aca="false">IF(Has_saveM=1,MIN(HV52,IF(HX52=1,MAX(In_saveM,HW52),MIN(In_saveM,HW52))),HW52)</f>
        <v>0</v>
      </c>
      <c r="HZ52" s="20" t="n">
        <f aca="false">IF(G52=1,HY52*12*F52,0)</f>
        <v>0</v>
      </c>
      <c r="IA52" s="20" t="n">
        <f aca="false">MAX(0,HZ52+IF(AND(WI_Retire=0,WI_M&lt;0,G52=1),WI_M*12*F52,0))</f>
        <v>0</v>
      </c>
      <c r="IB52" s="20" t="n">
        <f aca="false">Slot1_IsWG*W52+Slot2_IsWG*AH52+Slot3_IsWG*AR52+Slot4_IsWG*BB52+Slot5_IsWG*BL52+Slot6_IsWG*BV52+Slot7_IsWG*CF52+Slot8_IsWG*CP52+Slot9_IsWG*CZ52+Slot10_IsWG*DJ52+Slot11_IsWG*DT52+Slot12_IsWG*ED52+Slot13_IsWG*EN52+Slot14_IsWG*EX52+Slot15_IsWG*FH52+Slot16_IsWG*FR52+Slot17_IsWG*GB52+Slot18_IsWG*GL52+Slot19_IsWG*GV52+Slot20_IsWG*HF52</f>
        <v>0</v>
      </c>
      <c r="IC52" s="20" t="n">
        <f aca="false">IF(AND(WI_Retire=0,WI_M&gt;0,G52=1,IB52&gt;=1),WI_M*12*F52,0)</f>
        <v>0</v>
      </c>
      <c r="ID52" s="20" t="n">
        <f aca="false">IF(HU52=1,MIN(IA52,HS52),0)</f>
        <v>0</v>
      </c>
      <c r="IE52" s="20" t="n">
        <f aca="false">IF(HU52=1,MIN(IC52,HS52-ID52),0)</f>
        <v>0</v>
      </c>
      <c r="IF52" s="20" t="n">
        <f aca="false">IF(W52=1,IF(ABS((1+AS_Wage)/(1+Slot1_Rate)-1)&lt;0.000000000001,(Slot1_Age-D52)*(1+Slot1_Rate)^(Slot1_Age-D52),(1+Slot1_Rate)^(Slot1_Age-D52)*(1-((1+AS_Wage)/(1+Slot1_Rate))^(Slot1_Age-D52))/(1-(1+AS_Wage)/(1+Slot1_Rate))),1)</f>
        <v>1</v>
      </c>
      <c r="IG52" s="20" t="n">
        <f aca="false">IF(AND(HU52=1,IE52&gt;0,Slot1_IsWG=1,W52=1),MAX(0,(Slot1_Cost-X52*(1+Slot1_Rate)^(Slot1_Age-D52))/IF52),0)</f>
        <v>0</v>
      </c>
      <c r="IH52" s="20" t="n">
        <f aca="false">IF(AND(HU52=1,IE52&gt;0,Slot1_IsWG=1,W52=1),MIN(IE52,IG52),0)</f>
        <v>0</v>
      </c>
      <c r="II52" s="20" t="n">
        <f aca="false">X52+IH52</f>
        <v>0</v>
      </c>
      <c r="IJ52" s="20" t="n">
        <f aca="false">IF(W52=1,MAX(0,(Slot1_Cost-II52*(1+Slot1_Rate)^(Slot1_Age-D52))/IF52),0)</f>
        <v>0</v>
      </c>
      <c r="IK52" s="20" t="n">
        <f aca="false">IF(W52=1,MAX(0,(Slot1_Cost-X52*(1+Slot1_Rate)^(Slot1_Age-D52))/IF52),0)</f>
        <v>0</v>
      </c>
      <c r="IL52" s="20" t="n">
        <f aca="false">IF(AND(HU52=1,W52=1),MIN(ID52,IJ52),0)</f>
        <v>0</v>
      </c>
      <c r="IM52" s="20" t="n">
        <f aca="false">ID52-IL52</f>
        <v>0</v>
      </c>
      <c r="IN52" s="20" t="n">
        <f aca="false">IF(AH52=1,IF(ABS((1+AS_Wage)/(1+Slot2_Rate)-1)&lt;0.000000000001,(Slot2_Age-D52)*(1+Slot2_Rate)^(Slot2_Age-D52),(1+Slot2_Rate)^(Slot2_Age-D52)*(1-((1+AS_Wage)/(1+Slot2_Rate))^(Slot2_Age-D52))/(1-(1+AS_Wage)/(1+Slot2_Rate))),1)</f>
        <v>1</v>
      </c>
      <c r="IO52" s="20" t="n">
        <f aca="false">IF(AND(HU52=1,IE52&gt;0,Slot2_IsWG=1,AH52=1),MAX(0,(Slot2_Cost-AI52*(1+Slot2_Rate)^(Slot2_Age-D52))/IN52),0)</f>
        <v>0</v>
      </c>
      <c r="IP52" s="20" t="n">
        <f aca="false">IF(AND(HU52=1,IE52&gt;0,Slot2_IsWG=1,AH52=1),MIN(IE52,IO52),0)</f>
        <v>0</v>
      </c>
      <c r="IQ52" s="20" t="n">
        <f aca="false">AI52+IP52</f>
        <v>0</v>
      </c>
      <c r="IR52" s="20" t="n">
        <f aca="false">IF(AH52=1,MAX(0,(Slot2_Cost-IQ52*(1+Slot2_Rate)^(Slot2_Age-D52))/IN52),0)</f>
        <v>0</v>
      </c>
      <c r="IS52" s="20" t="n">
        <f aca="false">IF(AH52=1,MAX(0,(Slot2_Cost-AI52*(1+Slot2_Rate)^(Slot2_Age-D52))/IN52),0)</f>
        <v>0</v>
      </c>
      <c r="IT52" s="20" t="n">
        <f aca="false">IF(AND(HU52=1,AH52=1),MIN(IM52,IR52),0)</f>
        <v>0</v>
      </c>
      <c r="IU52" s="20" t="n">
        <f aca="false">IM52-IT52</f>
        <v>0</v>
      </c>
      <c r="IV52" s="20" t="n">
        <f aca="false">IF(AR52=1,IF(ABS((1+AS_Wage)/(1+Slot3_Rate)-1)&lt;0.000000000001,(Slot3_Age-D52)*(1+Slot3_Rate)^(Slot3_Age-D52),(1+Slot3_Rate)^(Slot3_Age-D52)*(1-((1+AS_Wage)/(1+Slot3_Rate))^(Slot3_Age-D52))/(1-(1+AS_Wage)/(1+Slot3_Rate))),1)</f>
        <v>1</v>
      </c>
      <c r="IW52" s="20" t="n">
        <f aca="false">IF(AND(HU52=1,IE52&gt;0,Slot3_IsWG=1,AR52=1),MAX(0,(Slot3_Cost-AS52*(1+Slot3_Rate)^(Slot3_Age-D52))/IV52),0)</f>
        <v>0</v>
      </c>
      <c r="IX52" s="20" t="n">
        <f aca="false">IF(AND(HU52=1,IE52&gt;0,Slot3_IsWG=1,AR52=1),MIN(IE52,IW52),0)</f>
        <v>0</v>
      </c>
      <c r="IY52" s="20" t="n">
        <f aca="false">AS52+IX52</f>
        <v>0</v>
      </c>
      <c r="IZ52" s="20" t="n">
        <f aca="false">IF(AR52=1,MAX(0,(Slot3_Cost-IY52*(1+Slot3_Rate)^(Slot3_Age-D52))/IV52),0)</f>
        <v>0</v>
      </c>
      <c r="JA52" s="20" t="n">
        <f aca="false">IF(AR52=1,MAX(0,(Slot3_Cost-AS52*(1+Slot3_Rate)^(Slot3_Age-D52))/IV52),0)</f>
        <v>0</v>
      </c>
      <c r="JB52" s="20" t="n">
        <f aca="false">IF(AND(HU52=1,AR52=1),MIN(IU52,IZ52),0)</f>
        <v>0</v>
      </c>
      <c r="JC52" s="20" t="n">
        <f aca="false">IU52-JB52</f>
        <v>0</v>
      </c>
      <c r="JD52" s="20" t="n">
        <f aca="false">IF(BB52=1,IF(ABS((1+AS_Wage)/(1+Slot4_Rate)-1)&lt;0.000000000001,(Slot4_Age-D52)*(1+Slot4_Rate)^(Slot4_Age-D52),(1+Slot4_Rate)^(Slot4_Age-D52)*(1-((1+AS_Wage)/(1+Slot4_Rate))^(Slot4_Age-D52))/(1-(1+AS_Wage)/(1+Slot4_Rate))),1)</f>
        <v>1</v>
      </c>
      <c r="JE52" s="20" t="n">
        <f aca="false">IF(AND(HU52=1,IE52&gt;0,Slot4_IsWG=1,BB52=1),MAX(0,(Slot4_Cost-BC52*(1+Slot4_Rate)^(Slot4_Age-D52))/JD52),0)</f>
        <v>0</v>
      </c>
      <c r="JF52" s="20" t="n">
        <f aca="false">IF(AND(HU52=1,IE52&gt;0,Slot4_IsWG=1,BB52=1),MIN(IE52,JE52),0)</f>
        <v>0</v>
      </c>
      <c r="JG52" s="20" t="n">
        <f aca="false">BC52+JF52</f>
        <v>0</v>
      </c>
      <c r="JH52" s="20" t="n">
        <f aca="false">IF(BB52=1,MAX(0,(Slot4_Cost-JG52*(1+Slot4_Rate)^(Slot4_Age-D52))/JD52),0)</f>
        <v>0</v>
      </c>
      <c r="JI52" s="20" t="n">
        <f aca="false">IF(BB52=1,MAX(0,(Slot4_Cost-BC52*(1+Slot4_Rate)^(Slot4_Age-D52))/JD52),0)</f>
        <v>0</v>
      </c>
      <c r="JJ52" s="20" t="n">
        <f aca="false">IF(AND(HU52=1,BB52=1),MIN(JC52,JH52),0)</f>
        <v>0</v>
      </c>
      <c r="JK52" s="20" t="n">
        <f aca="false">JC52-JJ52</f>
        <v>0</v>
      </c>
      <c r="JL52" s="20" t="n">
        <f aca="false">IF(BL52=1,IF(ABS((1+AS_Wage)/(1+Slot5_Rate)-1)&lt;0.000000000001,(Slot5_Age-D52)*(1+Slot5_Rate)^(Slot5_Age-D52),(1+Slot5_Rate)^(Slot5_Age-D52)*(1-((1+AS_Wage)/(1+Slot5_Rate))^(Slot5_Age-D52))/(1-(1+AS_Wage)/(1+Slot5_Rate))),1)</f>
        <v>1</v>
      </c>
      <c r="JM52" s="20" t="n">
        <f aca="false">IF(AND(HU52=1,IE52&gt;0,Slot5_IsWG=1,BL52=1),MAX(0,(Slot5_Cost-BM52*(1+Slot5_Rate)^(Slot5_Age-D52))/JL52),0)</f>
        <v>0</v>
      </c>
      <c r="JN52" s="20" t="n">
        <f aca="false">IF(AND(HU52=1,IE52&gt;0,Slot5_IsWG=1,BL52=1),MIN(IE52,JM52),0)</f>
        <v>0</v>
      </c>
      <c r="JO52" s="20" t="n">
        <f aca="false">BM52+JN52</f>
        <v>0</v>
      </c>
      <c r="JP52" s="20" t="n">
        <f aca="false">IF(BL52=1,MAX(0,(Slot5_Cost-JO52*(1+Slot5_Rate)^(Slot5_Age-D52))/JL52),0)</f>
        <v>0</v>
      </c>
      <c r="JQ52" s="20" t="n">
        <f aca="false">IF(BL52=1,MAX(0,(Slot5_Cost-BM52*(1+Slot5_Rate)^(Slot5_Age-D52))/JL52),0)</f>
        <v>0</v>
      </c>
      <c r="JR52" s="20" t="n">
        <f aca="false">IF(AND(HU52=1,BL52=1),MIN(JK52,JP52),0)</f>
        <v>0</v>
      </c>
      <c r="JS52" s="20" t="n">
        <f aca="false">JK52-JR52</f>
        <v>0</v>
      </c>
      <c r="JT52" s="20" t="n">
        <f aca="false">IF(BV52=1,IF(ABS((1+AS_Wage)/(1+Slot6_Rate)-1)&lt;0.000000000001,(Slot6_Age-D52)*(1+Slot6_Rate)^(Slot6_Age-D52),(1+Slot6_Rate)^(Slot6_Age-D52)*(1-((1+AS_Wage)/(1+Slot6_Rate))^(Slot6_Age-D52))/(1-(1+AS_Wage)/(1+Slot6_Rate))),1)</f>
        <v>1</v>
      </c>
      <c r="JU52" s="20" t="n">
        <f aca="false">IF(AND(HU52=1,IE52&gt;0,Slot6_IsWG=1,BV52=1),MAX(0,(Slot6_Cost-BW52*(1+Slot6_Rate)^(Slot6_Age-D52))/JT52),0)</f>
        <v>0</v>
      </c>
      <c r="JV52" s="20" t="n">
        <f aca="false">IF(AND(HU52=1,IE52&gt;0,Slot6_IsWG=1,BV52=1),MIN(IE52,JU52),0)</f>
        <v>0</v>
      </c>
      <c r="JW52" s="20" t="n">
        <f aca="false">BW52+JV52</f>
        <v>0</v>
      </c>
      <c r="JX52" s="20" t="n">
        <f aca="false">IF(BV52=1,MAX(0,(Slot6_Cost-JW52*(1+Slot6_Rate)^(Slot6_Age-D52))/JT52),0)</f>
        <v>0</v>
      </c>
      <c r="JY52" s="20" t="n">
        <f aca="false">IF(BV52=1,MAX(0,(Slot6_Cost-BW52*(1+Slot6_Rate)^(Slot6_Age-D52))/JT52),0)</f>
        <v>0</v>
      </c>
      <c r="JZ52" s="20" t="n">
        <f aca="false">IF(AND(HU52=1,BV52=1),MIN(JS52,JX52),0)</f>
        <v>0</v>
      </c>
      <c r="KA52" s="20" t="n">
        <f aca="false">JS52-JZ52</f>
        <v>0</v>
      </c>
      <c r="KB52" s="20" t="n">
        <f aca="false">IF(CF52=1,IF(ABS((1+AS_Wage)/(1+Slot7_Rate)-1)&lt;0.000000000001,(Slot7_Age-D52)*(1+Slot7_Rate)^(Slot7_Age-D52),(1+Slot7_Rate)^(Slot7_Age-D52)*(1-((1+AS_Wage)/(1+Slot7_Rate))^(Slot7_Age-D52))/(1-(1+AS_Wage)/(1+Slot7_Rate))),1)</f>
        <v>1</v>
      </c>
      <c r="KC52" s="20" t="n">
        <f aca="false">IF(AND(HU52=1,IE52&gt;0,Slot7_IsWG=1,CF52=1),MAX(0,(Slot7_Cost-CG52*(1+Slot7_Rate)^(Slot7_Age-D52))/KB52),0)</f>
        <v>0</v>
      </c>
      <c r="KD52" s="20" t="n">
        <f aca="false">IF(AND(HU52=1,IE52&gt;0,Slot7_IsWG=1,CF52=1),MIN(IE52,KC52),0)</f>
        <v>0</v>
      </c>
      <c r="KE52" s="20" t="n">
        <f aca="false">CG52+KD52</f>
        <v>0</v>
      </c>
      <c r="KF52" s="20" t="n">
        <f aca="false">IF(CF52=1,MAX(0,(Slot7_Cost-KE52*(1+Slot7_Rate)^(Slot7_Age-D52))/KB52),0)</f>
        <v>0</v>
      </c>
      <c r="KG52" s="20" t="n">
        <f aca="false">IF(CF52=1,MAX(0,(Slot7_Cost-CG52*(1+Slot7_Rate)^(Slot7_Age-D52))/KB52),0)</f>
        <v>0</v>
      </c>
      <c r="KH52" s="20" t="n">
        <f aca="false">IF(AND(HU52=1,CF52=1),MIN(KA52,KF52),0)</f>
        <v>0</v>
      </c>
      <c r="KI52" s="20" t="n">
        <f aca="false">KA52-KH52</f>
        <v>0</v>
      </c>
      <c r="KJ52" s="20" t="n">
        <f aca="false">IF(CP52=1,IF(ABS((1+AS_Wage)/(1+Slot8_Rate)-1)&lt;0.000000000001,(Slot8_Age-D52)*(1+Slot8_Rate)^(Slot8_Age-D52),(1+Slot8_Rate)^(Slot8_Age-D52)*(1-((1+AS_Wage)/(1+Slot8_Rate))^(Slot8_Age-D52))/(1-(1+AS_Wage)/(1+Slot8_Rate))),1)</f>
        <v>1</v>
      </c>
      <c r="KK52" s="20" t="n">
        <f aca="false">IF(AND(HU52=1,IE52&gt;0,Slot8_IsWG=1,CP52=1),MAX(0,(Slot8_Cost-CQ52*(1+Slot8_Rate)^(Slot8_Age-D52))/KJ52),0)</f>
        <v>0</v>
      </c>
      <c r="KL52" s="20" t="n">
        <f aca="false">IF(AND(HU52=1,IE52&gt;0,Slot8_IsWG=1,CP52=1),MIN(IE52,KK52),0)</f>
        <v>0</v>
      </c>
      <c r="KM52" s="20" t="n">
        <f aca="false">CQ52+KL52</f>
        <v>0</v>
      </c>
      <c r="KN52" s="20" t="n">
        <f aca="false">IF(CP52=1,MAX(0,(Slot8_Cost-KM52*(1+Slot8_Rate)^(Slot8_Age-D52))/KJ52),0)</f>
        <v>0</v>
      </c>
      <c r="KO52" s="20" t="n">
        <f aca="false">IF(CP52=1,MAX(0,(Slot8_Cost-CQ52*(1+Slot8_Rate)^(Slot8_Age-D52))/KJ52),0)</f>
        <v>0</v>
      </c>
      <c r="KP52" s="20" t="n">
        <f aca="false">IF(AND(HU52=1,CP52=1),MIN(KI52,KN52),0)</f>
        <v>0</v>
      </c>
      <c r="KQ52" s="20" t="n">
        <f aca="false">KI52-KP52</f>
        <v>0</v>
      </c>
      <c r="KR52" s="20" t="n">
        <f aca="false">IF(CZ52=1,IF(ABS((1+AS_Wage)/(1+Slot9_Rate)-1)&lt;0.000000000001,(Slot9_Age-D52)*(1+Slot9_Rate)^(Slot9_Age-D52),(1+Slot9_Rate)^(Slot9_Age-D52)*(1-((1+AS_Wage)/(1+Slot9_Rate))^(Slot9_Age-D52))/(1-(1+AS_Wage)/(1+Slot9_Rate))),1)</f>
        <v>1</v>
      </c>
      <c r="KS52" s="20" t="n">
        <f aca="false">IF(AND(HU52=1,IE52&gt;0,Slot9_IsWG=1,CZ52=1),MAX(0,(Slot9_Cost-DA52*(1+Slot9_Rate)^(Slot9_Age-D52))/KR52),0)</f>
        <v>0</v>
      </c>
      <c r="KT52" s="20" t="n">
        <f aca="false">IF(AND(HU52=1,IE52&gt;0,Slot9_IsWG=1,CZ52=1),MIN(IE52,KS52),0)</f>
        <v>0</v>
      </c>
      <c r="KU52" s="20" t="n">
        <f aca="false">DA52+KT52</f>
        <v>0</v>
      </c>
      <c r="KV52" s="20" t="n">
        <f aca="false">IF(CZ52=1,MAX(0,(Slot9_Cost-KU52*(1+Slot9_Rate)^(Slot9_Age-D52))/KR52),0)</f>
        <v>0</v>
      </c>
      <c r="KW52" s="20" t="n">
        <f aca="false">IF(CZ52=1,MAX(0,(Slot9_Cost-DA52*(1+Slot9_Rate)^(Slot9_Age-D52))/KR52),0)</f>
        <v>0</v>
      </c>
      <c r="KX52" s="20" t="n">
        <f aca="false">IF(AND(HU52=1,CZ52=1),MIN(KQ52,KV52),0)</f>
        <v>0</v>
      </c>
      <c r="KY52" s="20" t="n">
        <f aca="false">KQ52-KX52</f>
        <v>0</v>
      </c>
      <c r="KZ52" s="20" t="n">
        <f aca="false">IF(DJ52=1,IF(ABS((1+AS_Wage)/(1+Slot10_Rate)-1)&lt;0.000000000001,(Slot10_Age-D52)*(1+Slot10_Rate)^(Slot10_Age-D52),(1+Slot10_Rate)^(Slot10_Age-D52)*(1-((1+AS_Wage)/(1+Slot10_Rate))^(Slot10_Age-D52))/(1-(1+AS_Wage)/(1+Slot10_Rate))),1)</f>
        <v>1</v>
      </c>
      <c r="LA52" s="20" t="n">
        <f aca="false">IF(AND(HU52=1,IE52&gt;0,Slot10_IsWG=1,DJ52=1),MAX(0,(Slot10_Cost-DK52*(1+Slot10_Rate)^(Slot10_Age-D52))/KZ52),0)</f>
        <v>0</v>
      </c>
      <c r="LB52" s="20" t="n">
        <f aca="false">IF(AND(HU52=1,IE52&gt;0,Slot10_IsWG=1,DJ52=1),MIN(IE52,LA52),0)</f>
        <v>0</v>
      </c>
      <c r="LC52" s="20" t="n">
        <f aca="false">DK52+LB52</f>
        <v>0</v>
      </c>
      <c r="LD52" s="20" t="n">
        <f aca="false">IF(DJ52=1,MAX(0,(Slot10_Cost-LC52*(1+Slot10_Rate)^(Slot10_Age-D52))/KZ52),0)</f>
        <v>0</v>
      </c>
      <c r="LE52" s="20" t="n">
        <f aca="false">IF(DJ52=1,MAX(0,(Slot10_Cost-DK52*(1+Slot10_Rate)^(Slot10_Age-D52))/KZ52),0)</f>
        <v>0</v>
      </c>
      <c r="LF52" s="20" t="n">
        <f aca="false">IF(AND(HU52=1,DJ52=1),MIN(KY52,LD52),0)</f>
        <v>0</v>
      </c>
      <c r="LG52" s="20" t="n">
        <f aca="false">KY52-LF52</f>
        <v>0</v>
      </c>
      <c r="LH52" s="20" t="n">
        <f aca="false">IF(DT52=1,IF(ABS((1+AS_Wage)/(1+Slot11_Rate)-1)&lt;0.000000000001,(Slot11_Age-D52)*(1+Slot11_Rate)^(Slot11_Age-D52),(1+Slot11_Rate)^(Slot11_Age-D52)*(1-((1+AS_Wage)/(1+Slot11_Rate))^(Slot11_Age-D52))/(1-(1+AS_Wage)/(1+Slot11_Rate))),1)</f>
        <v>1</v>
      </c>
      <c r="LI52" s="20" t="n">
        <f aca="false">IF(AND(HU52=1,IE52&gt;0,Slot11_IsWG=1,DT52=1),MAX(0,(Slot11_Cost-DU52*(1+Slot11_Rate)^(Slot11_Age-D52))/LH52),0)</f>
        <v>0</v>
      </c>
      <c r="LJ52" s="20" t="n">
        <f aca="false">IF(AND(HU52=1,IE52&gt;0,Slot11_IsWG=1,DT52=1),MIN(IE52,LI52),0)</f>
        <v>0</v>
      </c>
      <c r="LK52" s="20" t="n">
        <f aca="false">DU52+LJ52</f>
        <v>0</v>
      </c>
      <c r="LL52" s="20" t="n">
        <f aca="false">IF(DT52=1,MAX(0,(Slot11_Cost-LK52*(1+Slot11_Rate)^(Slot11_Age-D52))/LH52),0)</f>
        <v>0</v>
      </c>
      <c r="LM52" s="20" t="n">
        <f aca="false">IF(DT52=1,MAX(0,(Slot11_Cost-DU52*(1+Slot11_Rate)^(Slot11_Age-D52))/LH52),0)</f>
        <v>0</v>
      </c>
      <c r="LN52" s="20" t="n">
        <f aca="false">IF(AND(HU52=1,DT52=1),MIN(LG52,LL52),0)</f>
        <v>0</v>
      </c>
      <c r="LO52" s="20" t="n">
        <f aca="false">LG52-LN52</f>
        <v>0</v>
      </c>
      <c r="LP52" s="20" t="n">
        <f aca="false">IF(ED52=1,IF(ABS((1+AS_Wage)/(1+Slot12_Rate)-1)&lt;0.000000000001,(Slot12_Age-D52)*(1+Slot12_Rate)^(Slot12_Age-D52),(1+Slot12_Rate)^(Slot12_Age-D52)*(1-((1+AS_Wage)/(1+Slot12_Rate))^(Slot12_Age-D52))/(1-(1+AS_Wage)/(1+Slot12_Rate))),1)</f>
        <v>1</v>
      </c>
      <c r="LQ52" s="20" t="n">
        <f aca="false">IF(AND(HU52=1,IE52&gt;0,Slot12_IsWG=1,ED52=1),MAX(0,(Slot12_Cost-EE52*(1+Slot12_Rate)^(Slot12_Age-D52))/LP52),0)</f>
        <v>0</v>
      </c>
      <c r="LR52" s="20" t="n">
        <f aca="false">IF(AND(HU52=1,IE52&gt;0,Slot12_IsWG=1,ED52=1),MIN(IE52,LQ52),0)</f>
        <v>0</v>
      </c>
      <c r="LS52" s="20" t="n">
        <f aca="false">EE52+LR52</f>
        <v>0</v>
      </c>
      <c r="LT52" s="20" t="n">
        <f aca="false">IF(ED52=1,MAX(0,(Slot12_Cost-LS52*(1+Slot12_Rate)^(Slot12_Age-D52))/LP52),0)</f>
        <v>0</v>
      </c>
      <c r="LU52" s="20" t="n">
        <f aca="false">IF(ED52=1,MAX(0,(Slot12_Cost-EE52*(1+Slot12_Rate)^(Slot12_Age-D52))/LP52),0)</f>
        <v>0</v>
      </c>
      <c r="LV52" s="20" t="n">
        <f aca="false">IF(AND(HU52=1,ED52=1),MIN(LO52,LT52),0)</f>
        <v>0</v>
      </c>
      <c r="LW52" s="20" t="n">
        <f aca="false">LO52-LV52</f>
        <v>0</v>
      </c>
      <c r="LX52" s="20" t="n">
        <f aca="false">IF(EN52=1,IF(ABS((1+AS_Wage)/(1+Slot13_Rate)-1)&lt;0.000000000001,(Slot13_Age-D52)*(1+Slot13_Rate)^(Slot13_Age-D52),(1+Slot13_Rate)^(Slot13_Age-D52)*(1-((1+AS_Wage)/(1+Slot13_Rate))^(Slot13_Age-D52))/(1-(1+AS_Wage)/(1+Slot13_Rate))),1)</f>
        <v>1</v>
      </c>
      <c r="LY52" s="20" t="n">
        <f aca="false">IF(AND(HU52=1,IE52&gt;0,Slot13_IsWG=1,EN52=1),MAX(0,(Slot13_Cost-EO52*(1+Slot13_Rate)^(Slot13_Age-D52))/LX52),0)</f>
        <v>0</v>
      </c>
      <c r="LZ52" s="20" t="n">
        <f aca="false">IF(AND(HU52=1,IE52&gt;0,Slot13_IsWG=1,EN52=1),MIN(IE52,LY52),0)</f>
        <v>0</v>
      </c>
      <c r="MA52" s="20" t="n">
        <f aca="false">EO52+LZ52</f>
        <v>0</v>
      </c>
      <c r="MB52" s="20" t="n">
        <f aca="false">IF(EN52=1,MAX(0,(Slot13_Cost-MA52*(1+Slot13_Rate)^(Slot13_Age-D52))/LX52),0)</f>
        <v>0</v>
      </c>
      <c r="MC52" s="20" t="n">
        <f aca="false">IF(EN52=1,MAX(0,(Slot13_Cost-EO52*(1+Slot13_Rate)^(Slot13_Age-D52))/LX52),0)</f>
        <v>0</v>
      </c>
      <c r="MD52" s="20" t="n">
        <f aca="false">IF(AND(HU52=1,EN52=1),MIN(LW52,MB52),0)</f>
        <v>0</v>
      </c>
      <c r="ME52" s="20" t="n">
        <f aca="false">LW52-MD52</f>
        <v>0</v>
      </c>
      <c r="MF52" s="20" t="n">
        <f aca="false">IF(EX52=1,IF(ABS((1+AS_Wage)/(1+Slot14_Rate)-1)&lt;0.000000000001,(Slot14_Age-D52)*(1+Slot14_Rate)^(Slot14_Age-D52),(1+Slot14_Rate)^(Slot14_Age-D52)*(1-((1+AS_Wage)/(1+Slot14_Rate))^(Slot14_Age-D52))/(1-(1+AS_Wage)/(1+Slot14_Rate))),1)</f>
        <v>1</v>
      </c>
      <c r="MG52" s="20" t="n">
        <f aca="false">IF(AND(HU52=1,IE52&gt;0,Slot14_IsWG=1,EX52=1),MAX(0,(Slot14_Cost-EY52*(1+Slot14_Rate)^(Slot14_Age-D52))/MF52),0)</f>
        <v>0</v>
      </c>
      <c r="MH52" s="20" t="n">
        <f aca="false">IF(AND(HU52=1,IE52&gt;0,Slot14_IsWG=1,EX52=1),MIN(IE52,MG52),0)</f>
        <v>0</v>
      </c>
      <c r="MI52" s="20" t="n">
        <f aca="false">EY52+MH52</f>
        <v>0</v>
      </c>
      <c r="MJ52" s="20" t="n">
        <f aca="false">IF(EX52=1,MAX(0,(Slot14_Cost-MI52*(1+Slot14_Rate)^(Slot14_Age-D52))/MF52),0)</f>
        <v>0</v>
      </c>
      <c r="MK52" s="20" t="n">
        <f aca="false">IF(EX52=1,MAX(0,(Slot14_Cost-EY52*(1+Slot14_Rate)^(Slot14_Age-D52))/MF52),0)</f>
        <v>0</v>
      </c>
      <c r="ML52" s="20" t="n">
        <f aca="false">IF(AND(HU52=1,EX52=1),MIN(ME52,MJ52),0)</f>
        <v>0</v>
      </c>
      <c r="MM52" s="20" t="n">
        <f aca="false">ME52-ML52</f>
        <v>0</v>
      </c>
      <c r="MN52" s="20" t="n">
        <f aca="false">IF(FH52=1,IF(ABS((1+AS_Wage)/(1+Slot15_Rate)-1)&lt;0.000000000001,(Slot15_Age-D52)*(1+Slot15_Rate)^(Slot15_Age-D52),(1+Slot15_Rate)^(Slot15_Age-D52)*(1-((1+AS_Wage)/(1+Slot15_Rate))^(Slot15_Age-D52))/(1-(1+AS_Wage)/(1+Slot15_Rate))),1)</f>
        <v>1</v>
      </c>
      <c r="MO52" s="20" t="n">
        <f aca="false">IF(AND(HU52=1,IE52&gt;0,Slot15_IsWG=1,FH52=1),MAX(0,(Slot15_Cost-FI52*(1+Slot15_Rate)^(Slot15_Age-D52))/MN52),0)</f>
        <v>0</v>
      </c>
      <c r="MP52" s="20" t="n">
        <f aca="false">IF(AND(HU52=1,IE52&gt;0,Slot15_IsWG=1,FH52=1),MIN(IE52,MO52),0)</f>
        <v>0</v>
      </c>
      <c r="MQ52" s="20" t="n">
        <f aca="false">FI52+MP52</f>
        <v>0</v>
      </c>
      <c r="MR52" s="20" t="n">
        <f aca="false">IF(FH52=1,MAX(0,(Slot15_Cost-MQ52*(1+Slot15_Rate)^(Slot15_Age-D52))/MN52),0)</f>
        <v>0</v>
      </c>
      <c r="MS52" s="20" t="n">
        <f aca="false">IF(FH52=1,MAX(0,(Slot15_Cost-FI52*(1+Slot15_Rate)^(Slot15_Age-D52))/MN52),0)</f>
        <v>0</v>
      </c>
      <c r="MT52" s="20" t="n">
        <f aca="false">IF(AND(HU52=1,FH52=1),MIN(MM52,MR52),0)</f>
        <v>0</v>
      </c>
      <c r="MU52" s="20" t="n">
        <f aca="false">MM52-MT52</f>
        <v>0</v>
      </c>
      <c r="MV52" s="20" t="n">
        <f aca="false">IF(FR52=1,IF(ABS((1+AS_Wage)/(1+Slot16_Rate)-1)&lt;0.000000000001,(Slot16_Age-D52)*(1+Slot16_Rate)^(Slot16_Age-D52),(1+Slot16_Rate)^(Slot16_Age-D52)*(1-((1+AS_Wage)/(1+Slot16_Rate))^(Slot16_Age-D52))/(1-(1+AS_Wage)/(1+Slot16_Rate))),1)</f>
        <v>1</v>
      </c>
      <c r="MW52" s="20" t="n">
        <f aca="false">IF(AND(HU52=1,IE52&gt;0,Slot16_IsWG=1,FR52=1),MAX(0,(Slot16_Cost-FS52*(1+Slot16_Rate)^(Slot16_Age-D52))/MV52),0)</f>
        <v>0</v>
      </c>
      <c r="MX52" s="20" t="n">
        <f aca="false">IF(AND(HU52=1,IE52&gt;0,Slot16_IsWG=1,FR52=1),MIN(IE52,MW52),0)</f>
        <v>0</v>
      </c>
      <c r="MY52" s="20" t="n">
        <f aca="false">FS52+MX52</f>
        <v>0</v>
      </c>
      <c r="MZ52" s="20" t="n">
        <f aca="false">IF(FR52=1,MAX(0,(Slot16_Cost-MY52*(1+Slot16_Rate)^(Slot16_Age-D52))/MV52),0)</f>
        <v>0</v>
      </c>
      <c r="NA52" s="20" t="n">
        <f aca="false">IF(FR52=1,MAX(0,(Slot16_Cost-FS52*(1+Slot16_Rate)^(Slot16_Age-D52))/MV52),0)</f>
        <v>0</v>
      </c>
      <c r="NB52" s="20" t="n">
        <f aca="false">IF(AND(HU52=1,FR52=1),MIN(MU52,MZ52),0)</f>
        <v>0</v>
      </c>
      <c r="NC52" s="20" t="n">
        <f aca="false">MU52-NB52</f>
        <v>0</v>
      </c>
      <c r="ND52" s="20" t="n">
        <f aca="false">IF(GB52=1,IF(ABS((1+AS_Wage)/(1+Slot17_Rate)-1)&lt;0.000000000001,(Slot17_Age-D52)*(1+Slot17_Rate)^(Slot17_Age-D52),(1+Slot17_Rate)^(Slot17_Age-D52)*(1-((1+AS_Wage)/(1+Slot17_Rate))^(Slot17_Age-D52))/(1-(1+AS_Wage)/(1+Slot17_Rate))),1)</f>
        <v>1</v>
      </c>
      <c r="NE52" s="20" t="n">
        <f aca="false">IF(AND(HU52=1,IE52&gt;0,Slot17_IsWG=1,GB52=1),MAX(0,(Slot17_Cost-GC52*(1+Slot17_Rate)^(Slot17_Age-D52))/ND52),0)</f>
        <v>0</v>
      </c>
      <c r="NF52" s="20" t="n">
        <f aca="false">IF(AND(HU52=1,IE52&gt;0,Slot17_IsWG=1,GB52=1),MIN(IE52,NE52),0)</f>
        <v>0</v>
      </c>
      <c r="NG52" s="20" t="n">
        <f aca="false">GC52+NF52</f>
        <v>0</v>
      </c>
      <c r="NH52" s="20" t="n">
        <f aca="false">IF(GB52=1,MAX(0,(Slot17_Cost-NG52*(1+Slot17_Rate)^(Slot17_Age-D52))/ND52),0)</f>
        <v>0</v>
      </c>
      <c r="NI52" s="20" t="n">
        <f aca="false">IF(GB52=1,MAX(0,(Slot17_Cost-GC52*(1+Slot17_Rate)^(Slot17_Age-D52))/ND52),0)</f>
        <v>0</v>
      </c>
      <c r="NJ52" s="20" t="n">
        <f aca="false">IF(AND(HU52=1,GB52=1),MIN(NC52,NH52),0)</f>
        <v>0</v>
      </c>
      <c r="NK52" s="20" t="n">
        <f aca="false">NC52-NJ52</f>
        <v>0</v>
      </c>
      <c r="NL52" s="20" t="n">
        <f aca="false">IF(GL52=1,IF(ABS((1+AS_Wage)/(1+Slot18_Rate)-1)&lt;0.000000000001,(Slot18_Age-D52)*(1+Slot18_Rate)^(Slot18_Age-D52),(1+Slot18_Rate)^(Slot18_Age-D52)*(1-((1+AS_Wage)/(1+Slot18_Rate))^(Slot18_Age-D52))/(1-(1+AS_Wage)/(1+Slot18_Rate))),1)</f>
        <v>1</v>
      </c>
      <c r="NM52" s="20" t="n">
        <f aca="false">IF(AND(HU52=1,IE52&gt;0,Slot18_IsWG=1,GL52=1),MAX(0,(Slot18_Cost-GM52*(1+Slot18_Rate)^(Slot18_Age-D52))/NL52),0)</f>
        <v>0</v>
      </c>
      <c r="NN52" s="20" t="n">
        <f aca="false">IF(AND(HU52=1,IE52&gt;0,Slot18_IsWG=1,GL52=1),MIN(IE52,NM52),0)</f>
        <v>0</v>
      </c>
      <c r="NO52" s="20" t="n">
        <f aca="false">GM52+NN52</f>
        <v>0</v>
      </c>
      <c r="NP52" s="20" t="n">
        <f aca="false">IF(GL52=1,MAX(0,(Slot18_Cost-NO52*(1+Slot18_Rate)^(Slot18_Age-D52))/NL52),0)</f>
        <v>0</v>
      </c>
      <c r="NQ52" s="20" t="n">
        <f aca="false">IF(GL52=1,MAX(0,(Slot18_Cost-GM52*(1+Slot18_Rate)^(Slot18_Age-D52))/NL52),0)</f>
        <v>0</v>
      </c>
      <c r="NR52" s="20" t="n">
        <f aca="false">IF(AND(HU52=1,GL52=1),MIN(NK52,NP52),0)</f>
        <v>0</v>
      </c>
      <c r="NS52" s="20" t="n">
        <f aca="false">NK52-NR52</f>
        <v>0</v>
      </c>
      <c r="NT52" s="20" t="n">
        <f aca="false">IF(GV52=1,IF(ABS((1+AS_Wage)/(1+Slot19_Rate)-1)&lt;0.000000000001,(Slot19_Age-D52)*(1+Slot19_Rate)^(Slot19_Age-D52),(1+Slot19_Rate)^(Slot19_Age-D52)*(1-((1+AS_Wage)/(1+Slot19_Rate))^(Slot19_Age-D52))/(1-(1+AS_Wage)/(1+Slot19_Rate))),1)</f>
        <v>1</v>
      </c>
      <c r="NU52" s="20" t="n">
        <f aca="false">IF(AND(HU52=1,IE52&gt;0,Slot19_IsWG=1,GV52=1),MAX(0,(Slot19_Cost-GW52*(1+Slot19_Rate)^(Slot19_Age-D52))/NT52),0)</f>
        <v>0</v>
      </c>
      <c r="NV52" s="20" t="n">
        <f aca="false">IF(AND(HU52=1,IE52&gt;0,Slot19_IsWG=1,GV52=1),MIN(IE52,NU52),0)</f>
        <v>0</v>
      </c>
      <c r="NW52" s="20" t="n">
        <f aca="false">GW52+NV52</f>
        <v>0</v>
      </c>
      <c r="NX52" s="20" t="n">
        <f aca="false">IF(GV52=1,MAX(0,(Slot19_Cost-NW52*(1+Slot19_Rate)^(Slot19_Age-D52))/NT52),0)</f>
        <v>0</v>
      </c>
      <c r="NY52" s="20" t="n">
        <f aca="false">IF(GV52=1,MAX(0,(Slot19_Cost-GW52*(1+Slot19_Rate)^(Slot19_Age-D52))/NT52),0)</f>
        <v>0</v>
      </c>
      <c r="NZ52" s="20" t="n">
        <f aca="false">IF(AND(HU52=1,GV52=1),MIN(NS52,NX52),0)</f>
        <v>0</v>
      </c>
      <c r="OA52" s="20" t="n">
        <f aca="false">NS52-NZ52</f>
        <v>0</v>
      </c>
      <c r="OB52" s="20" t="n">
        <f aca="false">IF(HF52=1,IF(ABS((1+AS_Wage)/(1+Slot20_Rate)-1)&lt;0.000000000001,(Slot20_Age-D52)*(1+Slot20_Rate)^(Slot20_Age-D52),(1+Slot20_Rate)^(Slot20_Age-D52)*(1-((1+AS_Wage)/(1+Slot20_Rate))^(Slot20_Age-D52))/(1-(1+AS_Wage)/(1+Slot20_Rate))),1)</f>
        <v>1</v>
      </c>
      <c r="OC52" s="20" t="n">
        <f aca="false">IF(AND(HU52=1,IE52&gt;0,Slot20_IsWG=1,HF52=1),MAX(0,(Slot20_Cost-HG52*(1+Slot20_Rate)^(Slot20_Age-D52))/OB52),0)</f>
        <v>0</v>
      </c>
      <c r="OD52" s="20" t="n">
        <f aca="false">IF(AND(HU52=1,IE52&gt;0,Slot20_IsWG=1,HF52=1),MIN(IE52,OC52),0)</f>
        <v>0</v>
      </c>
      <c r="OE52" s="20" t="n">
        <f aca="false">HG52+OD52</f>
        <v>0</v>
      </c>
      <c r="OF52" s="20" t="n">
        <f aca="false">IF(HF52=1,MAX(0,(Slot20_Cost-OE52*(1+Slot20_Rate)^(Slot20_Age-D52))/OB52),0)</f>
        <v>0</v>
      </c>
      <c r="OG52" s="20" t="n">
        <f aca="false">IF(HF52=1,MAX(0,(Slot20_Cost-HG52*(1+Slot20_Rate)^(Slot20_Age-D52))/OB52),0)</f>
        <v>0</v>
      </c>
      <c r="OH52" s="20" t="n">
        <f aca="false">IF(AND(HU52=1,HF52=1),MIN(OA52,OF52),0)</f>
        <v>0</v>
      </c>
      <c r="OI52" s="20" t="n">
        <f aca="false">OA52-OH52</f>
        <v>0</v>
      </c>
      <c r="OJ52" s="20" t="n">
        <f aca="false">IE52-(IH52+IP52+IX52+JF52+JN52+JV52+KD52+KL52+KT52+LB52+LJ52+LR52+LZ52+MH52+MP52+MX52+NF52+NN52+NV52+OD52)</f>
        <v>0</v>
      </c>
      <c r="OK52" s="20" t="n">
        <f aca="false">IF(HU52=1,HS52-ID52-IE52,0)</f>
        <v>0</v>
      </c>
      <c r="OL52" s="20" t="n">
        <f aca="false">IF(HU52=0,-HS52,0)</f>
        <v>25607.1854959062</v>
      </c>
      <c r="OM52" s="20" t="n">
        <f aca="false">MIN(OL52,HK52)</f>
        <v>0</v>
      </c>
      <c r="ON52" s="20" t="n">
        <f aca="false">OL52-OM52</f>
        <v>25607.1854959062</v>
      </c>
      <c r="OO52" s="20" t="n">
        <f aca="false">MIN(ON52,HL52)</f>
        <v>0</v>
      </c>
      <c r="OP52" s="20" t="n">
        <f aca="false">ON52-OO52</f>
        <v>25607.1854959062</v>
      </c>
      <c r="OQ52" s="20" t="n">
        <f aca="false">IF(AND(HU52=0,HF52=1,OP52&gt;0),MIN(OP52,HG52),0)</f>
        <v>0</v>
      </c>
      <c r="OR52" s="20" t="n">
        <f aca="false">OP52-OQ52</f>
        <v>25607.1854959062</v>
      </c>
      <c r="OS52" s="20" t="n">
        <f aca="false">IF(AND(HU52=0,GV52=1,OR52&gt;0),MIN(OR52,GW52),0)</f>
        <v>0</v>
      </c>
      <c r="OT52" s="20" t="n">
        <f aca="false">OR52-OS52</f>
        <v>25607.1854959062</v>
      </c>
      <c r="OU52" s="20" t="n">
        <f aca="false">IF(AND(HU52=0,GL52=1,OT52&gt;0),MIN(OT52,GM52),0)</f>
        <v>0</v>
      </c>
      <c r="OV52" s="20" t="n">
        <f aca="false">OT52-OU52</f>
        <v>25607.1854959062</v>
      </c>
      <c r="OW52" s="20" t="n">
        <f aca="false">IF(AND(HU52=0,GB52=1,OV52&gt;0),MIN(OV52,GC52),0)</f>
        <v>0</v>
      </c>
      <c r="OX52" s="20" t="n">
        <f aca="false">OV52-OW52</f>
        <v>25607.1854959062</v>
      </c>
      <c r="OY52" s="20" t="n">
        <f aca="false">IF(AND(HU52=0,FR52=1,OX52&gt;0),MIN(OX52,FS52),0)</f>
        <v>0</v>
      </c>
      <c r="OZ52" s="20" t="n">
        <f aca="false">OX52-OY52</f>
        <v>25607.1854959062</v>
      </c>
      <c r="PA52" s="20" t="n">
        <f aca="false">IF(AND(HU52=0,FH52=1,OZ52&gt;0),MIN(OZ52,FI52),0)</f>
        <v>0</v>
      </c>
      <c r="PB52" s="20" t="n">
        <f aca="false">OZ52-PA52</f>
        <v>25607.1854959062</v>
      </c>
      <c r="PC52" s="20" t="n">
        <f aca="false">IF(AND(HU52=0,EX52=1,PB52&gt;0),MIN(PB52,EY52),0)</f>
        <v>0</v>
      </c>
      <c r="PD52" s="20" t="n">
        <f aca="false">PB52-PC52</f>
        <v>25607.1854959062</v>
      </c>
      <c r="PE52" s="20" t="n">
        <f aca="false">IF(AND(HU52=0,EN52=1,PD52&gt;0),MIN(PD52,EO52),0)</f>
        <v>0</v>
      </c>
      <c r="PF52" s="20" t="n">
        <f aca="false">PD52-PE52</f>
        <v>25607.1854959062</v>
      </c>
      <c r="PG52" s="20" t="n">
        <f aca="false">IF(AND(HU52=0,ED52=1,PF52&gt;0),MIN(PF52,EE52),0)</f>
        <v>0</v>
      </c>
      <c r="PH52" s="20" t="n">
        <f aca="false">PF52-PG52</f>
        <v>25607.1854959062</v>
      </c>
      <c r="PI52" s="20" t="n">
        <f aca="false">IF(AND(HU52=0,DT52=1,PH52&gt;0),MIN(PH52,DU52),0)</f>
        <v>0</v>
      </c>
      <c r="PJ52" s="20" t="n">
        <f aca="false">PH52-PI52</f>
        <v>25607.1854959062</v>
      </c>
      <c r="PK52" s="20" t="n">
        <f aca="false">IF(AND(HU52=0,DJ52=1,PJ52&gt;0),MIN(PJ52,DK52),0)</f>
        <v>0</v>
      </c>
      <c r="PL52" s="20" t="n">
        <f aca="false">PJ52-PK52</f>
        <v>25607.1854959062</v>
      </c>
      <c r="PM52" s="20" t="n">
        <f aca="false">IF(AND(HU52=0,CZ52=1,PL52&gt;0),MIN(PL52,DA52),0)</f>
        <v>0</v>
      </c>
      <c r="PN52" s="20" t="n">
        <f aca="false">PL52-PM52</f>
        <v>25607.1854959062</v>
      </c>
      <c r="PO52" s="20" t="n">
        <f aca="false">IF(AND(HU52=0,CP52=1,PN52&gt;0),MIN(PN52,CQ52),0)</f>
        <v>0</v>
      </c>
      <c r="PP52" s="20" t="n">
        <f aca="false">PN52-PO52</f>
        <v>25607.1854959062</v>
      </c>
      <c r="PQ52" s="20" t="n">
        <f aca="false">IF(AND(HU52=0,CF52=1,PP52&gt;0),MIN(PP52,CG52),0)</f>
        <v>0</v>
      </c>
      <c r="PR52" s="20" t="n">
        <f aca="false">PP52-PQ52</f>
        <v>25607.1854959062</v>
      </c>
      <c r="PS52" s="20" t="n">
        <f aca="false">IF(AND(HU52=0,BV52=1,PR52&gt;0),MIN(PR52,BW52),0)</f>
        <v>0</v>
      </c>
      <c r="PT52" s="20" t="n">
        <f aca="false">PR52-PS52</f>
        <v>25607.1854959062</v>
      </c>
      <c r="PU52" s="20" t="n">
        <f aca="false">IF(AND(HU52=0,BL52=1,PT52&gt;0),MIN(PT52,BM52),0)</f>
        <v>0</v>
      </c>
      <c r="PV52" s="20" t="n">
        <f aca="false">PT52-PU52</f>
        <v>25607.1854959062</v>
      </c>
      <c r="PW52" s="20" t="n">
        <f aca="false">IF(AND(HU52=0,BB52=1,PV52&gt;0),MIN(PV52,BC52),0)</f>
        <v>0</v>
      </c>
      <c r="PX52" s="20" t="n">
        <f aca="false">PV52-PW52</f>
        <v>25607.1854959062</v>
      </c>
      <c r="PY52" s="20" t="n">
        <f aca="false">IF(AND(HU52=0,AR52=1,PX52&gt;0),MIN(PX52,AS52),0)</f>
        <v>0</v>
      </c>
      <c r="PZ52" s="20" t="n">
        <f aca="false">PX52-PY52</f>
        <v>25607.1854959062</v>
      </c>
      <c r="QA52" s="20" t="n">
        <f aca="false">IF(AND(HU52=0,AH52=1,PZ52&gt;0),MIN(PZ52,AI52),0)</f>
        <v>0</v>
      </c>
      <c r="QB52" s="20" t="n">
        <f aca="false">PZ52-QA52</f>
        <v>25607.1854959062</v>
      </c>
      <c r="QC52" s="20" t="n">
        <f aca="false">IF(AND(HU52=0,W52=1,QB52&gt;0),MIN(QB52,X52),0)</f>
        <v>0</v>
      </c>
      <c r="QD52" s="20" t="n">
        <f aca="false">QB52-QC52</f>
        <v>25607.1854959062</v>
      </c>
      <c r="QE52" s="20" t="n">
        <f aca="false">IF(HU52=0,QD52,0)</f>
        <v>25607.1854959062</v>
      </c>
      <c r="QF52" s="20" t="n">
        <f aca="false">OM52+OO52+QC52+QA52+PY52+PW52+PU52+PS52+PQ52+PO52+PM52+PK52+PI52+PG52+PE52+PC52+PA52+OY52+OW52+OU52+OS52+OQ52</f>
        <v>0</v>
      </c>
      <c r="QG52" s="20" t="n">
        <f aca="false">IF(HU52=1,HK52+OJ52+OI52+IF(G52=1,0,OK52),HK52-OM52)</f>
        <v>0</v>
      </c>
      <c r="QH52" s="20" t="n">
        <f aca="false">HL52-OO52</f>
        <v>0</v>
      </c>
      <c r="QI52" s="20" t="n">
        <f aca="false">IF(HU52=1,IF(G52=1,ID52+IE52,HS52),0)</f>
        <v>0</v>
      </c>
      <c r="QJ52" s="20" t="n">
        <f aca="false">IF(HU52=1,IF(G52=1,HS52-ID52-IE52,0),0)</f>
        <v>0</v>
      </c>
      <c r="QK52" s="20" t="n">
        <f aca="false">QG52*(1+GR)</f>
        <v>0</v>
      </c>
      <c r="QL52" s="20" t="n">
        <f aca="false">QH52*(1+AS_Cash)</f>
        <v>0</v>
      </c>
      <c r="QM52" s="20" t="n">
        <f aca="false">IF(W52=1,IF(HU52=1,II52+IL52,X52-QC52)*(1+Slot1_Rate),0)</f>
        <v>0</v>
      </c>
      <c r="QN52" s="20" t="n">
        <f aca="false">IF(AND(HU52=1,W52=1),(IH52+IL52)/F52,0)</f>
        <v>0</v>
      </c>
      <c r="QO52" s="20" t="n">
        <f aca="false">IF(B52=0,IH52+IL52,0)</f>
        <v>0</v>
      </c>
      <c r="QP52" s="20" t="n">
        <f aca="false">IF(B52=0,IF(HU52=1,IJ52,IK52),0)</f>
        <v>0</v>
      </c>
      <c r="QQ52" s="20" t="n">
        <f aca="false">IF(AH52=1,IF(HU52=1,IQ52+IT52,AI52-QA52)*(1+Slot2_Rate),0)</f>
        <v>0</v>
      </c>
      <c r="QR52" s="20" t="n">
        <f aca="false">IF(AND(HU52=1,AH52=1),(IP52+IT52)/F52,0)</f>
        <v>0</v>
      </c>
      <c r="QS52" s="20" t="n">
        <f aca="false">IF(B52=0,IP52+IT52,0)</f>
        <v>0</v>
      </c>
      <c r="QT52" s="20" t="n">
        <f aca="false">IF(B52=0,IF(HU52=1,IR52,IS52),0)</f>
        <v>0</v>
      </c>
      <c r="QU52" s="20" t="n">
        <f aca="false">IF(AR52=1,IF(HU52=1,IY52+JB52,AS52-PY52)*(1+Slot3_Rate),0)</f>
        <v>0</v>
      </c>
      <c r="QV52" s="20" t="n">
        <f aca="false">IF(AND(HU52=1,AR52=1),(IX52+JB52)/F52,0)</f>
        <v>0</v>
      </c>
      <c r="QW52" s="20" t="n">
        <f aca="false">IF(B52=0,IX52+JB52,0)</f>
        <v>0</v>
      </c>
      <c r="QX52" s="20" t="n">
        <f aca="false">IF(B52=0,IF(HU52=1,IZ52,JA52),0)</f>
        <v>0</v>
      </c>
      <c r="QY52" s="20" t="n">
        <f aca="false">IF(BB52=1,IF(HU52=1,JG52+JJ52,BC52-PW52)*(1+Slot4_Rate),0)</f>
        <v>0</v>
      </c>
      <c r="QZ52" s="20" t="n">
        <f aca="false">IF(AND(HU52=1,BB52=1),(JF52+JJ52)/F52,0)</f>
        <v>0</v>
      </c>
      <c r="RA52" s="20" t="n">
        <f aca="false">IF(B52=0,JF52+JJ52,0)</f>
        <v>0</v>
      </c>
      <c r="RB52" s="20" t="n">
        <f aca="false">IF(B52=0,IF(HU52=1,JH52,JI52),0)</f>
        <v>0</v>
      </c>
      <c r="RC52" s="20" t="n">
        <f aca="false">IF(BL52=1,IF(HU52=1,JO52+JR52,BM52-PU52)*(1+Slot5_Rate),0)</f>
        <v>0</v>
      </c>
      <c r="RD52" s="20" t="n">
        <f aca="false">IF(AND(HU52=1,BL52=1),(JN52+JR52)/F52,0)</f>
        <v>0</v>
      </c>
      <c r="RE52" s="20" t="n">
        <f aca="false">IF(B52=0,JN52+JR52,0)</f>
        <v>0</v>
      </c>
      <c r="RF52" s="20" t="n">
        <f aca="false">IF(B52=0,IF(HU52=1,JP52,JQ52),0)</f>
        <v>0</v>
      </c>
      <c r="RG52" s="20" t="n">
        <f aca="false">IF(BV52=1,IF(HU52=1,JW52+JZ52,BW52-PS52)*(1+Slot6_Rate),0)</f>
        <v>0</v>
      </c>
      <c r="RH52" s="20" t="n">
        <f aca="false">IF(AND(HU52=1,BV52=1),(JV52+JZ52)/F52,0)</f>
        <v>0</v>
      </c>
      <c r="RI52" s="20" t="n">
        <f aca="false">IF(B52=0,JV52+JZ52,0)</f>
        <v>0</v>
      </c>
      <c r="RJ52" s="20" t="n">
        <f aca="false">IF(B52=0,IF(HU52=1,JX52,JY52),0)</f>
        <v>0</v>
      </c>
      <c r="RK52" s="20" t="n">
        <f aca="false">IF(CF52=1,IF(HU52=1,KE52+KH52,CG52-PQ52)*(1+Slot7_Rate),0)</f>
        <v>0</v>
      </c>
      <c r="RL52" s="20" t="n">
        <f aca="false">IF(AND(HU52=1,CF52=1),(KD52+KH52)/F52,0)</f>
        <v>0</v>
      </c>
      <c r="RM52" s="20" t="n">
        <f aca="false">IF(B52=0,KD52+KH52,0)</f>
        <v>0</v>
      </c>
      <c r="RN52" s="20" t="n">
        <f aca="false">IF(B52=0,IF(HU52=1,KF52,KG52),0)</f>
        <v>0</v>
      </c>
      <c r="RO52" s="20" t="n">
        <f aca="false">IF(CP52=1,IF(HU52=1,KM52+KP52,CQ52-PO52)*(1+Slot8_Rate),0)</f>
        <v>0</v>
      </c>
      <c r="RP52" s="20" t="n">
        <f aca="false">IF(AND(HU52=1,CP52=1),(KL52+KP52)/F52,0)</f>
        <v>0</v>
      </c>
      <c r="RQ52" s="20" t="n">
        <f aca="false">IF(B52=0,KL52+KP52,0)</f>
        <v>0</v>
      </c>
      <c r="RR52" s="20" t="n">
        <f aca="false">IF(B52=0,IF(HU52=1,KN52,KO52),0)</f>
        <v>0</v>
      </c>
      <c r="RS52" s="20" t="n">
        <f aca="false">IF(CZ52=1,IF(HU52=1,KU52+KX52,DA52-PM52)*(1+Slot9_Rate),0)</f>
        <v>0</v>
      </c>
      <c r="RT52" s="20" t="n">
        <f aca="false">IF(AND(HU52=1,CZ52=1),(KT52+KX52)/F52,0)</f>
        <v>0</v>
      </c>
      <c r="RU52" s="20" t="n">
        <f aca="false">IF(B52=0,KT52+KX52,0)</f>
        <v>0</v>
      </c>
      <c r="RV52" s="20" t="n">
        <f aca="false">IF(B52=0,IF(HU52=1,KV52,KW52),0)</f>
        <v>0</v>
      </c>
      <c r="RW52" s="20" t="n">
        <f aca="false">IF(DJ52=1,IF(HU52=1,LC52+LF52,DK52-PK52)*(1+Slot10_Rate),0)</f>
        <v>0</v>
      </c>
      <c r="RX52" s="20" t="n">
        <f aca="false">IF(AND(HU52=1,DJ52=1),(LB52+LF52)/F52,0)</f>
        <v>0</v>
      </c>
      <c r="RY52" s="20" t="n">
        <f aca="false">IF(B52=0,LB52+LF52,0)</f>
        <v>0</v>
      </c>
      <c r="RZ52" s="20" t="n">
        <f aca="false">IF(B52=0,IF(HU52=1,LD52,LE52),0)</f>
        <v>0</v>
      </c>
      <c r="SA52" s="20" t="n">
        <f aca="false">IF(DT52=1,IF(HU52=1,LK52+LN52,DU52-PI52)*(1+Slot11_Rate),0)</f>
        <v>0</v>
      </c>
      <c r="SB52" s="20" t="n">
        <f aca="false">IF(AND(HU52=1,DT52=1),(LJ52+LN52)/F52,0)</f>
        <v>0</v>
      </c>
      <c r="SC52" s="20" t="n">
        <f aca="false">IF(B52=0,LJ52+LN52,0)</f>
        <v>0</v>
      </c>
      <c r="SD52" s="20" t="n">
        <f aca="false">IF(B52=0,IF(HU52=1,LL52,LM52),0)</f>
        <v>0</v>
      </c>
      <c r="SE52" s="20" t="n">
        <f aca="false">IF(ED52=1,IF(HU52=1,LS52+LV52,EE52-PG52)*(1+Slot12_Rate),0)</f>
        <v>0</v>
      </c>
      <c r="SF52" s="20" t="n">
        <f aca="false">IF(AND(HU52=1,ED52=1),(LR52+LV52)/F52,0)</f>
        <v>0</v>
      </c>
      <c r="SG52" s="20" t="n">
        <f aca="false">IF(B52=0,LR52+LV52,0)</f>
        <v>0</v>
      </c>
      <c r="SH52" s="20" t="n">
        <f aca="false">IF(B52=0,IF(HU52=1,LT52,LU52),0)</f>
        <v>0</v>
      </c>
      <c r="SI52" s="20" t="n">
        <f aca="false">IF(EN52=1,IF(HU52=1,MA52+MD52,EO52-PE52)*(1+Slot13_Rate),0)</f>
        <v>0</v>
      </c>
      <c r="SJ52" s="20" t="n">
        <f aca="false">IF(AND(HU52=1,EN52=1),(LZ52+MD52)/F52,0)</f>
        <v>0</v>
      </c>
      <c r="SK52" s="20" t="n">
        <f aca="false">IF(B52=0,LZ52+MD52,0)</f>
        <v>0</v>
      </c>
      <c r="SL52" s="20" t="n">
        <f aca="false">IF(B52=0,IF(HU52=1,MB52,MC52),0)</f>
        <v>0</v>
      </c>
      <c r="SM52" s="20" t="n">
        <f aca="false">IF(EX52=1,IF(HU52=1,MI52+ML52,EY52-PC52)*(1+Slot14_Rate),0)</f>
        <v>0</v>
      </c>
      <c r="SN52" s="20" t="n">
        <f aca="false">IF(AND(HU52=1,EX52=1),(MH52+ML52)/F52,0)</f>
        <v>0</v>
      </c>
      <c r="SO52" s="20" t="n">
        <f aca="false">IF(B52=0,MH52+ML52,0)</f>
        <v>0</v>
      </c>
      <c r="SP52" s="20" t="n">
        <f aca="false">IF(B52=0,IF(HU52=1,MJ52,MK52),0)</f>
        <v>0</v>
      </c>
      <c r="SQ52" s="20" t="n">
        <f aca="false">IF(FH52=1,IF(HU52=1,MQ52+MT52,FI52-PA52)*(1+Slot15_Rate),0)</f>
        <v>0</v>
      </c>
      <c r="SR52" s="20" t="n">
        <f aca="false">IF(AND(HU52=1,FH52=1),(MP52+MT52)/F52,0)</f>
        <v>0</v>
      </c>
      <c r="SS52" s="20" t="n">
        <f aca="false">IF(B52=0,MP52+MT52,0)</f>
        <v>0</v>
      </c>
      <c r="ST52" s="20" t="n">
        <f aca="false">IF(B52=0,IF(HU52=1,MR52,MS52),0)</f>
        <v>0</v>
      </c>
      <c r="SU52" s="20" t="n">
        <f aca="false">IF(FR52=1,IF(HU52=1,MY52+NB52,FS52-OY52)*(1+Slot16_Rate),0)</f>
        <v>0</v>
      </c>
      <c r="SV52" s="20" t="n">
        <f aca="false">IF(AND(HU52=1,FR52=1),(MX52+NB52)/F52,0)</f>
        <v>0</v>
      </c>
      <c r="SW52" s="20" t="n">
        <f aca="false">IF(B52=0,MX52+NB52,0)</f>
        <v>0</v>
      </c>
      <c r="SX52" s="20" t="n">
        <f aca="false">IF(B52=0,IF(HU52=1,MZ52,NA52),0)</f>
        <v>0</v>
      </c>
      <c r="SY52" s="20" t="n">
        <f aca="false">IF(GB52=1,IF(HU52=1,NG52+NJ52,GC52-OW52)*(1+Slot17_Rate),0)</f>
        <v>0</v>
      </c>
      <c r="SZ52" s="20" t="n">
        <f aca="false">IF(AND(HU52=1,GB52=1),(NF52+NJ52)/F52,0)</f>
        <v>0</v>
      </c>
      <c r="TA52" s="20" t="n">
        <f aca="false">IF(B52=0,NF52+NJ52,0)</f>
        <v>0</v>
      </c>
      <c r="TB52" s="20" t="n">
        <f aca="false">IF(B52=0,IF(HU52=1,NH52,NI52),0)</f>
        <v>0</v>
      </c>
      <c r="TC52" s="20" t="n">
        <f aca="false">IF(GL52=1,IF(HU52=1,NO52+NR52,GM52-OU52)*(1+Slot18_Rate),0)</f>
        <v>0</v>
      </c>
      <c r="TD52" s="20" t="n">
        <f aca="false">IF(AND(HU52=1,GL52=1),(NN52+NR52)/F52,0)</f>
        <v>0</v>
      </c>
      <c r="TE52" s="20" t="n">
        <f aca="false">IF(B52=0,NN52+NR52,0)</f>
        <v>0</v>
      </c>
      <c r="TF52" s="20" t="n">
        <f aca="false">IF(B52=0,IF(HU52=1,NP52,NQ52),0)</f>
        <v>0</v>
      </c>
      <c r="TG52" s="20" t="n">
        <f aca="false">IF(GV52=1,IF(HU52=1,NW52+NZ52,GW52-OS52)*(1+Slot19_Rate),0)</f>
        <v>0</v>
      </c>
      <c r="TH52" s="20" t="n">
        <f aca="false">IF(AND(HU52=1,GV52=1),(NV52+NZ52)/F52,0)</f>
        <v>0</v>
      </c>
      <c r="TI52" s="20" t="n">
        <f aca="false">IF(B52=0,NV52+NZ52,0)</f>
        <v>0</v>
      </c>
      <c r="TJ52" s="20" t="n">
        <f aca="false">IF(B52=0,IF(HU52=1,NX52,NY52),0)</f>
        <v>0</v>
      </c>
      <c r="TK52" s="20" t="n">
        <f aca="false">IF(HF52=1,IF(HU52=1,OE52+OH52,HG52-OQ52)*(1+Slot20_Rate),0)</f>
        <v>0</v>
      </c>
      <c r="TL52" s="20" t="n">
        <f aca="false">IF(AND(HU52=1,HF52=1),(OD52+OH52)/F52,0)</f>
        <v>0</v>
      </c>
      <c r="TM52" s="20" t="n">
        <f aca="false">IF(B52=0,OD52+OH52,0)</f>
        <v>0</v>
      </c>
      <c r="TN52" s="20" t="n">
        <f aca="false">IF(B52=0,IF(HU52=1,OF52,OG52),0)</f>
        <v>0</v>
      </c>
      <c r="TO52" s="20" t="n">
        <f aca="false">QK52+QL52+QM52+QQ52+QU52+QY52+RC52+RG52+RK52+RO52+RS52+RW52+SA52+SE52+SI52+SM52+SQ52+SU52+SY52+TC52+TG52+TK52</f>
        <v>0</v>
      </c>
      <c r="TP52" s="20" t="n">
        <f aca="false">QE52+HP52</f>
        <v>25607.1854959062</v>
      </c>
      <c r="TQ52" s="20" t="n">
        <f aca="false">I52+S52</f>
        <v>114244.54020922</v>
      </c>
      <c r="TR52" s="20" t="n">
        <f aca="false">1-G52</f>
        <v>1</v>
      </c>
      <c r="TS52" s="20" t="n">
        <f aca="false">IF(AND(RG_Exists=1,G52=0,C52=1),I52,0)</f>
        <v>114244.54020922</v>
      </c>
      <c r="TT52" s="20" t="n">
        <f aca="false">IF(AND(RG_Exists=1,G52=0,C52=1),I52-MIN(QE52,I52),0)</f>
        <v>88637.3547133137</v>
      </c>
      <c r="TU52" s="20" t="n">
        <f aca="false">'Plan pay &amp; tax'!AD278</f>
        <v>301391.708717722</v>
      </c>
      <c r="TV52" s="20" t="n">
        <f aca="false">IF(AND(C52=1,QE52&gt;MAX(PR_Short1,TQ52*PR_Short2)),1,0)</f>
        <v>1</v>
      </c>
      <c r="TW52" s="20" t="n">
        <f aca="false">MIN(H52,I52+S52)</f>
        <v>88637.3547133137</v>
      </c>
      <c r="TX52" s="20" t="n">
        <f aca="false">QF52+MAX(0,HQ52-HP52)</f>
        <v>0</v>
      </c>
      <c r="TY52" s="20" t="n">
        <f aca="false">QE52+HP52</f>
        <v>25607.1854959062</v>
      </c>
      <c r="TZ52" s="20" t="n">
        <f aca="false">IF(AND(C52=1,TY52&gt;PR_MinShort),1,0)</f>
        <v>1</v>
      </c>
      <c r="UA52" s="20" t="n">
        <f aca="false">IF(AND(C52=1,TZ52=0,TX52&gt;PR_MinShort),1,0)</f>
        <v>0</v>
      </c>
      <c r="UB52" s="20" t="n">
        <f aca="false">IF(AND(C52=1,QE52&gt;PR_MinShort),1,0)</f>
        <v>1</v>
      </c>
      <c r="UC52" s="20" t="n">
        <f aca="false">IF(AND(C52=1,QF52&gt;1,UJ52=0),1,0)</f>
        <v>0</v>
      </c>
      <c r="UD52" s="20" t="str">
        <f aca="false">IF(C52=0,"",IF(UJ52=1,"Gap to plan for: short "&amp;"€"&amp;TEXT(ROUND(TP52,0),"#,##0"),IF(QF52&gt;1,"Using savings","Comfortable")))</f>
        <v>Gap to plan for: short €25,607</v>
      </c>
      <c r="UE52" s="20" t="n">
        <f aca="false">IF(AND(INT(D52/10)*10=90,B52&gt;0),80,INT(D52/10)*10)</f>
        <v>80</v>
      </c>
      <c r="UF52" s="20" t="n">
        <f aca="false">IF(B52=0,1,IF(UE52&lt;&gt;UE51,UF51+1,UF51))</f>
        <v>6</v>
      </c>
      <c r="UG52" s="20" t="n">
        <f aca="false">IF(AND(C52=1,G52=1,QE52&gt;MAX(PR_Short1,TQ52*PR_Short2)),1,0)</f>
        <v>0</v>
      </c>
      <c r="UH52" s="20" t="n">
        <f aca="false">TR52*TV52</f>
        <v>1</v>
      </c>
      <c r="UI52" s="20" t="n">
        <f aca="false">IF(AND(V52=1,Slot1_PctLow=1),1,0)+IF(AND(AG52=1,Slot2_PctLow=1),1,0)+IF(AND(AQ52=1,Slot3_PctLow=1),1,0)+IF(AND(BA52=1,Slot4_PctLow=1),1,0)+IF(AND(BK52=1,Slot5_PctLow=1),1,0)+IF(AND(BU52=1,Slot6_PctLow=1),1,0)+IF(AND(CE52=1,Slot7_PctLow=1),1,0)+IF(AND(CO52=1,Slot8_PctLow=1),1,0)+IF(AND(CY52=1,Slot9_PctLow=1),1,0)+IF(AND(DI52=1,Slot10_PctLow=1),1,0)+IF(AND(DS52=1,Slot11_PctLow=1),1,0)+IF(AND(EC52=1,Slot12_PctLow=1),1,0)+IF(AND(EM52=1,Slot13_PctLow=1),1,0)+IF(AND(EW52=1,Slot14_PctLow=1),1,0)+IF(AND(FG52=1,Slot15_PctLow=1),1,0)+IF(AND(FQ52=1,Slot16_PctLow=1),1,0)+IF(AND(GA52=1,Slot17_PctLow=1),1,0)+IF(AND(GK52=1,Slot18_PctLow=1),1,0)+IF(AND(GU52=1,Slot19_PctLow=1),1,0)+IF(AND(HE52=1,Slot20_PctLow=1),1,0)</f>
        <v>0</v>
      </c>
      <c r="UJ52" s="20" t="n">
        <f aca="false">IF(C52=1,IF(OR(TV52=1,UI52&gt;0),1,0),0)</f>
        <v>1</v>
      </c>
    </row>
    <row r="53" customFormat="false" ht="15" hidden="false" customHeight="true" outlineLevel="0" collapsed="false">
      <c r="B53" s="20" t="n">
        <v>45</v>
      </c>
      <c r="C53" s="20" t="n">
        <f aca="false">IF(B53&lt;=F_N,1,0)</f>
        <v>1</v>
      </c>
      <c r="D53" s="20" t="n">
        <f aca="false">'Plan pay &amp; tax'!C279</f>
        <v>83</v>
      </c>
      <c r="E53" s="20" t="str">
        <f aca="false">IF($C53=1,"Income tax "&amp;TEXT(N('Plan pay &amp; tax'!BK279),"#,##0")&amp;"; USC "&amp;TEXT(N('Plan pay &amp; tax'!BM279)+N('Plan pay &amp; tax'!BO279),"#,##0")&amp;"; PRSI "&amp;TEXT(N('Plan pay &amp; tax'!BP279)+N('Plan pay &amp; tax'!BQ279),"#,##0")&amp;". DIRT and exit tax are inside the growth rates here.","")</f>
        <v>Income tax 874; USC 0; PRSI 0. DIRT and exit tax are inside the growth rates here.</v>
      </c>
      <c r="F53" s="44" t="n">
        <f aca="false">'Plan pay &amp; tax'!E279</f>
        <v>2.43785420530135</v>
      </c>
      <c r="G53" s="20" t="n">
        <f aca="false">'Plan pay &amp; tax'!G279</f>
        <v>0</v>
      </c>
      <c r="H53" s="20" t="n">
        <f aca="false">'Plan pay &amp; tax'!BT279-'Plan pay &amp; tax'!BS279-'Plan pay &amp; tax'!R279</f>
        <v>90616.8808612511</v>
      </c>
      <c r="I53" s="20" t="n">
        <f aca="false">IF(G53=1,F_CostsM*12,IF(RG_Exists=1,RG_Amount,F_CostsM*12*AS_RetireSpend))*F53+F_OneOffY*F53</f>
        <v>116529.431013404</v>
      </c>
      <c r="J53" s="20" t="n">
        <f aca="false">HR52</f>
        <v>0</v>
      </c>
      <c r="K53" s="20" t="n">
        <f aca="false">IF(J53&gt;1,'Plan debt months'!AC53,0)</f>
        <v>0</v>
      </c>
      <c r="L53" s="20" t="n">
        <f aca="false">IF(J53&gt;1,'Plan debt months'!AB53,J53)</f>
        <v>0</v>
      </c>
      <c r="M53" s="20" t="n">
        <f aca="false">O52</f>
        <v>0</v>
      </c>
      <c r="N53" s="20" t="n">
        <f aca="false">IF(M53&gt;1,'Plan debt months'!BD53,0)</f>
        <v>0</v>
      </c>
      <c r="O53" s="20" t="n">
        <f aca="false">IF(M53&gt;1,'Plan debt months'!BC53,M53)</f>
        <v>0</v>
      </c>
      <c r="P53" s="20" t="n">
        <f aca="false">R52</f>
        <v>0</v>
      </c>
      <c r="Q53" s="20" t="n">
        <f aca="false">IF(P53&gt;1,'Plan debt months'!CE53,0)</f>
        <v>0</v>
      </c>
      <c r="R53" s="20" t="n">
        <f aca="false">IF(P53&gt;1,'Plan debt months'!CD53,P53)</f>
        <v>0</v>
      </c>
      <c r="S53" s="20" t="n">
        <f aca="false">K53+N53+Q53</f>
        <v>0</v>
      </c>
      <c r="T53" s="20" t="n">
        <f aca="false">QK52+'Plan pay &amp; tax'!Y279</f>
        <v>0</v>
      </c>
      <c r="U53" s="20" t="n">
        <f aca="false">QK52</f>
        <v>0</v>
      </c>
      <c r="V53" s="20" t="n">
        <f aca="false">IF(AND(Slot1_On=1,D53=Slot1_Age),1,0)</f>
        <v>0</v>
      </c>
      <c r="W53" s="20" t="n">
        <f aca="false">IF(AND(Slot1_On=1,Slot1_Age&gt;D53),1,0)</f>
        <v>0</v>
      </c>
      <c r="X53" s="20" t="n">
        <f aca="false">QM52</f>
        <v>0</v>
      </c>
      <c r="Y53" s="20" t="n">
        <f aca="false">V53*MIN(Slot1_Cost,X53)</f>
        <v>0</v>
      </c>
      <c r="Z53" s="20" t="n">
        <f aca="false">V53*Slot1_SpendLike*MIN(Slot1_Cost-Y53,T53)</f>
        <v>0</v>
      </c>
      <c r="AA53" s="20" t="n">
        <f aca="false">Y53+Z53</f>
        <v>0</v>
      </c>
      <c r="AB53" s="20" t="n">
        <f aca="false">T53-Z53+V53*IF(Slot1_SpendLike=1,X53-Y53,IF(Slot1_PotFree=1,X53,0))</f>
        <v>0</v>
      </c>
      <c r="AC53" s="20" t="n">
        <f aca="false">AF53+V53*Slot1_BufPot*X53</f>
        <v>0</v>
      </c>
      <c r="AD53" s="20" t="n">
        <f aca="false">IF(AND(V53=1,Slot1_IsMfree=1),IF(AA53&gt;=Slot1_Cost-1,0,MAX(0,L53-AA53)),L53)</f>
        <v>0</v>
      </c>
      <c r="AE53" s="20" t="n">
        <f aca="false">V53*(Slot1_Cost-AA53)</f>
        <v>0</v>
      </c>
      <c r="AF53" s="20" t="n">
        <f aca="false">QL52</f>
        <v>0</v>
      </c>
      <c r="AG53" s="20" t="n">
        <f aca="false">IF(AND(Slot2_On=1,D53=Slot2_Age),1,0)</f>
        <v>0</v>
      </c>
      <c r="AH53" s="20" t="n">
        <f aca="false">IF(AND(Slot2_On=1,Slot2_Age&gt;D53),1,0)</f>
        <v>0</v>
      </c>
      <c r="AI53" s="20" t="n">
        <f aca="false">QQ52</f>
        <v>0</v>
      </c>
      <c r="AJ53" s="20" t="n">
        <f aca="false">AG53*MIN(Slot2_Cost,AI53)</f>
        <v>0</v>
      </c>
      <c r="AK53" s="20" t="n">
        <f aca="false">AG53*Slot2_SpendLike*MIN(Slot2_Cost-AJ53,AB53)</f>
        <v>0</v>
      </c>
      <c r="AL53" s="20" t="n">
        <f aca="false">AJ53+AK53</f>
        <v>0</v>
      </c>
      <c r="AM53" s="20" t="n">
        <f aca="false">AB53-AK53+AG53*IF(Slot2_SpendLike=1,AI53-AJ53,IF(Slot2_PotFree=1,AI53,0))</f>
        <v>0</v>
      </c>
      <c r="AN53" s="20" t="n">
        <f aca="false">AC53+AG53*Slot2_BufPot*AI53</f>
        <v>0</v>
      </c>
      <c r="AO53" s="20" t="n">
        <f aca="false">IF(AND(AG53=1,Slot2_IsMfree=1),IF(AL53&gt;=Slot2_Cost-1,0,MAX(0,AD53-AL53)),AD53)</f>
        <v>0</v>
      </c>
      <c r="AP53" s="20" t="n">
        <f aca="false">AG53*(Slot2_Cost-AL53)</f>
        <v>0</v>
      </c>
      <c r="AQ53" s="20" t="n">
        <f aca="false">IF(AND(Slot3_On=1,D53=Slot3_Age),1,0)</f>
        <v>0</v>
      </c>
      <c r="AR53" s="20" t="n">
        <f aca="false">IF(AND(Slot3_On=1,Slot3_Age&gt;D53),1,0)</f>
        <v>0</v>
      </c>
      <c r="AS53" s="20" t="n">
        <f aca="false">QU52</f>
        <v>0</v>
      </c>
      <c r="AT53" s="20" t="n">
        <f aca="false">AQ53*MIN(Slot3_Cost,AS53)</f>
        <v>0</v>
      </c>
      <c r="AU53" s="20" t="n">
        <f aca="false">AQ53*Slot3_SpendLike*MIN(Slot3_Cost-AT53,AM53)</f>
        <v>0</v>
      </c>
      <c r="AV53" s="20" t="n">
        <f aca="false">AT53+AU53</f>
        <v>0</v>
      </c>
      <c r="AW53" s="20" t="n">
        <f aca="false">AM53-AU53+AQ53*IF(Slot3_SpendLike=1,AS53-AT53,IF(Slot3_PotFree=1,AS53,0))</f>
        <v>0</v>
      </c>
      <c r="AX53" s="20" t="n">
        <f aca="false">AN53+AQ53*Slot3_BufPot*AS53</f>
        <v>0</v>
      </c>
      <c r="AY53" s="20" t="n">
        <f aca="false">IF(AND(AQ53=1,Slot3_IsMfree=1),IF(AV53&gt;=Slot3_Cost-1,0,MAX(0,AO53-AV53)),AO53)</f>
        <v>0</v>
      </c>
      <c r="AZ53" s="20" t="n">
        <f aca="false">AQ53*(Slot3_Cost-AV53)</f>
        <v>0</v>
      </c>
      <c r="BA53" s="20" t="n">
        <f aca="false">IF(AND(Slot4_On=1,D53=Slot4_Age),1,0)</f>
        <v>0</v>
      </c>
      <c r="BB53" s="20" t="n">
        <f aca="false">IF(AND(Slot4_On=1,Slot4_Age&gt;D53),1,0)</f>
        <v>0</v>
      </c>
      <c r="BC53" s="20" t="n">
        <f aca="false">QY52</f>
        <v>0</v>
      </c>
      <c r="BD53" s="20" t="n">
        <f aca="false">BA53*MIN(Slot4_Cost,BC53)</f>
        <v>0</v>
      </c>
      <c r="BE53" s="20" t="n">
        <f aca="false">BA53*Slot4_SpendLike*MIN(Slot4_Cost-BD53,AW53)</f>
        <v>0</v>
      </c>
      <c r="BF53" s="20" t="n">
        <f aca="false">BD53+BE53</f>
        <v>0</v>
      </c>
      <c r="BG53" s="20" t="n">
        <f aca="false">AW53-BE53+BA53*IF(Slot4_SpendLike=1,BC53-BD53,IF(Slot4_PotFree=1,BC53,0))</f>
        <v>0</v>
      </c>
      <c r="BH53" s="20" t="n">
        <f aca="false">AX53+BA53*Slot4_BufPot*BC53</f>
        <v>0</v>
      </c>
      <c r="BI53" s="20" t="n">
        <f aca="false">IF(AND(BA53=1,Slot4_IsMfree=1),IF(BF53&gt;=Slot4_Cost-1,0,MAX(0,AY53-BF53)),AY53)</f>
        <v>0</v>
      </c>
      <c r="BJ53" s="20" t="n">
        <f aca="false">BA53*(Slot4_Cost-BF53)</f>
        <v>0</v>
      </c>
      <c r="BK53" s="20" t="n">
        <f aca="false">IF(AND(Slot5_On=1,D53=Slot5_Age),1,0)</f>
        <v>0</v>
      </c>
      <c r="BL53" s="20" t="n">
        <f aca="false">IF(AND(Slot5_On=1,Slot5_Age&gt;D53),1,0)</f>
        <v>0</v>
      </c>
      <c r="BM53" s="20" t="n">
        <f aca="false">RC52</f>
        <v>0</v>
      </c>
      <c r="BN53" s="20" t="n">
        <f aca="false">BK53*MIN(Slot5_Cost,BM53)</f>
        <v>0</v>
      </c>
      <c r="BO53" s="20" t="n">
        <f aca="false">BK53*Slot5_SpendLike*MIN(Slot5_Cost-BN53,BG53)</f>
        <v>0</v>
      </c>
      <c r="BP53" s="20" t="n">
        <f aca="false">BN53+BO53</f>
        <v>0</v>
      </c>
      <c r="BQ53" s="20" t="n">
        <f aca="false">BG53-BO53+BK53*IF(Slot5_SpendLike=1,BM53-BN53,IF(Slot5_PotFree=1,BM53,0))</f>
        <v>0</v>
      </c>
      <c r="BR53" s="20" t="n">
        <f aca="false">BH53+BK53*Slot5_BufPot*BM53</f>
        <v>0</v>
      </c>
      <c r="BS53" s="20" t="n">
        <f aca="false">IF(AND(BK53=1,Slot5_IsMfree=1),IF(BP53&gt;=Slot5_Cost-1,0,MAX(0,BI53-BP53)),BI53)</f>
        <v>0</v>
      </c>
      <c r="BT53" s="20" t="n">
        <f aca="false">BK53*(Slot5_Cost-BP53)</f>
        <v>0</v>
      </c>
      <c r="BU53" s="20" t="n">
        <f aca="false">IF(AND(Slot6_On=1,D53=Slot6_Age),1,0)</f>
        <v>0</v>
      </c>
      <c r="BV53" s="20" t="n">
        <f aca="false">IF(AND(Slot6_On=1,Slot6_Age&gt;D53),1,0)</f>
        <v>0</v>
      </c>
      <c r="BW53" s="20" t="n">
        <f aca="false">RG52</f>
        <v>0</v>
      </c>
      <c r="BX53" s="20" t="n">
        <f aca="false">BU53*MIN(Slot6_Cost,BW53)</f>
        <v>0</v>
      </c>
      <c r="BY53" s="20" t="n">
        <f aca="false">BU53*Slot6_SpendLike*MIN(Slot6_Cost-BX53,BQ53)</f>
        <v>0</v>
      </c>
      <c r="BZ53" s="20" t="n">
        <f aca="false">BX53+BY53</f>
        <v>0</v>
      </c>
      <c r="CA53" s="20" t="n">
        <f aca="false">BQ53-BY53+BU53*IF(Slot6_SpendLike=1,BW53-BX53,IF(Slot6_PotFree=1,BW53,0))</f>
        <v>0</v>
      </c>
      <c r="CB53" s="20" t="n">
        <f aca="false">BR53+BU53*Slot6_BufPot*BW53</f>
        <v>0</v>
      </c>
      <c r="CC53" s="20" t="n">
        <f aca="false">IF(AND(BU53=1,Slot6_IsMfree=1),IF(BZ53&gt;=Slot6_Cost-1,0,MAX(0,BS53-BZ53)),BS53)</f>
        <v>0</v>
      </c>
      <c r="CD53" s="20" t="n">
        <f aca="false">BU53*(Slot6_Cost-BZ53)</f>
        <v>0</v>
      </c>
      <c r="CE53" s="20" t="n">
        <f aca="false">IF(AND(Slot7_On=1,D53=Slot7_Age),1,0)</f>
        <v>0</v>
      </c>
      <c r="CF53" s="20" t="n">
        <f aca="false">IF(AND(Slot7_On=1,Slot7_Age&gt;D53),1,0)</f>
        <v>0</v>
      </c>
      <c r="CG53" s="20" t="n">
        <f aca="false">RK52</f>
        <v>0</v>
      </c>
      <c r="CH53" s="20" t="n">
        <f aca="false">CE53*MIN(Slot7_Cost,CG53)</f>
        <v>0</v>
      </c>
      <c r="CI53" s="20" t="n">
        <f aca="false">CE53*Slot7_SpendLike*MIN(Slot7_Cost-CH53,CA53)</f>
        <v>0</v>
      </c>
      <c r="CJ53" s="20" t="n">
        <f aca="false">CH53+CI53</f>
        <v>0</v>
      </c>
      <c r="CK53" s="20" t="n">
        <f aca="false">CA53-CI53+CE53*IF(Slot7_SpendLike=1,CG53-CH53,IF(Slot7_PotFree=1,CG53,0))</f>
        <v>0</v>
      </c>
      <c r="CL53" s="20" t="n">
        <f aca="false">CB53+CE53*Slot7_BufPot*CG53</f>
        <v>0</v>
      </c>
      <c r="CM53" s="20" t="n">
        <f aca="false">IF(AND(CE53=1,Slot7_IsMfree=1),IF(CJ53&gt;=Slot7_Cost-1,0,MAX(0,CC53-CJ53)),CC53)</f>
        <v>0</v>
      </c>
      <c r="CN53" s="20" t="n">
        <f aca="false">CE53*(Slot7_Cost-CJ53)</f>
        <v>0</v>
      </c>
      <c r="CO53" s="20" t="n">
        <f aca="false">IF(AND(Slot8_On=1,D53=Slot8_Age),1,0)</f>
        <v>0</v>
      </c>
      <c r="CP53" s="20" t="n">
        <f aca="false">IF(AND(Slot8_On=1,Slot8_Age&gt;D53),1,0)</f>
        <v>0</v>
      </c>
      <c r="CQ53" s="20" t="n">
        <f aca="false">RO52</f>
        <v>0</v>
      </c>
      <c r="CR53" s="20" t="n">
        <f aca="false">CO53*MIN(Slot8_Cost,CQ53)</f>
        <v>0</v>
      </c>
      <c r="CS53" s="20" t="n">
        <f aca="false">CO53*Slot8_SpendLike*MIN(Slot8_Cost-CR53,CK53)</f>
        <v>0</v>
      </c>
      <c r="CT53" s="20" t="n">
        <f aca="false">CR53+CS53</f>
        <v>0</v>
      </c>
      <c r="CU53" s="20" t="n">
        <f aca="false">CK53-CS53+CO53*IF(Slot8_SpendLike=1,CQ53-CR53,IF(Slot8_PotFree=1,CQ53,0))</f>
        <v>0</v>
      </c>
      <c r="CV53" s="20" t="n">
        <f aca="false">CL53+CO53*Slot8_BufPot*CQ53</f>
        <v>0</v>
      </c>
      <c r="CW53" s="20" t="n">
        <f aca="false">IF(AND(CO53=1,Slot8_IsMfree=1),IF(CT53&gt;=Slot8_Cost-1,0,MAX(0,CM53-CT53)),CM53)</f>
        <v>0</v>
      </c>
      <c r="CX53" s="20" t="n">
        <f aca="false">CO53*(Slot8_Cost-CT53)</f>
        <v>0</v>
      </c>
      <c r="CY53" s="20" t="n">
        <f aca="false">IF(AND(Slot9_On=1,D53=Slot9_Age),1,0)</f>
        <v>0</v>
      </c>
      <c r="CZ53" s="20" t="n">
        <f aca="false">IF(AND(Slot9_On=1,Slot9_Age&gt;D53),1,0)</f>
        <v>0</v>
      </c>
      <c r="DA53" s="20" t="n">
        <f aca="false">RS52</f>
        <v>0</v>
      </c>
      <c r="DB53" s="20" t="n">
        <f aca="false">CY53*MIN(Slot9_Cost,DA53)</f>
        <v>0</v>
      </c>
      <c r="DC53" s="20" t="n">
        <f aca="false">CY53*Slot9_SpendLike*MIN(Slot9_Cost-DB53,CU53)</f>
        <v>0</v>
      </c>
      <c r="DD53" s="20" t="n">
        <f aca="false">DB53+DC53</f>
        <v>0</v>
      </c>
      <c r="DE53" s="20" t="n">
        <f aca="false">CU53-DC53+CY53*IF(Slot9_SpendLike=1,DA53-DB53,IF(Slot9_PotFree=1,DA53,0))</f>
        <v>0</v>
      </c>
      <c r="DF53" s="20" t="n">
        <f aca="false">CV53+CY53*Slot9_BufPot*DA53</f>
        <v>0</v>
      </c>
      <c r="DG53" s="20" t="n">
        <f aca="false">IF(AND(CY53=1,Slot9_IsMfree=1),IF(DD53&gt;=Slot9_Cost-1,0,MAX(0,CW53-DD53)),CW53)</f>
        <v>0</v>
      </c>
      <c r="DH53" s="20" t="n">
        <f aca="false">CY53*(Slot9_Cost-DD53)</f>
        <v>0</v>
      </c>
      <c r="DI53" s="20" t="n">
        <f aca="false">IF(AND(Slot10_On=1,D53=Slot10_Age),1,0)</f>
        <v>0</v>
      </c>
      <c r="DJ53" s="20" t="n">
        <f aca="false">IF(AND(Slot10_On=1,Slot10_Age&gt;D53),1,0)</f>
        <v>0</v>
      </c>
      <c r="DK53" s="20" t="n">
        <f aca="false">RW52</f>
        <v>0</v>
      </c>
      <c r="DL53" s="20" t="n">
        <f aca="false">DI53*MIN(Slot10_Cost,DK53)</f>
        <v>0</v>
      </c>
      <c r="DM53" s="20" t="n">
        <f aca="false">DI53*Slot10_SpendLike*MIN(Slot10_Cost-DL53,DE53)</f>
        <v>0</v>
      </c>
      <c r="DN53" s="20" t="n">
        <f aca="false">DL53+DM53</f>
        <v>0</v>
      </c>
      <c r="DO53" s="20" t="n">
        <f aca="false">DE53-DM53+DI53*IF(Slot10_SpendLike=1,DK53-DL53,IF(Slot10_PotFree=1,DK53,0))</f>
        <v>0</v>
      </c>
      <c r="DP53" s="20" t="n">
        <f aca="false">DF53+DI53*Slot10_BufPot*DK53</f>
        <v>0</v>
      </c>
      <c r="DQ53" s="20" t="n">
        <f aca="false">IF(AND(DI53=1,Slot10_IsMfree=1),IF(DN53&gt;=Slot10_Cost-1,0,MAX(0,DG53-DN53)),DG53)</f>
        <v>0</v>
      </c>
      <c r="DR53" s="20" t="n">
        <f aca="false">DI53*(Slot10_Cost-DN53)</f>
        <v>0</v>
      </c>
      <c r="DS53" s="20" t="n">
        <f aca="false">IF(AND(Slot11_On=1,D53=Slot11_Age),1,0)</f>
        <v>0</v>
      </c>
      <c r="DT53" s="20" t="n">
        <f aca="false">IF(AND(Slot11_On=1,Slot11_Age&gt;D53),1,0)</f>
        <v>0</v>
      </c>
      <c r="DU53" s="20" t="n">
        <f aca="false">SA52</f>
        <v>0</v>
      </c>
      <c r="DV53" s="20" t="n">
        <f aca="false">DS53*MIN(Slot11_Cost,DU53)</f>
        <v>0</v>
      </c>
      <c r="DW53" s="20" t="n">
        <f aca="false">DS53*Slot11_SpendLike*MIN(Slot11_Cost-DV53,DO53)</f>
        <v>0</v>
      </c>
      <c r="DX53" s="20" t="n">
        <f aca="false">DV53+DW53</f>
        <v>0</v>
      </c>
      <c r="DY53" s="20" t="n">
        <f aca="false">DO53-DW53+DS53*IF(Slot11_SpendLike=1,DU53-DV53,IF(Slot11_PotFree=1,DU53,0))</f>
        <v>0</v>
      </c>
      <c r="DZ53" s="20" t="n">
        <f aca="false">DP53+DS53*Slot11_BufPot*DU53</f>
        <v>0</v>
      </c>
      <c r="EA53" s="20" t="n">
        <f aca="false">IF(AND(DS53=1,Slot11_IsMfree=1),IF(DX53&gt;=Slot11_Cost-1,0,MAX(0,DQ53-DX53)),DQ53)</f>
        <v>0</v>
      </c>
      <c r="EB53" s="20" t="n">
        <f aca="false">DS53*(Slot11_Cost-DX53)</f>
        <v>0</v>
      </c>
      <c r="EC53" s="20" t="n">
        <f aca="false">IF(AND(Slot12_On=1,D53=Slot12_Age),1,0)</f>
        <v>0</v>
      </c>
      <c r="ED53" s="20" t="n">
        <f aca="false">IF(AND(Slot12_On=1,Slot12_Age&gt;D53),1,0)</f>
        <v>0</v>
      </c>
      <c r="EE53" s="20" t="n">
        <f aca="false">SE52</f>
        <v>0</v>
      </c>
      <c r="EF53" s="20" t="n">
        <f aca="false">EC53*MIN(Slot12_Cost,EE53)</f>
        <v>0</v>
      </c>
      <c r="EG53" s="20" t="n">
        <f aca="false">EC53*Slot12_SpendLike*MIN(Slot12_Cost-EF53,DY53)</f>
        <v>0</v>
      </c>
      <c r="EH53" s="20" t="n">
        <f aca="false">EF53+EG53</f>
        <v>0</v>
      </c>
      <c r="EI53" s="20" t="n">
        <f aca="false">DY53-EG53+EC53*IF(Slot12_SpendLike=1,EE53-EF53,IF(Slot12_PotFree=1,EE53,0))</f>
        <v>0</v>
      </c>
      <c r="EJ53" s="20" t="n">
        <f aca="false">DZ53+EC53*Slot12_BufPot*EE53</f>
        <v>0</v>
      </c>
      <c r="EK53" s="20" t="n">
        <f aca="false">IF(AND(EC53=1,Slot12_IsMfree=1),IF(EH53&gt;=Slot12_Cost-1,0,MAX(0,EA53-EH53)),EA53)</f>
        <v>0</v>
      </c>
      <c r="EL53" s="20" t="n">
        <f aca="false">EC53*(Slot12_Cost-EH53)</f>
        <v>0</v>
      </c>
      <c r="EM53" s="20" t="n">
        <f aca="false">IF(AND(Slot13_On=1,D53=Slot13_Age),1,0)</f>
        <v>0</v>
      </c>
      <c r="EN53" s="20" t="n">
        <f aca="false">IF(AND(Slot13_On=1,Slot13_Age&gt;D53),1,0)</f>
        <v>0</v>
      </c>
      <c r="EO53" s="20" t="n">
        <f aca="false">SI52</f>
        <v>0</v>
      </c>
      <c r="EP53" s="20" t="n">
        <f aca="false">EM53*MIN(Slot13_Cost,EO53)</f>
        <v>0</v>
      </c>
      <c r="EQ53" s="20" t="n">
        <f aca="false">EM53*Slot13_SpendLike*MIN(Slot13_Cost-EP53,EI53)</f>
        <v>0</v>
      </c>
      <c r="ER53" s="20" t="n">
        <f aca="false">EP53+EQ53</f>
        <v>0</v>
      </c>
      <c r="ES53" s="20" t="n">
        <f aca="false">EI53-EQ53+EM53*IF(Slot13_SpendLike=1,EO53-EP53,IF(Slot13_PotFree=1,EO53,0))</f>
        <v>0</v>
      </c>
      <c r="ET53" s="20" t="n">
        <f aca="false">EJ53+EM53*Slot13_BufPot*EO53</f>
        <v>0</v>
      </c>
      <c r="EU53" s="20" t="n">
        <f aca="false">IF(AND(EM53=1,Slot13_IsMfree=1),IF(ER53&gt;=Slot13_Cost-1,0,MAX(0,EK53-ER53)),EK53)</f>
        <v>0</v>
      </c>
      <c r="EV53" s="20" t="n">
        <f aca="false">EM53*(Slot13_Cost-ER53)</f>
        <v>0</v>
      </c>
      <c r="EW53" s="20" t="n">
        <f aca="false">IF(AND(Slot14_On=1,D53=Slot14_Age),1,0)</f>
        <v>0</v>
      </c>
      <c r="EX53" s="20" t="n">
        <f aca="false">IF(AND(Slot14_On=1,Slot14_Age&gt;D53),1,0)</f>
        <v>0</v>
      </c>
      <c r="EY53" s="20" t="n">
        <f aca="false">SM52</f>
        <v>0</v>
      </c>
      <c r="EZ53" s="20" t="n">
        <f aca="false">EW53*MIN(Slot14_Cost,EY53)</f>
        <v>0</v>
      </c>
      <c r="FA53" s="20" t="n">
        <f aca="false">EW53*Slot14_SpendLike*MIN(Slot14_Cost-EZ53,ES53)</f>
        <v>0</v>
      </c>
      <c r="FB53" s="20" t="n">
        <f aca="false">EZ53+FA53</f>
        <v>0</v>
      </c>
      <c r="FC53" s="20" t="n">
        <f aca="false">ES53-FA53+EW53*IF(Slot14_SpendLike=1,EY53-EZ53,IF(Slot14_PotFree=1,EY53,0))</f>
        <v>0</v>
      </c>
      <c r="FD53" s="20" t="n">
        <f aca="false">ET53+EW53*Slot14_BufPot*EY53</f>
        <v>0</v>
      </c>
      <c r="FE53" s="20" t="n">
        <f aca="false">IF(AND(EW53=1,Slot14_IsMfree=1),IF(FB53&gt;=Slot14_Cost-1,0,MAX(0,EU53-FB53)),EU53)</f>
        <v>0</v>
      </c>
      <c r="FF53" s="20" t="n">
        <f aca="false">EW53*(Slot14_Cost-FB53)</f>
        <v>0</v>
      </c>
      <c r="FG53" s="20" t="n">
        <f aca="false">IF(AND(Slot15_On=1,D53=Slot15_Age),1,0)</f>
        <v>0</v>
      </c>
      <c r="FH53" s="20" t="n">
        <f aca="false">IF(AND(Slot15_On=1,Slot15_Age&gt;D53),1,0)</f>
        <v>0</v>
      </c>
      <c r="FI53" s="20" t="n">
        <f aca="false">SQ52</f>
        <v>0</v>
      </c>
      <c r="FJ53" s="20" t="n">
        <f aca="false">FG53*MIN(Slot15_Cost,FI53)</f>
        <v>0</v>
      </c>
      <c r="FK53" s="20" t="n">
        <f aca="false">FG53*Slot15_SpendLike*MIN(Slot15_Cost-FJ53,FC53)</f>
        <v>0</v>
      </c>
      <c r="FL53" s="20" t="n">
        <f aca="false">FJ53+FK53</f>
        <v>0</v>
      </c>
      <c r="FM53" s="20" t="n">
        <f aca="false">FC53-FK53+FG53*IF(Slot15_SpendLike=1,FI53-FJ53,IF(Slot15_PotFree=1,FI53,0))</f>
        <v>0</v>
      </c>
      <c r="FN53" s="20" t="n">
        <f aca="false">FD53+FG53*Slot15_BufPot*FI53</f>
        <v>0</v>
      </c>
      <c r="FO53" s="20" t="n">
        <f aca="false">IF(AND(FG53=1,Slot15_IsMfree=1),IF(FL53&gt;=Slot15_Cost-1,0,MAX(0,FE53-FL53)),FE53)</f>
        <v>0</v>
      </c>
      <c r="FP53" s="20" t="n">
        <f aca="false">FG53*(Slot15_Cost-FL53)</f>
        <v>0</v>
      </c>
      <c r="FQ53" s="20" t="n">
        <f aca="false">IF(AND(Slot16_On=1,D53=Slot16_Age),1,0)</f>
        <v>0</v>
      </c>
      <c r="FR53" s="20" t="n">
        <f aca="false">IF(AND(Slot16_On=1,Slot16_Age&gt;D53),1,0)</f>
        <v>0</v>
      </c>
      <c r="FS53" s="20" t="n">
        <f aca="false">SU52</f>
        <v>0</v>
      </c>
      <c r="FT53" s="20" t="n">
        <f aca="false">FQ53*MIN(Slot16_Cost,FS53)</f>
        <v>0</v>
      </c>
      <c r="FU53" s="20" t="n">
        <f aca="false">FQ53*Slot16_SpendLike*MIN(Slot16_Cost-FT53,FM53)</f>
        <v>0</v>
      </c>
      <c r="FV53" s="20" t="n">
        <f aca="false">FT53+FU53</f>
        <v>0</v>
      </c>
      <c r="FW53" s="20" t="n">
        <f aca="false">FM53-FU53+FQ53*IF(Slot16_SpendLike=1,FS53-FT53,IF(Slot16_PotFree=1,FS53,0))</f>
        <v>0</v>
      </c>
      <c r="FX53" s="20" t="n">
        <f aca="false">FN53+FQ53*Slot16_BufPot*FS53</f>
        <v>0</v>
      </c>
      <c r="FY53" s="20" t="n">
        <f aca="false">IF(AND(FQ53=1,Slot16_IsMfree=1),IF(FV53&gt;=Slot16_Cost-1,0,MAX(0,FO53-FV53)),FO53)</f>
        <v>0</v>
      </c>
      <c r="FZ53" s="20" t="n">
        <f aca="false">FQ53*(Slot16_Cost-FV53)</f>
        <v>0</v>
      </c>
      <c r="GA53" s="20" t="n">
        <f aca="false">IF(AND(Slot17_On=1,D53=Slot17_Age),1,0)</f>
        <v>0</v>
      </c>
      <c r="GB53" s="20" t="n">
        <f aca="false">IF(AND(Slot17_On=1,Slot17_Age&gt;D53),1,0)</f>
        <v>0</v>
      </c>
      <c r="GC53" s="20" t="n">
        <f aca="false">SY52</f>
        <v>0</v>
      </c>
      <c r="GD53" s="20" t="n">
        <f aca="false">GA53*MIN(Slot17_Cost,GC53)</f>
        <v>0</v>
      </c>
      <c r="GE53" s="20" t="n">
        <f aca="false">GA53*Slot17_SpendLike*MIN(Slot17_Cost-GD53,FW53)</f>
        <v>0</v>
      </c>
      <c r="GF53" s="20" t="n">
        <f aca="false">GD53+GE53</f>
        <v>0</v>
      </c>
      <c r="GG53" s="20" t="n">
        <f aca="false">FW53-GE53+GA53*IF(Slot17_SpendLike=1,GC53-GD53,IF(Slot17_PotFree=1,GC53,0))</f>
        <v>0</v>
      </c>
      <c r="GH53" s="20" t="n">
        <f aca="false">FX53+GA53*Slot17_BufPot*GC53</f>
        <v>0</v>
      </c>
      <c r="GI53" s="20" t="n">
        <f aca="false">IF(AND(GA53=1,Slot17_IsMfree=1),IF(GF53&gt;=Slot17_Cost-1,0,MAX(0,FY53-GF53)),FY53)</f>
        <v>0</v>
      </c>
      <c r="GJ53" s="20" t="n">
        <f aca="false">GA53*(Slot17_Cost-GF53)</f>
        <v>0</v>
      </c>
      <c r="GK53" s="20" t="n">
        <f aca="false">IF(AND(Slot18_On=1,D53=Slot18_Age),1,0)</f>
        <v>0</v>
      </c>
      <c r="GL53" s="20" t="n">
        <f aca="false">IF(AND(Slot18_On=1,Slot18_Age&gt;D53),1,0)</f>
        <v>0</v>
      </c>
      <c r="GM53" s="20" t="n">
        <f aca="false">TC52</f>
        <v>0</v>
      </c>
      <c r="GN53" s="20" t="n">
        <f aca="false">GK53*MIN(Slot18_Cost,GM53)</f>
        <v>0</v>
      </c>
      <c r="GO53" s="20" t="n">
        <f aca="false">GK53*Slot18_SpendLike*MIN(Slot18_Cost-GN53,GG53)</f>
        <v>0</v>
      </c>
      <c r="GP53" s="20" t="n">
        <f aca="false">GN53+GO53</f>
        <v>0</v>
      </c>
      <c r="GQ53" s="20" t="n">
        <f aca="false">GG53-GO53+GK53*IF(Slot18_SpendLike=1,GM53-GN53,IF(Slot18_PotFree=1,GM53,0))</f>
        <v>0</v>
      </c>
      <c r="GR53" s="20" t="n">
        <f aca="false">GH53+GK53*Slot18_BufPot*GM53</f>
        <v>0</v>
      </c>
      <c r="GS53" s="20" t="n">
        <f aca="false">IF(AND(GK53=1,Slot18_IsMfree=1),IF(GP53&gt;=Slot18_Cost-1,0,MAX(0,GI53-GP53)),GI53)</f>
        <v>0</v>
      </c>
      <c r="GT53" s="20" t="n">
        <f aca="false">GK53*(Slot18_Cost-GP53)</f>
        <v>0</v>
      </c>
      <c r="GU53" s="20" t="n">
        <f aca="false">IF(AND(Slot19_On=1,D53=Slot19_Age),1,0)</f>
        <v>0</v>
      </c>
      <c r="GV53" s="20" t="n">
        <f aca="false">IF(AND(Slot19_On=1,Slot19_Age&gt;D53),1,0)</f>
        <v>0</v>
      </c>
      <c r="GW53" s="20" t="n">
        <f aca="false">TG52</f>
        <v>0</v>
      </c>
      <c r="GX53" s="20" t="n">
        <f aca="false">GU53*MIN(Slot19_Cost,GW53)</f>
        <v>0</v>
      </c>
      <c r="GY53" s="20" t="n">
        <f aca="false">GU53*Slot19_SpendLike*MIN(Slot19_Cost-GX53,GQ53)</f>
        <v>0</v>
      </c>
      <c r="GZ53" s="20" t="n">
        <f aca="false">GX53+GY53</f>
        <v>0</v>
      </c>
      <c r="HA53" s="20" t="n">
        <f aca="false">GQ53-GY53+GU53*IF(Slot19_SpendLike=1,GW53-GX53,IF(Slot19_PotFree=1,GW53,0))</f>
        <v>0</v>
      </c>
      <c r="HB53" s="20" t="n">
        <f aca="false">GR53+GU53*Slot19_BufPot*GW53</f>
        <v>0</v>
      </c>
      <c r="HC53" s="20" t="n">
        <f aca="false">IF(AND(GU53=1,Slot19_IsMfree=1),IF(GZ53&gt;=Slot19_Cost-1,0,MAX(0,GS53-GZ53)),GS53)</f>
        <v>0</v>
      </c>
      <c r="HD53" s="20" t="n">
        <f aca="false">GU53*(Slot19_Cost-GZ53)</f>
        <v>0</v>
      </c>
      <c r="HE53" s="20" t="n">
        <f aca="false">IF(AND(Slot20_On=1,D53=Slot20_Age),1,0)</f>
        <v>0</v>
      </c>
      <c r="HF53" s="20" t="n">
        <f aca="false">IF(AND(Slot20_On=1,Slot20_Age&gt;D53),1,0)</f>
        <v>0</v>
      </c>
      <c r="HG53" s="20" t="n">
        <f aca="false">TK52</f>
        <v>0</v>
      </c>
      <c r="HH53" s="20" t="n">
        <f aca="false">HE53*MIN(Slot20_Cost,HG53)</f>
        <v>0</v>
      </c>
      <c r="HI53" s="20" t="n">
        <f aca="false">HE53*Slot20_SpendLike*MIN(Slot20_Cost-HH53,HA53)</f>
        <v>0</v>
      </c>
      <c r="HJ53" s="20" t="n">
        <f aca="false">HH53+HI53</f>
        <v>0</v>
      </c>
      <c r="HK53" s="20" t="n">
        <f aca="false">HA53-HI53+HE53*IF(Slot20_SpendLike=1,HG53-HH53,IF(Slot20_PotFree=1,HG53,0))</f>
        <v>0</v>
      </c>
      <c r="HL53" s="20" t="n">
        <f aca="false">HB53+HE53*Slot20_BufPot*HG53</f>
        <v>0</v>
      </c>
      <c r="HM53" s="20" t="n">
        <f aca="false">IF(AND(HE53=1,Slot20_IsMfree=1),IF(HJ53&gt;=Slot20_Cost-1,0,MAX(0,HC53-HJ53)),HC53)</f>
        <v>0</v>
      </c>
      <c r="HN53" s="20" t="n">
        <f aca="false">HE53*(Slot20_Cost-HJ53)</f>
        <v>0</v>
      </c>
      <c r="HO53" s="20" t="n">
        <f aca="false">V53*Slot1_SpendLike*AA53+AG53*Slot2_SpendLike*AL53+AQ53*Slot3_SpendLike*AV53+BA53*Slot4_SpendLike*BF53+BK53*Slot5_SpendLike*BP53+BU53*Slot6_SpendLike*BZ53+CE53*Slot7_SpendLike*CJ53+CO53*Slot8_SpendLike*CT53+CY53*Slot9_SpendLike*DD53+DI53*Slot10_SpendLike*DN53+DS53*Slot11_SpendLike*DX53+EC53*Slot12_SpendLike*EH53+EM53*Slot13_SpendLike*ER53+EW53*Slot14_SpendLike*FB53+FG53*Slot15_SpendLike*FL53+FQ53*Slot16_SpendLike*FV53+GA53*Slot17_SpendLike*GF53+GK53*Slot18_SpendLike*GP53+GU53*Slot19_SpendLike*GZ53+HE53*Slot20_SpendLike*HJ53</f>
        <v>0</v>
      </c>
      <c r="HP53" s="20" t="n">
        <f aca="false">AE53+AP53+AZ53+BJ53+BT53+CD53+CN53+CX53+DH53+DR53+EB53+EL53+EV53+FF53+FP53+FZ53+GJ53+GT53+HD53+HN53</f>
        <v>0</v>
      </c>
      <c r="HQ53" s="20" t="n">
        <f aca="false">V53*Slot1_Cost+AG53*Slot2_Cost+AQ53*Slot3_Cost+BA53*Slot4_Cost+BK53*Slot5_Cost+BU53*Slot6_Cost+CE53*Slot7_Cost+CO53*Slot8_Cost+CY53*Slot9_Cost+DI53*Slot10_Cost+DS53*Slot11_Cost+EC53*Slot12_Cost+EM53*Slot13_Cost+EW53*Slot14_Cost+FG53*Slot15_Cost+FQ53*Slot16_Cost+GA53*Slot17_Cost+GK53*Slot18_Cost+GU53*Slot19_Cost+HE53*Slot20_Cost</f>
        <v>0</v>
      </c>
      <c r="HR53" s="20" t="n">
        <f aca="false">HM53</f>
        <v>0</v>
      </c>
      <c r="HS53" s="20" t="n">
        <f aca="false">H53-I53-S53</f>
        <v>-25912.5501521532</v>
      </c>
      <c r="HT53" s="20" t="n">
        <f aca="false">IF(B53=0,IF(AND(Has_q6=1,In_q6=4),PR_ShareVaries*(MAX(0,HS53)/12),MIN(IF(Has_q6=1,CHOOSE(In_q6+1,PR_SaveB1,PR_SaveB2,PR_SaveB3,PR_SaveB4,0),AS_NoAnswer),AS_SaveShare*(MAX(0,HS53)/12))),HT52)</f>
        <v>62.3316893520437</v>
      </c>
      <c r="HU53" s="20" t="n">
        <f aca="false">IF(HS53&gt;=0,1,0)</f>
        <v>0</v>
      </c>
      <c r="HV53" s="20" t="n">
        <f aca="false">MAX(0,HS53/12/F53)</f>
        <v>0</v>
      </c>
      <c r="HW53" s="20" t="n">
        <f aca="false">IF(AND(Has_q6=1,In_q6=4),PR_ShareVaries*(HV53),MIN(IF(Has_q6=1,CHOOSE(In_q6+1,PR_SaveB1,PR_SaveB2,PR_SaveB3,PR_SaveB4,0),AS_NoAnswer),AS_SaveShare*(HV53)))</f>
        <v>0</v>
      </c>
      <c r="HX53" s="20" t="n">
        <f aca="false">IF(Has_saveM=1,IF(In_saveUp="Yes",1,IF(In_saveUp="No",0,IF(In_saveM&gt;=HT53-0.5,1,0))),0)</f>
        <v>0</v>
      </c>
      <c r="HY53" s="20" t="n">
        <f aca="false">IF(Has_saveM=1,MIN(HV53,IF(HX53=1,MAX(In_saveM,HW53),MIN(In_saveM,HW53))),HW53)</f>
        <v>0</v>
      </c>
      <c r="HZ53" s="20" t="n">
        <f aca="false">IF(G53=1,HY53*12*F53,0)</f>
        <v>0</v>
      </c>
      <c r="IA53" s="20" t="n">
        <f aca="false">MAX(0,HZ53+IF(AND(WI_Retire=0,WI_M&lt;0,G53=1),WI_M*12*F53,0))</f>
        <v>0</v>
      </c>
      <c r="IB53" s="20" t="n">
        <f aca="false">Slot1_IsWG*W53+Slot2_IsWG*AH53+Slot3_IsWG*AR53+Slot4_IsWG*BB53+Slot5_IsWG*BL53+Slot6_IsWG*BV53+Slot7_IsWG*CF53+Slot8_IsWG*CP53+Slot9_IsWG*CZ53+Slot10_IsWG*DJ53+Slot11_IsWG*DT53+Slot12_IsWG*ED53+Slot13_IsWG*EN53+Slot14_IsWG*EX53+Slot15_IsWG*FH53+Slot16_IsWG*FR53+Slot17_IsWG*GB53+Slot18_IsWG*GL53+Slot19_IsWG*GV53+Slot20_IsWG*HF53</f>
        <v>0</v>
      </c>
      <c r="IC53" s="20" t="n">
        <f aca="false">IF(AND(WI_Retire=0,WI_M&gt;0,G53=1,IB53&gt;=1),WI_M*12*F53,0)</f>
        <v>0</v>
      </c>
      <c r="ID53" s="20" t="n">
        <f aca="false">IF(HU53=1,MIN(IA53,HS53),0)</f>
        <v>0</v>
      </c>
      <c r="IE53" s="20" t="n">
        <f aca="false">IF(HU53=1,MIN(IC53,HS53-ID53),0)</f>
        <v>0</v>
      </c>
      <c r="IF53" s="20" t="n">
        <f aca="false">IF(W53=1,IF(ABS((1+AS_Wage)/(1+Slot1_Rate)-1)&lt;0.000000000001,(Slot1_Age-D53)*(1+Slot1_Rate)^(Slot1_Age-D53),(1+Slot1_Rate)^(Slot1_Age-D53)*(1-((1+AS_Wage)/(1+Slot1_Rate))^(Slot1_Age-D53))/(1-(1+AS_Wage)/(1+Slot1_Rate))),1)</f>
        <v>1</v>
      </c>
      <c r="IG53" s="20" t="n">
        <f aca="false">IF(AND(HU53=1,IE53&gt;0,Slot1_IsWG=1,W53=1),MAX(0,(Slot1_Cost-X53*(1+Slot1_Rate)^(Slot1_Age-D53))/IF53),0)</f>
        <v>0</v>
      </c>
      <c r="IH53" s="20" t="n">
        <f aca="false">IF(AND(HU53=1,IE53&gt;0,Slot1_IsWG=1,W53=1),MIN(IE53,IG53),0)</f>
        <v>0</v>
      </c>
      <c r="II53" s="20" t="n">
        <f aca="false">X53+IH53</f>
        <v>0</v>
      </c>
      <c r="IJ53" s="20" t="n">
        <f aca="false">IF(W53=1,MAX(0,(Slot1_Cost-II53*(1+Slot1_Rate)^(Slot1_Age-D53))/IF53),0)</f>
        <v>0</v>
      </c>
      <c r="IK53" s="20" t="n">
        <f aca="false">IF(W53=1,MAX(0,(Slot1_Cost-X53*(1+Slot1_Rate)^(Slot1_Age-D53))/IF53),0)</f>
        <v>0</v>
      </c>
      <c r="IL53" s="20" t="n">
        <f aca="false">IF(AND(HU53=1,W53=1),MIN(ID53,IJ53),0)</f>
        <v>0</v>
      </c>
      <c r="IM53" s="20" t="n">
        <f aca="false">ID53-IL53</f>
        <v>0</v>
      </c>
      <c r="IN53" s="20" t="n">
        <f aca="false">IF(AH53=1,IF(ABS((1+AS_Wage)/(1+Slot2_Rate)-1)&lt;0.000000000001,(Slot2_Age-D53)*(1+Slot2_Rate)^(Slot2_Age-D53),(1+Slot2_Rate)^(Slot2_Age-D53)*(1-((1+AS_Wage)/(1+Slot2_Rate))^(Slot2_Age-D53))/(1-(1+AS_Wage)/(1+Slot2_Rate))),1)</f>
        <v>1</v>
      </c>
      <c r="IO53" s="20" t="n">
        <f aca="false">IF(AND(HU53=1,IE53&gt;0,Slot2_IsWG=1,AH53=1),MAX(0,(Slot2_Cost-AI53*(1+Slot2_Rate)^(Slot2_Age-D53))/IN53),0)</f>
        <v>0</v>
      </c>
      <c r="IP53" s="20" t="n">
        <f aca="false">IF(AND(HU53=1,IE53&gt;0,Slot2_IsWG=1,AH53=1),MIN(IE53,IO53),0)</f>
        <v>0</v>
      </c>
      <c r="IQ53" s="20" t="n">
        <f aca="false">AI53+IP53</f>
        <v>0</v>
      </c>
      <c r="IR53" s="20" t="n">
        <f aca="false">IF(AH53=1,MAX(0,(Slot2_Cost-IQ53*(1+Slot2_Rate)^(Slot2_Age-D53))/IN53),0)</f>
        <v>0</v>
      </c>
      <c r="IS53" s="20" t="n">
        <f aca="false">IF(AH53=1,MAX(0,(Slot2_Cost-AI53*(1+Slot2_Rate)^(Slot2_Age-D53))/IN53),0)</f>
        <v>0</v>
      </c>
      <c r="IT53" s="20" t="n">
        <f aca="false">IF(AND(HU53=1,AH53=1),MIN(IM53,IR53),0)</f>
        <v>0</v>
      </c>
      <c r="IU53" s="20" t="n">
        <f aca="false">IM53-IT53</f>
        <v>0</v>
      </c>
      <c r="IV53" s="20" t="n">
        <f aca="false">IF(AR53=1,IF(ABS((1+AS_Wage)/(1+Slot3_Rate)-1)&lt;0.000000000001,(Slot3_Age-D53)*(1+Slot3_Rate)^(Slot3_Age-D53),(1+Slot3_Rate)^(Slot3_Age-D53)*(1-((1+AS_Wage)/(1+Slot3_Rate))^(Slot3_Age-D53))/(1-(1+AS_Wage)/(1+Slot3_Rate))),1)</f>
        <v>1</v>
      </c>
      <c r="IW53" s="20" t="n">
        <f aca="false">IF(AND(HU53=1,IE53&gt;0,Slot3_IsWG=1,AR53=1),MAX(0,(Slot3_Cost-AS53*(1+Slot3_Rate)^(Slot3_Age-D53))/IV53),0)</f>
        <v>0</v>
      </c>
      <c r="IX53" s="20" t="n">
        <f aca="false">IF(AND(HU53=1,IE53&gt;0,Slot3_IsWG=1,AR53=1),MIN(IE53,IW53),0)</f>
        <v>0</v>
      </c>
      <c r="IY53" s="20" t="n">
        <f aca="false">AS53+IX53</f>
        <v>0</v>
      </c>
      <c r="IZ53" s="20" t="n">
        <f aca="false">IF(AR53=1,MAX(0,(Slot3_Cost-IY53*(1+Slot3_Rate)^(Slot3_Age-D53))/IV53),0)</f>
        <v>0</v>
      </c>
      <c r="JA53" s="20" t="n">
        <f aca="false">IF(AR53=1,MAX(0,(Slot3_Cost-AS53*(1+Slot3_Rate)^(Slot3_Age-D53))/IV53),0)</f>
        <v>0</v>
      </c>
      <c r="JB53" s="20" t="n">
        <f aca="false">IF(AND(HU53=1,AR53=1),MIN(IU53,IZ53),0)</f>
        <v>0</v>
      </c>
      <c r="JC53" s="20" t="n">
        <f aca="false">IU53-JB53</f>
        <v>0</v>
      </c>
      <c r="JD53" s="20" t="n">
        <f aca="false">IF(BB53=1,IF(ABS((1+AS_Wage)/(1+Slot4_Rate)-1)&lt;0.000000000001,(Slot4_Age-D53)*(1+Slot4_Rate)^(Slot4_Age-D53),(1+Slot4_Rate)^(Slot4_Age-D53)*(1-((1+AS_Wage)/(1+Slot4_Rate))^(Slot4_Age-D53))/(1-(1+AS_Wage)/(1+Slot4_Rate))),1)</f>
        <v>1</v>
      </c>
      <c r="JE53" s="20" t="n">
        <f aca="false">IF(AND(HU53=1,IE53&gt;0,Slot4_IsWG=1,BB53=1),MAX(0,(Slot4_Cost-BC53*(1+Slot4_Rate)^(Slot4_Age-D53))/JD53),0)</f>
        <v>0</v>
      </c>
      <c r="JF53" s="20" t="n">
        <f aca="false">IF(AND(HU53=1,IE53&gt;0,Slot4_IsWG=1,BB53=1),MIN(IE53,JE53),0)</f>
        <v>0</v>
      </c>
      <c r="JG53" s="20" t="n">
        <f aca="false">BC53+JF53</f>
        <v>0</v>
      </c>
      <c r="JH53" s="20" t="n">
        <f aca="false">IF(BB53=1,MAX(0,(Slot4_Cost-JG53*(1+Slot4_Rate)^(Slot4_Age-D53))/JD53),0)</f>
        <v>0</v>
      </c>
      <c r="JI53" s="20" t="n">
        <f aca="false">IF(BB53=1,MAX(0,(Slot4_Cost-BC53*(1+Slot4_Rate)^(Slot4_Age-D53))/JD53),0)</f>
        <v>0</v>
      </c>
      <c r="JJ53" s="20" t="n">
        <f aca="false">IF(AND(HU53=1,BB53=1),MIN(JC53,JH53),0)</f>
        <v>0</v>
      </c>
      <c r="JK53" s="20" t="n">
        <f aca="false">JC53-JJ53</f>
        <v>0</v>
      </c>
      <c r="JL53" s="20" t="n">
        <f aca="false">IF(BL53=1,IF(ABS((1+AS_Wage)/(1+Slot5_Rate)-1)&lt;0.000000000001,(Slot5_Age-D53)*(1+Slot5_Rate)^(Slot5_Age-D53),(1+Slot5_Rate)^(Slot5_Age-D53)*(1-((1+AS_Wage)/(1+Slot5_Rate))^(Slot5_Age-D53))/(1-(1+AS_Wage)/(1+Slot5_Rate))),1)</f>
        <v>1</v>
      </c>
      <c r="JM53" s="20" t="n">
        <f aca="false">IF(AND(HU53=1,IE53&gt;0,Slot5_IsWG=1,BL53=1),MAX(0,(Slot5_Cost-BM53*(1+Slot5_Rate)^(Slot5_Age-D53))/JL53),0)</f>
        <v>0</v>
      </c>
      <c r="JN53" s="20" t="n">
        <f aca="false">IF(AND(HU53=1,IE53&gt;0,Slot5_IsWG=1,BL53=1),MIN(IE53,JM53),0)</f>
        <v>0</v>
      </c>
      <c r="JO53" s="20" t="n">
        <f aca="false">BM53+JN53</f>
        <v>0</v>
      </c>
      <c r="JP53" s="20" t="n">
        <f aca="false">IF(BL53=1,MAX(0,(Slot5_Cost-JO53*(1+Slot5_Rate)^(Slot5_Age-D53))/JL53),0)</f>
        <v>0</v>
      </c>
      <c r="JQ53" s="20" t="n">
        <f aca="false">IF(BL53=1,MAX(0,(Slot5_Cost-BM53*(1+Slot5_Rate)^(Slot5_Age-D53))/JL53),0)</f>
        <v>0</v>
      </c>
      <c r="JR53" s="20" t="n">
        <f aca="false">IF(AND(HU53=1,BL53=1),MIN(JK53,JP53),0)</f>
        <v>0</v>
      </c>
      <c r="JS53" s="20" t="n">
        <f aca="false">JK53-JR53</f>
        <v>0</v>
      </c>
      <c r="JT53" s="20" t="n">
        <f aca="false">IF(BV53=1,IF(ABS((1+AS_Wage)/(1+Slot6_Rate)-1)&lt;0.000000000001,(Slot6_Age-D53)*(1+Slot6_Rate)^(Slot6_Age-D53),(1+Slot6_Rate)^(Slot6_Age-D53)*(1-((1+AS_Wage)/(1+Slot6_Rate))^(Slot6_Age-D53))/(1-(1+AS_Wage)/(1+Slot6_Rate))),1)</f>
        <v>1</v>
      </c>
      <c r="JU53" s="20" t="n">
        <f aca="false">IF(AND(HU53=1,IE53&gt;0,Slot6_IsWG=1,BV53=1),MAX(0,(Slot6_Cost-BW53*(1+Slot6_Rate)^(Slot6_Age-D53))/JT53),0)</f>
        <v>0</v>
      </c>
      <c r="JV53" s="20" t="n">
        <f aca="false">IF(AND(HU53=1,IE53&gt;0,Slot6_IsWG=1,BV53=1),MIN(IE53,JU53),0)</f>
        <v>0</v>
      </c>
      <c r="JW53" s="20" t="n">
        <f aca="false">BW53+JV53</f>
        <v>0</v>
      </c>
      <c r="JX53" s="20" t="n">
        <f aca="false">IF(BV53=1,MAX(0,(Slot6_Cost-JW53*(1+Slot6_Rate)^(Slot6_Age-D53))/JT53),0)</f>
        <v>0</v>
      </c>
      <c r="JY53" s="20" t="n">
        <f aca="false">IF(BV53=1,MAX(0,(Slot6_Cost-BW53*(1+Slot6_Rate)^(Slot6_Age-D53))/JT53),0)</f>
        <v>0</v>
      </c>
      <c r="JZ53" s="20" t="n">
        <f aca="false">IF(AND(HU53=1,BV53=1),MIN(JS53,JX53),0)</f>
        <v>0</v>
      </c>
      <c r="KA53" s="20" t="n">
        <f aca="false">JS53-JZ53</f>
        <v>0</v>
      </c>
      <c r="KB53" s="20" t="n">
        <f aca="false">IF(CF53=1,IF(ABS((1+AS_Wage)/(1+Slot7_Rate)-1)&lt;0.000000000001,(Slot7_Age-D53)*(1+Slot7_Rate)^(Slot7_Age-D53),(1+Slot7_Rate)^(Slot7_Age-D53)*(1-((1+AS_Wage)/(1+Slot7_Rate))^(Slot7_Age-D53))/(1-(1+AS_Wage)/(1+Slot7_Rate))),1)</f>
        <v>1</v>
      </c>
      <c r="KC53" s="20" t="n">
        <f aca="false">IF(AND(HU53=1,IE53&gt;0,Slot7_IsWG=1,CF53=1),MAX(0,(Slot7_Cost-CG53*(1+Slot7_Rate)^(Slot7_Age-D53))/KB53),0)</f>
        <v>0</v>
      </c>
      <c r="KD53" s="20" t="n">
        <f aca="false">IF(AND(HU53=1,IE53&gt;0,Slot7_IsWG=1,CF53=1),MIN(IE53,KC53),0)</f>
        <v>0</v>
      </c>
      <c r="KE53" s="20" t="n">
        <f aca="false">CG53+KD53</f>
        <v>0</v>
      </c>
      <c r="KF53" s="20" t="n">
        <f aca="false">IF(CF53=1,MAX(0,(Slot7_Cost-KE53*(1+Slot7_Rate)^(Slot7_Age-D53))/KB53),0)</f>
        <v>0</v>
      </c>
      <c r="KG53" s="20" t="n">
        <f aca="false">IF(CF53=1,MAX(0,(Slot7_Cost-CG53*(1+Slot7_Rate)^(Slot7_Age-D53))/KB53),0)</f>
        <v>0</v>
      </c>
      <c r="KH53" s="20" t="n">
        <f aca="false">IF(AND(HU53=1,CF53=1),MIN(KA53,KF53),0)</f>
        <v>0</v>
      </c>
      <c r="KI53" s="20" t="n">
        <f aca="false">KA53-KH53</f>
        <v>0</v>
      </c>
      <c r="KJ53" s="20" t="n">
        <f aca="false">IF(CP53=1,IF(ABS((1+AS_Wage)/(1+Slot8_Rate)-1)&lt;0.000000000001,(Slot8_Age-D53)*(1+Slot8_Rate)^(Slot8_Age-D53),(1+Slot8_Rate)^(Slot8_Age-D53)*(1-((1+AS_Wage)/(1+Slot8_Rate))^(Slot8_Age-D53))/(1-(1+AS_Wage)/(1+Slot8_Rate))),1)</f>
        <v>1</v>
      </c>
      <c r="KK53" s="20" t="n">
        <f aca="false">IF(AND(HU53=1,IE53&gt;0,Slot8_IsWG=1,CP53=1),MAX(0,(Slot8_Cost-CQ53*(1+Slot8_Rate)^(Slot8_Age-D53))/KJ53),0)</f>
        <v>0</v>
      </c>
      <c r="KL53" s="20" t="n">
        <f aca="false">IF(AND(HU53=1,IE53&gt;0,Slot8_IsWG=1,CP53=1),MIN(IE53,KK53),0)</f>
        <v>0</v>
      </c>
      <c r="KM53" s="20" t="n">
        <f aca="false">CQ53+KL53</f>
        <v>0</v>
      </c>
      <c r="KN53" s="20" t="n">
        <f aca="false">IF(CP53=1,MAX(0,(Slot8_Cost-KM53*(1+Slot8_Rate)^(Slot8_Age-D53))/KJ53),0)</f>
        <v>0</v>
      </c>
      <c r="KO53" s="20" t="n">
        <f aca="false">IF(CP53=1,MAX(0,(Slot8_Cost-CQ53*(1+Slot8_Rate)^(Slot8_Age-D53))/KJ53),0)</f>
        <v>0</v>
      </c>
      <c r="KP53" s="20" t="n">
        <f aca="false">IF(AND(HU53=1,CP53=1),MIN(KI53,KN53),0)</f>
        <v>0</v>
      </c>
      <c r="KQ53" s="20" t="n">
        <f aca="false">KI53-KP53</f>
        <v>0</v>
      </c>
      <c r="KR53" s="20" t="n">
        <f aca="false">IF(CZ53=1,IF(ABS((1+AS_Wage)/(1+Slot9_Rate)-1)&lt;0.000000000001,(Slot9_Age-D53)*(1+Slot9_Rate)^(Slot9_Age-D53),(1+Slot9_Rate)^(Slot9_Age-D53)*(1-((1+AS_Wage)/(1+Slot9_Rate))^(Slot9_Age-D53))/(1-(1+AS_Wage)/(1+Slot9_Rate))),1)</f>
        <v>1</v>
      </c>
      <c r="KS53" s="20" t="n">
        <f aca="false">IF(AND(HU53=1,IE53&gt;0,Slot9_IsWG=1,CZ53=1),MAX(0,(Slot9_Cost-DA53*(1+Slot9_Rate)^(Slot9_Age-D53))/KR53),0)</f>
        <v>0</v>
      </c>
      <c r="KT53" s="20" t="n">
        <f aca="false">IF(AND(HU53=1,IE53&gt;0,Slot9_IsWG=1,CZ53=1),MIN(IE53,KS53),0)</f>
        <v>0</v>
      </c>
      <c r="KU53" s="20" t="n">
        <f aca="false">DA53+KT53</f>
        <v>0</v>
      </c>
      <c r="KV53" s="20" t="n">
        <f aca="false">IF(CZ53=1,MAX(0,(Slot9_Cost-KU53*(1+Slot9_Rate)^(Slot9_Age-D53))/KR53),0)</f>
        <v>0</v>
      </c>
      <c r="KW53" s="20" t="n">
        <f aca="false">IF(CZ53=1,MAX(0,(Slot9_Cost-DA53*(1+Slot9_Rate)^(Slot9_Age-D53))/KR53),0)</f>
        <v>0</v>
      </c>
      <c r="KX53" s="20" t="n">
        <f aca="false">IF(AND(HU53=1,CZ53=1),MIN(KQ53,KV53),0)</f>
        <v>0</v>
      </c>
      <c r="KY53" s="20" t="n">
        <f aca="false">KQ53-KX53</f>
        <v>0</v>
      </c>
      <c r="KZ53" s="20" t="n">
        <f aca="false">IF(DJ53=1,IF(ABS((1+AS_Wage)/(1+Slot10_Rate)-1)&lt;0.000000000001,(Slot10_Age-D53)*(1+Slot10_Rate)^(Slot10_Age-D53),(1+Slot10_Rate)^(Slot10_Age-D53)*(1-((1+AS_Wage)/(1+Slot10_Rate))^(Slot10_Age-D53))/(1-(1+AS_Wage)/(1+Slot10_Rate))),1)</f>
        <v>1</v>
      </c>
      <c r="LA53" s="20" t="n">
        <f aca="false">IF(AND(HU53=1,IE53&gt;0,Slot10_IsWG=1,DJ53=1),MAX(0,(Slot10_Cost-DK53*(1+Slot10_Rate)^(Slot10_Age-D53))/KZ53),0)</f>
        <v>0</v>
      </c>
      <c r="LB53" s="20" t="n">
        <f aca="false">IF(AND(HU53=1,IE53&gt;0,Slot10_IsWG=1,DJ53=1),MIN(IE53,LA53),0)</f>
        <v>0</v>
      </c>
      <c r="LC53" s="20" t="n">
        <f aca="false">DK53+LB53</f>
        <v>0</v>
      </c>
      <c r="LD53" s="20" t="n">
        <f aca="false">IF(DJ53=1,MAX(0,(Slot10_Cost-LC53*(1+Slot10_Rate)^(Slot10_Age-D53))/KZ53),0)</f>
        <v>0</v>
      </c>
      <c r="LE53" s="20" t="n">
        <f aca="false">IF(DJ53=1,MAX(0,(Slot10_Cost-DK53*(1+Slot10_Rate)^(Slot10_Age-D53))/KZ53),0)</f>
        <v>0</v>
      </c>
      <c r="LF53" s="20" t="n">
        <f aca="false">IF(AND(HU53=1,DJ53=1),MIN(KY53,LD53),0)</f>
        <v>0</v>
      </c>
      <c r="LG53" s="20" t="n">
        <f aca="false">KY53-LF53</f>
        <v>0</v>
      </c>
      <c r="LH53" s="20" t="n">
        <f aca="false">IF(DT53=1,IF(ABS((1+AS_Wage)/(1+Slot11_Rate)-1)&lt;0.000000000001,(Slot11_Age-D53)*(1+Slot11_Rate)^(Slot11_Age-D53),(1+Slot11_Rate)^(Slot11_Age-D53)*(1-((1+AS_Wage)/(1+Slot11_Rate))^(Slot11_Age-D53))/(1-(1+AS_Wage)/(1+Slot11_Rate))),1)</f>
        <v>1</v>
      </c>
      <c r="LI53" s="20" t="n">
        <f aca="false">IF(AND(HU53=1,IE53&gt;0,Slot11_IsWG=1,DT53=1),MAX(0,(Slot11_Cost-DU53*(1+Slot11_Rate)^(Slot11_Age-D53))/LH53),0)</f>
        <v>0</v>
      </c>
      <c r="LJ53" s="20" t="n">
        <f aca="false">IF(AND(HU53=1,IE53&gt;0,Slot11_IsWG=1,DT53=1),MIN(IE53,LI53),0)</f>
        <v>0</v>
      </c>
      <c r="LK53" s="20" t="n">
        <f aca="false">DU53+LJ53</f>
        <v>0</v>
      </c>
      <c r="LL53" s="20" t="n">
        <f aca="false">IF(DT53=1,MAX(0,(Slot11_Cost-LK53*(1+Slot11_Rate)^(Slot11_Age-D53))/LH53),0)</f>
        <v>0</v>
      </c>
      <c r="LM53" s="20" t="n">
        <f aca="false">IF(DT53=1,MAX(0,(Slot11_Cost-DU53*(1+Slot11_Rate)^(Slot11_Age-D53))/LH53),0)</f>
        <v>0</v>
      </c>
      <c r="LN53" s="20" t="n">
        <f aca="false">IF(AND(HU53=1,DT53=1),MIN(LG53,LL53),0)</f>
        <v>0</v>
      </c>
      <c r="LO53" s="20" t="n">
        <f aca="false">LG53-LN53</f>
        <v>0</v>
      </c>
      <c r="LP53" s="20" t="n">
        <f aca="false">IF(ED53=1,IF(ABS((1+AS_Wage)/(1+Slot12_Rate)-1)&lt;0.000000000001,(Slot12_Age-D53)*(1+Slot12_Rate)^(Slot12_Age-D53),(1+Slot12_Rate)^(Slot12_Age-D53)*(1-((1+AS_Wage)/(1+Slot12_Rate))^(Slot12_Age-D53))/(1-(1+AS_Wage)/(1+Slot12_Rate))),1)</f>
        <v>1</v>
      </c>
      <c r="LQ53" s="20" t="n">
        <f aca="false">IF(AND(HU53=1,IE53&gt;0,Slot12_IsWG=1,ED53=1),MAX(0,(Slot12_Cost-EE53*(1+Slot12_Rate)^(Slot12_Age-D53))/LP53),0)</f>
        <v>0</v>
      </c>
      <c r="LR53" s="20" t="n">
        <f aca="false">IF(AND(HU53=1,IE53&gt;0,Slot12_IsWG=1,ED53=1),MIN(IE53,LQ53),0)</f>
        <v>0</v>
      </c>
      <c r="LS53" s="20" t="n">
        <f aca="false">EE53+LR53</f>
        <v>0</v>
      </c>
      <c r="LT53" s="20" t="n">
        <f aca="false">IF(ED53=1,MAX(0,(Slot12_Cost-LS53*(1+Slot12_Rate)^(Slot12_Age-D53))/LP53),0)</f>
        <v>0</v>
      </c>
      <c r="LU53" s="20" t="n">
        <f aca="false">IF(ED53=1,MAX(0,(Slot12_Cost-EE53*(1+Slot12_Rate)^(Slot12_Age-D53))/LP53),0)</f>
        <v>0</v>
      </c>
      <c r="LV53" s="20" t="n">
        <f aca="false">IF(AND(HU53=1,ED53=1),MIN(LO53,LT53),0)</f>
        <v>0</v>
      </c>
      <c r="LW53" s="20" t="n">
        <f aca="false">LO53-LV53</f>
        <v>0</v>
      </c>
      <c r="LX53" s="20" t="n">
        <f aca="false">IF(EN53=1,IF(ABS((1+AS_Wage)/(1+Slot13_Rate)-1)&lt;0.000000000001,(Slot13_Age-D53)*(1+Slot13_Rate)^(Slot13_Age-D53),(1+Slot13_Rate)^(Slot13_Age-D53)*(1-((1+AS_Wage)/(1+Slot13_Rate))^(Slot13_Age-D53))/(1-(1+AS_Wage)/(1+Slot13_Rate))),1)</f>
        <v>1</v>
      </c>
      <c r="LY53" s="20" t="n">
        <f aca="false">IF(AND(HU53=1,IE53&gt;0,Slot13_IsWG=1,EN53=1),MAX(0,(Slot13_Cost-EO53*(1+Slot13_Rate)^(Slot13_Age-D53))/LX53),0)</f>
        <v>0</v>
      </c>
      <c r="LZ53" s="20" t="n">
        <f aca="false">IF(AND(HU53=1,IE53&gt;0,Slot13_IsWG=1,EN53=1),MIN(IE53,LY53),0)</f>
        <v>0</v>
      </c>
      <c r="MA53" s="20" t="n">
        <f aca="false">EO53+LZ53</f>
        <v>0</v>
      </c>
      <c r="MB53" s="20" t="n">
        <f aca="false">IF(EN53=1,MAX(0,(Slot13_Cost-MA53*(1+Slot13_Rate)^(Slot13_Age-D53))/LX53),0)</f>
        <v>0</v>
      </c>
      <c r="MC53" s="20" t="n">
        <f aca="false">IF(EN53=1,MAX(0,(Slot13_Cost-EO53*(1+Slot13_Rate)^(Slot13_Age-D53))/LX53),0)</f>
        <v>0</v>
      </c>
      <c r="MD53" s="20" t="n">
        <f aca="false">IF(AND(HU53=1,EN53=1),MIN(LW53,MB53),0)</f>
        <v>0</v>
      </c>
      <c r="ME53" s="20" t="n">
        <f aca="false">LW53-MD53</f>
        <v>0</v>
      </c>
      <c r="MF53" s="20" t="n">
        <f aca="false">IF(EX53=1,IF(ABS((1+AS_Wage)/(1+Slot14_Rate)-1)&lt;0.000000000001,(Slot14_Age-D53)*(1+Slot14_Rate)^(Slot14_Age-D53),(1+Slot14_Rate)^(Slot14_Age-D53)*(1-((1+AS_Wage)/(1+Slot14_Rate))^(Slot14_Age-D53))/(1-(1+AS_Wage)/(1+Slot14_Rate))),1)</f>
        <v>1</v>
      </c>
      <c r="MG53" s="20" t="n">
        <f aca="false">IF(AND(HU53=1,IE53&gt;0,Slot14_IsWG=1,EX53=1),MAX(0,(Slot14_Cost-EY53*(1+Slot14_Rate)^(Slot14_Age-D53))/MF53),0)</f>
        <v>0</v>
      </c>
      <c r="MH53" s="20" t="n">
        <f aca="false">IF(AND(HU53=1,IE53&gt;0,Slot14_IsWG=1,EX53=1),MIN(IE53,MG53),0)</f>
        <v>0</v>
      </c>
      <c r="MI53" s="20" t="n">
        <f aca="false">EY53+MH53</f>
        <v>0</v>
      </c>
      <c r="MJ53" s="20" t="n">
        <f aca="false">IF(EX53=1,MAX(0,(Slot14_Cost-MI53*(1+Slot14_Rate)^(Slot14_Age-D53))/MF53),0)</f>
        <v>0</v>
      </c>
      <c r="MK53" s="20" t="n">
        <f aca="false">IF(EX53=1,MAX(0,(Slot14_Cost-EY53*(1+Slot14_Rate)^(Slot14_Age-D53))/MF53),0)</f>
        <v>0</v>
      </c>
      <c r="ML53" s="20" t="n">
        <f aca="false">IF(AND(HU53=1,EX53=1),MIN(ME53,MJ53),0)</f>
        <v>0</v>
      </c>
      <c r="MM53" s="20" t="n">
        <f aca="false">ME53-ML53</f>
        <v>0</v>
      </c>
      <c r="MN53" s="20" t="n">
        <f aca="false">IF(FH53=1,IF(ABS((1+AS_Wage)/(1+Slot15_Rate)-1)&lt;0.000000000001,(Slot15_Age-D53)*(1+Slot15_Rate)^(Slot15_Age-D53),(1+Slot15_Rate)^(Slot15_Age-D53)*(1-((1+AS_Wage)/(1+Slot15_Rate))^(Slot15_Age-D53))/(1-(1+AS_Wage)/(1+Slot15_Rate))),1)</f>
        <v>1</v>
      </c>
      <c r="MO53" s="20" t="n">
        <f aca="false">IF(AND(HU53=1,IE53&gt;0,Slot15_IsWG=1,FH53=1),MAX(0,(Slot15_Cost-FI53*(1+Slot15_Rate)^(Slot15_Age-D53))/MN53),0)</f>
        <v>0</v>
      </c>
      <c r="MP53" s="20" t="n">
        <f aca="false">IF(AND(HU53=1,IE53&gt;0,Slot15_IsWG=1,FH53=1),MIN(IE53,MO53),0)</f>
        <v>0</v>
      </c>
      <c r="MQ53" s="20" t="n">
        <f aca="false">FI53+MP53</f>
        <v>0</v>
      </c>
      <c r="MR53" s="20" t="n">
        <f aca="false">IF(FH53=1,MAX(0,(Slot15_Cost-MQ53*(1+Slot15_Rate)^(Slot15_Age-D53))/MN53),0)</f>
        <v>0</v>
      </c>
      <c r="MS53" s="20" t="n">
        <f aca="false">IF(FH53=1,MAX(0,(Slot15_Cost-FI53*(1+Slot15_Rate)^(Slot15_Age-D53))/MN53),0)</f>
        <v>0</v>
      </c>
      <c r="MT53" s="20" t="n">
        <f aca="false">IF(AND(HU53=1,FH53=1),MIN(MM53,MR53),0)</f>
        <v>0</v>
      </c>
      <c r="MU53" s="20" t="n">
        <f aca="false">MM53-MT53</f>
        <v>0</v>
      </c>
      <c r="MV53" s="20" t="n">
        <f aca="false">IF(FR53=1,IF(ABS((1+AS_Wage)/(1+Slot16_Rate)-1)&lt;0.000000000001,(Slot16_Age-D53)*(1+Slot16_Rate)^(Slot16_Age-D53),(1+Slot16_Rate)^(Slot16_Age-D53)*(1-((1+AS_Wage)/(1+Slot16_Rate))^(Slot16_Age-D53))/(1-(1+AS_Wage)/(1+Slot16_Rate))),1)</f>
        <v>1</v>
      </c>
      <c r="MW53" s="20" t="n">
        <f aca="false">IF(AND(HU53=1,IE53&gt;0,Slot16_IsWG=1,FR53=1),MAX(0,(Slot16_Cost-FS53*(1+Slot16_Rate)^(Slot16_Age-D53))/MV53),0)</f>
        <v>0</v>
      </c>
      <c r="MX53" s="20" t="n">
        <f aca="false">IF(AND(HU53=1,IE53&gt;0,Slot16_IsWG=1,FR53=1),MIN(IE53,MW53),0)</f>
        <v>0</v>
      </c>
      <c r="MY53" s="20" t="n">
        <f aca="false">FS53+MX53</f>
        <v>0</v>
      </c>
      <c r="MZ53" s="20" t="n">
        <f aca="false">IF(FR53=1,MAX(0,(Slot16_Cost-MY53*(1+Slot16_Rate)^(Slot16_Age-D53))/MV53),0)</f>
        <v>0</v>
      </c>
      <c r="NA53" s="20" t="n">
        <f aca="false">IF(FR53=1,MAX(0,(Slot16_Cost-FS53*(1+Slot16_Rate)^(Slot16_Age-D53))/MV53),0)</f>
        <v>0</v>
      </c>
      <c r="NB53" s="20" t="n">
        <f aca="false">IF(AND(HU53=1,FR53=1),MIN(MU53,MZ53),0)</f>
        <v>0</v>
      </c>
      <c r="NC53" s="20" t="n">
        <f aca="false">MU53-NB53</f>
        <v>0</v>
      </c>
      <c r="ND53" s="20" t="n">
        <f aca="false">IF(GB53=1,IF(ABS((1+AS_Wage)/(1+Slot17_Rate)-1)&lt;0.000000000001,(Slot17_Age-D53)*(1+Slot17_Rate)^(Slot17_Age-D53),(1+Slot17_Rate)^(Slot17_Age-D53)*(1-((1+AS_Wage)/(1+Slot17_Rate))^(Slot17_Age-D53))/(1-(1+AS_Wage)/(1+Slot17_Rate))),1)</f>
        <v>1</v>
      </c>
      <c r="NE53" s="20" t="n">
        <f aca="false">IF(AND(HU53=1,IE53&gt;0,Slot17_IsWG=1,GB53=1),MAX(0,(Slot17_Cost-GC53*(1+Slot17_Rate)^(Slot17_Age-D53))/ND53),0)</f>
        <v>0</v>
      </c>
      <c r="NF53" s="20" t="n">
        <f aca="false">IF(AND(HU53=1,IE53&gt;0,Slot17_IsWG=1,GB53=1),MIN(IE53,NE53),0)</f>
        <v>0</v>
      </c>
      <c r="NG53" s="20" t="n">
        <f aca="false">GC53+NF53</f>
        <v>0</v>
      </c>
      <c r="NH53" s="20" t="n">
        <f aca="false">IF(GB53=1,MAX(0,(Slot17_Cost-NG53*(1+Slot17_Rate)^(Slot17_Age-D53))/ND53),0)</f>
        <v>0</v>
      </c>
      <c r="NI53" s="20" t="n">
        <f aca="false">IF(GB53=1,MAX(0,(Slot17_Cost-GC53*(1+Slot17_Rate)^(Slot17_Age-D53))/ND53),0)</f>
        <v>0</v>
      </c>
      <c r="NJ53" s="20" t="n">
        <f aca="false">IF(AND(HU53=1,GB53=1),MIN(NC53,NH53),0)</f>
        <v>0</v>
      </c>
      <c r="NK53" s="20" t="n">
        <f aca="false">NC53-NJ53</f>
        <v>0</v>
      </c>
      <c r="NL53" s="20" t="n">
        <f aca="false">IF(GL53=1,IF(ABS((1+AS_Wage)/(1+Slot18_Rate)-1)&lt;0.000000000001,(Slot18_Age-D53)*(1+Slot18_Rate)^(Slot18_Age-D53),(1+Slot18_Rate)^(Slot18_Age-D53)*(1-((1+AS_Wage)/(1+Slot18_Rate))^(Slot18_Age-D53))/(1-(1+AS_Wage)/(1+Slot18_Rate))),1)</f>
        <v>1</v>
      </c>
      <c r="NM53" s="20" t="n">
        <f aca="false">IF(AND(HU53=1,IE53&gt;0,Slot18_IsWG=1,GL53=1),MAX(0,(Slot18_Cost-GM53*(1+Slot18_Rate)^(Slot18_Age-D53))/NL53),0)</f>
        <v>0</v>
      </c>
      <c r="NN53" s="20" t="n">
        <f aca="false">IF(AND(HU53=1,IE53&gt;0,Slot18_IsWG=1,GL53=1),MIN(IE53,NM53),0)</f>
        <v>0</v>
      </c>
      <c r="NO53" s="20" t="n">
        <f aca="false">GM53+NN53</f>
        <v>0</v>
      </c>
      <c r="NP53" s="20" t="n">
        <f aca="false">IF(GL53=1,MAX(0,(Slot18_Cost-NO53*(1+Slot18_Rate)^(Slot18_Age-D53))/NL53),0)</f>
        <v>0</v>
      </c>
      <c r="NQ53" s="20" t="n">
        <f aca="false">IF(GL53=1,MAX(0,(Slot18_Cost-GM53*(1+Slot18_Rate)^(Slot18_Age-D53))/NL53),0)</f>
        <v>0</v>
      </c>
      <c r="NR53" s="20" t="n">
        <f aca="false">IF(AND(HU53=1,GL53=1),MIN(NK53,NP53),0)</f>
        <v>0</v>
      </c>
      <c r="NS53" s="20" t="n">
        <f aca="false">NK53-NR53</f>
        <v>0</v>
      </c>
      <c r="NT53" s="20" t="n">
        <f aca="false">IF(GV53=1,IF(ABS((1+AS_Wage)/(1+Slot19_Rate)-1)&lt;0.000000000001,(Slot19_Age-D53)*(1+Slot19_Rate)^(Slot19_Age-D53),(1+Slot19_Rate)^(Slot19_Age-D53)*(1-((1+AS_Wage)/(1+Slot19_Rate))^(Slot19_Age-D53))/(1-(1+AS_Wage)/(1+Slot19_Rate))),1)</f>
        <v>1</v>
      </c>
      <c r="NU53" s="20" t="n">
        <f aca="false">IF(AND(HU53=1,IE53&gt;0,Slot19_IsWG=1,GV53=1),MAX(0,(Slot19_Cost-GW53*(1+Slot19_Rate)^(Slot19_Age-D53))/NT53),0)</f>
        <v>0</v>
      </c>
      <c r="NV53" s="20" t="n">
        <f aca="false">IF(AND(HU53=1,IE53&gt;0,Slot19_IsWG=1,GV53=1),MIN(IE53,NU53),0)</f>
        <v>0</v>
      </c>
      <c r="NW53" s="20" t="n">
        <f aca="false">GW53+NV53</f>
        <v>0</v>
      </c>
      <c r="NX53" s="20" t="n">
        <f aca="false">IF(GV53=1,MAX(0,(Slot19_Cost-NW53*(1+Slot19_Rate)^(Slot19_Age-D53))/NT53),0)</f>
        <v>0</v>
      </c>
      <c r="NY53" s="20" t="n">
        <f aca="false">IF(GV53=1,MAX(0,(Slot19_Cost-GW53*(1+Slot19_Rate)^(Slot19_Age-D53))/NT53),0)</f>
        <v>0</v>
      </c>
      <c r="NZ53" s="20" t="n">
        <f aca="false">IF(AND(HU53=1,GV53=1),MIN(NS53,NX53),0)</f>
        <v>0</v>
      </c>
      <c r="OA53" s="20" t="n">
        <f aca="false">NS53-NZ53</f>
        <v>0</v>
      </c>
      <c r="OB53" s="20" t="n">
        <f aca="false">IF(HF53=1,IF(ABS((1+AS_Wage)/(1+Slot20_Rate)-1)&lt;0.000000000001,(Slot20_Age-D53)*(1+Slot20_Rate)^(Slot20_Age-D53),(1+Slot20_Rate)^(Slot20_Age-D53)*(1-((1+AS_Wage)/(1+Slot20_Rate))^(Slot20_Age-D53))/(1-(1+AS_Wage)/(1+Slot20_Rate))),1)</f>
        <v>1</v>
      </c>
      <c r="OC53" s="20" t="n">
        <f aca="false">IF(AND(HU53=1,IE53&gt;0,Slot20_IsWG=1,HF53=1),MAX(0,(Slot20_Cost-HG53*(1+Slot20_Rate)^(Slot20_Age-D53))/OB53),0)</f>
        <v>0</v>
      </c>
      <c r="OD53" s="20" t="n">
        <f aca="false">IF(AND(HU53=1,IE53&gt;0,Slot20_IsWG=1,HF53=1),MIN(IE53,OC53),0)</f>
        <v>0</v>
      </c>
      <c r="OE53" s="20" t="n">
        <f aca="false">HG53+OD53</f>
        <v>0</v>
      </c>
      <c r="OF53" s="20" t="n">
        <f aca="false">IF(HF53=1,MAX(0,(Slot20_Cost-OE53*(1+Slot20_Rate)^(Slot20_Age-D53))/OB53),0)</f>
        <v>0</v>
      </c>
      <c r="OG53" s="20" t="n">
        <f aca="false">IF(HF53=1,MAX(0,(Slot20_Cost-HG53*(1+Slot20_Rate)^(Slot20_Age-D53))/OB53),0)</f>
        <v>0</v>
      </c>
      <c r="OH53" s="20" t="n">
        <f aca="false">IF(AND(HU53=1,HF53=1),MIN(OA53,OF53),0)</f>
        <v>0</v>
      </c>
      <c r="OI53" s="20" t="n">
        <f aca="false">OA53-OH53</f>
        <v>0</v>
      </c>
      <c r="OJ53" s="20" t="n">
        <f aca="false">IE53-(IH53+IP53+IX53+JF53+JN53+JV53+KD53+KL53+KT53+LB53+LJ53+LR53+LZ53+MH53+MP53+MX53+NF53+NN53+NV53+OD53)</f>
        <v>0</v>
      </c>
      <c r="OK53" s="20" t="n">
        <f aca="false">IF(HU53=1,HS53-ID53-IE53,0)</f>
        <v>0</v>
      </c>
      <c r="OL53" s="20" t="n">
        <f aca="false">IF(HU53=0,-HS53,0)</f>
        <v>25912.5501521532</v>
      </c>
      <c r="OM53" s="20" t="n">
        <f aca="false">MIN(OL53,HK53)</f>
        <v>0</v>
      </c>
      <c r="ON53" s="20" t="n">
        <f aca="false">OL53-OM53</f>
        <v>25912.5501521532</v>
      </c>
      <c r="OO53" s="20" t="n">
        <f aca="false">MIN(ON53,HL53)</f>
        <v>0</v>
      </c>
      <c r="OP53" s="20" t="n">
        <f aca="false">ON53-OO53</f>
        <v>25912.5501521532</v>
      </c>
      <c r="OQ53" s="20" t="n">
        <f aca="false">IF(AND(HU53=0,HF53=1,OP53&gt;0),MIN(OP53,HG53),0)</f>
        <v>0</v>
      </c>
      <c r="OR53" s="20" t="n">
        <f aca="false">OP53-OQ53</f>
        <v>25912.5501521532</v>
      </c>
      <c r="OS53" s="20" t="n">
        <f aca="false">IF(AND(HU53=0,GV53=1,OR53&gt;0),MIN(OR53,GW53),0)</f>
        <v>0</v>
      </c>
      <c r="OT53" s="20" t="n">
        <f aca="false">OR53-OS53</f>
        <v>25912.5501521532</v>
      </c>
      <c r="OU53" s="20" t="n">
        <f aca="false">IF(AND(HU53=0,GL53=1,OT53&gt;0),MIN(OT53,GM53),0)</f>
        <v>0</v>
      </c>
      <c r="OV53" s="20" t="n">
        <f aca="false">OT53-OU53</f>
        <v>25912.5501521532</v>
      </c>
      <c r="OW53" s="20" t="n">
        <f aca="false">IF(AND(HU53=0,GB53=1,OV53&gt;0),MIN(OV53,GC53),0)</f>
        <v>0</v>
      </c>
      <c r="OX53" s="20" t="n">
        <f aca="false">OV53-OW53</f>
        <v>25912.5501521532</v>
      </c>
      <c r="OY53" s="20" t="n">
        <f aca="false">IF(AND(HU53=0,FR53=1,OX53&gt;0),MIN(OX53,FS53),0)</f>
        <v>0</v>
      </c>
      <c r="OZ53" s="20" t="n">
        <f aca="false">OX53-OY53</f>
        <v>25912.5501521532</v>
      </c>
      <c r="PA53" s="20" t="n">
        <f aca="false">IF(AND(HU53=0,FH53=1,OZ53&gt;0),MIN(OZ53,FI53),0)</f>
        <v>0</v>
      </c>
      <c r="PB53" s="20" t="n">
        <f aca="false">OZ53-PA53</f>
        <v>25912.5501521532</v>
      </c>
      <c r="PC53" s="20" t="n">
        <f aca="false">IF(AND(HU53=0,EX53=1,PB53&gt;0),MIN(PB53,EY53),0)</f>
        <v>0</v>
      </c>
      <c r="PD53" s="20" t="n">
        <f aca="false">PB53-PC53</f>
        <v>25912.5501521532</v>
      </c>
      <c r="PE53" s="20" t="n">
        <f aca="false">IF(AND(HU53=0,EN53=1,PD53&gt;0),MIN(PD53,EO53),0)</f>
        <v>0</v>
      </c>
      <c r="PF53" s="20" t="n">
        <f aca="false">PD53-PE53</f>
        <v>25912.5501521532</v>
      </c>
      <c r="PG53" s="20" t="n">
        <f aca="false">IF(AND(HU53=0,ED53=1,PF53&gt;0),MIN(PF53,EE53),0)</f>
        <v>0</v>
      </c>
      <c r="PH53" s="20" t="n">
        <f aca="false">PF53-PG53</f>
        <v>25912.5501521532</v>
      </c>
      <c r="PI53" s="20" t="n">
        <f aca="false">IF(AND(HU53=0,DT53=1,PH53&gt;0),MIN(PH53,DU53),0)</f>
        <v>0</v>
      </c>
      <c r="PJ53" s="20" t="n">
        <f aca="false">PH53-PI53</f>
        <v>25912.5501521532</v>
      </c>
      <c r="PK53" s="20" t="n">
        <f aca="false">IF(AND(HU53=0,DJ53=1,PJ53&gt;0),MIN(PJ53,DK53),0)</f>
        <v>0</v>
      </c>
      <c r="PL53" s="20" t="n">
        <f aca="false">PJ53-PK53</f>
        <v>25912.5501521532</v>
      </c>
      <c r="PM53" s="20" t="n">
        <f aca="false">IF(AND(HU53=0,CZ53=1,PL53&gt;0),MIN(PL53,DA53),0)</f>
        <v>0</v>
      </c>
      <c r="PN53" s="20" t="n">
        <f aca="false">PL53-PM53</f>
        <v>25912.5501521532</v>
      </c>
      <c r="PO53" s="20" t="n">
        <f aca="false">IF(AND(HU53=0,CP53=1,PN53&gt;0),MIN(PN53,CQ53),0)</f>
        <v>0</v>
      </c>
      <c r="PP53" s="20" t="n">
        <f aca="false">PN53-PO53</f>
        <v>25912.5501521532</v>
      </c>
      <c r="PQ53" s="20" t="n">
        <f aca="false">IF(AND(HU53=0,CF53=1,PP53&gt;0),MIN(PP53,CG53),0)</f>
        <v>0</v>
      </c>
      <c r="PR53" s="20" t="n">
        <f aca="false">PP53-PQ53</f>
        <v>25912.5501521532</v>
      </c>
      <c r="PS53" s="20" t="n">
        <f aca="false">IF(AND(HU53=0,BV53=1,PR53&gt;0),MIN(PR53,BW53),0)</f>
        <v>0</v>
      </c>
      <c r="PT53" s="20" t="n">
        <f aca="false">PR53-PS53</f>
        <v>25912.5501521532</v>
      </c>
      <c r="PU53" s="20" t="n">
        <f aca="false">IF(AND(HU53=0,BL53=1,PT53&gt;0),MIN(PT53,BM53),0)</f>
        <v>0</v>
      </c>
      <c r="PV53" s="20" t="n">
        <f aca="false">PT53-PU53</f>
        <v>25912.5501521532</v>
      </c>
      <c r="PW53" s="20" t="n">
        <f aca="false">IF(AND(HU53=0,BB53=1,PV53&gt;0),MIN(PV53,BC53),0)</f>
        <v>0</v>
      </c>
      <c r="PX53" s="20" t="n">
        <f aca="false">PV53-PW53</f>
        <v>25912.5501521532</v>
      </c>
      <c r="PY53" s="20" t="n">
        <f aca="false">IF(AND(HU53=0,AR53=1,PX53&gt;0),MIN(PX53,AS53),0)</f>
        <v>0</v>
      </c>
      <c r="PZ53" s="20" t="n">
        <f aca="false">PX53-PY53</f>
        <v>25912.5501521532</v>
      </c>
      <c r="QA53" s="20" t="n">
        <f aca="false">IF(AND(HU53=0,AH53=1,PZ53&gt;0),MIN(PZ53,AI53),0)</f>
        <v>0</v>
      </c>
      <c r="QB53" s="20" t="n">
        <f aca="false">PZ53-QA53</f>
        <v>25912.5501521532</v>
      </c>
      <c r="QC53" s="20" t="n">
        <f aca="false">IF(AND(HU53=0,W53=1,QB53&gt;0),MIN(QB53,X53),0)</f>
        <v>0</v>
      </c>
      <c r="QD53" s="20" t="n">
        <f aca="false">QB53-QC53</f>
        <v>25912.5501521532</v>
      </c>
      <c r="QE53" s="20" t="n">
        <f aca="false">IF(HU53=0,QD53,0)</f>
        <v>25912.5501521532</v>
      </c>
      <c r="QF53" s="20" t="n">
        <f aca="false">OM53+OO53+QC53+QA53+PY53+PW53+PU53+PS53+PQ53+PO53+PM53+PK53+PI53+PG53+PE53+PC53+PA53+OY53+OW53+OU53+OS53+OQ53</f>
        <v>0</v>
      </c>
      <c r="QG53" s="20" t="n">
        <f aca="false">IF(HU53=1,HK53+OJ53+OI53+IF(G53=1,0,OK53),HK53-OM53)</f>
        <v>0</v>
      </c>
      <c r="QH53" s="20" t="n">
        <f aca="false">HL53-OO53</f>
        <v>0</v>
      </c>
      <c r="QI53" s="20" t="n">
        <f aca="false">IF(HU53=1,IF(G53=1,ID53+IE53,HS53),0)</f>
        <v>0</v>
      </c>
      <c r="QJ53" s="20" t="n">
        <f aca="false">IF(HU53=1,IF(G53=1,HS53-ID53-IE53,0),0)</f>
        <v>0</v>
      </c>
      <c r="QK53" s="20" t="n">
        <f aca="false">QG53*(1+GR)</f>
        <v>0</v>
      </c>
      <c r="QL53" s="20" t="n">
        <f aca="false">QH53*(1+AS_Cash)</f>
        <v>0</v>
      </c>
      <c r="QM53" s="20" t="n">
        <f aca="false">IF(W53=1,IF(HU53=1,II53+IL53,X53-QC53)*(1+Slot1_Rate),0)</f>
        <v>0</v>
      </c>
      <c r="QN53" s="20" t="n">
        <f aca="false">IF(AND(HU53=1,W53=1),(IH53+IL53)/F53,0)</f>
        <v>0</v>
      </c>
      <c r="QO53" s="20" t="n">
        <f aca="false">IF(B53=0,IH53+IL53,0)</f>
        <v>0</v>
      </c>
      <c r="QP53" s="20" t="n">
        <f aca="false">IF(B53=0,IF(HU53=1,IJ53,IK53),0)</f>
        <v>0</v>
      </c>
      <c r="QQ53" s="20" t="n">
        <f aca="false">IF(AH53=1,IF(HU53=1,IQ53+IT53,AI53-QA53)*(1+Slot2_Rate),0)</f>
        <v>0</v>
      </c>
      <c r="QR53" s="20" t="n">
        <f aca="false">IF(AND(HU53=1,AH53=1),(IP53+IT53)/F53,0)</f>
        <v>0</v>
      </c>
      <c r="QS53" s="20" t="n">
        <f aca="false">IF(B53=0,IP53+IT53,0)</f>
        <v>0</v>
      </c>
      <c r="QT53" s="20" t="n">
        <f aca="false">IF(B53=0,IF(HU53=1,IR53,IS53),0)</f>
        <v>0</v>
      </c>
      <c r="QU53" s="20" t="n">
        <f aca="false">IF(AR53=1,IF(HU53=1,IY53+JB53,AS53-PY53)*(1+Slot3_Rate),0)</f>
        <v>0</v>
      </c>
      <c r="QV53" s="20" t="n">
        <f aca="false">IF(AND(HU53=1,AR53=1),(IX53+JB53)/F53,0)</f>
        <v>0</v>
      </c>
      <c r="QW53" s="20" t="n">
        <f aca="false">IF(B53=0,IX53+JB53,0)</f>
        <v>0</v>
      </c>
      <c r="QX53" s="20" t="n">
        <f aca="false">IF(B53=0,IF(HU53=1,IZ53,JA53),0)</f>
        <v>0</v>
      </c>
      <c r="QY53" s="20" t="n">
        <f aca="false">IF(BB53=1,IF(HU53=1,JG53+JJ53,BC53-PW53)*(1+Slot4_Rate),0)</f>
        <v>0</v>
      </c>
      <c r="QZ53" s="20" t="n">
        <f aca="false">IF(AND(HU53=1,BB53=1),(JF53+JJ53)/F53,0)</f>
        <v>0</v>
      </c>
      <c r="RA53" s="20" t="n">
        <f aca="false">IF(B53=0,JF53+JJ53,0)</f>
        <v>0</v>
      </c>
      <c r="RB53" s="20" t="n">
        <f aca="false">IF(B53=0,IF(HU53=1,JH53,JI53),0)</f>
        <v>0</v>
      </c>
      <c r="RC53" s="20" t="n">
        <f aca="false">IF(BL53=1,IF(HU53=1,JO53+JR53,BM53-PU53)*(1+Slot5_Rate),0)</f>
        <v>0</v>
      </c>
      <c r="RD53" s="20" t="n">
        <f aca="false">IF(AND(HU53=1,BL53=1),(JN53+JR53)/F53,0)</f>
        <v>0</v>
      </c>
      <c r="RE53" s="20" t="n">
        <f aca="false">IF(B53=0,JN53+JR53,0)</f>
        <v>0</v>
      </c>
      <c r="RF53" s="20" t="n">
        <f aca="false">IF(B53=0,IF(HU53=1,JP53,JQ53),0)</f>
        <v>0</v>
      </c>
      <c r="RG53" s="20" t="n">
        <f aca="false">IF(BV53=1,IF(HU53=1,JW53+JZ53,BW53-PS53)*(1+Slot6_Rate),0)</f>
        <v>0</v>
      </c>
      <c r="RH53" s="20" t="n">
        <f aca="false">IF(AND(HU53=1,BV53=1),(JV53+JZ53)/F53,0)</f>
        <v>0</v>
      </c>
      <c r="RI53" s="20" t="n">
        <f aca="false">IF(B53=0,JV53+JZ53,0)</f>
        <v>0</v>
      </c>
      <c r="RJ53" s="20" t="n">
        <f aca="false">IF(B53=0,IF(HU53=1,JX53,JY53),0)</f>
        <v>0</v>
      </c>
      <c r="RK53" s="20" t="n">
        <f aca="false">IF(CF53=1,IF(HU53=1,KE53+KH53,CG53-PQ53)*(1+Slot7_Rate),0)</f>
        <v>0</v>
      </c>
      <c r="RL53" s="20" t="n">
        <f aca="false">IF(AND(HU53=1,CF53=1),(KD53+KH53)/F53,0)</f>
        <v>0</v>
      </c>
      <c r="RM53" s="20" t="n">
        <f aca="false">IF(B53=0,KD53+KH53,0)</f>
        <v>0</v>
      </c>
      <c r="RN53" s="20" t="n">
        <f aca="false">IF(B53=0,IF(HU53=1,KF53,KG53),0)</f>
        <v>0</v>
      </c>
      <c r="RO53" s="20" t="n">
        <f aca="false">IF(CP53=1,IF(HU53=1,KM53+KP53,CQ53-PO53)*(1+Slot8_Rate),0)</f>
        <v>0</v>
      </c>
      <c r="RP53" s="20" t="n">
        <f aca="false">IF(AND(HU53=1,CP53=1),(KL53+KP53)/F53,0)</f>
        <v>0</v>
      </c>
      <c r="RQ53" s="20" t="n">
        <f aca="false">IF(B53=0,KL53+KP53,0)</f>
        <v>0</v>
      </c>
      <c r="RR53" s="20" t="n">
        <f aca="false">IF(B53=0,IF(HU53=1,KN53,KO53),0)</f>
        <v>0</v>
      </c>
      <c r="RS53" s="20" t="n">
        <f aca="false">IF(CZ53=1,IF(HU53=1,KU53+KX53,DA53-PM53)*(1+Slot9_Rate),0)</f>
        <v>0</v>
      </c>
      <c r="RT53" s="20" t="n">
        <f aca="false">IF(AND(HU53=1,CZ53=1),(KT53+KX53)/F53,0)</f>
        <v>0</v>
      </c>
      <c r="RU53" s="20" t="n">
        <f aca="false">IF(B53=0,KT53+KX53,0)</f>
        <v>0</v>
      </c>
      <c r="RV53" s="20" t="n">
        <f aca="false">IF(B53=0,IF(HU53=1,KV53,KW53),0)</f>
        <v>0</v>
      </c>
      <c r="RW53" s="20" t="n">
        <f aca="false">IF(DJ53=1,IF(HU53=1,LC53+LF53,DK53-PK53)*(1+Slot10_Rate),0)</f>
        <v>0</v>
      </c>
      <c r="RX53" s="20" t="n">
        <f aca="false">IF(AND(HU53=1,DJ53=1),(LB53+LF53)/F53,0)</f>
        <v>0</v>
      </c>
      <c r="RY53" s="20" t="n">
        <f aca="false">IF(B53=0,LB53+LF53,0)</f>
        <v>0</v>
      </c>
      <c r="RZ53" s="20" t="n">
        <f aca="false">IF(B53=0,IF(HU53=1,LD53,LE53),0)</f>
        <v>0</v>
      </c>
      <c r="SA53" s="20" t="n">
        <f aca="false">IF(DT53=1,IF(HU53=1,LK53+LN53,DU53-PI53)*(1+Slot11_Rate),0)</f>
        <v>0</v>
      </c>
      <c r="SB53" s="20" t="n">
        <f aca="false">IF(AND(HU53=1,DT53=1),(LJ53+LN53)/F53,0)</f>
        <v>0</v>
      </c>
      <c r="SC53" s="20" t="n">
        <f aca="false">IF(B53=0,LJ53+LN53,0)</f>
        <v>0</v>
      </c>
      <c r="SD53" s="20" t="n">
        <f aca="false">IF(B53=0,IF(HU53=1,LL53,LM53),0)</f>
        <v>0</v>
      </c>
      <c r="SE53" s="20" t="n">
        <f aca="false">IF(ED53=1,IF(HU53=1,LS53+LV53,EE53-PG53)*(1+Slot12_Rate),0)</f>
        <v>0</v>
      </c>
      <c r="SF53" s="20" t="n">
        <f aca="false">IF(AND(HU53=1,ED53=1),(LR53+LV53)/F53,0)</f>
        <v>0</v>
      </c>
      <c r="SG53" s="20" t="n">
        <f aca="false">IF(B53=0,LR53+LV53,0)</f>
        <v>0</v>
      </c>
      <c r="SH53" s="20" t="n">
        <f aca="false">IF(B53=0,IF(HU53=1,LT53,LU53),0)</f>
        <v>0</v>
      </c>
      <c r="SI53" s="20" t="n">
        <f aca="false">IF(EN53=1,IF(HU53=1,MA53+MD53,EO53-PE53)*(1+Slot13_Rate),0)</f>
        <v>0</v>
      </c>
      <c r="SJ53" s="20" t="n">
        <f aca="false">IF(AND(HU53=1,EN53=1),(LZ53+MD53)/F53,0)</f>
        <v>0</v>
      </c>
      <c r="SK53" s="20" t="n">
        <f aca="false">IF(B53=0,LZ53+MD53,0)</f>
        <v>0</v>
      </c>
      <c r="SL53" s="20" t="n">
        <f aca="false">IF(B53=0,IF(HU53=1,MB53,MC53),0)</f>
        <v>0</v>
      </c>
      <c r="SM53" s="20" t="n">
        <f aca="false">IF(EX53=1,IF(HU53=1,MI53+ML53,EY53-PC53)*(1+Slot14_Rate),0)</f>
        <v>0</v>
      </c>
      <c r="SN53" s="20" t="n">
        <f aca="false">IF(AND(HU53=1,EX53=1),(MH53+ML53)/F53,0)</f>
        <v>0</v>
      </c>
      <c r="SO53" s="20" t="n">
        <f aca="false">IF(B53=0,MH53+ML53,0)</f>
        <v>0</v>
      </c>
      <c r="SP53" s="20" t="n">
        <f aca="false">IF(B53=0,IF(HU53=1,MJ53,MK53),0)</f>
        <v>0</v>
      </c>
      <c r="SQ53" s="20" t="n">
        <f aca="false">IF(FH53=1,IF(HU53=1,MQ53+MT53,FI53-PA53)*(1+Slot15_Rate),0)</f>
        <v>0</v>
      </c>
      <c r="SR53" s="20" t="n">
        <f aca="false">IF(AND(HU53=1,FH53=1),(MP53+MT53)/F53,0)</f>
        <v>0</v>
      </c>
      <c r="SS53" s="20" t="n">
        <f aca="false">IF(B53=0,MP53+MT53,0)</f>
        <v>0</v>
      </c>
      <c r="ST53" s="20" t="n">
        <f aca="false">IF(B53=0,IF(HU53=1,MR53,MS53),0)</f>
        <v>0</v>
      </c>
      <c r="SU53" s="20" t="n">
        <f aca="false">IF(FR53=1,IF(HU53=1,MY53+NB53,FS53-OY53)*(1+Slot16_Rate),0)</f>
        <v>0</v>
      </c>
      <c r="SV53" s="20" t="n">
        <f aca="false">IF(AND(HU53=1,FR53=1),(MX53+NB53)/F53,0)</f>
        <v>0</v>
      </c>
      <c r="SW53" s="20" t="n">
        <f aca="false">IF(B53=0,MX53+NB53,0)</f>
        <v>0</v>
      </c>
      <c r="SX53" s="20" t="n">
        <f aca="false">IF(B53=0,IF(HU53=1,MZ53,NA53),0)</f>
        <v>0</v>
      </c>
      <c r="SY53" s="20" t="n">
        <f aca="false">IF(GB53=1,IF(HU53=1,NG53+NJ53,GC53-OW53)*(1+Slot17_Rate),0)</f>
        <v>0</v>
      </c>
      <c r="SZ53" s="20" t="n">
        <f aca="false">IF(AND(HU53=1,GB53=1),(NF53+NJ53)/F53,0)</f>
        <v>0</v>
      </c>
      <c r="TA53" s="20" t="n">
        <f aca="false">IF(B53=0,NF53+NJ53,0)</f>
        <v>0</v>
      </c>
      <c r="TB53" s="20" t="n">
        <f aca="false">IF(B53=0,IF(HU53=1,NH53,NI53),0)</f>
        <v>0</v>
      </c>
      <c r="TC53" s="20" t="n">
        <f aca="false">IF(GL53=1,IF(HU53=1,NO53+NR53,GM53-OU53)*(1+Slot18_Rate),0)</f>
        <v>0</v>
      </c>
      <c r="TD53" s="20" t="n">
        <f aca="false">IF(AND(HU53=1,GL53=1),(NN53+NR53)/F53,0)</f>
        <v>0</v>
      </c>
      <c r="TE53" s="20" t="n">
        <f aca="false">IF(B53=0,NN53+NR53,0)</f>
        <v>0</v>
      </c>
      <c r="TF53" s="20" t="n">
        <f aca="false">IF(B53=0,IF(HU53=1,NP53,NQ53),0)</f>
        <v>0</v>
      </c>
      <c r="TG53" s="20" t="n">
        <f aca="false">IF(GV53=1,IF(HU53=1,NW53+NZ53,GW53-OS53)*(1+Slot19_Rate),0)</f>
        <v>0</v>
      </c>
      <c r="TH53" s="20" t="n">
        <f aca="false">IF(AND(HU53=1,GV53=1),(NV53+NZ53)/F53,0)</f>
        <v>0</v>
      </c>
      <c r="TI53" s="20" t="n">
        <f aca="false">IF(B53=0,NV53+NZ53,0)</f>
        <v>0</v>
      </c>
      <c r="TJ53" s="20" t="n">
        <f aca="false">IF(B53=0,IF(HU53=1,NX53,NY53),0)</f>
        <v>0</v>
      </c>
      <c r="TK53" s="20" t="n">
        <f aca="false">IF(HF53=1,IF(HU53=1,OE53+OH53,HG53-OQ53)*(1+Slot20_Rate),0)</f>
        <v>0</v>
      </c>
      <c r="TL53" s="20" t="n">
        <f aca="false">IF(AND(HU53=1,HF53=1),(OD53+OH53)/F53,0)</f>
        <v>0</v>
      </c>
      <c r="TM53" s="20" t="n">
        <f aca="false">IF(B53=0,OD53+OH53,0)</f>
        <v>0</v>
      </c>
      <c r="TN53" s="20" t="n">
        <f aca="false">IF(B53=0,IF(HU53=1,OF53,OG53),0)</f>
        <v>0</v>
      </c>
      <c r="TO53" s="20" t="n">
        <f aca="false">QK53+QL53+QM53+QQ53+QU53+QY53+RC53+RG53+RK53+RO53+RS53+RW53+SA53+SE53+SI53+SM53+SQ53+SU53+SY53+TC53+TG53+TK53</f>
        <v>0</v>
      </c>
      <c r="TP53" s="20" t="n">
        <f aca="false">QE53+HP53</f>
        <v>25912.5501521532</v>
      </c>
      <c r="TQ53" s="20" t="n">
        <f aca="false">I53+S53</f>
        <v>116529.431013404</v>
      </c>
      <c r="TR53" s="20" t="n">
        <f aca="false">1-G53</f>
        <v>1</v>
      </c>
      <c r="TS53" s="20" t="n">
        <f aca="false">IF(AND(RG_Exists=1,G53=0,C53=1),I53,0)</f>
        <v>116529.431013404</v>
      </c>
      <c r="TT53" s="20" t="n">
        <f aca="false">IF(AND(RG_Exists=1,G53=0,C53=1),I53-MIN(QE53,I53),0)</f>
        <v>90616.8808612511</v>
      </c>
      <c r="TU53" s="20" t="n">
        <f aca="false">'Plan pay &amp; tax'!AD279</f>
        <v>286971.274654458</v>
      </c>
      <c r="TV53" s="20" t="n">
        <f aca="false">IF(AND(C53=1,QE53&gt;MAX(PR_Short1,TQ53*PR_Short2)),1,0)</f>
        <v>1</v>
      </c>
      <c r="TW53" s="20" t="n">
        <f aca="false">MIN(H53,I53+S53)</f>
        <v>90616.8808612511</v>
      </c>
      <c r="TX53" s="20" t="n">
        <f aca="false">QF53+MAX(0,HQ53-HP53)</f>
        <v>0</v>
      </c>
      <c r="TY53" s="20" t="n">
        <f aca="false">QE53+HP53</f>
        <v>25912.5501521532</v>
      </c>
      <c r="TZ53" s="20" t="n">
        <f aca="false">IF(AND(C53=1,TY53&gt;PR_MinShort),1,0)</f>
        <v>1</v>
      </c>
      <c r="UA53" s="20" t="n">
        <f aca="false">IF(AND(C53=1,TZ53=0,TX53&gt;PR_MinShort),1,0)</f>
        <v>0</v>
      </c>
      <c r="UB53" s="20" t="n">
        <f aca="false">IF(AND(C53=1,QE53&gt;PR_MinShort),1,0)</f>
        <v>1</v>
      </c>
      <c r="UC53" s="20" t="n">
        <f aca="false">IF(AND(C53=1,QF53&gt;1,UJ53=0),1,0)</f>
        <v>0</v>
      </c>
      <c r="UD53" s="20" t="str">
        <f aca="false">IF(C53=0,"",IF(UJ53=1,"Gap to plan for: short "&amp;"€"&amp;TEXT(ROUND(TP53,0),"#,##0"),IF(QF53&gt;1,"Using savings","Comfortable")))</f>
        <v>Gap to plan for: short €25,913</v>
      </c>
      <c r="UE53" s="20" t="n">
        <f aca="false">IF(AND(INT(D53/10)*10=90,B53&gt;0),80,INT(D53/10)*10)</f>
        <v>80</v>
      </c>
      <c r="UF53" s="20" t="n">
        <f aca="false">IF(B53=0,1,IF(UE53&lt;&gt;UE52,UF52+1,UF52))</f>
        <v>6</v>
      </c>
      <c r="UG53" s="20" t="n">
        <f aca="false">IF(AND(C53=1,G53=1,QE53&gt;MAX(PR_Short1,TQ53*PR_Short2)),1,0)</f>
        <v>0</v>
      </c>
      <c r="UH53" s="20" t="n">
        <f aca="false">TR53*TV53</f>
        <v>1</v>
      </c>
      <c r="UI53" s="20" t="n">
        <f aca="false">IF(AND(V53=1,Slot1_PctLow=1),1,0)+IF(AND(AG53=1,Slot2_PctLow=1),1,0)+IF(AND(AQ53=1,Slot3_PctLow=1),1,0)+IF(AND(BA53=1,Slot4_PctLow=1),1,0)+IF(AND(BK53=1,Slot5_PctLow=1),1,0)+IF(AND(BU53=1,Slot6_PctLow=1),1,0)+IF(AND(CE53=1,Slot7_PctLow=1),1,0)+IF(AND(CO53=1,Slot8_PctLow=1),1,0)+IF(AND(CY53=1,Slot9_PctLow=1),1,0)+IF(AND(DI53=1,Slot10_PctLow=1),1,0)+IF(AND(DS53=1,Slot11_PctLow=1),1,0)+IF(AND(EC53=1,Slot12_PctLow=1),1,0)+IF(AND(EM53=1,Slot13_PctLow=1),1,0)+IF(AND(EW53=1,Slot14_PctLow=1),1,0)+IF(AND(FG53=1,Slot15_PctLow=1),1,0)+IF(AND(FQ53=1,Slot16_PctLow=1),1,0)+IF(AND(GA53=1,Slot17_PctLow=1),1,0)+IF(AND(GK53=1,Slot18_PctLow=1),1,0)+IF(AND(GU53=1,Slot19_PctLow=1),1,0)+IF(AND(HE53=1,Slot20_PctLow=1),1,0)</f>
        <v>0</v>
      </c>
      <c r="UJ53" s="20" t="n">
        <f aca="false">IF(C53=1,IF(OR(TV53=1,UI53&gt;0),1,0),0)</f>
        <v>1</v>
      </c>
    </row>
    <row r="54" customFormat="false" ht="15" hidden="false" customHeight="true" outlineLevel="0" collapsed="false">
      <c r="B54" s="20" t="n">
        <v>46</v>
      </c>
      <c r="C54" s="20" t="n">
        <f aca="false">IF(B54&lt;=F_N,1,0)</f>
        <v>1</v>
      </c>
      <c r="D54" s="20" t="n">
        <f aca="false">'Plan pay &amp; tax'!C280</f>
        <v>84</v>
      </c>
      <c r="E54" s="20" t="str">
        <f aca="false">IF($C54=1,"Income tax "&amp;TEXT(N('Plan pay &amp; tax'!BK280),"#,##0")&amp;"; USC "&amp;TEXT(N('Plan pay &amp; tax'!BM280)+N('Plan pay &amp; tax'!BO280),"#,##0")&amp;"; PRSI "&amp;TEXT(N('Plan pay &amp; tax'!BP280)+N('Plan pay &amp; tax'!BQ280),"#,##0")&amp;". DIRT and exit tax are inside the growth rates here.","")</f>
        <v>Income tax 895; USC 0; PRSI 0. DIRT and exit tax are inside the growth rates here.</v>
      </c>
      <c r="F54" s="44" t="n">
        <f aca="false">'Plan pay &amp; tax'!E280</f>
        <v>2.48661128940737</v>
      </c>
      <c r="G54" s="20" t="n">
        <f aca="false">'Plan pay &amp; tax'!G280</f>
        <v>0</v>
      </c>
      <c r="H54" s="20" t="n">
        <f aca="false">'Plan pay &amp; tax'!BT280-'Plan pay &amp; tax'!BS280-'Plan pay &amp; tax'!R280</f>
        <v>92642.5110723379</v>
      </c>
      <c r="I54" s="20" t="n">
        <f aca="false">IF(G54=1,F_CostsM*12,IF(RG_Exists=1,RG_Amount,F_CostsM*12*AS_RetireSpend))*F54+F_OneOffY*F54</f>
        <v>118860.019633672</v>
      </c>
      <c r="J54" s="20" t="n">
        <f aca="false">HR53</f>
        <v>0</v>
      </c>
      <c r="K54" s="20" t="n">
        <f aca="false">IF(J54&gt;1,'Plan debt months'!AC54,0)</f>
        <v>0</v>
      </c>
      <c r="L54" s="20" t="n">
        <f aca="false">IF(J54&gt;1,'Plan debt months'!AB54,J54)</f>
        <v>0</v>
      </c>
      <c r="M54" s="20" t="n">
        <f aca="false">O53</f>
        <v>0</v>
      </c>
      <c r="N54" s="20" t="n">
        <f aca="false">IF(M54&gt;1,'Plan debt months'!BD54,0)</f>
        <v>0</v>
      </c>
      <c r="O54" s="20" t="n">
        <f aca="false">IF(M54&gt;1,'Plan debt months'!BC54,M54)</f>
        <v>0</v>
      </c>
      <c r="P54" s="20" t="n">
        <f aca="false">R53</f>
        <v>0</v>
      </c>
      <c r="Q54" s="20" t="n">
        <f aca="false">IF(P54&gt;1,'Plan debt months'!CE54,0)</f>
        <v>0</v>
      </c>
      <c r="R54" s="20" t="n">
        <f aca="false">IF(P54&gt;1,'Plan debt months'!CD54,P54)</f>
        <v>0</v>
      </c>
      <c r="S54" s="20" t="n">
        <f aca="false">K54+N54+Q54</f>
        <v>0</v>
      </c>
      <c r="T54" s="20" t="n">
        <f aca="false">QK53+'Plan pay &amp; tax'!Y280</f>
        <v>0</v>
      </c>
      <c r="U54" s="20" t="n">
        <f aca="false">QK53</f>
        <v>0</v>
      </c>
      <c r="V54" s="20" t="n">
        <f aca="false">IF(AND(Slot1_On=1,D54=Slot1_Age),1,0)</f>
        <v>0</v>
      </c>
      <c r="W54" s="20" t="n">
        <f aca="false">IF(AND(Slot1_On=1,Slot1_Age&gt;D54),1,0)</f>
        <v>0</v>
      </c>
      <c r="X54" s="20" t="n">
        <f aca="false">QM53</f>
        <v>0</v>
      </c>
      <c r="Y54" s="20" t="n">
        <f aca="false">V54*MIN(Slot1_Cost,X54)</f>
        <v>0</v>
      </c>
      <c r="Z54" s="20" t="n">
        <f aca="false">V54*Slot1_SpendLike*MIN(Slot1_Cost-Y54,T54)</f>
        <v>0</v>
      </c>
      <c r="AA54" s="20" t="n">
        <f aca="false">Y54+Z54</f>
        <v>0</v>
      </c>
      <c r="AB54" s="20" t="n">
        <f aca="false">T54-Z54+V54*IF(Slot1_SpendLike=1,X54-Y54,IF(Slot1_PotFree=1,X54,0))</f>
        <v>0</v>
      </c>
      <c r="AC54" s="20" t="n">
        <f aca="false">AF54+V54*Slot1_BufPot*X54</f>
        <v>0</v>
      </c>
      <c r="AD54" s="20" t="n">
        <f aca="false">IF(AND(V54=1,Slot1_IsMfree=1),IF(AA54&gt;=Slot1_Cost-1,0,MAX(0,L54-AA54)),L54)</f>
        <v>0</v>
      </c>
      <c r="AE54" s="20" t="n">
        <f aca="false">V54*(Slot1_Cost-AA54)</f>
        <v>0</v>
      </c>
      <c r="AF54" s="20" t="n">
        <f aca="false">QL53</f>
        <v>0</v>
      </c>
      <c r="AG54" s="20" t="n">
        <f aca="false">IF(AND(Slot2_On=1,D54=Slot2_Age),1,0)</f>
        <v>0</v>
      </c>
      <c r="AH54" s="20" t="n">
        <f aca="false">IF(AND(Slot2_On=1,Slot2_Age&gt;D54),1,0)</f>
        <v>0</v>
      </c>
      <c r="AI54" s="20" t="n">
        <f aca="false">QQ53</f>
        <v>0</v>
      </c>
      <c r="AJ54" s="20" t="n">
        <f aca="false">AG54*MIN(Slot2_Cost,AI54)</f>
        <v>0</v>
      </c>
      <c r="AK54" s="20" t="n">
        <f aca="false">AG54*Slot2_SpendLike*MIN(Slot2_Cost-AJ54,AB54)</f>
        <v>0</v>
      </c>
      <c r="AL54" s="20" t="n">
        <f aca="false">AJ54+AK54</f>
        <v>0</v>
      </c>
      <c r="AM54" s="20" t="n">
        <f aca="false">AB54-AK54+AG54*IF(Slot2_SpendLike=1,AI54-AJ54,IF(Slot2_PotFree=1,AI54,0))</f>
        <v>0</v>
      </c>
      <c r="AN54" s="20" t="n">
        <f aca="false">AC54+AG54*Slot2_BufPot*AI54</f>
        <v>0</v>
      </c>
      <c r="AO54" s="20" t="n">
        <f aca="false">IF(AND(AG54=1,Slot2_IsMfree=1),IF(AL54&gt;=Slot2_Cost-1,0,MAX(0,AD54-AL54)),AD54)</f>
        <v>0</v>
      </c>
      <c r="AP54" s="20" t="n">
        <f aca="false">AG54*(Slot2_Cost-AL54)</f>
        <v>0</v>
      </c>
      <c r="AQ54" s="20" t="n">
        <f aca="false">IF(AND(Slot3_On=1,D54=Slot3_Age),1,0)</f>
        <v>0</v>
      </c>
      <c r="AR54" s="20" t="n">
        <f aca="false">IF(AND(Slot3_On=1,Slot3_Age&gt;D54),1,0)</f>
        <v>0</v>
      </c>
      <c r="AS54" s="20" t="n">
        <f aca="false">QU53</f>
        <v>0</v>
      </c>
      <c r="AT54" s="20" t="n">
        <f aca="false">AQ54*MIN(Slot3_Cost,AS54)</f>
        <v>0</v>
      </c>
      <c r="AU54" s="20" t="n">
        <f aca="false">AQ54*Slot3_SpendLike*MIN(Slot3_Cost-AT54,AM54)</f>
        <v>0</v>
      </c>
      <c r="AV54" s="20" t="n">
        <f aca="false">AT54+AU54</f>
        <v>0</v>
      </c>
      <c r="AW54" s="20" t="n">
        <f aca="false">AM54-AU54+AQ54*IF(Slot3_SpendLike=1,AS54-AT54,IF(Slot3_PotFree=1,AS54,0))</f>
        <v>0</v>
      </c>
      <c r="AX54" s="20" t="n">
        <f aca="false">AN54+AQ54*Slot3_BufPot*AS54</f>
        <v>0</v>
      </c>
      <c r="AY54" s="20" t="n">
        <f aca="false">IF(AND(AQ54=1,Slot3_IsMfree=1),IF(AV54&gt;=Slot3_Cost-1,0,MAX(0,AO54-AV54)),AO54)</f>
        <v>0</v>
      </c>
      <c r="AZ54" s="20" t="n">
        <f aca="false">AQ54*(Slot3_Cost-AV54)</f>
        <v>0</v>
      </c>
      <c r="BA54" s="20" t="n">
        <f aca="false">IF(AND(Slot4_On=1,D54=Slot4_Age),1,0)</f>
        <v>0</v>
      </c>
      <c r="BB54" s="20" t="n">
        <f aca="false">IF(AND(Slot4_On=1,Slot4_Age&gt;D54),1,0)</f>
        <v>0</v>
      </c>
      <c r="BC54" s="20" t="n">
        <f aca="false">QY53</f>
        <v>0</v>
      </c>
      <c r="BD54" s="20" t="n">
        <f aca="false">BA54*MIN(Slot4_Cost,BC54)</f>
        <v>0</v>
      </c>
      <c r="BE54" s="20" t="n">
        <f aca="false">BA54*Slot4_SpendLike*MIN(Slot4_Cost-BD54,AW54)</f>
        <v>0</v>
      </c>
      <c r="BF54" s="20" t="n">
        <f aca="false">BD54+BE54</f>
        <v>0</v>
      </c>
      <c r="BG54" s="20" t="n">
        <f aca="false">AW54-BE54+BA54*IF(Slot4_SpendLike=1,BC54-BD54,IF(Slot4_PotFree=1,BC54,0))</f>
        <v>0</v>
      </c>
      <c r="BH54" s="20" t="n">
        <f aca="false">AX54+BA54*Slot4_BufPot*BC54</f>
        <v>0</v>
      </c>
      <c r="BI54" s="20" t="n">
        <f aca="false">IF(AND(BA54=1,Slot4_IsMfree=1),IF(BF54&gt;=Slot4_Cost-1,0,MAX(0,AY54-BF54)),AY54)</f>
        <v>0</v>
      </c>
      <c r="BJ54" s="20" t="n">
        <f aca="false">BA54*(Slot4_Cost-BF54)</f>
        <v>0</v>
      </c>
      <c r="BK54" s="20" t="n">
        <f aca="false">IF(AND(Slot5_On=1,D54=Slot5_Age),1,0)</f>
        <v>0</v>
      </c>
      <c r="BL54" s="20" t="n">
        <f aca="false">IF(AND(Slot5_On=1,Slot5_Age&gt;D54),1,0)</f>
        <v>0</v>
      </c>
      <c r="BM54" s="20" t="n">
        <f aca="false">RC53</f>
        <v>0</v>
      </c>
      <c r="BN54" s="20" t="n">
        <f aca="false">BK54*MIN(Slot5_Cost,BM54)</f>
        <v>0</v>
      </c>
      <c r="BO54" s="20" t="n">
        <f aca="false">BK54*Slot5_SpendLike*MIN(Slot5_Cost-BN54,BG54)</f>
        <v>0</v>
      </c>
      <c r="BP54" s="20" t="n">
        <f aca="false">BN54+BO54</f>
        <v>0</v>
      </c>
      <c r="BQ54" s="20" t="n">
        <f aca="false">BG54-BO54+BK54*IF(Slot5_SpendLike=1,BM54-BN54,IF(Slot5_PotFree=1,BM54,0))</f>
        <v>0</v>
      </c>
      <c r="BR54" s="20" t="n">
        <f aca="false">BH54+BK54*Slot5_BufPot*BM54</f>
        <v>0</v>
      </c>
      <c r="BS54" s="20" t="n">
        <f aca="false">IF(AND(BK54=1,Slot5_IsMfree=1),IF(BP54&gt;=Slot5_Cost-1,0,MAX(0,BI54-BP54)),BI54)</f>
        <v>0</v>
      </c>
      <c r="BT54" s="20" t="n">
        <f aca="false">BK54*(Slot5_Cost-BP54)</f>
        <v>0</v>
      </c>
      <c r="BU54" s="20" t="n">
        <f aca="false">IF(AND(Slot6_On=1,D54=Slot6_Age),1,0)</f>
        <v>0</v>
      </c>
      <c r="BV54" s="20" t="n">
        <f aca="false">IF(AND(Slot6_On=1,Slot6_Age&gt;D54),1,0)</f>
        <v>0</v>
      </c>
      <c r="BW54" s="20" t="n">
        <f aca="false">RG53</f>
        <v>0</v>
      </c>
      <c r="BX54" s="20" t="n">
        <f aca="false">BU54*MIN(Slot6_Cost,BW54)</f>
        <v>0</v>
      </c>
      <c r="BY54" s="20" t="n">
        <f aca="false">BU54*Slot6_SpendLike*MIN(Slot6_Cost-BX54,BQ54)</f>
        <v>0</v>
      </c>
      <c r="BZ54" s="20" t="n">
        <f aca="false">BX54+BY54</f>
        <v>0</v>
      </c>
      <c r="CA54" s="20" t="n">
        <f aca="false">BQ54-BY54+BU54*IF(Slot6_SpendLike=1,BW54-BX54,IF(Slot6_PotFree=1,BW54,0))</f>
        <v>0</v>
      </c>
      <c r="CB54" s="20" t="n">
        <f aca="false">BR54+BU54*Slot6_BufPot*BW54</f>
        <v>0</v>
      </c>
      <c r="CC54" s="20" t="n">
        <f aca="false">IF(AND(BU54=1,Slot6_IsMfree=1),IF(BZ54&gt;=Slot6_Cost-1,0,MAX(0,BS54-BZ54)),BS54)</f>
        <v>0</v>
      </c>
      <c r="CD54" s="20" t="n">
        <f aca="false">BU54*(Slot6_Cost-BZ54)</f>
        <v>0</v>
      </c>
      <c r="CE54" s="20" t="n">
        <f aca="false">IF(AND(Slot7_On=1,D54=Slot7_Age),1,0)</f>
        <v>0</v>
      </c>
      <c r="CF54" s="20" t="n">
        <f aca="false">IF(AND(Slot7_On=1,Slot7_Age&gt;D54),1,0)</f>
        <v>0</v>
      </c>
      <c r="CG54" s="20" t="n">
        <f aca="false">RK53</f>
        <v>0</v>
      </c>
      <c r="CH54" s="20" t="n">
        <f aca="false">CE54*MIN(Slot7_Cost,CG54)</f>
        <v>0</v>
      </c>
      <c r="CI54" s="20" t="n">
        <f aca="false">CE54*Slot7_SpendLike*MIN(Slot7_Cost-CH54,CA54)</f>
        <v>0</v>
      </c>
      <c r="CJ54" s="20" t="n">
        <f aca="false">CH54+CI54</f>
        <v>0</v>
      </c>
      <c r="CK54" s="20" t="n">
        <f aca="false">CA54-CI54+CE54*IF(Slot7_SpendLike=1,CG54-CH54,IF(Slot7_PotFree=1,CG54,0))</f>
        <v>0</v>
      </c>
      <c r="CL54" s="20" t="n">
        <f aca="false">CB54+CE54*Slot7_BufPot*CG54</f>
        <v>0</v>
      </c>
      <c r="CM54" s="20" t="n">
        <f aca="false">IF(AND(CE54=1,Slot7_IsMfree=1),IF(CJ54&gt;=Slot7_Cost-1,0,MAX(0,CC54-CJ54)),CC54)</f>
        <v>0</v>
      </c>
      <c r="CN54" s="20" t="n">
        <f aca="false">CE54*(Slot7_Cost-CJ54)</f>
        <v>0</v>
      </c>
      <c r="CO54" s="20" t="n">
        <f aca="false">IF(AND(Slot8_On=1,D54=Slot8_Age),1,0)</f>
        <v>0</v>
      </c>
      <c r="CP54" s="20" t="n">
        <f aca="false">IF(AND(Slot8_On=1,Slot8_Age&gt;D54),1,0)</f>
        <v>0</v>
      </c>
      <c r="CQ54" s="20" t="n">
        <f aca="false">RO53</f>
        <v>0</v>
      </c>
      <c r="CR54" s="20" t="n">
        <f aca="false">CO54*MIN(Slot8_Cost,CQ54)</f>
        <v>0</v>
      </c>
      <c r="CS54" s="20" t="n">
        <f aca="false">CO54*Slot8_SpendLike*MIN(Slot8_Cost-CR54,CK54)</f>
        <v>0</v>
      </c>
      <c r="CT54" s="20" t="n">
        <f aca="false">CR54+CS54</f>
        <v>0</v>
      </c>
      <c r="CU54" s="20" t="n">
        <f aca="false">CK54-CS54+CO54*IF(Slot8_SpendLike=1,CQ54-CR54,IF(Slot8_PotFree=1,CQ54,0))</f>
        <v>0</v>
      </c>
      <c r="CV54" s="20" t="n">
        <f aca="false">CL54+CO54*Slot8_BufPot*CQ54</f>
        <v>0</v>
      </c>
      <c r="CW54" s="20" t="n">
        <f aca="false">IF(AND(CO54=1,Slot8_IsMfree=1),IF(CT54&gt;=Slot8_Cost-1,0,MAX(0,CM54-CT54)),CM54)</f>
        <v>0</v>
      </c>
      <c r="CX54" s="20" t="n">
        <f aca="false">CO54*(Slot8_Cost-CT54)</f>
        <v>0</v>
      </c>
      <c r="CY54" s="20" t="n">
        <f aca="false">IF(AND(Slot9_On=1,D54=Slot9_Age),1,0)</f>
        <v>0</v>
      </c>
      <c r="CZ54" s="20" t="n">
        <f aca="false">IF(AND(Slot9_On=1,Slot9_Age&gt;D54),1,0)</f>
        <v>0</v>
      </c>
      <c r="DA54" s="20" t="n">
        <f aca="false">RS53</f>
        <v>0</v>
      </c>
      <c r="DB54" s="20" t="n">
        <f aca="false">CY54*MIN(Slot9_Cost,DA54)</f>
        <v>0</v>
      </c>
      <c r="DC54" s="20" t="n">
        <f aca="false">CY54*Slot9_SpendLike*MIN(Slot9_Cost-DB54,CU54)</f>
        <v>0</v>
      </c>
      <c r="DD54" s="20" t="n">
        <f aca="false">DB54+DC54</f>
        <v>0</v>
      </c>
      <c r="DE54" s="20" t="n">
        <f aca="false">CU54-DC54+CY54*IF(Slot9_SpendLike=1,DA54-DB54,IF(Slot9_PotFree=1,DA54,0))</f>
        <v>0</v>
      </c>
      <c r="DF54" s="20" t="n">
        <f aca="false">CV54+CY54*Slot9_BufPot*DA54</f>
        <v>0</v>
      </c>
      <c r="DG54" s="20" t="n">
        <f aca="false">IF(AND(CY54=1,Slot9_IsMfree=1),IF(DD54&gt;=Slot9_Cost-1,0,MAX(0,CW54-DD54)),CW54)</f>
        <v>0</v>
      </c>
      <c r="DH54" s="20" t="n">
        <f aca="false">CY54*(Slot9_Cost-DD54)</f>
        <v>0</v>
      </c>
      <c r="DI54" s="20" t="n">
        <f aca="false">IF(AND(Slot10_On=1,D54=Slot10_Age),1,0)</f>
        <v>0</v>
      </c>
      <c r="DJ54" s="20" t="n">
        <f aca="false">IF(AND(Slot10_On=1,Slot10_Age&gt;D54),1,0)</f>
        <v>0</v>
      </c>
      <c r="DK54" s="20" t="n">
        <f aca="false">RW53</f>
        <v>0</v>
      </c>
      <c r="DL54" s="20" t="n">
        <f aca="false">DI54*MIN(Slot10_Cost,DK54)</f>
        <v>0</v>
      </c>
      <c r="DM54" s="20" t="n">
        <f aca="false">DI54*Slot10_SpendLike*MIN(Slot10_Cost-DL54,DE54)</f>
        <v>0</v>
      </c>
      <c r="DN54" s="20" t="n">
        <f aca="false">DL54+DM54</f>
        <v>0</v>
      </c>
      <c r="DO54" s="20" t="n">
        <f aca="false">DE54-DM54+DI54*IF(Slot10_SpendLike=1,DK54-DL54,IF(Slot10_PotFree=1,DK54,0))</f>
        <v>0</v>
      </c>
      <c r="DP54" s="20" t="n">
        <f aca="false">DF54+DI54*Slot10_BufPot*DK54</f>
        <v>0</v>
      </c>
      <c r="DQ54" s="20" t="n">
        <f aca="false">IF(AND(DI54=1,Slot10_IsMfree=1),IF(DN54&gt;=Slot10_Cost-1,0,MAX(0,DG54-DN54)),DG54)</f>
        <v>0</v>
      </c>
      <c r="DR54" s="20" t="n">
        <f aca="false">DI54*(Slot10_Cost-DN54)</f>
        <v>0</v>
      </c>
      <c r="DS54" s="20" t="n">
        <f aca="false">IF(AND(Slot11_On=1,D54=Slot11_Age),1,0)</f>
        <v>0</v>
      </c>
      <c r="DT54" s="20" t="n">
        <f aca="false">IF(AND(Slot11_On=1,Slot11_Age&gt;D54),1,0)</f>
        <v>0</v>
      </c>
      <c r="DU54" s="20" t="n">
        <f aca="false">SA53</f>
        <v>0</v>
      </c>
      <c r="DV54" s="20" t="n">
        <f aca="false">DS54*MIN(Slot11_Cost,DU54)</f>
        <v>0</v>
      </c>
      <c r="DW54" s="20" t="n">
        <f aca="false">DS54*Slot11_SpendLike*MIN(Slot11_Cost-DV54,DO54)</f>
        <v>0</v>
      </c>
      <c r="DX54" s="20" t="n">
        <f aca="false">DV54+DW54</f>
        <v>0</v>
      </c>
      <c r="DY54" s="20" t="n">
        <f aca="false">DO54-DW54+DS54*IF(Slot11_SpendLike=1,DU54-DV54,IF(Slot11_PotFree=1,DU54,0))</f>
        <v>0</v>
      </c>
      <c r="DZ54" s="20" t="n">
        <f aca="false">DP54+DS54*Slot11_BufPot*DU54</f>
        <v>0</v>
      </c>
      <c r="EA54" s="20" t="n">
        <f aca="false">IF(AND(DS54=1,Slot11_IsMfree=1),IF(DX54&gt;=Slot11_Cost-1,0,MAX(0,DQ54-DX54)),DQ54)</f>
        <v>0</v>
      </c>
      <c r="EB54" s="20" t="n">
        <f aca="false">DS54*(Slot11_Cost-DX54)</f>
        <v>0</v>
      </c>
      <c r="EC54" s="20" t="n">
        <f aca="false">IF(AND(Slot12_On=1,D54=Slot12_Age),1,0)</f>
        <v>0</v>
      </c>
      <c r="ED54" s="20" t="n">
        <f aca="false">IF(AND(Slot12_On=1,Slot12_Age&gt;D54),1,0)</f>
        <v>0</v>
      </c>
      <c r="EE54" s="20" t="n">
        <f aca="false">SE53</f>
        <v>0</v>
      </c>
      <c r="EF54" s="20" t="n">
        <f aca="false">EC54*MIN(Slot12_Cost,EE54)</f>
        <v>0</v>
      </c>
      <c r="EG54" s="20" t="n">
        <f aca="false">EC54*Slot12_SpendLike*MIN(Slot12_Cost-EF54,DY54)</f>
        <v>0</v>
      </c>
      <c r="EH54" s="20" t="n">
        <f aca="false">EF54+EG54</f>
        <v>0</v>
      </c>
      <c r="EI54" s="20" t="n">
        <f aca="false">DY54-EG54+EC54*IF(Slot12_SpendLike=1,EE54-EF54,IF(Slot12_PotFree=1,EE54,0))</f>
        <v>0</v>
      </c>
      <c r="EJ54" s="20" t="n">
        <f aca="false">DZ54+EC54*Slot12_BufPot*EE54</f>
        <v>0</v>
      </c>
      <c r="EK54" s="20" t="n">
        <f aca="false">IF(AND(EC54=1,Slot12_IsMfree=1),IF(EH54&gt;=Slot12_Cost-1,0,MAX(0,EA54-EH54)),EA54)</f>
        <v>0</v>
      </c>
      <c r="EL54" s="20" t="n">
        <f aca="false">EC54*(Slot12_Cost-EH54)</f>
        <v>0</v>
      </c>
      <c r="EM54" s="20" t="n">
        <f aca="false">IF(AND(Slot13_On=1,D54=Slot13_Age),1,0)</f>
        <v>0</v>
      </c>
      <c r="EN54" s="20" t="n">
        <f aca="false">IF(AND(Slot13_On=1,Slot13_Age&gt;D54),1,0)</f>
        <v>0</v>
      </c>
      <c r="EO54" s="20" t="n">
        <f aca="false">SI53</f>
        <v>0</v>
      </c>
      <c r="EP54" s="20" t="n">
        <f aca="false">EM54*MIN(Slot13_Cost,EO54)</f>
        <v>0</v>
      </c>
      <c r="EQ54" s="20" t="n">
        <f aca="false">EM54*Slot13_SpendLike*MIN(Slot13_Cost-EP54,EI54)</f>
        <v>0</v>
      </c>
      <c r="ER54" s="20" t="n">
        <f aca="false">EP54+EQ54</f>
        <v>0</v>
      </c>
      <c r="ES54" s="20" t="n">
        <f aca="false">EI54-EQ54+EM54*IF(Slot13_SpendLike=1,EO54-EP54,IF(Slot13_PotFree=1,EO54,0))</f>
        <v>0</v>
      </c>
      <c r="ET54" s="20" t="n">
        <f aca="false">EJ54+EM54*Slot13_BufPot*EO54</f>
        <v>0</v>
      </c>
      <c r="EU54" s="20" t="n">
        <f aca="false">IF(AND(EM54=1,Slot13_IsMfree=1),IF(ER54&gt;=Slot13_Cost-1,0,MAX(0,EK54-ER54)),EK54)</f>
        <v>0</v>
      </c>
      <c r="EV54" s="20" t="n">
        <f aca="false">EM54*(Slot13_Cost-ER54)</f>
        <v>0</v>
      </c>
      <c r="EW54" s="20" t="n">
        <f aca="false">IF(AND(Slot14_On=1,D54=Slot14_Age),1,0)</f>
        <v>0</v>
      </c>
      <c r="EX54" s="20" t="n">
        <f aca="false">IF(AND(Slot14_On=1,Slot14_Age&gt;D54),1,0)</f>
        <v>0</v>
      </c>
      <c r="EY54" s="20" t="n">
        <f aca="false">SM53</f>
        <v>0</v>
      </c>
      <c r="EZ54" s="20" t="n">
        <f aca="false">EW54*MIN(Slot14_Cost,EY54)</f>
        <v>0</v>
      </c>
      <c r="FA54" s="20" t="n">
        <f aca="false">EW54*Slot14_SpendLike*MIN(Slot14_Cost-EZ54,ES54)</f>
        <v>0</v>
      </c>
      <c r="FB54" s="20" t="n">
        <f aca="false">EZ54+FA54</f>
        <v>0</v>
      </c>
      <c r="FC54" s="20" t="n">
        <f aca="false">ES54-FA54+EW54*IF(Slot14_SpendLike=1,EY54-EZ54,IF(Slot14_PotFree=1,EY54,0))</f>
        <v>0</v>
      </c>
      <c r="FD54" s="20" t="n">
        <f aca="false">ET54+EW54*Slot14_BufPot*EY54</f>
        <v>0</v>
      </c>
      <c r="FE54" s="20" t="n">
        <f aca="false">IF(AND(EW54=1,Slot14_IsMfree=1),IF(FB54&gt;=Slot14_Cost-1,0,MAX(0,EU54-FB54)),EU54)</f>
        <v>0</v>
      </c>
      <c r="FF54" s="20" t="n">
        <f aca="false">EW54*(Slot14_Cost-FB54)</f>
        <v>0</v>
      </c>
      <c r="FG54" s="20" t="n">
        <f aca="false">IF(AND(Slot15_On=1,D54=Slot15_Age),1,0)</f>
        <v>0</v>
      </c>
      <c r="FH54" s="20" t="n">
        <f aca="false">IF(AND(Slot15_On=1,Slot15_Age&gt;D54),1,0)</f>
        <v>0</v>
      </c>
      <c r="FI54" s="20" t="n">
        <f aca="false">SQ53</f>
        <v>0</v>
      </c>
      <c r="FJ54" s="20" t="n">
        <f aca="false">FG54*MIN(Slot15_Cost,FI54)</f>
        <v>0</v>
      </c>
      <c r="FK54" s="20" t="n">
        <f aca="false">FG54*Slot15_SpendLike*MIN(Slot15_Cost-FJ54,FC54)</f>
        <v>0</v>
      </c>
      <c r="FL54" s="20" t="n">
        <f aca="false">FJ54+FK54</f>
        <v>0</v>
      </c>
      <c r="FM54" s="20" t="n">
        <f aca="false">FC54-FK54+FG54*IF(Slot15_SpendLike=1,FI54-FJ54,IF(Slot15_PotFree=1,FI54,0))</f>
        <v>0</v>
      </c>
      <c r="FN54" s="20" t="n">
        <f aca="false">FD54+FG54*Slot15_BufPot*FI54</f>
        <v>0</v>
      </c>
      <c r="FO54" s="20" t="n">
        <f aca="false">IF(AND(FG54=1,Slot15_IsMfree=1),IF(FL54&gt;=Slot15_Cost-1,0,MAX(0,FE54-FL54)),FE54)</f>
        <v>0</v>
      </c>
      <c r="FP54" s="20" t="n">
        <f aca="false">FG54*(Slot15_Cost-FL54)</f>
        <v>0</v>
      </c>
      <c r="FQ54" s="20" t="n">
        <f aca="false">IF(AND(Slot16_On=1,D54=Slot16_Age),1,0)</f>
        <v>0</v>
      </c>
      <c r="FR54" s="20" t="n">
        <f aca="false">IF(AND(Slot16_On=1,Slot16_Age&gt;D54),1,0)</f>
        <v>0</v>
      </c>
      <c r="FS54" s="20" t="n">
        <f aca="false">SU53</f>
        <v>0</v>
      </c>
      <c r="FT54" s="20" t="n">
        <f aca="false">FQ54*MIN(Slot16_Cost,FS54)</f>
        <v>0</v>
      </c>
      <c r="FU54" s="20" t="n">
        <f aca="false">FQ54*Slot16_SpendLike*MIN(Slot16_Cost-FT54,FM54)</f>
        <v>0</v>
      </c>
      <c r="FV54" s="20" t="n">
        <f aca="false">FT54+FU54</f>
        <v>0</v>
      </c>
      <c r="FW54" s="20" t="n">
        <f aca="false">FM54-FU54+FQ54*IF(Slot16_SpendLike=1,FS54-FT54,IF(Slot16_PotFree=1,FS54,0))</f>
        <v>0</v>
      </c>
      <c r="FX54" s="20" t="n">
        <f aca="false">FN54+FQ54*Slot16_BufPot*FS54</f>
        <v>0</v>
      </c>
      <c r="FY54" s="20" t="n">
        <f aca="false">IF(AND(FQ54=1,Slot16_IsMfree=1),IF(FV54&gt;=Slot16_Cost-1,0,MAX(0,FO54-FV54)),FO54)</f>
        <v>0</v>
      </c>
      <c r="FZ54" s="20" t="n">
        <f aca="false">FQ54*(Slot16_Cost-FV54)</f>
        <v>0</v>
      </c>
      <c r="GA54" s="20" t="n">
        <f aca="false">IF(AND(Slot17_On=1,D54=Slot17_Age),1,0)</f>
        <v>0</v>
      </c>
      <c r="GB54" s="20" t="n">
        <f aca="false">IF(AND(Slot17_On=1,Slot17_Age&gt;D54),1,0)</f>
        <v>0</v>
      </c>
      <c r="GC54" s="20" t="n">
        <f aca="false">SY53</f>
        <v>0</v>
      </c>
      <c r="GD54" s="20" t="n">
        <f aca="false">GA54*MIN(Slot17_Cost,GC54)</f>
        <v>0</v>
      </c>
      <c r="GE54" s="20" t="n">
        <f aca="false">GA54*Slot17_SpendLike*MIN(Slot17_Cost-GD54,FW54)</f>
        <v>0</v>
      </c>
      <c r="GF54" s="20" t="n">
        <f aca="false">GD54+GE54</f>
        <v>0</v>
      </c>
      <c r="GG54" s="20" t="n">
        <f aca="false">FW54-GE54+GA54*IF(Slot17_SpendLike=1,GC54-GD54,IF(Slot17_PotFree=1,GC54,0))</f>
        <v>0</v>
      </c>
      <c r="GH54" s="20" t="n">
        <f aca="false">FX54+GA54*Slot17_BufPot*GC54</f>
        <v>0</v>
      </c>
      <c r="GI54" s="20" t="n">
        <f aca="false">IF(AND(GA54=1,Slot17_IsMfree=1),IF(GF54&gt;=Slot17_Cost-1,0,MAX(0,FY54-GF54)),FY54)</f>
        <v>0</v>
      </c>
      <c r="GJ54" s="20" t="n">
        <f aca="false">GA54*(Slot17_Cost-GF54)</f>
        <v>0</v>
      </c>
      <c r="GK54" s="20" t="n">
        <f aca="false">IF(AND(Slot18_On=1,D54=Slot18_Age),1,0)</f>
        <v>0</v>
      </c>
      <c r="GL54" s="20" t="n">
        <f aca="false">IF(AND(Slot18_On=1,Slot18_Age&gt;D54),1,0)</f>
        <v>0</v>
      </c>
      <c r="GM54" s="20" t="n">
        <f aca="false">TC53</f>
        <v>0</v>
      </c>
      <c r="GN54" s="20" t="n">
        <f aca="false">GK54*MIN(Slot18_Cost,GM54)</f>
        <v>0</v>
      </c>
      <c r="GO54" s="20" t="n">
        <f aca="false">GK54*Slot18_SpendLike*MIN(Slot18_Cost-GN54,GG54)</f>
        <v>0</v>
      </c>
      <c r="GP54" s="20" t="n">
        <f aca="false">GN54+GO54</f>
        <v>0</v>
      </c>
      <c r="GQ54" s="20" t="n">
        <f aca="false">GG54-GO54+GK54*IF(Slot18_SpendLike=1,GM54-GN54,IF(Slot18_PotFree=1,GM54,0))</f>
        <v>0</v>
      </c>
      <c r="GR54" s="20" t="n">
        <f aca="false">GH54+GK54*Slot18_BufPot*GM54</f>
        <v>0</v>
      </c>
      <c r="GS54" s="20" t="n">
        <f aca="false">IF(AND(GK54=1,Slot18_IsMfree=1),IF(GP54&gt;=Slot18_Cost-1,0,MAX(0,GI54-GP54)),GI54)</f>
        <v>0</v>
      </c>
      <c r="GT54" s="20" t="n">
        <f aca="false">GK54*(Slot18_Cost-GP54)</f>
        <v>0</v>
      </c>
      <c r="GU54" s="20" t="n">
        <f aca="false">IF(AND(Slot19_On=1,D54=Slot19_Age),1,0)</f>
        <v>0</v>
      </c>
      <c r="GV54" s="20" t="n">
        <f aca="false">IF(AND(Slot19_On=1,Slot19_Age&gt;D54),1,0)</f>
        <v>0</v>
      </c>
      <c r="GW54" s="20" t="n">
        <f aca="false">TG53</f>
        <v>0</v>
      </c>
      <c r="GX54" s="20" t="n">
        <f aca="false">GU54*MIN(Slot19_Cost,GW54)</f>
        <v>0</v>
      </c>
      <c r="GY54" s="20" t="n">
        <f aca="false">GU54*Slot19_SpendLike*MIN(Slot19_Cost-GX54,GQ54)</f>
        <v>0</v>
      </c>
      <c r="GZ54" s="20" t="n">
        <f aca="false">GX54+GY54</f>
        <v>0</v>
      </c>
      <c r="HA54" s="20" t="n">
        <f aca="false">GQ54-GY54+GU54*IF(Slot19_SpendLike=1,GW54-GX54,IF(Slot19_PotFree=1,GW54,0))</f>
        <v>0</v>
      </c>
      <c r="HB54" s="20" t="n">
        <f aca="false">GR54+GU54*Slot19_BufPot*GW54</f>
        <v>0</v>
      </c>
      <c r="HC54" s="20" t="n">
        <f aca="false">IF(AND(GU54=1,Slot19_IsMfree=1),IF(GZ54&gt;=Slot19_Cost-1,0,MAX(0,GS54-GZ54)),GS54)</f>
        <v>0</v>
      </c>
      <c r="HD54" s="20" t="n">
        <f aca="false">GU54*(Slot19_Cost-GZ54)</f>
        <v>0</v>
      </c>
      <c r="HE54" s="20" t="n">
        <f aca="false">IF(AND(Slot20_On=1,D54=Slot20_Age),1,0)</f>
        <v>0</v>
      </c>
      <c r="HF54" s="20" t="n">
        <f aca="false">IF(AND(Slot20_On=1,Slot20_Age&gt;D54),1,0)</f>
        <v>0</v>
      </c>
      <c r="HG54" s="20" t="n">
        <f aca="false">TK53</f>
        <v>0</v>
      </c>
      <c r="HH54" s="20" t="n">
        <f aca="false">HE54*MIN(Slot20_Cost,HG54)</f>
        <v>0</v>
      </c>
      <c r="HI54" s="20" t="n">
        <f aca="false">HE54*Slot20_SpendLike*MIN(Slot20_Cost-HH54,HA54)</f>
        <v>0</v>
      </c>
      <c r="HJ54" s="20" t="n">
        <f aca="false">HH54+HI54</f>
        <v>0</v>
      </c>
      <c r="HK54" s="20" t="n">
        <f aca="false">HA54-HI54+HE54*IF(Slot20_SpendLike=1,HG54-HH54,IF(Slot20_PotFree=1,HG54,0))</f>
        <v>0</v>
      </c>
      <c r="HL54" s="20" t="n">
        <f aca="false">HB54+HE54*Slot20_BufPot*HG54</f>
        <v>0</v>
      </c>
      <c r="HM54" s="20" t="n">
        <f aca="false">IF(AND(HE54=1,Slot20_IsMfree=1),IF(HJ54&gt;=Slot20_Cost-1,0,MAX(0,HC54-HJ54)),HC54)</f>
        <v>0</v>
      </c>
      <c r="HN54" s="20" t="n">
        <f aca="false">HE54*(Slot20_Cost-HJ54)</f>
        <v>0</v>
      </c>
      <c r="HO54" s="20" t="n">
        <f aca="false">V54*Slot1_SpendLike*AA54+AG54*Slot2_SpendLike*AL54+AQ54*Slot3_SpendLike*AV54+BA54*Slot4_SpendLike*BF54+BK54*Slot5_SpendLike*BP54+BU54*Slot6_SpendLike*BZ54+CE54*Slot7_SpendLike*CJ54+CO54*Slot8_SpendLike*CT54+CY54*Slot9_SpendLike*DD54+DI54*Slot10_SpendLike*DN54+DS54*Slot11_SpendLike*DX54+EC54*Slot12_SpendLike*EH54+EM54*Slot13_SpendLike*ER54+EW54*Slot14_SpendLike*FB54+FG54*Slot15_SpendLike*FL54+FQ54*Slot16_SpendLike*FV54+GA54*Slot17_SpendLike*GF54+GK54*Slot18_SpendLike*GP54+GU54*Slot19_SpendLike*GZ54+HE54*Slot20_SpendLike*HJ54</f>
        <v>0</v>
      </c>
      <c r="HP54" s="20" t="n">
        <f aca="false">AE54+AP54+AZ54+BJ54+BT54+CD54+CN54+CX54+DH54+DR54+EB54+EL54+EV54+FF54+FP54+FZ54+GJ54+GT54+HD54+HN54</f>
        <v>0</v>
      </c>
      <c r="HQ54" s="20" t="n">
        <f aca="false">V54*Slot1_Cost+AG54*Slot2_Cost+AQ54*Slot3_Cost+BA54*Slot4_Cost+BK54*Slot5_Cost+BU54*Slot6_Cost+CE54*Slot7_Cost+CO54*Slot8_Cost+CY54*Slot9_Cost+DI54*Slot10_Cost+DS54*Slot11_Cost+EC54*Slot12_Cost+EM54*Slot13_Cost+EW54*Slot14_Cost+FG54*Slot15_Cost+FQ54*Slot16_Cost+GA54*Slot17_Cost+GK54*Slot18_Cost+GU54*Slot19_Cost+HE54*Slot20_Cost</f>
        <v>0</v>
      </c>
      <c r="HR54" s="20" t="n">
        <f aca="false">HM54</f>
        <v>0</v>
      </c>
      <c r="HS54" s="20" t="n">
        <f aca="false">H54-I54-S54</f>
        <v>-26217.5085613345</v>
      </c>
      <c r="HT54" s="20" t="n">
        <f aca="false">IF(B54=0,IF(AND(Has_q6=1,In_q6=4),PR_ShareVaries*(MAX(0,HS54)/12),MIN(IF(Has_q6=1,CHOOSE(In_q6+1,PR_SaveB1,PR_SaveB2,PR_SaveB3,PR_SaveB4,0),AS_NoAnswer),AS_SaveShare*(MAX(0,HS54)/12))),HT53)</f>
        <v>62.3316893520437</v>
      </c>
      <c r="HU54" s="20" t="n">
        <f aca="false">IF(HS54&gt;=0,1,0)</f>
        <v>0</v>
      </c>
      <c r="HV54" s="20" t="n">
        <f aca="false">MAX(0,HS54/12/F54)</f>
        <v>0</v>
      </c>
      <c r="HW54" s="20" t="n">
        <f aca="false">IF(AND(Has_q6=1,In_q6=4),PR_ShareVaries*(HV54),MIN(IF(Has_q6=1,CHOOSE(In_q6+1,PR_SaveB1,PR_SaveB2,PR_SaveB3,PR_SaveB4,0),AS_NoAnswer),AS_SaveShare*(HV54)))</f>
        <v>0</v>
      </c>
      <c r="HX54" s="20" t="n">
        <f aca="false">IF(Has_saveM=1,IF(In_saveUp="Yes",1,IF(In_saveUp="No",0,IF(In_saveM&gt;=HT54-0.5,1,0))),0)</f>
        <v>0</v>
      </c>
      <c r="HY54" s="20" t="n">
        <f aca="false">IF(Has_saveM=1,MIN(HV54,IF(HX54=1,MAX(In_saveM,HW54),MIN(In_saveM,HW54))),HW54)</f>
        <v>0</v>
      </c>
      <c r="HZ54" s="20" t="n">
        <f aca="false">IF(G54=1,HY54*12*F54,0)</f>
        <v>0</v>
      </c>
      <c r="IA54" s="20" t="n">
        <f aca="false">MAX(0,HZ54+IF(AND(WI_Retire=0,WI_M&lt;0,G54=1),WI_M*12*F54,0))</f>
        <v>0</v>
      </c>
      <c r="IB54" s="20" t="n">
        <f aca="false">Slot1_IsWG*W54+Slot2_IsWG*AH54+Slot3_IsWG*AR54+Slot4_IsWG*BB54+Slot5_IsWG*BL54+Slot6_IsWG*BV54+Slot7_IsWG*CF54+Slot8_IsWG*CP54+Slot9_IsWG*CZ54+Slot10_IsWG*DJ54+Slot11_IsWG*DT54+Slot12_IsWG*ED54+Slot13_IsWG*EN54+Slot14_IsWG*EX54+Slot15_IsWG*FH54+Slot16_IsWG*FR54+Slot17_IsWG*GB54+Slot18_IsWG*GL54+Slot19_IsWG*GV54+Slot20_IsWG*HF54</f>
        <v>0</v>
      </c>
      <c r="IC54" s="20" t="n">
        <f aca="false">IF(AND(WI_Retire=0,WI_M&gt;0,G54=1,IB54&gt;=1),WI_M*12*F54,0)</f>
        <v>0</v>
      </c>
      <c r="ID54" s="20" t="n">
        <f aca="false">IF(HU54=1,MIN(IA54,HS54),0)</f>
        <v>0</v>
      </c>
      <c r="IE54" s="20" t="n">
        <f aca="false">IF(HU54=1,MIN(IC54,HS54-ID54),0)</f>
        <v>0</v>
      </c>
      <c r="IF54" s="20" t="n">
        <f aca="false">IF(W54=1,IF(ABS((1+AS_Wage)/(1+Slot1_Rate)-1)&lt;0.000000000001,(Slot1_Age-D54)*(1+Slot1_Rate)^(Slot1_Age-D54),(1+Slot1_Rate)^(Slot1_Age-D54)*(1-((1+AS_Wage)/(1+Slot1_Rate))^(Slot1_Age-D54))/(1-(1+AS_Wage)/(1+Slot1_Rate))),1)</f>
        <v>1</v>
      </c>
      <c r="IG54" s="20" t="n">
        <f aca="false">IF(AND(HU54=1,IE54&gt;0,Slot1_IsWG=1,W54=1),MAX(0,(Slot1_Cost-X54*(1+Slot1_Rate)^(Slot1_Age-D54))/IF54),0)</f>
        <v>0</v>
      </c>
      <c r="IH54" s="20" t="n">
        <f aca="false">IF(AND(HU54=1,IE54&gt;0,Slot1_IsWG=1,W54=1),MIN(IE54,IG54),0)</f>
        <v>0</v>
      </c>
      <c r="II54" s="20" t="n">
        <f aca="false">X54+IH54</f>
        <v>0</v>
      </c>
      <c r="IJ54" s="20" t="n">
        <f aca="false">IF(W54=1,MAX(0,(Slot1_Cost-II54*(1+Slot1_Rate)^(Slot1_Age-D54))/IF54),0)</f>
        <v>0</v>
      </c>
      <c r="IK54" s="20" t="n">
        <f aca="false">IF(W54=1,MAX(0,(Slot1_Cost-X54*(1+Slot1_Rate)^(Slot1_Age-D54))/IF54),0)</f>
        <v>0</v>
      </c>
      <c r="IL54" s="20" t="n">
        <f aca="false">IF(AND(HU54=1,W54=1),MIN(ID54,IJ54),0)</f>
        <v>0</v>
      </c>
      <c r="IM54" s="20" t="n">
        <f aca="false">ID54-IL54</f>
        <v>0</v>
      </c>
      <c r="IN54" s="20" t="n">
        <f aca="false">IF(AH54=1,IF(ABS((1+AS_Wage)/(1+Slot2_Rate)-1)&lt;0.000000000001,(Slot2_Age-D54)*(1+Slot2_Rate)^(Slot2_Age-D54),(1+Slot2_Rate)^(Slot2_Age-D54)*(1-((1+AS_Wage)/(1+Slot2_Rate))^(Slot2_Age-D54))/(1-(1+AS_Wage)/(1+Slot2_Rate))),1)</f>
        <v>1</v>
      </c>
      <c r="IO54" s="20" t="n">
        <f aca="false">IF(AND(HU54=1,IE54&gt;0,Slot2_IsWG=1,AH54=1),MAX(0,(Slot2_Cost-AI54*(1+Slot2_Rate)^(Slot2_Age-D54))/IN54),0)</f>
        <v>0</v>
      </c>
      <c r="IP54" s="20" t="n">
        <f aca="false">IF(AND(HU54=1,IE54&gt;0,Slot2_IsWG=1,AH54=1),MIN(IE54,IO54),0)</f>
        <v>0</v>
      </c>
      <c r="IQ54" s="20" t="n">
        <f aca="false">AI54+IP54</f>
        <v>0</v>
      </c>
      <c r="IR54" s="20" t="n">
        <f aca="false">IF(AH54=1,MAX(0,(Slot2_Cost-IQ54*(1+Slot2_Rate)^(Slot2_Age-D54))/IN54),0)</f>
        <v>0</v>
      </c>
      <c r="IS54" s="20" t="n">
        <f aca="false">IF(AH54=1,MAX(0,(Slot2_Cost-AI54*(1+Slot2_Rate)^(Slot2_Age-D54))/IN54),0)</f>
        <v>0</v>
      </c>
      <c r="IT54" s="20" t="n">
        <f aca="false">IF(AND(HU54=1,AH54=1),MIN(IM54,IR54),0)</f>
        <v>0</v>
      </c>
      <c r="IU54" s="20" t="n">
        <f aca="false">IM54-IT54</f>
        <v>0</v>
      </c>
      <c r="IV54" s="20" t="n">
        <f aca="false">IF(AR54=1,IF(ABS((1+AS_Wage)/(1+Slot3_Rate)-1)&lt;0.000000000001,(Slot3_Age-D54)*(1+Slot3_Rate)^(Slot3_Age-D54),(1+Slot3_Rate)^(Slot3_Age-D54)*(1-((1+AS_Wage)/(1+Slot3_Rate))^(Slot3_Age-D54))/(1-(1+AS_Wage)/(1+Slot3_Rate))),1)</f>
        <v>1</v>
      </c>
      <c r="IW54" s="20" t="n">
        <f aca="false">IF(AND(HU54=1,IE54&gt;0,Slot3_IsWG=1,AR54=1),MAX(0,(Slot3_Cost-AS54*(1+Slot3_Rate)^(Slot3_Age-D54))/IV54),0)</f>
        <v>0</v>
      </c>
      <c r="IX54" s="20" t="n">
        <f aca="false">IF(AND(HU54=1,IE54&gt;0,Slot3_IsWG=1,AR54=1),MIN(IE54,IW54),0)</f>
        <v>0</v>
      </c>
      <c r="IY54" s="20" t="n">
        <f aca="false">AS54+IX54</f>
        <v>0</v>
      </c>
      <c r="IZ54" s="20" t="n">
        <f aca="false">IF(AR54=1,MAX(0,(Slot3_Cost-IY54*(1+Slot3_Rate)^(Slot3_Age-D54))/IV54),0)</f>
        <v>0</v>
      </c>
      <c r="JA54" s="20" t="n">
        <f aca="false">IF(AR54=1,MAX(0,(Slot3_Cost-AS54*(1+Slot3_Rate)^(Slot3_Age-D54))/IV54),0)</f>
        <v>0</v>
      </c>
      <c r="JB54" s="20" t="n">
        <f aca="false">IF(AND(HU54=1,AR54=1),MIN(IU54,IZ54),0)</f>
        <v>0</v>
      </c>
      <c r="JC54" s="20" t="n">
        <f aca="false">IU54-JB54</f>
        <v>0</v>
      </c>
      <c r="JD54" s="20" t="n">
        <f aca="false">IF(BB54=1,IF(ABS((1+AS_Wage)/(1+Slot4_Rate)-1)&lt;0.000000000001,(Slot4_Age-D54)*(1+Slot4_Rate)^(Slot4_Age-D54),(1+Slot4_Rate)^(Slot4_Age-D54)*(1-((1+AS_Wage)/(1+Slot4_Rate))^(Slot4_Age-D54))/(1-(1+AS_Wage)/(1+Slot4_Rate))),1)</f>
        <v>1</v>
      </c>
      <c r="JE54" s="20" t="n">
        <f aca="false">IF(AND(HU54=1,IE54&gt;0,Slot4_IsWG=1,BB54=1),MAX(0,(Slot4_Cost-BC54*(1+Slot4_Rate)^(Slot4_Age-D54))/JD54),0)</f>
        <v>0</v>
      </c>
      <c r="JF54" s="20" t="n">
        <f aca="false">IF(AND(HU54=1,IE54&gt;0,Slot4_IsWG=1,BB54=1),MIN(IE54,JE54),0)</f>
        <v>0</v>
      </c>
      <c r="JG54" s="20" t="n">
        <f aca="false">BC54+JF54</f>
        <v>0</v>
      </c>
      <c r="JH54" s="20" t="n">
        <f aca="false">IF(BB54=1,MAX(0,(Slot4_Cost-JG54*(1+Slot4_Rate)^(Slot4_Age-D54))/JD54),0)</f>
        <v>0</v>
      </c>
      <c r="JI54" s="20" t="n">
        <f aca="false">IF(BB54=1,MAX(0,(Slot4_Cost-BC54*(1+Slot4_Rate)^(Slot4_Age-D54))/JD54),0)</f>
        <v>0</v>
      </c>
      <c r="JJ54" s="20" t="n">
        <f aca="false">IF(AND(HU54=1,BB54=1),MIN(JC54,JH54),0)</f>
        <v>0</v>
      </c>
      <c r="JK54" s="20" t="n">
        <f aca="false">JC54-JJ54</f>
        <v>0</v>
      </c>
      <c r="JL54" s="20" t="n">
        <f aca="false">IF(BL54=1,IF(ABS((1+AS_Wage)/(1+Slot5_Rate)-1)&lt;0.000000000001,(Slot5_Age-D54)*(1+Slot5_Rate)^(Slot5_Age-D54),(1+Slot5_Rate)^(Slot5_Age-D54)*(1-((1+AS_Wage)/(1+Slot5_Rate))^(Slot5_Age-D54))/(1-(1+AS_Wage)/(1+Slot5_Rate))),1)</f>
        <v>1</v>
      </c>
      <c r="JM54" s="20" t="n">
        <f aca="false">IF(AND(HU54=1,IE54&gt;0,Slot5_IsWG=1,BL54=1),MAX(0,(Slot5_Cost-BM54*(1+Slot5_Rate)^(Slot5_Age-D54))/JL54),0)</f>
        <v>0</v>
      </c>
      <c r="JN54" s="20" t="n">
        <f aca="false">IF(AND(HU54=1,IE54&gt;0,Slot5_IsWG=1,BL54=1),MIN(IE54,JM54),0)</f>
        <v>0</v>
      </c>
      <c r="JO54" s="20" t="n">
        <f aca="false">BM54+JN54</f>
        <v>0</v>
      </c>
      <c r="JP54" s="20" t="n">
        <f aca="false">IF(BL54=1,MAX(0,(Slot5_Cost-JO54*(1+Slot5_Rate)^(Slot5_Age-D54))/JL54),0)</f>
        <v>0</v>
      </c>
      <c r="JQ54" s="20" t="n">
        <f aca="false">IF(BL54=1,MAX(0,(Slot5_Cost-BM54*(1+Slot5_Rate)^(Slot5_Age-D54))/JL54),0)</f>
        <v>0</v>
      </c>
      <c r="JR54" s="20" t="n">
        <f aca="false">IF(AND(HU54=1,BL54=1),MIN(JK54,JP54),0)</f>
        <v>0</v>
      </c>
      <c r="JS54" s="20" t="n">
        <f aca="false">JK54-JR54</f>
        <v>0</v>
      </c>
      <c r="JT54" s="20" t="n">
        <f aca="false">IF(BV54=1,IF(ABS((1+AS_Wage)/(1+Slot6_Rate)-1)&lt;0.000000000001,(Slot6_Age-D54)*(1+Slot6_Rate)^(Slot6_Age-D54),(1+Slot6_Rate)^(Slot6_Age-D54)*(1-((1+AS_Wage)/(1+Slot6_Rate))^(Slot6_Age-D54))/(1-(1+AS_Wage)/(1+Slot6_Rate))),1)</f>
        <v>1</v>
      </c>
      <c r="JU54" s="20" t="n">
        <f aca="false">IF(AND(HU54=1,IE54&gt;0,Slot6_IsWG=1,BV54=1),MAX(0,(Slot6_Cost-BW54*(1+Slot6_Rate)^(Slot6_Age-D54))/JT54),0)</f>
        <v>0</v>
      </c>
      <c r="JV54" s="20" t="n">
        <f aca="false">IF(AND(HU54=1,IE54&gt;0,Slot6_IsWG=1,BV54=1),MIN(IE54,JU54),0)</f>
        <v>0</v>
      </c>
      <c r="JW54" s="20" t="n">
        <f aca="false">BW54+JV54</f>
        <v>0</v>
      </c>
      <c r="JX54" s="20" t="n">
        <f aca="false">IF(BV54=1,MAX(0,(Slot6_Cost-JW54*(1+Slot6_Rate)^(Slot6_Age-D54))/JT54),0)</f>
        <v>0</v>
      </c>
      <c r="JY54" s="20" t="n">
        <f aca="false">IF(BV54=1,MAX(0,(Slot6_Cost-BW54*(1+Slot6_Rate)^(Slot6_Age-D54))/JT54),0)</f>
        <v>0</v>
      </c>
      <c r="JZ54" s="20" t="n">
        <f aca="false">IF(AND(HU54=1,BV54=1),MIN(JS54,JX54),0)</f>
        <v>0</v>
      </c>
      <c r="KA54" s="20" t="n">
        <f aca="false">JS54-JZ54</f>
        <v>0</v>
      </c>
      <c r="KB54" s="20" t="n">
        <f aca="false">IF(CF54=1,IF(ABS((1+AS_Wage)/(1+Slot7_Rate)-1)&lt;0.000000000001,(Slot7_Age-D54)*(1+Slot7_Rate)^(Slot7_Age-D54),(1+Slot7_Rate)^(Slot7_Age-D54)*(1-((1+AS_Wage)/(1+Slot7_Rate))^(Slot7_Age-D54))/(1-(1+AS_Wage)/(1+Slot7_Rate))),1)</f>
        <v>1</v>
      </c>
      <c r="KC54" s="20" t="n">
        <f aca="false">IF(AND(HU54=1,IE54&gt;0,Slot7_IsWG=1,CF54=1),MAX(0,(Slot7_Cost-CG54*(1+Slot7_Rate)^(Slot7_Age-D54))/KB54),0)</f>
        <v>0</v>
      </c>
      <c r="KD54" s="20" t="n">
        <f aca="false">IF(AND(HU54=1,IE54&gt;0,Slot7_IsWG=1,CF54=1),MIN(IE54,KC54),0)</f>
        <v>0</v>
      </c>
      <c r="KE54" s="20" t="n">
        <f aca="false">CG54+KD54</f>
        <v>0</v>
      </c>
      <c r="KF54" s="20" t="n">
        <f aca="false">IF(CF54=1,MAX(0,(Slot7_Cost-KE54*(1+Slot7_Rate)^(Slot7_Age-D54))/KB54),0)</f>
        <v>0</v>
      </c>
      <c r="KG54" s="20" t="n">
        <f aca="false">IF(CF54=1,MAX(0,(Slot7_Cost-CG54*(1+Slot7_Rate)^(Slot7_Age-D54))/KB54),0)</f>
        <v>0</v>
      </c>
      <c r="KH54" s="20" t="n">
        <f aca="false">IF(AND(HU54=1,CF54=1),MIN(KA54,KF54),0)</f>
        <v>0</v>
      </c>
      <c r="KI54" s="20" t="n">
        <f aca="false">KA54-KH54</f>
        <v>0</v>
      </c>
      <c r="KJ54" s="20" t="n">
        <f aca="false">IF(CP54=1,IF(ABS((1+AS_Wage)/(1+Slot8_Rate)-1)&lt;0.000000000001,(Slot8_Age-D54)*(1+Slot8_Rate)^(Slot8_Age-D54),(1+Slot8_Rate)^(Slot8_Age-D54)*(1-((1+AS_Wage)/(1+Slot8_Rate))^(Slot8_Age-D54))/(1-(1+AS_Wage)/(1+Slot8_Rate))),1)</f>
        <v>1</v>
      </c>
      <c r="KK54" s="20" t="n">
        <f aca="false">IF(AND(HU54=1,IE54&gt;0,Slot8_IsWG=1,CP54=1),MAX(0,(Slot8_Cost-CQ54*(1+Slot8_Rate)^(Slot8_Age-D54))/KJ54),0)</f>
        <v>0</v>
      </c>
      <c r="KL54" s="20" t="n">
        <f aca="false">IF(AND(HU54=1,IE54&gt;0,Slot8_IsWG=1,CP54=1),MIN(IE54,KK54),0)</f>
        <v>0</v>
      </c>
      <c r="KM54" s="20" t="n">
        <f aca="false">CQ54+KL54</f>
        <v>0</v>
      </c>
      <c r="KN54" s="20" t="n">
        <f aca="false">IF(CP54=1,MAX(0,(Slot8_Cost-KM54*(1+Slot8_Rate)^(Slot8_Age-D54))/KJ54),0)</f>
        <v>0</v>
      </c>
      <c r="KO54" s="20" t="n">
        <f aca="false">IF(CP54=1,MAX(0,(Slot8_Cost-CQ54*(1+Slot8_Rate)^(Slot8_Age-D54))/KJ54),0)</f>
        <v>0</v>
      </c>
      <c r="KP54" s="20" t="n">
        <f aca="false">IF(AND(HU54=1,CP54=1),MIN(KI54,KN54),0)</f>
        <v>0</v>
      </c>
      <c r="KQ54" s="20" t="n">
        <f aca="false">KI54-KP54</f>
        <v>0</v>
      </c>
      <c r="KR54" s="20" t="n">
        <f aca="false">IF(CZ54=1,IF(ABS((1+AS_Wage)/(1+Slot9_Rate)-1)&lt;0.000000000001,(Slot9_Age-D54)*(1+Slot9_Rate)^(Slot9_Age-D54),(1+Slot9_Rate)^(Slot9_Age-D54)*(1-((1+AS_Wage)/(1+Slot9_Rate))^(Slot9_Age-D54))/(1-(1+AS_Wage)/(1+Slot9_Rate))),1)</f>
        <v>1</v>
      </c>
      <c r="KS54" s="20" t="n">
        <f aca="false">IF(AND(HU54=1,IE54&gt;0,Slot9_IsWG=1,CZ54=1),MAX(0,(Slot9_Cost-DA54*(1+Slot9_Rate)^(Slot9_Age-D54))/KR54),0)</f>
        <v>0</v>
      </c>
      <c r="KT54" s="20" t="n">
        <f aca="false">IF(AND(HU54=1,IE54&gt;0,Slot9_IsWG=1,CZ54=1),MIN(IE54,KS54),0)</f>
        <v>0</v>
      </c>
      <c r="KU54" s="20" t="n">
        <f aca="false">DA54+KT54</f>
        <v>0</v>
      </c>
      <c r="KV54" s="20" t="n">
        <f aca="false">IF(CZ54=1,MAX(0,(Slot9_Cost-KU54*(1+Slot9_Rate)^(Slot9_Age-D54))/KR54),0)</f>
        <v>0</v>
      </c>
      <c r="KW54" s="20" t="n">
        <f aca="false">IF(CZ54=1,MAX(0,(Slot9_Cost-DA54*(1+Slot9_Rate)^(Slot9_Age-D54))/KR54),0)</f>
        <v>0</v>
      </c>
      <c r="KX54" s="20" t="n">
        <f aca="false">IF(AND(HU54=1,CZ54=1),MIN(KQ54,KV54),0)</f>
        <v>0</v>
      </c>
      <c r="KY54" s="20" t="n">
        <f aca="false">KQ54-KX54</f>
        <v>0</v>
      </c>
      <c r="KZ54" s="20" t="n">
        <f aca="false">IF(DJ54=1,IF(ABS((1+AS_Wage)/(1+Slot10_Rate)-1)&lt;0.000000000001,(Slot10_Age-D54)*(1+Slot10_Rate)^(Slot10_Age-D54),(1+Slot10_Rate)^(Slot10_Age-D54)*(1-((1+AS_Wage)/(1+Slot10_Rate))^(Slot10_Age-D54))/(1-(1+AS_Wage)/(1+Slot10_Rate))),1)</f>
        <v>1</v>
      </c>
      <c r="LA54" s="20" t="n">
        <f aca="false">IF(AND(HU54=1,IE54&gt;0,Slot10_IsWG=1,DJ54=1),MAX(0,(Slot10_Cost-DK54*(1+Slot10_Rate)^(Slot10_Age-D54))/KZ54),0)</f>
        <v>0</v>
      </c>
      <c r="LB54" s="20" t="n">
        <f aca="false">IF(AND(HU54=1,IE54&gt;0,Slot10_IsWG=1,DJ54=1),MIN(IE54,LA54),0)</f>
        <v>0</v>
      </c>
      <c r="LC54" s="20" t="n">
        <f aca="false">DK54+LB54</f>
        <v>0</v>
      </c>
      <c r="LD54" s="20" t="n">
        <f aca="false">IF(DJ54=1,MAX(0,(Slot10_Cost-LC54*(1+Slot10_Rate)^(Slot10_Age-D54))/KZ54),0)</f>
        <v>0</v>
      </c>
      <c r="LE54" s="20" t="n">
        <f aca="false">IF(DJ54=1,MAX(0,(Slot10_Cost-DK54*(1+Slot10_Rate)^(Slot10_Age-D54))/KZ54),0)</f>
        <v>0</v>
      </c>
      <c r="LF54" s="20" t="n">
        <f aca="false">IF(AND(HU54=1,DJ54=1),MIN(KY54,LD54),0)</f>
        <v>0</v>
      </c>
      <c r="LG54" s="20" t="n">
        <f aca="false">KY54-LF54</f>
        <v>0</v>
      </c>
      <c r="LH54" s="20" t="n">
        <f aca="false">IF(DT54=1,IF(ABS((1+AS_Wage)/(1+Slot11_Rate)-1)&lt;0.000000000001,(Slot11_Age-D54)*(1+Slot11_Rate)^(Slot11_Age-D54),(1+Slot11_Rate)^(Slot11_Age-D54)*(1-((1+AS_Wage)/(1+Slot11_Rate))^(Slot11_Age-D54))/(1-(1+AS_Wage)/(1+Slot11_Rate))),1)</f>
        <v>1</v>
      </c>
      <c r="LI54" s="20" t="n">
        <f aca="false">IF(AND(HU54=1,IE54&gt;0,Slot11_IsWG=1,DT54=1),MAX(0,(Slot11_Cost-DU54*(1+Slot11_Rate)^(Slot11_Age-D54))/LH54),0)</f>
        <v>0</v>
      </c>
      <c r="LJ54" s="20" t="n">
        <f aca="false">IF(AND(HU54=1,IE54&gt;0,Slot11_IsWG=1,DT54=1),MIN(IE54,LI54),0)</f>
        <v>0</v>
      </c>
      <c r="LK54" s="20" t="n">
        <f aca="false">DU54+LJ54</f>
        <v>0</v>
      </c>
      <c r="LL54" s="20" t="n">
        <f aca="false">IF(DT54=1,MAX(0,(Slot11_Cost-LK54*(1+Slot11_Rate)^(Slot11_Age-D54))/LH54),0)</f>
        <v>0</v>
      </c>
      <c r="LM54" s="20" t="n">
        <f aca="false">IF(DT54=1,MAX(0,(Slot11_Cost-DU54*(1+Slot11_Rate)^(Slot11_Age-D54))/LH54),0)</f>
        <v>0</v>
      </c>
      <c r="LN54" s="20" t="n">
        <f aca="false">IF(AND(HU54=1,DT54=1),MIN(LG54,LL54),0)</f>
        <v>0</v>
      </c>
      <c r="LO54" s="20" t="n">
        <f aca="false">LG54-LN54</f>
        <v>0</v>
      </c>
      <c r="LP54" s="20" t="n">
        <f aca="false">IF(ED54=1,IF(ABS((1+AS_Wage)/(1+Slot12_Rate)-1)&lt;0.000000000001,(Slot12_Age-D54)*(1+Slot12_Rate)^(Slot12_Age-D54),(1+Slot12_Rate)^(Slot12_Age-D54)*(1-((1+AS_Wage)/(1+Slot12_Rate))^(Slot12_Age-D54))/(1-(1+AS_Wage)/(1+Slot12_Rate))),1)</f>
        <v>1</v>
      </c>
      <c r="LQ54" s="20" t="n">
        <f aca="false">IF(AND(HU54=1,IE54&gt;0,Slot12_IsWG=1,ED54=1),MAX(0,(Slot12_Cost-EE54*(1+Slot12_Rate)^(Slot12_Age-D54))/LP54),0)</f>
        <v>0</v>
      </c>
      <c r="LR54" s="20" t="n">
        <f aca="false">IF(AND(HU54=1,IE54&gt;0,Slot12_IsWG=1,ED54=1),MIN(IE54,LQ54),0)</f>
        <v>0</v>
      </c>
      <c r="LS54" s="20" t="n">
        <f aca="false">EE54+LR54</f>
        <v>0</v>
      </c>
      <c r="LT54" s="20" t="n">
        <f aca="false">IF(ED54=1,MAX(0,(Slot12_Cost-LS54*(1+Slot12_Rate)^(Slot12_Age-D54))/LP54),0)</f>
        <v>0</v>
      </c>
      <c r="LU54" s="20" t="n">
        <f aca="false">IF(ED54=1,MAX(0,(Slot12_Cost-EE54*(1+Slot12_Rate)^(Slot12_Age-D54))/LP54),0)</f>
        <v>0</v>
      </c>
      <c r="LV54" s="20" t="n">
        <f aca="false">IF(AND(HU54=1,ED54=1),MIN(LO54,LT54),0)</f>
        <v>0</v>
      </c>
      <c r="LW54" s="20" t="n">
        <f aca="false">LO54-LV54</f>
        <v>0</v>
      </c>
      <c r="LX54" s="20" t="n">
        <f aca="false">IF(EN54=1,IF(ABS((1+AS_Wage)/(1+Slot13_Rate)-1)&lt;0.000000000001,(Slot13_Age-D54)*(1+Slot13_Rate)^(Slot13_Age-D54),(1+Slot13_Rate)^(Slot13_Age-D54)*(1-((1+AS_Wage)/(1+Slot13_Rate))^(Slot13_Age-D54))/(1-(1+AS_Wage)/(1+Slot13_Rate))),1)</f>
        <v>1</v>
      </c>
      <c r="LY54" s="20" t="n">
        <f aca="false">IF(AND(HU54=1,IE54&gt;0,Slot13_IsWG=1,EN54=1),MAX(0,(Slot13_Cost-EO54*(1+Slot13_Rate)^(Slot13_Age-D54))/LX54),0)</f>
        <v>0</v>
      </c>
      <c r="LZ54" s="20" t="n">
        <f aca="false">IF(AND(HU54=1,IE54&gt;0,Slot13_IsWG=1,EN54=1),MIN(IE54,LY54),0)</f>
        <v>0</v>
      </c>
      <c r="MA54" s="20" t="n">
        <f aca="false">EO54+LZ54</f>
        <v>0</v>
      </c>
      <c r="MB54" s="20" t="n">
        <f aca="false">IF(EN54=1,MAX(0,(Slot13_Cost-MA54*(1+Slot13_Rate)^(Slot13_Age-D54))/LX54),0)</f>
        <v>0</v>
      </c>
      <c r="MC54" s="20" t="n">
        <f aca="false">IF(EN54=1,MAX(0,(Slot13_Cost-EO54*(1+Slot13_Rate)^(Slot13_Age-D54))/LX54),0)</f>
        <v>0</v>
      </c>
      <c r="MD54" s="20" t="n">
        <f aca="false">IF(AND(HU54=1,EN54=1),MIN(LW54,MB54),0)</f>
        <v>0</v>
      </c>
      <c r="ME54" s="20" t="n">
        <f aca="false">LW54-MD54</f>
        <v>0</v>
      </c>
      <c r="MF54" s="20" t="n">
        <f aca="false">IF(EX54=1,IF(ABS((1+AS_Wage)/(1+Slot14_Rate)-1)&lt;0.000000000001,(Slot14_Age-D54)*(1+Slot14_Rate)^(Slot14_Age-D54),(1+Slot14_Rate)^(Slot14_Age-D54)*(1-((1+AS_Wage)/(1+Slot14_Rate))^(Slot14_Age-D54))/(1-(1+AS_Wage)/(1+Slot14_Rate))),1)</f>
        <v>1</v>
      </c>
      <c r="MG54" s="20" t="n">
        <f aca="false">IF(AND(HU54=1,IE54&gt;0,Slot14_IsWG=1,EX54=1),MAX(0,(Slot14_Cost-EY54*(1+Slot14_Rate)^(Slot14_Age-D54))/MF54),0)</f>
        <v>0</v>
      </c>
      <c r="MH54" s="20" t="n">
        <f aca="false">IF(AND(HU54=1,IE54&gt;0,Slot14_IsWG=1,EX54=1),MIN(IE54,MG54),0)</f>
        <v>0</v>
      </c>
      <c r="MI54" s="20" t="n">
        <f aca="false">EY54+MH54</f>
        <v>0</v>
      </c>
      <c r="MJ54" s="20" t="n">
        <f aca="false">IF(EX54=1,MAX(0,(Slot14_Cost-MI54*(1+Slot14_Rate)^(Slot14_Age-D54))/MF54),0)</f>
        <v>0</v>
      </c>
      <c r="MK54" s="20" t="n">
        <f aca="false">IF(EX54=1,MAX(0,(Slot14_Cost-EY54*(1+Slot14_Rate)^(Slot14_Age-D54))/MF54),0)</f>
        <v>0</v>
      </c>
      <c r="ML54" s="20" t="n">
        <f aca="false">IF(AND(HU54=1,EX54=1),MIN(ME54,MJ54),0)</f>
        <v>0</v>
      </c>
      <c r="MM54" s="20" t="n">
        <f aca="false">ME54-ML54</f>
        <v>0</v>
      </c>
      <c r="MN54" s="20" t="n">
        <f aca="false">IF(FH54=1,IF(ABS((1+AS_Wage)/(1+Slot15_Rate)-1)&lt;0.000000000001,(Slot15_Age-D54)*(1+Slot15_Rate)^(Slot15_Age-D54),(1+Slot15_Rate)^(Slot15_Age-D54)*(1-((1+AS_Wage)/(1+Slot15_Rate))^(Slot15_Age-D54))/(1-(1+AS_Wage)/(1+Slot15_Rate))),1)</f>
        <v>1</v>
      </c>
      <c r="MO54" s="20" t="n">
        <f aca="false">IF(AND(HU54=1,IE54&gt;0,Slot15_IsWG=1,FH54=1),MAX(0,(Slot15_Cost-FI54*(1+Slot15_Rate)^(Slot15_Age-D54))/MN54),0)</f>
        <v>0</v>
      </c>
      <c r="MP54" s="20" t="n">
        <f aca="false">IF(AND(HU54=1,IE54&gt;0,Slot15_IsWG=1,FH54=1),MIN(IE54,MO54),0)</f>
        <v>0</v>
      </c>
      <c r="MQ54" s="20" t="n">
        <f aca="false">FI54+MP54</f>
        <v>0</v>
      </c>
      <c r="MR54" s="20" t="n">
        <f aca="false">IF(FH54=1,MAX(0,(Slot15_Cost-MQ54*(1+Slot15_Rate)^(Slot15_Age-D54))/MN54),0)</f>
        <v>0</v>
      </c>
      <c r="MS54" s="20" t="n">
        <f aca="false">IF(FH54=1,MAX(0,(Slot15_Cost-FI54*(1+Slot15_Rate)^(Slot15_Age-D54))/MN54),0)</f>
        <v>0</v>
      </c>
      <c r="MT54" s="20" t="n">
        <f aca="false">IF(AND(HU54=1,FH54=1),MIN(MM54,MR54),0)</f>
        <v>0</v>
      </c>
      <c r="MU54" s="20" t="n">
        <f aca="false">MM54-MT54</f>
        <v>0</v>
      </c>
      <c r="MV54" s="20" t="n">
        <f aca="false">IF(FR54=1,IF(ABS((1+AS_Wage)/(1+Slot16_Rate)-1)&lt;0.000000000001,(Slot16_Age-D54)*(1+Slot16_Rate)^(Slot16_Age-D54),(1+Slot16_Rate)^(Slot16_Age-D54)*(1-((1+AS_Wage)/(1+Slot16_Rate))^(Slot16_Age-D54))/(1-(1+AS_Wage)/(1+Slot16_Rate))),1)</f>
        <v>1</v>
      </c>
      <c r="MW54" s="20" t="n">
        <f aca="false">IF(AND(HU54=1,IE54&gt;0,Slot16_IsWG=1,FR54=1),MAX(0,(Slot16_Cost-FS54*(1+Slot16_Rate)^(Slot16_Age-D54))/MV54),0)</f>
        <v>0</v>
      </c>
      <c r="MX54" s="20" t="n">
        <f aca="false">IF(AND(HU54=1,IE54&gt;0,Slot16_IsWG=1,FR54=1),MIN(IE54,MW54),0)</f>
        <v>0</v>
      </c>
      <c r="MY54" s="20" t="n">
        <f aca="false">FS54+MX54</f>
        <v>0</v>
      </c>
      <c r="MZ54" s="20" t="n">
        <f aca="false">IF(FR54=1,MAX(0,(Slot16_Cost-MY54*(1+Slot16_Rate)^(Slot16_Age-D54))/MV54),0)</f>
        <v>0</v>
      </c>
      <c r="NA54" s="20" t="n">
        <f aca="false">IF(FR54=1,MAX(0,(Slot16_Cost-FS54*(1+Slot16_Rate)^(Slot16_Age-D54))/MV54),0)</f>
        <v>0</v>
      </c>
      <c r="NB54" s="20" t="n">
        <f aca="false">IF(AND(HU54=1,FR54=1),MIN(MU54,MZ54),0)</f>
        <v>0</v>
      </c>
      <c r="NC54" s="20" t="n">
        <f aca="false">MU54-NB54</f>
        <v>0</v>
      </c>
      <c r="ND54" s="20" t="n">
        <f aca="false">IF(GB54=1,IF(ABS((1+AS_Wage)/(1+Slot17_Rate)-1)&lt;0.000000000001,(Slot17_Age-D54)*(1+Slot17_Rate)^(Slot17_Age-D54),(1+Slot17_Rate)^(Slot17_Age-D54)*(1-((1+AS_Wage)/(1+Slot17_Rate))^(Slot17_Age-D54))/(1-(1+AS_Wage)/(1+Slot17_Rate))),1)</f>
        <v>1</v>
      </c>
      <c r="NE54" s="20" t="n">
        <f aca="false">IF(AND(HU54=1,IE54&gt;0,Slot17_IsWG=1,GB54=1),MAX(0,(Slot17_Cost-GC54*(1+Slot17_Rate)^(Slot17_Age-D54))/ND54),0)</f>
        <v>0</v>
      </c>
      <c r="NF54" s="20" t="n">
        <f aca="false">IF(AND(HU54=1,IE54&gt;0,Slot17_IsWG=1,GB54=1),MIN(IE54,NE54),0)</f>
        <v>0</v>
      </c>
      <c r="NG54" s="20" t="n">
        <f aca="false">GC54+NF54</f>
        <v>0</v>
      </c>
      <c r="NH54" s="20" t="n">
        <f aca="false">IF(GB54=1,MAX(0,(Slot17_Cost-NG54*(1+Slot17_Rate)^(Slot17_Age-D54))/ND54),0)</f>
        <v>0</v>
      </c>
      <c r="NI54" s="20" t="n">
        <f aca="false">IF(GB54=1,MAX(0,(Slot17_Cost-GC54*(1+Slot17_Rate)^(Slot17_Age-D54))/ND54),0)</f>
        <v>0</v>
      </c>
      <c r="NJ54" s="20" t="n">
        <f aca="false">IF(AND(HU54=1,GB54=1),MIN(NC54,NH54),0)</f>
        <v>0</v>
      </c>
      <c r="NK54" s="20" t="n">
        <f aca="false">NC54-NJ54</f>
        <v>0</v>
      </c>
      <c r="NL54" s="20" t="n">
        <f aca="false">IF(GL54=1,IF(ABS((1+AS_Wage)/(1+Slot18_Rate)-1)&lt;0.000000000001,(Slot18_Age-D54)*(1+Slot18_Rate)^(Slot18_Age-D54),(1+Slot18_Rate)^(Slot18_Age-D54)*(1-((1+AS_Wage)/(1+Slot18_Rate))^(Slot18_Age-D54))/(1-(1+AS_Wage)/(1+Slot18_Rate))),1)</f>
        <v>1</v>
      </c>
      <c r="NM54" s="20" t="n">
        <f aca="false">IF(AND(HU54=1,IE54&gt;0,Slot18_IsWG=1,GL54=1),MAX(0,(Slot18_Cost-GM54*(1+Slot18_Rate)^(Slot18_Age-D54))/NL54),0)</f>
        <v>0</v>
      </c>
      <c r="NN54" s="20" t="n">
        <f aca="false">IF(AND(HU54=1,IE54&gt;0,Slot18_IsWG=1,GL54=1),MIN(IE54,NM54),0)</f>
        <v>0</v>
      </c>
      <c r="NO54" s="20" t="n">
        <f aca="false">GM54+NN54</f>
        <v>0</v>
      </c>
      <c r="NP54" s="20" t="n">
        <f aca="false">IF(GL54=1,MAX(0,(Slot18_Cost-NO54*(1+Slot18_Rate)^(Slot18_Age-D54))/NL54),0)</f>
        <v>0</v>
      </c>
      <c r="NQ54" s="20" t="n">
        <f aca="false">IF(GL54=1,MAX(0,(Slot18_Cost-GM54*(1+Slot18_Rate)^(Slot18_Age-D54))/NL54),0)</f>
        <v>0</v>
      </c>
      <c r="NR54" s="20" t="n">
        <f aca="false">IF(AND(HU54=1,GL54=1),MIN(NK54,NP54),0)</f>
        <v>0</v>
      </c>
      <c r="NS54" s="20" t="n">
        <f aca="false">NK54-NR54</f>
        <v>0</v>
      </c>
      <c r="NT54" s="20" t="n">
        <f aca="false">IF(GV54=1,IF(ABS((1+AS_Wage)/(1+Slot19_Rate)-1)&lt;0.000000000001,(Slot19_Age-D54)*(1+Slot19_Rate)^(Slot19_Age-D54),(1+Slot19_Rate)^(Slot19_Age-D54)*(1-((1+AS_Wage)/(1+Slot19_Rate))^(Slot19_Age-D54))/(1-(1+AS_Wage)/(1+Slot19_Rate))),1)</f>
        <v>1</v>
      </c>
      <c r="NU54" s="20" t="n">
        <f aca="false">IF(AND(HU54=1,IE54&gt;0,Slot19_IsWG=1,GV54=1),MAX(0,(Slot19_Cost-GW54*(1+Slot19_Rate)^(Slot19_Age-D54))/NT54),0)</f>
        <v>0</v>
      </c>
      <c r="NV54" s="20" t="n">
        <f aca="false">IF(AND(HU54=1,IE54&gt;0,Slot19_IsWG=1,GV54=1),MIN(IE54,NU54),0)</f>
        <v>0</v>
      </c>
      <c r="NW54" s="20" t="n">
        <f aca="false">GW54+NV54</f>
        <v>0</v>
      </c>
      <c r="NX54" s="20" t="n">
        <f aca="false">IF(GV54=1,MAX(0,(Slot19_Cost-NW54*(1+Slot19_Rate)^(Slot19_Age-D54))/NT54),0)</f>
        <v>0</v>
      </c>
      <c r="NY54" s="20" t="n">
        <f aca="false">IF(GV54=1,MAX(0,(Slot19_Cost-GW54*(1+Slot19_Rate)^(Slot19_Age-D54))/NT54),0)</f>
        <v>0</v>
      </c>
      <c r="NZ54" s="20" t="n">
        <f aca="false">IF(AND(HU54=1,GV54=1),MIN(NS54,NX54),0)</f>
        <v>0</v>
      </c>
      <c r="OA54" s="20" t="n">
        <f aca="false">NS54-NZ54</f>
        <v>0</v>
      </c>
      <c r="OB54" s="20" t="n">
        <f aca="false">IF(HF54=1,IF(ABS((1+AS_Wage)/(1+Slot20_Rate)-1)&lt;0.000000000001,(Slot20_Age-D54)*(1+Slot20_Rate)^(Slot20_Age-D54),(1+Slot20_Rate)^(Slot20_Age-D54)*(1-((1+AS_Wage)/(1+Slot20_Rate))^(Slot20_Age-D54))/(1-(1+AS_Wage)/(1+Slot20_Rate))),1)</f>
        <v>1</v>
      </c>
      <c r="OC54" s="20" t="n">
        <f aca="false">IF(AND(HU54=1,IE54&gt;0,Slot20_IsWG=1,HF54=1),MAX(0,(Slot20_Cost-HG54*(1+Slot20_Rate)^(Slot20_Age-D54))/OB54),0)</f>
        <v>0</v>
      </c>
      <c r="OD54" s="20" t="n">
        <f aca="false">IF(AND(HU54=1,IE54&gt;0,Slot20_IsWG=1,HF54=1),MIN(IE54,OC54),0)</f>
        <v>0</v>
      </c>
      <c r="OE54" s="20" t="n">
        <f aca="false">HG54+OD54</f>
        <v>0</v>
      </c>
      <c r="OF54" s="20" t="n">
        <f aca="false">IF(HF54=1,MAX(0,(Slot20_Cost-OE54*(1+Slot20_Rate)^(Slot20_Age-D54))/OB54),0)</f>
        <v>0</v>
      </c>
      <c r="OG54" s="20" t="n">
        <f aca="false">IF(HF54=1,MAX(0,(Slot20_Cost-HG54*(1+Slot20_Rate)^(Slot20_Age-D54))/OB54),0)</f>
        <v>0</v>
      </c>
      <c r="OH54" s="20" t="n">
        <f aca="false">IF(AND(HU54=1,HF54=1),MIN(OA54,OF54),0)</f>
        <v>0</v>
      </c>
      <c r="OI54" s="20" t="n">
        <f aca="false">OA54-OH54</f>
        <v>0</v>
      </c>
      <c r="OJ54" s="20" t="n">
        <f aca="false">IE54-(IH54+IP54+IX54+JF54+JN54+JV54+KD54+KL54+KT54+LB54+LJ54+LR54+LZ54+MH54+MP54+MX54+NF54+NN54+NV54+OD54)</f>
        <v>0</v>
      </c>
      <c r="OK54" s="20" t="n">
        <f aca="false">IF(HU54=1,HS54-ID54-IE54,0)</f>
        <v>0</v>
      </c>
      <c r="OL54" s="20" t="n">
        <f aca="false">IF(HU54=0,-HS54,0)</f>
        <v>26217.5085613345</v>
      </c>
      <c r="OM54" s="20" t="n">
        <f aca="false">MIN(OL54,HK54)</f>
        <v>0</v>
      </c>
      <c r="ON54" s="20" t="n">
        <f aca="false">OL54-OM54</f>
        <v>26217.5085613345</v>
      </c>
      <c r="OO54" s="20" t="n">
        <f aca="false">MIN(ON54,HL54)</f>
        <v>0</v>
      </c>
      <c r="OP54" s="20" t="n">
        <f aca="false">ON54-OO54</f>
        <v>26217.5085613345</v>
      </c>
      <c r="OQ54" s="20" t="n">
        <f aca="false">IF(AND(HU54=0,HF54=1,OP54&gt;0),MIN(OP54,HG54),0)</f>
        <v>0</v>
      </c>
      <c r="OR54" s="20" t="n">
        <f aca="false">OP54-OQ54</f>
        <v>26217.5085613345</v>
      </c>
      <c r="OS54" s="20" t="n">
        <f aca="false">IF(AND(HU54=0,GV54=1,OR54&gt;0),MIN(OR54,GW54),0)</f>
        <v>0</v>
      </c>
      <c r="OT54" s="20" t="n">
        <f aca="false">OR54-OS54</f>
        <v>26217.5085613345</v>
      </c>
      <c r="OU54" s="20" t="n">
        <f aca="false">IF(AND(HU54=0,GL54=1,OT54&gt;0),MIN(OT54,GM54),0)</f>
        <v>0</v>
      </c>
      <c r="OV54" s="20" t="n">
        <f aca="false">OT54-OU54</f>
        <v>26217.5085613345</v>
      </c>
      <c r="OW54" s="20" t="n">
        <f aca="false">IF(AND(HU54=0,GB54=1,OV54&gt;0),MIN(OV54,GC54),0)</f>
        <v>0</v>
      </c>
      <c r="OX54" s="20" t="n">
        <f aca="false">OV54-OW54</f>
        <v>26217.5085613345</v>
      </c>
      <c r="OY54" s="20" t="n">
        <f aca="false">IF(AND(HU54=0,FR54=1,OX54&gt;0),MIN(OX54,FS54),0)</f>
        <v>0</v>
      </c>
      <c r="OZ54" s="20" t="n">
        <f aca="false">OX54-OY54</f>
        <v>26217.5085613345</v>
      </c>
      <c r="PA54" s="20" t="n">
        <f aca="false">IF(AND(HU54=0,FH54=1,OZ54&gt;0),MIN(OZ54,FI54),0)</f>
        <v>0</v>
      </c>
      <c r="PB54" s="20" t="n">
        <f aca="false">OZ54-PA54</f>
        <v>26217.5085613345</v>
      </c>
      <c r="PC54" s="20" t="n">
        <f aca="false">IF(AND(HU54=0,EX54=1,PB54&gt;0),MIN(PB54,EY54),0)</f>
        <v>0</v>
      </c>
      <c r="PD54" s="20" t="n">
        <f aca="false">PB54-PC54</f>
        <v>26217.5085613345</v>
      </c>
      <c r="PE54" s="20" t="n">
        <f aca="false">IF(AND(HU54=0,EN54=1,PD54&gt;0),MIN(PD54,EO54),0)</f>
        <v>0</v>
      </c>
      <c r="PF54" s="20" t="n">
        <f aca="false">PD54-PE54</f>
        <v>26217.5085613345</v>
      </c>
      <c r="PG54" s="20" t="n">
        <f aca="false">IF(AND(HU54=0,ED54=1,PF54&gt;0),MIN(PF54,EE54),0)</f>
        <v>0</v>
      </c>
      <c r="PH54" s="20" t="n">
        <f aca="false">PF54-PG54</f>
        <v>26217.5085613345</v>
      </c>
      <c r="PI54" s="20" t="n">
        <f aca="false">IF(AND(HU54=0,DT54=1,PH54&gt;0),MIN(PH54,DU54),0)</f>
        <v>0</v>
      </c>
      <c r="PJ54" s="20" t="n">
        <f aca="false">PH54-PI54</f>
        <v>26217.5085613345</v>
      </c>
      <c r="PK54" s="20" t="n">
        <f aca="false">IF(AND(HU54=0,DJ54=1,PJ54&gt;0),MIN(PJ54,DK54),0)</f>
        <v>0</v>
      </c>
      <c r="PL54" s="20" t="n">
        <f aca="false">PJ54-PK54</f>
        <v>26217.5085613345</v>
      </c>
      <c r="PM54" s="20" t="n">
        <f aca="false">IF(AND(HU54=0,CZ54=1,PL54&gt;0),MIN(PL54,DA54),0)</f>
        <v>0</v>
      </c>
      <c r="PN54" s="20" t="n">
        <f aca="false">PL54-PM54</f>
        <v>26217.5085613345</v>
      </c>
      <c r="PO54" s="20" t="n">
        <f aca="false">IF(AND(HU54=0,CP54=1,PN54&gt;0),MIN(PN54,CQ54),0)</f>
        <v>0</v>
      </c>
      <c r="PP54" s="20" t="n">
        <f aca="false">PN54-PO54</f>
        <v>26217.5085613345</v>
      </c>
      <c r="PQ54" s="20" t="n">
        <f aca="false">IF(AND(HU54=0,CF54=1,PP54&gt;0),MIN(PP54,CG54),0)</f>
        <v>0</v>
      </c>
      <c r="PR54" s="20" t="n">
        <f aca="false">PP54-PQ54</f>
        <v>26217.5085613345</v>
      </c>
      <c r="PS54" s="20" t="n">
        <f aca="false">IF(AND(HU54=0,BV54=1,PR54&gt;0),MIN(PR54,BW54),0)</f>
        <v>0</v>
      </c>
      <c r="PT54" s="20" t="n">
        <f aca="false">PR54-PS54</f>
        <v>26217.5085613345</v>
      </c>
      <c r="PU54" s="20" t="n">
        <f aca="false">IF(AND(HU54=0,BL54=1,PT54&gt;0),MIN(PT54,BM54),0)</f>
        <v>0</v>
      </c>
      <c r="PV54" s="20" t="n">
        <f aca="false">PT54-PU54</f>
        <v>26217.5085613345</v>
      </c>
      <c r="PW54" s="20" t="n">
        <f aca="false">IF(AND(HU54=0,BB54=1,PV54&gt;0),MIN(PV54,BC54),0)</f>
        <v>0</v>
      </c>
      <c r="PX54" s="20" t="n">
        <f aca="false">PV54-PW54</f>
        <v>26217.5085613345</v>
      </c>
      <c r="PY54" s="20" t="n">
        <f aca="false">IF(AND(HU54=0,AR54=1,PX54&gt;0),MIN(PX54,AS54),0)</f>
        <v>0</v>
      </c>
      <c r="PZ54" s="20" t="n">
        <f aca="false">PX54-PY54</f>
        <v>26217.5085613345</v>
      </c>
      <c r="QA54" s="20" t="n">
        <f aca="false">IF(AND(HU54=0,AH54=1,PZ54&gt;0),MIN(PZ54,AI54),0)</f>
        <v>0</v>
      </c>
      <c r="QB54" s="20" t="n">
        <f aca="false">PZ54-QA54</f>
        <v>26217.5085613345</v>
      </c>
      <c r="QC54" s="20" t="n">
        <f aca="false">IF(AND(HU54=0,W54=1,QB54&gt;0),MIN(QB54,X54),0)</f>
        <v>0</v>
      </c>
      <c r="QD54" s="20" t="n">
        <f aca="false">QB54-QC54</f>
        <v>26217.5085613345</v>
      </c>
      <c r="QE54" s="20" t="n">
        <f aca="false">IF(HU54=0,QD54,0)</f>
        <v>26217.5085613345</v>
      </c>
      <c r="QF54" s="20" t="n">
        <f aca="false">OM54+OO54+QC54+QA54+PY54+PW54+PU54+PS54+PQ54+PO54+PM54+PK54+PI54+PG54+PE54+PC54+PA54+OY54+OW54+OU54+OS54+OQ54</f>
        <v>0</v>
      </c>
      <c r="QG54" s="20" t="n">
        <f aca="false">IF(HU54=1,HK54+OJ54+OI54+IF(G54=1,0,OK54),HK54-OM54)</f>
        <v>0</v>
      </c>
      <c r="QH54" s="20" t="n">
        <f aca="false">HL54-OO54</f>
        <v>0</v>
      </c>
      <c r="QI54" s="20" t="n">
        <f aca="false">IF(HU54=1,IF(G54=1,ID54+IE54,HS54),0)</f>
        <v>0</v>
      </c>
      <c r="QJ54" s="20" t="n">
        <f aca="false">IF(HU54=1,IF(G54=1,HS54-ID54-IE54,0),0)</f>
        <v>0</v>
      </c>
      <c r="QK54" s="20" t="n">
        <f aca="false">QG54*(1+GR)</f>
        <v>0</v>
      </c>
      <c r="QL54" s="20" t="n">
        <f aca="false">QH54*(1+AS_Cash)</f>
        <v>0</v>
      </c>
      <c r="QM54" s="20" t="n">
        <f aca="false">IF(W54=1,IF(HU54=1,II54+IL54,X54-QC54)*(1+Slot1_Rate),0)</f>
        <v>0</v>
      </c>
      <c r="QN54" s="20" t="n">
        <f aca="false">IF(AND(HU54=1,W54=1),(IH54+IL54)/F54,0)</f>
        <v>0</v>
      </c>
      <c r="QO54" s="20" t="n">
        <f aca="false">IF(B54=0,IH54+IL54,0)</f>
        <v>0</v>
      </c>
      <c r="QP54" s="20" t="n">
        <f aca="false">IF(B54=0,IF(HU54=1,IJ54,IK54),0)</f>
        <v>0</v>
      </c>
      <c r="QQ54" s="20" t="n">
        <f aca="false">IF(AH54=1,IF(HU54=1,IQ54+IT54,AI54-QA54)*(1+Slot2_Rate),0)</f>
        <v>0</v>
      </c>
      <c r="QR54" s="20" t="n">
        <f aca="false">IF(AND(HU54=1,AH54=1),(IP54+IT54)/F54,0)</f>
        <v>0</v>
      </c>
      <c r="QS54" s="20" t="n">
        <f aca="false">IF(B54=0,IP54+IT54,0)</f>
        <v>0</v>
      </c>
      <c r="QT54" s="20" t="n">
        <f aca="false">IF(B54=0,IF(HU54=1,IR54,IS54),0)</f>
        <v>0</v>
      </c>
      <c r="QU54" s="20" t="n">
        <f aca="false">IF(AR54=1,IF(HU54=1,IY54+JB54,AS54-PY54)*(1+Slot3_Rate),0)</f>
        <v>0</v>
      </c>
      <c r="QV54" s="20" t="n">
        <f aca="false">IF(AND(HU54=1,AR54=1),(IX54+JB54)/F54,0)</f>
        <v>0</v>
      </c>
      <c r="QW54" s="20" t="n">
        <f aca="false">IF(B54=0,IX54+JB54,0)</f>
        <v>0</v>
      </c>
      <c r="QX54" s="20" t="n">
        <f aca="false">IF(B54=0,IF(HU54=1,IZ54,JA54),0)</f>
        <v>0</v>
      </c>
      <c r="QY54" s="20" t="n">
        <f aca="false">IF(BB54=1,IF(HU54=1,JG54+JJ54,BC54-PW54)*(1+Slot4_Rate),0)</f>
        <v>0</v>
      </c>
      <c r="QZ54" s="20" t="n">
        <f aca="false">IF(AND(HU54=1,BB54=1),(JF54+JJ54)/F54,0)</f>
        <v>0</v>
      </c>
      <c r="RA54" s="20" t="n">
        <f aca="false">IF(B54=0,JF54+JJ54,0)</f>
        <v>0</v>
      </c>
      <c r="RB54" s="20" t="n">
        <f aca="false">IF(B54=0,IF(HU54=1,JH54,JI54),0)</f>
        <v>0</v>
      </c>
      <c r="RC54" s="20" t="n">
        <f aca="false">IF(BL54=1,IF(HU54=1,JO54+JR54,BM54-PU54)*(1+Slot5_Rate),0)</f>
        <v>0</v>
      </c>
      <c r="RD54" s="20" t="n">
        <f aca="false">IF(AND(HU54=1,BL54=1),(JN54+JR54)/F54,0)</f>
        <v>0</v>
      </c>
      <c r="RE54" s="20" t="n">
        <f aca="false">IF(B54=0,JN54+JR54,0)</f>
        <v>0</v>
      </c>
      <c r="RF54" s="20" t="n">
        <f aca="false">IF(B54=0,IF(HU54=1,JP54,JQ54),0)</f>
        <v>0</v>
      </c>
      <c r="RG54" s="20" t="n">
        <f aca="false">IF(BV54=1,IF(HU54=1,JW54+JZ54,BW54-PS54)*(1+Slot6_Rate),0)</f>
        <v>0</v>
      </c>
      <c r="RH54" s="20" t="n">
        <f aca="false">IF(AND(HU54=1,BV54=1),(JV54+JZ54)/F54,0)</f>
        <v>0</v>
      </c>
      <c r="RI54" s="20" t="n">
        <f aca="false">IF(B54=0,JV54+JZ54,0)</f>
        <v>0</v>
      </c>
      <c r="RJ54" s="20" t="n">
        <f aca="false">IF(B54=0,IF(HU54=1,JX54,JY54),0)</f>
        <v>0</v>
      </c>
      <c r="RK54" s="20" t="n">
        <f aca="false">IF(CF54=1,IF(HU54=1,KE54+KH54,CG54-PQ54)*(1+Slot7_Rate),0)</f>
        <v>0</v>
      </c>
      <c r="RL54" s="20" t="n">
        <f aca="false">IF(AND(HU54=1,CF54=1),(KD54+KH54)/F54,0)</f>
        <v>0</v>
      </c>
      <c r="RM54" s="20" t="n">
        <f aca="false">IF(B54=0,KD54+KH54,0)</f>
        <v>0</v>
      </c>
      <c r="RN54" s="20" t="n">
        <f aca="false">IF(B54=0,IF(HU54=1,KF54,KG54),0)</f>
        <v>0</v>
      </c>
      <c r="RO54" s="20" t="n">
        <f aca="false">IF(CP54=1,IF(HU54=1,KM54+KP54,CQ54-PO54)*(1+Slot8_Rate),0)</f>
        <v>0</v>
      </c>
      <c r="RP54" s="20" t="n">
        <f aca="false">IF(AND(HU54=1,CP54=1),(KL54+KP54)/F54,0)</f>
        <v>0</v>
      </c>
      <c r="RQ54" s="20" t="n">
        <f aca="false">IF(B54=0,KL54+KP54,0)</f>
        <v>0</v>
      </c>
      <c r="RR54" s="20" t="n">
        <f aca="false">IF(B54=0,IF(HU54=1,KN54,KO54),0)</f>
        <v>0</v>
      </c>
      <c r="RS54" s="20" t="n">
        <f aca="false">IF(CZ54=1,IF(HU54=1,KU54+KX54,DA54-PM54)*(1+Slot9_Rate),0)</f>
        <v>0</v>
      </c>
      <c r="RT54" s="20" t="n">
        <f aca="false">IF(AND(HU54=1,CZ54=1),(KT54+KX54)/F54,0)</f>
        <v>0</v>
      </c>
      <c r="RU54" s="20" t="n">
        <f aca="false">IF(B54=0,KT54+KX54,0)</f>
        <v>0</v>
      </c>
      <c r="RV54" s="20" t="n">
        <f aca="false">IF(B54=0,IF(HU54=1,KV54,KW54),0)</f>
        <v>0</v>
      </c>
      <c r="RW54" s="20" t="n">
        <f aca="false">IF(DJ54=1,IF(HU54=1,LC54+LF54,DK54-PK54)*(1+Slot10_Rate),0)</f>
        <v>0</v>
      </c>
      <c r="RX54" s="20" t="n">
        <f aca="false">IF(AND(HU54=1,DJ54=1),(LB54+LF54)/F54,0)</f>
        <v>0</v>
      </c>
      <c r="RY54" s="20" t="n">
        <f aca="false">IF(B54=0,LB54+LF54,0)</f>
        <v>0</v>
      </c>
      <c r="RZ54" s="20" t="n">
        <f aca="false">IF(B54=0,IF(HU54=1,LD54,LE54),0)</f>
        <v>0</v>
      </c>
      <c r="SA54" s="20" t="n">
        <f aca="false">IF(DT54=1,IF(HU54=1,LK54+LN54,DU54-PI54)*(1+Slot11_Rate),0)</f>
        <v>0</v>
      </c>
      <c r="SB54" s="20" t="n">
        <f aca="false">IF(AND(HU54=1,DT54=1),(LJ54+LN54)/F54,0)</f>
        <v>0</v>
      </c>
      <c r="SC54" s="20" t="n">
        <f aca="false">IF(B54=0,LJ54+LN54,0)</f>
        <v>0</v>
      </c>
      <c r="SD54" s="20" t="n">
        <f aca="false">IF(B54=0,IF(HU54=1,LL54,LM54),0)</f>
        <v>0</v>
      </c>
      <c r="SE54" s="20" t="n">
        <f aca="false">IF(ED54=1,IF(HU54=1,LS54+LV54,EE54-PG54)*(1+Slot12_Rate),0)</f>
        <v>0</v>
      </c>
      <c r="SF54" s="20" t="n">
        <f aca="false">IF(AND(HU54=1,ED54=1),(LR54+LV54)/F54,0)</f>
        <v>0</v>
      </c>
      <c r="SG54" s="20" t="n">
        <f aca="false">IF(B54=0,LR54+LV54,0)</f>
        <v>0</v>
      </c>
      <c r="SH54" s="20" t="n">
        <f aca="false">IF(B54=0,IF(HU54=1,LT54,LU54),0)</f>
        <v>0</v>
      </c>
      <c r="SI54" s="20" t="n">
        <f aca="false">IF(EN54=1,IF(HU54=1,MA54+MD54,EO54-PE54)*(1+Slot13_Rate),0)</f>
        <v>0</v>
      </c>
      <c r="SJ54" s="20" t="n">
        <f aca="false">IF(AND(HU54=1,EN54=1),(LZ54+MD54)/F54,0)</f>
        <v>0</v>
      </c>
      <c r="SK54" s="20" t="n">
        <f aca="false">IF(B54=0,LZ54+MD54,0)</f>
        <v>0</v>
      </c>
      <c r="SL54" s="20" t="n">
        <f aca="false">IF(B54=0,IF(HU54=1,MB54,MC54),0)</f>
        <v>0</v>
      </c>
      <c r="SM54" s="20" t="n">
        <f aca="false">IF(EX54=1,IF(HU54=1,MI54+ML54,EY54-PC54)*(1+Slot14_Rate),0)</f>
        <v>0</v>
      </c>
      <c r="SN54" s="20" t="n">
        <f aca="false">IF(AND(HU54=1,EX54=1),(MH54+ML54)/F54,0)</f>
        <v>0</v>
      </c>
      <c r="SO54" s="20" t="n">
        <f aca="false">IF(B54=0,MH54+ML54,0)</f>
        <v>0</v>
      </c>
      <c r="SP54" s="20" t="n">
        <f aca="false">IF(B54=0,IF(HU54=1,MJ54,MK54),0)</f>
        <v>0</v>
      </c>
      <c r="SQ54" s="20" t="n">
        <f aca="false">IF(FH54=1,IF(HU54=1,MQ54+MT54,FI54-PA54)*(1+Slot15_Rate),0)</f>
        <v>0</v>
      </c>
      <c r="SR54" s="20" t="n">
        <f aca="false">IF(AND(HU54=1,FH54=1),(MP54+MT54)/F54,0)</f>
        <v>0</v>
      </c>
      <c r="SS54" s="20" t="n">
        <f aca="false">IF(B54=0,MP54+MT54,0)</f>
        <v>0</v>
      </c>
      <c r="ST54" s="20" t="n">
        <f aca="false">IF(B54=0,IF(HU54=1,MR54,MS54),0)</f>
        <v>0</v>
      </c>
      <c r="SU54" s="20" t="n">
        <f aca="false">IF(FR54=1,IF(HU54=1,MY54+NB54,FS54-OY54)*(1+Slot16_Rate),0)</f>
        <v>0</v>
      </c>
      <c r="SV54" s="20" t="n">
        <f aca="false">IF(AND(HU54=1,FR54=1),(MX54+NB54)/F54,0)</f>
        <v>0</v>
      </c>
      <c r="SW54" s="20" t="n">
        <f aca="false">IF(B54=0,MX54+NB54,0)</f>
        <v>0</v>
      </c>
      <c r="SX54" s="20" t="n">
        <f aca="false">IF(B54=0,IF(HU54=1,MZ54,NA54),0)</f>
        <v>0</v>
      </c>
      <c r="SY54" s="20" t="n">
        <f aca="false">IF(GB54=1,IF(HU54=1,NG54+NJ54,GC54-OW54)*(1+Slot17_Rate),0)</f>
        <v>0</v>
      </c>
      <c r="SZ54" s="20" t="n">
        <f aca="false">IF(AND(HU54=1,GB54=1),(NF54+NJ54)/F54,0)</f>
        <v>0</v>
      </c>
      <c r="TA54" s="20" t="n">
        <f aca="false">IF(B54=0,NF54+NJ54,0)</f>
        <v>0</v>
      </c>
      <c r="TB54" s="20" t="n">
        <f aca="false">IF(B54=0,IF(HU54=1,NH54,NI54),0)</f>
        <v>0</v>
      </c>
      <c r="TC54" s="20" t="n">
        <f aca="false">IF(GL54=1,IF(HU54=1,NO54+NR54,GM54-OU54)*(1+Slot18_Rate),0)</f>
        <v>0</v>
      </c>
      <c r="TD54" s="20" t="n">
        <f aca="false">IF(AND(HU54=1,GL54=1),(NN54+NR54)/F54,0)</f>
        <v>0</v>
      </c>
      <c r="TE54" s="20" t="n">
        <f aca="false">IF(B54=0,NN54+NR54,0)</f>
        <v>0</v>
      </c>
      <c r="TF54" s="20" t="n">
        <f aca="false">IF(B54=0,IF(HU54=1,NP54,NQ54),0)</f>
        <v>0</v>
      </c>
      <c r="TG54" s="20" t="n">
        <f aca="false">IF(GV54=1,IF(HU54=1,NW54+NZ54,GW54-OS54)*(1+Slot19_Rate),0)</f>
        <v>0</v>
      </c>
      <c r="TH54" s="20" t="n">
        <f aca="false">IF(AND(HU54=1,GV54=1),(NV54+NZ54)/F54,0)</f>
        <v>0</v>
      </c>
      <c r="TI54" s="20" t="n">
        <f aca="false">IF(B54=0,NV54+NZ54,0)</f>
        <v>0</v>
      </c>
      <c r="TJ54" s="20" t="n">
        <f aca="false">IF(B54=0,IF(HU54=1,NX54,NY54),0)</f>
        <v>0</v>
      </c>
      <c r="TK54" s="20" t="n">
        <f aca="false">IF(HF54=1,IF(HU54=1,OE54+OH54,HG54-OQ54)*(1+Slot20_Rate),0)</f>
        <v>0</v>
      </c>
      <c r="TL54" s="20" t="n">
        <f aca="false">IF(AND(HU54=1,HF54=1),(OD54+OH54)/F54,0)</f>
        <v>0</v>
      </c>
      <c r="TM54" s="20" t="n">
        <f aca="false">IF(B54=0,OD54+OH54,0)</f>
        <v>0</v>
      </c>
      <c r="TN54" s="20" t="n">
        <f aca="false">IF(B54=0,IF(HU54=1,OF54,OG54),0)</f>
        <v>0</v>
      </c>
      <c r="TO54" s="20" t="n">
        <f aca="false">QK54+QL54+QM54+QQ54+QU54+QY54+RC54+RG54+RK54+RO54+RS54+RW54+SA54+SE54+SI54+SM54+SQ54+SU54+SY54+TC54+TG54+TK54</f>
        <v>0</v>
      </c>
      <c r="TP54" s="20" t="n">
        <f aca="false">QE54+HP54</f>
        <v>26217.5085613345</v>
      </c>
      <c r="TQ54" s="20" t="n">
        <f aca="false">I54+S54</f>
        <v>118860.019633672</v>
      </c>
      <c r="TR54" s="20" t="n">
        <f aca="false">1-G54</f>
        <v>1</v>
      </c>
      <c r="TS54" s="20" t="n">
        <f aca="false">IF(AND(RG_Exists=1,G54=0,C54=1),I54,0)</f>
        <v>118860.019633672</v>
      </c>
      <c r="TT54" s="20" t="n">
        <f aca="false">IF(AND(RG_Exists=1,G54=0,C54=1),I54-MIN(QE54,I54),0)</f>
        <v>92642.5110723379</v>
      </c>
      <c r="TU54" s="20" t="n">
        <f aca="false">'Plan pay &amp; tax'!AD280</f>
        <v>271343.297322234</v>
      </c>
      <c r="TV54" s="20" t="n">
        <f aca="false">IF(AND(C54=1,QE54&gt;MAX(PR_Short1,TQ54*PR_Short2)),1,0)</f>
        <v>1</v>
      </c>
      <c r="TW54" s="20" t="n">
        <f aca="false">MIN(H54,I54+S54)</f>
        <v>92642.5110723379</v>
      </c>
      <c r="TX54" s="20" t="n">
        <f aca="false">QF54+MAX(0,HQ54-HP54)</f>
        <v>0</v>
      </c>
      <c r="TY54" s="20" t="n">
        <f aca="false">QE54+HP54</f>
        <v>26217.5085613345</v>
      </c>
      <c r="TZ54" s="20" t="n">
        <f aca="false">IF(AND(C54=1,TY54&gt;PR_MinShort),1,0)</f>
        <v>1</v>
      </c>
      <c r="UA54" s="20" t="n">
        <f aca="false">IF(AND(C54=1,TZ54=0,TX54&gt;PR_MinShort),1,0)</f>
        <v>0</v>
      </c>
      <c r="UB54" s="20" t="n">
        <f aca="false">IF(AND(C54=1,QE54&gt;PR_MinShort),1,0)</f>
        <v>1</v>
      </c>
      <c r="UC54" s="20" t="n">
        <f aca="false">IF(AND(C54=1,QF54&gt;1,UJ54=0),1,0)</f>
        <v>0</v>
      </c>
      <c r="UD54" s="20" t="str">
        <f aca="false">IF(C54=0,"",IF(UJ54=1,"Gap to plan for: short "&amp;"€"&amp;TEXT(ROUND(TP54,0),"#,##0"),IF(QF54&gt;1,"Using savings","Comfortable")))</f>
        <v>Gap to plan for: short €26,218</v>
      </c>
      <c r="UE54" s="20" t="n">
        <f aca="false">IF(AND(INT(D54/10)*10=90,B54&gt;0),80,INT(D54/10)*10)</f>
        <v>80</v>
      </c>
      <c r="UF54" s="20" t="n">
        <f aca="false">IF(B54=0,1,IF(UE54&lt;&gt;UE53,UF53+1,UF53))</f>
        <v>6</v>
      </c>
      <c r="UG54" s="20" t="n">
        <f aca="false">IF(AND(C54=1,G54=1,QE54&gt;MAX(PR_Short1,TQ54*PR_Short2)),1,0)</f>
        <v>0</v>
      </c>
      <c r="UH54" s="20" t="n">
        <f aca="false">TR54*TV54</f>
        <v>1</v>
      </c>
      <c r="UI54" s="20" t="n">
        <f aca="false">IF(AND(V54=1,Slot1_PctLow=1),1,0)+IF(AND(AG54=1,Slot2_PctLow=1),1,0)+IF(AND(AQ54=1,Slot3_PctLow=1),1,0)+IF(AND(BA54=1,Slot4_PctLow=1),1,0)+IF(AND(BK54=1,Slot5_PctLow=1),1,0)+IF(AND(BU54=1,Slot6_PctLow=1),1,0)+IF(AND(CE54=1,Slot7_PctLow=1),1,0)+IF(AND(CO54=1,Slot8_PctLow=1),1,0)+IF(AND(CY54=1,Slot9_PctLow=1),1,0)+IF(AND(DI54=1,Slot10_PctLow=1),1,0)+IF(AND(DS54=1,Slot11_PctLow=1),1,0)+IF(AND(EC54=1,Slot12_PctLow=1),1,0)+IF(AND(EM54=1,Slot13_PctLow=1),1,0)+IF(AND(EW54=1,Slot14_PctLow=1),1,0)+IF(AND(FG54=1,Slot15_PctLow=1),1,0)+IF(AND(FQ54=1,Slot16_PctLow=1),1,0)+IF(AND(GA54=1,Slot17_PctLow=1),1,0)+IF(AND(GK54=1,Slot18_PctLow=1),1,0)+IF(AND(GU54=1,Slot19_PctLow=1),1,0)+IF(AND(HE54=1,Slot20_PctLow=1),1,0)</f>
        <v>0</v>
      </c>
      <c r="UJ54" s="20" t="n">
        <f aca="false">IF(C54=1,IF(OR(TV54=1,UI54&gt;0),1,0),0)</f>
        <v>1</v>
      </c>
    </row>
    <row r="55" customFormat="false" ht="15" hidden="false" customHeight="true" outlineLevel="0" collapsed="false">
      <c r="B55" s="20" t="n">
        <v>47</v>
      </c>
      <c r="C55" s="20" t="n">
        <f aca="false">IF(B55&lt;=F_N,1,0)</f>
        <v>1</v>
      </c>
      <c r="D55" s="20" t="n">
        <f aca="false">'Plan pay &amp; tax'!C281</f>
        <v>85</v>
      </c>
      <c r="E55" s="20" t="str">
        <f aca="false">IF($C55=1,"Income tax "&amp;TEXT(N('Plan pay &amp; tax'!BK281),"#,##0")&amp;"; USC "&amp;TEXT(N('Plan pay &amp; tax'!BM281)+N('Plan pay &amp; tax'!BO281),"#,##0")&amp;"; PRSI "&amp;TEXT(N('Plan pay &amp; tax'!BP281)+N('Plan pay &amp; tax'!BQ281),"#,##0")&amp;". DIRT and exit tax are inside the growth rates here.","")</f>
        <v>Income tax 917; USC 0; PRSI 0. DIRT and exit tax are inside the growth rates here.</v>
      </c>
      <c r="F55" s="44" t="n">
        <f aca="false">'Plan pay &amp; tax'!E281</f>
        <v>2.53634351519552</v>
      </c>
      <c r="G55" s="20" t="n">
        <f aca="false">'Plan pay &amp; tax'!G281</f>
        <v>0</v>
      </c>
      <c r="H55" s="20" t="n">
        <f aca="false">'Plan pay &amp; tax'!BT281-'Plan pay &amp; tax'!BS281-'Plan pay &amp; tax'!R281</f>
        <v>94715.3726043531</v>
      </c>
      <c r="I55" s="20" t="n">
        <f aca="false">IF(G55=1,F_CostsM*12,IF(RG_Exists=1,RG_Amount,F_CostsM*12*AS_RetireSpend))*F55+F_OneOffY*F55</f>
        <v>121237.220026346</v>
      </c>
      <c r="J55" s="20" t="n">
        <f aca="false">HR54</f>
        <v>0</v>
      </c>
      <c r="K55" s="20" t="n">
        <f aca="false">IF(J55&gt;1,'Plan debt months'!AC55,0)</f>
        <v>0</v>
      </c>
      <c r="L55" s="20" t="n">
        <f aca="false">IF(J55&gt;1,'Plan debt months'!AB55,J55)</f>
        <v>0</v>
      </c>
      <c r="M55" s="20" t="n">
        <f aca="false">O54</f>
        <v>0</v>
      </c>
      <c r="N55" s="20" t="n">
        <f aca="false">IF(M55&gt;1,'Plan debt months'!BD55,0)</f>
        <v>0</v>
      </c>
      <c r="O55" s="20" t="n">
        <f aca="false">IF(M55&gt;1,'Plan debt months'!BC55,M55)</f>
        <v>0</v>
      </c>
      <c r="P55" s="20" t="n">
        <f aca="false">R54</f>
        <v>0</v>
      </c>
      <c r="Q55" s="20" t="n">
        <f aca="false">IF(P55&gt;1,'Plan debt months'!CE55,0)</f>
        <v>0</v>
      </c>
      <c r="R55" s="20" t="n">
        <f aca="false">IF(P55&gt;1,'Plan debt months'!CD55,P55)</f>
        <v>0</v>
      </c>
      <c r="S55" s="20" t="n">
        <f aca="false">K55+N55+Q55</f>
        <v>0</v>
      </c>
      <c r="T55" s="20" t="n">
        <f aca="false">QK54+'Plan pay &amp; tax'!Y281</f>
        <v>0</v>
      </c>
      <c r="U55" s="20" t="n">
        <f aca="false">QK54</f>
        <v>0</v>
      </c>
      <c r="V55" s="20" t="n">
        <f aca="false">IF(AND(Slot1_On=1,D55=Slot1_Age),1,0)</f>
        <v>0</v>
      </c>
      <c r="W55" s="20" t="n">
        <f aca="false">IF(AND(Slot1_On=1,Slot1_Age&gt;D55),1,0)</f>
        <v>0</v>
      </c>
      <c r="X55" s="20" t="n">
        <f aca="false">QM54</f>
        <v>0</v>
      </c>
      <c r="Y55" s="20" t="n">
        <f aca="false">V55*MIN(Slot1_Cost,X55)</f>
        <v>0</v>
      </c>
      <c r="Z55" s="20" t="n">
        <f aca="false">V55*Slot1_SpendLike*MIN(Slot1_Cost-Y55,T55)</f>
        <v>0</v>
      </c>
      <c r="AA55" s="20" t="n">
        <f aca="false">Y55+Z55</f>
        <v>0</v>
      </c>
      <c r="AB55" s="20" t="n">
        <f aca="false">T55-Z55+V55*IF(Slot1_SpendLike=1,X55-Y55,IF(Slot1_PotFree=1,X55,0))</f>
        <v>0</v>
      </c>
      <c r="AC55" s="20" t="n">
        <f aca="false">AF55+V55*Slot1_BufPot*X55</f>
        <v>0</v>
      </c>
      <c r="AD55" s="20" t="n">
        <f aca="false">IF(AND(V55=1,Slot1_IsMfree=1),IF(AA55&gt;=Slot1_Cost-1,0,MAX(0,L55-AA55)),L55)</f>
        <v>0</v>
      </c>
      <c r="AE55" s="20" t="n">
        <f aca="false">V55*(Slot1_Cost-AA55)</f>
        <v>0</v>
      </c>
      <c r="AF55" s="20" t="n">
        <f aca="false">QL54</f>
        <v>0</v>
      </c>
      <c r="AG55" s="20" t="n">
        <f aca="false">IF(AND(Slot2_On=1,D55=Slot2_Age),1,0)</f>
        <v>0</v>
      </c>
      <c r="AH55" s="20" t="n">
        <f aca="false">IF(AND(Slot2_On=1,Slot2_Age&gt;D55),1,0)</f>
        <v>0</v>
      </c>
      <c r="AI55" s="20" t="n">
        <f aca="false">QQ54</f>
        <v>0</v>
      </c>
      <c r="AJ55" s="20" t="n">
        <f aca="false">AG55*MIN(Slot2_Cost,AI55)</f>
        <v>0</v>
      </c>
      <c r="AK55" s="20" t="n">
        <f aca="false">AG55*Slot2_SpendLike*MIN(Slot2_Cost-AJ55,AB55)</f>
        <v>0</v>
      </c>
      <c r="AL55" s="20" t="n">
        <f aca="false">AJ55+AK55</f>
        <v>0</v>
      </c>
      <c r="AM55" s="20" t="n">
        <f aca="false">AB55-AK55+AG55*IF(Slot2_SpendLike=1,AI55-AJ55,IF(Slot2_PotFree=1,AI55,0))</f>
        <v>0</v>
      </c>
      <c r="AN55" s="20" t="n">
        <f aca="false">AC55+AG55*Slot2_BufPot*AI55</f>
        <v>0</v>
      </c>
      <c r="AO55" s="20" t="n">
        <f aca="false">IF(AND(AG55=1,Slot2_IsMfree=1),IF(AL55&gt;=Slot2_Cost-1,0,MAX(0,AD55-AL55)),AD55)</f>
        <v>0</v>
      </c>
      <c r="AP55" s="20" t="n">
        <f aca="false">AG55*(Slot2_Cost-AL55)</f>
        <v>0</v>
      </c>
      <c r="AQ55" s="20" t="n">
        <f aca="false">IF(AND(Slot3_On=1,D55=Slot3_Age),1,0)</f>
        <v>0</v>
      </c>
      <c r="AR55" s="20" t="n">
        <f aca="false">IF(AND(Slot3_On=1,Slot3_Age&gt;D55),1,0)</f>
        <v>0</v>
      </c>
      <c r="AS55" s="20" t="n">
        <f aca="false">QU54</f>
        <v>0</v>
      </c>
      <c r="AT55" s="20" t="n">
        <f aca="false">AQ55*MIN(Slot3_Cost,AS55)</f>
        <v>0</v>
      </c>
      <c r="AU55" s="20" t="n">
        <f aca="false">AQ55*Slot3_SpendLike*MIN(Slot3_Cost-AT55,AM55)</f>
        <v>0</v>
      </c>
      <c r="AV55" s="20" t="n">
        <f aca="false">AT55+AU55</f>
        <v>0</v>
      </c>
      <c r="AW55" s="20" t="n">
        <f aca="false">AM55-AU55+AQ55*IF(Slot3_SpendLike=1,AS55-AT55,IF(Slot3_PotFree=1,AS55,0))</f>
        <v>0</v>
      </c>
      <c r="AX55" s="20" t="n">
        <f aca="false">AN55+AQ55*Slot3_BufPot*AS55</f>
        <v>0</v>
      </c>
      <c r="AY55" s="20" t="n">
        <f aca="false">IF(AND(AQ55=1,Slot3_IsMfree=1),IF(AV55&gt;=Slot3_Cost-1,0,MAX(0,AO55-AV55)),AO55)</f>
        <v>0</v>
      </c>
      <c r="AZ55" s="20" t="n">
        <f aca="false">AQ55*(Slot3_Cost-AV55)</f>
        <v>0</v>
      </c>
      <c r="BA55" s="20" t="n">
        <f aca="false">IF(AND(Slot4_On=1,D55=Slot4_Age),1,0)</f>
        <v>0</v>
      </c>
      <c r="BB55" s="20" t="n">
        <f aca="false">IF(AND(Slot4_On=1,Slot4_Age&gt;D55),1,0)</f>
        <v>0</v>
      </c>
      <c r="BC55" s="20" t="n">
        <f aca="false">QY54</f>
        <v>0</v>
      </c>
      <c r="BD55" s="20" t="n">
        <f aca="false">BA55*MIN(Slot4_Cost,BC55)</f>
        <v>0</v>
      </c>
      <c r="BE55" s="20" t="n">
        <f aca="false">BA55*Slot4_SpendLike*MIN(Slot4_Cost-BD55,AW55)</f>
        <v>0</v>
      </c>
      <c r="BF55" s="20" t="n">
        <f aca="false">BD55+BE55</f>
        <v>0</v>
      </c>
      <c r="BG55" s="20" t="n">
        <f aca="false">AW55-BE55+BA55*IF(Slot4_SpendLike=1,BC55-BD55,IF(Slot4_PotFree=1,BC55,0))</f>
        <v>0</v>
      </c>
      <c r="BH55" s="20" t="n">
        <f aca="false">AX55+BA55*Slot4_BufPot*BC55</f>
        <v>0</v>
      </c>
      <c r="BI55" s="20" t="n">
        <f aca="false">IF(AND(BA55=1,Slot4_IsMfree=1),IF(BF55&gt;=Slot4_Cost-1,0,MAX(0,AY55-BF55)),AY55)</f>
        <v>0</v>
      </c>
      <c r="BJ55" s="20" t="n">
        <f aca="false">BA55*(Slot4_Cost-BF55)</f>
        <v>0</v>
      </c>
      <c r="BK55" s="20" t="n">
        <f aca="false">IF(AND(Slot5_On=1,D55=Slot5_Age),1,0)</f>
        <v>0</v>
      </c>
      <c r="BL55" s="20" t="n">
        <f aca="false">IF(AND(Slot5_On=1,Slot5_Age&gt;D55),1,0)</f>
        <v>0</v>
      </c>
      <c r="BM55" s="20" t="n">
        <f aca="false">RC54</f>
        <v>0</v>
      </c>
      <c r="BN55" s="20" t="n">
        <f aca="false">BK55*MIN(Slot5_Cost,BM55)</f>
        <v>0</v>
      </c>
      <c r="BO55" s="20" t="n">
        <f aca="false">BK55*Slot5_SpendLike*MIN(Slot5_Cost-BN55,BG55)</f>
        <v>0</v>
      </c>
      <c r="BP55" s="20" t="n">
        <f aca="false">BN55+BO55</f>
        <v>0</v>
      </c>
      <c r="BQ55" s="20" t="n">
        <f aca="false">BG55-BO55+BK55*IF(Slot5_SpendLike=1,BM55-BN55,IF(Slot5_PotFree=1,BM55,0))</f>
        <v>0</v>
      </c>
      <c r="BR55" s="20" t="n">
        <f aca="false">BH55+BK55*Slot5_BufPot*BM55</f>
        <v>0</v>
      </c>
      <c r="BS55" s="20" t="n">
        <f aca="false">IF(AND(BK55=1,Slot5_IsMfree=1),IF(BP55&gt;=Slot5_Cost-1,0,MAX(0,BI55-BP55)),BI55)</f>
        <v>0</v>
      </c>
      <c r="BT55" s="20" t="n">
        <f aca="false">BK55*(Slot5_Cost-BP55)</f>
        <v>0</v>
      </c>
      <c r="BU55" s="20" t="n">
        <f aca="false">IF(AND(Slot6_On=1,D55=Slot6_Age),1,0)</f>
        <v>0</v>
      </c>
      <c r="BV55" s="20" t="n">
        <f aca="false">IF(AND(Slot6_On=1,Slot6_Age&gt;D55),1,0)</f>
        <v>0</v>
      </c>
      <c r="BW55" s="20" t="n">
        <f aca="false">RG54</f>
        <v>0</v>
      </c>
      <c r="BX55" s="20" t="n">
        <f aca="false">BU55*MIN(Slot6_Cost,BW55)</f>
        <v>0</v>
      </c>
      <c r="BY55" s="20" t="n">
        <f aca="false">BU55*Slot6_SpendLike*MIN(Slot6_Cost-BX55,BQ55)</f>
        <v>0</v>
      </c>
      <c r="BZ55" s="20" t="n">
        <f aca="false">BX55+BY55</f>
        <v>0</v>
      </c>
      <c r="CA55" s="20" t="n">
        <f aca="false">BQ55-BY55+BU55*IF(Slot6_SpendLike=1,BW55-BX55,IF(Slot6_PotFree=1,BW55,0))</f>
        <v>0</v>
      </c>
      <c r="CB55" s="20" t="n">
        <f aca="false">BR55+BU55*Slot6_BufPot*BW55</f>
        <v>0</v>
      </c>
      <c r="CC55" s="20" t="n">
        <f aca="false">IF(AND(BU55=1,Slot6_IsMfree=1),IF(BZ55&gt;=Slot6_Cost-1,0,MAX(0,BS55-BZ55)),BS55)</f>
        <v>0</v>
      </c>
      <c r="CD55" s="20" t="n">
        <f aca="false">BU55*(Slot6_Cost-BZ55)</f>
        <v>0</v>
      </c>
      <c r="CE55" s="20" t="n">
        <f aca="false">IF(AND(Slot7_On=1,D55=Slot7_Age),1,0)</f>
        <v>0</v>
      </c>
      <c r="CF55" s="20" t="n">
        <f aca="false">IF(AND(Slot7_On=1,Slot7_Age&gt;D55),1,0)</f>
        <v>0</v>
      </c>
      <c r="CG55" s="20" t="n">
        <f aca="false">RK54</f>
        <v>0</v>
      </c>
      <c r="CH55" s="20" t="n">
        <f aca="false">CE55*MIN(Slot7_Cost,CG55)</f>
        <v>0</v>
      </c>
      <c r="CI55" s="20" t="n">
        <f aca="false">CE55*Slot7_SpendLike*MIN(Slot7_Cost-CH55,CA55)</f>
        <v>0</v>
      </c>
      <c r="CJ55" s="20" t="n">
        <f aca="false">CH55+CI55</f>
        <v>0</v>
      </c>
      <c r="CK55" s="20" t="n">
        <f aca="false">CA55-CI55+CE55*IF(Slot7_SpendLike=1,CG55-CH55,IF(Slot7_PotFree=1,CG55,0))</f>
        <v>0</v>
      </c>
      <c r="CL55" s="20" t="n">
        <f aca="false">CB55+CE55*Slot7_BufPot*CG55</f>
        <v>0</v>
      </c>
      <c r="CM55" s="20" t="n">
        <f aca="false">IF(AND(CE55=1,Slot7_IsMfree=1),IF(CJ55&gt;=Slot7_Cost-1,0,MAX(0,CC55-CJ55)),CC55)</f>
        <v>0</v>
      </c>
      <c r="CN55" s="20" t="n">
        <f aca="false">CE55*(Slot7_Cost-CJ55)</f>
        <v>0</v>
      </c>
      <c r="CO55" s="20" t="n">
        <f aca="false">IF(AND(Slot8_On=1,D55=Slot8_Age),1,0)</f>
        <v>0</v>
      </c>
      <c r="CP55" s="20" t="n">
        <f aca="false">IF(AND(Slot8_On=1,Slot8_Age&gt;D55),1,0)</f>
        <v>0</v>
      </c>
      <c r="CQ55" s="20" t="n">
        <f aca="false">RO54</f>
        <v>0</v>
      </c>
      <c r="CR55" s="20" t="n">
        <f aca="false">CO55*MIN(Slot8_Cost,CQ55)</f>
        <v>0</v>
      </c>
      <c r="CS55" s="20" t="n">
        <f aca="false">CO55*Slot8_SpendLike*MIN(Slot8_Cost-CR55,CK55)</f>
        <v>0</v>
      </c>
      <c r="CT55" s="20" t="n">
        <f aca="false">CR55+CS55</f>
        <v>0</v>
      </c>
      <c r="CU55" s="20" t="n">
        <f aca="false">CK55-CS55+CO55*IF(Slot8_SpendLike=1,CQ55-CR55,IF(Slot8_PotFree=1,CQ55,0))</f>
        <v>0</v>
      </c>
      <c r="CV55" s="20" t="n">
        <f aca="false">CL55+CO55*Slot8_BufPot*CQ55</f>
        <v>0</v>
      </c>
      <c r="CW55" s="20" t="n">
        <f aca="false">IF(AND(CO55=1,Slot8_IsMfree=1),IF(CT55&gt;=Slot8_Cost-1,0,MAX(0,CM55-CT55)),CM55)</f>
        <v>0</v>
      </c>
      <c r="CX55" s="20" t="n">
        <f aca="false">CO55*(Slot8_Cost-CT55)</f>
        <v>0</v>
      </c>
      <c r="CY55" s="20" t="n">
        <f aca="false">IF(AND(Slot9_On=1,D55=Slot9_Age),1,0)</f>
        <v>0</v>
      </c>
      <c r="CZ55" s="20" t="n">
        <f aca="false">IF(AND(Slot9_On=1,Slot9_Age&gt;D55),1,0)</f>
        <v>0</v>
      </c>
      <c r="DA55" s="20" t="n">
        <f aca="false">RS54</f>
        <v>0</v>
      </c>
      <c r="DB55" s="20" t="n">
        <f aca="false">CY55*MIN(Slot9_Cost,DA55)</f>
        <v>0</v>
      </c>
      <c r="DC55" s="20" t="n">
        <f aca="false">CY55*Slot9_SpendLike*MIN(Slot9_Cost-DB55,CU55)</f>
        <v>0</v>
      </c>
      <c r="DD55" s="20" t="n">
        <f aca="false">DB55+DC55</f>
        <v>0</v>
      </c>
      <c r="DE55" s="20" t="n">
        <f aca="false">CU55-DC55+CY55*IF(Slot9_SpendLike=1,DA55-DB55,IF(Slot9_PotFree=1,DA55,0))</f>
        <v>0</v>
      </c>
      <c r="DF55" s="20" t="n">
        <f aca="false">CV55+CY55*Slot9_BufPot*DA55</f>
        <v>0</v>
      </c>
      <c r="DG55" s="20" t="n">
        <f aca="false">IF(AND(CY55=1,Slot9_IsMfree=1),IF(DD55&gt;=Slot9_Cost-1,0,MAX(0,CW55-DD55)),CW55)</f>
        <v>0</v>
      </c>
      <c r="DH55" s="20" t="n">
        <f aca="false">CY55*(Slot9_Cost-DD55)</f>
        <v>0</v>
      </c>
      <c r="DI55" s="20" t="n">
        <f aca="false">IF(AND(Slot10_On=1,D55=Slot10_Age),1,0)</f>
        <v>0</v>
      </c>
      <c r="DJ55" s="20" t="n">
        <f aca="false">IF(AND(Slot10_On=1,Slot10_Age&gt;D55),1,0)</f>
        <v>0</v>
      </c>
      <c r="DK55" s="20" t="n">
        <f aca="false">RW54</f>
        <v>0</v>
      </c>
      <c r="DL55" s="20" t="n">
        <f aca="false">DI55*MIN(Slot10_Cost,DK55)</f>
        <v>0</v>
      </c>
      <c r="DM55" s="20" t="n">
        <f aca="false">DI55*Slot10_SpendLike*MIN(Slot10_Cost-DL55,DE55)</f>
        <v>0</v>
      </c>
      <c r="DN55" s="20" t="n">
        <f aca="false">DL55+DM55</f>
        <v>0</v>
      </c>
      <c r="DO55" s="20" t="n">
        <f aca="false">DE55-DM55+DI55*IF(Slot10_SpendLike=1,DK55-DL55,IF(Slot10_PotFree=1,DK55,0))</f>
        <v>0</v>
      </c>
      <c r="DP55" s="20" t="n">
        <f aca="false">DF55+DI55*Slot10_BufPot*DK55</f>
        <v>0</v>
      </c>
      <c r="DQ55" s="20" t="n">
        <f aca="false">IF(AND(DI55=1,Slot10_IsMfree=1),IF(DN55&gt;=Slot10_Cost-1,0,MAX(0,DG55-DN55)),DG55)</f>
        <v>0</v>
      </c>
      <c r="DR55" s="20" t="n">
        <f aca="false">DI55*(Slot10_Cost-DN55)</f>
        <v>0</v>
      </c>
      <c r="DS55" s="20" t="n">
        <f aca="false">IF(AND(Slot11_On=1,D55=Slot11_Age),1,0)</f>
        <v>0</v>
      </c>
      <c r="DT55" s="20" t="n">
        <f aca="false">IF(AND(Slot11_On=1,Slot11_Age&gt;D55),1,0)</f>
        <v>0</v>
      </c>
      <c r="DU55" s="20" t="n">
        <f aca="false">SA54</f>
        <v>0</v>
      </c>
      <c r="DV55" s="20" t="n">
        <f aca="false">DS55*MIN(Slot11_Cost,DU55)</f>
        <v>0</v>
      </c>
      <c r="DW55" s="20" t="n">
        <f aca="false">DS55*Slot11_SpendLike*MIN(Slot11_Cost-DV55,DO55)</f>
        <v>0</v>
      </c>
      <c r="DX55" s="20" t="n">
        <f aca="false">DV55+DW55</f>
        <v>0</v>
      </c>
      <c r="DY55" s="20" t="n">
        <f aca="false">DO55-DW55+DS55*IF(Slot11_SpendLike=1,DU55-DV55,IF(Slot11_PotFree=1,DU55,0))</f>
        <v>0</v>
      </c>
      <c r="DZ55" s="20" t="n">
        <f aca="false">DP55+DS55*Slot11_BufPot*DU55</f>
        <v>0</v>
      </c>
      <c r="EA55" s="20" t="n">
        <f aca="false">IF(AND(DS55=1,Slot11_IsMfree=1),IF(DX55&gt;=Slot11_Cost-1,0,MAX(0,DQ55-DX55)),DQ55)</f>
        <v>0</v>
      </c>
      <c r="EB55" s="20" t="n">
        <f aca="false">DS55*(Slot11_Cost-DX55)</f>
        <v>0</v>
      </c>
      <c r="EC55" s="20" t="n">
        <f aca="false">IF(AND(Slot12_On=1,D55=Slot12_Age),1,0)</f>
        <v>0</v>
      </c>
      <c r="ED55" s="20" t="n">
        <f aca="false">IF(AND(Slot12_On=1,Slot12_Age&gt;D55),1,0)</f>
        <v>0</v>
      </c>
      <c r="EE55" s="20" t="n">
        <f aca="false">SE54</f>
        <v>0</v>
      </c>
      <c r="EF55" s="20" t="n">
        <f aca="false">EC55*MIN(Slot12_Cost,EE55)</f>
        <v>0</v>
      </c>
      <c r="EG55" s="20" t="n">
        <f aca="false">EC55*Slot12_SpendLike*MIN(Slot12_Cost-EF55,DY55)</f>
        <v>0</v>
      </c>
      <c r="EH55" s="20" t="n">
        <f aca="false">EF55+EG55</f>
        <v>0</v>
      </c>
      <c r="EI55" s="20" t="n">
        <f aca="false">DY55-EG55+EC55*IF(Slot12_SpendLike=1,EE55-EF55,IF(Slot12_PotFree=1,EE55,0))</f>
        <v>0</v>
      </c>
      <c r="EJ55" s="20" t="n">
        <f aca="false">DZ55+EC55*Slot12_BufPot*EE55</f>
        <v>0</v>
      </c>
      <c r="EK55" s="20" t="n">
        <f aca="false">IF(AND(EC55=1,Slot12_IsMfree=1),IF(EH55&gt;=Slot12_Cost-1,0,MAX(0,EA55-EH55)),EA55)</f>
        <v>0</v>
      </c>
      <c r="EL55" s="20" t="n">
        <f aca="false">EC55*(Slot12_Cost-EH55)</f>
        <v>0</v>
      </c>
      <c r="EM55" s="20" t="n">
        <f aca="false">IF(AND(Slot13_On=1,D55=Slot13_Age),1,0)</f>
        <v>0</v>
      </c>
      <c r="EN55" s="20" t="n">
        <f aca="false">IF(AND(Slot13_On=1,Slot13_Age&gt;D55),1,0)</f>
        <v>0</v>
      </c>
      <c r="EO55" s="20" t="n">
        <f aca="false">SI54</f>
        <v>0</v>
      </c>
      <c r="EP55" s="20" t="n">
        <f aca="false">EM55*MIN(Slot13_Cost,EO55)</f>
        <v>0</v>
      </c>
      <c r="EQ55" s="20" t="n">
        <f aca="false">EM55*Slot13_SpendLike*MIN(Slot13_Cost-EP55,EI55)</f>
        <v>0</v>
      </c>
      <c r="ER55" s="20" t="n">
        <f aca="false">EP55+EQ55</f>
        <v>0</v>
      </c>
      <c r="ES55" s="20" t="n">
        <f aca="false">EI55-EQ55+EM55*IF(Slot13_SpendLike=1,EO55-EP55,IF(Slot13_PotFree=1,EO55,0))</f>
        <v>0</v>
      </c>
      <c r="ET55" s="20" t="n">
        <f aca="false">EJ55+EM55*Slot13_BufPot*EO55</f>
        <v>0</v>
      </c>
      <c r="EU55" s="20" t="n">
        <f aca="false">IF(AND(EM55=1,Slot13_IsMfree=1),IF(ER55&gt;=Slot13_Cost-1,0,MAX(0,EK55-ER55)),EK55)</f>
        <v>0</v>
      </c>
      <c r="EV55" s="20" t="n">
        <f aca="false">EM55*(Slot13_Cost-ER55)</f>
        <v>0</v>
      </c>
      <c r="EW55" s="20" t="n">
        <f aca="false">IF(AND(Slot14_On=1,D55=Slot14_Age),1,0)</f>
        <v>0</v>
      </c>
      <c r="EX55" s="20" t="n">
        <f aca="false">IF(AND(Slot14_On=1,Slot14_Age&gt;D55),1,0)</f>
        <v>0</v>
      </c>
      <c r="EY55" s="20" t="n">
        <f aca="false">SM54</f>
        <v>0</v>
      </c>
      <c r="EZ55" s="20" t="n">
        <f aca="false">EW55*MIN(Slot14_Cost,EY55)</f>
        <v>0</v>
      </c>
      <c r="FA55" s="20" t="n">
        <f aca="false">EW55*Slot14_SpendLike*MIN(Slot14_Cost-EZ55,ES55)</f>
        <v>0</v>
      </c>
      <c r="FB55" s="20" t="n">
        <f aca="false">EZ55+FA55</f>
        <v>0</v>
      </c>
      <c r="FC55" s="20" t="n">
        <f aca="false">ES55-FA55+EW55*IF(Slot14_SpendLike=1,EY55-EZ55,IF(Slot14_PotFree=1,EY55,0))</f>
        <v>0</v>
      </c>
      <c r="FD55" s="20" t="n">
        <f aca="false">ET55+EW55*Slot14_BufPot*EY55</f>
        <v>0</v>
      </c>
      <c r="FE55" s="20" t="n">
        <f aca="false">IF(AND(EW55=1,Slot14_IsMfree=1),IF(FB55&gt;=Slot14_Cost-1,0,MAX(0,EU55-FB55)),EU55)</f>
        <v>0</v>
      </c>
      <c r="FF55" s="20" t="n">
        <f aca="false">EW55*(Slot14_Cost-FB55)</f>
        <v>0</v>
      </c>
      <c r="FG55" s="20" t="n">
        <f aca="false">IF(AND(Slot15_On=1,D55=Slot15_Age),1,0)</f>
        <v>0</v>
      </c>
      <c r="FH55" s="20" t="n">
        <f aca="false">IF(AND(Slot15_On=1,Slot15_Age&gt;D55),1,0)</f>
        <v>0</v>
      </c>
      <c r="FI55" s="20" t="n">
        <f aca="false">SQ54</f>
        <v>0</v>
      </c>
      <c r="FJ55" s="20" t="n">
        <f aca="false">FG55*MIN(Slot15_Cost,FI55)</f>
        <v>0</v>
      </c>
      <c r="FK55" s="20" t="n">
        <f aca="false">FG55*Slot15_SpendLike*MIN(Slot15_Cost-FJ55,FC55)</f>
        <v>0</v>
      </c>
      <c r="FL55" s="20" t="n">
        <f aca="false">FJ55+FK55</f>
        <v>0</v>
      </c>
      <c r="FM55" s="20" t="n">
        <f aca="false">FC55-FK55+FG55*IF(Slot15_SpendLike=1,FI55-FJ55,IF(Slot15_PotFree=1,FI55,0))</f>
        <v>0</v>
      </c>
      <c r="FN55" s="20" t="n">
        <f aca="false">FD55+FG55*Slot15_BufPot*FI55</f>
        <v>0</v>
      </c>
      <c r="FO55" s="20" t="n">
        <f aca="false">IF(AND(FG55=1,Slot15_IsMfree=1),IF(FL55&gt;=Slot15_Cost-1,0,MAX(0,FE55-FL55)),FE55)</f>
        <v>0</v>
      </c>
      <c r="FP55" s="20" t="n">
        <f aca="false">FG55*(Slot15_Cost-FL55)</f>
        <v>0</v>
      </c>
      <c r="FQ55" s="20" t="n">
        <f aca="false">IF(AND(Slot16_On=1,D55=Slot16_Age),1,0)</f>
        <v>0</v>
      </c>
      <c r="FR55" s="20" t="n">
        <f aca="false">IF(AND(Slot16_On=1,Slot16_Age&gt;D55),1,0)</f>
        <v>0</v>
      </c>
      <c r="FS55" s="20" t="n">
        <f aca="false">SU54</f>
        <v>0</v>
      </c>
      <c r="FT55" s="20" t="n">
        <f aca="false">FQ55*MIN(Slot16_Cost,FS55)</f>
        <v>0</v>
      </c>
      <c r="FU55" s="20" t="n">
        <f aca="false">FQ55*Slot16_SpendLike*MIN(Slot16_Cost-FT55,FM55)</f>
        <v>0</v>
      </c>
      <c r="FV55" s="20" t="n">
        <f aca="false">FT55+FU55</f>
        <v>0</v>
      </c>
      <c r="FW55" s="20" t="n">
        <f aca="false">FM55-FU55+FQ55*IF(Slot16_SpendLike=1,FS55-FT55,IF(Slot16_PotFree=1,FS55,0))</f>
        <v>0</v>
      </c>
      <c r="FX55" s="20" t="n">
        <f aca="false">FN55+FQ55*Slot16_BufPot*FS55</f>
        <v>0</v>
      </c>
      <c r="FY55" s="20" t="n">
        <f aca="false">IF(AND(FQ55=1,Slot16_IsMfree=1),IF(FV55&gt;=Slot16_Cost-1,0,MAX(0,FO55-FV55)),FO55)</f>
        <v>0</v>
      </c>
      <c r="FZ55" s="20" t="n">
        <f aca="false">FQ55*(Slot16_Cost-FV55)</f>
        <v>0</v>
      </c>
      <c r="GA55" s="20" t="n">
        <f aca="false">IF(AND(Slot17_On=1,D55=Slot17_Age),1,0)</f>
        <v>0</v>
      </c>
      <c r="GB55" s="20" t="n">
        <f aca="false">IF(AND(Slot17_On=1,Slot17_Age&gt;D55),1,0)</f>
        <v>0</v>
      </c>
      <c r="GC55" s="20" t="n">
        <f aca="false">SY54</f>
        <v>0</v>
      </c>
      <c r="GD55" s="20" t="n">
        <f aca="false">GA55*MIN(Slot17_Cost,GC55)</f>
        <v>0</v>
      </c>
      <c r="GE55" s="20" t="n">
        <f aca="false">GA55*Slot17_SpendLike*MIN(Slot17_Cost-GD55,FW55)</f>
        <v>0</v>
      </c>
      <c r="GF55" s="20" t="n">
        <f aca="false">GD55+GE55</f>
        <v>0</v>
      </c>
      <c r="GG55" s="20" t="n">
        <f aca="false">FW55-GE55+GA55*IF(Slot17_SpendLike=1,GC55-GD55,IF(Slot17_PotFree=1,GC55,0))</f>
        <v>0</v>
      </c>
      <c r="GH55" s="20" t="n">
        <f aca="false">FX55+GA55*Slot17_BufPot*GC55</f>
        <v>0</v>
      </c>
      <c r="GI55" s="20" t="n">
        <f aca="false">IF(AND(GA55=1,Slot17_IsMfree=1),IF(GF55&gt;=Slot17_Cost-1,0,MAX(0,FY55-GF55)),FY55)</f>
        <v>0</v>
      </c>
      <c r="GJ55" s="20" t="n">
        <f aca="false">GA55*(Slot17_Cost-GF55)</f>
        <v>0</v>
      </c>
      <c r="GK55" s="20" t="n">
        <f aca="false">IF(AND(Slot18_On=1,D55=Slot18_Age),1,0)</f>
        <v>0</v>
      </c>
      <c r="GL55" s="20" t="n">
        <f aca="false">IF(AND(Slot18_On=1,Slot18_Age&gt;D55),1,0)</f>
        <v>0</v>
      </c>
      <c r="GM55" s="20" t="n">
        <f aca="false">TC54</f>
        <v>0</v>
      </c>
      <c r="GN55" s="20" t="n">
        <f aca="false">GK55*MIN(Slot18_Cost,GM55)</f>
        <v>0</v>
      </c>
      <c r="GO55" s="20" t="n">
        <f aca="false">GK55*Slot18_SpendLike*MIN(Slot18_Cost-GN55,GG55)</f>
        <v>0</v>
      </c>
      <c r="GP55" s="20" t="n">
        <f aca="false">GN55+GO55</f>
        <v>0</v>
      </c>
      <c r="GQ55" s="20" t="n">
        <f aca="false">GG55-GO55+GK55*IF(Slot18_SpendLike=1,GM55-GN55,IF(Slot18_PotFree=1,GM55,0))</f>
        <v>0</v>
      </c>
      <c r="GR55" s="20" t="n">
        <f aca="false">GH55+GK55*Slot18_BufPot*GM55</f>
        <v>0</v>
      </c>
      <c r="GS55" s="20" t="n">
        <f aca="false">IF(AND(GK55=1,Slot18_IsMfree=1),IF(GP55&gt;=Slot18_Cost-1,0,MAX(0,GI55-GP55)),GI55)</f>
        <v>0</v>
      </c>
      <c r="GT55" s="20" t="n">
        <f aca="false">GK55*(Slot18_Cost-GP55)</f>
        <v>0</v>
      </c>
      <c r="GU55" s="20" t="n">
        <f aca="false">IF(AND(Slot19_On=1,D55=Slot19_Age),1,0)</f>
        <v>0</v>
      </c>
      <c r="GV55" s="20" t="n">
        <f aca="false">IF(AND(Slot19_On=1,Slot19_Age&gt;D55),1,0)</f>
        <v>0</v>
      </c>
      <c r="GW55" s="20" t="n">
        <f aca="false">TG54</f>
        <v>0</v>
      </c>
      <c r="GX55" s="20" t="n">
        <f aca="false">GU55*MIN(Slot19_Cost,GW55)</f>
        <v>0</v>
      </c>
      <c r="GY55" s="20" t="n">
        <f aca="false">GU55*Slot19_SpendLike*MIN(Slot19_Cost-GX55,GQ55)</f>
        <v>0</v>
      </c>
      <c r="GZ55" s="20" t="n">
        <f aca="false">GX55+GY55</f>
        <v>0</v>
      </c>
      <c r="HA55" s="20" t="n">
        <f aca="false">GQ55-GY55+GU55*IF(Slot19_SpendLike=1,GW55-GX55,IF(Slot19_PotFree=1,GW55,0))</f>
        <v>0</v>
      </c>
      <c r="HB55" s="20" t="n">
        <f aca="false">GR55+GU55*Slot19_BufPot*GW55</f>
        <v>0</v>
      </c>
      <c r="HC55" s="20" t="n">
        <f aca="false">IF(AND(GU55=1,Slot19_IsMfree=1),IF(GZ55&gt;=Slot19_Cost-1,0,MAX(0,GS55-GZ55)),GS55)</f>
        <v>0</v>
      </c>
      <c r="HD55" s="20" t="n">
        <f aca="false">GU55*(Slot19_Cost-GZ55)</f>
        <v>0</v>
      </c>
      <c r="HE55" s="20" t="n">
        <f aca="false">IF(AND(Slot20_On=1,D55=Slot20_Age),1,0)</f>
        <v>0</v>
      </c>
      <c r="HF55" s="20" t="n">
        <f aca="false">IF(AND(Slot20_On=1,Slot20_Age&gt;D55),1,0)</f>
        <v>0</v>
      </c>
      <c r="HG55" s="20" t="n">
        <f aca="false">TK54</f>
        <v>0</v>
      </c>
      <c r="HH55" s="20" t="n">
        <f aca="false">HE55*MIN(Slot20_Cost,HG55)</f>
        <v>0</v>
      </c>
      <c r="HI55" s="20" t="n">
        <f aca="false">HE55*Slot20_SpendLike*MIN(Slot20_Cost-HH55,HA55)</f>
        <v>0</v>
      </c>
      <c r="HJ55" s="20" t="n">
        <f aca="false">HH55+HI55</f>
        <v>0</v>
      </c>
      <c r="HK55" s="20" t="n">
        <f aca="false">HA55-HI55+HE55*IF(Slot20_SpendLike=1,HG55-HH55,IF(Slot20_PotFree=1,HG55,0))</f>
        <v>0</v>
      </c>
      <c r="HL55" s="20" t="n">
        <f aca="false">HB55+HE55*Slot20_BufPot*HG55</f>
        <v>0</v>
      </c>
      <c r="HM55" s="20" t="n">
        <f aca="false">IF(AND(HE55=1,Slot20_IsMfree=1),IF(HJ55&gt;=Slot20_Cost-1,0,MAX(0,HC55-HJ55)),HC55)</f>
        <v>0</v>
      </c>
      <c r="HN55" s="20" t="n">
        <f aca="false">HE55*(Slot20_Cost-HJ55)</f>
        <v>0</v>
      </c>
      <c r="HO55" s="20" t="n">
        <f aca="false">V55*Slot1_SpendLike*AA55+AG55*Slot2_SpendLike*AL55+AQ55*Slot3_SpendLike*AV55+BA55*Slot4_SpendLike*BF55+BK55*Slot5_SpendLike*BP55+BU55*Slot6_SpendLike*BZ55+CE55*Slot7_SpendLike*CJ55+CO55*Slot8_SpendLike*CT55+CY55*Slot9_SpendLike*DD55+DI55*Slot10_SpendLike*DN55+DS55*Slot11_SpendLike*DX55+EC55*Slot12_SpendLike*EH55+EM55*Slot13_SpendLike*ER55+EW55*Slot14_SpendLike*FB55+FG55*Slot15_SpendLike*FL55+FQ55*Slot16_SpendLike*FV55+GA55*Slot17_SpendLike*GF55+GK55*Slot18_SpendLike*GP55+GU55*Slot19_SpendLike*GZ55+HE55*Slot20_SpendLike*HJ55</f>
        <v>0</v>
      </c>
      <c r="HP55" s="20" t="n">
        <f aca="false">AE55+AP55+AZ55+BJ55+BT55+CD55+CN55+CX55+DH55+DR55+EB55+EL55+EV55+FF55+FP55+FZ55+GJ55+GT55+HD55+HN55</f>
        <v>0</v>
      </c>
      <c r="HQ55" s="20" t="n">
        <f aca="false">V55*Slot1_Cost+AG55*Slot2_Cost+AQ55*Slot3_Cost+BA55*Slot4_Cost+BK55*Slot5_Cost+BU55*Slot6_Cost+CE55*Slot7_Cost+CO55*Slot8_Cost+CY55*Slot9_Cost+DI55*Slot10_Cost+DS55*Slot11_Cost+EC55*Slot12_Cost+EM55*Slot13_Cost+EW55*Slot14_Cost+FG55*Slot15_Cost+FQ55*Slot16_Cost+GA55*Slot17_Cost+GK55*Slot18_Cost+GU55*Slot19_Cost+HE55*Slot20_Cost</f>
        <v>0</v>
      </c>
      <c r="HR55" s="20" t="n">
        <f aca="false">HM55</f>
        <v>0</v>
      </c>
      <c r="HS55" s="20" t="n">
        <f aca="false">H55-I55-S55</f>
        <v>-26521.8474219928</v>
      </c>
      <c r="HT55" s="20" t="n">
        <f aca="false">IF(B55=0,IF(AND(Has_q6=1,In_q6=4),PR_ShareVaries*(MAX(0,HS55)/12),MIN(IF(Has_q6=1,CHOOSE(In_q6+1,PR_SaveB1,PR_SaveB2,PR_SaveB3,PR_SaveB4,0),AS_NoAnswer),AS_SaveShare*(MAX(0,HS55)/12))),HT54)</f>
        <v>62.3316893520437</v>
      </c>
      <c r="HU55" s="20" t="n">
        <f aca="false">IF(HS55&gt;=0,1,0)</f>
        <v>0</v>
      </c>
      <c r="HV55" s="20" t="n">
        <f aca="false">MAX(0,HS55/12/F55)</f>
        <v>0</v>
      </c>
      <c r="HW55" s="20" t="n">
        <f aca="false">IF(AND(Has_q6=1,In_q6=4),PR_ShareVaries*(HV55),MIN(IF(Has_q6=1,CHOOSE(In_q6+1,PR_SaveB1,PR_SaveB2,PR_SaveB3,PR_SaveB4,0),AS_NoAnswer),AS_SaveShare*(HV55)))</f>
        <v>0</v>
      </c>
      <c r="HX55" s="20" t="n">
        <f aca="false">IF(Has_saveM=1,IF(In_saveUp="Yes",1,IF(In_saveUp="No",0,IF(In_saveM&gt;=HT55-0.5,1,0))),0)</f>
        <v>0</v>
      </c>
      <c r="HY55" s="20" t="n">
        <f aca="false">IF(Has_saveM=1,MIN(HV55,IF(HX55=1,MAX(In_saveM,HW55),MIN(In_saveM,HW55))),HW55)</f>
        <v>0</v>
      </c>
      <c r="HZ55" s="20" t="n">
        <f aca="false">IF(G55=1,HY55*12*F55,0)</f>
        <v>0</v>
      </c>
      <c r="IA55" s="20" t="n">
        <f aca="false">MAX(0,HZ55+IF(AND(WI_Retire=0,WI_M&lt;0,G55=1),WI_M*12*F55,0))</f>
        <v>0</v>
      </c>
      <c r="IB55" s="20" t="n">
        <f aca="false">Slot1_IsWG*W55+Slot2_IsWG*AH55+Slot3_IsWG*AR55+Slot4_IsWG*BB55+Slot5_IsWG*BL55+Slot6_IsWG*BV55+Slot7_IsWG*CF55+Slot8_IsWG*CP55+Slot9_IsWG*CZ55+Slot10_IsWG*DJ55+Slot11_IsWG*DT55+Slot12_IsWG*ED55+Slot13_IsWG*EN55+Slot14_IsWG*EX55+Slot15_IsWG*FH55+Slot16_IsWG*FR55+Slot17_IsWG*GB55+Slot18_IsWG*GL55+Slot19_IsWG*GV55+Slot20_IsWG*HF55</f>
        <v>0</v>
      </c>
      <c r="IC55" s="20" t="n">
        <f aca="false">IF(AND(WI_Retire=0,WI_M&gt;0,G55=1,IB55&gt;=1),WI_M*12*F55,0)</f>
        <v>0</v>
      </c>
      <c r="ID55" s="20" t="n">
        <f aca="false">IF(HU55=1,MIN(IA55,HS55),0)</f>
        <v>0</v>
      </c>
      <c r="IE55" s="20" t="n">
        <f aca="false">IF(HU55=1,MIN(IC55,HS55-ID55),0)</f>
        <v>0</v>
      </c>
      <c r="IF55" s="20" t="n">
        <f aca="false">IF(W55=1,IF(ABS((1+AS_Wage)/(1+Slot1_Rate)-1)&lt;0.000000000001,(Slot1_Age-D55)*(1+Slot1_Rate)^(Slot1_Age-D55),(1+Slot1_Rate)^(Slot1_Age-D55)*(1-((1+AS_Wage)/(1+Slot1_Rate))^(Slot1_Age-D55))/(1-(1+AS_Wage)/(1+Slot1_Rate))),1)</f>
        <v>1</v>
      </c>
      <c r="IG55" s="20" t="n">
        <f aca="false">IF(AND(HU55=1,IE55&gt;0,Slot1_IsWG=1,W55=1),MAX(0,(Slot1_Cost-X55*(1+Slot1_Rate)^(Slot1_Age-D55))/IF55),0)</f>
        <v>0</v>
      </c>
      <c r="IH55" s="20" t="n">
        <f aca="false">IF(AND(HU55=1,IE55&gt;0,Slot1_IsWG=1,W55=1),MIN(IE55,IG55),0)</f>
        <v>0</v>
      </c>
      <c r="II55" s="20" t="n">
        <f aca="false">X55+IH55</f>
        <v>0</v>
      </c>
      <c r="IJ55" s="20" t="n">
        <f aca="false">IF(W55=1,MAX(0,(Slot1_Cost-II55*(1+Slot1_Rate)^(Slot1_Age-D55))/IF55),0)</f>
        <v>0</v>
      </c>
      <c r="IK55" s="20" t="n">
        <f aca="false">IF(W55=1,MAX(0,(Slot1_Cost-X55*(1+Slot1_Rate)^(Slot1_Age-D55))/IF55),0)</f>
        <v>0</v>
      </c>
      <c r="IL55" s="20" t="n">
        <f aca="false">IF(AND(HU55=1,W55=1),MIN(ID55,IJ55),0)</f>
        <v>0</v>
      </c>
      <c r="IM55" s="20" t="n">
        <f aca="false">ID55-IL55</f>
        <v>0</v>
      </c>
      <c r="IN55" s="20" t="n">
        <f aca="false">IF(AH55=1,IF(ABS((1+AS_Wage)/(1+Slot2_Rate)-1)&lt;0.000000000001,(Slot2_Age-D55)*(1+Slot2_Rate)^(Slot2_Age-D55),(1+Slot2_Rate)^(Slot2_Age-D55)*(1-((1+AS_Wage)/(1+Slot2_Rate))^(Slot2_Age-D55))/(1-(1+AS_Wage)/(1+Slot2_Rate))),1)</f>
        <v>1</v>
      </c>
      <c r="IO55" s="20" t="n">
        <f aca="false">IF(AND(HU55=1,IE55&gt;0,Slot2_IsWG=1,AH55=1),MAX(0,(Slot2_Cost-AI55*(1+Slot2_Rate)^(Slot2_Age-D55))/IN55),0)</f>
        <v>0</v>
      </c>
      <c r="IP55" s="20" t="n">
        <f aca="false">IF(AND(HU55=1,IE55&gt;0,Slot2_IsWG=1,AH55=1),MIN(IE55,IO55),0)</f>
        <v>0</v>
      </c>
      <c r="IQ55" s="20" t="n">
        <f aca="false">AI55+IP55</f>
        <v>0</v>
      </c>
      <c r="IR55" s="20" t="n">
        <f aca="false">IF(AH55=1,MAX(0,(Slot2_Cost-IQ55*(1+Slot2_Rate)^(Slot2_Age-D55))/IN55),0)</f>
        <v>0</v>
      </c>
      <c r="IS55" s="20" t="n">
        <f aca="false">IF(AH55=1,MAX(0,(Slot2_Cost-AI55*(1+Slot2_Rate)^(Slot2_Age-D55))/IN55),0)</f>
        <v>0</v>
      </c>
      <c r="IT55" s="20" t="n">
        <f aca="false">IF(AND(HU55=1,AH55=1),MIN(IM55,IR55),0)</f>
        <v>0</v>
      </c>
      <c r="IU55" s="20" t="n">
        <f aca="false">IM55-IT55</f>
        <v>0</v>
      </c>
      <c r="IV55" s="20" t="n">
        <f aca="false">IF(AR55=1,IF(ABS((1+AS_Wage)/(1+Slot3_Rate)-1)&lt;0.000000000001,(Slot3_Age-D55)*(1+Slot3_Rate)^(Slot3_Age-D55),(1+Slot3_Rate)^(Slot3_Age-D55)*(1-((1+AS_Wage)/(1+Slot3_Rate))^(Slot3_Age-D55))/(1-(1+AS_Wage)/(1+Slot3_Rate))),1)</f>
        <v>1</v>
      </c>
      <c r="IW55" s="20" t="n">
        <f aca="false">IF(AND(HU55=1,IE55&gt;0,Slot3_IsWG=1,AR55=1),MAX(0,(Slot3_Cost-AS55*(1+Slot3_Rate)^(Slot3_Age-D55))/IV55),0)</f>
        <v>0</v>
      </c>
      <c r="IX55" s="20" t="n">
        <f aca="false">IF(AND(HU55=1,IE55&gt;0,Slot3_IsWG=1,AR55=1),MIN(IE55,IW55),0)</f>
        <v>0</v>
      </c>
      <c r="IY55" s="20" t="n">
        <f aca="false">AS55+IX55</f>
        <v>0</v>
      </c>
      <c r="IZ55" s="20" t="n">
        <f aca="false">IF(AR55=1,MAX(0,(Slot3_Cost-IY55*(1+Slot3_Rate)^(Slot3_Age-D55))/IV55),0)</f>
        <v>0</v>
      </c>
      <c r="JA55" s="20" t="n">
        <f aca="false">IF(AR55=1,MAX(0,(Slot3_Cost-AS55*(1+Slot3_Rate)^(Slot3_Age-D55))/IV55),0)</f>
        <v>0</v>
      </c>
      <c r="JB55" s="20" t="n">
        <f aca="false">IF(AND(HU55=1,AR55=1),MIN(IU55,IZ55),0)</f>
        <v>0</v>
      </c>
      <c r="JC55" s="20" t="n">
        <f aca="false">IU55-JB55</f>
        <v>0</v>
      </c>
      <c r="JD55" s="20" t="n">
        <f aca="false">IF(BB55=1,IF(ABS((1+AS_Wage)/(1+Slot4_Rate)-1)&lt;0.000000000001,(Slot4_Age-D55)*(1+Slot4_Rate)^(Slot4_Age-D55),(1+Slot4_Rate)^(Slot4_Age-D55)*(1-((1+AS_Wage)/(1+Slot4_Rate))^(Slot4_Age-D55))/(1-(1+AS_Wage)/(1+Slot4_Rate))),1)</f>
        <v>1</v>
      </c>
      <c r="JE55" s="20" t="n">
        <f aca="false">IF(AND(HU55=1,IE55&gt;0,Slot4_IsWG=1,BB55=1),MAX(0,(Slot4_Cost-BC55*(1+Slot4_Rate)^(Slot4_Age-D55))/JD55),0)</f>
        <v>0</v>
      </c>
      <c r="JF55" s="20" t="n">
        <f aca="false">IF(AND(HU55=1,IE55&gt;0,Slot4_IsWG=1,BB55=1),MIN(IE55,JE55),0)</f>
        <v>0</v>
      </c>
      <c r="JG55" s="20" t="n">
        <f aca="false">BC55+JF55</f>
        <v>0</v>
      </c>
      <c r="JH55" s="20" t="n">
        <f aca="false">IF(BB55=1,MAX(0,(Slot4_Cost-JG55*(1+Slot4_Rate)^(Slot4_Age-D55))/JD55),0)</f>
        <v>0</v>
      </c>
      <c r="JI55" s="20" t="n">
        <f aca="false">IF(BB55=1,MAX(0,(Slot4_Cost-BC55*(1+Slot4_Rate)^(Slot4_Age-D55))/JD55),0)</f>
        <v>0</v>
      </c>
      <c r="JJ55" s="20" t="n">
        <f aca="false">IF(AND(HU55=1,BB55=1),MIN(JC55,JH55),0)</f>
        <v>0</v>
      </c>
      <c r="JK55" s="20" t="n">
        <f aca="false">JC55-JJ55</f>
        <v>0</v>
      </c>
      <c r="JL55" s="20" t="n">
        <f aca="false">IF(BL55=1,IF(ABS((1+AS_Wage)/(1+Slot5_Rate)-1)&lt;0.000000000001,(Slot5_Age-D55)*(1+Slot5_Rate)^(Slot5_Age-D55),(1+Slot5_Rate)^(Slot5_Age-D55)*(1-((1+AS_Wage)/(1+Slot5_Rate))^(Slot5_Age-D55))/(1-(1+AS_Wage)/(1+Slot5_Rate))),1)</f>
        <v>1</v>
      </c>
      <c r="JM55" s="20" t="n">
        <f aca="false">IF(AND(HU55=1,IE55&gt;0,Slot5_IsWG=1,BL55=1),MAX(0,(Slot5_Cost-BM55*(1+Slot5_Rate)^(Slot5_Age-D55))/JL55),0)</f>
        <v>0</v>
      </c>
      <c r="JN55" s="20" t="n">
        <f aca="false">IF(AND(HU55=1,IE55&gt;0,Slot5_IsWG=1,BL55=1),MIN(IE55,JM55),0)</f>
        <v>0</v>
      </c>
      <c r="JO55" s="20" t="n">
        <f aca="false">BM55+JN55</f>
        <v>0</v>
      </c>
      <c r="JP55" s="20" t="n">
        <f aca="false">IF(BL55=1,MAX(0,(Slot5_Cost-JO55*(1+Slot5_Rate)^(Slot5_Age-D55))/JL55),0)</f>
        <v>0</v>
      </c>
      <c r="JQ55" s="20" t="n">
        <f aca="false">IF(BL55=1,MAX(0,(Slot5_Cost-BM55*(1+Slot5_Rate)^(Slot5_Age-D55))/JL55),0)</f>
        <v>0</v>
      </c>
      <c r="JR55" s="20" t="n">
        <f aca="false">IF(AND(HU55=1,BL55=1),MIN(JK55,JP55),0)</f>
        <v>0</v>
      </c>
      <c r="JS55" s="20" t="n">
        <f aca="false">JK55-JR55</f>
        <v>0</v>
      </c>
      <c r="JT55" s="20" t="n">
        <f aca="false">IF(BV55=1,IF(ABS((1+AS_Wage)/(1+Slot6_Rate)-1)&lt;0.000000000001,(Slot6_Age-D55)*(1+Slot6_Rate)^(Slot6_Age-D55),(1+Slot6_Rate)^(Slot6_Age-D55)*(1-((1+AS_Wage)/(1+Slot6_Rate))^(Slot6_Age-D55))/(1-(1+AS_Wage)/(1+Slot6_Rate))),1)</f>
        <v>1</v>
      </c>
      <c r="JU55" s="20" t="n">
        <f aca="false">IF(AND(HU55=1,IE55&gt;0,Slot6_IsWG=1,BV55=1),MAX(0,(Slot6_Cost-BW55*(1+Slot6_Rate)^(Slot6_Age-D55))/JT55),0)</f>
        <v>0</v>
      </c>
      <c r="JV55" s="20" t="n">
        <f aca="false">IF(AND(HU55=1,IE55&gt;0,Slot6_IsWG=1,BV55=1),MIN(IE55,JU55),0)</f>
        <v>0</v>
      </c>
      <c r="JW55" s="20" t="n">
        <f aca="false">BW55+JV55</f>
        <v>0</v>
      </c>
      <c r="JX55" s="20" t="n">
        <f aca="false">IF(BV55=1,MAX(0,(Slot6_Cost-JW55*(1+Slot6_Rate)^(Slot6_Age-D55))/JT55),0)</f>
        <v>0</v>
      </c>
      <c r="JY55" s="20" t="n">
        <f aca="false">IF(BV55=1,MAX(0,(Slot6_Cost-BW55*(1+Slot6_Rate)^(Slot6_Age-D55))/JT55),0)</f>
        <v>0</v>
      </c>
      <c r="JZ55" s="20" t="n">
        <f aca="false">IF(AND(HU55=1,BV55=1),MIN(JS55,JX55),0)</f>
        <v>0</v>
      </c>
      <c r="KA55" s="20" t="n">
        <f aca="false">JS55-JZ55</f>
        <v>0</v>
      </c>
      <c r="KB55" s="20" t="n">
        <f aca="false">IF(CF55=1,IF(ABS((1+AS_Wage)/(1+Slot7_Rate)-1)&lt;0.000000000001,(Slot7_Age-D55)*(1+Slot7_Rate)^(Slot7_Age-D55),(1+Slot7_Rate)^(Slot7_Age-D55)*(1-((1+AS_Wage)/(1+Slot7_Rate))^(Slot7_Age-D55))/(1-(1+AS_Wage)/(1+Slot7_Rate))),1)</f>
        <v>1</v>
      </c>
      <c r="KC55" s="20" t="n">
        <f aca="false">IF(AND(HU55=1,IE55&gt;0,Slot7_IsWG=1,CF55=1),MAX(0,(Slot7_Cost-CG55*(1+Slot7_Rate)^(Slot7_Age-D55))/KB55),0)</f>
        <v>0</v>
      </c>
      <c r="KD55" s="20" t="n">
        <f aca="false">IF(AND(HU55=1,IE55&gt;0,Slot7_IsWG=1,CF55=1),MIN(IE55,KC55),0)</f>
        <v>0</v>
      </c>
      <c r="KE55" s="20" t="n">
        <f aca="false">CG55+KD55</f>
        <v>0</v>
      </c>
      <c r="KF55" s="20" t="n">
        <f aca="false">IF(CF55=1,MAX(0,(Slot7_Cost-KE55*(1+Slot7_Rate)^(Slot7_Age-D55))/KB55),0)</f>
        <v>0</v>
      </c>
      <c r="KG55" s="20" t="n">
        <f aca="false">IF(CF55=1,MAX(0,(Slot7_Cost-CG55*(1+Slot7_Rate)^(Slot7_Age-D55))/KB55),0)</f>
        <v>0</v>
      </c>
      <c r="KH55" s="20" t="n">
        <f aca="false">IF(AND(HU55=1,CF55=1),MIN(KA55,KF55),0)</f>
        <v>0</v>
      </c>
      <c r="KI55" s="20" t="n">
        <f aca="false">KA55-KH55</f>
        <v>0</v>
      </c>
      <c r="KJ55" s="20" t="n">
        <f aca="false">IF(CP55=1,IF(ABS((1+AS_Wage)/(1+Slot8_Rate)-1)&lt;0.000000000001,(Slot8_Age-D55)*(1+Slot8_Rate)^(Slot8_Age-D55),(1+Slot8_Rate)^(Slot8_Age-D55)*(1-((1+AS_Wage)/(1+Slot8_Rate))^(Slot8_Age-D55))/(1-(1+AS_Wage)/(1+Slot8_Rate))),1)</f>
        <v>1</v>
      </c>
      <c r="KK55" s="20" t="n">
        <f aca="false">IF(AND(HU55=1,IE55&gt;0,Slot8_IsWG=1,CP55=1),MAX(0,(Slot8_Cost-CQ55*(1+Slot8_Rate)^(Slot8_Age-D55))/KJ55),0)</f>
        <v>0</v>
      </c>
      <c r="KL55" s="20" t="n">
        <f aca="false">IF(AND(HU55=1,IE55&gt;0,Slot8_IsWG=1,CP55=1),MIN(IE55,KK55),0)</f>
        <v>0</v>
      </c>
      <c r="KM55" s="20" t="n">
        <f aca="false">CQ55+KL55</f>
        <v>0</v>
      </c>
      <c r="KN55" s="20" t="n">
        <f aca="false">IF(CP55=1,MAX(0,(Slot8_Cost-KM55*(1+Slot8_Rate)^(Slot8_Age-D55))/KJ55),0)</f>
        <v>0</v>
      </c>
      <c r="KO55" s="20" t="n">
        <f aca="false">IF(CP55=1,MAX(0,(Slot8_Cost-CQ55*(1+Slot8_Rate)^(Slot8_Age-D55))/KJ55),0)</f>
        <v>0</v>
      </c>
      <c r="KP55" s="20" t="n">
        <f aca="false">IF(AND(HU55=1,CP55=1),MIN(KI55,KN55),0)</f>
        <v>0</v>
      </c>
      <c r="KQ55" s="20" t="n">
        <f aca="false">KI55-KP55</f>
        <v>0</v>
      </c>
      <c r="KR55" s="20" t="n">
        <f aca="false">IF(CZ55=1,IF(ABS((1+AS_Wage)/(1+Slot9_Rate)-1)&lt;0.000000000001,(Slot9_Age-D55)*(1+Slot9_Rate)^(Slot9_Age-D55),(1+Slot9_Rate)^(Slot9_Age-D55)*(1-((1+AS_Wage)/(1+Slot9_Rate))^(Slot9_Age-D55))/(1-(1+AS_Wage)/(1+Slot9_Rate))),1)</f>
        <v>1</v>
      </c>
      <c r="KS55" s="20" t="n">
        <f aca="false">IF(AND(HU55=1,IE55&gt;0,Slot9_IsWG=1,CZ55=1),MAX(0,(Slot9_Cost-DA55*(1+Slot9_Rate)^(Slot9_Age-D55))/KR55),0)</f>
        <v>0</v>
      </c>
      <c r="KT55" s="20" t="n">
        <f aca="false">IF(AND(HU55=1,IE55&gt;0,Slot9_IsWG=1,CZ55=1),MIN(IE55,KS55),0)</f>
        <v>0</v>
      </c>
      <c r="KU55" s="20" t="n">
        <f aca="false">DA55+KT55</f>
        <v>0</v>
      </c>
      <c r="KV55" s="20" t="n">
        <f aca="false">IF(CZ55=1,MAX(0,(Slot9_Cost-KU55*(1+Slot9_Rate)^(Slot9_Age-D55))/KR55),0)</f>
        <v>0</v>
      </c>
      <c r="KW55" s="20" t="n">
        <f aca="false">IF(CZ55=1,MAX(0,(Slot9_Cost-DA55*(1+Slot9_Rate)^(Slot9_Age-D55))/KR55),0)</f>
        <v>0</v>
      </c>
      <c r="KX55" s="20" t="n">
        <f aca="false">IF(AND(HU55=1,CZ55=1),MIN(KQ55,KV55),0)</f>
        <v>0</v>
      </c>
      <c r="KY55" s="20" t="n">
        <f aca="false">KQ55-KX55</f>
        <v>0</v>
      </c>
      <c r="KZ55" s="20" t="n">
        <f aca="false">IF(DJ55=1,IF(ABS((1+AS_Wage)/(1+Slot10_Rate)-1)&lt;0.000000000001,(Slot10_Age-D55)*(1+Slot10_Rate)^(Slot10_Age-D55),(1+Slot10_Rate)^(Slot10_Age-D55)*(1-((1+AS_Wage)/(1+Slot10_Rate))^(Slot10_Age-D55))/(1-(1+AS_Wage)/(1+Slot10_Rate))),1)</f>
        <v>1</v>
      </c>
      <c r="LA55" s="20" t="n">
        <f aca="false">IF(AND(HU55=1,IE55&gt;0,Slot10_IsWG=1,DJ55=1),MAX(0,(Slot10_Cost-DK55*(1+Slot10_Rate)^(Slot10_Age-D55))/KZ55),0)</f>
        <v>0</v>
      </c>
      <c r="LB55" s="20" t="n">
        <f aca="false">IF(AND(HU55=1,IE55&gt;0,Slot10_IsWG=1,DJ55=1),MIN(IE55,LA55),0)</f>
        <v>0</v>
      </c>
      <c r="LC55" s="20" t="n">
        <f aca="false">DK55+LB55</f>
        <v>0</v>
      </c>
      <c r="LD55" s="20" t="n">
        <f aca="false">IF(DJ55=1,MAX(0,(Slot10_Cost-LC55*(1+Slot10_Rate)^(Slot10_Age-D55))/KZ55),0)</f>
        <v>0</v>
      </c>
      <c r="LE55" s="20" t="n">
        <f aca="false">IF(DJ55=1,MAX(0,(Slot10_Cost-DK55*(1+Slot10_Rate)^(Slot10_Age-D55))/KZ55),0)</f>
        <v>0</v>
      </c>
      <c r="LF55" s="20" t="n">
        <f aca="false">IF(AND(HU55=1,DJ55=1),MIN(KY55,LD55),0)</f>
        <v>0</v>
      </c>
      <c r="LG55" s="20" t="n">
        <f aca="false">KY55-LF55</f>
        <v>0</v>
      </c>
      <c r="LH55" s="20" t="n">
        <f aca="false">IF(DT55=1,IF(ABS((1+AS_Wage)/(1+Slot11_Rate)-1)&lt;0.000000000001,(Slot11_Age-D55)*(1+Slot11_Rate)^(Slot11_Age-D55),(1+Slot11_Rate)^(Slot11_Age-D55)*(1-((1+AS_Wage)/(1+Slot11_Rate))^(Slot11_Age-D55))/(1-(1+AS_Wage)/(1+Slot11_Rate))),1)</f>
        <v>1</v>
      </c>
      <c r="LI55" s="20" t="n">
        <f aca="false">IF(AND(HU55=1,IE55&gt;0,Slot11_IsWG=1,DT55=1),MAX(0,(Slot11_Cost-DU55*(1+Slot11_Rate)^(Slot11_Age-D55))/LH55),0)</f>
        <v>0</v>
      </c>
      <c r="LJ55" s="20" t="n">
        <f aca="false">IF(AND(HU55=1,IE55&gt;0,Slot11_IsWG=1,DT55=1),MIN(IE55,LI55),0)</f>
        <v>0</v>
      </c>
      <c r="LK55" s="20" t="n">
        <f aca="false">DU55+LJ55</f>
        <v>0</v>
      </c>
      <c r="LL55" s="20" t="n">
        <f aca="false">IF(DT55=1,MAX(0,(Slot11_Cost-LK55*(1+Slot11_Rate)^(Slot11_Age-D55))/LH55),0)</f>
        <v>0</v>
      </c>
      <c r="LM55" s="20" t="n">
        <f aca="false">IF(DT55=1,MAX(0,(Slot11_Cost-DU55*(1+Slot11_Rate)^(Slot11_Age-D55))/LH55),0)</f>
        <v>0</v>
      </c>
      <c r="LN55" s="20" t="n">
        <f aca="false">IF(AND(HU55=1,DT55=1),MIN(LG55,LL55),0)</f>
        <v>0</v>
      </c>
      <c r="LO55" s="20" t="n">
        <f aca="false">LG55-LN55</f>
        <v>0</v>
      </c>
      <c r="LP55" s="20" t="n">
        <f aca="false">IF(ED55=1,IF(ABS((1+AS_Wage)/(1+Slot12_Rate)-1)&lt;0.000000000001,(Slot12_Age-D55)*(1+Slot12_Rate)^(Slot12_Age-D55),(1+Slot12_Rate)^(Slot12_Age-D55)*(1-((1+AS_Wage)/(1+Slot12_Rate))^(Slot12_Age-D55))/(1-(1+AS_Wage)/(1+Slot12_Rate))),1)</f>
        <v>1</v>
      </c>
      <c r="LQ55" s="20" t="n">
        <f aca="false">IF(AND(HU55=1,IE55&gt;0,Slot12_IsWG=1,ED55=1),MAX(0,(Slot12_Cost-EE55*(1+Slot12_Rate)^(Slot12_Age-D55))/LP55),0)</f>
        <v>0</v>
      </c>
      <c r="LR55" s="20" t="n">
        <f aca="false">IF(AND(HU55=1,IE55&gt;0,Slot12_IsWG=1,ED55=1),MIN(IE55,LQ55),0)</f>
        <v>0</v>
      </c>
      <c r="LS55" s="20" t="n">
        <f aca="false">EE55+LR55</f>
        <v>0</v>
      </c>
      <c r="LT55" s="20" t="n">
        <f aca="false">IF(ED55=1,MAX(0,(Slot12_Cost-LS55*(1+Slot12_Rate)^(Slot12_Age-D55))/LP55),0)</f>
        <v>0</v>
      </c>
      <c r="LU55" s="20" t="n">
        <f aca="false">IF(ED55=1,MAX(0,(Slot12_Cost-EE55*(1+Slot12_Rate)^(Slot12_Age-D55))/LP55),0)</f>
        <v>0</v>
      </c>
      <c r="LV55" s="20" t="n">
        <f aca="false">IF(AND(HU55=1,ED55=1),MIN(LO55,LT55),0)</f>
        <v>0</v>
      </c>
      <c r="LW55" s="20" t="n">
        <f aca="false">LO55-LV55</f>
        <v>0</v>
      </c>
      <c r="LX55" s="20" t="n">
        <f aca="false">IF(EN55=1,IF(ABS((1+AS_Wage)/(1+Slot13_Rate)-1)&lt;0.000000000001,(Slot13_Age-D55)*(1+Slot13_Rate)^(Slot13_Age-D55),(1+Slot13_Rate)^(Slot13_Age-D55)*(1-((1+AS_Wage)/(1+Slot13_Rate))^(Slot13_Age-D55))/(1-(1+AS_Wage)/(1+Slot13_Rate))),1)</f>
        <v>1</v>
      </c>
      <c r="LY55" s="20" t="n">
        <f aca="false">IF(AND(HU55=1,IE55&gt;0,Slot13_IsWG=1,EN55=1),MAX(0,(Slot13_Cost-EO55*(1+Slot13_Rate)^(Slot13_Age-D55))/LX55),0)</f>
        <v>0</v>
      </c>
      <c r="LZ55" s="20" t="n">
        <f aca="false">IF(AND(HU55=1,IE55&gt;0,Slot13_IsWG=1,EN55=1),MIN(IE55,LY55),0)</f>
        <v>0</v>
      </c>
      <c r="MA55" s="20" t="n">
        <f aca="false">EO55+LZ55</f>
        <v>0</v>
      </c>
      <c r="MB55" s="20" t="n">
        <f aca="false">IF(EN55=1,MAX(0,(Slot13_Cost-MA55*(1+Slot13_Rate)^(Slot13_Age-D55))/LX55),0)</f>
        <v>0</v>
      </c>
      <c r="MC55" s="20" t="n">
        <f aca="false">IF(EN55=1,MAX(0,(Slot13_Cost-EO55*(1+Slot13_Rate)^(Slot13_Age-D55))/LX55),0)</f>
        <v>0</v>
      </c>
      <c r="MD55" s="20" t="n">
        <f aca="false">IF(AND(HU55=1,EN55=1),MIN(LW55,MB55),0)</f>
        <v>0</v>
      </c>
      <c r="ME55" s="20" t="n">
        <f aca="false">LW55-MD55</f>
        <v>0</v>
      </c>
      <c r="MF55" s="20" t="n">
        <f aca="false">IF(EX55=1,IF(ABS((1+AS_Wage)/(1+Slot14_Rate)-1)&lt;0.000000000001,(Slot14_Age-D55)*(1+Slot14_Rate)^(Slot14_Age-D55),(1+Slot14_Rate)^(Slot14_Age-D55)*(1-((1+AS_Wage)/(1+Slot14_Rate))^(Slot14_Age-D55))/(1-(1+AS_Wage)/(1+Slot14_Rate))),1)</f>
        <v>1</v>
      </c>
      <c r="MG55" s="20" t="n">
        <f aca="false">IF(AND(HU55=1,IE55&gt;0,Slot14_IsWG=1,EX55=1),MAX(0,(Slot14_Cost-EY55*(1+Slot14_Rate)^(Slot14_Age-D55))/MF55),0)</f>
        <v>0</v>
      </c>
      <c r="MH55" s="20" t="n">
        <f aca="false">IF(AND(HU55=1,IE55&gt;0,Slot14_IsWG=1,EX55=1),MIN(IE55,MG55),0)</f>
        <v>0</v>
      </c>
      <c r="MI55" s="20" t="n">
        <f aca="false">EY55+MH55</f>
        <v>0</v>
      </c>
      <c r="MJ55" s="20" t="n">
        <f aca="false">IF(EX55=1,MAX(0,(Slot14_Cost-MI55*(1+Slot14_Rate)^(Slot14_Age-D55))/MF55),0)</f>
        <v>0</v>
      </c>
      <c r="MK55" s="20" t="n">
        <f aca="false">IF(EX55=1,MAX(0,(Slot14_Cost-EY55*(1+Slot14_Rate)^(Slot14_Age-D55))/MF55),0)</f>
        <v>0</v>
      </c>
      <c r="ML55" s="20" t="n">
        <f aca="false">IF(AND(HU55=1,EX55=1),MIN(ME55,MJ55),0)</f>
        <v>0</v>
      </c>
      <c r="MM55" s="20" t="n">
        <f aca="false">ME55-ML55</f>
        <v>0</v>
      </c>
      <c r="MN55" s="20" t="n">
        <f aca="false">IF(FH55=1,IF(ABS((1+AS_Wage)/(1+Slot15_Rate)-1)&lt;0.000000000001,(Slot15_Age-D55)*(1+Slot15_Rate)^(Slot15_Age-D55),(1+Slot15_Rate)^(Slot15_Age-D55)*(1-((1+AS_Wage)/(1+Slot15_Rate))^(Slot15_Age-D55))/(1-(1+AS_Wage)/(1+Slot15_Rate))),1)</f>
        <v>1</v>
      </c>
      <c r="MO55" s="20" t="n">
        <f aca="false">IF(AND(HU55=1,IE55&gt;0,Slot15_IsWG=1,FH55=1),MAX(0,(Slot15_Cost-FI55*(1+Slot15_Rate)^(Slot15_Age-D55))/MN55),0)</f>
        <v>0</v>
      </c>
      <c r="MP55" s="20" t="n">
        <f aca="false">IF(AND(HU55=1,IE55&gt;0,Slot15_IsWG=1,FH55=1),MIN(IE55,MO55),0)</f>
        <v>0</v>
      </c>
      <c r="MQ55" s="20" t="n">
        <f aca="false">FI55+MP55</f>
        <v>0</v>
      </c>
      <c r="MR55" s="20" t="n">
        <f aca="false">IF(FH55=1,MAX(0,(Slot15_Cost-MQ55*(1+Slot15_Rate)^(Slot15_Age-D55))/MN55),0)</f>
        <v>0</v>
      </c>
      <c r="MS55" s="20" t="n">
        <f aca="false">IF(FH55=1,MAX(0,(Slot15_Cost-FI55*(1+Slot15_Rate)^(Slot15_Age-D55))/MN55),0)</f>
        <v>0</v>
      </c>
      <c r="MT55" s="20" t="n">
        <f aca="false">IF(AND(HU55=1,FH55=1),MIN(MM55,MR55),0)</f>
        <v>0</v>
      </c>
      <c r="MU55" s="20" t="n">
        <f aca="false">MM55-MT55</f>
        <v>0</v>
      </c>
      <c r="MV55" s="20" t="n">
        <f aca="false">IF(FR55=1,IF(ABS((1+AS_Wage)/(1+Slot16_Rate)-1)&lt;0.000000000001,(Slot16_Age-D55)*(1+Slot16_Rate)^(Slot16_Age-D55),(1+Slot16_Rate)^(Slot16_Age-D55)*(1-((1+AS_Wage)/(1+Slot16_Rate))^(Slot16_Age-D55))/(1-(1+AS_Wage)/(1+Slot16_Rate))),1)</f>
        <v>1</v>
      </c>
      <c r="MW55" s="20" t="n">
        <f aca="false">IF(AND(HU55=1,IE55&gt;0,Slot16_IsWG=1,FR55=1),MAX(0,(Slot16_Cost-FS55*(1+Slot16_Rate)^(Slot16_Age-D55))/MV55),0)</f>
        <v>0</v>
      </c>
      <c r="MX55" s="20" t="n">
        <f aca="false">IF(AND(HU55=1,IE55&gt;0,Slot16_IsWG=1,FR55=1),MIN(IE55,MW55),0)</f>
        <v>0</v>
      </c>
      <c r="MY55" s="20" t="n">
        <f aca="false">FS55+MX55</f>
        <v>0</v>
      </c>
      <c r="MZ55" s="20" t="n">
        <f aca="false">IF(FR55=1,MAX(0,(Slot16_Cost-MY55*(1+Slot16_Rate)^(Slot16_Age-D55))/MV55),0)</f>
        <v>0</v>
      </c>
      <c r="NA55" s="20" t="n">
        <f aca="false">IF(FR55=1,MAX(0,(Slot16_Cost-FS55*(1+Slot16_Rate)^(Slot16_Age-D55))/MV55),0)</f>
        <v>0</v>
      </c>
      <c r="NB55" s="20" t="n">
        <f aca="false">IF(AND(HU55=1,FR55=1),MIN(MU55,MZ55),0)</f>
        <v>0</v>
      </c>
      <c r="NC55" s="20" t="n">
        <f aca="false">MU55-NB55</f>
        <v>0</v>
      </c>
      <c r="ND55" s="20" t="n">
        <f aca="false">IF(GB55=1,IF(ABS((1+AS_Wage)/(1+Slot17_Rate)-1)&lt;0.000000000001,(Slot17_Age-D55)*(1+Slot17_Rate)^(Slot17_Age-D55),(1+Slot17_Rate)^(Slot17_Age-D55)*(1-((1+AS_Wage)/(1+Slot17_Rate))^(Slot17_Age-D55))/(1-(1+AS_Wage)/(1+Slot17_Rate))),1)</f>
        <v>1</v>
      </c>
      <c r="NE55" s="20" t="n">
        <f aca="false">IF(AND(HU55=1,IE55&gt;0,Slot17_IsWG=1,GB55=1),MAX(0,(Slot17_Cost-GC55*(1+Slot17_Rate)^(Slot17_Age-D55))/ND55),0)</f>
        <v>0</v>
      </c>
      <c r="NF55" s="20" t="n">
        <f aca="false">IF(AND(HU55=1,IE55&gt;0,Slot17_IsWG=1,GB55=1),MIN(IE55,NE55),0)</f>
        <v>0</v>
      </c>
      <c r="NG55" s="20" t="n">
        <f aca="false">GC55+NF55</f>
        <v>0</v>
      </c>
      <c r="NH55" s="20" t="n">
        <f aca="false">IF(GB55=1,MAX(0,(Slot17_Cost-NG55*(1+Slot17_Rate)^(Slot17_Age-D55))/ND55),0)</f>
        <v>0</v>
      </c>
      <c r="NI55" s="20" t="n">
        <f aca="false">IF(GB55=1,MAX(0,(Slot17_Cost-GC55*(1+Slot17_Rate)^(Slot17_Age-D55))/ND55),0)</f>
        <v>0</v>
      </c>
      <c r="NJ55" s="20" t="n">
        <f aca="false">IF(AND(HU55=1,GB55=1),MIN(NC55,NH55),0)</f>
        <v>0</v>
      </c>
      <c r="NK55" s="20" t="n">
        <f aca="false">NC55-NJ55</f>
        <v>0</v>
      </c>
      <c r="NL55" s="20" t="n">
        <f aca="false">IF(GL55=1,IF(ABS((1+AS_Wage)/(1+Slot18_Rate)-1)&lt;0.000000000001,(Slot18_Age-D55)*(1+Slot18_Rate)^(Slot18_Age-D55),(1+Slot18_Rate)^(Slot18_Age-D55)*(1-((1+AS_Wage)/(1+Slot18_Rate))^(Slot18_Age-D55))/(1-(1+AS_Wage)/(1+Slot18_Rate))),1)</f>
        <v>1</v>
      </c>
      <c r="NM55" s="20" t="n">
        <f aca="false">IF(AND(HU55=1,IE55&gt;0,Slot18_IsWG=1,GL55=1),MAX(0,(Slot18_Cost-GM55*(1+Slot18_Rate)^(Slot18_Age-D55))/NL55),0)</f>
        <v>0</v>
      </c>
      <c r="NN55" s="20" t="n">
        <f aca="false">IF(AND(HU55=1,IE55&gt;0,Slot18_IsWG=1,GL55=1),MIN(IE55,NM55),0)</f>
        <v>0</v>
      </c>
      <c r="NO55" s="20" t="n">
        <f aca="false">GM55+NN55</f>
        <v>0</v>
      </c>
      <c r="NP55" s="20" t="n">
        <f aca="false">IF(GL55=1,MAX(0,(Slot18_Cost-NO55*(1+Slot18_Rate)^(Slot18_Age-D55))/NL55),0)</f>
        <v>0</v>
      </c>
      <c r="NQ55" s="20" t="n">
        <f aca="false">IF(GL55=1,MAX(0,(Slot18_Cost-GM55*(1+Slot18_Rate)^(Slot18_Age-D55))/NL55),0)</f>
        <v>0</v>
      </c>
      <c r="NR55" s="20" t="n">
        <f aca="false">IF(AND(HU55=1,GL55=1),MIN(NK55,NP55),0)</f>
        <v>0</v>
      </c>
      <c r="NS55" s="20" t="n">
        <f aca="false">NK55-NR55</f>
        <v>0</v>
      </c>
      <c r="NT55" s="20" t="n">
        <f aca="false">IF(GV55=1,IF(ABS((1+AS_Wage)/(1+Slot19_Rate)-1)&lt;0.000000000001,(Slot19_Age-D55)*(1+Slot19_Rate)^(Slot19_Age-D55),(1+Slot19_Rate)^(Slot19_Age-D55)*(1-((1+AS_Wage)/(1+Slot19_Rate))^(Slot19_Age-D55))/(1-(1+AS_Wage)/(1+Slot19_Rate))),1)</f>
        <v>1</v>
      </c>
      <c r="NU55" s="20" t="n">
        <f aca="false">IF(AND(HU55=1,IE55&gt;0,Slot19_IsWG=1,GV55=1),MAX(0,(Slot19_Cost-GW55*(1+Slot19_Rate)^(Slot19_Age-D55))/NT55),0)</f>
        <v>0</v>
      </c>
      <c r="NV55" s="20" t="n">
        <f aca="false">IF(AND(HU55=1,IE55&gt;0,Slot19_IsWG=1,GV55=1),MIN(IE55,NU55),0)</f>
        <v>0</v>
      </c>
      <c r="NW55" s="20" t="n">
        <f aca="false">GW55+NV55</f>
        <v>0</v>
      </c>
      <c r="NX55" s="20" t="n">
        <f aca="false">IF(GV55=1,MAX(0,(Slot19_Cost-NW55*(1+Slot19_Rate)^(Slot19_Age-D55))/NT55),0)</f>
        <v>0</v>
      </c>
      <c r="NY55" s="20" t="n">
        <f aca="false">IF(GV55=1,MAX(0,(Slot19_Cost-GW55*(1+Slot19_Rate)^(Slot19_Age-D55))/NT55),0)</f>
        <v>0</v>
      </c>
      <c r="NZ55" s="20" t="n">
        <f aca="false">IF(AND(HU55=1,GV55=1),MIN(NS55,NX55),0)</f>
        <v>0</v>
      </c>
      <c r="OA55" s="20" t="n">
        <f aca="false">NS55-NZ55</f>
        <v>0</v>
      </c>
      <c r="OB55" s="20" t="n">
        <f aca="false">IF(HF55=1,IF(ABS((1+AS_Wage)/(1+Slot20_Rate)-1)&lt;0.000000000001,(Slot20_Age-D55)*(1+Slot20_Rate)^(Slot20_Age-D55),(1+Slot20_Rate)^(Slot20_Age-D55)*(1-((1+AS_Wage)/(1+Slot20_Rate))^(Slot20_Age-D55))/(1-(1+AS_Wage)/(1+Slot20_Rate))),1)</f>
        <v>1</v>
      </c>
      <c r="OC55" s="20" t="n">
        <f aca="false">IF(AND(HU55=1,IE55&gt;0,Slot20_IsWG=1,HF55=1),MAX(0,(Slot20_Cost-HG55*(1+Slot20_Rate)^(Slot20_Age-D55))/OB55),0)</f>
        <v>0</v>
      </c>
      <c r="OD55" s="20" t="n">
        <f aca="false">IF(AND(HU55=1,IE55&gt;0,Slot20_IsWG=1,HF55=1),MIN(IE55,OC55),0)</f>
        <v>0</v>
      </c>
      <c r="OE55" s="20" t="n">
        <f aca="false">HG55+OD55</f>
        <v>0</v>
      </c>
      <c r="OF55" s="20" t="n">
        <f aca="false">IF(HF55=1,MAX(0,(Slot20_Cost-OE55*(1+Slot20_Rate)^(Slot20_Age-D55))/OB55),0)</f>
        <v>0</v>
      </c>
      <c r="OG55" s="20" t="n">
        <f aca="false">IF(HF55=1,MAX(0,(Slot20_Cost-HG55*(1+Slot20_Rate)^(Slot20_Age-D55))/OB55),0)</f>
        <v>0</v>
      </c>
      <c r="OH55" s="20" t="n">
        <f aca="false">IF(AND(HU55=1,HF55=1),MIN(OA55,OF55),0)</f>
        <v>0</v>
      </c>
      <c r="OI55" s="20" t="n">
        <f aca="false">OA55-OH55</f>
        <v>0</v>
      </c>
      <c r="OJ55" s="20" t="n">
        <f aca="false">IE55-(IH55+IP55+IX55+JF55+JN55+JV55+KD55+KL55+KT55+LB55+LJ55+LR55+LZ55+MH55+MP55+MX55+NF55+NN55+NV55+OD55)</f>
        <v>0</v>
      </c>
      <c r="OK55" s="20" t="n">
        <f aca="false">IF(HU55=1,HS55-ID55-IE55,0)</f>
        <v>0</v>
      </c>
      <c r="OL55" s="20" t="n">
        <f aca="false">IF(HU55=0,-HS55,0)</f>
        <v>26521.8474219928</v>
      </c>
      <c r="OM55" s="20" t="n">
        <f aca="false">MIN(OL55,HK55)</f>
        <v>0</v>
      </c>
      <c r="ON55" s="20" t="n">
        <f aca="false">OL55-OM55</f>
        <v>26521.8474219928</v>
      </c>
      <c r="OO55" s="20" t="n">
        <f aca="false">MIN(ON55,HL55)</f>
        <v>0</v>
      </c>
      <c r="OP55" s="20" t="n">
        <f aca="false">ON55-OO55</f>
        <v>26521.8474219928</v>
      </c>
      <c r="OQ55" s="20" t="n">
        <f aca="false">IF(AND(HU55=0,HF55=1,OP55&gt;0),MIN(OP55,HG55),0)</f>
        <v>0</v>
      </c>
      <c r="OR55" s="20" t="n">
        <f aca="false">OP55-OQ55</f>
        <v>26521.8474219928</v>
      </c>
      <c r="OS55" s="20" t="n">
        <f aca="false">IF(AND(HU55=0,GV55=1,OR55&gt;0),MIN(OR55,GW55),0)</f>
        <v>0</v>
      </c>
      <c r="OT55" s="20" t="n">
        <f aca="false">OR55-OS55</f>
        <v>26521.8474219928</v>
      </c>
      <c r="OU55" s="20" t="n">
        <f aca="false">IF(AND(HU55=0,GL55=1,OT55&gt;0),MIN(OT55,GM55),0)</f>
        <v>0</v>
      </c>
      <c r="OV55" s="20" t="n">
        <f aca="false">OT55-OU55</f>
        <v>26521.8474219928</v>
      </c>
      <c r="OW55" s="20" t="n">
        <f aca="false">IF(AND(HU55=0,GB55=1,OV55&gt;0),MIN(OV55,GC55),0)</f>
        <v>0</v>
      </c>
      <c r="OX55" s="20" t="n">
        <f aca="false">OV55-OW55</f>
        <v>26521.8474219928</v>
      </c>
      <c r="OY55" s="20" t="n">
        <f aca="false">IF(AND(HU55=0,FR55=1,OX55&gt;0),MIN(OX55,FS55),0)</f>
        <v>0</v>
      </c>
      <c r="OZ55" s="20" t="n">
        <f aca="false">OX55-OY55</f>
        <v>26521.8474219928</v>
      </c>
      <c r="PA55" s="20" t="n">
        <f aca="false">IF(AND(HU55=0,FH55=1,OZ55&gt;0),MIN(OZ55,FI55),0)</f>
        <v>0</v>
      </c>
      <c r="PB55" s="20" t="n">
        <f aca="false">OZ55-PA55</f>
        <v>26521.8474219928</v>
      </c>
      <c r="PC55" s="20" t="n">
        <f aca="false">IF(AND(HU55=0,EX55=1,PB55&gt;0),MIN(PB55,EY55),0)</f>
        <v>0</v>
      </c>
      <c r="PD55" s="20" t="n">
        <f aca="false">PB55-PC55</f>
        <v>26521.8474219928</v>
      </c>
      <c r="PE55" s="20" t="n">
        <f aca="false">IF(AND(HU55=0,EN55=1,PD55&gt;0),MIN(PD55,EO55),0)</f>
        <v>0</v>
      </c>
      <c r="PF55" s="20" t="n">
        <f aca="false">PD55-PE55</f>
        <v>26521.8474219928</v>
      </c>
      <c r="PG55" s="20" t="n">
        <f aca="false">IF(AND(HU55=0,ED55=1,PF55&gt;0),MIN(PF55,EE55),0)</f>
        <v>0</v>
      </c>
      <c r="PH55" s="20" t="n">
        <f aca="false">PF55-PG55</f>
        <v>26521.8474219928</v>
      </c>
      <c r="PI55" s="20" t="n">
        <f aca="false">IF(AND(HU55=0,DT55=1,PH55&gt;0),MIN(PH55,DU55),0)</f>
        <v>0</v>
      </c>
      <c r="PJ55" s="20" t="n">
        <f aca="false">PH55-PI55</f>
        <v>26521.8474219928</v>
      </c>
      <c r="PK55" s="20" t="n">
        <f aca="false">IF(AND(HU55=0,DJ55=1,PJ55&gt;0),MIN(PJ55,DK55),0)</f>
        <v>0</v>
      </c>
      <c r="PL55" s="20" t="n">
        <f aca="false">PJ55-PK55</f>
        <v>26521.8474219928</v>
      </c>
      <c r="PM55" s="20" t="n">
        <f aca="false">IF(AND(HU55=0,CZ55=1,PL55&gt;0),MIN(PL55,DA55),0)</f>
        <v>0</v>
      </c>
      <c r="PN55" s="20" t="n">
        <f aca="false">PL55-PM55</f>
        <v>26521.8474219928</v>
      </c>
      <c r="PO55" s="20" t="n">
        <f aca="false">IF(AND(HU55=0,CP55=1,PN55&gt;0),MIN(PN55,CQ55),0)</f>
        <v>0</v>
      </c>
      <c r="PP55" s="20" t="n">
        <f aca="false">PN55-PO55</f>
        <v>26521.8474219928</v>
      </c>
      <c r="PQ55" s="20" t="n">
        <f aca="false">IF(AND(HU55=0,CF55=1,PP55&gt;0),MIN(PP55,CG55),0)</f>
        <v>0</v>
      </c>
      <c r="PR55" s="20" t="n">
        <f aca="false">PP55-PQ55</f>
        <v>26521.8474219928</v>
      </c>
      <c r="PS55" s="20" t="n">
        <f aca="false">IF(AND(HU55=0,BV55=1,PR55&gt;0),MIN(PR55,BW55),0)</f>
        <v>0</v>
      </c>
      <c r="PT55" s="20" t="n">
        <f aca="false">PR55-PS55</f>
        <v>26521.8474219928</v>
      </c>
      <c r="PU55" s="20" t="n">
        <f aca="false">IF(AND(HU55=0,BL55=1,PT55&gt;0),MIN(PT55,BM55),0)</f>
        <v>0</v>
      </c>
      <c r="PV55" s="20" t="n">
        <f aca="false">PT55-PU55</f>
        <v>26521.8474219928</v>
      </c>
      <c r="PW55" s="20" t="n">
        <f aca="false">IF(AND(HU55=0,BB55=1,PV55&gt;0),MIN(PV55,BC55),0)</f>
        <v>0</v>
      </c>
      <c r="PX55" s="20" t="n">
        <f aca="false">PV55-PW55</f>
        <v>26521.8474219928</v>
      </c>
      <c r="PY55" s="20" t="n">
        <f aca="false">IF(AND(HU55=0,AR55=1,PX55&gt;0),MIN(PX55,AS55),0)</f>
        <v>0</v>
      </c>
      <c r="PZ55" s="20" t="n">
        <f aca="false">PX55-PY55</f>
        <v>26521.8474219928</v>
      </c>
      <c r="QA55" s="20" t="n">
        <f aca="false">IF(AND(HU55=0,AH55=1,PZ55&gt;0),MIN(PZ55,AI55),0)</f>
        <v>0</v>
      </c>
      <c r="QB55" s="20" t="n">
        <f aca="false">PZ55-QA55</f>
        <v>26521.8474219928</v>
      </c>
      <c r="QC55" s="20" t="n">
        <f aca="false">IF(AND(HU55=0,W55=1,QB55&gt;0),MIN(QB55,X55),0)</f>
        <v>0</v>
      </c>
      <c r="QD55" s="20" t="n">
        <f aca="false">QB55-QC55</f>
        <v>26521.8474219928</v>
      </c>
      <c r="QE55" s="20" t="n">
        <f aca="false">IF(HU55=0,QD55,0)</f>
        <v>26521.8474219928</v>
      </c>
      <c r="QF55" s="20" t="n">
        <f aca="false">OM55+OO55+QC55+QA55+PY55+PW55+PU55+PS55+PQ55+PO55+PM55+PK55+PI55+PG55+PE55+PC55+PA55+OY55+OW55+OU55+OS55+OQ55</f>
        <v>0</v>
      </c>
      <c r="QG55" s="20" t="n">
        <f aca="false">IF(HU55=1,HK55+OJ55+OI55+IF(G55=1,0,OK55),HK55-OM55)</f>
        <v>0</v>
      </c>
      <c r="QH55" s="20" t="n">
        <f aca="false">HL55-OO55</f>
        <v>0</v>
      </c>
      <c r="QI55" s="20" t="n">
        <f aca="false">IF(HU55=1,IF(G55=1,ID55+IE55,HS55),0)</f>
        <v>0</v>
      </c>
      <c r="QJ55" s="20" t="n">
        <f aca="false">IF(HU55=1,IF(G55=1,HS55-ID55-IE55,0),0)</f>
        <v>0</v>
      </c>
      <c r="QK55" s="20" t="n">
        <f aca="false">QG55*(1+GR)</f>
        <v>0</v>
      </c>
      <c r="QL55" s="20" t="n">
        <f aca="false">QH55*(1+AS_Cash)</f>
        <v>0</v>
      </c>
      <c r="QM55" s="20" t="n">
        <f aca="false">IF(W55=1,IF(HU55=1,II55+IL55,X55-QC55)*(1+Slot1_Rate),0)</f>
        <v>0</v>
      </c>
      <c r="QN55" s="20" t="n">
        <f aca="false">IF(AND(HU55=1,W55=1),(IH55+IL55)/F55,0)</f>
        <v>0</v>
      </c>
      <c r="QO55" s="20" t="n">
        <f aca="false">IF(B55=0,IH55+IL55,0)</f>
        <v>0</v>
      </c>
      <c r="QP55" s="20" t="n">
        <f aca="false">IF(B55=0,IF(HU55=1,IJ55,IK55),0)</f>
        <v>0</v>
      </c>
      <c r="QQ55" s="20" t="n">
        <f aca="false">IF(AH55=1,IF(HU55=1,IQ55+IT55,AI55-QA55)*(1+Slot2_Rate),0)</f>
        <v>0</v>
      </c>
      <c r="QR55" s="20" t="n">
        <f aca="false">IF(AND(HU55=1,AH55=1),(IP55+IT55)/F55,0)</f>
        <v>0</v>
      </c>
      <c r="QS55" s="20" t="n">
        <f aca="false">IF(B55=0,IP55+IT55,0)</f>
        <v>0</v>
      </c>
      <c r="QT55" s="20" t="n">
        <f aca="false">IF(B55=0,IF(HU55=1,IR55,IS55),0)</f>
        <v>0</v>
      </c>
      <c r="QU55" s="20" t="n">
        <f aca="false">IF(AR55=1,IF(HU55=1,IY55+JB55,AS55-PY55)*(1+Slot3_Rate),0)</f>
        <v>0</v>
      </c>
      <c r="QV55" s="20" t="n">
        <f aca="false">IF(AND(HU55=1,AR55=1),(IX55+JB55)/F55,0)</f>
        <v>0</v>
      </c>
      <c r="QW55" s="20" t="n">
        <f aca="false">IF(B55=0,IX55+JB55,0)</f>
        <v>0</v>
      </c>
      <c r="QX55" s="20" t="n">
        <f aca="false">IF(B55=0,IF(HU55=1,IZ55,JA55),0)</f>
        <v>0</v>
      </c>
      <c r="QY55" s="20" t="n">
        <f aca="false">IF(BB55=1,IF(HU55=1,JG55+JJ55,BC55-PW55)*(1+Slot4_Rate),0)</f>
        <v>0</v>
      </c>
      <c r="QZ55" s="20" t="n">
        <f aca="false">IF(AND(HU55=1,BB55=1),(JF55+JJ55)/F55,0)</f>
        <v>0</v>
      </c>
      <c r="RA55" s="20" t="n">
        <f aca="false">IF(B55=0,JF55+JJ55,0)</f>
        <v>0</v>
      </c>
      <c r="RB55" s="20" t="n">
        <f aca="false">IF(B55=0,IF(HU55=1,JH55,JI55),0)</f>
        <v>0</v>
      </c>
      <c r="RC55" s="20" t="n">
        <f aca="false">IF(BL55=1,IF(HU55=1,JO55+JR55,BM55-PU55)*(1+Slot5_Rate),0)</f>
        <v>0</v>
      </c>
      <c r="RD55" s="20" t="n">
        <f aca="false">IF(AND(HU55=1,BL55=1),(JN55+JR55)/F55,0)</f>
        <v>0</v>
      </c>
      <c r="RE55" s="20" t="n">
        <f aca="false">IF(B55=0,JN55+JR55,0)</f>
        <v>0</v>
      </c>
      <c r="RF55" s="20" t="n">
        <f aca="false">IF(B55=0,IF(HU55=1,JP55,JQ55),0)</f>
        <v>0</v>
      </c>
      <c r="RG55" s="20" t="n">
        <f aca="false">IF(BV55=1,IF(HU55=1,JW55+JZ55,BW55-PS55)*(1+Slot6_Rate),0)</f>
        <v>0</v>
      </c>
      <c r="RH55" s="20" t="n">
        <f aca="false">IF(AND(HU55=1,BV55=1),(JV55+JZ55)/F55,0)</f>
        <v>0</v>
      </c>
      <c r="RI55" s="20" t="n">
        <f aca="false">IF(B55=0,JV55+JZ55,0)</f>
        <v>0</v>
      </c>
      <c r="RJ55" s="20" t="n">
        <f aca="false">IF(B55=0,IF(HU55=1,JX55,JY55),0)</f>
        <v>0</v>
      </c>
      <c r="RK55" s="20" t="n">
        <f aca="false">IF(CF55=1,IF(HU55=1,KE55+KH55,CG55-PQ55)*(1+Slot7_Rate),0)</f>
        <v>0</v>
      </c>
      <c r="RL55" s="20" t="n">
        <f aca="false">IF(AND(HU55=1,CF55=1),(KD55+KH55)/F55,0)</f>
        <v>0</v>
      </c>
      <c r="RM55" s="20" t="n">
        <f aca="false">IF(B55=0,KD55+KH55,0)</f>
        <v>0</v>
      </c>
      <c r="RN55" s="20" t="n">
        <f aca="false">IF(B55=0,IF(HU55=1,KF55,KG55),0)</f>
        <v>0</v>
      </c>
      <c r="RO55" s="20" t="n">
        <f aca="false">IF(CP55=1,IF(HU55=1,KM55+KP55,CQ55-PO55)*(1+Slot8_Rate),0)</f>
        <v>0</v>
      </c>
      <c r="RP55" s="20" t="n">
        <f aca="false">IF(AND(HU55=1,CP55=1),(KL55+KP55)/F55,0)</f>
        <v>0</v>
      </c>
      <c r="RQ55" s="20" t="n">
        <f aca="false">IF(B55=0,KL55+KP55,0)</f>
        <v>0</v>
      </c>
      <c r="RR55" s="20" t="n">
        <f aca="false">IF(B55=0,IF(HU55=1,KN55,KO55),0)</f>
        <v>0</v>
      </c>
      <c r="RS55" s="20" t="n">
        <f aca="false">IF(CZ55=1,IF(HU55=1,KU55+KX55,DA55-PM55)*(1+Slot9_Rate),0)</f>
        <v>0</v>
      </c>
      <c r="RT55" s="20" t="n">
        <f aca="false">IF(AND(HU55=1,CZ55=1),(KT55+KX55)/F55,0)</f>
        <v>0</v>
      </c>
      <c r="RU55" s="20" t="n">
        <f aca="false">IF(B55=0,KT55+KX55,0)</f>
        <v>0</v>
      </c>
      <c r="RV55" s="20" t="n">
        <f aca="false">IF(B55=0,IF(HU55=1,KV55,KW55),0)</f>
        <v>0</v>
      </c>
      <c r="RW55" s="20" t="n">
        <f aca="false">IF(DJ55=1,IF(HU55=1,LC55+LF55,DK55-PK55)*(1+Slot10_Rate),0)</f>
        <v>0</v>
      </c>
      <c r="RX55" s="20" t="n">
        <f aca="false">IF(AND(HU55=1,DJ55=1),(LB55+LF55)/F55,0)</f>
        <v>0</v>
      </c>
      <c r="RY55" s="20" t="n">
        <f aca="false">IF(B55=0,LB55+LF55,0)</f>
        <v>0</v>
      </c>
      <c r="RZ55" s="20" t="n">
        <f aca="false">IF(B55=0,IF(HU55=1,LD55,LE55),0)</f>
        <v>0</v>
      </c>
      <c r="SA55" s="20" t="n">
        <f aca="false">IF(DT55=1,IF(HU55=1,LK55+LN55,DU55-PI55)*(1+Slot11_Rate),0)</f>
        <v>0</v>
      </c>
      <c r="SB55" s="20" t="n">
        <f aca="false">IF(AND(HU55=1,DT55=1),(LJ55+LN55)/F55,0)</f>
        <v>0</v>
      </c>
      <c r="SC55" s="20" t="n">
        <f aca="false">IF(B55=0,LJ55+LN55,0)</f>
        <v>0</v>
      </c>
      <c r="SD55" s="20" t="n">
        <f aca="false">IF(B55=0,IF(HU55=1,LL55,LM55),0)</f>
        <v>0</v>
      </c>
      <c r="SE55" s="20" t="n">
        <f aca="false">IF(ED55=1,IF(HU55=1,LS55+LV55,EE55-PG55)*(1+Slot12_Rate),0)</f>
        <v>0</v>
      </c>
      <c r="SF55" s="20" t="n">
        <f aca="false">IF(AND(HU55=1,ED55=1),(LR55+LV55)/F55,0)</f>
        <v>0</v>
      </c>
      <c r="SG55" s="20" t="n">
        <f aca="false">IF(B55=0,LR55+LV55,0)</f>
        <v>0</v>
      </c>
      <c r="SH55" s="20" t="n">
        <f aca="false">IF(B55=0,IF(HU55=1,LT55,LU55),0)</f>
        <v>0</v>
      </c>
      <c r="SI55" s="20" t="n">
        <f aca="false">IF(EN55=1,IF(HU55=1,MA55+MD55,EO55-PE55)*(1+Slot13_Rate),0)</f>
        <v>0</v>
      </c>
      <c r="SJ55" s="20" t="n">
        <f aca="false">IF(AND(HU55=1,EN55=1),(LZ55+MD55)/F55,0)</f>
        <v>0</v>
      </c>
      <c r="SK55" s="20" t="n">
        <f aca="false">IF(B55=0,LZ55+MD55,0)</f>
        <v>0</v>
      </c>
      <c r="SL55" s="20" t="n">
        <f aca="false">IF(B55=0,IF(HU55=1,MB55,MC55),0)</f>
        <v>0</v>
      </c>
      <c r="SM55" s="20" t="n">
        <f aca="false">IF(EX55=1,IF(HU55=1,MI55+ML55,EY55-PC55)*(1+Slot14_Rate),0)</f>
        <v>0</v>
      </c>
      <c r="SN55" s="20" t="n">
        <f aca="false">IF(AND(HU55=1,EX55=1),(MH55+ML55)/F55,0)</f>
        <v>0</v>
      </c>
      <c r="SO55" s="20" t="n">
        <f aca="false">IF(B55=0,MH55+ML55,0)</f>
        <v>0</v>
      </c>
      <c r="SP55" s="20" t="n">
        <f aca="false">IF(B55=0,IF(HU55=1,MJ55,MK55),0)</f>
        <v>0</v>
      </c>
      <c r="SQ55" s="20" t="n">
        <f aca="false">IF(FH55=1,IF(HU55=1,MQ55+MT55,FI55-PA55)*(1+Slot15_Rate),0)</f>
        <v>0</v>
      </c>
      <c r="SR55" s="20" t="n">
        <f aca="false">IF(AND(HU55=1,FH55=1),(MP55+MT55)/F55,0)</f>
        <v>0</v>
      </c>
      <c r="SS55" s="20" t="n">
        <f aca="false">IF(B55=0,MP55+MT55,0)</f>
        <v>0</v>
      </c>
      <c r="ST55" s="20" t="n">
        <f aca="false">IF(B55=0,IF(HU55=1,MR55,MS55),0)</f>
        <v>0</v>
      </c>
      <c r="SU55" s="20" t="n">
        <f aca="false">IF(FR55=1,IF(HU55=1,MY55+NB55,FS55-OY55)*(1+Slot16_Rate),0)</f>
        <v>0</v>
      </c>
      <c r="SV55" s="20" t="n">
        <f aca="false">IF(AND(HU55=1,FR55=1),(MX55+NB55)/F55,0)</f>
        <v>0</v>
      </c>
      <c r="SW55" s="20" t="n">
        <f aca="false">IF(B55=0,MX55+NB55,0)</f>
        <v>0</v>
      </c>
      <c r="SX55" s="20" t="n">
        <f aca="false">IF(B55=0,IF(HU55=1,MZ55,NA55),0)</f>
        <v>0</v>
      </c>
      <c r="SY55" s="20" t="n">
        <f aca="false">IF(GB55=1,IF(HU55=1,NG55+NJ55,GC55-OW55)*(1+Slot17_Rate),0)</f>
        <v>0</v>
      </c>
      <c r="SZ55" s="20" t="n">
        <f aca="false">IF(AND(HU55=1,GB55=1),(NF55+NJ55)/F55,0)</f>
        <v>0</v>
      </c>
      <c r="TA55" s="20" t="n">
        <f aca="false">IF(B55=0,NF55+NJ55,0)</f>
        <v>0</v>
      </c>
      <c r="TB55" s="20" t="n">
        <f aca="false">IF(B55=0,IF(HU55=1,NH55,NI55),0)</f>
        <v>0</v>
      </c>
      <c r="TC55" s="20" t="n">
        <f aca="false">IF(GL55=1,IF(HU55=1,NO55+NR55,GM55-OU55)*(1+Slot18_Rate),0)</f>
        <v>0</v>
      </c>
      <c r="TD55" s="20" t="n">
        <f aca="false">IF(AND(HU55=1,GL55=1),(NN55+NR55)/F55,0)</f>
        <v>0</v>
      </c>
      <c r="TE55" s="20" t="n">
        <f aca="false">IF(B55=0,NN55+NR55,0)</f>
        <v>0</v>
      </c>
      <c r="TF55" s="20" t="n">
        <f aca="false">IF(B55=0,IF(HU55=1,NP55,NQ55),0)</f>
        <v>0</v>
      </c>
      <c r="TG55" s="20" t="n">
        <f aca="false">IF(GV55=1,IF(HU55=1,NW55+NZ55,GW55-OS55)*(1+Slot19_Rate),0)</f>
        <v>0</v>
      </c>
      <c r="TH55" s="20" t="n">
        <f aca="false">IF(AND(HU55=1,GV55=1),(NV55+NZ55)/F55,0)</f>
        <v>0</v>
      </c>
      <c r="TI55" s="20" t="n">
        <f aca="false">IF(B55=0,NV55+NZ55,0)</f>
        <v>0</v>
      </c>
      <c r="TJ55" s="20" t="n">
        <f aca="false">IF(B55=0,IF(HU55=1,NX55,NY55),0)</f>
        <v>0</v>
      </c>
      <c r="TK55" s="20" t="n">
        <f aca="false">IF(HF55=1,IF(HU55=1,OE55+OH55,HG55-OQ55)*(1+Slot20_Rate),0)</f>
        <v>0</v>
      </c>
      <c r="TL55" s="20" t="n">
        <f aca="false">IF(AND(HU55=1,HF55=1),(OD55+OH55)/F55,0)</f>
        <v>0</v>
      </c>
      <c r="TM55" s="20" t="n">
        <f aca="false">IF(B55=0,OD55+OH55,0)</f>
        <v>0</v>
      </c>
      <c r="TN55" s="20" t="n">
        <f aca="false">IF(B55=0,IF(HU55=1,OF55,OG55),0)</f>
        <v>0</v>
      </c>
      <c r="TO55" s="20" t="n">
        <f aca="false">QK55+QL55+QM55+QQ55+QU55+QY55+RC55+RG55+RK55+RO55+RS55+RW55+SA55+SE55+SI55+SM55+SQ55+SU55+SY55+TC55+TG55+TK55</f>
        <v>0</v>
      </c>
      <c r="TP55" s="20" t="n">
        <f aca="false">QE55+HP55</f>
        <v>26521.8474219928</v>
      </c>
      <c r="TQ55" s="20" t="n">
        <f aca="false">I55+S55</f>
        <v>121237.220026346</v>
      </c>
      <c r="TR55" s="20" t="n">
        <f aca="false">1-G55</f>
        <v>1</v>
      </c>
      <c r="TS55" s="20" t="n">
        <f aca="false">IF(AND(RG_Exists=1,G55=0,C55=1),I55,0)</f>
        <v>121237.220026346</v>
      </c>
      <c r="TT55" s="20" t="n">
        <f aca="false">IF(AND(RG_Exists=1,G55=0,C55=1),I55-MIN(QE55,I55),0)</f>
        <v>94715.3726043531</v>
      </c>
      <c r="TU55" s="20" t="n">
        <f aca="false">'Plan pay &amp; tax'!AD281</f>
        <v>254446.010170804</v>
      </c>
      <c r="TV55" s="20" t="n">
        <f aca="false">IF(AND(C55=1,QE55&gt;MAX(PR_Short1,TQ55*PR_Short2)),1,0)</f>
        <v>1</v>
      </c>
      <c r="TW55" s="20" t="n">
        <f aca="false">MIN(H55,I55+S55)</f>
        <v>94715.3726043531</v>
      </c>
      <c r="TX55" s="20" t="n">
        <f aca="false">QF55+MAX(0,HQ55-HP55)</f>
        <v>0</v>
      </c>
      <c r="TY55" s="20" t="n">
        <f aca="false">QE55+HP55</f>
        <v>26521.8474219928</v>
      </c>
      <c r="TZ55" s="20" t="n">
        <f aca="false">IF(AND(C55=1,TY55&gt;PR_MinShort),1,0)</f>
        <v>1</v>
      </c>
      <c r="UA55" s="20" t="n">
        <f aca="false">IF(AND(C55=1,TZ55=0,TX55&gt;PR_MinShort),1,0)</f>
        <v>0</v>
      </c>
      <c r="UB55" s="20" t="n">
        <f aca="false">IF(AND(C55=1,QE55&gt;PR_MinShort),1,0)</f>
        <v>1</v>
      </c>
      <c r="UC55" s="20" t="n">
        <f aca="false">IF(AND(C55=1,QF55&gt;1,UJ55=0),1,0)</f>
        <v>0</v>
      </c>
      <c r="UD55" s="20" t="str">
        <f aca="false">IF(C55=0,"",IF(UJ55=1,"Gap to plan for: short "&amp;"€"&amp;TEXT(ROUND(TP55,0),"#,##0"),IF(QF55&gt;1,"Using savings","Comfortable")))</f>
        <v>Gap to plan for: short €26,522</v>
      </c>
      <c r="UE55" s="20" t="n">
        <f aca="false">IF(AND(INT(D55/10)*10=90,B55&gt;0),80,INT(D55/10)*10)</f>
        <v>80</v>
      </c>
      <c r="UF55" s="20" t="n">
        <f aca="false">IF(B55=0,1,IF(UE55&lt;&gt;UE54,UF54+1,UF54))</f>
        <v>6</v>
      </c>
      <c r="UG55" s="20" t="n">
        <f aca="false">IF(AND(C55=1,G55=1,QE55&gt;MAX(PR_Short1,TQ55*PR_Short2)),1,0)</f>
        <v>0</v>
      </c>
      <c r="UH55" s="20" t="n">
        <f aca="false">TR55*TV55</f>
        <v>1</v>
      </c>
      <c r="UI55" s="20" t="n">
        <f aca="false">IF(AND(V55=1,Slot1_PctLow=1),1,0)+IF(AND(AG55=1,Slot2_PctLow=1),1,0)+IF(AND(AQ55=1,Slot3_PctLow=1),1,0)+IF(AND(BA55=1,Slot4_PctLow=1),1,0)+IF(AND(BK55=1,Slot5_PctLow=1),1,0)+IF(AND(BU55=1,Slot6_PctLow=1),1,0)+IF(AND(CE55=1,Slot7_PctLow=1),1,0)+IF(AND(CO55=1,Slot8_PctLow=1),1,0)+IF(AND(CY55=1,Slot9_PctLow=1),1,0)+IF(AND(DI55=1,Slot10_PctLow=1),1,0)+IF(AND(DS55=1,Slot11_PctLow=1),1,0)+IF(AND(EC55=1,Slot12_PctLow=1),1,0)+IF(AND(EM55=1,Slot13_PctLow=1),1,0)+IF(AND(EW55=1,Slot14_PctLow=1),1,0)+IF(AND(FG55=1,Slot15_PctLow=1),1,0)+IF(AND(FQ55=1,Slot16_PctLow=1),1,0)+IF(AND(GA55=1,Slot17_PctLow=1),1,0)+IF(AND(GK55=1,Slot18_PctLow=1),1,0)+IF(AND(GU55=1,Slot19_PctLow=1),1,0)+IF(AND(HE55=1,Slot20_PctLow=1),1,0)</f>
        <v>0</v>
      </c>
      <c r="UJ55" s="20" t="n">
        <f aca="false">IF(C55=1,IF(OR(TV55=1,UI55&gt;0),1,0),0)</f>
        <v>1</v>
      </c>
    </row>
    <row r="56" customFormat="false" ht="15" hidden="false" customHeight="true" outlineLevel="0" collapsed="false">
      <c r="B56" s="20" t="n">
        <v>48</v>
      </c>
      <c r="C56" s="20" t="n">
        <f aca="false">IF(B56&lt;=F_N,1,0)</f>
        <v>1</v>
      </c>
      <c r="D56" s="20" t="n">
        <f aca="false">'Plan pay &amp; tax'!C282</f>
        <v>86</v>
      </c>
      <c r="E56" s="20" t="str">
        <f aca="false">IF($C56=1,"Income tax "&amp;TEXT(N('Plan pay &amp; tax'!BK282),"#,##0")&amp;"; USC "&amp;TEXT(N('Plan pay &amp; tax'!BM282)+N('Plan pay &amp; tax'!BO282),"#,##0")&amp;"; PRSI "&amp;TEXT(N('Plan pay &amp; tax'!BP282)+N('Plan pay &amp; tax'!BQ282),"#,##0")&amp;". DIRT and exit tax are inside the growth rates here.","")</f>
        <v>Income tax 939; USC 0; PRSI 0. DIRT and exit tax are inside the growth rates here.</v>
      </c>
      <c r="F56" s="44" t="n">
        <f aca="false">'Plan pay &amp; tax'!E282</f>
        <v>2.58707038549943</v>
      </c>
      <c r="G56" s="20" t="n">
        <f aca="false">'Plan pay &amp; tax'!G282</f>
        <v>0</v>
      </c>
      <c r="H56" s="20" t="n">
        <f aca="false">'Plan pay &amp; tax'!BT282-'Plan pay &amp; tax'!BS282-'Plan pay &amp; tax'!R282</f>
        <v>96836.6217232915</v>
      </c>
      <c r="I56" s="20" t="n">
        <f aca="false">IF(G56=1,F_CostsM*12,IF(RG_Exists=1,RG_Amount,F_CostsM*12*AS_RetireSpend))*F56+F_OneOffY*F56</f>
        <v>123661.964426873</v>
      </c>
      <c r="J56" s="20" t="n">
        <f aca="false">HR55</f>
        <v>0</v>
      </c>
      <c r="K56" s="20" t="n">
        <f aca="false">IF(J56&gt;1,'Plan debt months'!AC56,0)</f>
        <v>0</v>
      </c>
      <c r="L56" s="20" t="n">
        <f aca="false">IF(J56&gt;1,'Plan debt months'!AB56,J56)</f>
        <v>0</v>
      </c>
      <c r="M56" s="20" t="n">
        <f aca="false">O55</f>
        <v>0</v>
      </c>
      <c r="N56" s="20" t="n">
        <f aca="false">IF(M56&gt;1,'Plan debt months'!BD56,0)</f>
        <v>0</v>
      </c>
      <c r="O56" s="20" t="n">
        <f aca="false">IF(M56&gt;1,'Plan debt months'!BC56,M56)</f>
        <v>0</v>
      </c>
      <c r="P56" s="20" t="n">
        <f aca="false">R55</f>
        <v>0</v>
      </c>
      <c r="Q56" s="20" t="n">
        <f aca="false">IF(P56&gt;1,'Plan debt months'!CE56,0)</f>
        <v>0</v>
      </c>
      <c r="R56" s="20" t="n">
        <f aca="false">IF(P56&gt;1,'Plan debt months'!CD56,P56)</f>
        <v>0</v>
      </c>
      <c r="S56" s="20" t="n">
        <f aca="false">K56+N56+Q56</f>
        <v>0</v>
      </c>
      <c r="T56" s="20" t="n">
        <f aca="false">QK55+'Plan pay &amp; tax'!Y282</f>
        <v>0</v>
      </c>
      <c r="U56" s="20" t="n">
        <f aca="false">QK55</f>
        <v>0</v>
      </c>
      <c r="V56" s="20" t="n">
        <f aca="false">IF(AND(Slot1_On=1,D56=Slot1_Age),1,0)</f>
        <v>0</v>
      </c>
      <c r="W56" s="20" t="n">
        <f aca="false">IF(AND(Slot1_On=1,Slot1_Age&gt;D56),1,0)</f>
        <v>0</v>
      </c>
      <c r="X56" s="20" t="n">
        <f aca="false">QM55</f>
        <v>0</v>
      </c>
      <c r="Y56" s="20" t="n">
        <f aca="false">V56*MIN(Slot1_Cost,X56)</f>
        <v>0</v>
      </c>
      <c r="Z56" s="20" t="n">
        <f aca="false">V56*Slot1_SpendLike*MIN(Slot1_Cost-Y56,T56)</f>
        <v>0</v>
      </c>
      <c r="AA56" s="20" t="n">
        <f aca="false">Y56+Z56</f>
        <v>0</v>
      </c>
      <c r="AB56" s="20" t="n">
        <f aca="false">T56-Z56+V56*IF(Slot1_SpendLike=1,X56-Y56,IF(Slot1_PotFree=1,X56,0))</f>
        <v>0</v>
      </c>
      <c r="AC56" s="20" t="n">
        <f aca="false">AF56+V56*Slot1_BufPot*X56</f>
        <v>0</v>
      </c>
      <c r="AD56" s="20" t="n">
        <f aca="false">IF(AND(V56=1,Slot1_IsMfree=1),IF(AA56&gt;=Slot1_Cost-1,0,MAX(0,L56-AA56)),L56)</f>
        <v>0</v>
      </c>
      <c r="AE56" s="20" t="n">
        <f aca="false">V56*(Slot1_Cost-AA56)</f>
        <v>0</v>
      </c>
      <c r="AF56" s="20" t="n">
        <f aca="false">QL55</f>
        <v>0</v>
      </c>
      <c r="AG56" s="20" t="n">
        <f aca="false">IF(AND(Slot2_On=1,D56=Slot2_Age),1,0)</f>
        <v>0</v>
      </c>
      <c r="AH56" s="20" t="n">
        <f aca="false">IF(AND(Slot2_On=1,Slot2_Age&gt;D56),1,0)</f>
        <v>0</v>
      </c>
      <c r="AI56" s="20" t="n">
        <f aca="false">QQ55</f>
        <v>0</v>
      </c>
      <c r="AJ56" s="20" t="n">
        <f aca="false">AG56*MIN(Slot2_Cost,AI56)</f>
        <v>0</v>
      </c>
      <c r="AK56" s="20" t="n">
        <f aca="false">AG56*Slot2_SpendLike*MIN(Slot2_Cost-AJ56,AB56)</f>
        <v>0</v>
      </c>
      <c r="AL56" s="20" t="n">
        <f aca="false">AJ56+AK56</f>
        <v>0</v>
      </c>
      <c r="AM56" s="20" t="n">
        <f aca="false">AB56-AK56+AG56*IF(Slot2_SpendLike=1,AI56-AJ56,IF(Slot2_PotFree=1,AI56,0))</f>
        <v>0</v>
      </c>
      <c r="AN56" s="20" t="n">
        <f aca="false">AC56+AG56*Slot2_BufPot*AI56</f>
        <v>0</v>
      </c>
      <c r="AO56" s="20" t="n">
        <f aca="false">IF(AND(AG56=1,Slot2_IsMfree=1),IF(AL56&gt;=Slot2_Cost-1,0,MAX(0,AD56-AL56)),AD56)</f>
        <v>0</v>
      </c>
      <c r="AP56" s="20" t="n">
        <f aca="false">AG56*(Slot2_Cost-AL56)</f>
        <v>0</v>
      </c>
      <c r="AQ56" s="20" t="n">
        <f aca="false">IF(AND(Slot3_On=1,D56=Slot3_Age),1,0)</f>
        <v>0</v>
      </c>
      <c r="AR56" s="20" t="n">
        <f aca="false">IF(AND(Slot3_On=1,Slot3_Age&gt;D56),1,0)</f>
        <v>0</v>
      </c>
      <c r="AS56" s="20" t="n">
        <f aca="false">QU55</f>
        <v>0</v>
      </c>
      <c r="AT56" s="20" t="n">
        <f aca="false">AQ56*MIN(Slot3_Cost,AS56)</f>
        <v>0</v>
      </c>
      <c r="AU56" s="20" t="n">
        <f aca="false">AQ56*Slot3_SpendLike*MIN(Slot3_Cost-AT56,AM56)</f>
        <v>0</v>
      </c>
      <c r="AV56" s="20" t="n">
        <f aca="false">AT56+AU56</f>
        <v>0</v>
      </c>
      <c r="AW56" s="20" t="n">
        <f aca="false">AM56-AU56+AQ56*IF(Slot3_SpendLike=1,AS56-AT56,IF(Slot3_PotFree=1,AS56,0))</f>
        <v>0</v>
      </c>
      <c r="AX56" s="20" t="n">
        <f aca="false">AN56+AQ56*Slot3_BufPot*AS56</f>
        <v>0</v>
      </c>
      <c r="AY56" s="20" t="n">
        <f aca="false">IF(AND(AQ56=1,Slot3_IsMfree=1),IF(AV56&gt;=Slot3_Cost-1,0,MAX(0,AO56-AV56)),AO56)</f>
        <v>0</v>
      </c>
      <c r="AZ56" s="20" t="n">
        <f aca="false">AQ56*(Slot3_Cost-AV56)</f>
        <v>0</v>
      </c>
      <c r="BA56" s="20" t="n">
        <f aca="false">IF(AND(Slot4_On=1,D56=Slot4_Age),1,0)</f>
        <v>0</v>
      </c>
      <c r="BB56" s="20" t="n">
        <f aca="false">IF(AND(Slot4_On=1,Slot4_Age&gt;D56),1,0)</f>
        <v>0</v>
      </c>
      <c r="BC56" s="20" t="n">
        <f aca="false">QY55</f>
        <v>0</v>
      </c>
      <c r="BD56" s="20" t="n">
        <f aca="false">BA56*MIN(Slot4_Cost,BC56)</f>
        <v>0</v>
      </c>
      <c r="BE56" s="20" t="n">
        <f aca="false">BA56*Slot4_SpendLike*MIN(Slot4_Cost-BD56,AW56)</f>
        <v>0</v>
      </c>
      <c r="BF56" s="20" t="n">
        <f aca="false">BD56+BE56</f>
        <v>0</v>
      </c>
      <c r="BG56" s="20" t="n">
        <f aca="false">AW56-BE56+BA56*IF(Slot4_SpendLike=1,BC56-BD56,IF(Slot4_PotFree=1,BC56,0))</f>
        <v>0</v>
      </c>
      <c r="BH56" s="20" t="n">
        <f aca="false">AX56+BA56*Slot4_BufPot*BC56</f>
        <v>0</v>
      </c>
      <c r="BI56" s="20" t="n">
        <f aca="false">IF(AND(BA56=1,Slot4_IsMfree=1),IF(BF56&gt;=Slot4_Cost-1,0,MAX(0,AY56-BF56)),AY56)</f>
        <v>0</v>
      </c>
      <c r="BJ56" s="20" t="n">
        <f aca="false">BA56*(Slot4_Cost-BF56)</f>
        <v>0</v>
      </c>
      <c r="BK56" s="20" t="n">
        <f aca="false">IF(AND(Slot5_On=1,D56=Slot5_Age),1,0)</f>
        <v>0</v>
      </c>
      <c r="BL56" s="20" t="n">
        <f aca="false">IF(AND(Slot5_On=1,Slot5_Age&gt;D56),1,0)</f>
        <v>0</v>
      </c>
      <c r="BM56" s="20" t="n">
        <f aca="false">RC55</f>
        <v>0</v>
      </c>
      <c r="BN56" s="20" t="n">
        <f aca="false">BK56*MIN(Slot5_Cost,BM56)</f>
        <v>0</v>
      </c>
      <c r="BO56" s="20" t="n">
        <f aca="false">BK56*Slot5_SpendLike*MIN(Slot5_Cost-BN56,BG56)</f>
        <v>0</v>
      </c>
      <c r="BP56" s="20" t="n">
        <f aca="false">BN56+BO56</f>
        <v>0</v>
      </c>
      <c r="BQ56" s="20" t="n">
        <f aca="false">BG56-BO56+BK56*IF(Slot5_SpendLike=1,BM56-BN56,IF(Slot5_PotFree=1,BM56,0))</f>
        <v>0</v>
      </c>
      <c r="BR56" s="20" t="n">
        <f aca="false">BH56+BK56*Slot5_BufPot*BM56</f>
        <v>0</v>
      </c>
      <c r="BS56" s="20" t="n">
        <f aca="false">IF(AND(BK56=1,Slot5_IsMfree=1),IF(BP56&gt;=Slot5_Cost-1,0,MAX(0,BI56-BP56)),BI56)</f>
        <v>0</v>
      </c>
      <c r="BT56" s="20" t="n">
        <f aca="false">BK56*(Slot5_Cost-BP56)</f>
        <v>0</v>
      </c>
      <c r="BU56" s="20" t="n">
        <f aca="false">IF(AND(Slot6_On=1,D56=Slot6_Age),1,0)</f>
        <v>0</v>
      </c>
      <c r="BV56" s="20" t="n">
        <f aca="false">IF(AND(Slot6_On=1,Slot6_Age&gt;D56),1,0)</f>
        <v>0</v>
      </c>
      <c r="BW56" s="20" t="n">
        <f aca="false">RG55</f>
        <v>0</v>
      </c>
      <c r="BX56" s="20" t="n">
        <f aca="false">BU56*MIN(Slot6_Cost,BW56)</f>
        <v>0</v>
      </c>
      <c r="BY56" s="20" t="n">
        <f aca="false">BU56*Slot6_SpendLike*MIN(Slot6_Cost-BX56,BQ56)</f>
        <v>0</v>
      </c>
      <c r="BZ56" s="20" t="n">
        <f aca="false">BX56+BY56</f>
        <v>0</v>
      </c>
      <c r="CA56" s="20" t="n">
        <f aca="false">BQ56-BY56+BU56*IF(Slot6_SpendLike=1,BW56-BX56,IF(Slot6_PotFree=1,BW56,0))</f>
        <v>0</v>
      </c>
      <c r="CB56" s="20" t="n">
        <f aca="false">BR56+BU56*Slot6_BufPot*BW56</f>
        <v>0</v>
      </c>
      <c r="CC56" s="20" t="n">
        <f aca="false">IF(AND(BU56=1,Slot6_IsMfree=1),IF(BZ56&gt;=Slot6_Cost-1,0,MAX(0,BS56-BZ56)),BS56)</f>
        <v>0</v>
      </c>
      <c r="CD56" s="20" t="n">
        <f aca="false">BU56*(Slot6_Cost-BZ56)</f>
        <v>0</v>
      </c>
      <c r="CE56" s="20" t="n">
        <f aca="false">IF(AND(Slot7_On=1,D56=Slot7_Age),1,0)</f>
        <v>0</v>
      </c>
      <c r="CF56" s="20" t="n">
        <f aca="false">IF(AND(Slot7_On=1,Slot7_Age&gt;D56),1,0)</f>
        <v>0</v>
      </c>
      <c r="CG56" s="20" t="n">
        <f aca="false">RK55</f>
        <v>0</v>
      </c>
      <c r="CH56" s="20" t="n">
        <f aca="false">CE56*MIN(Slot7_Cost,CG56)</f>
        <v>0</v>
      </c>
      <c r="CI56" s="20" t="n">
        <f aca="false">CE56*Slot7_SpendLike*MIN(Slot7_Cost-CH56,CA56)</f>
        <v>0</v>
      </c>
      <c r="CJ56" s="20" t="n">
        <f aca="false">CH56+CI56</f>
        <v>0</v>
      </c>
      <c r="CK56" s="20" t="n">
        <f aca="false">CA56-CI56+CE56*IF(Slot7_SpendLike=1,CG56-CH56,IF(Slot7_PotFree=1,CG56,0))</f>
        <v>0</v>
      </c>
      <c r="CL56" s="20" t="n">
        <f aca="false">CB56+CE56*Slot7_BufPot*CG56</f>
        <v>0</v>
      </c>
      <c r="CM56" s="20" t="n">
        <f aca="false">IF(AND(CE56=1,Slot7_IsMfree=1),IF(CJ56&gt;=Slot7_Cost-1,0,MAX(0,CC56-CJ56)),CC56)</f>
        <v>0</v>
      </c>
      <c r="CN56" s="20" t="n">
        <f aca="false">CE56*(Slot7_Cost-CJ56)</f>
        <v>0</v>
      </c>
      <c r="CO56" s="20" t="n">
        <f aca="false">IF(AND(Slot8_On=1,D56=Slot8_Age),1,0)</f>
        <v>0</v>
      </c>
      <c r="CP56" s="20" t="n">
        <f aca="false">IF(AND(Slot8_On=1,Slot8_Age&gt;D56),1,0)</f>
        <v>0</v>
      </c>
      <c r="CQ56" s="20" t="n">
        <f aca="false">RO55</f>
        <v>0</v>
      </c>
      <c r="CR56" s="20" t="n">
        <f aca="false">CO56*MIN(Slot8_Cost,CQ56)</f>
        <v>0</v>
      </c>
      <c r="CS56" s="20" t="n">
        <f aca="false">CO56*Slot8_SpendLike*MIN(Slot8_Cost-CR56,CK56)</f>
        <v>0</v>
      </c>
      <c r="CT56" s="20" t="n">
        <f aca="false">CR56+CS56</f>
        <v>0</v>
      </c>
      <c r="CU56" s="20" t="n">
        <f aca="false">CK56-CS56+CO56*IF(Slot8_SpendLike=1,CQ56-CR56,IF(Slot8_PotFree=1,CQ56,0))</f>
        <v>0</v>
      </c>
      <c r="CV56" s="20" t="n">
        <f aca="false">CL56+CO56*Slot8_BufPot*CQ56</f>
        <v>0</v>
      </c>
      <c r="CW56" s="20" t="n">
        <f aca="false">IF(AND(CO56=1,Slot8_IsMfree=1),IF(CT56&gt;=Slot8_Cost-1,0,MAX(0,CM56-CT56)),CM56)</f>
        <v>0</v>
      </c>
      <c r="CX56" s="20" t="n">
        <f aca="false">CO56*(Slot8_Cost-CT56)</f>
        <v>0</v>
      </c>
      <c r="CY56" s="20" t="n">
        <f aca="false">IF(AND(Slot9_On=1,D56=Slot9_Age),1,0)</f>
        <v>0</v>
      </c>
      <c r="CZ56" s="20" t="n">
        <f aca="false">IF(AND(Slot9_On=1,Slot9_Age&gt;D56),1,0)</f>
        <v>0</v>
      </c>
      <c r="DA56" s="20" t="n">
        <f aca="false">RS55</f>
        <v>0</v>
      </c>
      <c r="DB56" s="20" t="n">
        <f aca="false">CY56*MIN(Slot9_Cost,DA56)</f>
        <v>0</v>
      </c>
      <c r="DC56" s="20" t="n">
        <f aca="false">CY56*Slot9_SpendLike*MIN(Slot9_Cost-DB56,CU56)</f>
        <v>0</v>
      </c>
      <c r="DD56" s="20" t="n">
        <f aca="false">DB56+DC56</f>
        <v>0</v>
      </c>
      <c r="DE56" s="20" t="n">
        <f aca="false">CU56-DC56+CY56*IF(Slot9_SpendLike=1,DA56-DB56,IF(Slot9_PotFree=1,DA56,0))</f>
        <v>0</v>
      </c>
      <c r="DF56" s="20" t="n">
        <f aca="false">CV56+CY56*Slot9_BufPot*DA56</f>
        <v>0</v>
      </c>
      <c r="DG56" s="20" t="n">
        <f aca="false">IF(AND(CY56=1,Slot9_IsMfree=1),IF(DD56&gt;=Slot9_Cost-1,0,MAX(0,CW56-DD56)),CW56)</f>
        <v>0</v>
      </c>
      <c r="DH56" s="20" t="n">
        <f aca="false">CY56*(Slot9_Cost-DD56)</f>
        <v>0</v>
      </c>
      <c r="DI56" s="20" t="n">
        <f aca="false">IF(AND(Slot10_On=1,D56=Slot10_Age),1,0)</f>
        <v>0</v>
      </c>
      <c r="DJ56" s="20" t="n">
        <f aca="false">IF(AND(Slot10_On=1,Slot10_Age&gt;D56),1,0)</f>
        <v>0</v>
      </c>
      <c r="DK56" s="20" t="n">
        <f aca="false">RW55</f>
        <v>0</v>
      </c>
      <c r="DL56" s="20" t="n">
        <f aca="false">DI56*MIN(Slot10_Cost,DK56)</f>
        <v>0</v>
      </c>
      <c r="DM56" s="20" t="n">
        <f aca="false">DI56*Slot10_SpendLike*MIN(Slot10_Cost-DL56,DE56)</f>
        <v>0</v>
      </c>
      <c r="DN56" s="20" t="n">
        <f aca="false">DL56+DM56</f>
        <v>0</v>
      </c>
      <c r="DO56" s="20" t="n">
        <f aca="false">DE56-DM56+DI56*IF(Slot10_SpendLike=1,DK56-DL56,IF(Slot10_PotFree=1,DK56,0))</f>
        <v>0</v>
      </c>
      <c r="DP56" s="20" t="n">
        <f aca="false">DF56+DI56*Slot10_BufPot*DK56</f>
        <v>0</v>
      </c>
      <c r="DQ56" s="20" t="n">
        <f aca="false">IF(AND(DI56=1,Slot10_IsMfree=1),IF(DN56&gt;=Slot10_Cost-1,0,MAX(0,DG56-DN56)),DG56)</f>
        <v>0</v>
      </c>
      <c r="DR56" s="20" t="n">
        <f aca="false">DI56*(Slot10_Cost-DN56)</f>
        <v>0</v>
      </c>
      <c r="DS56" s="20" t="n">
        <f aca="false">IF(AND(Slot11_On=1,D56=Slot11_Age),1,0)</f>
        <v>0</v>
      </c>
      <c r="DT56" s="20" t="n">
        <f aca="false">IF(AND(Slot11_On=1,Slot11_Age&gt;D56),1,0)</f>
        <v>0</v>
      </c>
      <c r="DU56" s="20" t="n">
        <f aca="false">SA55</f>
        <v>0</v>
      </c>
      <c r="DV56" s="20" t="n">
        <f aca="false">DS56*MIN(Slot11_Cost,DU56)</f>
        <v>0</v>
      </c>
      <c r="DW56" s="20" t="n">
        <f aca="false">DS56*Slot11_SpendLike*MIN(Slot11_Cost-DV56,DO56)</f>
        <v>0</v>
      </c>
      <c r="DX56" s="20" t="n">
        <f aca="false">DV56+DW56</f>
        <v>0</v>
      </c>
      <c r="DY56" s="20" t="n">
        <f aca="false">DO56-DW56+DS56*IF(Slot11_SpendLike=1,DU56-DV56,IF(Slot11_PotFree=1,DU56,0))</f>
        <v>0</v>
      </c>
      <c r="DZ56" s="20" t="n">
        <f aca="false">DP56+DS56*Slot11_BufPot*DU56</f>
        <v>0</v>
      </c>
      <c r="EA56" s="20" t="n">
        <f aca="false">IF(AND(DS56=1,Slot11_IsMfree=1),IF(DX56&gt;=Slot11_Cost-1,0,MAX(0,DQ56-DX56)),DQ56)</f>
        <v>0</v>
      </c>
      <c r="EB56" s="20" t="n">
        <f aca="false">DS56*(Slot11_Cost-DX56)</f>
        <v>0</v>
      </c>
      <c r="EC56" s="20" t="n">
        <f aca="false">IF(AND(Slot12_On=1,D56=Slot12_Age),1,0)</f>
        <v>0</v>
      </c>
      <c r="ED56" s="20" t="n">
        <f aca="false">IF(AND(Slot12_On=1,Slot12_Age&gt;D56),1,0)</f>
        <v>0</v>
      </c>
      <c r="EE56" s="20" t="n">
        <f aca="false">SE55</f>
        <v>0</v>
      </c>
      <c r="EF56" s="20" t="n">
        <f aca="false">EC56*MIN(Slot12_Cost,EE56)</f>
        <v>0</v>
      </c>
      <c r="EG56" s="20" t="n">
        <f aca="false">EC56*Slot12_SpendLike*MIN(Slot12_Cost-EF56,DY56)</f>
        <v>0</v>
      </c>
      <c r="EH56" s="20" t="n">
        <f aca="false">EF56+EG56</f>
        <v>0</v>
      </c>
      <c r="EI56" s="20" t="n">
        <f aca="false">DY56-EG56+EC56*IF(Slot12_SpendLike=1,EE56-EF56,IF(Slot12_PotFree=1,EE56,0))</f>
        <v>0</v>
      </c>
      <c r="EJ56" s="20" t="n">
        <f aca="false">DZ56+EC56*Slot12_BufPot*EE56</f>
        <v>0</v>
      </c>
      <c r="EK56" s="20" t="n">
        <f aca="false">IF(AND(EC56=1,Slot12_IsMfree=1),IF(EH56&gt;=Slot12_Cost-1,0,MAX(0,EA56-EH56)),EA56)</f>
        <v>0</v>
      </c>
      <c r="EL56" s="20" t="n">
        <f aca="false">EC56*(Slot12_Cost-EH56)</f>
        <v>0</v>
      </c>
      <c r="EM56" s="20" t="n">
        <f aca="false">IF(AND(Slot13_On=1,D56=Slot13_Age),1,0)</f>
        <v>0</v>
      </c>
      <c r="EN56" s="20" t="n">
        <f aca="false">IF(AND(Slot13_On=1,Slot13_Age&gt;D56),1,0)</f>
        <v>0</v>
      </c>
      <c r="EO56" s="20" t="n">
        <f aca="false">SI55</f>
        <v>0</v>
      </c>
      <c r="EP56" s="20" t="n">
        <f aca="false">EM56*MIN(Slot13_Cost,EO56)</f>
        <v>0</v>
      </c>
      <c r="EQ56" s="20" t="n">
        <f aca="false">EM56*Slot13_SpendLike*MIN(Slot13_Cost-EP56,EI56)</f>
        <v>0</v>
      </c>
      <c r="ER56" s="20" t="n">
        <f aca="false">EP56+EQ56</f>
        <v>0</v>
      </c>
      <c r="ES56" s="20" t="n">
        <f aca="false">EI56-EQ56+EM56*IF(Slot13_SpendLike=1,EO56-EP56,IF(Slot13_PotFree=1,EO56,0))</f>
        <v>0</v>
      </c>
      <c r="ET56" s="20" t="n">
        <f aca="false">EJ56+EM56*Slot13_BufPot*EO56</f>
        <v>0</v>
      </c>
      <c r="EU56" s="20" t="n">
        <f aca="false">IF(AND(EM56=1,Slot13_IsMfree=1),IF(ER56&gt;=Slot13_Cost-1,0,MAX(0,EK56-ER56)),EK56)</f>
        <v>0</v>
      </c>
      <c r="EV56" s="20" t="n">
        <f aca="false">EM56*(Slot13_Cost-ER56)</f>
        <v>0</v>
      </c>
      <c r="EW56" s="20" t="n">
        <f aca="false">IF(AND(Slot14_On=1,D56=Slot14_Age),1,0)</f>
        <v>0</v>
      </c>
      <c r="EX56" s="20" t="n">
        <f aca="false">IF(AND(Slot14_On=1,Slot14_Age&gt;D56),1,0)</f>
        <v>0</v>
      </c>
      <c r="EY56" s="20" t="n">
        <f aca="false">SM55</f>
        <v>0</v>
      </c>
      <c r="EZ56" s="20" t="n">
        <f aca="false">EW56*MIN(Slot14_Cost,EY56)</f>
        <v>0</v>
      </c>
      <c r="FA56" s="20" t="n">
        <f aca="false">EW56*Slot14_SpendLike*MIN(Slot14_Cost-EZ56,ES56)</f>
        <v>0</v>
      </c>
      <c r="FB56" s="20" t="n">
        <f aca="false">EZ56+FA56</f>
        <v>0</v>
      </c>
      <c r="FC56" s="20" t="n">
        <f aca="false">ES56-FA56+EW56*IF(Slot14_SpendLike=1,EY56-EZ56,IF(Slot14_PotFree=1,EY56,0))</f>
        <v>0</v>
      </c>
      <c r="FD56" s="20" t="n">
        <f aca="false">ET56+EW56*Slot14_BufPot*EY56</f>
        <v>0</v>
      </c>
      <c r="FE56" s="20" t="n">
        <f aca="false">IF(AND(EW56=1,Slot14_IsMfree=1),IF(FB56&gt;=Slot14_Cost-1,0,MAX(0,EU56-FB56)),EU56)</f>
        <v>0</v>
      </c>
      <c r="FF56" s="20" t="n">
        <f aca="false">EW56*(Slot14_Cost-FB56)</f>
        <v>0</v>
      </c>
      <c r="FG56" s="20" t="n">
        <f aca="false">IF(AND(Slot15_On=1,D56=Slot15_Age),1,0)</f>
        <v>0</v>
      </c>
      <c r="FH56" s="20" t="n">
        <f aca="false">IF(AND(Slot15_On=1,Slot15_Age&gt;D56),1,0)</f>
        <v>0</v>
      </c>
      <c r="FI56" s="20" t="n">
        <f aca="false">SQ55</f>
        <v>0</v>
      </c>
      <c r="FJ56" s="20" t="n">
        <f aca="false">FG56*MIN(Slot15_Cost,FI56)</f>
        <v>0</v>
      </c>
      <c r="FK56" s="20" t="n">
        <f aca="false">FG56*Slot15_SpendLike*MIN(Slot15_Cost-FJ56,FC56)</f>
        <v>0</v>
      </c>
      <c r="FL56" s="20" t="n">
        <f aca="false">FJ56+FK56</f>
        <v>0</v>
      </c>
      <c r="FM56" s="20" t="n">
        <f aca="false">FC56-FK56+FG56*IF(Slot15_SpendLike=1,FI56-FJ56,IF(Slot15_PotFree=1,FI56,0))</f>
        <v>0</v>
      </c>
      <c r="FN56" s="20" t="n">
        <f aca="false">FD56+FG56*Slot15_BufPot*FI56</f>
        <v>0</v>
      </c>
      <c r="FO56" s="20" t="n">
        <f aca="false">IF(AND(FG56=1,Slot15_IsMfree=1),IF(FL56&gt;=Slot15_Cost-1,0,MAX(0,FE56-FL56)),FE56)</f>
        <v>0</v>
      </c>
      <c r="FP56" s="20" t="n">
        <f aca="false">FG56*(Slot15_Cost-FL56)</f>
        <v>0</v>
      </c>
      <c r="FQ56" s="20" t="n">
        <f aca="false">IF(AND(Slot16_On=1,D56=Slot16_Age),1,0)</f>
        <v>0</v>
      </c>
      <c r="FR56" s="20" t="n">
        <f aca="false">IF(AND(Slot16_On=1,Slot16_Age&gt;D56),1,0)</f>
        <v>0</v>
      </c>
      <c r="FS56" s="20" t="n">
        <f aca="false">SU55</f>
        <v>0</v>
      </c>
      <c r="FT56" s="20" t="n">
        <f aca="false">FQ56*MIN(Slot16_Cost,FS56)</f>
        <v>0</v>
      </c>
      <c r="FU56" s="20" t="n">
        <f aca="false">FQ56*Slot16_SpendLike*MIN(Slot16_Cost-FT56,FM56)</f>
        <v>0</v>
      </c>
      <c r="FV56" s="20" t="n">
        <f aca="false">FT56+FU56</f>
        <v>0</v>
      </c>
      <c r="FW56" s="20" t="n">
        <f aca="false">FM56-FU56+FQ56*IF(Slot16_SpendLike=1,FS56-FT56,IF(Slot16_PotFree=1,FS56,0))</f>
        <v>0</v>
      </c>
      <c r="FX56" s="20" t="n">
        <f aca="false">FN56+FQ56*Slot16_BufPot*FS56</f>
        <v>0</v>
      </c>
      <c r="FY56" s="20" t="n">
        <f aca="false">IF(AND(FQ56=1,Slot16_IsMfree=1),IF(FV56&gt;=Slot16_Cost-1,0,MAX(0,FO56-FV56)),FO56)</f>
        <v>0</v>
      </c>
      <c r="FZ56" s="20" t="n">
        <f aca="false">FQ56*(Slot16_Cost-FV56)</f>
        <v>0</v>
      </c>
      <c r="GA56" s="20" t="n">
        <f aca="false">IF(AND(Slot17_On=1,D56=Slot17_Age),1,0)</f>
        <v>0</v>
      </c>
      <c r="GB56" s="20" t="n">
        <f aca="false">IF(AND(Slot17_On=1,Slot17_Age&gt;D56),1,0)</f>
        <v>0</v>
      </c>
      <c r="GC56" s="20" t="n">
        <f aca="false">SY55</f>
        <v>0</v>
      </c>
      <c r="GD56" s="20" t="n">
        <f aca="false">GA56*MIN(Slot17_Cost,GC56)</f>
        <v>0</v>
      </c>
      <c r="GE56" s="20" t="n">
        <f aca="false">GA56*Slot17_SpendLike*MIN(Slot17_Cost-GD56,FW56)</f>
        <v>0</v>
      </c>
      <c r="GF56" s="20" t="n">
        <f aca="false">GD56+GE56</f>
        <v>0</v>
      </c>
      <c r="GG56" s="20" t="n">
        <f aca="false">FW56-GE56+GA56*IF(Slot17_SpendLike=1,GC56-GD56,IF(Slot17_PotFree=1,GC56,0))</f>
        <v>0</v>
      </c>
      <c r="GH56" s="20" t="n">
        <f aca="false">FX56+GA56*Slot17_BufPot*GC56</f>
        <v>0</v>
      </c>
      <c r="GI56" s="20" t="n">
        <f aca="false">IF(AND(GA56=1,Slot17_IsMfree=1),IF(GF56&gt;=Slot17_Cost-1,0,MAX(0,FY56-GF56)),FY56)</f>
        <v>0</v>
      </c>
      <c r="GJ56" s="20" t="n">
        <f aca="false">GA56*(Slot17_Cost-GF56)</f>
        <v>0</v>
      </c>
      <c r="GK56" s="20" t="n">
        <f aca="false">IF(AND(Slot18_On=1,D56=Slot18_Age),1,0)</f>
        <v>0</v>
      </c>
      <c r="GL56" s="20" t="n">
        <f aca="false">IF(AND(Slot18_On=1,Slot18_Age&gt;D56),1,0)</f>
        <v>0</v>
      </c>
      <c r="GM56" s="20" t="n">
        <f aca="false">TC55</f>
        <v>0</v>
      </c>
      <c r="GN56" s="20" t="n">
        <f aca="false">GK56*MIN(Slot18_Cost,GM56)</f>
        <v>0</v>
      </c>
      <c r="GO56" s="20" t="n">
        <f aca="false">GK56*Slot18_SpendLike*MIN(Slot18_Cost-GN56,GG56)</f>
        <v>0</v>
      </c>
      <c r="GP56" s="20" t="n">
        <f aca="false">GN56+GO56</f>
        <v>0</v>
      </c>
      <c r="GQ56" s="20" t="n">
        <f aca="false">GG56-GO56+GK56*IF(Slot18_SpendLike=1,GM56-GN56,IF(Slot18_PotFree=1,GM56,0))</f>
        <v>0</v>
      </c>
      <c r="GR56" s="20" t="n">
        <f aca="false">GH56+GK56*Slot18_BufPot*GM56</f>
        <v>0</v>
      </c>
      <c r="GS56" s="20" t="n">
        <f aca="false">IF(AND(GK56=1,Slot18_IsMfree=1),IF(GP56&gt;=Slot18_Cost-1,0,MAX(0,GI56-GP56)),GI56)</f>
        <v>0</v>
      </c>
      <c r="GT56" s="20" t="n">
        <f aca="false">GK56*(Slot18_Cost-GP56)</f>
        <v>0</v>
      </c>
      <c r="GU56" s="20" t="n">
        <f aca="false">IF(AND(Slot19_On=1,D56=Slot19_Age),1,0)</f>
        <v>0</v>
      </c>
      <c r="GV56" s="20" t="n">
        <f aca="false">IF(AND(Slot19_On=1,Slot19_Age&gt;D56),1,0)</f>
        <v>0</v>
      </c>
      <c r="GW56" s="20" t="n">
        <f aca="false">TG55</f>
        <v>0</v>
      </c>
      <c r="GX56" s="20" t="n">
        <f aca="false">GU56*MIN(Slot19_Cost,GW56)</f>
        <v>0</v>
      </c>
      <c r="GY56" s="20" t="n">
        <f aca="false">GU56*Slot19_SpendLike*MIN(Slot19_Cost-GX56,GQ56)</f>
        <v>0</v>
      </c>
      <c r="GZ56" s="20" t="n">
        <f aca="false">GX56+GY56</f>
        <v>0</v>
      </c>
      <c r="HA56" s="20" t="n">
        <f aca="false">GQ56-GY56+GU56*IF(Slot19_SpendLike=1,GW56-GX56,IF(Slot19_PotFree=1,GW56,0))</f>
        <v>0</v>
      </c>
      <c r="HB56" s="20" t="n">
        <f aca="false">GR56+GU56*Slot19_BufPot*GW56</f>
        <v>0</v>
      </c>
      <c r="HC56" s="20" t="n">
        <f aca="false">IF(AND(GU56=1,Slot19_IsMfree=1),IF(GZ56&gt;=Slot19_Cost-1,0,MAX(0,GS56-GZ56)),GS56)</f>
        <v>0</v>
      </c>
      <c r="HD56" s="20" t="n">
        <f aca="false">GU56*(Slot19_Cost-GZ56)</f>
        <v>0</v>
      </c>
      <c r="HE56" s="20" t="n">
        <f aca="false">IF(AND(Slot20_On=1,D56=Slot20_Age),1,0)</f>
        <v>0</v>
      </c>
      <c r="HF56" s="20" t="n">
        <f aca="false">IF(AND(Slot20_On=1,Slot20_Age&gt;D56),1,0)</f>
        <v>0</v>
      </c>
      <c r="HG56" s="20" t="n">
        <f aca="false">TK55</f>
        <v>0</v>
      </c>
      <c r="HH56" s="20" t="n">
        <f aca="false">HE56*MIN(Slot20_Cost,HG56)</f>
        <v>0</v>
      </c>
      <c r="HI56" s="20" t="n">
        <f aca="false">HE56*Slot20_SpendLike*MIN(Slot20_Cost-HH56,HA56)</f>
        <v>0</v>
      </c>
      <c r="HJ56" s="20" t="n">
        <f aca="false">HH56+HI56</f>
        <v>0</v>
      </c>
      <c r="HK56" s="20" t="n">
        <f aca="false">HA56-HI56+HE56*IF(Slot20_SpendLike=1,HG56-HH56,IF(Slot20_PotFree=1,HG56,0))</f>
        <v>0</v>
      </c>
      <c r="HL56" s="20" t="n">
        <f aca="false">HB56+HE56*Slot20_BufPot*HG56</f>
        <v>0</v>
      </c>
      <c r="HM56" s="20" t="n">
        <f aca="false">IF(AND(HE56=1,Slot20_IsMfree=1),IF(HJ56&gt;=Slot20_Cost-1,0,MAX(0,HC56-HJ56)),HC56)</f>
        <v>0</v>
      </c>
      <c r="HN56" s="20" t="n">
        <f aca="false">HE56*(Slot20_Cost-HJ56)</f>
        <v>0</v>
      </c>
      <c r="HO56" s="20" t="n">
        <f aca="false">V56*Slot1_SpendLike*AA56+AG56*Slot2_SpendLike*AL56+AQ56*Slot3_SpendLike*AV56+BA56*Slot4_SpendLike*BF56+BK56*Slot5_SpendLike*BP56+BU56*Slot6_SpendLike*BZ56+CE56*Slot7_SpendLike*CJ56+CO56*Slot8_SpendLike*CT56+CY56*Slot9_SpendLike*DD56+DI56*Slot10_SpendLike*DN56+DS56*Slot11_SpendLike*DX56+EC56*Slot12_SpendLike*EH56+EM56*Slot13_SpendLike*ER56+EW56*Slot14_SpendLike*FB56+FG56*Slot15_SpendLike*FL56+FQ56*Slot16_SpendLike*FV56+GA56*Slot17_SpendLike*GF56+GK56*Slot18_SpendLike*GP56+GU56*Slot19_SpendLike*GZ56+HE56*Slot20_SpendLike*HJ56</f>
        <v>0</v>
      </c>
      <c r="HP56" s="20" t="n">
        <f aca="false">AE56+AP56+AZ56+BJ56+BT56+CD56+CN56+CX56+DH56+DR56+EB56+EL56+EV56+FF56+FP56+FZ56+GJ56+GT56+HD56+HN56</f>
        <v>0</v>
      </c>
      <c r="HQ56" s="20" t="n">
        <f aca="false">V56*Slot1_Cost+AG56*Slot2_Cost+AQ56*Slot3_Cost+BA56*Slot4_Cost+BK56*Slot5_Cost+BU56*Slot6_Cost+CE56*Slot7_Cost+CO56*Slot8_Cost+CY56*Slot9_Cost+DI56*Slot10_Cost+DS56*Slot11_Cost+EC56*Slot12_Cost+EM56*Slot13_Cost+EW56*Slot14_Cost+FG56*Slot15_Cost+FQ56*Slot16_Cost+GA56*Slot17_Cost+GK56*Slot18_Cost+GU56*Slot19_Cost+HE56*Slot20_Cost</f>
        <v>0</v>
      </c>
      <c r="HR56" s="20" t="n">
        <f aca="false">HM56</f>
        <v>0</v>
      </c>
      <c r="HS56" s="20" t="n">
        <f aca="false">H56-I56-S56</f>
        <v>-26825.3427035813</v>
      </c>
      <c r="HT56" s="20" t="n">
        <f aca="false">IF(B56=0,IF(AND(Has_q6=1,In_q6=4),PR_ShareVaries*(MAX(0,HS56)/12),MIN(IF(Has_q6=1,CHOOSE(In_q6+1,PR_SaveB1,PR_SaveB2,PR_SaveB3,PR_SaveB4,0),AS_NoAnswer),AS_SaveShare*(MAX(0,HS56)/12))),HT55)</f>
        <v>62.3316893520437</v>
      </c>
      <c r="HU56" s="20" t="n">
        <f aca="false">IF(HS56&gt;=0,1,0)</f>
        <v>0</v>
      </c>
      <c r="HV56" s="20" t="n">
        <f aca="false">MAX(0,HS56/12/F56)</f>
        <v>0</v>
      </c>
      <c r="HW56" s="20" t="n">
        <f aca="false">IF(AND(Has_q6=1,In_q6=4),PR_ShareVaries*(HV56),MIN(IF(Has_q6=1,CHOOSE(In_q6+1,PR_SaveB1,PR_SaveB2,PR_SaveB3,PR_SaveB4,0),AS_NoAnswer),AS_SaveShare*(HV56)))</f>
        <v>0</v>
      </c>
      <c r="HX56" s="20" t="n">
        <f aca="false">IF(Has_saveM=1,IF(In_saveUp="Yes",1,IF(In_saveUp="No",0,IF(In_saveM&gt;=HT56-0.5,1,0))),0)</f>
        <v>0</v>
      </c>
      <c r="HY56" s="20" t="n">
        <f aca="false">IF(Has_saveM=1,MIN(HV56,IF(HX56=1,MAX(In_saveM,HW56),MIN(In_saveM,HW56))),HW56)</f>
        <v>0</v>
      </c>
      <c r="HZ56" s="20" t="n">
        <f aca="false">IF(G56=1,HY56*12*F56,0)</f>
        <v>0</v>
      </c>
      <c r="IA56" s="20" t="n">
        <f aca="false">MAX(0,HZ56+IF(AND(WI_Retire=0,WI_M&lt;0,G56=1),WI_M*12*F56,0))</f>
        <v>0</v>
      </c>
      <c r="IB56" s="20" t="n">
        <f aca="false">Slot1_IsWG*W56+Slot2_IsWG*AH56+Slot3_IsWG*AR56+Slot4_IsWG*BB56+Slot5_IsWG*BL56+Slot6_IsWG*BV56+Slot7_IsWG*CF56+Slot8_IsWG*CP56+Slot9_IsWG*CZ56+Slot10_IsWG*DJ56+Slot11_IsWG*DT56+Slot12_IsWG*ED56+Slot13_IsWG*EN56+Slot14_IsWG*EX56+Slot15_IsWG*FH56+Slot16_IsWG*FR56+Slot17_IsWG*GB56+Slot18_IsWG*GL56+Slot19_IsWG*GV56+Slot20_IsWG*HF56</f>
        <v>0</v>
      </c>
      <c r="IC56" s="20" t="n">
        <f aca="false">IF(AND(WI_Retire=0,WI_M&gt;0,G56=1,IB56&gt;=1),WI_M*12*F56,0)</f>
        <v>0</v>
      </c>
      <c r="ID56" s="20" t="n">
        <f aca="false">IF(HU56=1,MIN(IA56,HS56),0)</f>
        <v>0</v>
      </c>
      <c r="IE56" s="20" t="n">
        <f aca="false">IF(HU56=1,MIN(IC56,HS56-ID56),0)</f>
        <v>0</v>
      </c>
      <c r="IF56" s="20" t="n">
        <f aca="false">IF(W56=1,IF(ABS((1+AS_Wage)/(1+Slot1_Rate)-1)&lt;0.000000000001,(Slot1_Age-D56)*(1+Slot1_Rate)^(Slot1_Age-D56),(1+Slot1_Rate)^(Slot1_Age-D56)*(1-((1+AS_Wage)/(1+Slot1_Rate))^(Slot1_Age-D56))/(1-(1+AS_Wage)/(1+Slot1_Rate))),1)</f>
        <v>1</v>
      </c>
      <c r="IG56" s="20" t="n">
        <f aca="false">IF(AND(HU56=1,IE56&gt;0,Slot1_IsWG=1,W56=1),MAX(0,(Slot1_Cost-X56*(1+Slot1_Rate)^(Slot1_Age-D56))/IF56),0)</f>
        <v>0</v>
      </c>
      <c r="IH56" s="20" t="n">
        <f aca="false">IF(AND(HU56=1,IE56&gt;0,Slot1_IsWG=1,W56=1),MIN(IE56,IG56),0)</f>
        <v>0</v>
      </c>
      <c r="II56" s="20" t="n">
        <f aca="false">X56+IH56</f>
        <v>0</v>
      </c>
      <c r="IJ56" s="20" t="n">
        <f aca="false">IF(W56=1,MAX(0,(Slot1_Cost-II56*(1+Slot1_Rate)^(Slot1_Age-D56))/IF56),0)</f>
        <v>0</v>
      </c>
      <c r="IK56" s="20" t="n">
        <f aca="false">IF(W56=1,MAX(0,(Slot1_Cost-X56*(1+Slot1_Rate)^(Slot1_Age-D56))/IF56),0)</f>
        <v>0</v>
      </c>
      <c r="IL56" s="20" t="n">
        <f aca="false">IF(AND(HU56=1,W56=1),MIN(ID56,IJ56),0)</f>
        <v>0</v>
      </c>
      <c r="IM56" s="20" t="n">
        <f aca="false">ID56-IL56</f>
        <v>0</v>
      </c>
      <c r="IN56" s="20" t="n">
        <f aca="false">IF(AH56=1,IF(ABS((1+AS_Wage)/(1+Slot2_Rate)-1)&lt;0.000000000001,(Slot2_Age-D56)*(1+Slot2_Rate)^(Slot2_Age-D56),(1+Slot2_Rate)^(Slot2_Age-D56)*(1-((1+AS_Wage)/(1+Slot2_Rate))^(Slot2_Age-D56))/(1-(1+AS_Wage)/(1+Slot2_Rate))),1)</f>
        <v>1</v>
      </c>
      <c r="IO56" s="20" t="n">
        <f aca="false">IF(AND(HU56=1,IE56&gt;0,Slot2_IsWG=1,AH56=1),MAX(0,(Slot2_Cost-AI56*(1+Slot2_Rate)^(Slot2_Age-D56))/IN56),0)</f>
        <v>0</v>
      </c>
      <c r="IP56" s="20" t="n">
        <f aca="false">IF(AND(HU56=1,IE56&gt;0,Slot2_IsWG=1,AH56=1),MIN(IE56,IO56),0)</f>
        <v>0</v>
      </c>
      <c r="IQ56" s="20" t="n">
        <f aca="false">AI56+IP56</f>
        <v>0</v>
      </c>
      <c r="IR56" s="20" t="n">
        <f aca="false">IF(AH56=1,MAX(0,(Slot2_Cost-IQ56*(1+Slot2_Rate)^(Slot2_Age-D56))/IN56),0)</f>
        <v>0</v>
      </c>
      <c r="IS56" s="20" t="n">
        <f aca="false">IF(AH56=1,MAX(0,(Slot2_Cost-AI56*(1+Slot2_Rate)^(Slot2_Age-D56))/IN56),0)</f>
        <v>0</v>
      </c>
      <c r="IT56" s="20" t="n">
        <f aca="false">IF(AND(HU56=1,AH56=1),MIN(IM56,IR56),0)</f>
        <v>0</v>
      </c>
      <c r="IU56" s="20" t="n">
        <f aca="false">IM56-IT56</f>
        <v>0</v>
      </c>
      <c r="IV56" s="20" t="n">
        <f aca="false">IF(AR56=1,IF(ABS((1+AS_Wage)/(1+Slot3_Rate)-1)&lt;0.000000000001,(Slot3_Age-D56)*(1+Slot3_Rate)^(Slot3_Age-D56),(1+Slot3_Rate)^(Slot3_Age-D56)*(1-((1+AS_Wage)/(1+Slot3_Rate))^(Slot3_Age-D56))/(1-(1+AS_Wage)/(1+Slot3_Rate))),1)</f>
        <v>1</v>
      </c>
      <c r="IW56" s="20" t="n">
        <f aca="false">IF(AND(HU56=1,IE56&gt;0,Slot3_IsWG=1,AR56=1),MAX(0,(Slot3_Cost-AS56*(1+Slot3_Rate)^(Slot3_Age-D56))/IV56),0)</f>
        <v>0</v>
      </c>
      <c r="IX56" s="20" t="n">
        <f aca="false">IF(AND(HU56=1,IE56&gt;0,Slot3_IsWG=1,AR56=1),MIN(IE56,IW56),0)</f>
        <v>0</v>
      </c>
      <c r="IY56" s="20" t="n">
        <f aca="false">AS56+IX56</f>
        <v>0</v>
      </c>
      <c r="IZ56" s="20" t="n">
        <f aca="false">IF(AR56=1,MAX(0,(Slot3_Cost-IY56*(1+Slot3_Rate)^(Slot3_Age-D56))/IV56),0)</f>
        <v>0</v>
      </c>
      <c r="JA56" s="20" t="n">
        <f aca="false">IF(AR56=1,MAX(0,(Slot3_Cost-AS56*(1+Slot3_Rate)^(Slot3_Age-D56))/IV56),0)</f>
        <v>0</v>
      </c>
      <c r="JB56" s="20" t="n">
        <f aca="false">IF(AND(HU56=1,AR56=1),MIN(IU56,IZ56),0)</f>
        <v>0</v>
      </c>
      <c r="JC56" s="20" t="n">
        <f aca="false">IU56-JB56</f>
        <v>0</v>
      </c>
      <c r="JD56" s="20" t="n">
        <f aca="false">IF(BB56=1,IF(ABS((1+AS_Wage)/(1+Slot4_Rate)-1)&lt;0.000000000001,(Slot4_Age-D56)*(1+Slot4_Rate)^(Slot4_Age-D56),(1+Slot4_Rate)^(Slot4_Age-D56)*(1-((1+AS_Wage)/(1+Slot4_Rate))^(Slot4_Age-D56))/(1-(1+AS_Wage)/(1+Slot4_Rate))),1)</f>
        <v>1</v>
      </c>
      <c r="JE56" s="20" t="n">
        <f aca="false">IF(AND(HU56=1,IE56&gt;0,Slot4_IsWG=1,BB56=1),MAX(0,(Slot4_Cost-BC56*(1+Slot4_Rate)^(Slot4_Age-D56))/JD56),0)</f>
        <v>0</v>
      </c>
      <c r="JF56" s="20" t="n">
        <f aca="false">IF(AND(HU56=1,IE56&gt;0,Slot4_IsWG=1,BB56=1),MIN(IE56,JE56),0)</f>
        <v>0</v>
      </c>
      <c r="JG56" s="20" t="n">
        <f aca="false">BC56+JF56</f>
        <v>0</v>
      </c>
      <c r="JH56" s="20" t="n">
        <f aca="false">IF(BB56=1,MAX(0,(Slot4_Cost-JG56*(1+Slot4_Rate)^(Slot4_Age-D56))/JD56),0)</f>
        <v>0</v>
      </c>
      <c r="JI56" s="20" t="n">
        <f aca="false">IF(BB56=1,MAX(0,(Slot4_Cost-BC56*(1+Slot4_Rate)^(Slot4_Age-D56))/JD56),0)</f>
        <v>0</v>
      </c>
      <c r="JJ56" s="20" t="n">
        <f aca="false">IF(AND(HU56=1,BB56=1),MIN(JC56,JH56),0)</f>
        <v>0</v>
      </c>
      <c r="JK56" s="20" t="n">
        <f aca="false">JC56-JJ56</f>
        <v>0</v>
      </c>
      <c r="JL56" s="20" t="n">
        <f aca="false">IF(BL56=1,IF(ABS((1+AS_Wage)/(1+Slot5_Rate)-1)&lt;0.000000000001,(Slot5_Age-D56)*(1+Slot5_Rate)^(Slot5_Age-D56),(1+Slot5_Rate)^(Slot5_Age-D56)*(1-((1+AS_Wage)/(1+Slot5_Rate))^(Slot5_Age-D56))/(1-(1+AS_Wage)/(1+Slot5_Rate))),1)</f>
        <v>1</v>
      </c>
      <c r="JM56" s="20" t="n">
        <f aca="false">IF(AND(HU56=1,IE56&gt;0,Slot5_IsWG=1,BL56=1),MAX(0,(Slot5_Cost-BM56*(1+Slot5_Rate)^(Slot5_Age-D56))/JL56),0)</f>
        <v>0</v>
      </c>
      <c r="JN56" s="20" t="n">
        <f aca="false">IF(AND(HU56=1,IE56&gt;0,Slot5_IsWG=1,BL56=1),MIN(IE56,JM56),0)</f>
        <v>0</v>
      </c>
      <c r="JO56" s="20" t="n">
        <f aca="false">BM56+JN56</f>
        <v>0</v>
      </c>
      <c r="JP56" s="20" t="n">
        <f aca="false">IF(BL56=1,MAX(0,(Slot5_Cost-JO56*(1+Slot5_Rate)^(Slot5_Age-D56))/JL56),0)</f>
        <v>0</v>
      </c>
      <c r="JQ56" s="20" t="n">
        <f aca="false">IF(BL56=1,MAX(0,(Slot5_Cost-BM56*(1+Slot5_Rate)^(Slot5_Age-D56))/JL56),0)</f>
        <v>0</v>
      </c>
      <c r="JR56" s="20" t="n">
        <f aca="false">IF(AND(HU56=1,BL56=1),MIN(JK56,JP56),0)</f>
        <v>0</v>
      </c>
      <c r="JS56" s="20" t="n">
        <f aca="false">JK56-JR56</f>
        <v>0</v>
      </c>
      <c r="JT56" s="20" t="n">
        <f aca="false">IF(BV56=1,IF(ABS((1+AS_Wage)/(1+Slot6_Rate)-1)&lt;0.000000000001,(Slot6_Age-D56)*(1+Slot6_Rate)^(Slot6_Age-D56),(1+Slot6_Rate)^(Slot6_Age-D56)*(1-((1+AS_Wage)/(1+Slot6_Rate))^(Slot6_Age-D56))/(1-(1+AS_Wage)/(1+Slot6_Rate))),1)</f>
        <v>1</v>
      </c>
      <c r="JU56" s="20" t="n">
        <f aca="false">IF(AND(HU56=1,IE56&gt;0,Slot6_IsWG=1,BV56=1),MAX(0,(Slot6_Cost-BW56*(1+Slot6_Rate)^(Slot6_Age-D56))/JT56),0)</f>
        <v>0</v>
      </c>
      <c r="JV56" s="20" t="n">
        <f aca="false">IF(AND(HU56=1,IE56&gt;0,Slot6_IsWG=1,BV56=1),MIN(IE56,JU56),0)</f>
        <v>0</v>
      </c>
      <c r="JW56" s="20" t="n">
        <f aca="false">BW56+JV56</f>
        <v>0</v>
      </c>
      <c r="JX56" s="20" t="n">
        <f aca="false">IF(BV56=1,MAX(0,(Slot6_Cost-JW56*(1+Slot6_Rate)^(Slot6_Age-D56))/JT56),0)</f>
        <v>0</v>
      </c>
      <c r="JY56" s="20" t="n">
        <f aca="false">IF(BV56=1,MAX(0,(Slot6_Cost-BW56*(1+Slot6_Rate)^(Slot6_Age-D56))/JT56),0)</f>
        <v>0</v>
      </c>
      <c r="JZ56" s="20" t="n">
        <f aca="false">IF(AND(HU56=1,BV56=1),MIN(JS56,JX56),0)</f>
        <v>0</v>
      </c>
      <c r="KA56" s="20" t="n">
        <f aca="false">JS56-JZ56</f>
        <v>0</v>
      </c>
      <c r="KB56" s="20" t="n">
        <f aca="false">IF(CF56=1,IF(ABS((1+AS_Wage)/(1+Slot7_Rate)-1)&lt;0.000000000001,(Slot7_Age-D56)*(1+Slot7_Rate)^(Slot7_Age-D56),(1+Slot7_Rate)^(Slot7_Age-D56)*(1-((1+AS_Wage)/(1+Slot7_Rate))^(Slot7_Age-D56))/(1-(1+AS_Wage)/(1+Slot7_Rate))),1)</f>
        <v>1</v>
      </c>
      <c r="KC56" s="20" t="n">
        <f aca="false">IF(AND(HU56=1,IE56&gt;0,Slot7_IsWG=1,CF56=1),MAX(0,(Slot7_Cost-CG56*(1+Slot7_Rate)^(Slot7_Age-D56))/KB56),0)</f>
        <v>0</v>
      </c>
      <c r="KD56" s="20" t="n">
        <f aca="false">IF(AND(HU56=1,IE56&gt;0,Slot7_IsWG=1,CF56=1),MIN(IE56,KC56),0)</f>
        <v>0</v>
      </c>
      <c r="KE56" s="20" t="n">
        <f aca="false">CG56+KD56</f>
        <v>0</v>
      </c>
      <c r="KF56" s="20" t="n">
        <f aca="false">IF(CF56=1,MAX(0,(Slot7_Cost-KE56*(1+Slot7_Rate)^(Slot7_Age-D56))/KB56),0)</f>
        <v>0</v>
      </c>
      <c r="KG56" s="20" t="n">
        <f aca="false">IF(CF56=1,MAX(0,(Slot7_Cost-CG56*(1+Slot7_Rate)^(Slot7_Age-D56))/KB56),0)</f>
        <v>0</v>
      </c>
      <c r="KH56" s="20" t="n">
        <f aca="false">IF(AND(HU56=1,CF56=1),MIN(KA56,KF56),0)</f>
        <v>0</v>
      </c>
      <c r="KI56" s="20" t="n">
        <f aca="false">KA56-KH56</f>
        <v>0</v>
      </c>
      <c r="KJ56" s="20" t="n">
        <f aca="false">IF(CP56=1,IF(ABS((1+AS_Wage)/(1+Slot8_Rate)-1)&lt;0.000000000001,(Slot8_Age-D56)*(1+Slot8_Rate)^(Slot8_Age-D56),(1+Slot8_Rate)^(Slot8_Age-D56)*(1-((1+AS_Wage)/(1+Slot8_Rate))^(Slot8_Age-D56))/(1-(1+AS_Wage)/(1+Slot8_Rate))),1)</f>
        <v>1</v>
      </c>
      <c r="KK56" s="20" t="n">
        <f aca="false">IF(AND(HU56=1,IE56&gt;0,Slot8_IsWG=1,CP56=1),MAX(0,(Slot8_Cost-CQ56*(1+Slot8_Rate)^(Slot8_Age-D56))/KJ56),0)</f>
        <v>0</v>
      </c>
      <c r="KL56" s="20" t="n">
        <f aca="false">IF(AND(HU56=1,IE56&gt;0,Slot8_IsWG=1,CP56=1),MIN(IE56,KK56),0)</f>
        <v>0</v>
      </c>
      <c r="KM56" s="20" t="n">
        <f aca="false">CQ56+KL56</f>
        <v>0</v>
      </c>
      <c r="KN56" s="20" t="n">
        <f aca="false">IF(CP56=1,MAX(0,(Slot8_Cost-KM56*(1+Slot8_Rate)^(Slot8_Age-D56))/KJ56),0)</f>
        <v>0</v>
      </c>
      <c r="KO56" s="20" t="n">
        <f aca="false">IF(CP56=1,MAX(0,(Slot8_Cost-CQ56*(1+Slot8_Rate)^(Slot8_Age-D56))/KJ56),0)</f>
        <v>0</v>
      </c>
      <c r="KP56" s="20" t="n">
        <f aca="false">IF(AND(HU56=1,CP56=1),MIN(KI56,KN56),0)</f>
        <v>0</v>
      </c>
      <c r="KQ56" s="20" t="n">
        <f aca="false">KI56-KP56</f>
        <v>0</v>
      </c>
      <c r="KR56" s="20" t="n">
        <f aca="false">IF(CZ56=1,IF(ABS((1+AS_Wage)/(1+Slot9_Rate)-1)&lt;0.000000000001,(Slot9_Age-D56)*(1+Slot9_Rate)^(Slot9_Age-D56),(1+Slot9_Rate)^(Slot9_Age-D56)*(1-((1+AS_Wage)/(1+Slot9_Rate))^(Slot9_Age-D56))/(1-(1+AS_Wage)/(1+Slot9_Rate))),1)</f>
        <v>1</v>
      </c>
      <c r="KS56" s="20" t="n">
        <f aca="false">IF(AND(HU56=1,IE56&gt;0,Slot9_IsWG=1,CZ56=1),MAX(0,(Slot9_Cost-DA56*(1+Slot9_Rate)^(Slot9_Age-D56))/KR56),0)</f>
        <v>0</v>
      </c>
      <c r="KT56" s="20" t="n">
        <f aca="false">IF(AND(HU56=1,IE56&gt;0,Slot9_IsWG=1,CZ56=1),MIN(IE56,KS56),0)</f>
        <v>0</v>
      </c>
      <c r="KU56" s="20" t="n">
        <f aca="false">DA56+KT56</f>
        <v>0</v>
      </c>
      <c r="KV56" s="20" t="n">
        <f aca="false">IF(CZ56=1,MAX(0,(Slot9_Cost-KU56*(1+Slot9_Rate)^(Slot9_Age-D56))/KR56),0)</f>
        <v>0</v>
      </c>
      <c r="KW56" s="20" t="n">
        <f aca="false">IF(CZ56=1,MAX(0,(Slot9_Cost-DA56*(1+Slot9_Rate)^(Slot9_Age-D56))/KR56),0)</f>
        <v>0</v>
      </c>
      <c r="KX56" s="20" t="n">
        <f aca="false">IF(AND(HU56=1,CZ56=1),MIN(KQ56,KV56),0)</f>
        <v>0</v>
      </c>
      <c r="KY56" s="20" t="n">
        <f aca="false">KQ56-KX56</f>
        <v>0</v>
      </c>
      <c r="KZ56" s="20" t="n">
        <f aca="false">IF(DJ56=1,IF(ABS((1+AS_Wage)/(1+Slot10_Rate)-1)&lt;0.000000000001,(Slot10_Age-D56)*(1+Slot10_Rate)^(Slot10_Age-D56),(1+Slot10_Rate)^(Slot10_Age-D56)*(1-((1+AS_Wage)/(1+Slot10_Rate))^(Slot10_Age-D56))/(1-(1+AS_Wage)/(1+Slot10_Rate))),1)</f>
        <v>1</v>
      </c>
      <c r="LA56" s="20" t="n">
        <f aca="false">IF(AND(HU56=1,IE56&gt;0,Slot10_IsWG=1,DJ56=1),MAX(0,(Slot10_Cost-DK56*(1+Slot10_Rate)^(Slot10_Age-D56))/KZ56),0)</f>
        <v>0</v>
      </c>
      <c r="LB56" s="20" t="n">
        <f aca="false">IF(AND(HU56=1,IE56&gt;0,Slot10_IsWG=1,DJ56=1),MIN(IE56,LA56),0)</f>
        <v>0</v>
      </c>
      <c r="LC56" s="20" t="n">
        <f aca="false">DK56+LB56</f>
        <v>0</v>
      </c>
      <c r="LD56" s="20" t="n">
        <f aca="false">IF(DJ56=1,MAX(0,(Slot10_Cost-LC56*(1+Slot10_Rate)^(Slot10_Age-D56))/KZ56),0)</f>
        <v>0</v>
      </c>
      <c r="LE56" s="20" t="n">
        <f aca="false">IF(DJ56=1,MAX(0,(Slot10_Cost-DK56*(1+Slot10_Rate)^(Slot10_Age-D56))/KZ56),0)</f>
        <v>0</v>
      </c>
      <c r="LF56" s="20" t="n">
        <f aca="false">IF(AND(HU56=1,DJ56=1),MIN(KY56,LD56),0)</f>
        <v>0</v>
      </c>
      <c r="LG56" s="20" t="n">
        <f aca="false">KY56-LF56</f>
        <v>0</v>
      </c>
      <c r="LH56" s="20" t="n">
        <f aca="false">IF(DT56=1,IF(ABS((1+AS_Wage)/(1+Slot11_Rate)-1)&lt;0.000000000001,(Slot11_Age-D56)*(1+Slot11_Rate)^(Slot11_Age-D56),(1+Slot11_Rate)^(Slot11_Age-D56)*(1-((1+AS_Wage)/(1+Slot11_Rate))^(Slot11_Age-D56))/(1-(1+AS_Wage)/(1+Slot11_Rate))),1)</f>
        <v>1</v>
      </c>
      <c r="LI56" s="20" t="n">
        <f aca="false">IF(AND(HU56=1,IE56&gt;0,Slot11_IsWG=1,DT56=1),MAX(0,(Slot11_Cost-DU56*(1+Slot11_Rate)^(Slot11_Age-D56))/LH56),0)</f>
        <v>0</v>
      </c>
      <c r="LJ56" s="20" t="n">
        <f aca="false">IF(AND(HU56=1,IE56&gt;0,Slot11_IsWG=1,DT56=1),MIN(IE56,LI56),0)</f>
        <v>0</v>
      </c>
      <c r="LK56" s="20" t="n">
        <f aca="false">DU56+LJ56</f>
        <v>0</v>
      </c>
      <c r="LL56" s="20" t="n">
        <f aca="false">IF(DT56=1,MAX(0,(Slot11_Cost-LK56*(1+Slot11_Rate)^(Slot11_Age-D56))/LH56),0)</f>
        <v>0</v>
      </c>
      <c r="LM56" s="20" t="n">
        <f aca="false">IF(DT56=1,MAX(0,(Slot11_Cost-DU56*(1+Slot11_Rate)^(Slot11_Age-D56))/LH56),0)</f>
        <v>0</v>
      </c>
      <c r="LN56" s="20" t="n">
        <f aca="false">IF(AND(HU56=1,DT56=1),MIN(LG56,LL56),0)</f>
        <v>0</v>
      </c>
      <c r="LO56" s="20" t="n">
        <f aca="false">LG56-LN56</f>
        <v>0</v>
      </c>
      <c r="LP56" s="20" t="n">
        <f aca="false">IF(ED56=1,IF(ABS((1+AS_Wage)/(1+Slot12_Rate)-1)&lt;0.000000000001,(Slot12_Age-D56)*(1+Slot12_Rate)^(Slot12_Age-D56),(1+Slot12_Rate)^(Slot12_Age-D56)*(1-((1+AS_Wage)/(1+Slot12_Rate))^(Slot12_Age-D56))/(1-(1+AS_Wage)/(1+Slot12_Rate))),1)</f>
        <v>1</v>
      </c>
      <c r="LQ56" s="20" t="n">
        <f aca="false">IF(AND(HU56=1,IE56&gt;0,Slot12_IsWG=1,ED56=1),MAX(0,(Slot12_Cost-EE56*(1+Slot12_Rate)^(Slot12_Age-D56))/LP56),0)</f>
        <v>0</v>
      </c>
      <c r="LR56" s="20" t="n">
        <f aca="false">IF(AND(HU56=1,IE56&gt;0,Slot12_IsWG=1,ED56=1),MIN(IE56,LQ56),0)</f>
        <v>0</v>
      </c>
      <c r="LS56" s="20" t="n">
        <f aca="false">EE56+LR56</f>
        <v>0</v>
      </c>
      <c r="LT56" s="20" t="n">
        <f aca="false">IF(ED56=1,MAX(0,(Slot12_Cost-LS56*(1+Slot12_Rate)^(Slot12_Age-D56))/LP56),0)</f>
        <v>0</v>
      </c>
      <c r="LU56" s="20" t="n">
        <f aca="false">IF(ED56=1,MAX(0,(Slot12_Cost-EE56*(1+Slot12_Rate)^(Slot12_Age-D56))/LP56),0)</f>
        <v>0</v>
      </c>
      <c r="LV56" s="20" t="n">
        <f aca="false">IF(AND(HU56=1,ED56=1),MIN(LO56,LT56),0)</f>
        <v>0</v>
      </c>
      <c r="LW56" s="20" t="n">
        <f aca="false">LO56-LV56</f>
        <v>0</v>
      </c>
      <c r="LX56" s="20" t="n">
        <f aca="false">IF(EN56=1,IF(ABS((1+AS_Wage)/(1+Slot13_Rate)-1)&lt;0.000000000001,(Slot13_Age-D56)*(1+Slot13_Rate)^(Slot13_Age-D56),(1+Slot13_Rate)^(Slot13_Age-D56)*(1-((1+AS_Wage)/(1+Slot13_Rate))^(Slot13_Age-D56))/(1-(1+AS_Wage)/(1+Slot13_Rate))),1)</f>
        <v>1</v>
      </c>
      <c r="LY56" s="20" t="n">
        <f aca="false">IF(AND(HU56=1,IE56&gt;0,Slot13_IsWG=1,EN56=1),MAX(0,(Slot13_Cost-EO56*(1+Slot13_Rate)^(Slot13_Age-D56))/LX56),0)</f>
        <v>0</v>
      </c>
      <c r="LZ56" s="20" t="n">
        <f aca="false">IF(AND(HU56=1,IE56&gt;0,Slot13_IsWG=1,EN56=1),MIN(IE56,LY56),0)</f>
        <v>0</v>
      </c>
      <c r="MA56" s="20" t="n">
        <f aca="false">EO56+LZ56</f>
        <v>0</v>
      </c>
      <c r="MB56" s="20" t="n">
        <f aca="false">IF(EN56=1,MAX(0,(Slot13_Cost-MA56*(1+Slot13_Rate)^(Slot13_Age-D56))/LX56),0)</f>
        <v>0</v>
      </c>
      <c r="MC56" s="20" t="n">
        <f aca="false">IF(EN56=1,MAX(0,(Slot13_Cost-EO56*(1+Slot13_Rate)^(Slot13_Age-D56))/LX56),0)</f>
        <v>0</v>
      </c>
      <c r="MD56" s="20" t="n">
        <f aca="false">IF(AND(HU56=1,EN56=1),MIN(LW56,MB56),0)</f>
        <v>0</v>
      </c>
      <c r="ME56" s="20" t="n">
        <f aca="false">LW56-MD56</f>
        <v>0</v>
      </c>
      <c r="MF56" s="20" t="n">
        <f aca="false">IF(EX56=1,IF(ABS((1+AS_Wage)/(1+Slot14_Rate)-1)&lt;0.000000000001,(Slot14_Age-D56)*(1+Slot14_Rate)^(Slot14_Age-D56),(1+Slot14_Rate)^(Slot14_Age-D56)*(1-((1+AS_Wage)/(1+Slot14_Rate))^(Slot14_Age-D56))/(1-(1+AS_Wage)/(1+Slot14_Rate))),1)</f>
        <v>1</v>
      </c>
      <c r="MG56" s="20" t="n">
        <f aca="false">IF(AND(HU56=1,IE56&gt;0,Slot14_IsWG=1,EX56=1),MAX(0,(Slot14_Cost-EY56*(1+Slot14_Rate)^(Slot14_Age-D56))/MF56),0)</f>
        <v>0</v>
      </c>
      <c r="MH56" s="20" t="n">
        <f aca="false">IF(AND(HU56=1,IE56&gt;0,Slot14_IsWG=1,EX56=1),MIN(IE56,MG56),0)</f>
        <v>0</v>
      </c>
      <c r="MI56" s="20" t="n">
        <f aca="false">EY56+MH56</f>
        <v>0</v>
      </c>
      <c r="MJ56" s="20" t="n">
        <f aca="false">IF(EX56=1,MAX(0,(Slot14_Cost-MI56*(1+Slot14_Rate)^(Slot14_Age-D56))/MF56),0)</f>
        <v>0</v>
      </c>
      <c r="MK56" s="20" t="n">
        <f aca="false">IF(EX56=1,MAX(0,(Slot14_Cost-EY56*(1+Slot14_Rate)^(Slot14_Age-D56))/MF56),0)</f>
        <v>0</v>
      </c>
      <c r="ML56" s="20" t="n">
        <f aca="false">IF(AND(HU56=1,EX56=1),MIN(ME56,MJ56),0)</f>
        <v>0</v>
      </c>
      <c r="MM56" s="20" t="n">
        <f aca="false">ME56-ML56</f>
        <v>0</v>
      </c>
      <c r="MN56" s="20" t="n">
        <f aca="false">IF(FH56=1,IF(ABS((1+AS_Wage)/(1+Slot15_Rate)-1)&lt;0.000000000001,(Slot15_Age-D56)*(1+Slot15_Rate)^(Slot15_Age-D56),(1+Slot15_Rate)^(Slot15_Age-D56)*(1-((1+AS_Wage)/(1+Slot15_Rate))^(Slot15_Age-D56))/(1-(1+AS_Wage)/(1+Slot15_Rate))),1)</f>
        <v>1</v>
      </c>
      <c r="MO56" s="20" t="n">
        <f aca="false">IF(AND(HU56=1,IE56&gt;0,Slot15_IsWG=1,FH56=1),MAX(0,(Slot15_Cost-FI56*(1+Slot15_Rate)^(Slot15_Age-D56))/MN56),0)</f>
        <v>0</v>
      </c>
      <c r="MP56" s="20" t="n">
        <f aca="false">IF(AND(HU56=1,IE56&gt;0,Slot15_IsWG=1,FH56=1),MIN(IE56,MO56),0)</f>
        <v>0</v>
      </c>
      <c r="MQ56" s="20" t="n">
        <f aca="false">FI56+MP56</f>
        <v>0</v>
      </c>
      <c r="MR56" s="20" t="n">
        <f aca="false">IF(FH56=1,MAX(0,(Slot15_Cost-MQ56*(1+Slot15_Rate)^(Slot15_Age-D56))/MN56),0)</f>
        <v>0</v>
      </c>
      <c r="MS56" s="20" t="n">
        <f aca="false">IF(FH56=1,MAX(0,(Slot15_Cost-FI56*(1+Slot15_Rate)^(Slot15_Age-D56))/MN56),0)</f>
        <v>0</v>
      </c>
      <c r="MT56" s="20" t="n">
        <f aca="false">IF(AND(HU56=1,FH56=1),MIN(MM56,MR56),0)</f>
        <v>0</v>
      </c>
      <c r="MU56" s="20" t="n">
        <f aca="false">MM56-MT56</f>
        <v>0</v>
      </c>
      <c r="MV56" s="20" t="n">
        <f aca="false">IF(FR56=1,IF(ABS((1+AS_Wage)/(1+Slot16_Rate)-1)&lt;0.000000000001,(Slot16_Age-D56)*(1+Slot16_Rate)^(Slot16_Age-D56),(1+Slot16_Rate)^(Slot16_Age-D56)*(1-((1+AS_Wage)/(1+Slot16_Rate))^(Slot16_Age-D56))/(1-(1+AS_Wage)/(1+Slot16_Rate))),1)</f>
        <v>1</v>
      </c>
      <c r="MW56" s="20" t="n">
        <f aca="false">IF(AND(HU56=1,IE56&gt;0,Slot16_IsWG=1,FR56=1),MAX(0,(Slot16_Cost-FS56*(1+Slot16_Rate)^(Slot16_Age-D56))/MV56),0)</f>
        <v>0</v>
      </c>
      <c r="MX56" s="20" t="n">
        <f aca="false">IF(AND(HU56=1,IE56&gt;0,Slot16_IsWG=1,FR56=1),MIN(IE56,MW56),0)</f>
        <v>0</v>
      </c>
      <c r="MY56" s="20" t="n">
        <f aca="false">FS56+MX56</f>
        <v>0</v>
      </c>
      <c r="MZ56" s="20" t="n">
        <f aca="false">IF(FR56=1,MAX(0,(Slot16_Cost-MY56*(1+Slot16_Rate)^(Slot16_Age-D56))/MV56),0)</f>
        <v>0</v>
      </c>
      <c r="NA56" s="20" t="n">
        <f aca="false">IF(FR56=1,MAX(0,(Slot16_Cost-FS56*(1+Slot16_Rate)^(Slot16_Age-D56))/MV56),0)</f>
        <v>0</v>
      </c>
      <c r="NB56" s="20" t="n">
        <f aca="false">IF(AND(HU56=1,FR56=1),MIN(MU56,MZ56),0)</f>
        <v>0</v>
      </c>
      <c r="NC56" s="20" t="n">
        <f aca="false">MU56-NB56</f>
        <v>0</v>
      </c>
      <c r="ND56" s="20" t="n">
        <f aca="false">IF(GB56=1,IF(ABS((1+AS_Wage)/(1+Slot17_Rate)-1)&lt;0.000000000001,(Slot17_Age-D56)*(1+Slot17_Rate)^(Slot17_Age-D56),(1+Slot17_Rate)^(Slot17_Age-D56)*(1-((1+AS_Wage)/(1+Slot17_Rate))^(Slot17_Age-D56))/(1-(1+AS_Wage)/(1+Slot17_Rate))),1)</f>
        <v>1</v>
      </c>
      <c r="NE56" s="20" t="n">
        <f aca="false">IF(AND(HU56=1,IE56&gt;0,Slot17_IsWG=1,GB56=1),MAX(0,(Slot17_Cost-GC56*(1+Slot17_Rate)^(Slot17_Age-D56))/ND56),0)</f>
        <v>0</v>
      </c>
      <c r="NF56" s="20" t="n">
        <f aca="false">IF(AND(HU56=1,IE56&gt;0,Slot17_IsWG=1,GB56=1),MIN(IE56,NE56),0)</f>
        <v>0</v>
      </c>
      <c r="NG56" s="20" t="n">
        <f aca="false">GC56+NF56</f>
        <v>0</v>
      </c>
      <c r="NH56" s="20" t="n">
        <f aca="false">IF(GB56=1,MAX(0,(Slot17_Cost-NG56*(1+Slot17_Rate)^(Slot17_Age-D56))/ND56),0)</f>
        <v>0</v>
      </c>
      <c r="NI56" s="20" t="n">
        <f aca="false">IF(GB56=1,MAX(0,(Slot17_Cost-GC56*(1+Slot17_Rate)^(Slot17_Age-D56))/ND56),0)</f>
        <v>0</v>
      </c>
      <c r="NJ56" s="20" t="n">
        <f aca="false">IF(AND(HU56=1,GB56=1),MIN(NC56,NH56),0)</f>
        <v>0</v>
      </c>
      <c r="NK56" s="20" t="n">
        <f aca="false">NC56-NJ56</f>
        <v>0</v>
      </c>
      <c r="NL56" s="20" t="n">
        <f aca="false">IF(GL56=1,IF(ABS((1+AS_Wage)/(1+Slot18_Rate)-1)&lt;0.000000000001,(Slot18_Age-D56)*(1+Slot18_Rate)^(Slot18_Age-D56),(1+Slot18_Rate)^(Slot18_Age-D56)*(1-((1+AS_Wage)/(1+Slot18_Rate))^(Slot18_Age-D56))/(1-(1+AS_Wage)/(1+Slot18_Rate))),1)</f>
        <v>1</v>
      </c>
      <c r="NM56" s="20" t="n">
        <f aca="false">IF(AND(HU56=1,IE56&gt;0,Slot18_IsWG=1,GL56=1),MAX(0,(Slot18_Cost-GM56*(1+Slot18_Rate)^(Slot18_Age-D56))/NL56),0)</f>
        <v>0</v>
      </c>
      <c r="NN56" s="20" t="n">
        <f aca="false">IF(AND(HU56=1,IE56&gt;0,Slot18_IsWG=1,GL56=1),MIN(IE56,NM56),0)</f>
        <v>0</v>
      </c>
      <c r="NO56" s="20" t="n">
        <f aca="false">GM56+NN56</f>
        <v>0</v>
      </c>
      <c r="NP56" s="20" t="n">
        <f aca="false">IF(GL56=1,MAX(0,(Slot18_Cost-NO56*(1+Slot18_Rate)^(Slot18_Age-D56))/NL56),0)</f>
        <v>0</v>
      </c>
      <c r="NQ56" s="20" t="n">
        <f aca="false">IF(GL56=1,MAX(0,(Slot18_Cost-GM56*(1+Slot18_Rate)^(Slot18_Age-D56))/NL56),0)</f>
        <v>0</v>
      </c>
      <c r="NR56" s="20" t="n">
        <f aca="false">IF(AND(HU56=1,GL56=1),MIN(NK56,NP56),0)</f>
        <v>0</v>
      </c>
      <c r="NS56" s="20" t="n">
        <f aca="false">NK56-NR56</f>
        <v>0</v>
      </c>
      <c r="NT56" s="20" t="n">
        <f aca="false">IF(GV56=1,IF(ABS((1+AS_Wage)/(1+Slot19_Rate)-1)&lt;0.000000000001,(Slot19_Age-D56)*(1+Slot19_Rate)^(Slot19_Age-D56),(1+Slot19_Rate)^(Slot19_Age-D56)*(1-((1+AS_Wage)/(1+Slot19_Rate))^(Slot19_Age-D56))/(1-(1+AS_Wage)/(1+Slot19_Rate))),1)</f>
        <v>1</v>
      </c>
      <c r="NU56" s="20" t="n">
        <f aca="false">IF(AND(HU56=1,IE56&gt;0,Slot19_IsWG=1,GV56=1),MAX(0,(Slot19_Cost-GW56*(1+Slot19_Rate)^(Slot19_Age-D56))/NT56),0)</f>
        <v>0</v>
      </c>
      <c r="NV56" s="20" t="n">
        <f aca="false">IF(AND(HU56=1,IE56&gt;0,Slot19_IsWG=1,GV56=1),MIN(IE56,NU56),0)</f>
        <v>0</v>
      </c>
      <c r="NW56" s="20" t="n">
        <f aca="false">GW56+NV56</f>
        <v>0</v>
      </c>
      <c r="NX56" s="20" t="n">
        <f aca="false">IF(GV56=1,MAX(0,(Slot19_Cost-NW56*(1+Slot19_Rate)^(Slot19_Age-D56))/NT56),0)</f>
        <v>0</v>
      </c>
      <c r="NY56" s="20" t="n">
        <f aca="false">IF(GV56=1,MAX(0,(Slot19_Cost-GW56*(1+Slot19_Rate)^(Slot19_Age-D56))/NT56),0)</f>
        <v>0</v>
      </c>
      <c r="NZ56" s="20" t="n">
        <f aca="false">IF(AND(HU56=1,GV56=1),MIN(NS56,NX56),0)</f>
        <v>0</v>
      </c>
      <c r="OA56" s="20" t="n">
        <f aca="false">NS56-NZ56</f>
        <v>0</v>
      </c>
      <c r="OB56" s="20" t="n">
        <f aca="false">IF(HF56=1,IF(ABS((1+AS_Wage)/(1+Slot20_Rate)-1)&lt;0.000000000001,(Slot20_Age-D56)*(1+Slot20_Rate)^(Slot20_Age-D56),(1+Slot20_Rate)^(Slot20_Age-D56)*(1-((1+AS_Wage)/(1+Slot20_Rate))^(Slot20_Age-D56))/(1-(1+AS_Wage)/(1+Slot20_Rate))),1)</f>
        <v>1</v>
      </c>
      <c r="OC56" s="20" t="n">
        <f aca="false">IF(AND(HU56=1,IE56&gt;0,Slot20_IsWG=1,HF56=1),MAX(0,(Slot20_Cost-HG56*(1+Slot20_Rate)^(Slot20_Age-D56))/OB56),0)</f>
        <v>0</v>
      </c>
      <c r="OD56" s="20" t="n">
        <f aca="false">IF(AND(HU56=1,IE56&gt;0,Slot20_IsWG=1,HF56=1),MIN(IE56,OC56),0)</f>
        <v>0</v>
      </c>
      <c r="OE56" s="20" t="n">
        <f aca="false">HG56+OD56</f>
        <v>0</v>
      </c>
      <c r="OF56" s="20" t="n">
        <f aca="false">IF(HF56=1,MAX(0,(Slot20_Cost-OE56*(1+Slot20_Rate)^(Slot20_Age-D56))/OB56),0)</f>
        <v>0</v>
      </c>
      <c r="OG56" s="20" t="n">
        <f aca="false">IF(HF56=1,MAX(0,(Slot20_Cost-HG56*(1+Slot20_Rate)^(Slot20_Age-D56))/OB56),0)</f>
        <v>0</v>
      </c>
      <c r="OH56" s="20" t="n">
        <f aca="false">IF(AND(HU56=1,HF56=1),MIN(OA56,OF56),0)</f>
        <v>0</v>
      </c>
      <c r="OI56" s="20" t="n">
        <f aca="false">OA56-OH56</f>
        <v>0</v>
      </c>
      <c r="OJ56" s="20" t="n">
        <f aca="false">IE56-(IH56+IP56+IX56+JF56+JN56+JV56+KD56+KL56+KT56+LB56+LJ56+LR56+LZ56+MH56+MP56+MX56+NF56+NN56+NV56+OD56)</f>
        <v>0</v>
      </c>
      <c r="OK56" s="20" t="n">
        <f aca="false">IF(HU56=1,HS56-ID56-IE56,0)</f>
        <v>0</v>
      </c>
      <c r="OL56" s="20" t="n">
        <f aca="false">IF(HU56=0,-HS56,0)</f>
        <v>26825.3427035813</v>
      </c>
      <c r="OM56" s="20" t="n">
        <f aca="false">MIN(OL56,HK56)</f>
        <v>0</v>
      </c>
      <c r="ON56" s="20" t="n">
        <f aca="false">OL56-OM56</f>
        <v>26825.3427035813</v>
      </c>
      <c r="OO56" s="20" t="n">
        <f aca="false">MIN(ON56,HL56)</f>
        <v>0</v>
      </c>
      <c r="OP56" s="20" t="n">
        <f aca="false">ON56-OO56</f>
        <v>26825.3427035813</v>
      </c>
      <c r="OQ56" s="20" t="n">
        <f aca="false">IF(AND(HU56=0,HF56=1,OP56&gt;0),MIN(OP56,HG56),0)</f>
        <v>0</v>
      </c>
      <c r="OR56" s="20" t="n">
        <f aca="false">OP56-OQ56</f>
        <v>26825.3427035813</v>
      </c>
      <c r="OS56" s="20" t="n">
        <f aca="false">IF(AND(HU56=0,GV56=1,OR56&gt;0),MIN(OR56,GW56),0)</f>
        <v>0</v>
      </c>
      <c r="OT56" s="20" t="n">
        <f aca="false">OR56-OS56</f>
        <v>26825.3427035813</v>
      </c>
      <c r="OU56" s="20" t="n">
        <f aca="false">IF(AND(HU56=0,GL56=1,OT56&gt;0),MIN(OT56,GM56),0)</f>
        <v>0</v>
      </c>
      <c r="OV56" s="20" t="n">
        <f aca="false">OT56-OU56</f>
        <v>26825.3427035813</v>
      </c>
      <c r="OW56" s="20" t="n">
        <f aca="false">IF(AND(HU56=0,GB56=1,OV56&gt;0),MIN(OV56,GC56),0)</f>
        <v>0</v>
      </c>
      <c r="OX56" s="20" t="n">
        <f aca="false">OV56-OW56</f>
        <v>26825.3427035813</v>
      </c>
      <c r="OY56" s="20" t="n">
        <f aca="false">IF(AND(HU56=0,FR56=1,OX56&gt;0),MIN(OX56,FS56),0)</f>
        <v>0</v>
      </c>
      <c r="OZ56" s="20" t="n">
        <f aca="false">OX56-OY56</f>
        <v>26825.3427035813</v>
      </c>
      <c r="PA56" s="20" t="n">
        <f aca="false">IF(AND(HU56=0,FH56=1,OZ56&gt;0),MIN(OZ56,FI56),0)</f>
        <v>0</v>
      </c>
      <c r="PB56" s="20" t="n">
        <f aca="false">OZ56-PA56</f>
        <v>26825.3427035813</v>
      </c>
      <c r="PC56" s="20" t="n">
        <f aca="false">IF(AND(HU56=0,EX56=1,PB56&gt;0),MIN(PB56,EY56),0)</f>
        <v>0</v>
      </c>
      <c r="PD56" s="20" t="n">
        <f aca="false">PB56-PC56</f>
        <v>26825.3427035813</v>
      </c>
      <c r="PE56" s="20" t="n">
        <f aca="false">IF(AND(HU56=0,EN56=1,PD56&gt;0),MIN(PD56,EO56),0)</f>
        <v>0</v>
      </c>
      <c r="PF56" s="20" t="n">
        <f aca="false">PD56-PE56</f>
        <v>26825.3427035813</v>
      </c>
      <c r="PG56" s="20" t="n">
        <f aca="false">IF(AND(HU56=0,ED56=1,PF56&gt;0),MIN(PF56,EE56),0)</f>
        <v>0</v>
      </c>
      <c r="PH56" s="20" t="n">
        <f aca="false">PF56-PG56</f>
        <v>26825.3427035813</v>
      </c>
      <c r="PI56" s="20" t="n">
        <f aca="false">IF(AND(HU56=0,DT56=1,PH56&gt;0),MIN(PH56,DU56),0)</f>
        <v>0</v>
      </c>
      <c r="PJ56" s="20" t="n">
        <f aca="false">PH56-PI56</f>
        <v>26825.3427035813</v>
      </c>
      <c r="PK56" s="20" t="n">
        <f aca="false">IF(AND(HU56=0,DJ56=1,PJ56&gt;0),MIN(PJ56,DK56),0)</f>
        <v>0</v>
      </c>
      <c r="PL56" s="20" t="n">
        <f aca="false">PJ56-PK56</f>
        <v>26825.3427035813</v>
      </c>
      <c r="PM56" s="20" t="n">
        <f aca="false">IF(AND(HU56=0,CZ56=1,PL56&gt;0),MIN(PL56,DA56),0)</f>
        <v>0</v>
      </c>
      <c r="PN56" s="20" t="n">
        <f aca="false">PL56-PM56</f>
        <v>26825.3427035813</v>
      </c>
      <c r="PO56" s="20" t="n">
        <f aca="false">IF(AND(HU56=0,CP56=1,PN56&gt;0),MIN(PN56,CQ56),0)</f>
        <v>0</v>
      </c>
      <c r="PP56" s="20" t="n">
        <f aca="false">PN56-PO56</f>
        <v>26825.3427035813</v>
      </c>
      <c r="PQ56" s="20" t="n">
        <f aca="false">IF(AND(HU56=0,CF56=1,PP56&gt;0),MIN(PP56,CG56),0)</f>
        <v>0</v>
      </c>
      <c r="PR56" s="20" t="n">
        <f aca="false">PP56-PQ56</f>
        <v>26825.3427035813</v>
      </c>
      <c r="PS56" s="20" t="n">
        <f aca="false">IF(AND(HU56=0,BV56=1,PR56&gt;0),MIN(PR56,BW56),0)</f>
        <v>0</v>
      </c>
      <c r="PT56" s="20" t="n">
        <f aca="false">PR56-PS56</f>
        <v>26825.3427035813</v>
      </c>
      <c r="PU56" s="20" t="n">
        <f aca="false">IF(AND(HU56=0,BL56=1,PT56&gt;0),MIN(PT56,BM56),0)</f>
        <v>0</v>
      </c>
      <c r="PV56" s="20" t="n">
        <f aca="false">PT56-PU56</f>
        <v>26825.3427035813</v>
      </c>
      <c r="PW56" s="20" t="n">
        <f aca="false">IF(AND(HU56=0,BB56=1,PV56&gt;0),MIN(PV56,BC56),0)</f>
        <v>0</v>
      </c>
      <c r="PX56" s="20" t="n">
        <f aca="false">PV56-PW56</f>
        <v>26825.3427035813</v>
      </c>
      <c r="PY56" s="20" t="n">
        <f aca="false">IF(AND(HU56=0,AR56=1,PX56&gt;0),MIN(PX56,AS56),0)</f>
        <v>0</v>
      </c>
      <c r="PZ56" s="20" t="n">
        <f aca="false">PX56-PY56</f>
        <v>26825.3427035813</v>
      </c>
      <c r="QA56" s="20" t="n">
        <f aca="false">IF(AND(HU56=0,AH56=1,PZ56&gt;0),MIN(PZ56,AI56),0)</f>
        <v>0</v>
      </c>
      <c r="QB56" s="20" t="n">
        <f aca="false">PZ56-QA56</f>
        <v>26825.3427035813</v>
      </c>
      <c r="QC56" s="20" t="n">
        <f aca="false">IF(AND(HU56=0,W56=1,QB56&gt;0),MIN(QB56,X56),0)</f>
        <v>0</v>
      </c>
      <c r="QD56" s="20" t="n">
        <f aca="false">QB56-QC56</f>
        <v>26825.3427035813</v>
      </c>
      <c r="QE56" s="20" t="n">
        <f aca="false">IF(HU56=0,QD56,0)</f>
        <v>26825.3427035813</v>
      </c>
      <c r="QF56" s="20" t="n">
        <f aca="false">OM56+OO56+QC56+QA56+PY56+PW56+PU56+PS56+PQ56+PO56+PM56+PK56+PI56+PG56+PE56+PC56+PA56+OY56+OW56+OU56+OS56+OQ56</f>
        <v>0</v>
      </c>
      <c r="QG56" s="20" t="n">
        <f aca="false">IF(HU56=1,HK56+OJ56+OI56+IF(G56=1,0,OK56),HK56-OM56)</f>
        <v>0</v>
      </c>
      <c r="QH56" s="20" t="n">
        <f aca="false">HL56-OO56</f>
        <v>0</v>
      </c>
      <c r="QI56" s="20" t="n">
        <f aca="false">IF(HU56=1,IF(G56=1,ID56+IE56,HS56),0)</f>
        <v>0</v>
      </c>
      <c r="QJ56" s="20" t="n">
        <f aca="false">IF(HU56=1,IF(G56=1,HS56-ID56-IE56,0),0)</f>
        <v>0</v>
      </c>
      <c r="QK56" s="20" t="n">
        <f aca="false">QG56*(1+GR)</f>
        <v>0</v>
      </c>
      <c r="QL56" s="20" t="n">
        <f aca="false">QH56*(1+AS_Cash)</f>
        <v>0</v>
      </c>
      <c r="QM56" s="20" t="n">
        <f aca="false">IF(W56=1,IF(HU56=1,II56+IL56,X56-QC56)*(1+Slot1_Rate),0)</f>
        <v>0</v>
      </c>
      <c r="QN56" s="20" t="n">
        <f aca="false">IF(AND(HU56=1,W56=1),(IH56+IL56)/F56,0)</f>
        <v>0</v>
      </c>
      <c r="QO56" s="20" t="n">
        <f aca="false">IF(B56=0,IH56+IL56,0)</f>
        <v>0</v>
      </c>
      <c r="QP56" s="20" t="n">
        <f aca="false">IF(B56=0,IF(HU56=1,IJ56,IK56),0)</f>
        <v>0</v>
      </c>
      <c r="QQ56" s="20" t="n">
        <f aca="false">IF(AH56=1,IF(HU56=1,IQ56+IT56,AI56-QA56)*(1+Slot2_Rate),0)</f>
        <v>0</v>
      </c>
      <c r="QR56" s="20" t="n">
        <f aca="false">IF(AND(HU56=1,AH56=1),(IP56+IT56)/F56,0)</f>
        <v>0</v>
      </c>
      <c r="QS56" s="20" t="n">
        <f aca="false">IF(B56=0,IP56+IT56,0)</f>
        <v>0</v>
      </c>
      <c r="QT56" s="20" t="n">
        <f aca="false">IF(B56=0,IF(HU56=1,IR56,IS56),0)</f>
        <v>0</v>
      </c>
      <c r="QU56" s="20" t="n">
        <f aca="false">IF(AR56=1,IF(HU56=1,IY56+JB56,AS56-PY56)*(1+Slot3_Rate),0)</f>
        <v>0</v>
      </c>
      <c r="QV56" s="20" t="n">
        <f aca="false">IF(AND(HU56=1,AR56=1),(IX56+JB56)/F56,0)</f>
        <v>0</v>
      </c>
      <c r="QW56" s="20" t="n">
        <f aca="false">IF(B56=0,IX56+JB56,0)</f>
        <v>0</v>
      </c>
      <c r="QX56" s="20" t="n">
        <f aca="false">IF(B56=0,IF(HU56=1,IZ56,JA56),0)</f>
        <v>0</v>
      </c>
      <c r="QY56" s="20" t="n">
        <f aca="false">IF(BB56=1,IF(HU56=1,JG56+JJ56,BC56-PW56)*(1+Slot4_Rate),0)</f>
        <v>0</v>
      </c>
      <c r="QZ56" s="20" t="n">
        <f aca="false">IF(AND(HU56=1,BB56=1),(JF56+JJ56)/F56,0)</f>
        <v>0</v>
      </c>
      <c r="RA56" s="20" t="n">
        <f aca="false">IF(B56=0,JF56+JJ56,0)</f>
        <v>0</v>
      </c>
      <c r="RB56" s="20" t="n">
        <f aca="false">IF(B56=0,IF(HU56=1,JH56,JI56),0)</f>
        <v>0</v>
      </c>
      <c r="RC56" s="20" t="n">
        <f aca="false">IF(BL56=1,IF(HU56=1,JO56+JR56,BM56-PU56)*(1+Slot5_Rate),0)</f>
        <v>0</v>
      </c>
      <c r="RD56" s="20" t="n">
        <f aca="false">IF(AND(HU56=1,BL56=1),(JN56+JR56)/F56,0)</f>
        <v>0</v>
      </c>
      <c r="RE56" s="20" t="n">
        <f aca="false">IF(B56=0,JN56+JR56,0)</f>
        <v>0</v>
      </c>
      <c r="RF56" s="20" t="n">
        <f aca="false">IF(B56=0,IF(HU56=1,JP56,JQ56),0)</f>
        <v>0</v>
      </c>
      <c r="RG56" s="20" t="n">
        <f aca="false">IF(BV56=1,IF(HU56=1,JW56+JZ56,BW56-PS56)*(1+Slot6_Rate),0)</f>
        <v>0</v>
      </c>
      <c r="RH56" s="20" t="n">
        <f aca="false">IF(AND(HU56=1,BV56=1),(JV56+JZ56)/F56,0)</f>
        <v>0</v>
      </c>
      <c r="RI56" s="20" t="n">
        <f aca="false">IF(B56=0,JV56+JZ56,0)</f>
        <v>0</v>
      </c>
      <c r="RJ56" s="20" t="n">
        <f aca="false">IF(B56=0,IF(HU56=1,JX56,JY56),0)</f>
        <v>0</v>
      </c>
      <c r="RK56" s="20" t="n">
        <f aca="false">IF(CF56=1,IF(HU56=1,KE56+KH56,CG56-PQ56)*(1+Slot7_Rate),0)</f>
        <v>0</v>
      </c>
      <c r="RL56" s="20" t="n">
        <f aca="false">IF(AND(HU56=1,CF56=1),(KD56+KH56)/F56,0)</f>
        <v>0</v>
      </c>
      <c r="RM56" s="20" t="n">
        <f aca="false">IF(B56=0,KD56+KH56,0)</f>
        <v>0</v>
      </c>
      <c r="RN56" s="20" t="n">
        <f aca="false">IF(B56=0,IF(HU56=1,KF56,KG56),0)</f>
        <v>0</v>
      </c>
      <c r="RO56" s="20" t="n">
        <f aca="false">IF(CP56=1,IF(HU56=1,KM56+KP56,CQ56-PO56)*(1+Slot8_Rate),0)</f>
        <v>0</v>
      </c>
      <c r="RP56" s="20" t="n">
        <f aca="false">IF(AND(HU56=1,CP56=1),(KL56+KP56)/F56,0)</f>
        <v>0</v>
      </c>
      <c r="RQ56" s="20" t="n">
        <f aca="false">IF(B56=0,KL56+KP56,0)</f>
        <v>0</v>
      </c>
      <c r="RR56" s="20" t="n">
        <f aca="false">IF(B56=0,IF(HU56=1,KN56,KO56),0)</f>
        <v>0</v>
      </c>
      <c r="RS56" s="20" t="n">
        <f aca="false">IF(CZ56=1,IF(HU56=1,KU56+KX56,DA56-PM56)*(1+Slot9_Rate),0)</f>
        <v>0</v>
      </c>
      <c r="RT56" s="20" t="n">
        <f aca="false">IF(AND(HU56=1,CZ56=1),(KT56+KX56)/F56,0)</f>
        <v>0</v>
      </c>
      <c r="RU56" s="20" t="n">
        <f aca="false">IF(B56=0,KT56+KX56,0)</f>
        <v>0</v>
      </c>
      <c r="RV56" s="20" t="n">
        <f aca="false">IF(B56=0,IF(HU56=1,KV56,KW56),0)</f>
        <v>0</v>
      </c>
      <c r="RW56" s="20" t="n">
        <f aca="false">IF(DJ56=1,IF(HU56=1,LC56+LF56,DK56-PK56)*(1+Slot10_Rate),0)</f>
        <v>0</v>
      </c>
      <c r="RX56" s="20" t="n">
        <f aca="false">IF(AND(HU56=1,DJ56=1),(LB56+LF56)/F56,0)</f>
        <v>0</v>
      </c>
      <c r="RY56" s="20" t="n">
        <f aca="false">IF(B56=0,LB56+LF56,0)</f>
        <v>0</v>
      </c>
      <c r="RZ56" s="20" t="n">
        <f aca="false">IF(B56=0,IF(HU56=1,LD56,LE56),0)</f>
        <v>0</v>
      </c>
      <c r="SA56" s="20" t="n">
        <f aca="false">IF(DT56=1,IF(HU56=1,LK56+LN56,DU56-PI56)*(1+Slot11_Rate),0)</f>
        <v>0</v>
      </c>
      <c r="SB56" s="20" t="n">
        <f aca="false">IF(AND(HU56=1,DT56=1),(LJ56+LN56)/F56,0)</f>
        <v>0</v>
      </c>
      <c r="SC56" s="20" t="n">
        <f aca="false">IF(B56=0,LJ56+LN56,0)</f>
        <v>0</v>
      </c>
      <c r="SD56" s="20" t="n">
        <f aca="false">IF(B56=0,IF(HU56=1,LL56,LM56),0)</f>
        <v>0</v>
      </c>
      <c r="SE56" s="20" t="n">
        <f aca="false">IF(ED56=1,IF(HU56=1,LS56+LV56,EE56-PG56)*(1+Slot12_Rate),0)</f>
        <v>0</v>
      </c>
      <c r="SF56" s="20" t="n">
        <f aca="false">IF(AND(HU56=1,ED56=1),(LR56+LV56)/F56,0)</f>
        <v>0</v>
      </c>
      <c r="SG56" s="20" t="n">
        <f aca="false">IF(B56=0,LR56+LV56,0)</f>
        <v>0</v>
      </c>
      <c r="SH56" s="20" t="n">
        <f aca="false">IF(B56=0,IF(HU56=1,LT56,LU56),0)</f>
        <v>0</v>
      </c>
      <c r="SI56" s="20" t="n">
        <f aca="false">IF(EN56=1,IF(HU56=1,MA56+MD56,EO56-PE56)*(1+Slot13_Rate),0)</f>
        <v>0</v>
      </c>
      <c r="SJ56" s="20" t="n">
        <f aca="false">IF(AND(HU56=1,EN56=1),(LZ56+MD56)/F56,0)</f>
        <v>0</v>
      </c>
      <c r="SK56" s="20" t="n">
        <f aca="false">IF(B56=0,LZ56+MD56,0)</f>
        <v>0</v>
      </c>
      <c r="SL56" s="20" t="n">
        <f aca="false">IF(B56=0,IF(HU56=1,MB56,MC56),0)</f>
        <v>0</v>
      </c>
      <c r="SM56" s="20" t="n">
        <f aca="false">IF(EX56=1,IF(HU56=1,MI56+ML56,EY56-PC56)*(1+Slot14_Rate),0)</f>
        <v>0</v>
      </c>
      <c r="SN56" s="20" t="n">
        <f aca="false">IF(AND(HU56=1,EX56=1),(MH56+ML56)/F56,0)</f>
        <v>0</v>
      </c>
      <c r="SO56" s="20" t="n">
        <f aca="false">IF(B56=0,MH56+ML56,0)</f>
        <v>0</v>
      </c>
      <c r="SP56" s="20" t="n">
        <f aca="false">IF(B56=0,IF(HU56=1,MJ56,MK56),0)</f>
        <v>0</v>
      </c>
      <c r="SQ56" s="20" t="n">
        <f aca="false">IF(FH56=1,IF(HU56=1,MQ56+MT56,FI56-PA56)*(1+Slot15_Rate),0)</f>
        <v>0</v>
      </c>
      <c r="SR56" s="20" t="n">
        <f aca="false">IF(AND(HU56=1,FH56=1),(MP56+MT56)/F56,0)</f>
        <v>0</v>
      </c>
      <c r="SS56" s="20" t="n">
        <f aca="false">IF(B56=0,MP56+MT56,0)</f>
        <v>0</v>
      </c>
      <c r="ST56" s="20" t="n">
        <f aca="false">IF(B56=0,IF(HU56=1,MR56,MS56),0)</f>
        <v>0</v>
      </c>
      <c r="SU56" s="20" t="n">
        <f aca="false">IF(FR56=1,IF(HU56=1,MY56+NB56,FS56-OY56)*(1+Slot16_Rate),0)</f>
        <v>0</v>
      </c>
      <c r="SV56" s="20" t="n">
        <f aca="false">IF(AND(HU56=1,FR56=1),(MX56+NB56)/F56,0)</f>
        <v>0</v>
      </c>
      <c r="SW56" s="20" t="n">
        <f aca="false">IF(B56=0,MX56+NB56,0)</f>
        <v>0</v>
      </c>
      <c r="SX56" s="20" t="n">
        <f aca="false">IF(B56=0,IF(HU56=1,MZ56,NA56),0)</f>
        <v>0</v>
      </c>
      <c r="SY56" s="20" t="n">
        <f aca="false">IF(GB56=1,IF(HU56=1,NG56+NJ56,GC56-OW56)*(1+Slot17_Rate),0)</f>
        <v>0</v>
      </c>
      <c r="SZ56" s="20" t="n">
        <f aca="false">IF(AND(HU56=1,GB56=1),(NF56+NJ56)/F56,0)</f>
        <v>0</v>
      </c>
      <c r="TA56" s="20" t="n">
        <f aca="false">IF(B56=0,NF56+NJ56,0)</f>
        <v>0</v>
      </c>
      <c r="TB56" s="20" t="n">
        <f aca="false">IF(B56=0,IF(HU56=1,NH56,NI56),0)</f>
        <v>0</v>
      </c>
      <c r="TC56" s="20" t="n">
        <f aca="false">IF(GL56=1,IF(HU56=1,NO56+NR56,GM56-OU56)*(1+Slot18_Rate),0)</f>
        <v>0</v>
      </c>
      <c r="TD56" s="20" t="n">
        <f aca="false">IF(AND(HU56=1,GL56=1),(NN56+NR56)/F56,0)</f>
        <v>0</v>
      </c>
      <c r="TE56" s="20" t="n">
        <f aca="false">IF(B56=0,NN56+NR56,0)</f>
        <v>0</v>
      </c>
      <c r="TF56" s="20" t="n">
        <f aca="false">IF(B56=0,IF(HU56=1,NP56,NQ56),0)</f>
        <v>0</v>
      </c>
      <c r="TG56" s="20" t="n">
        <f aca="false">IF(GV56=1,IF(HU56=1,NW56+NZ56,GW56-OS56)*(1+Slot19_Rate),0)</f>
        <v>0</v>
      </c>
      <c r="TH56" s="20" t="n">
        <f aca="false">IF(AND(HU56=1,GV56=1),(NV56+NZ56)/F56,0)</f>
        <v>0</v>
      </c>
      <c r="TI56" s="20" t="n">
        <f aca="false">IF(B56=0,NV56+NZ56,0)</f>
        <v>0</v>
      </c>
      <c r="TJ56" s="20" t="n">
        <f aca="false">IF(B56=0,IF(HU56=1,NX56,NY56),0)</f>
        <v>0</v>
      </c>
      <c r="TK56" s="20" t="n">
        <f aca="false">IF(HF56=1,IF(HU56=1,OE56+OH56,HG56-OQ56)*(1+Slot20_Rate),0)</f>
        <v>0</v>
      </c>
      <c r="TL56" s="20" t="n">
        <f aca="false">IF(AND(HU56=1,HF56=1),(OD56+OH56)/F56,0)</f>
        <v>0</v>
      </c>
      <c r="TM56" s="20" t="n">
        <f aca="false">IF(B56=0,OD56+OH56,0)</f>
        <v>0</v>
      </c>
      <c r="TN56" s="20" t="n">
        <f aca="false">IF(B56=0,IF(HU56=1,OF56,OG56),0)</f>
        <v>0</v>
      </c>
      <c r="TO56" s="20" t="n">
        <f aca="false">QK56+QL56+QM56+QQ56+QU56+QY56+RC56+RG56+RK56+RO56+RS56+RW56+SA56+SE56+SI56+SM56+SQ56+SU56+SY56+TC56+TG56+TK56</f>
        <v>0</v>
      </c>
      <c r="TP56" s="20" t="n">
        <f aca="false">QE56+HP56</f>
        <v>26825.3427035813</v>
      </c>
      <c r="TQ56" s="20" t="n">
        <f aca="false">I56+S56</f>
        <v>123661.964426873</v>
      </c>
      <c r="TR56" s="20" t="n">
        <f aca="false">1-G56</f>
        <v>1</v>
      </c>
      <c r="TS56" s="20" t="n">
        <f aca="false">IF(AND(RG_Exists=1,G56=0,C56=1),I56,0)</f>
        <v>123661.964426873</v>
      </c>
      <c r="TT56" s="20" t="n">
        <f aca="false">IF(AND(RG_Exists=1,G56=0,C56=1),I56-MIN(QE56,I56),0)</f>
        <v>96836.6217232915</v>
      </c>
      <c r="TU56" s="20" t="n">
        <f aca="false">'Plan pay &amp; tax'!AD282</f>
        <v>236214.953542066</v>
      </c>
      <c r="TV56" s="20" t="n">
        <f aca="false">IF(AND(C56=1,QE56&gt;MAX(PR_Short1,TQ56*PR_Short2)),1,0)</f>
        <v>1</v>
      </c>
      <c r="TW56" s="20" t="n">
        <f aca="false">MIN(H56,I56+S56)</f>
        <v>96836.6217232915</v>
      </c>
      <c r="TX56" s="20" t="n">
        <f aca="false">QF56+MAX(0,HQ56-HP56)</f>
        <v>0</v>
      </c>
      <c r="TY56" s="20" t="n">
        <f aca="false">QE56+HP56</f>
        <v>26825.3427035813</v>
      </c>
      <c r="TZ56" s="20" t="n">
        <f aca="false">IF(AND(C56=1,TY56&gt;PR_MinShort),1,0)</f>
        <v>1</v>
      </c>
      <c r="UA56" s="20" t="n">
        <f aca="false">IF(AND(C56=1,TZ56=0,TX56&gt;PR_MinShort),1,0)</f>
        <v>0</v>
      </c>
      <c r="UB56" s="20" t="n">
        <f aca="false">IF(AND(C56=1,QE56&gt;PR_MinShort),1,0)</f>
        <v>1</v>
      </c>
      <c r="UC56" s="20" t="n">
        <f aca="false">IF(AND(C56=1,QF56&gt;1,UJ56=0),1,0)</f>
        <v>0</v>
      </c>
      <c r="UD56" s="20" t="str">
        <f aca="false">IF(C56=0,"",IF(UJ56=1,"Gap to plan for: short "&amp;"€"&amp;TEXT(ROUND(TP56,0),"#,##0"),IF(QF56&gt;1,"Using savings","Comfortable")))</f>
        <v>Gap to plan for: short €26,825</v>
      </c>
      <c r="UE56" s="20" t="n">
        <f aca="false">IF(AND(INT(D56/10)*10=90,B56&gt;0),80,INT(D56/10)*10)</f>
        <v>80</v>
      </c>
      <c r="UF56" s="20" t="n">
        <f aca="false">IF(B56=0,1,IF(UE56&lt;&gt;UE55,UF55+1,UF55))</f>
        <v>6</v>
      </c>
      <c r="UG56" s="20" t="n">
        <f aca="false">IF(AND(C56=1,G56=1,QE56&gt;MAX(PR_Short1,TQ56*PR_Short2)),1,0)</f>
        <v>0</v>
      </c>
      <c r="UH56" s="20" t="n">
        <f aca="false">TR56*TV56</f>
        <v>1</v>
      </c>
      <c r="UI56" s="20" t="n">
        <f aca="false">IF(AND(V56=1,Slot1_PctLow=1),1,0)+IF(AND(AG56=1,Slot2_PctLow=1),1,0)+IF(AND(AQ56=1,Slot3_PctLow=1),1,0)+IF(AND(BA56=1,Slot4_PctLow=1),1,0)+IF(AND(BK56=1,Slot5_PctLow=1),1,0)+IF(AND(BU56=1,Slot6_PctLow=1),1,0)+IF(AND(CE56=1,Slot7_PctLow=1),1,0)+IF(AND(CO56=1,Slot8_PctLow=1),1,0)+IF(AND(CY56=1,Slot9_PctLow=1),1,0)+IF(AND(DI56=1,Slot10_PctLow=1),1,0)+IF(AND(DS56=1,Slot11_PctLow=1),1,0)+IF(AND(EC56=1,Slot12_PctLow=1),1,0)+IF(AND(EM56=1,Slot13_PctLow=1),1,0)+IF(AND(EW56=1,Slot14_PctLow=1),1,0)+IF(AND(FG56=1,Slot15_PctLow=1),1,0)+IF(AND(FQ56=1,Slot16_PctLow=1),1,0)+IF(AND(GA56=1,Slot17_PctLow=1),1,0)+IF(AND(GK56=1,Slot18_PctLow=1),1,0)+IF(AND(GU56=1,Slot19_PctLow=1),1,0)+IF(AND(HE56=1,Slot20_PctLow=1),1,0)</f>
        <v>0</v>
      </c>
      <c r="UJ56" s="20" t="n">
        <f aca="false">IF(C56=1,IF(OR(TV56=1,UI56&gt;0),1,0),0)</f>
        <v>1</v>
      </c>
    </row>
    <row r="57" customFormat="false" ht="15" hidden="false" customHeight="true" outlineLevel="0" collapsed="false">
      <c r="B57" s="20" t="n">
        <v>49</v>
      </c>
      <c r="C57" s="20" t="n">
        <f aca="false">IF(B57&lt;=F_N,1,0)</f>
        <v>1</v>
      </c>
      <c r="D57" s="20" t="n">
        <f aca="false">'Plan pay &amp; tax'!C283</f>
        <v>87</v>
      </c>
      <c r="E57" s="20" t="str">
        <f aca="false">IF($C57=1,"Income tax "&amp;TEXT(N('Plan pay &amp; tax'!BK283),"#,##0")&amp;"; USC "&amp;TEXT(N('Plan pay &amp; tax'!BM283)+N('Plan pay &amp; tax'!BO283),"#,##0")&amp;"; PRSI "&amp;TEXT(N('Plan pay &amp; tax'!BP283)+N('Plan pay &amp; tax'!BQ283),"#,##0")&amp;". DIRT and exit tax are inside the growth rates here.","")</f>
        <v>Income tax 961; USC 0; PRSI 0. DIRT and exit tax are inside the growth rates here.</v>
      </c>
      <c r="F57" s="44" t="n">
        <f aca="false">'Plan pay &amp; tax'!E283</f>
        <v>2.63881179320942</v>
      </c>
      <c r="G57" s="20" t="n">
        <f aca="false">'Plan pay &amp; tax'!G283</f>
        <v>0</v>
      </c>
      <c r="H57" s="20" t="n">
        <f aca="false">'Plan pay &amp; tax'!BT283-'Plan pay &amp; tax'!BS283-'Plan pay &amp; tax'!R283</f>
        <v>99007.4444871145</v>
      </c>
      <c r="I57" s="20" t="n">
        <f aca="false">IF(G57=1,F_CostsM*12,IF(RG_Exists=1,RG_Amount,F_CostsM*12*AS_RetireSpend))*F57+F_OneOffY*F57</f>
        <v>126135.20371541</v>
      </c>
      <c r="J57" s="20" t="n">
        <f aca="false">HR56</f>
        <v>0</v>
      </c>
      <c r="K57" s="20" t="n">
        <f aca="false">IF(J57&gt;1,'Plan debt months'!AC57,0)</f>
        <v>0</v>
      </c>
      <c r="L57" s="20" t="n">
        <f aca="false">IF(J57&gt;1,'Plan debt months'!AB57,J57)</f>
        <v>0</v>
      </c>
      <c r="M57" s="20" t="n">
        <f aca="false">O56</f>
        <v>0</v>
      </c>
      <c r="N57" s="20" t="n">
        <f aca="false">IF(M57&gt;1,'Plan debt months'!BD57,0)</f>
        <v>0</v>
      </c>
      <c r="O57" s="20" t="n">
        <f aca="false">IF(M57&gt;1,'Plan debt months'!BC57,M57)</f>
        <v>0</v>
      </c>
      <c r="P57" s="20" t="n">
        <f aca="false">R56</f>
        <v>0</v>
      </c>
      <c r="Q57" s="20" t="n">
        <f aca="false">IF(P57&gt;1,'Plan debt months'!CE57,0)</f>
        <v>0</v>
      </c>
      <c r="R57" s="20" t="n">
        <f aca="false">IF(P57&gt;1,'Plan debt months'!CD57,P57)</f>
        <v>0</v>
      </c>
      <c r="S57" s="20" t="n">
        <f aca="false">K57+N57+Q57</f>
        <v>0</v>
      </c>
      <c r="T57" s="20" t="n">
        <f aca="false">QK56+'Plan pay &amp; tax'!Y283</f>
        <v>0</v>
      </c>
      <c r="U57" s="20" t="n">
        <f aca="false">QK56</f>
        <v>0</v>
      </c>
      <c r="V57" s="20" t="n">
        <f aca="false">IF(AND(Slot1_On=1,D57=Slot1_Age),1,0)</f>
        <v>0</v>
      </c>
      <c r="W57" s="20" t="n">
        <f aca="false">IF(AND(Slot1_On=1,Slot1_Age&gt;D57),1,0)</f>
        <v>0</v>
      </c>
      <c r="X57" s="20" t="n">
        <f aca="false">QM56</f>
        <v>0</v>
      </c>
      <c r="Y57" s="20" t="n">
        <f aca="false">V57*MIN(Slot1_Cost,X57)</f>
        <v>0</v>
      </c>
      <c r="Z57" s="20" t="n">
        <f aca="false">V57*Slot1_SpendLike*MIN(Slot1_Cost-Y57,T57)</f>
        <v>0</v>
      </c>
      <c r="AA57" s="20" t="n">
        <f aca="false">Y57+Z57</f>
        <v>0</v>
      </c>
      <c r="AB57" s="20" t="n">
        <f aca="false">T57-Z57+V57*IF(Slot1_SpendLike=1,X57-Y57,IF(Slot1_PotFree=1,X57,0))</f>
        <v>0</v>
      </c>
      <c r="AC57" s="20" t="n">
        <f aca="false">AF57+V57*Slot1_BufPot*X57</f>
        <v>0</v>
      </c>
      <c r="AD57" s="20" t="n">
        <f aca="false">IF(AND(V57=1,Slot1_IsMfree=1),IF(AA57&gt;=Slot1_Cost-1,0,MAX(0,L57-AA57)),L57)</f>
        <v>0</v>
      </c>
      <c r="AE57" s="20" t="n">
        <f aca="false">V57*(Slot1_Cost-AA57)</f>
        <v>0</v>
      </c>
      <c r="AF57" s="20" t="n">
        <f aca="false">QL56</f>
        <v>0</v>
      </c>
      <c r="AG57" s="20" t="n">
        <f aca="false">IF(AND(Slot2_On=1,D57=Slot2_Age),1,0)</f>
        <v>0</v>
      </c>
      <c r="AH57" s="20" t="n">
        <f aca="false">IF(AND(Slot2_On=1,Slot2_Age&gt;D57),1,0)</f>
        <v>0</v>
      </c>
      <c r="AI57" s="20" t="n">
        <f aca="false">QQ56</f>
        <v>0</v>
      </c>
      <c r="AJ57" s="20" t="n">
        <f aca="false">AG57*MIN(Slot2_Cost,AI57)</f>
        <v>0</v>
      </c>
      <c r="AK57" s="20" t="n">
        <f aca="false">AG57*Slot2_SpendLike*MIN(Slot2_Cost-AJ57,AB57)</f>
        <v>0</v>
      </c>
      <c r="AL57" s="20" t="n">
        <f aca="false">AJ57+AK57</f>
        <v>0</v>
      </c>
      <c r="AM57" s="20" t="n">
        <f aca="false">AB57-AK57+AG57*IF(Slot2_SpendLike=1,AI57-AJ57,IF(Slot2_PotFree=1,AI57,0))</f>
        <v>0</v>
      </c>
      <c r="AN57" s="20" t="n">
        <f aca="false">AC57+AG57*Slot2_BufPot*AI57</f>
        <v>0</v>
      </c>
      <c r="AO57" s="20" t="n">
        <f aca="false">IF(AND(AG57=1,Slot2_IsMfree=1),IF(AL57&gt;=Slot2_Cost-1,0,MAX(0,AD57-AL57)),AD57)</f>
        <v>0</v>
      </c>
      <c r="AP57" s="20" t="n">
        <f aca="false">AG57*(Slot2_Cost-AL57)</f>
        <v>0</v>
      </c>
      <c r="AQ57" s="20" t="n">
        <f aca="false">IF(AND(Slot3_On=1,D57=Slot3_Age),1,0)</f>
        <v>0</v>
      </c>
      <c r="AR57" s="20" t="n">
        <f aca="false">IF(AND(Slot3_On=1,Slot3_Age&gt;D57),1,0)</f>
        <v>0</v>
      </c>
      <c r="AS57" s="20" t="n">
        <f aca="false">QU56</f>
        <v>0</v>
      </c>
      <c r="AT57" s="20" t="n">
        <f aca="false">AQ57*MIN(Slot3_Cost,AS57)</f>
        <v>0</v>
      </c>
      <c r="AU57" s="20" t="n">
        <f aca="false">AQ57*Slot3_SpendLike*MIN(Slot3_Cost-AT57,AM57)</f>
        <v>0</v>
      </c>
      <c r="AV57" s="20" t="n">
        <f aca="false">AT57+AU57</f>
        <v>0</v>
      </c>
      <c r="AW57" s="20" t="n">
        <f aca="false">AM57-AU57+AQ57*IF(Slot3_SpendLike=1,AS57-AT57,IF(Slot3_PotFree=1,AS57,0))</f>
        <v>0</v>
      </c>
      <c r="AX57" s="20" t="n">
        <f aca="false">AN57+AQ57*Slot3_BufPot*AS57</f>
        <v>0</v>
      </c>
      <c r="AY57" s="20" t="n">
        <f aca="false">IF(AND(AQ57=1,Slot3_IsMfree=1),IF(AV57&gt;=Slot3_Cost-1,0,MAX(0,AO57-AV57)),AO57)</f>
        <v>0</v>
      </c>
      <c r="AZ57" s="20" t="n">
        <f aca="false">AQ57*(Slot3_Cost-AV57)</f>
        <v>0</v>
      </c>
      <c r="BA57" s="20" t="n">
        <f aca="false">IF(AND(Slot4_On=1,D57=Slot4_Age),1,0)</f>
        <v>0</v>
      </c>
      <c r="BB57" s="20" t="n">
        <f aca="false">IF(AND(Slot4_On=1,Slot4_Age&gt;D57),1,0)</f>
        <v>0</v>
      </c>
      <c r="BC57" s="20" t="n">
        <f aca="false">QY56</f>
        <v>0</v>
      </c>
      <c r="BD57" s="20" t="n">
        <f aca="false">BA57*MIN(Slot4_Cost,BC57)</f>
        <v>0</v>
      </c>
      <c r="BE57" s="20" t="n">
        <f aca="false">BA57*Slot4_SpendLike*MIN(Slot4_Cost-BD57,AW57)</f>
        <v>0</v>
      </c>
      <c r="BF57" s="20" t="n">
        <f aca="false">BD57+BE57</f>
        <v>0</v>
      </c>
      <c r="BG57" s="20" t="n">
        <f aca="false">AW57-BE57+BA57*IF(Slot4_SpendLike=1,BC57-BD57,IF(Slot4_PotFree=1,BC57,0))</f>
        <v>0</v>
      </c>
      <c r="BH57" s="20" t="n">
        <f aca="false">AX57+BA57*Slot4_BufPot*BC57</f>
        <v>0</v>
      </c>
      <c r="BI57" s="20" t="n">
        <f aca="false">IF(AND(BA57=1,Slot4_IsMfree=1),IF(BF57&gt;=Slot4_Cost-1,0,MAX(0,AY57-BF57)),AY57)</f>
        <v>0</v>
      </c>
      <c r="BJ57" s="20" t="n">
        <f aca="false">BA57*(Slot4_Cost-BF57)</f>
        <v>0</v>
      </c>
      <c r="BK57" s="20" t="n">
        <f aca="false">IF(AND(Slot5_On=1,D57=Slot5_Age),1,0)</f>
        <v>0</v>
      </c>
      <c r="BL57" s="20" t="n">
        <f aca="false">IF(AND(Slot5_On=1,Slot5_Age&gt;D57),1,0)</f>
        <v>0</v>
      </c>
      <c r="BM57" s="20" t="n">
        <f aca="false">RC56</f>
        <v>0</v>
      </c>
      <c r="BN57" s="20" t="n">
        <f aca="false">BK57*MIN(Slot5_Cost,BM57)</f>
        <v>0</v>
      </c>
      <c r="BO57" s="20" t="n">
        <f aca="false">BK57*Slot5_SpendLike*MIN(Slot5_Cost-BN57,BG57)</f>
        <v>0</v>
      </c>
      <c r="BP57" s="20" t="n">
        <f aca="false">BN57+BO57</f>
        <v>0</v>
      </c>
      <c r="BQ57" s="20" t="n">
        <f aca="false">BG57-BO57+BK57*IF(Slot5_SpendLike=1,BM57-BN57,IF(Slot5_PotFree=1,BM57,0))</f>
        <v>0</v>
      </c>
      <c r="BR57" s="20" t="n">
        <f aca="false">BH57+BK57*Slot5_BufPot*BM57</f>
        <v>0</v>
      </c>
      <c r="BS57" s="20" t="n">
        <f aca="false">IF(AND(BK57=1,Slot5_IsMfree=1),IF(BP57&gt;=Slot5_Cost-1,0,MAX(0,BI57-BP57)),BI57)</f>
        <v>0</v>
      </c>
      <c r="BT57" s="20" t="n">
        <f aca="false">BK57*(Slot5_Cost-BP57)</f>
        <v>0</v>
      </c>
      <c r="BU57" s="20" t="n">
        <f aca="false">IF(AND(Slot6_On=1,D57=Slot6_Age),1,0)</f>
        <v>0</v>
      </c>
      <c r="BV57" s="20" t="n">
        <f aca="false">IF(AND(Slot6_On=1,Slot6_Age&gt;D57),1,0)</f>
        <v>0</v>
      </c>
      <c r="BW57" s="20" t="n">
        <f aca="false">RG56</f>
        <v>0</v>
      </c>
      <c r="BX57" s="20" t="n">
        <f aca="false">BU57*MIN(Slot6_Cost,BW57)</f>
        <v>0</v>
      </c>
      <c r="BY57" s="20" t="n">
        <f aca="false">BU57*Slot6_SpendLike*MIN(Slot6_Cost-BX57,BQ57)</f>
        <v>0</v>
      </c>
      <c r="BZ57" s="20" t="n">
        <f aca="false">BX57+BY57</f>
        <v>0</v>
      </c>
      <c r="CA57" s="20" t="n">
        <f aca="false">BQ57-BY57+BU57*IF(Slot6_SpendLike=1,BW57-BX57,IF(Slot6_PotFree=1,BW57,0))</f>
        <v>0</v>
      </c>
      <c r="CB57" s="20" t="n">
        <f aca="false">BR57+BU57*Slot6_BufPot*BW57</f>
        <v>0</v>
      </c>
      <c r="CC57" s="20" t="n">
        <f aca="false">IF(AND(BU57=1,Slot6_IsMfree=1),IF(BZ57&gt;=Slot6_Cost-1,0,MAX(0,BS57-BZ57)),BS57)</f>
        <v>0</v>
      </c>
      <c r="CD57" s="20" t="n">
        <f aca="false">BU57*(Slot6_Cost-BZ57)</f>
        <v>0</v>
      </c>
      <c r="CE57" s="20" t="n">
        <f aca="false">IF(AND(Slot7_On=1,D57=Slot7_Age),1,0)</f>
        <v>0</v>
      </c>
      <c r="CF57" s="20" t="n">
        <f aca="false">IF(AND(Slot7_On=1,Slot7_Age&gt;D57),1,0)</f>
        <v>0</v>
      </c>
      <c r="CG57" s="20" t="n">
        <f aca="false">RK56</f>
        <v>0</v>
      </c>
      <c r="CH57" s="20" t="n">
        <f aca="false">CE57*MIN(Slot7_Cost,CG57)</f>
        <v>0</v>
      </c>
      <c r="CI57" s="20" t="n">
        <f aca="false">CE57*Slot7_SpendLike*MIN(Slot7_Cost-CH57,CA57)</f>
        <v>0</v>
      </c>
      <c r="CJ57" s="20" t="n">
        <f aca="false">CH57+CI57</f>
        <v>0</v>
      </c>
      <c r="CK57" s="20" t="n">
        <f aca="false">CA57-CI57+CE57*IF(Slot7_SpendLike=1,CG57-CH57,IF(Slot7_PotFree=1,CG57,0))</f>
        <v>0</v>
      </c>
      <c r="CL57" s="20" t="n">
        <f aca="false">CB57+CE57*Slot7_BufPot*CG57</f>
        <v>0</v>
      </c>
      <c r="CM57" s="20" t="n">
        <f aca="false">IF(AND(CE57=1,Slot7_IsMfree=1),IF(CJ57&gt;=Slot7_Cost-1,0,MAX(0,CC57-CJ57)),CC57)</f>
        <v>0</v>
      </c>
      <c r="CN57" s="20" t="n">
        <f aca="false">CE57*(Slot7_Cost-CJ57)</f>
        <v>0</v>
      </c>
      <c r="CO57" s="20" t="n">
        <f aca="false">IF(AND(Slot8_On=1,D57=Slot8_Age),1,0)</f>
        <v>0</v>
      </c>
      <c r="CP57" s="20" t="n">
        <f aca="false">IF(AND(Slot8_On=1,Slot8_Age&gt;D57),1,0)</f>
        <v>0</v>
      </c>
      <c r="CQ57" s="20" t="n">
        <f aca="false">RO56</f>
        <v>0</v>
      </c>
      <c r="CR57" s="20" t="n">
        <f aca="false">CO57*MIN(Slot8_Cost,CQ57)</f>
        <v>0</v>
      </c>
      <c r="CS57" s="20" t="n">
        <f aca="false">CO57*Slot8_SpendLike*MIN(Slot8_Cost-CR57,CK57)</f>
        <v>0</v>
      </c>
      <c r="CT57" s="20" t="n">
        <f aca="false">CR57+CS57</f>
        <v>0</v>
      </c>
      <c r="CU57" s="20" t="n">
        <f aca="false">CK57-CS57+CO57*IF(Slot8_SpendLike=1,CQ57-CR57,IF(Slot8_PotFree=1,CQ57,0))</f>
        <v>0</v>
      </c>
      <c r="CV57" s="20" t="n">
        <f aca="false">CL57+CO57*Slot8_BufPot*CQ57</f>
        <v>0</v>
      </c>
      <c r="CW57" s="20" t="n">
        <f aca="false">IF(AND(CO57=1,Slot8_IsMfree=1),IF(CT57&gt;=Slot8_Cost-1,0,MAX(0,CM57-CT57)),CM57)</f>
        <v>0</v>
      </c>
      <c r="CX57" s="20" t="n">
        <f aca="false">CO57*(Slot8_Cost-CT57)</f>
        <v>0</v>
      </c>
      <c r="CY57" s="20" t="n">
        <f aca="false">IF(AND(Slot9_On=1,D57=Slot9_Age),1,0)</f>
        <v>0</v>
      </c>
      <c r="CZ57" s="20" t="n">
        <f aca="false">IF(AND(Slot9_On=1,Slot9_Age&gt;D57),1,0)</f>
        <v>0</v>
      </c>
      <c r="DA57" s="20" t="n">
        <f aca="false">RS56</f>
        <v>0</v>
      </c>
      <c r="DB57" s="20" t="n">
        <f aca="false">CY57*MIN(Slot9_Cost,DA57)</f>
        <v>0</v>
      </c>
      <c r="DC57" s="20" t="n">
        <f aca="false">CY57*Slot9_SpendLike*MIN(Slot9_Cost-DB57,CU57)</f>
        <v>0</v>
      </c>
      <c r="DD57" s="20" t="n">
        <f aca="false">DB57+DC57</f>
        <v>0</v>
      </c>
      <c r="DE57" s="20" t="n">
        <f aca="false">CU57-DC57+CY57*IF(Slot9_SpendLike=1,DA57-DB57,IF(Slot9_PotFree=1,DA57,0))</f>
        <v>0</v>
      </c>
      <c r="DF57" s="20" t="n">
        <f aca="false">CV57+CY57*Slot9_BufPot*DA57</f>
        <v>0</v>
      </c>
      <c r="DG57" s="20" t="n">
        <f aca="false">IF(AND(CY57=1,Slot9_IsMfree=1),IF(DD57&gt;=Slot9_Cost-1,0,MAX(0,CW57-DD57)),CW57)</f>
        <v>0</v>
      </c>
      <c r="DH57" s="20" t="n">
        <f aca="false">CY57*(Slot9_Cost-DD57)</f>
        <v>0</v>
      </c>
      <c r="DI57" s="20" t="n">
        <f aca="false">IF(AND(Slot10_On=1,D57=Slot10_Age),1,0)</f>
        <v>0</v>
      </c>
      <c r="DJ57" s="20" t="n">
        <f aca="false">IF(AND(Slot10_On=1,Slot10_Age&gt;D57),1,0)</f>
        <v>0</v>
      </c>
      <c r="DK57" s="20" t="n">
        <f aca="false">RW56</f>
        <v>0</v>
      </c>
      <c r="DL57" s="20" t="n">
        <f aca="false">DI57*MIN(Slot10_Cost,DK57)</f>
        <v>0</v>
      </c>
      <c r="DM57" s="20" t="n">
        <f aca="false">DI57*Slot10_SpendLike*MIN(Slot10_Cost-DL57,DE57)</f>
        <v>0</v>
      </c>
      <c r="DN57" s="20" t="n">
        <f aca="false">DL57+DM57</f>
        <v>0</v>
      </c>
      <c r="DO57" s="20" t="n">
        <f aca="false">DE57-DM57+DI57*IF(Slot10_SpendLike=1,DK57-DL57,IF(Slot10_PotFree=1,DK57,0))</f>
        <v>0</v>
      </c>
      <c r="DP57" s="20" t="n">
        <f aca="false">DF57+DI57*Slot10_BufPot*DK57</f>
        <v>0</v>
      </c>
      <c r="DQ57" s="20" t="n">
        <f aca="false">IF(AND(DI57=1,Slot10_IsMfree=1),IF(DN57&gt;=Slot10_Cost-1,0,MAX(0,DG57-DN57)),DG57)</f>
        <v>0</v>
      </c>
      <c r="DR57" s="20" t="n">
        <f aca="false">DI57*(Slot10_Cost-DN57)</f>
        <v>0</v>
      </c>
      <c r="DS57" s="20" t="n">
        <f aca="false">IF(AND(Slot11_On=1,D57=Slot11_Age),1,0)</f>
        <v>0</v>
      </c>
      <c r="DT57" s="20" t="n">
        <f aca="false">IF(AND(Slot11_On=1,Slot11_Age&gt;D57),1,0)</f>
        <v>0</v>
      </c>
      <c r="DU57" s="20" t="n">
        <f aca="false">SA56</f>
        <v>0</v>
      </c>
      <c r="DV57" s="20" t="n">
        <f aca="false">DS57*MIN(Slot11_Cost,DU57)</f>
        <v>0</v>
      </c>
      <c r="DW57" s="20" t="n">
        <f aca="false">DS57*Slot11_SpendLike*MIN(Slot11_Cost-DV57,DO57)</f>
        <v>0</v>
      </c>
      <c r="DX57" s="20" t="n">
        <f aca="false">DV57+DW57</f>
        <v>0</v>
      </c>
      <c r="DY57" s="20" t="n">
        <f aca="false">DO57-DW57+DS57*IF(Slot11_SpendLike=1,DU57-DV57,IF(Slot11_PotFree=1,DU57,0))</f>
        <v>0</v>
      </c>
      <c r="DZ57" s="20" t="n">
        <f aca="false">DP57+DS57*Slot11_BufPot*DU57</f>
        <v>0</v>
      </c>
      <c r="EA57" s="20" t="n">
        <f aca="false">IF(AND(DS57=1,Slot11_IsMfree=1),IF(DX57&gt;=Slot11_Cost-1,0,MAX(0,DQ57-DX57)),DQ57)</f>
        <v>0</v>
      </c>
      <c r="EB57" s="20" t="n">
        <f aca="false">DS57*(Slot11_Cost-DX57)</f>
        <v>0</v>
      </c>
      <c r="EC57" s="20" t="n">
        <f aca="false">IF(AND(Slot12_On=1,D57=Slot12_Age),1,0)</f>
        <v>0</v>
      </c>
      <c r="ED57" s="20" t="n">
        <f aca="false">IF(AND(Slot12_On=1,Slot12_Age&gt;D57),1,0)</f>
        <v>0</v>
      </c>
      <c r="EE57" s="20" t="n">
        <f aca="false">SE56</f>
        <v>0</v>
      </c>
      <c r="EF57" s="20" t="n">
        <f aca="false">EC57*MIN(Slot12_Cost,EE57)</f>
        <v>0</v>
      </c>
      <c r="EG57" s="20" t="n">
        <f aca="false">EC57*Slot12_SpendLike*MIN(Slot12_Cost-EF57,DY57)</f>
        <v>0</v>
      </c>
      <c r="EH57" s="20" t="n">
        <f aca="false">EF57+EG57</f>
        <v>0</v>
      </c>
      <c r="EI57" s="20" t="n">
        <f aca="false">DY57-EG57+EC57*IF(Slot12_SpendLike=1,EE57-EF57,IF(Slot12_PotFree=1,EE57,0))</f>
        <v>0</v>
      </c>
      <c r="EJ57" s="20" t="n">
        <f aca="false">DZ57+EC57*Slot12_BufPot*EE57</f>
        <v>0</v>
      </c>
      <c r="EK57" s="20" t="n">
        <f aca="false">IF(AND(EC57=1,Slot12_IsMfree=1),IF(EH57&gt;=Slot12_Cost-1,0,MAX(0,EA57-EH57)),EA57)</f>
        <v>0</v>
      </c>
      <c r="EL57" s="20" t="n">
        <f aca="false">EC57*(Slot12_Cost-EH57)</f>
        <v>0</v>
      </c>
      <c r="EM57" s="20" t="n">
        <f aca="false">IF(AND(Slot13_On=1,D57=Slot13_Age),1,0)</f>
        <v>0</v>
      </c>
      <c r="EN57" s="20" t="n">
        <f aca="false">IF(AND(Slot13_On=1,Slot13_Age&gt;D57),1,0)</f>
        <v>0</v>
      </c>
      <c r="EO57" s="20" t="n">
        <f aca="false">SI56</f>
        <v>0</v>
      </c>
      <c r="EP57" s="20" t="n">
        <f aca="false">EM57*MIN(Slot13_Cost,EO57)</f>
        <v>0</v>
      </c>
      <c r="EQ57" s="20" t="n">
        <f aca="false">EM57*Slot13_SpendLike*MIN(Slot13_Cost-EP57,EI57)</f>
        <v>0</v>
      </c>
      <c r="ER57" s="20" t="n">
        <f aca="false">EP57+EQ57</f>
        <v>0</v>
      </c>
      <c r="ES57" s="20" t="n">
        <f aca="false">EI57-EQ57+EM57*IF(Slot13_SpendLike=1,EO57-EP57,IF(Slot13_PotFree=1,EO57,0))</f>
        <v>0</v>
      </c>
      <c r="ET57" s="20" t="n">
        <f aca="false">EJ57+EM57*Slot13_BufPot*EO57</f>
        <v>0</v>
      </c>
      <c r="EU57" s="20" t="n">
        <f aca="false">IF(AND(EM57=1,Slot13_IsMfree=1),IF(ER57&gt;=Slot13_Cost-1,0,MAX(0,EK57-ER57)),EK57)</f>
        <v>0</v>
      </c>
      <c r="EV57" s="20" t="n">
        <f aca="false">EM57*(Slot13_Cost-ER57)</f>
        <v>0</v>
      </c>
      <c r="EW57" s="20" t="n">
        <f aca="false">IF(AND(Slot14_On=1,D57=Slot14_Age),1,0)</f>
        <v>0</v>
      </c>
      <c r="EX57" s="20" t="n">
        <f aca="false">IF(AND(Slot14_On=1,Slot14_Age&gt;D57),1,0)</f>
        <v>0</v>
      </c>
      <c r="EY57" s="20" t="n">
        <f aca="false">SM56</f>
        <v>0</v>
      </c>
      <c r="EZ57" s="20" t="n">
        <f aca="false">EW57*MIN(Slot14_Cost,EY57)</f>
        <v>0</v>
      </c>
      <c r="FA57" s="20" t="n">
        <f aca="false">EW57*Slot14_SpendLike*MIN(Slot14_Cost-EZ57,ES57)</f>
        <v>0</v>
      </c>
      <c r="FB57" s="20" t="n">
        <f aca="false">EZ57+FA57</f>
        <v>0</v>
      </c>
      <c r="FC57" s="20" t="n">
        <f aca="false">ES57-FA57+EW57*IF(Slot14_SpendLike=1,EY57-EZ57,IF(Slot14_PotFree=1,EY57,0))</f>
        <v>0</v>
      </c>
      <c r="FD57" s="20" t="n">
        <f aca="false">ET57+EW57*Slot14_BufPot*EY57</f>
        <v>0</v>
      </c>
      <c r="FE57" s="20" t="n">
        <f aca="false">IF(AND(EW57=1,Slot14_IsMfree=1),IF(FB57&gt;=Slot14_Cost-1,0,MAX(0,EU57-FB57)),EU57)</f>
        <v>0</v>
      </c>
      <c r="FF57" s="20" t="n">
        <f aca="false">EW57*(Slot14_Cost-FB57)</f>
        <v>0</v>
      </c>
      <c r="FG57" s="20" t="n">
        <f aca="false">IF(AND(Slot15_On=1,D57=Slot15_Age),1,0)</f>
        <v>0</v>
      </c>
      <c r="FH57" s="20" t="n">
        <f aca="false">IF(AND(Slot15_On=1,Slot15_Age&gt;D57),1,0)</f>
        <v>0</v>
      </c>
      <c r="FI57" s="20" t="n">
        <f aca="false">SQ56</f>
        <v>0</v>
      </c>
      <c r="FJ57" s="20" t="n">
        <f aca="false">FG57*MIN(Slot15_Cost,FI57)</f>
        <v>0</v>
      </c>
      <c r="FK57" s="20" t="n">
        <f aca="false">FG57*Slot15_SpendLike*MIN(Slot15_Cost-FJ57,FC57)</f>
        <v>0</v>
      </c>
      <c r="FL57" s="20" t="n">
        <f aca="false">FJ57+FK57</f>
        <v>0</v>
      </c>
      <c r="FM57" s="20" t="n">
        <f aca="false">FC57-FK57+FG57*IF(Slot15_SpendLike=1,FI57-FJ57,IF(Slot15_PotFree=1,FI57,0))</f>
        <v>0</v>
      </c>
      <c r="FN57" s="20" t="n">
        <f aca="false">FD57+FG57*Slot15_BufPot*FI57</f>
        <v>0</v>
      </c>
      <c r="FO57" s="20" t="n">
        <f aca="false">IF(AND(FG57=1,Slot15_IsMfree=1),IF(FL57&gt;=Slot15_Cost-1,0,MAX(0,FE57-FL57)),FE57)</f>
        <v>0</v>
      </c>
      <c r="FP57" s="20" t="n">
        <f aca="false">FG57*(Slot15_Cost-FL57)</f>
        <v>0</v>
      </c>
      <c r="FQ57" s="20" t="n">
        <f aca="false">IF(AND(Slot16_On=1,D57=Slot16_Age),1,0)</f>
        <v>0</v>
      </c>
      <c r="FR57" s="20" t="n">
        <f aca="false">IF(AND(Slot16_On=1,Slot16_Age&gt;D57),1,0)</f>
        <v>0</v>
      </c>
      <c r="FS57" s="20" t="n">
        <f aca="false">SU56</f>
        <v>0</v>
      </c>
      <c r="FT57" s="20" t="n">
        <f aca="false">FQ57*MIN(Slot16_Cost,FS57)</f>
        <v>0</v>
      </c>
      <c r="FU57" s="20" t="n">
        <f aca="false">FQ57*Slot16_SpendLike*MIN(Slot16_Cost-FT57,FM57)</f>
        <v>0</v>
      </c>
      <c r="FV57" s="20" t="n">
        <f aca="false">FT57+FU57</f>
        <v>0</v>
      </c>
      <c r="FW57" s="20" t="n">
        <f aca="false">FM57-FU57+FQ57*IF(Slot16_SpendLike=1,FS57-FT57,IF(Slot16_PotFree=1,FS57,0))</f>
        <v>0</v>
      </c>
      <c r="FX57" s="20" t="n">
        <f aca="false">FN57+FQ57*Slot16_BufPot*FS57</f>
        <v>0</v>
      </c>
      <c r="FY57" s="20" t="n">
        <f aca="false">IF(AND(FQ57=1,Slot16_IsMfree=1),IF(FV57&gt;=Slot16_Cost-1,0,MAX(0,FO57-FV57)),FO57)</f>
        <v>0</v>
      </c>
      <c r="FZ57" s="20" t="n">
        <f aca="false">FQ57*(Slot16_Cost-FV57)</f>
        <v>0</v>
      </c>
      <c r="GA57" s="20" t="n">
        <f aca="false">IF(AND(Slot17_On=1,D57=Slot17_Age),1,0)</f>
        <v>0</v>
      </c>
      <c r="GB57" s="20" t="n">
        <f aca="false">IF(AND(Slot17_On=1,Slot17_Age&gt;D57),1,0)</f>
        <v>0</v>
      </c>
      <c r="GC57" s="20" t="n">
        <f aca="false">SY56</f>
        <v>0</v>
      </c>
      <c r="GD57" s="20" t="n">
        <f aca="false">GA57*MIN(Slot17_Cost,GC57)</f>
        <v>0</v>
      </c>
      <c r="GE57" s="20" t="n">
        <f aca="false">GA57*Slot17_SpendLike*MIN(Slot17_Cost-GD57,FW57)</f>
        <v>0</v>
      </c>
      <c r="GF57" s="20" t="n">
        <f aca="false">GD57+GE57</f>
        <v>0</v>
      </c>
      <c r="GG57" s="20" t="n">
        <f aca="false">FW57-GE57+GA57*IF(Slot17_SpendLike=1,GC57-GD57,IF(Slot17_PotFree=1,GC57,0))</f>
        <v>0</v>
      </c>
      <c r="GH57" s="20" t="n">
        <f aca="false">FX57+GA57*Slot17_BufPot*GC57</f>
        <v>0</v>
      </c>
      <c r="GI57" s="20" t="n">
        <f aca="false">IF(AND(GA57=1,Slot17_IsMfree=1),IF(GF57&gt;=Slot17_Cost-1,0,MAX(0,FY57-GF57)),FY57)</f>
        <v>0</v>
      </c>
      <c r="GJ57" s="20" t="n">
        <f aca="false">GA57*(Slot17_Cost-GF57)</f>
        <v>0</v>
      </c>
      <c r="GK57" s="20" t="n">
        <f aca="false">IF(AND(Slot18_On=1,D57=Slot18_Age),1,0)</f>
        <v>0</v>
      </c>
      <c r="GL57" s="20" t="n">
        <f aca="false">IF(AND(Slot18_On=1,Slot18_Age&gt;D57),1,0)</f>
        <v>0</v>
      </c>
      <c r="GM57" s="20" t="n">
        <f aca="false">TC56</f>
        <v>0</v>
      </c>
      <c r="GN57" s="20" t="n">
        <f aca="false">GK57*MIN(Slot18_Cost,GM57)</f>
        <v>0</v>
      </c>
      <c r="GO57" s="20" t="n">
        <f aca="false">GK57*Slot18_SpendLike*MIN(Slot18_Cost-GN57,GG57)</f>
        <v>0</v>
      </c>
      <c r="GP57" s="20" t="n">
        <f aca="false">GN57+GO57</f>
        <v>0</v>
      </c>
      <c r="GQ57" s="20" t="n">
        <f aca="false">GG57-GO57+GK57*IF(Slot18_SpendLike=1,GM57-GN57,IF(Slot18_PotFree=1,GM57,0))</f>
        <v>0</v>
      </c>
      <c r="GR57" s="20" t="n">
        <f aca="false">GH57+GK57*Slot18_BufPot*GM57</f>
        <v>0</v>
      </c>
      <c r="GS57" s="20" t="n">
        <f aca="false">IF(AND(GK57=1,Slot18_IsMfree=1),IF(GP57&gt;=Slot18_Cost-1,0,MAX(0,GI57-GP57)),GI57)</f>
        <v>0</v>
      </c>
      <c r="GT57" s="20" t="n">
        <f aca="false">GK57*(Slot18_Cost-GP57)</f>
        <v>0</v>
      </c>
      <c r="GU57" s="20" t="n">
        <f aca="false">IF(AND(Slot19_On=1,D57=Slot19_Age),1,0)</f>
        <v>0</v>
      </c>
      <c r="GV57" s="20" t="n">
        <f aca="false">IF(AND(Slot19_On=1,Slot19_Age&gt;D57),1,0)</f>
        <v>0</v>
      </c>
      <c r="GW57" s="20" t="n">
        <f aca="false">TG56</f>
        <v>0</v>
      </c>
      <c r="GX57" s="20" t="n">
        <f aca="false">GU57*MIN(Slot19_Cost,GW57)</f>
        <v>0</v>
      </c>
      <c r="GY57" s="20" t="n">
        <f aca="false">GU57*Slot19_SpendLike*MIN(Slot19_Cost-GX57,GQ57)</f>
        <v>0</v>
      </c>
      <c r="GZ57" s="20" t="n">
        <f aca="false">GX57+GY57</f>
        <v>0</v>
      </c>
      <c r="HA57" s="20" t="n">
        <f aca="false">GQ57-GY57+GU57*IF(Slot19_SpendLike=1,GW57-GX57,IF(Slot19_PotFree=1,GW57,0))</f>
        <v>0</v>
      </c>
      <c r="HB57" s="20" t="n">
        <f aca="false">GR57+GU57*Slot19_BufPot*GW57</f>
        <v>0</v>
      </c>
      <c r="HC57" s="20" t="n">
        <f aca="false">IF(AND(GU57=1,Slot19_IsMfree=1),IF(GZ57&gt;=Slot19_Cost-1,0,MAX(0,GS57-GZ57)),GS57)</f>
        <v>0</v>
      </c>
      <c r="HD57" s="20" t="n">
        <f aca="false">GU57*(Slot19_Cost-GZ57)</f>
        <v>0</v>
      </c>
      <c r="HE57" s="20" t="n">
        <f aca="false">IF(AND(Slot20_On=1,D57=Slot20_Age),1,0)</f>
        <v>0</v>
      </c>
      <c r="HF57" s="20" t="n">
        <f aca="false">IF(AND(Slot20_On=1,Slot20_Age&gt;D57),1,0)</f>
        <v>0</v>
      </c>
      <c r="HG57" s="20" t="n">
        <f aca="false">TK56</f>
        <v>0</v>
      </c>
      <c r="HH57" s="20" t="n">
        <f aca="false">HE57*MIN(Slot20_Cost,HG57)</f>
        <v>0</v>
      </c>
      <c r="HI57" s="20" t="n">
        <f aca="false">HE57*Slot20_SpendLike*MIN(Slot20_Cost-HH57,HA57)</f>
        <v>0</v>
      </c>
      <c r="HJ57" s="20" t="n">
        <f aca="false">HH57+HI57</f>
        <v>0</v>
      </c>
      <c r="HK57" s="20" t="n">
        <f aca="false">HA57-HI57+HE57*IF(Slot20_SpendLike=1,HG57-HH57,IF(Slot20_PotFree=1,HG57,0))</f>
        <v>0</v>
      </c>
      <c r="HL57" s="20" t="n">
        <f aca="false">HB57+HE57*Slot20_BufPot*HG57</f>
        <v>0</v>
      </c>
      <c r="HM57" s="20" t="n">
        <f aca="false">IF(AND(HE57=1,Slot20_IsMfree=1),IF(HJ57&gt;=Slot20_Cost-1,0,MAX(0,HC57-HJ57)),HC57)</f>
        <v>0</v>
      </c>
      <c r="HN57" s="20" t="n">
        <f aca="false">HE57*(Slot20_Cost-HJ57)</f>
        <v>0</v>
      </c>
      <c r="HO57" s="20" t="n">
        <f aca="false">V57*Slot1_SpendLike*AA57+AG57*Slot2_SpendLike*AL57+AQ57*Slot3_SpendLike*AV57+BA57*Slot4_SpendLike*BF57+BK57*Slot5_SpendLike*BP57+BU57*Slot6_SpendLike*BZ57+CE57*Slot7_SpendLike*CJ57+CO57*Slot8_SpendLike*CT57+CY57*Slot9_SpendLike*DD57+DI57*Slot10_SpendLike*DN57+DS57*Slot11_SpendLike*DX57+EC57*Slot12_SpendLike*EH57+EM57*Slot13_SpendLike*ER57+EW57*Slot14_SpendLike*FB57+FG57*Slot15_SpendLike*FL57+FQ57*Slot16_SpendLike*FV57+GA57*Slot17_SpendLike*GF57+GK57*Slot18_SpendLike*GP57+GU57*Slot19_SpendLike*GZ57+HE57*Slot20_SpendLike*HJ57</f>
        <v>0</v>
      </c>
      <c r="HP57" s="20" t="n">
        <f aca="false">AE57+AP57+AZ57+BJ57+BT57+CD57+CN57+CX57+DH57+DR57+EB57+EL57+EV57+FF57+FP57+FZ57+GJ57+GT57+HD57+HN57</f>
        <v>0</v>
      </c>
      <c r="HQ57" s="20" t="n">
        <f aca="false">V57*Slot1_Cost+AG57*Slot2_Cost+AQ57*Slot3_Cost+BA57*Slot4_Cost+BK57*Slot5_Cost+BU57*Slot6_Cost+CE57*Slot7_Cost+CO57*Slot8_Cost+CY57*Slot9_Cost+DI57*Slot10_Cost+DS57*Slot11_Cost+EC57*Slot12_Cost+EM57*Slot13_Cost+EW57*Slot14_Cost+FG57*Slot15_Cost+FQ57*Slot16_Cost+GA57*Slot17_Cost+GK57*Slot18_Cost+GU57*Slot19_Cost+HE57*Slot20_Cost</f>
        <v>0</v>
      </c>
      <c r="HR57" s="20" t="n">
        <f aca="false">HM57</f>
        <v>0</v>
      </c>
      <c r="HS57" s="20" t="n">
        <f aca="false">H57-I57-S57</f>
        <v>-27127.7592282958</v>
      </c>
      <c r="HT57" s="20" t="n">
        <f aca="false">IF(B57=0,IF(AND(Has_q6=1,In_q6=4),PR_ShareVaries*(MAX(0,HS57)/12),MIN(IF(Has_q6=1,CHOOSE(In_q6+1,PR_SaveB1,PR_SaveB2,PR_SaveB3,PR_SaveB4,0),AS_NoAnswer),AS_SaveShare*(MAX(0,HS57)/12))),HT56)</f>
        <v>62.3316893520437</v>
      </c>
      <c r="HU57" s="20" t="n">
        <f aca="false">IF(HS57&gt;=0,1,0)</f>
        <v>0</v>
      </c>
      <c r="HV57" s="20" t="n">
        <f aca="false">MAX(0,HS57/12/F57)</f>
        <v>0</v>
      </c>
      <c r="HW57" s="20" t="n">
        <f aca="false">IF(AND(Has_q6=1,In_q6=4),PR_ShareVaries*(HV57),MIN(IF(Has_q6=1,CHOOSE(In_q6+1,PR_SaveB1,PR_SaveB2,PR_SaveB3,PR_SaveB4,0),AS_NoAnswer),AS_SaveShare*(HV57)))</f>
        <v>0</v>
      </c>
      <c r="HX57" s="20" t="n">
        <f aca="false">IF(Has_saveM=1,IF(In_saveUp="Yes",1,IF(In_saveUp="No",0,IF(In_saveM&gt;=HT57-0.5,1,0))),0)</f>
        <v>0</v>
      </c>
      <c r="HY57" s="20" t="n">
        <f aca="false">IF(Has_saveM=1,MIN(HV57,IF(HX57=1,MAX(In_saveM,HW57),MIN(In_saveM,HW57))),HW57)</f>
        <v>0</v>
      </c>
      <c r="HZ57" s="20" t="n">
        <f aca="false">IF(G57=1,HY57*12*F57,0)</f>
        <v>0</v>
      </c>
      <c r="IA57" s="20" t="n">
        <f aca="false">MAX(0,HZ57+IF(AND(WI_Retire=0,WI_M&lt;0,G57=1),WI_M*12*F57,0))</f>
        <v>0</v>
      </c>
      <c r="IB57" s="20" t="n">
        <f aca="false">Slot1_IsWG*W57+Slot2_IsWG*AH57+Slot3_IsWG*AR57+Slot4_IsWG*BB57+Slot5_IsWG*BL57+Slot6_IsWG*BV57+Slot7_IsWG*CF57+Slot8_IsWG*CP57+Slot9_IsWG*CZ57+Slot10_IsWG*DJ57+Slot11_IsWG*DT57+Slot12_IsWG*ED57+Slot13_IsWG*EN57+Slot14_IsWG*EX57+Slot15_IsWG*FH57+Slot16_IsWG*FR57+Slot17_IsWG*GB57+Slot18_IsWG*GL57+Slot19_IsWG*GV57+Slot20_IsWG*HF57</f>
        <v>0</v>
      </c>
      <c r="IC57" s="20" t="n">
        <f aca="false">IF(AND(WI_Retire=0,WI_M&gt;0,G57=1,IB57&gt;=1),WI_M*12*F57,0)</f>
        <v>0</v>
      </c>
      <c r="ID57" s="20" t="n">
        <f aca="false">IF(HU57=1,MIN(IA57,HS57),0)</f>
        <v>0</v>
      </c>
      <c r="IE57" s="20" t="n">
        <f aca="false">IF(HU57=1,MIN(IC57,HS57-ID57),0)</f>
        <v>0</v>
      </c>
      <c r="IF57" s="20" t="n">
        <f aca="false">IF(W57=1,IF(ABS((1+AS_Wage)/(1+Slot1_Rate)-1)&lt;0.000000000001,(Slot1_Age-D57)*(1+Slot1_Rate)^(Slot1_Age-D57),(1+Slot1_Rate)^(Slot1_Age-D57)*(1-((1+AS_Wage)/(1+Slot1_Rate))^(Slot1_Age-D57))/(1-(1+AS_Wage)/(1+Slot1_Rate))),1)</f>
        <v>1</v>
      </c>
      <c r="IG57" s="20" t="n">
        <f aca="false">IF(AND(HU57=1,IE57&gt;0,Slot1_IsWG=1,W57=1),MAX(0,(Slot1_Cost-X57*(1+Slot1_Rate)^(Slot1_Age-D57))/IF57),0)</f>
        <v>0</v>
      </c>
      <c r="IH57" s="20" t="n">
        <f aca="false">IF(AND(HU57=1,IE57&gt;0,Slot1_IsWG=1,W57=1),MIN(IE57,IG57),0)</f>
        <v>0</v>
      </c>
      <c r="II57" s="20" t="n">
        <f aca="false">X57+IH57</f>
        <v>0</v>
      </c>
      <c r="IJ57" s="20" t="n">
        <f aca="false">IF(W57=1,MAX(0,(Slot1_Cost-II57*(1+Slot1_Rate)^(Slot1_Age-D57))/IF57),0)</f>
        <v>0</v>
      </c>
      <c r="IK57" s="20" t="n">
        <f aca="false">IF(W57=1,MAX(0,(Slot1_Cost-X57*(1+Slot1_Rate)^(Slot1_Age-D57))/IF57),0)</f>
        <v>0</v>
      </c>
      <c r="IL57" s="20" t="n">
        <f aca="false">IF(AND(HU57=1,W57=1),MIN(ID57,IJ57),0)</f>
        <v>0</v>
      </c>
      <c r="IM57" s="20" t="n">
        <f aca="false">ID57-IL57</f>
        <v>0</v>
      </c>
      <c r="IN57" s="20" t="n">
        <f aca="false">IF(AH57=1,IF(ABS((1+AS_Wage)/(1+Slot2_Rate)-1)&lt;0.000000000001,(Slot2_Age-D57)*(1+Slot2_Rate)^(Slot2_Age-D57),(1+Slot2_Rate)^(Slot2_Age-D57)*(1-((1+AS_Wage)/(1+Slot2_Rate))^(Slot2_Age-D57))/(1-(1+AS_Wage)/(1+Slot2_Rate))),1)</f>
        <v>1</v>
      </c>
      <c r="IO57" s="20" t="n">
        <f aca="false">IF(AND(HU57=1,IE57&gt;0,Slot2_IsWG=1,AH57=1),MAX(0,(Slot2_Cost-AI57*(1+Slot2_Rate)^(Slot2_Age-D57))/IN57),0)</f>
        <v>0</v>
      </c>
      <c r="IP57" s="20" t="n">
        <f aca="false">IF(AND(HU57=1,IE57&gt;0,Slot2_IsWG=1,AH57=1),MIN(IE57,IO57),0)</f>
        <v>0</v>
      </c>
      <c r="IQ57" s="20" t="n">
        <f aca="false">AI57+IP57</f>
        <v>0</v>
      </c>
      <c r="IR57" s="20" t="n">
        <f aca="false">IF(AH57=1,MAX(0,(Slot2_Cost-IQ57*(1+Slot2_Rate)^(Slot2_Age-D57))/IN57),0)</f>
        <v>0</v>
      </c>
      <c r="IS57" s="20" t="n">
        <f aca="false">IF(AH57=1,MAX(0,(Slot2_Cost-AI57*(1+Slot2_Rate)^(Slot2_Age-D57))/IN57),0)</f>
        <v>0</v>
      </c>
      <c r="IT57" s="20" t="n">
        <f aca="false">IF(AND(HU57=1,AH57=1),MIN(IM57,IR57),0)</f>
        <v>0</v>
      </c>
      <c r="IU57" s="20" t="n">
        <f aca="false">IM57-IT57</f>
        <v>0</v>
      </c>
      <c r="IV57" s="20" t="n">
        <f aca="false">IF(AR57=1,IF(ABS((1+AS_Wage)/(1+Slot3_Rate)-1)&lt;0.000000000001,(Slot3_Age-D57)*(1+Slot3_Rate)^(Slot3_Age-D57),(1+Slot3_Rate)^(Slot3_Age-D57)*(1-((1+AS_Wage)/(1+Slot3_Rate))^(Slot3_Age-D57))/(1-(1+AS_Wage)/(1+Slot3_Rate))),1)</f>
        <v>1</v>
      </c>
      <c r="IW57" s="20" t="n">
        <f aca="false">IF(AND(HU57=1,IE57&gt;0,Slot3_IsWG=1,AR57=1),MAX(0,(Slot3_Cost-AS57*(1+Slot3_Rate)^(Slot3_Age-D57))/IV57),0)</f>
        <v>0</v>
      </c>
      <c r="IX57" s="20" t="n">
        <f aca="false">IF(AND(HU57=1,IE57&gt;0,Slot3_IsWG=1,AR57=1),MIN(IE57,IW57),0)</f>
        <v>0</v>
      </c>
      <c r="IY57" s="20" t="n">
        <f aca="false">AS57+IX57</f>
        <v>0</v>
      </c>
      <c r="IZ57" s="20" t="n">
        <f aca="false">IF(AR57=1,MAX(0,(Slot3_Cost-IY57*(1+Slot3_Rate)^(Slot3_Age-D57))/IV57),0)</f>
        <v>0</v>
      </c>
      <c r="JA57" s="20" t="n">
        <f aca="false">IF(AR57=1,MAX(0,(Slot3_Cost-AS57*(1+Slot3_Rate)^(Slot3_Age-D57))/IV57),0)</f>
        <v>0</v>
      </c>
      <c r="JB57" s="20" t="n">
        <f aca="false">IF(AND(HU57=1,AR57=1),MIN(IU57,IZ57),0)</f>
        <v>0</v>
      </c>
      <c r="JC57" s="20" t="n">
        <f aca="false">IU57-JB57</f>
        <v>0</v>
      </c>
      <c r="JD57" s="20" t="n">
        <f aca="false">IF(BB57=1,IF(ABS((1+AS_Wage)/(1+Slot4_Rate)-1)&lt;0.000000000001,(Slot4_Age-D57)*(1+Slot4_Rate)^(Slot4_Age-D57),(1+Slot4_Rate)^(Slot4_Age-D57)*(1-((1+AS_Wage)/(1+Slot4_Rate))^(Slot4_Age-D57))/(1-(1+AS_Wage)/(1+Slot4_Rate))),1)</f>
        <v>1</v>
      </c>
      <c r="JE57" s="20" t="n">
        <f aca="false">IF(AND(HU57=1,IE57&gt;0,Slot4_IsWG=1,BB57=1),MAX(0,(Slot4_Cost-BC57*(1+Slot4_Rate)^(Slot4_Age-D57))/JD57),0)</f>
        <v>0</v>
      </c>
      <c r="JF57" s="20" t="n">
        <f aca="false">IF(AND(HU57=1,IE57&gt;0,Slot4_IsWG=1,BB57=1),MIN(IE57,JE57),0)</f>
        <v>0</v>
      </c>
      <c r="JG57" s="20" t="n">
        <f aca="false">BC57+JF57</f>
        <v>0</v>
      </c>
      <c r="JH57" s="20" t="n">
        <f aca="false">IF(BB57=1,MAX(0,(Slot4_Cost-JG57*(1+Slot4_Rate)^(Slot4_Age-D57))/JD57),0)</f>
        <v>0</v>
      </c>
      <c r="JI57" s="20" t="n">
        <f aca="false">IF(BB57=1,MAX(0,(Slot4_Cost-BC57*(1+Slot4_Rate)^(Slot4_Age-D57))/JD57),0)</f>
        <v>0</v>
      </c>
      <c r="JJ57" s="20" t="n">
        <f aca="false">IF(AND(HU57=1,BB57=1),MIN(JC57,JH57),0)</f>
        <v>0</v>
      </c>
      <c r="JK57" s="20" t="n">
        <f aca="false">JC57-JJ57</f>
        <v>0</v>
      </c>
      <c r="JL57" s="20" t="n">
        <f aca="false">IF(BL57=1,IF(ABS((1+AS_Wage)/(1+Slot5_Rate)-1)&lt;0.000000000001,(Slot5_Age-D57)*(1+Slot5_Rate)^(Slot5_Age-D57),(1+Slot5_Rate)^(Slot5_Age-D57)*(1-((1+AS_Wage)/(1+Slot5_Rate))^(Slot5_Age-D57))/(1-(1+AS_Wage)/(1+Slot5_Rate))),1)</f>
        <v>1</v>
      </c>
      <c r="JM57" s="20" t="n">
        <f aca="false">IF(AND(HU57=1,IE57&gt;0,Slot5_IsWG=1,BL57=1),MAX(0,(Slot5_Cost-BM57*(1+Slot5_Rate)^(Slot5_Age-D57))/JL57),0)</f>
        <v>0</v>
      </c>
      <c r="JN57" s="20" t="n">
        <f aca="false">IF(AND(HU57=1,IE57&gt;0,Slot5_IsWG=1,BL57=1),MIN(IE57,JM57),0)</f>
        <v>0</v>
      </c>
      <c r="JO57" s="20" t="n">
        <f aca="false">BM57+JN57</f>
        <v>0</v>
      </c>
      <c r="JP57" s="20" t="n">
        <f aca="false">IF(BL57=1,MAX(0,(Slot5_Cost-JO57*(1+Slot5_Rate)^(Slot5_Age-D57))/JL57),0)</f>
        <v>0</v>
      </c>
      <c r="JQ57" s="20" t="n">
        <f aca="false">IF(BL57=1,MAX(0,(Slot5_Cost-BM57*(1+Slot5_Rate)^(Slot5_Age-D57))/JL57),0)</f>
        <v>0</v>
      </c>
      <c r="JR57" s="20" t="n">
        <f aca="false">IF(AND(HU57=1,BL57=1),MIN(JK57,JP57),0)</f>
        <v>0</v>
      </c>
      <c r="JS57" s="20" t="n">
        <f aca="false">JK57-JR57</f>
        <v>0</v>
      </c>
      <c r="JT57" s="20" t="n">
        <f aca="false">IF(BV57=1,IF(ABS((1+AS_Wage)/(1+Slot6_Rate)-1)&lt;0.000000000001,(Slot6_Age-D57)*(1+Slot6_Rate)^(Slot6_Age-D57),(1+Slot6_Rate)^(Slot6_Age-D57)*(1-((1+AS_Wage)/(1+Slot6_Rate))^(Slot6_Age-D57))/(1-(1+AS_Wage)/(1+Slot6_Rate))),1)</f>
        <v>1</v>
      </c>
      <c r="JU57" s="20" t="n">
        <f aca="false">IF(AND(HU57=1,IE57&gt;0,Slot6_IsWG=1,BV57=1),MAX(0,(Slot6_Cost-BW57*(1+Slot6_Rate)^(Slot6_Age-D57))/JT57),0)</f>
        <v>0</v>
      </c>
      <c r="JV57" s="20" t="n">
        <f aca="false">IF(AND(HU57=1,IE57&gt;0,Slot6_IsWG=1,BV57=1),MIN(IE57,JU57),0)</f>
        <v>0</v>
      </c>
      <c r="JW57" s="20" t="n">
        <f aca="false">BW57+JV57</f>
        <v>0</v>
      </c>
      <c r="JX57" s="20" t="n">
        <f aca="false">IF(BV57=1,MAX(0,(Slot6_Cost-JW57*(1+Slot6_Rate)^(Slot6_Age-D57))/JT57),0)</f>
        <v>0</v>
      </c>
      <c r="JY57" s="20" t="n">
        <f aca="false">IF(BV57=1,MAX(0,(Slot6_Cost-BW57*(1+Slot6_Rate)^(Slot6_Age-D57))/JT57),0)</f>
        <v>0</v>
      </c>
      <c r="JZ57" s="20" t="n">
        <f aca="false">IF(AND(HU57=1,BV57=1),MIN(JS57,JX57),0)</f>
        <v>0</v>
      </c>
      <c r="KA57" s="20" t="n">
        <f aca="false">JS57-JZ57</f>
        <v>0</v>
      </c>
      <c r="KB57" s="20" t="n">
        <f aca="false">IF(CF57=1,IF(ABS((1+AS_Wage)/(1+Slot7_Rate)-1)&lt;0.000000000001,(Slot7_Age-D57)*(1+Slot7_Rate)^(Slot7_Age-D57),(1+Slot7_Rate)^(Slot7_Age-D57)*(1-((1+AS_Wage)/(1+Slot7_Rate))^(Slot7_Age-D57))/(1-(1+AS_Wage)/(1+Slot7_Rate))),1)</f>
        <v>1</v>
      </c>
      <c r="KC57" s="20" t="n">
        <f aca="false">IF(AND(HU57=1,IE57&gt;0,Slot7_IsWG=1,CF57=1),MAX(0,(Slot7_Cost-CG57*(1+Slot7_Rate)^(Slot7_Age-D57))/KB57),0)</f>
        <v>0</v>
      </c>
      <c r="KD57" s="20" t="n">
        <f aca="false">IF(AND(HU57=1,IE57&gt;0,Slot7_IsWG=1,CF57=1),MIN(IE57,KC57),0)</f>
        <v>0</v>
      </c>
      <c r="KE57" s="20" t="n">
        <f aca="false">CG57+KD57</f>
        <v>0</v>
      </c>
      <c r="KF57" s="20" t="n">
        <f aca="false">IF(CF57=1,MAX(0,(Slot7_Cost-KE57*(1+Slot7_Rate)^(Slot7_Age-D57))/KB57),0)</f>
        <v>0</v>
      </c>
      <c r="KG57" s="20" t="n">
        <f aca="false">IF(CF57=1,MAX(0,(Slot7_Cost-CG57*(1+Slot7_Rate)^(Slot7_Age-D57))/KB57),0)</f>
        <v>0</v>
      </c>
      <c r="KH57" s="20" t="n">
        <f aca="false">IF(AND(HU57=1,CF57=1),MIN(KA57,KF57),0)</f>
        <v>0</v>
      </c>
      <c r="KI57" s="20" t="n">
        <f aca="false">KA57-KH57</f>
        <v>0</v>
      </c>
      <c r="KJ57" s="20" t="n">
        <f aca="false">IF(CP57=1,IF(ABS((1+AS_Wage)/(1+Slot8_Rate)-1)&lt;0.000000000001,(Slot8_Age-D57)*(1+Slot8_Rate)^(Slot8_Age-D57),(1+Slot8_Rate)^(Slot8_Age-D57)*(1-((1+AS_Wage)/(1+Slot8_Rate))^(Slot8_Age-D57))/(1-(1+AS_Wage)/(1+Slot8_Rate))),1)</f>
        <v>1</v>
      </c>
      <c r="KK57" s="20" t="n">
        <f aca="false">IF(AND(HU57=1,IE57&gt;0,Slot8_IsWG=1,CP57=1),MAX(0,(Slot8_Cost-CQ57*(1+Slot8_Rate)^(Slot8_Age-D57))/KJ57),0)</f>
        <v>0</v>
      </c>
      <c r="KL57" s="20" t="n">
        <f aca="false">IF(AND(HU57=1,IE57&gt;0,Slot8_IsWG=1,CP57=1),MIN(IE57,KK57),0)</f>
        <v>0</v>
      </c>
      <c r="KM57" s="20" t="n">
        <f aca="false">CQ57+KL57</f>
        <v>0</v>
      </c>
      <c r="KN57" s="20" t="n">
        <f aca="false">IF(CP57=1,MAX(0,(Slot8_Cost-KM57*(1+Slot8_Rate)^(Slot8_Age-D57))/KJ57),0)</f>
        <v>0</v>
      </c>
      <c r="KO57" s="20" t="n">
        <f aca="false">IF(CP57=1,MAX(0,(Slot8_Cost-CQ57*(1+Slot8_Rate)^(Slot8_Age-D57))/KJ57),0)</f>
        <v>0</v>
      </c>
      <c r="KP57" s="20" t="n">
        <f aca="false">IF(AND(HU57=1,CP57=1),MIN(KI57,KN57),0)</f>
        <v>0</v>
      </c>
      <c r="KQ57" s="20" t="n">
        <f aca="false">KI57-KP57</f>
        <v>0</v>
      </c>
      <c r="KR57" s="20" t="n">
        <f aca="false">IF(CZ57=1,IF(ABS((1+AS_Wage)/(1+Slot9_Rate)-1)&lt;0.000000000001,(Slot9_Age-D57)*(1+Slot9_Rate)^(Slot9_Age-D57),(1+Slot9_Rate)^(Slot9_Age-D57)*(1-((1+AS_Wage)/(1+Slot9_Rate))^(Slot9_Age-D57))/(1-(1+AS_Wage)/(1+Slot9_Rate))),1)</f>
        <v>1</v>
      </c>
      <c r="KS57" s="20" t="n">
        <f aca="false">IF(AND(HU57=1,IE57&gt;0,Slot9_IsWG=1,CZ57=1),MAX(0,(Slot9_Cost-DA57*(1+Slot9_Rate)^(Slot9_Age-D57))/KR57),0)</f>
        <v>0</v>
      </c>
      <c r="KT57" s="20" t="n">
        <f aca="false">IF(AND(HU57=1,IE57&gt;0,Slot9_IsWG=1,CZ57=1),MIN(IE57,KS57),0)</f>
        <v>0</v>
      </c>
      <c r="KU57" s="20" t="n">
        <f aca="false">DA57+KT57</f>
        <v>0</v>
      </c>
      <c r="KV57" s="20" t="n">
        <f aca="false">IF(CZ57=1,MAX(0,(Slot9_Cost-KU57*(1+Slot9_Rate)^(Slot9_Age-D57))/KR57),0)</f>
        <v>0</v>
      </c>
      <c r="KW57" s="20" t="n">
        <f aca="false">IF(CZ57=1,MAX(0,(Slot9_Cost-DA57*(1+Slot9_Rate)^(Slot9_Age-D57))/KR57),0)</f>
        <v>0</v>
      </c>
      <c r="KX57" s="20" t="n">
        <f aca="false">IF(AND(HU57=1,CZ57=1),MIN(KQ57,KV57),0)</f>
        <v>0</v>
      </c>
      <c r="KY57" s="20" t="n">
        <f aca="false">KQ57-KX57</f>
        <v>0</v>
      </c>
      <c r="KZ57" s="20" t="n">
        <f aca="false">IF(DJ57=1,IF(ABS((1+AS_Wage)/(1+Slot10_Rate)-1)&lt;0.000000000001,(Slot10_Age-D57)*(1+Slot10_Rate)^(Slot10_Age-D57),(1+Slot10_Rate)^(Slot10_Age-D57)*(1-((1+AS_Wage)/(1+Slot10_Rate))^(Slot10_Age-D57))/(1-(1+AS_Wage)/(1+Slot10_Rate))),1)</f>
        <v>1</v>
      </c>
      <c r="LA57" s="20" t="n">
        <f aca="false">IF(AND(HU57=1,IE57&gt;0,Slot10_IsWG=1,DJ57=1),MAX(0,(Slot10_Cost-DK57*(1+Slot10_Rate)^(Slot10_Age-D57))/KZ57),0)</f>
        <v>0</v>
      </c>
      <c r="LB57" s="20" t="n">
        <f aca="false">IF(AND(HU57=1,IE57&gt;0,Slot10_IsWG=1,DJ57=1),MIN(IE57,LA57),0)</f>
        <v>0</v>
      </c>
      <c r="LC57" s="20" t="n">
        <f aca="false">DK57+LB57</f>
        <v>0</v>
      </c>
      <c r="LD57" s="20" t="n">
        <f aca="false">IF(DJ57=1,MAX(0,(Slot10_Cost-LC57*(1+Slot10_Rate)^(Slot10_Age-D57))/KZ57),0)</f>
        <v>0</v>
      </c>
      <c r="LE57" s="20" t="n">
        <f aca="false">IF(DJ57=1,MAX(0,(Slot10_Cost-DK57*(1+Slot10_Rate)^(Slot10_Age-D57))/KZ57),0)</f>
        <v>0</v>
      </c>
      <c r="LF57" s="20" t="n">
        <f aca="false">IF(AND(HU57=1,DJ57=1),MIN(KY57,LD57),0)</f>
        <v>0</v>
      </c>
      <c r="LG57" s="20" t="n">
        <f aca="false">KY57-LF57</f>
        <v>0</v>
      </c>
      <c r="LH57" s="20" t="n">
        <f aca="false">IF(DT57=1,IF(ABS((1+AS_Wage)/(1+Slot11_Rate)-1)&lt;0.000000000001,(Slot11_Age-D57)*(1+Slot11_Rate)^(Slot11_Age-D57),(1+Slot11_Rate)^(Slot11_Age-D57)*(1-((1+AS_Wage)/(1+Slot11_Rate))^(Slot11_Age-D57))/(1-(1+AS_Wage)/(1+Slot11_Rate))),1)</f>
        <v>1</v>
      </c>
      <c r="LI57" s="20" t="n">
        <f aca="false">IF(AND(HU57=1,IE57&gt;0,Slot11_IsWG=1,DT57=1),MAX(0,(Slot11_Cost-DU57*(1+Slot11_Rate)^(Slot11_Age-D57))/LH57),0)</f>
        <v>0</v>
      </c>
      <c r="LJ57" s="20" t="n">
        <f aca="false">IF(AND(HU57=1,IE57&gt;0,Slot11_IsWG=1,DT57=1),MIN(IE57,LI57),0)</f>
        <v>0</v>
      </c>
      <c r="LK57" s="20" t="n">
        <f aca="false">DU57+LJ57</f>
        <v>0</v>
      </c>
      <c r="LL57" s="20" t="n">
        <f aca="false">IF(DT57=1,MAX(0,(Slot11_Cost-LK57*(1+Slot11_Rate)^(Slot11_Age-D57))/LH57),0)</f>
        <v>0</v>
      </c>
      <c r="LM57" s="20" t="n">
        <f aca="false">IF(DT57=1,MAX(0,(Slot11_Cost-DU57*(1+Slot11_Rate)^(Slot11_Age-D57))/LH57),0)</f>
        <v>0</v>
      </c>
      <c r="LN57" s="20" t="n">
        <f aca="false">IF(AND(HU57=1,DT57=1),MIN(LG57,LL57),0)</f>
        <v>0</v>
      </c>
      <c r="LO57" s="20" t="n">
        <f aca="false">LG57-LN57</f>
        <v>0</v>
      </c>
      <c r="LP57" s="20" t="n">
        <f aca="false">IF(ED57=1,IF(ABS((1+AS_Wage)/(1+Slot12_Rate)-1)&lt;0.000000000001,(Slot12_Age-D57)*(1+Slot12_Rate)^(Slot12_Age-D57),(1+Slot12_Rate)^(Slot12_Age-D57)*(1-((1+AS_Wage)/(1+Slot12_Rate))^(Slot12_Age-D57))/(1-(1+AS_Wage)/(1+Slot12_Rate))),1)</f>
        <v>1</v>
      </c>
      <c r="LQ57" s="20" t="n">
        <f aca="false">IF(AND(HU57=1,IE57&gt;0,Slot12_IsWG=1,ED57=1),MAX(0,(Slot12_Cost-EE57*(1+Slot12_Rate)^(Slot12_Age-D57))/LP57),0)</f>
        <v>0</v>
      </c>
      <c r="LR57" s="20" t="n">
        <f aca="false">IF(AND(HU57=1,IE57&gt;0,Slot12_IsWG=1,ED57=1),MIN(IE57,LQ57),0)</f>
        <v>0</v>
      </c>
      <c r="LS57" s="20" t="n">
        <f aca="false">EE57+LR57</f>
        <v>0</v>
      </c>
      <c r="LT57" s="20" t="n">
        <f aca="false">IF(ED57=1,MAX(0,(Slot12_Cost-LS57*(1+Slot12_Rate)^(Slot12_Age-D57))/LP57),0)</f>
        <v>0</v>
      </c>
      <c r="LU57" s="20" t="n">
        <f aca="false">IF(ED57=1,MAX(0,(Slot12_Cost-EE57*(1+Slot12_Rate)^(Slot12_Age-D57))/LP57),0)</f>
        <v>0</v>
      </c>
      <c r="LV57" s="20" t="n">
        <f aca="false">IF(AND(HU57=1,ED57=1),MIN(LO57,LT57),0)</f>
        <v>0</v>
      </c>
      <c r="LW57" s="20" t="n">
        <f aca="false">LO57-LV57</f>
        <v>0</v>
      </c>
      <c r="LX57" s="20" t="n">
        <f aca="false">IF(EN57=1,IF(ABS((1+AS_Wage)/(1+Slot13_Rate)-1)&lt;0.000000000001,(Slot13_Age-D57)*(1+Slot13_Rate)^(Slot13_Age-D57),(1+Slot13_Rate)^(Slot13_Age-D57)*(1-((1+AS_Wage)/(1+Slot13_Rate))^(Slot13_Age-D57))/(1-(1+AS_Wage)/(1+Slot13_Rate))),1)</f>
        <v>1</v>
      </c>
      <c r="LY57" s="20" t="n">
        <f aca="false">IF(AND(HU57=1,IE57&gt;0,Slot13_IsWG=1,EN57=1),MAX(0,(Slot13_Cost-EO57*(1+Slot13_Rate)^(Slot13_Age-D57))/LX57),0)</f>
        <v>0</v>
      </c>
      <c r="LZ57" s="20" t="n">
        <f aca="false">IF(AND(HU57=1,IE57&gt;0,Slot13_IsWG=1,EN57=1),MIN(IE57,LY57),0)</f>
        <v>0</v>
      </c>
      <c r="MA57" s="20" t="n">
        <f aca="false">EO57+LZ57</f>
        <v>0</v>
      </c>
      <c r="MB57" s="20" t="n">
        <f aca="false">IF(EN57=1,MAX(0,(Slot13_Cost-MA57*(1+Slot13_Rate)^(Slot13_Age-D57))/LX57),0)</f>
        <v>0</v>
      </c>
      <c r="MC57" s="20" t="n">
        <f aca="false">IF(EN57=1,MAX(0,(Slot13_Cost-EO57*(1+Slot13_Rate)^(Slot13_Age-D57))/LX57),0)</f>
        <v>0</v>
      </c>
      <c r="MD57" s="20" t="n">
        <f aca="false">IF(AND(HU57=1,EN57=1),MIN(LW57,MB57),0)</f>
        <v>0</v>
      </c>
      <c r="ME57" s="20" t="n">
        <f aca="false">LW57-MD57</f>
        <v>0</v>
      </c>
      <c r="MF57" s="20" t="n">
        <f aca="false">IF(EX57=1,IF(ABS((1+AS_Wage)/(1+Slot14_Rate)-1)&lt;0.000000000001,(Slot14_Age-D57)*(1+Slot14_Rate)^(Slot14_Age-D57),(1+Slot14_Rate)^(Slot14_Age-D57)*(1-((1+AS_Wage)/(1+Slot14_Rate))^(Slot14_Age-D57))/(1-(1+AS_Wage)/(1+Slot14_Rate))),1)</f>
        <v>1</v>
      </c>
      <c r="MG57" s="20" t="n">
        <f aca="false">IF(AND(HU57=1,IE57&gt;0,Slot14_IsWG=1,EX57=1),MAX(0,(Slot14_Cost-EY57*(1+Slot14_Rate)^(Slot14_Age-D57))/MF57),0)</f>
        <v>0</v>
      </c>
      <c r="MH57" s="20" t="n">
        <f aca="false">IF(AND(HU57=1,IE57&gt;0,Slot14_IsWG=1,EX57=1),MIN(IE57,MG57),0)</f>
        <v>0</v>
      </c>
      <c r="MI57" s="20" t="n">
        <f aca="false">EY57+MH57</f>
        <v>0</v>
      </c>
      <c r="MJ57" s="20" t="n">
        <f aca="false">IF(EX57=1,MAX(0,(Slot14_Cost-MI57*(1+Slot14_Rate)^(Slot14_Age-D57))/MF57),0)</f>
        <v>0</v>
      </c>
      <c r="MK57" s="20" t="n">
        <f aca="false">IF(EX57=1,MAX(0,(Slot14_Cost-EY57*(1+Slot14_Rate)^(Slot14_Age-D57))/MF57),0)</f>
        <v>0</v>
      </c>
      <c r="ML57" s="20" t="n">
        <f aca="false">IF(AND(HU57=1,EX57=1),MIN(ME57,MJ57),0)</f>
        <v>0</v>
      </c>
      <c r="MM57" s="20" t="n">
        <f aca="false">ME57-ML57</f>
        <v>0</v>
      </c>
      <c r="MN57" s="20" t="n">
        <f aca="false">IF(FH57=1,IF(ABS((1+AS_Wage)/(1+Slot15_Rate)-1)&lt;0.000000000001,(Slot15_Age-D57)*(1+Slot15_Rate)^(Slot15_Age-D57),(1+Slot15_Rate)^(Slot15_Age-D57)*(1-((1+AS_Wage)/(1+Slot15_Rate))^(Slot15_Age-D57))/(1-(1+AS_Wage)/(1+Slot15_Rate))),1)</f>
        <v>1</v>
      </c>
      <c r="MO57" s="20" t="n">
        <f aca="false">IF(AND(HU57=1,IE57&gt;0,Slot15_IsWG=1,FH57=1),MAX(0,(Slot15_Cost-FI57*(1+Slot15_Rate)^(Slot15_Age-D57))/MN57),0)</f>
        <v>0</v>
      </c>
      <c r="MP57" s="20" t="n">
        <f aca="false">IF(AND(HU57=1,IE57&gt;0,Slot15_IsWG=1,FH57=1),MIN(IE57,MO57),0)</f>
        <v>0</v>
      </c>
      <c r="MQ57" s="20" t="n">
        <f aca="false">FI57+MP57</f>
        <v>0</v>
      </c>
      <c r="MR57" s="20" t="n">
        <f aca="false">IF(FH57=1,MAX(0,(Slot15_Cost-MQ57*(1+Slot15_Rate)^(Slot15_Age-D57))/MN57),0)</f>
        <v>0</v>
      </c>
      <c r="MS57" s="20" t="n">
        <f aca="false">IF(FH57=1,MAX(0,(Slot15_Cost-FI57*(1+Slot15_Rate)^(Slot15_Age-D57))/MN57),0)</f>
        <v>0</v>
      </c>
      <c r="MT57" s="20" t="n">
        <f aca="false">IF(AND(HU57=1,FH57=1),MIN(MM57,MR57),0)</f>
        <v>0</v>
      </c>
      <c r="MU57" s="20" t="n">
        <f aca="false">MM57-MT57</f>
        <v>0</v>
      </c>
      <c r="MV57" s="20" t="n">
        <f aca="false">IF(FR57=1,IF(ABS((1+AS_Wage)/(1+Slot16_Rate)-1)&lt;0.000000000001,(Slot16_Age-D57)*(1+Slot16_Rate)^(Slot16_Age-D57),(1+Slot16_Rate)^(Slot16_Age-D57)*(1-((1+AS_Wage)/(1+Slot16_Rate))^(Slot16_Age-D57))/(1-(1+AS_Wage)/(1+Slot16_Rate))),1)</f>
        <v>1</v>
      </c>
      <c r="MW57" s="20" t="n">
        <f aca="false">IF(AND(HU57=1,IE57&gt;0,Slot16_IsWG=1,FR57=1),MAX(0,(Slot16_Cost-FS57*(1+Slot16_Rate)^(Slot16_Age-D57))/MV57),0)</f>
        <v>0</v>
      </c>
      <c r="MX57" s="20" t="n">
        <f aca="false">IF(AND(HU57=1,IE57&gt;0,Slot16_IsWG=1,FR57=1),MIN(IE57,MW57),0)</f>
        <v>0</v>
      </c>
      <c r="MY57" s="20" t="n">
        <f aca="false">FS57+MX57</f>
        <v>0</v>
      </c>
      <c r="MZ57" s="20" t="n">
        <f aca="false">IF(FR57=1,MAX(0,(Slot16_Cost-MY57*(1+Slot16_Rate)^(Slot16_Age-D57))/MV57),0)</f>
        <v>0</v>
      </c>
      <c r="NA57" s="20" t="n">
        <f aca="false">IF(FR57=1,MAX(0,(Slot16_Cost-FS57*(1+Slot16_Rate)^(Slot16_Age-D57))/MV57),0)</f>
        <v>0</v>
      </c>
      <c r="NB57" s="20" t="n">
        <f aca="false">IF(AND(HU57=1,FR57=1),MIN(MU57,MZ57),0)</f>
        <v>0</v>
      </c>
      <c r="NC57" s="20" t="n">
        <f aca="false">MU57-NB57</f>
        <v>0</v>
      </c>
      <c r="ND57" s="20" t="n">
        <f aca="false">IF(GB57=1,IF(ABS((1+AS_Wage)/(1+Slot17_Rate)-1)&lt;0.000000000001,(Slot17_Age-D57)*(1+Slot17_Rate)^(Slot17_Age-D57),(1+Slot17_Rate)^(Slot17_Age-D57)*(1-((1+AS_Wage)/(1+Slot17_Rate))^(Slot17_Age-D57))/(1-(1+AS_Wage)/(1+Slot17_Rate))),1)</f>
        <v>1</v>
      </c>
      <c r="NE57" s="20" t="n">
        <f aca="false">IF(AND(HU57=1,IE57&gt;0,Slot17_IsWG=1,GB57=1),MAX(0,(Slot17_Cost-GC57*(1+Slot17_Rate)^(Slot17_Age-D57))/ND57),0)</f>
        <v>0</v>
      </c>
      <c r="NF57" s="20" t="n">
        <f aca="false">IF(AND(HU57=1,IE57&gt;0,Slot17_IsWG=1,GB57=1),MIN(IE57,NE57),0)</f>
        <v>0</v>
      </c>
      <c r="NG57" s="20" t="n">
        <f aca="false">GC57+NF57</f>
        <v>0</v>
      </c>
      <c r="NH57" s="20" t="n">
        <f aca="false">IF(GB57=1,MAX(0,(Slot17_Cost-NG57*(1+Slot17_Rate)^(Slot17_Age-D57))/ND57),0)</f>
        <v>0</v>
      </c>
      <c r="NI57" s="20" t="n">
        <f aca="false">IF(GB57=1,MAX(0,(Slot17_Cost-GC57*(1+Slot17_Rate)^(Slot17_Age-D57))/ND57),0)</f>
        <v>0</v>
      </c>
      <c r="NJ57" s="20" t="n">
        <f aca="false">IF(AND(HU57=1,GB57=1),MIN(NC57,NH57),0)</f>
        <v>0</v>
      </c>
      <c r="NK57" s="20" t="n">
        <f aca="false">NC57-NJ57</f>
        <v>0</v>
      </c>
      <c r="NL57" s="20" t="n">
        <f aca="false">IF(GL57=1,IF(ABS((1+AS_Wage)/(1+Slot18_Rate)-1)&lt;0.000000000001,(Slot18_Age-D57)*(1+Slot18_Rate)^(Slot18_Age-D57),(1+Slot18_Rate)^(Slot18_Age-D57)*(1-((1+AS_Wage)/(1+Slot18_Rate))^(Slot18_Age-D57))/(1-(1+AS_Wage)/(1+Slot18_Rate))),1)</f>
        <v>1</v>
      </c>
      <c r="NM57" s="20" t="n">
        <f aca="false">IF(AND(HU57=1,IE57&gt;0,Slot18_IsWG=1,GL57=1),MAX(0,(Slot18_Cost-GM57*(1+Slot18_Rate)^(Slot18_Age-D57))/NL57),0)</f>
        <v>0</v>
      </c>
      <c r="NN57" s="20" t="n">
        <f aca="false">IF(AND(HU57=1,IE57&gt;0,Slot18_IsWG=1,GL57=1),MIN(IE57,NM57),0)</f>
        <v>0</v>
      </c>
      <c r="NO57" s="20" t="n">
        <f aca="false">GM57+NN57</f>
        <v>0</v>
      </c>
      <c r="NP57" s="20" t="n">
        <f aca="false">IF(GL57=1,MAX(0,(Slot18_Cost-NO57*(1+Slot18_Rate)^(Slot18_Age-D57))/NL57),0)</f>
        <v>0</v>
      </c>
      <c r="NQ57" s="20" t="n">
        <f aca="false">IF(GL57=1,MAX(0,(Slot18_Cost-GM57*(1+Slot18_Rate)^(Slot18_Age-D57))/NL57),0)</f>
        <v>0</v>
      </c>
      <c r="NR57" s="20" t="n">
        <f aca="false">IF(AND(HU57=1,GL57=1),MIN(NK57,NP57),0)</f>
        <v>0</v>
      </c>
      <c r="NS57" s="20" t="n">
        <f aca="false">NK57-NR57</f>
        <v>0</v>
      </c>
      <c r="NT57" s="20" t="n">
        <f aca="false">IF(GV57=1,IF(ABS((1+AS_Wage)/(1+Slot19_Rate)-1)&lt;0.000000000001,(Slot19_Age-D57)*(1+Slot19_Rate)^(Slot19_Age-D57),(1+Slot19_Rate)^(Slot19_Age-D57)*(1-((1+AS_Wage)/(1+Slot19_Rate))^(Slot19_Age-D57))/(1-(1+AS_Wage)/(1+Slot19_Rate))),1)</f>
        <v>1</v>
      </c>
      <c r="NU57" s="20" t="n">
        <f aca="false">IF(AND(HU57=1,IE57&gt;0,Slot19_IsWG=1,GV57=1),MAX(0,(Slot19_Cost-GW57*(1+Slot19_Rate)^(Slot19_Age-D57))/NT57),0)</f>
        <v>0</v>
      </c>
      <c r="NV57" s="20" t="n">
        <f aca="false">IF(AND(HU57=1,IE57&gt;0,Slot19_IsWG=1,GV57=1),MIN(IE57,NU57),0)</f>
        <v>0</v>
      </c>
      <c r="NW57" s="20" t="n">
        <f aca="false">GW57+NV57</f>
        <v>0</v>
      </c>
      <c r="NX57" s="20" t="n">
        <f aca="false">IF(GV57=1,MAX(0,(Slot19_Cost-NW57*(1+Slot19_Rate)^(Slot19_Age-D57))/NT57),0)</f>
        <v>0</v>
      </c>
      <c r="NY57" s="20" t="n">
        <f aca="false">IF(GV57=1,MAX(0,(Slot19_Cost-GW57*(1+Slot19_Rate)^(Slot19_Age-D57))/NT57),0)</f>
        <v>0</v>
      </c>
      <c r="NZ57" s="20" t="n">
        <f aca="false">IF(AND(HU57=1,GV57=1),MIN(NS57,NX57),0)</f>
        <v>0</v>
      </c>
      <c r="OA57" s="20" t="n">
        <f aca="false">NS57-NZ57</f>
        <v>0</v>
      </c>
      <c r="OB57" s="20" t="n">
        <f aca="false">IF(HF57=1,IF(ABS((1+AS_Wage)/(1+Slot20_Rate)-1)&lt;0.000000000001,(Slot20_Age-D57)*(1+Slot20_Rate)^(Slot20_Age-D57),(1+Slot20_Rate)^(Slot20_Age-D57)*(1-((1+AS_Wage)/(1+Slot20_Rate))^(Slot20_Age-D57))/(1-(1+AS_Wage)/(1+Slot20_Rate))),1)</f>
        <v>1</v>
      </c>
      <c r="OC57" s="20" t="n">
        <f aca="false">IF(AND(HU57=1,IE57&gt;0,Slot20_IsWG=1,HF57=1),MAX(0,(Slot20_Cost-HG57*(1+Slot20_Rate)^(Slot20_Age-D57))/OB57),0)</f>
        <v>0</v>
      </c>
      <c r="OD57" s="20" t="n">
        <f aca="false">IF(AND(HU57=1,IE57&gt;0,Slot20_IsWG=1,HF57=1),MIN(IE57,OC57),0)</f>
        <v>0</v>
      </c>
      <c r="OE57" s="20" t="n">
        <f aca="false">HG57+OD57</f>
        <v>0</v>
      </c>
      <c r="OF57" s="20" t="n">
        <f aca="false">IF(HF57=1,MAX(0,(Slot20_Cost-OE57*(1+Slot20_Rate)^(Slot20_Age-D57))/OB57),0)</f>
        <v>0</v>
      </c>
      <c r="OG57" s="20" t="n">
        <f aca="false">IF(HF57=1,MAX(0,(Slot20_Cost-HG57*(1+Slot20_Rate)^(Slot20_Age-D57))/OB57),0)</f>
        <v>0</v>
      </c>
      <c r="OH57" s="20" t="n">
        <f aca="false">IF(AND(HU57=1,HF57=1),MIN(OA57,OF57),0)</f>
        <v>0</v>
      </c>
      <c r="OI57" s="20" t="n">
        <f aca="false">OA57-OH57</f>
        <v>0</v>
      </c>
      <c r="OJ57" s="20" t="n">
        <f aca="false">IE57-(IH57+IP57+IX57+JF57+JN57+JV57+KD57+KL57+KT57+LB57+LJ57+LR57+LZ57+MH57+MP57+MX57+NF57+NN57+NV57+OD57)</f>
        <v>0</v>
      </c>
      <c r="OK57" s="20" t="n">
        <f aca="false">IF(HU57=1,HS57-ID57-IE57,0)</f>
        <v>0</v>
      </c>
      <c r="OL57" s="20" t="n">
        <f aca="false">IF(HU57=0,-HS57,0)</f>
        <v>27127.7592282958</v>
      </c>
      <c r="OM57" s="20" t="n">
        <f aca="false">MIN(OL57,HK57)</f>
        <v>0</v>
      </c>
      <c r="ON57" s="20" t="n">
        <f aca="false">OL57-OM57</f>
        <v>27127.7592282958</v>
      </c>
      <c r="OO57" s="20" t="n">
        <f aca="false">MIN(ON57,HL57)</f>
        <v>0</v>
      </c>
      <c r="OP57" s="20" t="n">
        <f aca="false">ON57-OO57</f>
        <v>27127.7592282958</v>
      </c>
      <c r="OQ57" s="20" t="n">
        <f aca="false">IF(AND(HU57=0,HF57=1,OP57&gt;0),MIN(OP57,HG57),0)</f>
        <v>0</v>
      </c>
      <c r="OR57" s="20" t="n">
        <f aca="false">OP57-OQ57</f>
        <v>27127.7592282958</v>
      </c>
      <c r="OS57" s="20" t="n">
        <f aca="false">IF(AND(HU57=0,GV57=1,OR57&gt;0),MIN(OR57,GW57),0)</f>
        <v>0</v>
      </c>
      <c r="OT57" s="20" t="n">
        <f aca="false">OR57-OS57</f>
        <v>27127.7592282958</v>
      </c>
      <c r="OU57" s="20" t="n">
        <f aca="false">IF(AND(HU57=0,GL57=1,OT57&gt;0),MIN(OT57,GM57),0)</f>
        <v>0</v>
      </c>
      <c r="OV57" s="20" t="n">
        <f aca="false">OT57-OU57</f>
        <v>27127.7592282958</v>
      </c>
      <c r="OW57" s="20" t="n">
        <f aca="false">IF(AND(HU57=0,GB57=1,OV57&gt;0),MIN(OV57,GC57),0)</f>
        <v>0</v>
      </c>
      <c r="OX57" s="20" t="n">
        <f aca="false">OV57-OW57</f>
        <v>27127.7592282958</v>
      </c>
      <c r="OY57" s="20" t="n">
        <f aca="false">IF(AND(HU57=0,FR57=1,OX57&gt;0),MIN(OX57,FS57),0)</f>
        <v>0</v>
      </c>
      <c r="OZ57" s="20" t="n">
        <f aca="false">OX57-OY57</f>
        <v>27127.7592282958</v>
      </c>
      <c r="PA57" s="20" t="n">
        <f aca="false">IF(AND(HU57=0,FH57=1,OZ57&gt;0),MIN(OZ57,FI57),0)</f>
        <v>0</v>
      </c>
      <c r="PB57" s="20" t="n">
        <f aca="false">OZ57-PA57</f>
        <v>27127.7592282958</v>
      </c>
      <c r="PC57" s="20" t="n">
        <f aca="false">IF(AND(HU57=0,EX57=1,PB57&gt;0),MIN(PB57,EY57),0)</f>
        <v>0</v>
      </c>
      <c r="PD57" s="20" t="n">
        <f aca="false">PB57-PC57</f>
        <v>27127.7592282958</v>
      </c>
      <c r="PE57" s="20" t="n">
        <f aca="false">IF(AND(HU57=0,EN57=1,PD57&gt;0),MIN(PD57,EO57),0)</f>
        <v>0</v>
      </c>
      <c r="PF57" s="20" t="n">
        <f aca="false">PD57-PE57</f>
        <v>27127.7592282958</v>
      </c>
      <c r="PG57" s="20" t="n">
        <f aca="false">IF(AND(HU57=0,ED57=1,PF57&gt;0),MIN(PF57,EE57),0)</f>
        <v>0</v>
      </c>
      <c r="PH57" s="20" t="n">
        <f aca="false">PF57-PG57</f>
        <v>27127.7592282958</v>
      </c>
      <c r="PI57" s="20" t="n">
        <f aca="false">IF(AND(HU57=0,DT57=1,PH57&gt;0),MIN(PH57,DU57),0)</f>
        <v>0</v>
      </c>
      <c r="PJ57" s="20" t="n">
        <f aca="false">PH57-PI57</f>
        <v>27127.7592282958</v>
      </c>
      <c r="PK57" s="20" t="n">
        <f aca="false">IF(AND(HU57=0,DJ57=1,PJ57&gt;0),MIN(PJ57,DK57),0)</f>
        <v>0</v>
      </c>
      <c r="PL57" s="20" t="n">
        <f aca="false">PJ57-PK57</f>
        <v>27127.7592282958</v>
      </c>
      <c r="PM57" s="20" t="n">
        <f aca="false">IF(AND(HU57=0,CZ57=1,PL57&gt;0),MIN(PL57,DA57),0)</f>
        <v>0</v>
      </c>
      <c r="PN57" s="20" t="n">
        <f aca="false">PL57-PM57</f>
        <v>27127.7592282958</v>
      </c>
      <c r="PO57" s="20" t="n">
        <f aca="false">IF(AND(HU57=0,CP57=1,PN57&gt;0),MIN(PN57,CQ57),0)</f>
        <v>0</v>
      </c>
      <c r="PP57" s="20" t="n">
        <f aca="false">PN57-PO57</f>
        <v>27127.7592282958</v>
      </c>
      <c r="PQ57" s="20" t="n">
        <f aca="false">IF(AND(HU57=0,CF57=1,PP57&gt;0),MIN(PP57,CG57),0)</f>
        <v>0</v>
      </c>
      <c r="PR57" s="20" t="n">
        <f aca="false">PP57-PQ57</f>
        <v>27127.7592282958</v>
      </c>
      <c r="PS57" s="20" t="n">
        <f aca="false">IF(AND(HU57=0,BV57=1,PR57&gt;0),MIN(PR57,BW57),0)</f>
        <v>0</v>
      </c>
      <c r="PT57" s="20" t="n">
        <f aca="false">PR57-PS57</f>
        <v>27127.7592282958</v>
      </c>
      <c r="PU57" s="20" t="n">
        <f aca="false">IF(AND(HU57=0,BL57=1,PT57&gt;0),MIN(PT57,BM57),0)</f>
        <v>0</v>
      </c>
      <c r="PV57" s="20" t="n">
        <f aca="false">PT57-PU57</f>
        <v>27127.7592282958</v>
      </c>
      <c r="PW57" s="20" t="n">
        <f aca="false">IF(AND(HU57=0,BB57=1,PV57&gt;0),MIN(PV57,BC57),0)</f>
        <v>0</v>
      </c>
      <c r="PX57" s="20" t="n">
        <f aca="false">PV57-PW57</f>
        <v>27127.7592282958</v>
      </c>
      <c r="PY57" s="20" t="n">
        <f aca="false">IF(AND(HU57=0,AR57=1,PX57&gt;0),MIN(PX57,AS57),0)</f>
        <v>0</v>
      </c>
      <c r="PZ57" s="20" t="n">
        <f aca="false">PX57-PY57</f>
        <v>27127.7592282958</v>
      </c>
      <c r="QA57" s="20" t="n">
        <f aca="false">IF(AND(HU57=0,AH57=1,PZ57&gt;0),MIN(PZ57,AI57),0)</f>
        <v>0</v>
      </c>
      <c r="QB57" s="20" t="n">
        <f aca="false">PZ57-QA57</f>
        <v>27127.7592282958</v>
      </c>
      <c r="QC57" s="20" t="n">
        <f aca="false">IF(AND(HU57=0,W57=1,QB57&gt;0),MIN(QB57,X57),0)</f>
        <v>0</v>
      </c>
      <c r="QD57" s="20" t="n">
        <f aca="false">QB57-QC57</f>
        <v>27127.7592282958</v>
      </c>
      <c r="QE57" s="20" t="n">
        <f aca="false">IF(HU57=0,QD57,0)</f>
        <v>27127.7592282958</v>
      </c>
      <c r="QF57" s="20" t="n">
        <f aca="false">OM57+OO57+QC57+QA57+PY57+PW57+PU57+PS57+PQ57+PO57+PM57+PK57+PI57+PG57+PE57+PC57+PA57+OY57+OW57+OU57+OS57+OQ57</f>
        <v>0</v>
      </c>
      <c r="QG57" s="20" t="n">
        <f aca="false">IF(HU57=1,HK57+OJ57+OI57+IF(G57=1,0,OK57),HK57-OM57)</f>
        <v>0</v>
      </c>
      <c r="QH57" s="20" t="n">
        <f aca="false">HL57-OO57</f>
        <v>0</v>
      </c>
      <c r="QI57" s="20" t="n">
        <f aca="false">IF(HU57=1,IF(G57=1,ID57+IE57,HS57),0)</f>
        <v>0</v>
      </c>
      <c r="QJ57" s="20" t="n">
        <f aca="false">IF(HU57=1,IF(G57=1,HS57-ID57-IE57,0),0)</f>
        <v>0</v>
      </c>
      <c r="QK57" s="20" t="n">
        <f aca="false">QG57*(1+GR)</f>
        <v>0</v>
      </c>
      <c r="QL57" s="20" t="n">
        <f aca="false">QH57*(1+AS_Cash)</f>
        <v>0</v>
      </c>
      <c r="QM57" s="20" t="n">
        <f aca="false">IF(W57=1,IF(HU57=1,II57+IL57,X57-QC57)*(1+Slot1_Rate),0)</f>
        <v>0</v>
      </c>
      <c r="QN57" s="20" t="n">
        <f aca="false">IF(AND(HU57=1,W57=1),(IH57+IL57)/F57,0)</f>
        <v>0</v>
      </c>
      <c r="QO57" s="20" t="n">
        <f aca="false">IF(B57=0,IH57+IL57,0)</f>
        <v>0</v>
      </c>
      <c r="QP57" s="20" t="n">
        <f aca="false">IF(B57=0,IF(HU57=1,IJ57,IK57),0)</f>
        <v>0</v>
      </c>
      <c r="QQ57" s="20" t="n">
        <f aca="false">IF(AH57=1,IF(HU57=1,IQ57+IT57,AI57-QA57)*(1+Slot2_Rate),0)</f>
        <v>0</v>
      </c>
      <c r="QR57" s="20" t="n">
        <f aca="false">IF(AND(HU57=1,AH57=1),(IP57+IT57)/F57,0)</f>
        <v>0</v>
      </c>
      <c r="QS57" s="20" t="n">
        <f aca="false">IF(B57=0,IP57+IT57,0)</f>
        <v>0</v>
      </c>
      <c r="QT57" s="20" t="n">
        <f aca="false">IF(B57=0,IF(HU57=1,IR57,IS57),0)</f>
        <v>0</v>
      </c>
      <c r="QU57" s="20" t="n">
        <f aca="false">IF(AR57=1,IF(HU57=1,IY57+JB57,AS57-PY57)*(1+Slot3_Rate),0)</f>
        <v>0</v>
      </c>
      <c r="QV57" s="20" t="n">
        <f aca="false">IF(AND(HU57=1,AR57=1),(IX57+JB57)/F57,0)</f>
        <v>0</v>
      </c>
      <c r="QW57" s="20" t="n">
        <f aca="false">IF(B57=0,IX57+JB57,0)</f>
        <v>0</v>
      </c>
      <c r="QX57" s="20" t="n">
        <f aca="false">IF(B57=0,IF(HU57=1,IZ57,JA57),0)</f>
        <v>0</v>
      </c>
      <c r="QY57" s="20" t="n">
        <f aca="false">IF(BB57=1,IF(HU57=1,JG57+JJ57,BC57-PW57)*(1+Slot4_Rate),0)</f>
        <v>0</v>
      </c>
      <c r="QZ57" s="20" t="n">
        <f aca="false">IF(AND(HU57=1,BB57=1),(JF57+JJ57)/F57,0)</f>
        <v>0</v>
      </c>
      <c r="RA57" s="20" t="n">
        <f aca="false">IF(B57=0,JF57+JJ57,0)</f>
        <v>0</v>
      </c>
      <c r="RB57" s="20" t="n">
        <f aca="false">IF(B57=0,IF(HU57=1,JH57,JI57),0)</f>
        <v>0</v>
      </c>
      <c r="RC57" s="20" t="n">
        <f aca="false">IF(BL57=1,IF(HU57=1,JO57+JR57,BM57-PU57)*(1+Slot5_Rate),0)</f>
        <v>0</v>
      </c>
      <c r="RD57" s="20" t="n">
        <f aca="false">IF(AND(HU57=1,BL57=1),(JN57+JR57)/F57,0)</f>
        <v>0</v>
      </c>
      <c r="RE57" s="20" t="n">
        <f aca="false">IF(B57=0,JN57+JR57,0)</f>
        <v>0</v>
      </c>
      <c r="RF57" s="20" t="n">
        <f aca="false">IF(B57=0,IF(HU57=1,JP57,JQ57),0)</f>
        <v>0</v>
      </c>
      <c r="RG57" s="20" t="n">
        <f aca="false">IF(BV57=1,IF(HU57=1,JW57+JZ57,BW57-PS57)*(1+Slot6_Rate),0)</f>
        <v>0</v>
      </c>
      <c r="RH57" s="20" t="n">
        <f aca="false">IF(AND(HU57=1,BV57=1),(JV57+JZ57)/F57,0)</f>
        <v>0</v>
      </c>
      <c r="RI57" s="20" t="n">
        <f aca="false">IF(B57=0,JV57+JZ57,0)</f>
        <v>0</v>
      </c>
      <c r="RJ57" s="20" t="n">
        <f aca="false">IF(B57=0,IF(HU57=1,JX57,JY57),0)</f>
        <v>0</v>
      </c>
      <c r="RK57" s="20" t="n">
        <f aca="false">IF(CF57=1,IF(HU57=1,KE57+KH57,CG57-PQ57)*(1+Slot7_Rate),0)</f>
        <v>0</v>
      </c>
      <c r="RL57" s="20" t="n">
        <f aca="false">IF(AND(HU57=1,CF57=1),(KD57+KH57)/F57,0)</f>
        <v>0</v>
      </c>
      <c r="RM57" s="20" t="n">
        <f aca="false">IF(B57=0,KD57+KH57,0)</f>
        <v>0</v>
      </c>
      <c r="RN57" s="20" t="n">
        <f aca="false">IF(B57=0,IF(HU57=1,KF57,KG57),0)</f>
        <v>0</v>
      </c>
      <c r="RO57" s="20" t="n">
        <f aca="false">IF(CP57=1,IF(HU57=1,KM57+KP57,CQ57-PO57)*(1+Slot8_Rate),0)</f>
        <v>0</v>
      </c>
      <c r="RP57" s="20" t="n">
        <f aca="false">IF(AND(HU57=1,CP57=1),(KL57+KP57)/F57,0)</f>
        <v>0</v>
      </c>
      <c r="RQ57" s="20" t="n">
        <f aca="false">IF(B57=0,KL57+KP57,0)</f>
        <v>0</v>
      </c>
      <c r="RR57" s="20" t="n">
        <f aca="false">IF(B57=0,IF(HU57=1,KN57,KO57),0)</f>
        <v>0</v>
      </c>
      <c r="RS57" s="20" t="n">
        <f aca="false">IF(CZ57=1,IF(HU57=1,KU57+KX57,DA57-PM57)*(1+Slot9_Rate),0)</f>
        <v>0</v>
      </c>
      <c r="RT57" s="20" t="n">
        <f aca="false">IF(AND(HU57=1,CZ57=1),(KT57+KX57)/F57,0)</f>
        <v>0</v>
      </c>
      <c r="RU57" s="20" t="n">
        <f aca="false">IF(B57=0,KT57+KX57,0)</f>
        <v>0</v>
      </c>
      <c r="RV57" s="20" t="n">
        <f aca="false">IF(B57=0,IF(HU57=1,KV57,KW57),0)</f>
        <v>0</v>
      </c>
      <c r="RW57" s="20" t="n">
        <f aca="false">IF(DJ57=1,IF(HU57=1,LC57+LF57,DK57-PK57)*(1+Slot10_Rate),0)</f>
        <v>0</v>
      </c>
      <c r="RX57" s="20" t="n">
        <f aca="false">IF(AND(HU57=1,DJ57=1),(LB57+LF57)/F57,0)</f>
        <v>0</v>
      </c>
      <c r="RY57" s="20" t="n">
        <f aca="false">IF(B57=0,LB57+LF57,0)</f>
        <v>0</v>
      </c>
      <c r="RZ57" s="20" t="n">
        <f aca="false">IF(B57=0,IF(HU57=1,LD57,LE57),0)</f>
        <v>0</v>
      </c>
      <c r="SA57" s="20" t="n">
        <f aca="false">IF(DT57=1,IF(HU57=1,LK57+LN57,DU57-PI57)*(1+Slot11_Rate),0)</f>
        <v>0</v>
      </c>
      <c r="SB57" s="20" t="n">
        <f aca="false">IF(AND(HU57=1,DT57=1),(LJ57+LN57)/F57,0)</f>
        <v>0</v>
      </c>
      <c r="SC57" s="20" t="n">
        <f aca="false">IF(B57=0,LJ57+LN57,0)</f>
        <v>0</v>
      </c>
      <c r="SD57" s="20" t="n">
        <f aca="false">IF(B57=0,IF(HU57=1,LL57,LM57),0)</f>
        <v>0</v>
      </c>
      <c r="SE57" s="20" t="n">
        <f aca="false">IF(ED57=1,IF(HU57=1,LS57+LV57,EE57-PG57)*(1+Slot12_Rate),0)</f>
        <v>0</v>
      </c>
      <c r="SF57" s="20" t="n">
        <f aca="false">IF(AND(HU57=1,ED57=1),(LR57+LV57)/F57,0)</f>
        <v>0</v>
      </c>
      <c r="SG57" s="20" t="n">
        <f aca="false">IF(B57=0,LR57+LV57,0)</f>
        <v>0</v>
      </c>
      <c r="SH57" s="20" t="n">
        <f aca="false">IF(B57=0,IF(HU57=1,LT57,LU57),0)</f>
        <v>0</v>
      </c>
      <c r="SI57" s="20" t="n">
        <f aca="false">IF(EN57=1,IF(HU57=1,MA57+MD57,EO57-PE57)*(1+Slot13_Rate),0)</f>
        <v>0</v>
      </c>
      <c r="SJ57" s="20" t="n">
        <f aca="false">IF(AND(HU57=1,EN57=1),(LZ57+MD57)/F57,0)</f>
        <v>0</v>
      </c>
      <c r="SK57" s="20" t="n">
        <f aca="false">IF(B57=0,LZ57+MD57,0)</f>
        <v>0</v>
      </c>
      <c r="SL57" s="20" t="n">
        <f aca="false">IF(B57=0,IF(HU57=1,MB57,MC57),0)</f>
        <v>0</v>
      </c>
      <c r="SM57" s="20" t="n">
        <f aca="false">IF(EX57=1,IF(HU57=1,MI57+ML57,EY57-PC57)*(1+Slot14_Rate),0)</f>
        <v>0</v>
      </c>
      <c r="SN57" s="20" t="n">
        <f aca="false">IF(AND(HU57=1,EX57=1),(MH57+ML57)/F57,0)</f>
        <v>0</v>
      </c>
      <c r="SO57" s="20" t="n">
        <f aca="false">IF(B57=0,MH57+ML57,0)</f>
        <v>0</v>
      </c>
      <c r="SP57" s="20" t="n">
        <f aca="false">IF(B57=0,IF(HU57=1,MJ57,MK57),0)</f>
        <v>0</v>
      </c>
      <c r="SQ57" s="20" t="n">
        <f aca="false">IF(FH57=1,IF(HU57=1,MQ57+MT57,FI57-PA57)*(1+Slot15_Rate),0)</f>
        <v>0</v>
      </c>
      <c r="SR57" s="20" t="n">
        <f aca="false">IF(AND(HU57=1,FH57=1),(MP57+MT57)/F57,0)</f>
        <v>0</v>
      </c>
      <c r="SS57" s="20" t="n">
        <f aca="false">IF(B57=0,MP57+MT57,0)</f>
        <v>0</v>
      </c>
      <c r="ST57" s="20" t="n">
        <f aca="false">IF(B57=0,IF(HU57=1,MR57,MS57),0)</f>
        <v>0</v>
      </c>
      <c r="SU57" s="20" t="n">
        <f aca="false">IF(FR57=1,IF(HU57=1,MY57+NB57,FS57-OY57)*(1+Slot16_Rate),0)</f>
        <v>0</v>
      </c>
      <c r="SV57" s="20" t="n">
        <f aca="false">IF(AND(HU57=1,FR57=1),(MX57+NB57)/F57,0)</f>
        <v>0</v>
      </c>
      <c r="SW57" s="20" t="n">
        <f aca="false">IF(B57=0,MX57+NB57,0)</f>
        <v>0</v>
      </c>
      <c r="SX57" s="20" t="n">
        <f aca="false">IF(B57=0,IF(HU57=1,MZ57,NA57),0)</f>
        <v>0</v>
      </c>
      <c r="SY57" s="20" t="n">
        <f aca="false">IF(GB57=1,IF(HU57=1,NG57+NJ57,GC57-OW57)*(1+Slot17_Rate),0)</f>
        <v>0</v>
      </c>
      <c r="SZ57" s="20" t="n">
        <f aca="false">IF(AND(HU57=1,GB57=1),(NF57+NJ57)/F57,0)</f>
        <v>0</v>
      </c>
      <c r="TA57" s="20" t="n">
        <f aca="false">IF(B57=0,NF57+NJ57,0)</f>
        <v>0</v>
      </c>
      <c r="TB57" s="20" t="n">
        <f aca="false">IF(B57=0,IF(HU57=1,NH57,NI57),0)</f>
        <v>0</v>
      </c>
      <c r="TC57" s="20" t="n">
        <f aca="false">IF(GL57=1,IF(HU57=1,NO57+NR57,GM57-OU57)*(1+Slot18_Rate),0)</f>
        <v>0</v>
      </c>
      <c r="TD57" s="20" t="n">
        <f aca="false">IF(AND(HU57=1,GL57=1),(NN57+NR57)/F57,0)</f>
        <v>0</v>
      </c>
      <c r="TE57" s="20" t="n">
        <f aca="false">IF(B57=0,NN57+NR57,0)</f>
        <v>0</v>
      </c>
      <c r="TF57" s="20" t="n">
        <f aca="false">IF(B57=0,IF(HU57=1,NP57,NQ57),0)</f>
        <v>0</v>
      </c>
      <c r="TG57" s="20" t="n">
        <f aca="false">IF(GV57=1,IF(HU57=1,NW57+NZ57,GW57-OS57)*(1+Slot19_Rate),0)</f>
        <v>0</v>
      </c>
      <c r="TH57" s="20" t="n">
        <f aca="false">IF(AND(HU57=1,GV57=1),(NV57+NZ57)/F57,0)</f>
        <v>0</v>
      </c>
      <c r="TI57" s="20" t="n">
        <f aca="false">IF(B57=0,NV57+NZ57,0)</f>
        <v>0</v>
      </c>
      <c r="TJ57" s="20" t="n">
        <f aca="false">IF(B57=0,IF(HU57=1,NX57,NY57),0)</f>
        <v>0</v>
      </c>
      <c r="TK57" s="20" t="n">
        <f aca="false">IF(HF57=1,IF(HU57=1,OE57+OH57,HG57-OQ57)*(1+Slot20_Rate),0)</f>
        <v>0</v>
      </c>
      <c r="TL57" s="20" t="n">
        <f aca="false">IF(AND(HU57=1,HF57=1),(OD57+OH57)/F57,0)</f>
        <v>0</v>
      </c>
      <c r="TM57" s="20" t="n">
        <f aca="false">IF(B57=0,OD57+OH57,0)</f>
        <v>0</v>
      </c>
      <c r="TN57" s="20" t="n">
        <f aca="false">IF(B57=0,IF(HU57=1,OF57,OG57),0)</f>
        <v>0</v>
      </c>
      <c r="TO57" s="20" t="n">
        <f aca="false">QK57+QL57+QM57+QQ57+QU57+QY57+RC57+RG57+RK57+RO57+RS57+RW57+SA57+SE57+SI57+SM57+SQ57+SU57+SY57+TC57+TG57+TK57</f>
        <v>0</v>
      </c>
      <c r="TP57" s="20" t="n">
        <f aca="false">QE57+HP57</f>
        <v>27127.7592282958</v>
      </c>
      <c r="TQ57" s="20" t="n">
        <f aca="false">I57+S57</f>
        <v>126135.20371541</v>
      </c>
      <c r="TR57" s="20" t="n">
        <f aca="false">1-G57</f>
        <v>1</v>
      </c>
      <c r="TS57" s="20" t="n">
        <f aca="false">IF(AND(RG_Exists=1,G57=0,C57=1),I57,0)</f>
        <v>126135.20371541</v>
      </c>
      <c r="TT57" s="20" t="n">
        <f aca="false">IF(AND(RG_Exists=1,G57=0,C57=1),I57-MIN(QE57,I57),0)</f>
        <v>99007.4444871145</v>
      </c>
      <c r="TU57" s="20" t="n">
        <f aca="false">'Plan pay &amp; tax'!AD283</f>
        <v>216582.866292126</v>
      </c>
      <c r="TV57" s="20" t="n">
        <f aca="false">IF(AND(C57=1,QE57&gt;MAX(PR_Short1,TQ57*PR_Short2)),1,0)</f>
        <v>1</v>
      </c>
      <c r="TW57" s="20" t="n">
        <f aca="false">MIN(H57,I57+S57)</f>
        <v>99007.4444871145</v>
      </c>
      <c r="TX57" s="20" t="n">
        <f aca="false">QF57+MAX(0,HQ57-HP57)</f>
        <v>0</v>
      </c>
      <c r="TY57" s="20" t="n">
        <f aca="false">QE57+HP57</f>
        <v>27127.7592282958</v>
      </c>
      <c r="TZ57" s="20" t="n">
        <f aca="false">IF(AND(C57=1,TY57&gt;PR_MinShort),1,0)</f>
        <v>1</v>
      </c>
      <c r="UA57" s="20" t="n">
        <f aca="false">IF(AND(C57=1,TZ57=0,TX57&gt;PR_MinShort),1,0)</f>
        <v>0</v>
      </c>
      <c r="UB57" s="20" t="n">
        <f aca="false">IF(AND(C57=1,QE57&gt;PR_MinShort),1,0)</f>
        <v>1</v>
      </c>
      <c r="UC57" s="20" t="n">
        <f aca="false">IF(AND(C57=1,QF57&gt;1,UJ57=0),1,0)</f>
        <v>0</v>
      </c>
      <c r="UD57" s="20" t="str">
        <f aca="false">IF(C57=0,"",IF(UJ57=1,"Gap to plan for: short "&amp;"€"&amp;TEXT(ROUND(TP57,0),"#,##0"),IF(QF57&gt;1,"Using savings","Comfortable")))</f>
        <v>Gap to plan for: short €27,128</v>
      </c>
      <c r="UE57" s="20" t="n">
        <f aca="false">IF(AND(INT(D57/10)*10=90,B57&gt;0),80,INT(D57/10)*10)</f>
        <v>80</v>
      </c>
      <c r="UF57" s="20" t="n">
        <f aca="false">IF(B57=0,1,IF(UE57&lt;&gt;UE56,UF56+1,UF56))</f>
        <v>6</v>
      </c>
      <c r="UG57" s="20" t="n">
        <f aca="false">IF(AND(C57=1,G57=1,QE57&gt;MAX(PR_Short1,TQ57*PR_Short2)),1,0)</f>
        <v>0</v>
      </c>
      <c r="UH57" s="20" t="n">
        <f aca="false">TR57*TV57</f>
        <v>1</v>
      </c>
      <c r="UI57" s="20" t="n">
        <f aca="false">IF(AND(V57=1,Slot1_PctLow=1),1,0)+IF(AND(AG57=1,Slot2_PctLow=1),1,0)+IF(AND(AQ57=1,Slot3_PctLow=1),1,0)+IF(AND(BA57=1,Slot4_PctLow=1),1,0)+IF(AND(BK57=1,Slot5_PctLow=1),1,0)+IF(AND(BU57=1,Slot6_PctLow=1),1,0)+IF(AND(CE57=1,Slot7_PctLow=1),1,0)+IF(AND(CO57=1,Slot8_PctLow=1),1,0)+IF(AND(CY57=1,Slot9_PctLow=1),1,0)+IF(AND(DI57=1,Slot10_PctLow=1),1,0)+IF(AND(DS57=1,Slot11_PctLow=1),1,0)+IF(AND(EC57=1,Slot12_PctLow=1),1,0)+IF(AND(EM57=1,Slot13_PctLow=1),1,0)+IF(AND(EW57=1,Slot14_PctLow=1),1,0)+IF(AND(FG57=1,Slot15_PctLow=1),1,0)+IF(AND(FQ57=1,Slot16_PctLow=1),1,0)+IF(AND(GA57=1,Slot17_PctLow=1),1,0)+IF(AND(GK57=1,Slot18_PctLow=1),1,0)+IF(AND(GU57=1,Slot19_PctLow=1),1,0)+IF(AND(HE57=1,Slot20_PctLow=1),1,0)</f>
        <v>0</v>
      </c>
      <c r="UJ57" s="20" t="n">
        <f aca="false">IF(C57=1,IF(OR(TV57=1,UI57&gt;0),1,0),0)</f>
        <v>1</v>
      </c>
    </row>
    <row r="58" customFormat="false" ht="15" hidden="false" customHeight="true" outlineLevel="0" collapsed="false">
      <c r="B58" s="20" t="n">
        <v>50</v>
      </c>
      <c r="C58" s="20" t="n">
        <f aca="false">IF(B58&lt;=F_N,1,0)</f>
        <v>1</v>
      </c>
      <c r="D58" s="20" t="n">
        <f aca="false">'Plan pay &amp; tax'!C284</f>
        <v>88</v>
      </c>
      <c r="E58" s="20" t="str">
        <f aca="false">IF($C58=1,"Income tax "&amp;TEXT(N('Plan pay &amp; tax'!BK284),"#,##0")&amp;"; USC "&amp;TEXT(N('Plan pay &amp; tax'!BM284)+N('Plan pay &amp; tax'!BO284),"#,##0")&amp;"; PRSI "&amp;TEXT(N('Plan pay &amp; tax'!BP284)+N('Plan pay &amp; tax'!BQ284),"#,##0")&amp;". DIRT and exit tax are inside the growth rates here.","")</f>
        <v>Income tax 983; USC 0; PRSI 0. DIRT and exit tax are inside the growth rates here.</v>
      </c>
      <c r="F58" s="44" t="n">
        <f aca="false">'Plan pay &amp; tax'!E284</f>
        <v>2.69158802907361</v>
      </c>
      <c r="G58" s="20" t="n">
        <f aca="false">'Plan pay &amp; tax'!G284</f>
        <v>0</v>
      </c>
      <c r="H58" s="20" t="n">
        <f aca="false">'Plan pay &amp; tax'!BT284-'Plan pay &amp; tax'!BS284-'Plan pay &amp; tax'!R284</f>
        <v>101229.057551589</v>
      </c>
      <c r="I58" s="20" t="n">
        <f aca="false">IF(G58=1,F_CostsM*12,IF(RG_Exists=1,RG_Amount,F_CostsM*12*AS_RetireSpend))*F58+F_OneOffY*F58</f>
        <v>128657.907789718</v>
      </c>
      <c r="J58" s="20" t="n">
        <f aca="false">HR57</f>
        <v>0</v>
      </c>
      <c r="K58" s="20" t="n">
        <f aca="false">IF(J58&gt;1,'Plan debt months'!AC58,0)</f>
        <v>0</v>
      </c>
      <c r="L58" s="20" t="n">
        <f aca="false">IF(J58&gt;1,'Plan debt months'!AB58,J58)</f>
        <v>0</v>
      </c>
      <c r="M58" s="20" t="n">
        <f aca="false">O57</f>
        <v>0</v>
      </c>
      <c r="N58" s="20" t="n">
        <f aca="false">IF(M58&gt;1,'Plan debt months'!BD58,0)</f>
        <v>0</v>
      </c>
      <c r="O58" s="20" t="n">
        <f aca="false">IF(M58&gt;1,'Plan debt months'!BC58,M58)</f>
        <v>0</v>
      </c>
      <c r="P58" s="20" t="n">
        <f aca="false">R57</f>
        <v>0</v>
      </c>
      <c r="Q58" s="20" t="n">
        <f aca="false">IF(P58&gt;1,'Plan debt months'!CE58,0)</f>
        <v>0</v>
      </c>
      <c r="R58" s="20" t="n">
        <f aca="false">IF(P58&gt;1,'Plan debt months'!CD58,P58)</f>
        <v>0</v>
      </c>
      <c r="S58" s="20" t="n">
        <f aca="false">K58+N58+Q58</f>
        <v>0</v>
      </c>
      <c r="T58" s="20" t="n">
        <f aca="false">QK57+'Plan pay &amp; tax'!Y284</f>
        <v>0</v>
      </c>
      <c r="U58" s="20" t="n">
        <f aca="false">QK57</f>
        <v>0</v>
      </c>
      <c r="V58" s="20" t="n">
        <f aca="false">IF(AND(Slot1_On=1,D58=Slot1_Age),1,0)</f>
        <v>0</v>
      </c>
      <c r="W58" s="20" t="n">
        <f aca="false">IF(AND(Slot1_On=1,Slot1_Age&gt;D58),1,0)</f>
        <v>0</v>
      </c>
      <c r="X58" s="20" t="n">
        <f aca="false">QM57</f>
        <v>0</v>
      </c>
      <c r="Y58" s="20" t="n">
        <f aca="false">V58*MIN(Slot1_Cost,X58)</f>
        <v>0</v>
      </c>
      <c r="Z58" s="20" t="n">
        <f aca="false">V58*Slot1_SpendLike*MIN(Slot1_Cost-Y58,T58)</f>
        <v>0</v>
      </c>
      <c r="AA58" s="20" t="n">
        <f aca="false">Y58+Z58</f>
        <v>0</v>
      </c>
      <c r="AB58" s="20" t="n">
        <f aca="false">T58-Z58+V58*IF(Slot1_SpendLike=1,X58-Y58,IF(Slot1_PotFree=1,X58,0))</f>
        <v>0</v>
      </c>
      <c r="AC58" s="20" t="n">
        <f aca="false">AF58+V58*Slot1_BufPot*X58</f>
        <v>0</v>
      </c>
      <c r="AD58" s="20" t="n">
        <f aca="false">IF(AND(V58=1,Slot1_IsMfree=1),IF(AA58&gt;=Slot1_Cost-1,0,MAX(0,L58-AA58)),L58)</f>
        <v>0</v>
      </c>
      <c r="AE58" s="20" t="n">
        <f aca="false">V58*(Slot1_Cost-AA58)</f>
        <v>0</v>
      </c>
      <c r="AF58" s="20" t="n">
        <f aca="false">QL57</f>
        <v>0</v>
      </c>
      <c r="AG58" s="20" t="n">
        <f aca="false">IF(AND(Slot2_On=1,D58=Slot2_Age),1,0)</f>
        <v>0</v>
      </c>
      <c r="AH58" s="20" t="n">
        <f aca="false">IF(AND(Slot2_On=1,Slot2_Age&gt;D58),1,0)</f>
        <v>0</v>
      </c>
      <c r="AI58" s="20" t="n">
        <f aca="false">QQ57</f>
        <v>0</v>
      </c>
      <c r="AJ58" s="20" t="n">
        <f aca="false">AG58*MIN(Slot2_Cost,AI58)</f>
        <v>0</v>
      </c>
      <c r="AK58" s="20" t="n">
        <f aca="false">AG58*Slot2_SpendLike*MIN(Slot2_Cost-AJ58,AB58)</f>
        <v>0</v>
      </c>
      <c r="AL58" s="20" t="n">
        <f aca="false">AJ58+AK58</f>
        <v>0</v>
      </c>
      <c r="AM58" s="20" t="n">
        <f aca="false">AB58-AK58+AG58*IF(Slot2_SpendLike=1,AI58-AJ58,IF(Slot2_PotFree=1,AI58,0))</f>
        <v>0</v>
      </c>
      <c r="AN58" s="20" t="n">
        <f aca="false">AC58+AG58*Slot2_BufPot*AI58</f>
        <v>0</v>
      </c>
      <c r="AO58" s="20" t="n">
        <f aca="false">IF(AND(AG58=1,Slot2_IsMfree=1),IF(AL58&gt;=Slot2_Cost-1,0,MAX(0,AD58-AL58)),AD58)</f>
        <v>0</v>
      </c>
      <c r="AP58" s="20" t="n">
        <f aca="false">AG58*(Slot2_Cost-AL58)</f>
        <v>0</v>
      </c>
      <c r="AQ58" s="20" t="n">
        <f aca="false">IF(AND(Slot3_On=1,D58=Slot3_Age),1,0)</f>
        <v>0</v>
      </c>
      <c r="AR58" s="20" t="n">
        <f aca="false">IF(AND(Slot3_On=1,Slot3_Age&gt;D58),1,0)</f>
        <v>0</v>
      </c>
      <c r="AS58" s="20" t="n">
        <f aca="false">QU57</f>
        <v>0</v>
      </c>
      <c r="AT58" s="20" t="n">
        <f aca="false">AQ58*MIN(Slot3_Cost,AS58)</f>
        <v>0</v>
      </c>
      <c r="AU58" s="20" t="n">
        <f aca="false">AQ58*Slot3_SpendLike*MIN(Slot3_Cost-AT58,AM58)</f>
        <v>0</v>
      </c>
      <c r="AV58" s="20" t="n">
        <f aca="false">AT58+AU58</f>
        <v>0</v>
      </c>
      <c r="AW58" s="20" t="n">
        <f aca="false">AM58-AU58+AQ58*IF(Slot3_SpendLike=1,AS58-AT58,IF(Slot3_PotFree=1,AS58,0))</f>
        <v>0</v>
      </c>
      <c r="AX58" s="20" t="n">
        <f aca="false">AN58+AQ58*Slot3_BufPot*AS58</f>
        <v>0</v>
      </c>
      <c r="AY58" s="20" t="n">
        <f aca="false">IF(AND(AQ58=1,Slot3_IsMfree=1),IF(AV58&gt;=Slot3_Cost-1,0,MAX(0,AO58-AV58)),AO58)</f>
        <v>0</v>
      </c>
      <c r="AZ58" s="20" t="n">
        <f aca="false">AQ58*(Slot3_Cost-AV58)</f>
        <v>0</v>
      </c>
      <c r="BA58" s="20" t="n">
        <f aca="false">IF(AND(Slot4_On=1,D58=Slot4_Age),1,0)</f>
        <v>0</v>
      </c>
      <c r="BB58" s="20" t="n">
        <f aca="false">IF(AND(Slot4_On=1,Slot4_Age&gt;D58),1,0)</f>
        <v>0</v>
      </c>
      <c r="BC58" s="20" t="n">
        <f aca="false">QY57</f>
        <v>0</v>
      </c>
      <c r="BD58" s="20" t="n">
        <f aca="false">BA58*MIN(Slot4_Cost,BC58)</f>
        <v>0</v>
      </c>
      <c r="BE58" s="20" t="n">
        <f aca="false">BA58*Slot4_SpendLike*MIN(Slot4_Cost-BD58,AW58)</f>
        <v>0</v>
      </c>
      <c r="BF58" s="20" t="n">
        <f aca="false">BD58+BE58</f>
        <v>0</v>
      </c>
      <c r="BG58" s="20" t="n">
        <f aca="false">AW58-BE58+BA58*IF(Slot4_SpendLike=1,BC58-BD58,IF(Slot4_PotFree=1,BC58,0))</f>
        <v>0</v>
      </c>
      <c r="BH58" s="20" t="n">
        <f aca="false">AX58+BA58*Slot4_BufPot*BC58</f>
        <v>0</v>
      </c>
      <c r="BI58" s="20" t="n">
        <f aca="false">IF(AND(BA58=1,Slot4_IsMfree=1),IF(BF58&gt;=Slot4_Cost-1,0,MAX(0,AY58-BF58)),AY58)</f>
        <v>0</v>
      </c>
      <c r="BJ58" s="20" t="n">
        <f aca="false">BA58*(Slot4_Cost-BF58)</f>
        <v>0</v>
      </c>
      <c r="BK58" s="20" t="n">
        <f aca="false">IF(AND(Slot5_On=1,D58=Slot5_Age),1,0)</f>
        <v>0</v>
      </c>
      <c r="BL58" s="20" t="n">
        <f aca="false">IF(AND(Slot5_On=1,Slot5_Age&gt;D58),1,0)</f>
        <v>0</v>
      </c>
      <c r="BM58" s="20" t="n">
        <f aca="false">RC57</f>
        <v>0</v>
      </c>
      <c r="BN58" s="20" t="n">
        <f aca="false">BK58*MIN(Slot5_Cost,BM58)</f>
        <v>0</v>
      </c>
      <c r="BO58" s="20" t="n">
        <f aca="false">BK58*Slot5_SpendLike*MIN(Slot5_Cost-BN58,BG58)</f>
        <v>0</v>
      </c>
      <c r="BP58" s="20" t="n">
        <f aca="false">BN58+BO58</f>
        <v>0</v>
      </c>
      <c r="BQ58" s="20" t="n">
        <f aca="false">BG58-BO58+BK58*IF(Slot5_SpendLike=1,BM58-BN58,IF(Slot5_PotFree=1,BM58,0))</f>
        <v>0</v>
      </c>
      <c r="BR58" s="20" t="n">
        <f aca="false">BH58+BK58*Slot5_BufPot*BM58</f>
        <v>0</v>
      </c>
      <c r="BS58" s="20" t="n">
        <f aca="false">IF(AND(BK58=1,Slot5_IsMfree=1),IF(BP58&gt;=Slot5_Cost-1,0,MAX(0,BI58-BP58)),BI58)</f>
        <v>0</v>
      </c>
      <c r="BT58" s="20" t="n">
        <f aca="false">BK58*(Slot5_Cost-BP58)</f>
        <v>0</v>
      </c>
      <c r="BU58" s="20" t="n">
        <f aca="false">IF(AND(Slot6_On=1,D58=Slot6_Age),1,0)</f>
        <v>0</v>
      </c>
      <c r="BV58" s="20" t="n">
        <f aca="false">IF(AND(Slot6_On=1,Slot6_Age&gt;D58),1,0)</f>
        <v>0</v>
      </c>
      <c r="BW58" s="20" t="n">
        <f aca="false">RG57</f>
        <v>0</v>
      </c>
      <c r="BX58" s="20" t="n">
        <f aca="false">BU58*MIN(Slot6_Cost,BW58)</f>
        <v>0</v>
      </c>
      <c r="BY58" s="20" t="n">
        <f aca="false">BU58*Slot6_SpendLike*MIN(Slot6_Cost-BX58,BQ58)</f>
        <v>0</v>
      </c>
      <c r="BZ58" s="20" t="n">
        <f aca="false">BX58+BY58</f>
        <v>0</v>
      </c>
      <c r="CA58" s="20" t="n">
        <f aca="false">BQ58-BY58+BU58*IF(Slot6_SpendLike=1,BW58-BX58,IF(Slot6_PotFree=1,BW58,0))</f>
        <v>0</v>
      </c>
      <c r="CB58" s="20" t="n">
        <f aca="false">BR58+BU58*Slot6_BufPot*BW58</f>
        <v>0</v>
      </c>
      <c r="CC58" s="20" t="n">
        <f aca="false">IF(AND(BU58=1,Slot6_IsMfree=1),IF(BZ58&gt;=Slot6_Cost-1,0,MAX(0,BS58-BZ58)),BS58)</f>
        <v>0</v>
      </c>
      <c r="CD58" s="20" t="n">
        <f aca="false">BU58*(Slot6_Cost-BZ58)</f>
        <v>0</v>
      </c>
      <c r="CE58" s="20" t="n">
        <f aca="false">IF(AND(Slot7_On=1,D58=Slot7_Age),1,0)</f>
        <v>0</v>
      </c>
      <c r="CF58" s="20" t="n">
        <f aca="false">IF(AND(Slot7_On=1,Slot7_Age&gt;D58),1,0)</f>
        <v>0</v>
      </c>
      <c r="CG58" s="20" t="n">
        <f aca="false">RK57</f>
        <v>0</v>
      </c>
      <c r="CH58" s="20" t="n">
        <f aca="false">CE58*MIN(Slot7_Cost,CG58)</f>
        <v>0</v>
      </c>
      <c r="CI58" s="20" t="n">
        <f aca="false">CE58*Slot7_SpendLike*MIN(Slot7_Cost-CH58,CA58)</f>
        <v>0</v>
      </c>
      <c r="CJ58" s="20" t="n">
        <f aca="false">CH58+CI58</f>
        <v>0</v>
      </c>
      <c r="CK58" s="20" t="n">
        <f aca="false">CA58-CI58+CE58*IF(Slot7_SpendLike=1,CG58-CH58,IF(Slot7_PotFree=1,CG58,0))</f>
        <v>0</v>
      </c>
      <c r="CL58" s="20" t="n">
        <f aca="false">CB58+CE58*Slot7_BufPot*CG58</f>
        <v>0</v>
      </c>
      <c r="CM58" s="20" t="n">
        <f aca="false">IF(AND(CE58=1,Slot7_IsMfree=1),IF(CJ58&gt;=Slot7_Cost-1,0,MAX(0,CC58-CJ58)),CC58)</f>
        <v>0</v>
      </c>
      <c r="CN58" s="20" t="n">
        <f aca="false">CE58*(Slot7_Cost-CJ58)</f>
        <v>0</v>
      </c>
      <c r="CO58" s="20" t="n">
        <f aca="false">IF(AND(Slot8_On=1,D58=Slot8_Age),1,0)</f>
        <v>0</v>
      </c>
      <c r="CP58" s="20" t="n">
        <f aca="false">IF(AND(Slot8_On=1,Slot8_Age&gt;D58),1,0)</f>
        <v>0</v>
      </c>
      <c r="CQ58" s="20" t="n">
        <f aca="false">RO57</f>
        <v>0</v>
      </c>
      <c r="CR58" s="20" t="n">
        <f aca="false">CO58*MIN(Slot8_Cost,CQ58)</f>
        <v>0</v>
      </c>
      <c r="CS58" s="20" t="n">
        <f aca="false">CO58*Slot8_SpendLike*MIN(Slot8_Cost-CR58,CK58)</f>
        <v>0</v>
      </c>
      <c r="CT58" s="20" t="n">
        <f aca="false">CR58+CS58</f>
        <v>0</v>
      </c>
      <c r="CU58" s="20" t="n">
        <f aca="false">CK58-CS58+CO58*IF(Slot8_SpendLike=1,CQ58-CR58,IF(Slot8_PotFree=1,CQ58,0))</f>
        <v>0</v>
      </c>
      <c r="CV58" s="20" t="n">
        <f aca="false">CL58+CO58*Slot8_BufPot*CQ58</f>
        <v>0</v>
      </c>
      <c r="CW58" s="20" t="n">
        <f aca="false">IF(AND(CO58=1,Slot8_IsMfree=1),IF(CT58&gt;=Slot8_Cost-1,0,MAX(0,CM58-CT58)),CM58)</f>
        <v>0</v>
      </c>
      <c r="CX58" s="20" t="n">
        <f aca="false">CO58*(Slot8_Cost-CT58)</f>
        <v>0</v>
      </c>
      <c r="CY58" s="20" t="n">
        <f aca="false">IF(AND(Slot9_On=1,D58=Slot9_Age),1,0)</f>
        <v>0</v>
      </c>
      <c r="CZ58" s="20" t="n">
        <f aca="false">IF(AND(Slot9_On=1,Slot9_Age&gt;D58),1,0)</f>
        <v>0</v>
      </c>
      <c r="DA58" s="20" t="n">
        <f aca="false">RS57</f>
        <v>0</v>
      </c>
      <c r="DB58" s="20" t="n">
        <f aca="false">CY58*MIN(Slot9_Cost,DA58)</f>
        <v>0</v>
      </c>
      <c r="DC58" s="20" t="n">
        <f aca="false">CY58*Slot9_SpendLike*MIN(Slot9_Cost-DB58,CU58)</f>
        <v>0</v>
      </c>
      <c r="DD58" s="20" t="n">
        <f aca="false">DB58+DC58</f>
        <v>0</v>
      </c>
      <c r="DE58" s="20" t="n">
        <f aca="false">CU58-DC58+CY58*IF(Slot9_SpendLike=1,DA58-DB58,IF(Slot9_PotFree=1,DA58,0))</f>
        <v>0</v>
      </c>
      <c r="DF58" s="20" t="n">
        <f aca="false">CV58+CY58*Slot9_BufPot*DA58</f>
        <v>0</v>
      </c>
      <c r="DG58" s="20" t="n">
        <f aca="false">IF(AND(CY58=1,Slot9_IsMfree=1),IF(DD58&gt;=Slot9_Cost-1,0,MAX(0,CW58-DD58)),CW58)</f>
        <v>0</v>
      </c>
      <c r="DH58" s="20" t="n">
        <f aca="false">CY58*(Slot9_Cost-DD58)</f>
        <v>0</v>
      </c>
      <c r="DI58" s="20" t="n">
        <f aca="false">IF(AND(Slot10_On=1,D58=Slot10_Age),1,0)</f>
        <v>0</v>
      </c>
      <c r="DJ58" s="20" t="n">
        <f aca="false">IF(AND(Slot10_On=1,Slot10_Age&gt;D58),1,0)</f>
        <v>0</v>
      </c>
      <c r="DK58" s="20" t="n">
        <f aca="false">RW57</f>
        <v>0</v>
      </c>
      <c r="DL58" s="20" t="n">
        <f aca="false">DI58*MIN(Slot10_Cost,DK58)</f>
        <v>0</v>
      </c>
      <c r="DM58" s="20" t="n">
        <f aca="false">DI58*Slot10_SpendLike*MIN(Slot10_Cost-DL58,DE58)</f>
        <v>0</v>
      </c>
      <c r="DN58" s="20" t="n">
        <f aca="false">DL58+DM58</f>
        <v>0</v>
      </c>
      <c r="DO58" s="20" t="n">
        <f aca="false">DE58-DM58+DI58*IF(Slot10_SpendLike=1,DK58-DL58,IF(Slot10_PotFree=1,DK58,0))</f>
        <v>0</v>
      </c>
      <c r="DP58" s="20" t="n">
        <f aca="false">DF58+DI58*Slot10_BufPot*DK58</f>
        <v>0</v>
      </c>
      <c r="DQ58" s="20" t="n">
        <f aca="false">IF(AND(DI58=1,Slot10_IsMfree=1),IF(DN58&gt;=Slot10_Cost-1,0,MAX(0,DG58-DN58)),DG58)</f>
        <v>0</v>
      </c>
      <c r="DR58" s="20" t="n">
        <f aca="false">DI58*(Slot10_Cost-DN58)</f>
        <v>0</v>
      </c>
      <c r="DS58" s="20" t="n">
        <f aca="false">IF(AND(Slot11_On=1,D58=Slot11_Age),1,0)</f>
        <v>0</v>
      </c>
      <c r="DT58" s="20" t="n">
        <f aca="false">IF(AND(Slot11_On=1,Slot11_Age&gt;D58),1,0)</f>
        <v>0</v>
      </c>
      <c r="DU58" s="20" t="n">
        <f aca="false">SA57</f>
        <v>0</v>
      </c>
      <c r="DV58" s="20" t="n">
        <f aca="false">DS58*MIN(Slot11_Cost,DU58)</f>
        <v>0</v>
      </c>
      <c r="DW58" s="20" t="n">
        <f aca="false">DS58*Slot11_SpendLike*MIN(Slot11_Cost-DV58,DO58)</f>
        <v>0</v>
      </c>
      <c r="DX58" s="20" t="n">
        <f aca="false">DV58+DW58</f>
        <v>0</v>
      </c>
      <c r="DY58" s="20" t="n">
        <f aca="false">DO58-DW58+DS58*IF(Slot11_SpendLike=1,DU58-DV58,IF(Slot11_PotFree=1,DU58,0))</f>
        <v>0</v>
      </c>
      <c r="DZ58" s="20" t="n">
        <f aca="false">DP58+DS58*Slot11_BufPot*DU58</f>
        <v>0</v>
      </c>
      <c r="EA58" s="20" t="n">
        <f aca="false">IF(AND(DS58=1,Slot11_IsMfree=1),IF(DX58&gt;=Slot11_Cost-1,0,MAX(0,DQ58-DX58)),DQ58)</f>
        <v>0</v>
      </c>
      <c r="EB58" s="20" t="n">
        <f aca="false">DS58*(Slot11_Cost-DX58)</f>
        <v>0</v>
      </c>
      <c r="EC58" s="20" t="n">
        <f aca="false">IF(AND(Slot12_On=1,D58=Slot12_Age),1,0)</f>
        <v>0</v>
      </c>
      <c r="ED58" s="20" t="n">
        <f aca="false">IF(AND(Slot12_On=1,Slot12_Age&gt;D58),1,0)</f>
        <v>0</v>
      </c>
      <c r="EE58" s="20" t="n">
        <f aca="false">SE57</f>
        <v>0</v>
      </c>
      <c r="EF58" s="20" t="n">
        <f aca="false">EC58*MIN(Slot12_Cost,EE58)</f>
        <v>0</v>
      </c>
      <c r="EG58" s="20" t="n">
        <f aca="false">EC58*Slot12_SpendLike*MIN(Slot12_Cost-EF58,DY58)</f>
        <v>0</v>
      </c>
      <c r="EH58" s="20" t="n">
        <f aca="false">EF58+EG58</f>
        <v>0</v>
      </c>
      <c r="EI58" s="20" t="n">
        <f aca="false">DY58-EG58+EC58*IF(Slot12_SpendLike=1,EE58-EF58,IF(Slot12_PotFree=1,EE58,0))</f>
        <v>0</v>
      </c>
      <c r="EJ58" s="20" t="n">
        <f aca="false">DZ58+EC58*Slot12_BufPot*EE58</f>
        <v>0</v>
      </c>
      <c r="EK58" s="20" t="n">
        <f aca="false">IF(AND(EC58=1,Slot12_IsMfree=1),IF(EH58&gt;=Slot12_Cost-1,0,MAX(0,EA58-EH58)),EA58)</f>
        <v>0</v>
      </c>
      <c r="EL58" s="20" t="n">
        <f aca="false">EC58*(Slot12_Cost-EH58)</f>
        <v>0</v>
      </c>
      <c r="EM58" s="20" t="n">
        <f aca="false">IF(AND(Slot13_On=1,D58=Slot13_Age),1,0)</f>
        <v>0</v>
      </c>
      <c r="EN58" s="20" t="n">
        <f aca="false">IF(AND(Slot13_On=1,Slot13_Age&gt;D58),1,0)</f>
        <v>0</v>
      </c>
      <c r="EO58" s="20" t="n">
        <f aca="false">SI57</f>
        <v>0</v>
      </c>
      <c r="EP58" s="20" t="n">
        <f aca="false">EM58*MIN(Slot13_Cost,EO58)</f>
        <v>0</v>
      </c>
      <c r="EQ58" s="20" t="n">
        <f aca="false">EM58*Slot13_SpendLike*MIN(Slot13_Cost-EP58,EI58)</f>
        <v>0</v>
      </c>
      <c r="ER58" s="20" t="n">
        <f aca="false">EP58+EQ58</f>
        <v>0</v>
      </c>
      <c r="ES58" s="20" t="n">
        <f aca="false">EI58-EQ58+EM58*IF(Slot13_SpendLike=1,EO58-EP58,IF(Slot13_PotFree=1,EO58,0))</f>
        <v>0</v>
      </c>
      <c r="ET58" s="20" t="n">
        <f aca="false">EJ58+EM58*Slot13_BufPot*EO58</f>
        <v>0</v>
      </c>
      <c r="EU58" s="20" t="n">
        <f aca="false">IF(AND(EM58=1,Slot13_IsMfree=1),IF(ER58&gt;=Slot13_Cost-1,0,MAX(0,EK58-ER58)),EK58)</f>
        <v>0</v>
      </c>
      <c r="EV58" s="20" t="n">
        <f aca="false">EM58*(Slot13_Cost-ER58)</f>
        <v>0</v>
      </c>
      <c r="EW58" s="20" t="n">
        <f aca="false">IF(AND(Slot14_On=1,D58=Slot14_Age),1,0)</f>
        <v>0</v>
      </c>
      <c r="EX58" s="20" t="n">
        <f aca="false">IF(AND(Slot14_On=1,Slot14_Age&gt;D58),1,0)</f>
        <v>0</v>
      </c>
      <c r="EY58" s="20" t="n">
        <f aca="false">SM57</f>
        <v>0</v>
      </c>
      <c r="EZ58" s="20" t="n">
        <f aca="false">EW58*MIN(Slot14_Cost,EY58)</f>
        <v>0</v>
      </c>
      <c r="FA58" s="20" t="n">
        <f aca="false">EW58*Slot14_SpendLike*MIN(Slot14_Cost-EZ58,ES58)</f>
        <v>0</v>
      </c>
      <c r="FB58" s="20" t="n">
        <f aca="false">EZ58+FA58</f>
        <v>0</v>
      </c>
      <c r="FC58" s="20" t="n">
        <f aca="false">ES58-FA58+EW58*IF(Slot14_SpendLike=1,EY58-EZ58,IF(Slot14_PotFree=1,EY58,0))</f>
        <v>0</v>
      </c>
      <c r="FD58" s="20" t="n">
        <f aca="false">ET58+EW58*Slot14_BufPot*EY58</f>
        <v>0</v>
      </c>
      <c r="FE58" s="20" t="n">
        <f aca="false">IF(AND(EW58=1,Slot14_IsMfree=1),IF(FB58&gt;=Slot14_Cost-1,0,MAX(0,EU58-FB58)),EU58)</f>
        <v>0</v>
      </c>
      <c r="FF58" s="20" t="n">
        <f aca="false">EW58*(Slot14_Cost-FB58)</f>
        <v>0</v>
      </c>
      <c r="FG58" s="20" t="n">
        <f aca="false">IF(AND(Slot15_On=1,D58=Slot15_Age),1,0)</f>
        <v>0</v>
      </c>
      <c r="FH58" s="20" t="n">
        <f aca="false">IF(AND(Slot15_On=1,Slot15_Age&gt;D58),1,0)</f>
        <v>0</v>
      </c>
      <c r="FI58" s="20" t="n">
        <f aca="false">SQ57</f>
        <v>0</v>
      </c>
      <c r="FJ58" s="20" t="n">
        <f aca="false">FG58*MIN(Slot15_Cost,FI58)</f>
        <v>0</v>
      </c>
      <c r="FK58" s="20" t="n">
        <f aca="false">FG58*Slot15_SpendLike*MIN(Slot15_Cost-FJ58,FC58)</f>
        <v>0</v>
      </c>
      <c r="FL58" s="20" t="n">
        <f aca="false">FJ58+FK58</f>
        <v>0</v>
      </c>
      <c r="FM58" s="20" t="n">
        <f aca="false">FC58-FK58+FG58*IF(Slot15_SpendLike=1,FI58-FJ58,IF(Slot15_PotFree=1,FI58,0))</f>
        <v>0</v>
      </c>
      <c r="FN58" s="20" t="n">
        <f aca="false">FD58+FG58*Slot15_BufPot*FI58</f>
        <v>0</v>
      </c>
      <c r="FO58" s="20" t="n">
        <f aca="false">IF(AND(FG58=1,Slot15_IsMfree=1),IF(FL58&gt;=Slot15_Cost-1,0,MAX(0,FE58-FL58)),FE58)</f>
        <v>0</v>
      </c>
      <c r="FP58" s="20" t="n">
        <f aca="false">FG58*(Slot15_Cost-FL58)</f>
        <v>0</v>
      </c>
      <c r="FQ58" s="20" t="n">
        <f aca="false">IF(AND(Slot16_On=1,D58=Slot16_Age),1,0)</f>
        <v>0</v>
      </c>
      <c r="FR58" s="20" t="n">
        <f aca="false">IF(AND(Slot16_On=1,Slot16_Age&gt;D58),1,0)</f>
        <v>0</v>
      </c>
      <c r="FS58" s="20" t="n">
        <f aca="false">SU57</f>
        <v>0</v>
      </c>
      <c r="FT58" s="20" t="n">
        <f aca="false">FQ58*MIN(Slot16_Cost,FS58)</f>
        <v>0</v>
      </c>
      <c r="FU58" s="20" t="n">
        <f aca="false">FQ58*Slot16_SpendLike*MIN(Slot16_Cost-FT58,FM58)</f>
        <v>0</v>
      </c>
      <c r="FV58" s="20" t="n">
        <f aca="false">FT58+FU58</f>
        <v>0</v>
      </c>
      <c r="FW58" s="20" t="n">
        <f aca="false">FM58-FU58+FQ58*IF(Slot16_SpendLike=1,FS58-FT58,IF(Slot16_PotFree=1,FS58,0))</f>
        <v>0</v>
      </c>
      <c r="FX58" s="20" t="n">
        <f aca="false">FN58+FQ58*Slot16_BufPot*FS58</f>
        <v>0</v>
      </c>
      <c r="FY58" s="20" t="n">
        <f aca="false">IF(AND(FQ58=1,Slot16_IsMfree=1),IF(FV58&gt;=Slot16_Cost-1,0,MAX(0,FO58-FV58)),FO58)</f>
        <v>0</v>
      </c>
      <c r="FZ58" s="20" t="n">
        <f aca="false">FQ58*(Slot16_Cost-FV58)</f>
        <v>0</v>
      </c>
      <c r="GA58" s="20" t="n">
        <f aca="false">IF(AND(Slot17_On=1,D58=Slot17_Age),1,0)</f>
        <v>0</v>
      </c>
      <c r="GB58" s="20" t="n">
        <f aca="false">IF(AND(Slot17_On=1,Slot17_Age&gt;D58),1,0)</f>
        <v>0</v>
      </c>
      <c r="GC58" s="20" t="n">
        <f aca="false">SY57</f>
        <v>0</v>
      </c>
      <c r="GD58" s="20" t="n">
        <f aca="false">GA58*MIN(Slot17_Cost,GC58)</f>
        <v>0</v>
      </c>
      <c r="GE58" s="20" t="n">
        <f aca="false">GA58*Slot17_SpendLike*MIN(Slot17_Cost-GD58,FW58)</f>
        <v>0</v>
      </c>
      <c r="GF58" s="20" t="n">
        <f aca="false">GD58+GE58</f>
        <v>0</v>
      </c>
      <c r="GG58" s="20" t="n">
        <f aca="false">FW58-GE58+GA58*IF(Slot17_SpendLike=1,GC58-GD58,IF(Slot17_PotFree=1,GC58,0))</f>
        <v>0</v>
      </c>
      <c r="GH58" s="20" t="n">
        <f aca="false">FX58+GA58*Slot17_BufPot*GC58</f>
        <v>0</v>
      </c>
      <c r="GI58" s="20" t="n">
        <f aca="false">IF(AND(GA58=1,Slot17_IsMfree=1),IF(GF58&gt;=Slot17_Cost-1,0,MAX(0,FY58-GF58)),FY58)</f>
        <v>0</v>
      </c>
      <c r="GJ58" s="20" t="n">
        <f aca="false">GA58*(Slot17_Cost-GF58)</f>
        <v>0</v>
      </c>
      <c r="GK58" s="20" t="n">
        <f aca="false">IF(AND(Slot18_On=1,D58=Slot18_Age),1,0)</f>
        <v>0</v>
      </c>
      <c r="GL58" s="20" t="n">
        <f aca="false">IF(AND(Slot18_On=1,Slot18_Age&gt;D58),1,0)</f>
        <v>0</v>
      </c>
      <c r="GM58" s="20" t="n">
        <f aca="false">TC57</f>
        <v>0</v>
      </c>
      <c r="GN58" s="20" t="n">
        <f aca="false">GK58*MIN(Slot18_Cost,GM58)</f>
        <v>0</v>
      </c>
      <c r="GO58" s="20" t="n">
        <f aca="false">GK58*Slot18_SpendLike*MIN(Slot18_Cost-GN58,GG58)</f>
        <v>0</v>
      </c>
      <c r="GP58" s="20" t="n">
        <f aca="false">GN58+GO58</f>
        <v>0</v>
      </c>
      <c r="GQ58" s="20" t="n">
        <f aca="false">GG58-GO58+GK58*IF(Slot18_SpendLike=1,GM58-GN58,IF(Slot18_PotFree=1,GM58,0))</f>
        <v>0</v>
      </c>
      <c r="GR58" s="20" t="n">
        <f aca="false">GH58+GK58*Slot18_BufPot*GM58</f>
        <v>0</v>
      </c>
      <c r="GS58" s="20" t="n">
        <f aca="false">IF(AND(GK58=1,Slot18_IsMfree=1),IF(GP58&gt;=Slot18_Cost-1,0,MAX(0,GI58-GP58)),GI58)</f>
        <v>0</v>
      </c>
      <c r="GT58" s="20" t="n">
        <f aca="false">GK58*(Slot18_Cost-GP58)</f>
        <v>0</v>
      </c>
      <c r="GU58" s="20" t="n">
        <f aca="false">IF(AND(Slot19_On=1,D58=Slot19_Age),1,0)</f>
        <v>0</v>
      </c>
      <c r="GV58" s="20" t="n">
        <f aca="false">IF(AND(Slot19_On=1,Slot19_Age&gt;D58),1,0)</f>
        <v>0</v>
      </c>
      <c r="GW58" s="20" t="n">
        <f aca="false">TG57</f>
        <v>0</v>
      </c>
      <c r="GX58" s="20" t="n">
        <f aca="false">GU58*MIN(Slot19_Cost,GW58)</f>
        <v>0</v>
      </c>
      <c r="GY58" s="20" t="n">
        <f aca="false">GU58*Slot19_SpendLike*MIN(Slot19_Cost-GX58,GQ58)</f>
        <v>0</v>
      </c>
      <c r="GZ58" s="20" t="n">
        <f aca="false">GX58+GY58</f>
        <v>0</v>
      </c>
      <c r="HA58" s="20" t="n">
        <f aca="false">GQ58-GY58+GU58*IF(Slot19_SpendLike=1,GW58-GX58,IF(Slot19_PotFree=1,GW58,0))</f>
        <v>0</v>
      </c>
      <c r="HB58" s="20" t="n">
        <f aca="false">GR58+GU58*Slot19_BufPot*GW58</f>
        <v>0</v>
      </c>
      <c r="HC58" s="20" t="n">
        <f aca="false">IF(AND(GU58=1,Slot19_IsMfree=1),IF(GZ58&gt;=Slot19_Cost-1,0,MAX(0,GS58-GZ58)),GS58)</f>
        <v>0</v>
      </c>
      <c r="HD58" s="20" t="n">
        <f aca="false">GU58*(Slot19_Cost-GZ58)</f>
        <v>0</v>
      </c>
      <c r="HE58" s="20" t="n">
        <f aca="false">IF(AND(Slot20_On=1,D58=Slot20_Age),1,0)</f>
        <v>0</v>
      </c>
      <c r="HF58" s="20" t="n">
        <f aca="false">IF(AND(Slot20_On=1,Slot20_Age&gt;D58),1,0)</f>
        <v>0</v>
      </c>
      <c r="HG58" s="20" t="n">
        <f aca="false">TK57</f>
        <v>0</v>
      </c>
      <c r="HH58" s="20" t="n">
        <f aca="false">HE58*MIN(Slot20_Cost,HG58)</f>
        <v>0</v>
      </c>
      <c r="HI58" s="20" t="n">
        <f aca="false">HE58*Slot20_SpendLike*MIN(Slot20_Cost-HH58,HA58)</f>
        <v>0</v>
      </c>
      <c r="HJ58" s="20" t="n">
        <f aca="false">HH58+HI58</f>
        <v>0</v>
      </c>
      <c r="HK58" s="20" t="n">
        <f aca="false">HA58-HI58+HE58*IF(Slot20_SpendLike=1,HG58-HH58,IF(Slot20_PotFree=1,HG58,0))</f>
        <v>0</v>
      </c>
      <c r="HL58" s="20" t="n">
        <f aca="false">HB58+HE58*Slot20_BufPot*HG58</f>
        <v>0</v>
      </c>
      <c r="HM58" s="20" t="n">
        <f aca="false">IF(AND(HE58=1,Slot20_IsMfree=1),IF(HJ58&gt;=Slot20_Cost-1,0,MAX(0,HC58-HJ58)),HC58)</f>
        <v>0</v>
      </c>
      <c r="HN58" s="20" t="n">
        <f aca="false">HE58*(Slot20_Cost-HJ58)</f>
        <v>0</v>
      </c>
      <c r="HO58" s="20" t="n">
        <f aca="false">V58*Slot1_SpendLike*AA58+AG58*Slot2_SpendLike*AL58+AQ58*Slot3_SpendLike*AV58+BA58*Slot4_SpendLike*BF58+BK58*Slot5_SpendLike*BP58+BU58*Slot6_SpendLike*BZ58+CE58*Slot7_SpendLike*CJ58+CO58*Slot8_SpendLike*CT58+CY58*Slot9_SpendLike*DD58+DI58*Slot10_SpendLike*DN58+DS58*Slot11_SpendLike*DX58+EC58*Slot12_SpendLike*EH58+EM58*Slot13_SpendLike*ER58+EW58*Slot14_SpendLike*FB58+FG58*Slot15_SpendLike*FL58+FQ58*Slot16_SpendLike*FV58+GA58*Slot17_SpendLike*GF58+GK58*Slot18_SpendLike*GP58+GU58*Slot19_SpendLike*GZ58+HE58*Slot20_SpendLike*HJ58</f>
        <v>0</v>
      </c>
      <c r="HP58" s="20" t="n">
        <f aca="false">AE58+AP58+AZ58+BJ58+BT58+CD58+CN58+CX58+DH58+DR58+EB58+EL58+EV58+FF58+FP58+FZ58+GJ58+GT58+HD58+HN58</f>
        <v>0</v>
      </c>
      <c r="HQ58" s="20" t="n">
        <f aca="false">V58*Slot1_Cost+AG58*Slot2_Cost+AQ58*Slot3_Cost+BA58*Slot4_Cost+BK58*Slot5_Cost+BU58*Slot6_Cost+CE58*Slot7_Cost+CO58*Slot8_Cost+CY58*Slot9_Cost+DI58*Slot10_Cost+DS58*Slot11_Cost+EC58*Slot12_Cost+EM58*Slot13_Cost+EW58*Slot14_Cost+FG58*Slot15_Cost+FQ58*Slot16_Cost+GA58*Slot17_Cost+GK58*Slot18_Cost+GU58*Slot19_Cost+HE58*Slot20_Cost</f>
        <v>0</v>
      </c>
      <c r="HR58" s="20" t="n">
        <f aca="false">HM58</f>
        <v>0</v>
      </c>
      <c r="HS58" s="20" t="n">
        <f aca="false">H58-I58-S58</f>
        <v>-27428.8502381298</v>
      </c>
      <c r="HT58" s="20" t="n">
        <f aca="false">IF(B58=0,IF(AND(Has_q6=1,In_q6=4),PR_ShareVaries*(MAX(0,HS58)/12),MIN(IF(Has_q6=1,CHOOSE(In_q6+1,PR_SaveB1,PR_SaveB2,PR_SaveB3,PR_SaveB4,0),AS_NoAnswer),AS_SaveShare*(MAX(0,HS58)/12))),HT57)</f>
        <v>62.3316893520437</v>
      </c>
      <c r="HU58" s="20" t="n">
        <f aca="false">IF(HS58&gt;=0,1,0)</f>
        <v>0</v>
      </c>
      <c r="HV58" s="20" t="n">
        <f aca="false">MAX(0,HS58/12/F58)</f>
        <v>0</v>
      </c>
      <c r="HW58" s="20" t="n">
        <f aca="false">IF(AND(Has_q6=1,In_q6=4),PR_ShareVaries*(HV58),MIN(IF(Has_q6=1,CHOOSE(In_q6+1,PR_SaveB1,PR_SaveB2,PR_SaveB3,PR_SaveB4,0),AS_NoAnswer),AS_SaveShare*(HV58)))</f>
        <v>0</v>
      </c>
      <c r="HX58" s="20" t="n">
        <f aca="false">IF(Has_saveM=1,IF(In_saveUp="Yes",1,IF(In_saveUp="No",0,IF(In_saveM&gt;=HT58-0.5,1,0))),0)</f>
        <v>0</v>
      </c>
      <c r="HY58" s="20" t="n">
        <f aca="false">IF(Has_saveM=1,MIN(HV58,IF(HX58=1,MAX(In_saveM,HW58),MIN(In_saveM,HW58))),HW58)</f>
        <v>0</v>
      </c>
      <c r="HZ58" s="20" t="n">
        <f aca="false">IF(G58=1,HY58*12*F58,0)</f>
        <v>0</v>
      </c>
      <c r="IA58" s="20" t="n">
        <f aca="false">MAX(0,HZ58+IF(AND(WI_Retire=0,WI_M&lt;0,G58=1),WI_M*12*F58,0))</f>
        <v>0</v>
      </c>
      <c r="IB58" s="20" t="n">
        <f aca="false">Slot1_IsWG*W58+Slot2_IsWG*AH58+Slot3_IsWG*AR58+Slot4_IsWG*BB58+Slot5_IsWG*BL58+Slot6_IsWG*BV58+Slot7_IsWG*CF58+Slot8_IsWG*CP58+Slot9_IsWG*CZ58+Slot10_IsWG*DJ58+Slot11_IsWG*DT58+Slot12_IsWG*ED58+Slot13_IsWG*EN58+Slot14_IsWG*EX58+Slot15_IsWG*FH58+Slot16_IsWG*FR58+Slot17_IsWG*GB58+Slot18_IsWG*GL58+Slot19_IsWG*GV58+Slot20_IsWG*HF58</f>
        <v>0</v>
      </c>
      <c r="IC58" s="20" t="n">
        <f aca="false">IF(AND(WI_Retire=0,WI_M&gt;0,G58=1,IB58&gt;=1),WI_M*12*F58,0)</f>
        <v>0</v>
      </c>
      <c r="ID58" s="20" t="n">
        <f aca="false">IF(HU58=1,MIN(IA58,HS58),0)</f>
        <v>0</v>
      </c>
      <c r="IE58" s="20" t="n">
        <f aca="false">IF(HU58=1,MIN(IC58,HS58-ID58),0)</f>
        <v>0</v>
      </c>
      <c r="IF58" s="20" t="n">
        <f aca="false">IF(W58=1,IF(ABS((1+AS_Wage)/(1+Slot1_Rate)-1)&lt;0.000000000001,(Slot1_Age-D58)*(1+Slot1_Rate)^(Slot1_Age-D58),(1+Slot1_Rate)^(Slot1_Age-D58)*(1-((1+AS_Wage)/(1+Slot1_Rate))^(Slot1_Age-D58))/(1-(1+AS_Wage)/(1+Slot1_Rate))),1)</f>
        <v>1</v>
      </c>
      <c r="IG58" s="20" t="n">
        <f aca="false">IF(AND(HU58=1,IE58&gt;0,Slot1_IsWG=1,W58=1),MAX(0,(Slot1_Cost-X58*(1+Slot1_Rate)^(Slot1_Age-D58))/IF58),0)</f>
        <v>0</v>
      </c>
      <c r="IH58" s="20" t="n">
        <f aca="false">IF(AND(HU58=1,IE58&gt;0,Slot1_IsWG=1,W58=1),MIN(IE58,IG58),0)</f>
        <v>0</v>
      </c>
      <c r="II58" s="20" t="n">
        <f aca="false">X58+IH58</f>
        <v>0</v>
      </c>
      <c r="IJ58" s="20" t="n">
        <f aca="false">IF(W58=1,MAX(0,(Slot1_Cost-II58*(1+Slot1_Rate)^(Slot1_Age-D58))/IF58),0)</f>
        <v>0</v>
      </c>
      <c r="IK58" s="20" t="n">
        <f aca="false">IF(W58=1,MAX(0,(Slot1_Cost-X58*(1+Slot1_Rate)^(Slot1_Age-D58))/IF58),0)</f>
        <v>0</v>
      </c>
      <c r="IL58" s="20" t="n">
        <f aca="false">IF(AND(HU58=1,W58=1),MIN(ID58,IJ58),0)</f>
        <v>0</v>
      </c>
      <c r="IM58" s="20" t="n">
        <f aca="false">ID58-IL58</f>
        <v>0</v>
      </c>
      <c r="IN58" s="20" t="n">
        <f aca="false">IF(AH58=1,IF(ABS((1+AS_Wage)/(1+Slot2_Rate)-1)&lt;0.000000000001,(Slot2_Age-D58)*(1+Slot2_Rate)^(Slot2_Age-D58),(1+Slot2_Rate)^(Slot2_Age-D58)*(1-((1+AS_Wage)/(1+Slot2_Rate))^(Slot2_Age-D58))/(1-(1+AS_Wage)/(1+Slot2_Rate))),1)</f>
        <v>1</v>
      </c>
      <c r="IO58" s="20" t="n">
        <f aca="false">IF(AND(HU58=1,IE58&gt;0,Slot2_IsWG=1,AH58=1),MAX(0,(Slot2_Cost-AI58*(1+Slot2_Rate)^(Slot2_Age-D58))/IN58),0)</f>
        <v>0</v>
      </c>
      <c r="IP58" s="20" t="n">
        <f aca="false">IF(AND(HU58=1,IE58&gt;0,Slot2_IsWG=1,AH58=1),MIN(IE58,IO58),0)</f>
        <v>0</v>
      </c>
      <c r="IQ58" s="20" t="n">
        <f aca="false">AI58+IP58</f>
        <v>0</v>
      </c>
      <c r="IR58" s="20" t="n">
        <f aca="false">IF(AH58=1,MAX(0,(Slot2_Cost-IQ58*(1+Slot2_Rate)^(Slot2_Age-D58))/IN58),0)</f>
        <v>0</v>
      </c>
      <c r="IS58" s="20" t="n">
        <f aca="false">IF(AH58=1,MAX(0,(Slot2_Cost-AI58*(1+Slot2_Rate)^(Slot2_Age-D58))/IN58),0)</f>
        <v>0</v>
      </c>
      <c r="IT58" s="20" t="n">
        <f aca="false">IF(AND(HU58=1,AH58=1),MIN(IM58,IR58),0)</f>
        <v>0</v>
      </c>
      <c r="IU58" s="20" t="n">
        <f aca="false">IM58-IT58</f>
        <v>0</v>
      </c>
      <c r="IV58" s="20" t="n">
        <f aca="false">IF(AR58=1,IF(ABS((1+AS_Wage)/(1+Slot3_Rate)-1)&lt;0.000000000001,(Slot3_Age-D58)*(1+Slot3_Rate)^(Slot3_Age-D58),(1+Slot3_Rate)^(Slot3_Age-D58)*(1-((1+AS_Wage)/(1+Slot3_Rate))^(Slot3_Age-D58))/(1-(1+AS_Wage)/(1+Slot3_Rate))),1)</f>
        <v>1</v>
      </c>
      <c r="IW58" s="20" t="n">
        <f aca="false">IF(AND(HU58=1,IE58&gt;0,Slot3_IsWG=1,AR58=1),MAX(0,(Slot3_Cost-AS58*(1+Slot3_Rate)^(Slot3_Age-D58))/IV58),0)</f>
        <v>0</v>
      </c>
      <c r="IX58" s="20" t="n">
        <f aca="false">IF(AND(HU58=1,IE58&gt;0,Slot3_IsWG=1,AR58=1),MIN(IE58,IW58),0)</f>
        <v>0</v>
      </c>
      <c r="IY58" s="20" t="n">
        <f aca="false">AS58+IX58</f>
        <v>0</v>
      </c>
      <c r="IZ58" s="20" t="n">
        <f aca="false">IF(AR58=1,MAX(0,(Slot3_Cost-IY58*(1+Slot3_Rate)^(Slot3_Age-D58))/IV58),0)</f>
        <v>0</v>
      </c>
      <c r="JA58" s="20" t="n">
        <f aca="false">IF(AR58=1,MAX(0,(Slot3_Cost-AS58*(1+Slot3_Rate)^(Slot3_Age-D58))/IV58),0)</f>
        <v>0</v>
      </c>
      <c r="JB58" s="20" t="n">
        <f aca="false">IF(AND(HU58=1,AR58=1),MIN(IU58,IZ58),0)</f>
        <v>0</v>
      </c>
      <c r="JC58" s="20" t="n">
        <f aca="false">IU58-JB58</f>
        <v>0</v>
      </c>
      <c r="JD58" s="20" t="n">
        <f aca="false">IF(BB58=1,IF(ABS((1+AS_Wage)/(1+Slot4_Rate)-1)&lt;0.000000000001,(Slot4_Age-D58)*(1+Slot4_Rate)^(Slot4_Age-D58),(1+Slot4_Rate)^(Slot4_Age-D58)*(1-((1+AS_Wage)/(1+Slot4_Rate))^(Slot4_Age-D58))/(1-(1+AS_Wage)/(1+Slot4_Rate))),1)</f>
        <v>1</v>
      </c>
      <c r="JE58" s="20" t="n">
        <f aca="false">IF(AND(HU58=1,IE58&gt;0,Slot4_IsWG=1,BB58=1),MAX(0,(Slot4_Cost-BC58*(1+Slot4_Rate)^(Slot4_Age-D58))/JD58),0)</f>
        <v>0</v>
      </c>
      <c r="JF58" s="20" t="n">
        <f aca="false">IF(AND(HU58=1,IE58&gt;0,Slot4_IsWG=1,BB58=1),MIN(IE58,JE58),0)</f>
        <v>0</v>
      </c>
      <c r="JG58" s="20" t="n">
        <f aca="false">BC58+JF58</f>
        <v>0</v>
      </c>
      <c r="JH58" s="20" t="n">
        <f aca="false">IF(BB58=1,MAX(0,(Slot4_Cost-JG58*(1+Slot4_Rate)^(Slot4_Age-D58))/JD58),0)</f>
        <v>0</v>
      </c>
      <c r="JI58" s="20" t="n">
        <f aca="false">IF(BB58=1,MAX(0,(Slot4_Cost-BC58*(1+Slot4_Rate)^(Slot4_Age-D58))/JD58),0)</f>
        <v>0</v>
      </c>
      <c r="JJ58" s="20" t="n">
        <f aca="false">IF(AND(HU58=1,BB58=1),MIN(JC58,JH58),0)</f>
        <v>0</v>
      </c>
      <c r="JK58" s="20" t="n">
        <f aca="false">JC58-JJ58</f>
        <v>0</v>
      </c>
      <c r="JL58" s="20" t="n">
        <f aca="false">IF(BL58=1,IF(ABS((1+AS_Wage)/(1+Slot5_Rate)-1)&lt;0.000000000001,(Slot5_Age-D58)*(1+Slot5_Rate)^(Slot5_Age-D58),(1+Slot5_Rate)^(Slot5_Age-D58)*(1-((1+AS_Wage)/(1+Slot5_Rate))^(Slot5_Age-D58))/(1-(1+AS_Wage)/(1+Slot5_Rate))),1)</f>
        <v>1</v>
      </c>
      <c r="JM58" s="20" t="n">
        <f aca="false">IF(AND(HU58=1,IE58&gt;0,Slot5_IsWG=1,BL58=1),MAX(0,(Slot5_Cost-BM58*(1+Slot5_Rate)^(Slot5_Age-D58))/JL58),0)</f>
        <v>0</v>
      </c>
      <c r="JN58" s="20" t="n">
        <f aca="false">IF(AND(HU58=1,IE58&gt;0,Slot5_IsWG=1,BL58=1),MIN(IE58,JM58),0)</f>
        <v>0</v>
      </c>
      <c r="JO58" s="20" t="n">
        <f aca="false">BM58+JN58</f>
        <v>0</v>
      </c>
      <c r="JP58" s="20" t="n">
        <f aca="false">IF(BL58=1,MAX(0,(Slot5_Cost-JO58*(1+Slot5_Rate)^(Slot5_Age-D58))/JL58),0)</f>
        <v>0</v>
      </c>
      <c r="JQ58" s="20" t="n">
        <f aca="false">IF(BL58=1,MAX(0,(Slot5_Cost-BM58*(1+Slot5_Rate)^(Slot5_Age-D58))/JL58),0)</f>
        <v>0</v>
      </c>
      <c r="JR58" s="20" t="n">
        <f aca="false">IF(AND(HU58=1,BL58=1),MIN(JK58,JP58),0)</f>
        <v>0</v>
      </c>
      <c r="JS58" s="20" t="n">
        <f aca="false">JK58-JR58</f>
        <v>0</v>
      </c>
      <c r="JT58" s="20" t="n">
        <f aca="false">IF(BV58=1,IF(ABS((1+AS_Wage)/(1+Slot6_Rate)-1)&lt;0.000000000001,(Slot6_Age-D58)*(1+Slot6_Rate)^(Slot6_Age-D58),(1+Slot6_Rate)^(Slot6_Age-D58)*(1-((1+AS_Wage)/(1+Slot6_Rate))^(Slot6_Age-D58))/(1-(1+AS_Wage)/(1+Slot6_Rate))),1)</f>
        <v>1</v>
      </c>
      <c r="JU58" s="20" t="n">
        <f aca="false">IF(AND(HU58=1,IE58&gt;0,Slot6_IsWG=1,BV58=1),MAX(0,(Slot6_Cost-BW58*(1+Slot6_Rate)^(Slot6_Age-D58))/JT58),0)</f>
        <v>0</v>
      </c>
      <c r="JV58" s="20" t="n">
        <f aca="false">IF(AND(HU58=1,IE58&gt;0,Slot6_IsWG=1,BV58=1),MIN(IE58,JU58),0)</f>
        <v>0</v>
      </c>
      <c r="JW58" s="20" t="n">
        <f aca="false">BW58+JV58</f>
        <v>0</v>
      </c>
      <c r="JX58" s="20" t="n">
        <f aca="false">IF(BV58=1,MAX(0,(Slot6_Cost-JW58*(1+Slot6_Rate)^(Slot6_Age-D58))/JT58),0)</f>
        <v>0</v>
      </c>
      <c r="JY58" s="20" t="n">
        <f aca="false">IF(BV58=1,MAX(0,(Slot6_Cost-BW58*(1+Slot6_Rate)^(Slot6_Age-D58))/JT58),0)</f>
        <v>0</v>
      </c>
      <c r="JZ58" s="20" t="n">
        <f aca="false">IF(AND(HU58=1,BV58=1),MIN(JS58,JX58),0)</f>
        <v>0</v>
      </c>
      <c r="KA58" s="20" t="n">
        <f aca="false">JS58-JZ58</f>
        <v>0</v>
      </c>
      <c r="KB58" s="20" t="n">
        <f aca="false">IF(CF58=1,IF(ABS((1+AS_Wage)/(1+Slot7_Rate)-1)&lt;0.000000000001,(Slot7_Age-D58)*(1+Slot7_Rate)^(Slot7_Age-D58),(1+Slot7_Rate)^(Slot7_Age-D58)*(1-((1+AS_Wage)/(1+Slot7_Rate))^(Slot7_Age-D58))/(1-(1+AS_Wage)/(1+Slot7_Rate))),1)</f>
        <v>1</v>
      </c>
      <c r="KC58" s="20" t="n">
        <f aca="false">IF(AND(HU58=1,IE58&gt;0,Slot7_IsWG=1,CF58=1),MAX(0,(Slot7_Cost-CG58*(1+Slot7_Rate)^(Slot7_Age-D58))/KB58),0)</f>
        <v>0</v>
      </c>
      <c r="KD58" s="20" t="n">
        <f aca="false">IF(AND(HU58=1,IE58&gt;0,Slot7_IsWG=1,CF58=1),MIN(IE58,KC58),0)</f>
        <v>0</v>
      </c>
      <c r="KE58" s="20" t="n">
        <f aca="false">CG58+KD58</f>
        <v>0</v>
      </c>
      <c r="KF58" s="20" t="n">
        <f aca="false">IF(CF58=1,MAX(0,(Slot7_Cost-KE58*(1+Slot7_Rate)^(Slot7_Age-D58))/KB58),0)</f>
        <v>0</v>
      </c>
      <c r="KG58" s="20" t="n">
        <f aca="false">IF(CF58=1,MAX(0,(Slot7_Cost-CG58*(1+Slot7_Rate)^(Slot7_Age-D58))/KB58),0)</f>
        <v>0</v>
      </c>
      <c r="KH58" s="20" t="n">
        <f aca="false">IF(AND(HU58=1,CF58=1),MIN(KA58,KF58),0)</f>
        <v>0</v>
      </c>
      <c r="KI58" s="20" t="n">
        <f aca="false">KA58-KH58</f>
        <v>0</v>
      </c>
      <c r="KJ58" s="20" t="n">
        <f aca="false">IF(CP58=1,IF(ABS((1+AS_Wage)/(1+Slot8_Rate)-1)&lt;0.000000000001,(Slot8_Age-D58)*(1+Slot8_Rate)^(Slot8_Age-D58),(1+Slot8_Rate)^(Slot8_Age-D58)*(1-((1+AS_Wage)/(1+Slot8_Rate))^(Slot8_Age-D58))/(1-(1+AS_Wage)/(1+Slot8_Rate))),1)</f>
        <v>1</v>
      </c>
      <c r="KK58" s="20" t="n">
        <f aca="false">IF(AND(HU58=1,IE58&gt;0,Slot8_IsWG=1,CP58=1),MAX(0,(Slot8_Cost-CQ58*(1+Slot8_Rate)^(Slot8_Age-D58))/KJ58),0)</f>
        <v>0</v>
      </c>
      <c r="KL58" s="20" t="n">
        <f aca="false">IF(AND(HU58=1,IE58&gt;0,Slot8_IsWG=1,CP58=1),MIN(IE58,KK58),0)</f>
        <v>0</v>
      </c>
      <c r="KM58" s="20" t="n">
        <f aca="false">CQ58+KL58</f>
        <v>0</v>
      </c>
      <c r="KN58" s="20" t="n">
        <f aca="false">IF(CP58=1,MAX(0,(Slot8_Cost-KM58*(1+Slot8_Rate)^(Slot8_Age-D58))/KJ58),0)</f>
        <v>0</v>
      </c>
      <c r="KO58" s="20" t="n">
        <f aca="false">IF(CP58=1,MAX(0,(Slot8_Cost-CQ58*(1+Slot8_Rate)^(Slot8_Age-D58))/KJ58),0)</f>
        <v>0</v>
      </c>
      <c r="KP58" s="20" t="n">
        <f aca="false">IF(AND(HU58=1,CP58=1),MIN(KI58,KN58),0)</f>
        <v>0</v>
      </c>
      <c r="KQ58" s="20" t="n">
        <f aca="false">KI58-KP58</f>
        <v>0</v>
      </c>
      <c r="KR58" s="20" t="n">
        <f aca="false">IF(CZ58=1,IF(ABS((1+AS_Wage)/(1+Slot9_Rate)-1)&lt;0.000000000001,(Slot9_Age-D58)*(1+Slot9_Rate)^(Slot9_Age-D58),(1+Slot9_Rate)^(Slot9_Age-D58)*(1-((1+AS_Wage)/(1+Slot9_Rate))^(Slot9_Age-D58))/(1-(1+AS_Wage)/(1+Slot9_Rate))),1)</f>
        <v>1</v>
      </c>
      <c r="KS58" s="20" t="n">
        <f aca="false">IF(AND(HU58=1,IE58&gt;0,Slot9_IsWG=1,CZ58=1),MAX(0,(Slot9_Cost-DA58*(1+Slot9_Rate)^(Slot9_Age-D58))/KR58),0)</f>
        <v>0</v>
      </c>
      <c r="KT58" s="20" t="n">
        <f aca="false">IF(AND(HU58=1,IE58&gt;0,Slot9_IsWG=1,CZ58=1),MIN(IE58,KS58),0)</f>
        <v>0</v>
      </c>
      <c r="KU58" s="20" t="n">
        <f aca="false">DA58+KT58</f>
        <v>0</v>
      </c>
      <c r="KV58" s="20" t="n">
        <f aca="false">IF(CZ58=1,MAX(0,(Slot9_Cost-KU58*(1+Slot9_Rate)^(Slot9_Age-D58))/KR58),0)</f>
        <v>0</v>
      </c>
      <c r="KW58" s="20" t="n">
        <f aca="false">IF(CZ58=1,MAX(0,(Slot9_Cost-DA58*(1+Slot9_Rate)^(Slot9_Age-D58))/KR58),0)</f>
        <v>0</v>
      </c>
      <c r="KX58" s="20" t="n">
        <f aca="false">IF(AND(HU58=1,CZ58=1),MIN(KQ58,KV58),0)</f>
        <v>0</v>
      </c>
      <c r="KY58" s="20" t="n">
        <f aca="false">KQ58-KX58</f>
        <v>0</v>
      </c>
      <c r="KZ58" s="20" t="n">
        <f aca="false">IF(DJ58=1,IF(ABS((1+AS_Wage)/(1+Slot10_Rate)-1)&lt;0.000000000001,(Slot10_Age-D58)*(1+Slot10_Rate)^(Slot10_Age-D58),(1+Slot10_Rate)^(Slot10_Age-D58)*(1-((1+AS_Wage)/(1+Slot10_Rate))^(Slot10_Age-D58))/(1-(1+AS_Wage)/(1+Slot10_Rate))),1)</f>
        <v>1</v>
      </c>
      <c r="LA58" s="20" t="n">
        <f aca="false">IF(AND(HU58=1,IE58&gt;0,Slot10_IsWG=1,DJ58=1),MAX(0,(Slot10_Cost-DK58*(1+Slot10_Rate)^(Slot10_Age-D58))/KZ58),0)</f>
        <v>0</v>
      </c>
      <c r="LB58" s="20" t="n">
        <f aca="false">IF(AND(HU58=1,IE58&gt;0,Slot10_IsWG=1,DJ58=1),MIN(IE58,LA58),0)</f>
        <v>0</v>
      </c>
      <c r="LC58" s="20" t="n">
        <f aca="false">DK58+LB58</f>
        <v>0</v>
      </c>
      <c r="LD58" s="20" t="n">
        <f aca="false">IF(DJ58=1,MAX(0,(Slot10_Cost-LC58*(1+Slot10_Rate)^(Slot10_Age-D58))/KZ58),0)</f>
        <v>0</v>
      </c>
      <c r="LE58" s="20" t="n">
        <f aca="false">IF(DJ58=1,MAX(0,(Slot10_Cost-DK58*(1+Slot10_Rate)^(Slot10_Age-D58))/KZ58),0)</f>
        <v>0</v>
      </c>
      <c r="LF58" s="20" t="n">
        <f aca="false">IF(AND(HU58=1,DJ58=1),MIN(KY58,LD58),0)</f>
        <v>0</v>
      </c>
      <c r="LG58" s="20" t="n">
        <f aca="false">KY58-LF58</f>
        <v>0</v>
      </c>
      <c r="LH58" s="20" t="n">
        <f aca="false">IF(DT58=1,IF(ABS((1+AS_Wage)/(1+Slot11_Rate)-1)&lt;0.000000000001,(Slot11_Age-D58)*(1+Slot11_Rate)^(Slot11_Age-D58),(1+Slot11_Rate)^(Slot11_Age-D58)*(1-((1+AS_Wage)/(1+Slot11_Rate))^(Slot11_Age-D58))/(1-(1+AS_Wage)/(1+Slot11_Rate))),1)</f>
        <v>1</v>
      </c>
      <c r="LI58" s="20" t="n">
        <f aca="false">IF(AND(HU58=1,IE58&gt;0,Slot11_IsWG=1,DT58=1),MAX(0,(Slot11_Cost-DU58*(1+Slot11_Rate)^(Slot11_Age-D58))/LH58),0)</f>
        <v>0</v>
      </c>
      <c r="LJ58" s="20" t="n">
        <f aca="false">IF(AND(HU58=1,IE58&gt;0,Slot11_IsWG=1,DT58=1),MIN(IE58,LI58),0)</f>
        <v>0</v>
      </c>
      <c r="LK58" s="20" t="n">
        <f aca="false">DU58+LJ58</f>
        <v>0</v>
      </c>
      <c r="LL58" s="20" t="n">
        <f aca="false">IF(DT58=1,MAX(0,(Slot11_Cost-LK58*(1+Slot11_Rate)^(Slot11_Age-D58))/LH58),0)</f>
        <v>0</v>
      </c>
      <c r="LM58" s="20" t="n">
        <f aca="false">IF(DT58=1,MAX(0,(Slot11_Cost-DU58*(1+Slot11_Rate)^(Slot11_Age-D58))/LH58),0)</f>
        <v>0</v>
      </c>
      <c r="LN58" s="20" t="n">
        <f aca="false">IF(AND(HU58=1,DT58=1),MIN(LG58,LL58),0)</f>
        <v>0</v>
      </c>
      <c r="LO58" s="20" t="n">
        <f aca="false">LG58-LN58</f>
        <v>0</v>
      </c>
      <c r="LP58" s="20" t="n">
        <f aca="false">IF(ED58=1,IF(ABS((1+AS_Wage)/(1+Slot12_Rate)-1)&lt;0.000000000001,(Slot12_Age-D58)*(1+Slot12_Rate)^(Slot12_Age-D58),(1+Slot12_Rate)^(Slot12_Age-D58)*(1-((1+AS_Wage)/(1+Slot12_Rate))^(Slot12_Age-D58))/(1-(1+AS_Wage)/(1+Slot12_Rate))),1)</f>
        <v>1</v>
      </c>
      <c r="LQ58" s="20" t="n">
        <f aca="false">IF(AND(HU58=1,IE58&gt;0,Slot12_IsWG=1,ED58=1),MAX(0,(Slot12_Cost-EE58*(1+Slot12_Rate)^(Slot12_Age-D58))/LP58),0)</f>
        <v>0</v>
      </c>
      <c r="LR58" s="20" t="n">
        <f aca="false">IF(AND(HU58=1,IE58&gt;0,Slot12_IsWG=1,ED58=1),MIN(IE58,LQ58),0)</f>
        <v>0</v>
      </c>
      <c r="LS58" s="20" t="n">
        <f aca="false">EE58+LR58</f>
        <v>0</v>
      </c>
      <c r="LT58" s="20" t="n">
        <f aca="false">IF(ED58=1,MAX(0,(Slot12_Cost-LS58*(1+Slot12_Rate)^(Slot12_Age-D58))/LP58),0)</f>
        <v>0</v>
      </c>
      <c r="LU58" s="20" t="n">
        <f aca="false">IF(ED58=1,MAX(0,(Slot12_Cost-EE58*(1+Slot12_Rate)^(Slot12_Age-D58))/LP58),0)</f>
        <v>0</v>
      </c>
      <c r="LV58" s="20" t="n">
        <f aca="false">IF(AND(HU58=1,ED58=1),MIN(LO58,LT58),0)</f>
        <v>0</v>
      </c>
      <c r="LW58" s="20" t="n">
        <f aca="false">LO58-LV58</f>
        <v>0</v>
      </c>
      <c r="LX58" s="20" t="n">
        <f aca="false">IF(EN58=1,IF(ABS((1+AS_Wage)/(1+Slot13_Rate)-1)&lt;0.000000000001,(Slot13_Age-D58)*(1+Slot13_Rate)^(Slot13_Age-D58),(1+Slot13_Rate)^(Slot13_Age-D58)*(1-((1+AS_Wage)/(1+Slot13_Rate))^(Slot13_Age-D58))/(1-(1+AS_Wage)/(1+Slot13_Rate))),1)</f>
        <v>1</v>
      </c>
      <c r="LY58" s="20" t="n">
        <f aca="false">IF(AND(HU58=1,IE58&gt;0,Slot13_IsWG=1,EN58=1),MAX(0,(Slot13_Cost-EO58*(1+Slot13_Rate)^(Slot13_Age-D58))/LX58),0)</f>
        <v>0</v>
      </c>
      <c r="LZ58" s="20" t="n">
        <f aca="false">IF(AND(HU58=1,IE58&gt;0,Slot13_IsWG=1,EN58=1),MIN(IE58,LY58),0)</f>
        <v>0</v>
      </c>
      <c r="MA58" s="20" t="n">
        <f aca="false">EO58+LZ58</f>
        <v>0</v>
      </c>
      <c r="MB58" s="20" t="n">
        <f aca="false">IF(EN58=1,MAX(0,(Slot13_Cost-MA58*(1+Slot13_Rate)^(Slot13_Age-D58))/LX58),0)</f>
        <v>0</v>
      </c>
      <c r="MC58" s="20" t="n">
        <f aca="false">IF(EN58=1,MAX(0,(Slot13_Cost-EO58*(1+Slot13_Rate)^(Slot13_Age-D58))/LX58),0)</f>
        <v>0</v>
      </c>
      <c r="MD58" s="20" t="n">
        <f aca="false">IF(AND(HU58=1,EN58=1),MIN(LW58,MB58),0)</f>
        <v>0</v>
      </c>
      <c r="ME58" s="20" t="n">
        <f aca="false">LW58-MD58</f>
        <v>0</v>
      </c>
      <c r="MF58" s="20" t="n">
        <f aca="false">IF(EX58=1,IF(ABS((1+AS_Wage)/(1+Slot14_Rate)-1)&lt;0.000000000001,(Slot14_Age-D58)*(1+Slot14_Rate)^(Slot14_Age-D58),(1+Slot14_Rate)^(Slot14_Age-D58)*(1-((1+AS_Wage)/(1+Slot14_Rate))^(Slot14_Age-D58))/(1-(1+AS_Wage)/(1+Slot14_Rate))),1)</f>
        <v>1</v>
      </c>
      <c r="MG58" s="20" t="n">
        <f aca="false">IF(AND(HU58=1,IE58&gt;0,Slot14_IsWG=1,EX58=1),MAX(0,(Slot14_Cost-EY58*(1+Slot14_Rate)^(Slot14_Age-D58))/MF58),0)</f>
        <v>0</v>
      </c>
      <c r="MH58" s="20" t="n">
        <f aca="false">IF(AND(HU58=1,IE58&gt;0,Slot14_IsWG=1,EX58=1),MIN(IE58,MG58),0)</f>
        <v>0</v>
      </c>
      <c r="MI58" s="20" t="n">
        <f aca="false">EY58+MH58</f>
        <v>0</v>
      </c>
      <c r="MJ58" s="20" t="n">
        <f aca="false">IF(EX58=1,MAX(0,(Slot14_Cost-MI58*(1+Slot14_Rate)^(Slot14_Age-D58))/MF58),0)</f>
        <v>0</v>
      </c>
      <c r="MK58" s="20" t="n">
        <f aca="false">IF(EX58=1,MAX(0,(Slot14_Cost-EY58*(1+Slot14_Rate)^(Slot14_Age-D58))/MF58),0)</f>
        <v>0</v>
      </c>
      <c r="ML58" s="20" t="n">
        <f aca="false">IF(AND(HU58=1,EX58=1),MIN(ME58,MJ58),0)</f>
        <v>0</v>
      </c>
      <c r="MM58" s="20" t="n">
        <f aca="false">ME58-ML58</f>
        <v>0</v>
      </c>
      <c r="MN58" s="20" t="n">
        <f aca="false">IF(FH58=1,IF(ABS((1+AS_Wage)/(1+Slot15_Rate)-1)&lt;0.000000000001,(Slot15_Age-D58)*(1+Slot15_Rate)^(Slot15_Age-D58),(1+Slot15_Rate)^(Slot15_Age-D58)*(1-((1+AS_Wage)/(1+Slot15_Rate))^(Slot15_Age-D58))/(1-(1+AS_Wage)/(1+Slot15_Rate))),1)</f>
        <v>1</v>
      </c>
      <c r="MO58" s="20" t="n">
        <f aca="false">IF(AND(HU58=1,IE58&gt;0,Slot15_IsWG=1,FH58=1),MAX(0,(Slot15_Cost-FI58*(1+Slot15_Rate)^(Slot15_Age-D58))/MN58),0)</f>
        <v>0</v>
      </c>
      <c r="MP58" s="20" t="n">
        <f aca="false">IF(AND(HU58=1,IE58&gt;0,Slot15_IsWG=1,FH58=1),MIN(IE58,MO58),0)</f>
        <v>0</v>
      </c>
      <c r="MQ58" s="20" t="n">
        <f aca="false">FI58+MP58</f>
        <v>0</v>
      </c>
      <c r="MR58" s="20" t="n">
        <f aca="false">IF(FH58=1,MAX(0,(Slot15_Cost-MQ58*(1+Slot15_Rate)^(Slot15_Age-D58))/MN58),0)</f>
        <v>0</v>
      </c>
      <c r="MS58" s="20" t="n">
        <f aca="false">IF(FH58=1,MAX(0,(Slot15_Cost-FI58*(1+Slot15_Rate)^(Slot15_Age-D58))/MN58),0)</f>
        <v>0</v>
      </c>
      <c r="MT58" s="20" t="n">
        <f aca="false">IF(AND(HU58=1,FH58=1),MIN(MM58,MR58),0)</f>
        <v>0</v>
      </c>
      <c r="MU58" s="20" t="n">
        <f aca="false">MM58-MT58</f>
        <v>0</v>
      </c>
      <c r="MV58" s="20" t="n">
        <f aca="false">IF(FR58=1,IF(ABS((1+AS_Wage)/(1+Slot16_Rate)-1)&lt;0.000000000001,(Slot16_Age-D58)*(1+Slot16_Rate)^(Slot16_Age-D58),(1+Slot16_Rate)^(Slot16_Age-D58)*(1-((1+AS_Wage)/(1+Slot16_Rate))^(Slot16_Age-D58))/(1-(1+AS_Wage)/(1+Slot16_Rate))),1)</f>
        <v>1</v>
      </c>
      <c r="MW58" s="20" t="n">
        <f aca="false">IF(AND(HU58=1,IE58&gt;0,Slot16_IsWG=1,FR58=1),MAX(0,(Slot16_Cost-FS58*(1+Slot16_Rate)^(Slot16_Age-D58))/MV58),0)</f>
        <v>0</v>
      </c>
      <c r="MX58" s="20" t="n">
        <f aca="false">IF(AND(HU58=1,IE58&gt;0,Slot16_IsWG=1,FR58=1),MIN(IE58,MW58),0)</f>
        <v>0</v>
      </c>
      <c r="MY58" s="20" t="n">
        <f aca="false">FS58+MX58</f>
        <v>0</v>
      </c>
      <c r="MZ58" s="20" t="n">
        <f aca="false">IF(FR58=1,MAX(0,(Slot16_Cost-MY58*(1+Slot16_Rate)^(Slot16_Age-D58))/MV58),0)</f>
        <v>0</v>
      </c>
      <c r="NA58" s="20" t="n">
        <f aca="false">IF(FR58=1,MAX(0,(Slot16_Cost-FS58*(1+Slot16_Rate)^(Slot16_Age-D58))/MV58),0)</f>
        <v>0</v>
      </c>
      <c r="NB58" s="20" t="n">
        <f aca="false">IF(AND(HU58=1,FR58=1),MIN(MU58,MZ58),0)</f>
        <v>0</v>
      </c>
      <c r="NC58" s="20" t="n">
        <f aca="false">MU58-NB58</f>
        <v>0</v>
      </c>
      <c r="ND58" s="20" t="n">
        <f aca="false">IF(GB58=1,IF(ABS((1+AS_Wage)/(1+Slot17_Rate)-1)&lt;0.000000000001,(Slot17_Age-D58)*(1+Slot17_Rate)^(Slot17_Age-D58),(1+Slot17_Rate)^(Slot17_Age-D58)*(1-((1+AS_Wage)/(1+Slot17_Rate))^(Slot17_Age-D58))/(1-(1+AS_Wage)/(1+Slot17_Rate))),1)</f>
        <v>1</v>
      </c>
      <c r="NE58" s="20" t="n">
        <f aca="false">IF(AND(HU58=1,IE58&gt;0,Slot17_IsWG=1,GB58=1),MAX(0,(Slot17_Cost-GC58*(1+Slot17_Rate)^(Slot17_Age-D58))/ND58),0)</f>
        <v>0</v>
      </c>
      <c r="NF58" s="20" t="n">
        <f aca="false">IF(AND(HU58=1,IE58&gt;0,Slot17_IsWG=1,GB58=1),MIN(IE58,NE58),0)</f>
        <v>0</v>
      </c>
      <c r="NG58" s="20" t="n">
        <f aca="false">GC58+NF58</f>
        <v>0</v>
      </c>
      <c r="NH58" s="20" t="n">
        <f aca="false">IF(GB58=1,MAX(0,(Slot17_Cost-NG58*(1+Slot17_Rate)^(Slot17_Age-D58))/ND58),0)</f>
        <v>0</v>
      </c>
      <c r="NI58" s="20" t="n">
        <f aca="false">IF(GB58=1,MAX(0,(Slot17_Cost-GC58*(1+Slot17_Rate)^(Slot17_Age-D58))/ND58),0)</f>
        <v>0</v>
      </c>
      <c r="NJ58" s="20" t="n">
        <f aca="false">IF(AND(HU58=1,GB58=1),MIN(NC58,NH58),0)</f>
        <v>0</v>
      </c>
      <c r="NK58" s="20" t="n">
        <f aca="false">NC58-NJ58</f>
        <v>0</v>
      </c>
      <c r="NL58" s="20" t="n">
        <f aca="false">IF(GL58=1,IF(ABS((1+AS_Wage)/(1+Slot18_Rate)-1)&lt;0.000000000001,(Slot18_Age-D58)*(1+Slot18_Rate)^(Slot18_Age-D58),(1+Slot18_Rate)^(Slot18_Age-D58)*(1-((1+AS_Wage)/(1+Slot18_Rate))^(Slot18_Age-D58))/(1-(1+AS_Wage)/(1+Slot18_Rate))),1)</f>
        <v>1</v>
      </c>
      <c r="NM58" s="20" t="n">
        <f aca="false">IF(AND(HU58=1,IE58&gt;0,Slot18_IsWG=1,GL58=1),MAX(0,(Slot18_Cost-GM58*(1+Slot18_Rate)^(Slot18_Age-D58))/NL58),0)</f>
        <v>0</v>
      </c>
      <c r="NN58" s="20" t="n">
        <f aca="false">IF(AND(HU58=1,IE58&gt;0,Slot18_IsWG=1,GL58=1),MIN(IE58,NM58),0)</f>
        <v>0</v>
      </c>
      <c r="NO58" s="20" t="n">
        <f aca="false">GM58+NN58</f>
        <v>0</v>
      </c>
      <c r="NP58" s="20" t="n">
        <f aca="false">IF(GL58=1,MAX(0,(Slot18_Cost-NO58*(1+Slot18_Rate)^(Slot18_Age-D58))/NL58),0)</f>
        <v>0</v>
      </c>
      <c r="NQ58" s="20" t="n">
        <f aca="false">IF(GL58=1,MAX(0,(Slot18_Cost-GM58*(1+Slot18_Rate)^(Slot18_Age-D58))/NL58),0)</f>
        <v>0</v>
      </c>
      <c r="NR58" s="20" t="n">
        <f aca="false">IF(AND(HU58=1,GL58=1),MIN(NK58,NP58),0)</f>
        <v>0</v>
      </c>
      <c r="NS58" s="20" t="n">
        <f aca="false">NK58-NR58</f>
        <v>0</v>
      </c>
      <c r="NT58" s="20" t="n">
        <f aca="false">IF(GV58=1,IF(ABS((1+AS_Wage)/(1+Slot19_Rate)-1)&lt;0.000000000001,(Slot19_Age-D58)*(1+Slot19_Rate)^(Slot19_Age-D58),(1+Slot19_Rate)^(Slot19_Age-D58)*(1-((1+AS_Wage)/(1+Slot19_Rate))^(Slot19_Age-D58))/(1-(1+AS_Wage)/(1+Slot19_Rate))),1)</f>
        <v>1</v>
      </c>
      <c r="NU58" s="20" t="n">
        <f aca="false">IF(AND(HU58=1,IE58&gt;0,Slot19_IsWG=1,GV58=1),MAX(0,(Slot19_Cost-GW58*(1+Slot19_Rate)^(Slot19_Age-D58))/NT58),0)</f>
        <v>0</v>
      </c>
      <c r="NV58" s="20" t="n">
        <f aca="false">IF(AND(HU58=1,IE58&gt;0,Slot19_IsWG=1,GV58=1),MIN(IE58,NU58),0)</f>
        <v>0</v>
      </c>
      <c r="NW58" s="20" t="n">
        <f aca="false">GW58+NV58</f>
        <v>0</v>
      </c>
      <c r="NX58" s="20" t="n">
        <f aca="false">IF(GV58=1,MAX(0,(Slot19_Cost-NW58*(1+Slot19_Rate)^(Slot19_Age-D58))/NT58),0)</f>
        <v>0</v>
      </c>
      <c r="NY58" s="20" t="n">
        <f aca="false">IF(GV58=1,MAX(0,(Slot19_Cost-GW58*(1+Slot19_Rate)^(Slot19_Age-D58))/NT58),0)</f>
        <v>0</v>
      </c>
      <c r="NZ58" s="20" t="n">
        <f aca="false">IF(AND(HU58=1,GV58=1),MIN(NS58,NX58),0)</f>
        <v>0</v>
      </c>
      <c r="OA58" s="20" t="n">
        <f aca="false">NS58-NZ58</f>
        <v>0</v>
      </c>
      <c r="OB58" s="20" t="n">
        <f aca="false">IF(HF58=1,IF(ABS((1+AS_Wage)/(1+Slot20_Rate)-1)&lt;0.000000000001,(Slot20_Age-D58)*(1+Slot20_Rate)^(Slot20_Age-D58),(1+Slot20_Rate)^(Slot20_Age-D58)*(1-((1+AS_Wage)/(1+Slot20_Rate))^(Slot20_Age-D58))/(1-(1+AS_Wage)/(1+Slot20_Rate))),1)</f>
        <v>1</v>
      </c>
      <c r="OC58" s="20" t="n">
        <f aca="false">IF(AND(HU58=1,IE58&gt;0,Slot20_IsWG=1,HF58=1),MAX(0,(Slot20_Cost-HG58*(1+Slot20_Rate)^(Slot20_Age-D58))/OB58),0)</f>
        <v>0</v>
      </c>
      <c r="OD58" s="20" t="n">
        <f aca="false">IF(AND(HU58=1,IE58&gt;0,Slot20_IsWG=1,HF58=1),MIN(IE58,OC58),0)</f>
        <v>0</v>
      </c>
      <c r="OE58" s="20" t="n">
        <f aca="false">HG58+OD58</f>
        <v>0</v>
      </c>
      <c r="OF58" s="20" t="n">
        <f aca="false">IF(HF58=1,MAX(0,(Slot20_Cost-OE58*(1+Slot20_Rate)^(Slot20_Age-D58))/OB58),0)</f>
        <v>0</v>
      </c>
      <c r="OG58" s="20" t="n">
        <f aca="false">IF(HF58=1,MAX(0,(Slot20_Cost-HG58*(1+Slot20_Rate)^(Slot20_Age-D58))/OB58),0)</f>
        <v>0</v>
      </c>
      <c r="OH58" s="20" t="n">
        <f aca="false">IF(AND(HU58=1,HF58=1),MIN(OA58,OF58),0)</f>
        <v>0</v>
      </c>
      <c r="OI58" s="20" t="n">
        <f aca="false">OA58-OH58</f>
        <v>0</v>
      </c>
      <c r="OJ58" s="20" t="n">
        <f aca="false">IE58-(IH58+IP58+IX58+JF58+JN58+JV58+KD58+KL58+KT58+LB58+LJ58+LR58+LZ58+MH58+MP58+MX58+NF58+NN58+NV58+OD58)</f>
        <v>0</v>
      </c>
      <c r="OK58" s="20" t="n">
        <f aca="false">IF(HU58=1,HS58-ID58-IE58,0)</f>
        <v>0</v>
      </c>
      <c r="OL58" s="20" t="n">
        <f aca="false">IF(HU58=0,-HS58,0)</f>
        <v>27428.8502381298</v>
      </c>
      <c r="OM58" s="20" t="n">
        <f aca="false">MIN(OL58,HK58)</f>
        <v>0</v>
      </c>
      <c r="ON58" s="20" t="n">
        <f aca="false">OL58-OM58</f>
        <v>27428.8502381298</v>
      </c>
      <c r="OO58" s="20" t="n">
        <f aca="false">MIN(ON58,HL58)</f>
        <v>0</v>
      </c>
      <c r="OP58" s="20" t="n">
        <f aca="false">ON58-OO58</f>
        <v>27428.8502381298</v>
      </c>
      <c r="OQ58" s="20" t="n">
        <f aca="false">IF(AND(HU58=0,HF58=1,OP58&gt;0),MIN(OP58,HG58),0)</f>
        <v>0</v>
      </c>
      <c r="OR58" s="20" t="n">
        <f aca="false">OP58-OQ58</f>
        <v>27428.8502381298</v>
      </c>
      <c r="OS58" s="20" t="n">
        <f aca="false">IF(AND(HU58=0,GV58=1,OR58&gt;0),MIN(OR58,GW58),0)</f>
        <v>0</v>
      </c>
      <c r="OT58" s="20" t="n">
        <f aca="false">OR58-OS58</f>
        <v>27428.8502381298</v>
      </c>
      <c r="OU58" s="20" t="n">
        <f aca="false">IF(AND(HU58=0,GL58=1,OT58&gt;0),MIN(OT58,GM58),0)</f>
        <v>0</v>
      </c>
      <c r="OV58" s="20" t="n">
        <f aca="false">OT58-OU58</f>
        <v>27428.8502381298</v>
      </c>
      <c r="OW58" s="20" t="n">
        <f aca="false">IF(AND(HU58=0,GB58=1,OV58&gt;0),MIN(OV58,GC58),0)</f>
        <v>0</v>
      </c>
      <c r="OX58" s="20" t="n">
        <f aca="false">OV58-OW58</f>
        <v>27428.8502381298</v>
      </c>
      <c r="OY58" s="20" t="n">
        <f aca="false">IF(AND(HU58=0,FR58=1,OX58&gt;0),MIN(OX58,FS58),0)</f>
        <v>0</v>
      </c>
      <c r="OZ58" s="20" t="n">
        <f aca="false">OX58-OY58</f>
        <v>27428.8502381298</v>
      </c>
      <c r="PA58" s="20" t="n">
        <f aca="false">IF(AND(HU58=0,FH58=1,OZ58&gt;0),MIN(OZ58,FI58),0)</f>
        <v>0</v>
      </c>
      <c r="PB58" s="20" t="n">
        <f aca="false">OZ58-PA58</f>
        <v>27428.8502381298</v>
      </c>
      <c r="PC58" s="20" t="n">
        <f aca="false">IF(AND(HU58=0,EX58=1,PB58&gt;0),MIN(PB58,EY58),0)</f>
        <v>0</v>
      </c>
      <c r="PD58" s="20" t="n">
        <f aca="false">PB58-PC58</f>
        <v>27428.8502381298</v>
      </c>
      <c r="PE58" s="20" t="n">
        <f aca="false">IF(AND(HU58=0,EN58=1,PD58&gt;0),MIN(PD58,EO58),0)</f>
        <v>0</v>
      </c>
      <c r="PF58" s="20" t="n">
        <f aca="false">PD58-PE58</f>
        <v>27428.8502381298</v>
      </c>
      <c r="PG58" s="20" t="n">
        <f aca="false">IF(AND(HU58=0,ED58=1,PF58&gt;0),MIN(PF58,EE58),0)</f>
        <v>0</v>
      </c>
      <c r="PH58" s="20" t="n">
        <f aca="false">PF58-PG58</f>
        <v>27428.8502381298</v>
      </c>
      <c r="PI58" s="20" t="n">
        <f aca="false">IF(AND(HU58=0,DT58=1,PH58&gt;0),MIN(PH58,DU58),0)</f>
        <v>0</v>
      </c>
      <c r="PJ58" s="20" t="n">
        <f aca="false">PH58-PI58</f>
        <v>27428.8502381298</v>
      </c>
      <c r="PK58" s="20" t="n">
        <f aca="false">IF(AND(HU58=0,DJ58=1,PJ58&gt;0),MIN(PJ58,DK58),0)</f>
        <v>0</v>
      </c>
      <c r="PL58" s="20" t="n">
        <f aca="false">PJ58-PK58</f>
        <v>27428.8502381298</v>
      </c>
      <c r="PM58" s="20" t="n">
        <f aca="false">IF(AND(HU58=0,CZ58=1,PL58&gt;0),MIN(PL58,DA58),0)</f>
        <v>0</v>
      </c>
      <c r="PN58" s="20" t="n">
        <f aca="false">PL58-PM58</f>
        <v>27428.8502381298</v>
      </c>
      <c r="PO58" s="20" t="n">
        <f aca="false">IF(AND(HU58=0,CP58=1,PN58&gt;0),MIN(PN58,CQ58),0)</f>
        <v>0</v>
      </c>
      <c r="PP58" s="20" t="n">
        <f aca="false">PN58-PO58</f>
        <v>27428.8502381298</v>
      </c>
      <c r="PQ58" s="20" t="n">
        <f aca="false">IF(AND(HU58=0,CF58=1,PP58&gt;0),MIN(PP58,CG58),0)</f>
        <v>0</v>
      </c>
      <c r="PR58" s="20" t="n">
        <f aca="false">PP58-PQ58</f>
        <v>27428.8502381298</v>
      </c>
      <c r="PS58" s="20" t="n">
        <f aca="false">IF(AND(HU58=0,BV58=1,PR58&gt;0),MIN(PR58,BW58),0)</f>
        <v>0</v>
      </c>
      <c r="PT58" s="20" t="n">
        <f aca="false">PR58-PS58</f>
        <v>27428.8502381298</v>
      </c>
      <c r="PU58" s="20" t="n">
        <f aca="false">IF(AND(HU58=0,BL58=1,PT58&gt;0),MIN(PT58,BM58),0)</f>
        <v>0</v>
      </c>
      <c r="PV58" s="20" t="n">
        <f aca="false">PT58-PU58</f>
        <v>27428.8502381298</v>
      </c>
      <c r="PW58" s="20" t="n">
        <f aca="false">IF(AND(HU58=0,BB58=1,PV58&gt;0),MIN(PV58,BC58),0)</f>
        <v>0</v>
      </c>
      <c r="PX58" s="20" t="n">
        <f aca="false">PV58-PW58</f>
        <v>27428.8502381298</v>
      </c>
      <c r="PY58" s="20" t="n">
        <f aca="false">IF(AND(HU58=0,AR58=1,PX58&gt;0),MIN(PX58,AS58),0)</f>
        <v>0</v>
      </c>
      <c r="PZ58" s="20" t="n">
        <f aca="false">PX58-PY58</f>
        <v>27428.8502381298</v>
      </c>
      <c r="QA58" s="20" t="n">
        <f aca="false">IF(AND(HU58=0,AH58=1,PZ58&gt;0),MIN(PZ58,AI58),0)</f>
        <v>0</v>
      </c>
      <c r="QB58" s="20" t="n">
        <f aca="false">PZ58-QA58</f>
        <v>27428.8502381298</v>
      </c>
      <c r="QC58" s="20" t="n">
        <f aca="false">IF(AND(HU58=0,W58=1,QB58&gt;0),MIN(QB58,X58),0)</f>
        <v>0</v>
      </c>
      <c r="QD58" s="20" t="n">
        <f aca="false">QB58-QC58</f>
        <v>27428.8502381298</v>
      </c>
      <c r="QE58" s="20" t="n">
        <f aca="false">IF(HU58=0,QD58,0)</f>
        <v>27428.8502381298</v>
      </c>
      <c r="QF58" s="20" t="n">
        <f aca="false">OM58+OO58+QC58+QA58+PY58+PW58+PU58+PS58+PQ58+PO58+PM58+PK58+PI58+PG58+PE58+PC58+PA58+OY58+OW58+OU58+OS58+OQ58</f>
        <v>0</v>
      </c>
      <c r="QG58" s="20" t="n">
        <f aca="false">IF(HU58=1,HK58+OJ58+OI58+IF(G58=1,0,OK58),HK58-OM58)</f>
        <v>0</v>
      </c>
      <c r="QH58" s="20" t="n">
        <f aca="false">HL58-OO58</f>
        <v>0</v>
      </c>
      <c r="QI58" s="20" t="n">
        <f aca="false">IF(HU58=1,IF(G58=1,ID58+IE58,HS58),0)</f>
        <v>0</v>
      </c>
      <c r="QJ58" s="20" t="n">
        <f aca="false">IF(HU58=1,IF(G58=1,HS58-ID58-IE58,0),0)</f>
        <v>0</v>
      </c>
      <c r="QK58" s="20" t="n">
        <f aca="false">QG58*(1+GR)</f>
        <v>0</v>
      </c>
      <c r="QL58" s="20" t="n">
        <f aca="false">QH58*(1+AS_Cash)</f>
        <v>0</v>
      </c>
      <c r="QM58" s="20" t="n">
        <f aca="false">IF(W58=1,IF(HU58=1,II58+IL58,X58-QC58)*(1+Slot1_Rate),0)</f>
        <v>0</v>
      </c>
      <c r="QN58" s="20" t="n">
        <f aca="false">IF(AND(HU58=1,W58=1),(IH58+IL58)/F58,0)</f>
        <v>0</v>
      </c>
      <c r="QO58" s="20" t="n">
        <f aca="false">IF(B58=0,IH58+IL58,0)</f>
        <v>0</v>
      </c>
      <c r="QP58" s="20" t="n">
        <f aca="false">IF(B58=0,IF(HU58=1,IJ58,IK58),0)</f>
        <v>0</v>
      </c>
      <c r="QQ58" s="20" t="n">
        <f aca="false">IF(AH58=1,IF(HU58=1,IQ58+IT58,AI58-QA58)*(1+Slot2_Rate),0)</f>
        <v>0</v>
      </c>
      <c r="QR58" s="20" t="n">
        <f aca="false">IF(AND(HU58=1,AH58=1),(IP58+IT58)/F58,0)</f>
        <v>0</v>
      </c>
      <c r="QS58" s="20" t="n">
        <f aca="false">IF(B58=0,IP58+IT58,0)</f>
        <v>0</v>
      </c>
      <c r="QT58" s="20" t="n">
        <f aca="false">IF(B58=0,IF(HU58=1,IR58,IS58),0)</f>
        <v>0</v>
      </c>
      <c r="QU58" s="20" t="n">
        <f aca="false">IF(AR58=1,IF(HU58=1,IY58+JB58,AS58-PY58)*(1+Slot3_Rate),0)</f>
        <v>0</v>
      </c>
      <c r="QV58" s="20" t="n">
        <f aca="false">IF(AND(HU58=1,AR58=1),(IX58+JB58)/F58,0)</f>
        <v>0</v>
      </c>
      <c r="QW58" s="20" t="n">
        <f aca="false">IF(B58=0,IX58+JB58,0)</f>
        <v>0</v>
      </c>
      <c r="QX58" s="20" t="n">
        <f aca="false">IF(B58=0,IF(HU58=1,IZ58,JA58),0)</f>
        <v>0</v>
      </c>
      <c r="QY58" s="20" t="n">
        <f aca="false">IF(BB58=1,IF(HU58=1,JG58+JJ58,BC58-PW58)*(1+Slot4_Rate),0)</f>
        <v>0</v>
      </c>
      <c r="QZ58" s="20" t="n">
        <f aca="false">IF(AND(HU58=1,BB58=1),(JF58+JJ58)/F58,0)</f>
        <v>0</v>
      </c>
      <c r="RA58" s="20" t="n">
        <f aca="false">IF(B58=0,JF58+JJ58,0)</f>
        <v>0</v>
      </c>
      <c r="RB58" s="20" t="n">
        <f aca="false">IF(B58=0,IF(HU58=1,JH58,JI58),0)</f>
        <v>0</v>
      </c>
      <c r="RC58" s="20" t="n">
        <f aca="false">IF(BL58=1,IF(HU58=1,JO58+JR58,BM58-PU58)*(1+Slot5_Rate),0)</f>
        <v>0</v>
      </c>
      <c r="RD58" s="20" t="n">
        <f aca="false">IF(AND(HU58=1,BL58=1),(JN58+JR58)/F58,0)</f>
        <v>0</v>
      </c>
      <c r="RE58" s="20" t="n">
        <f aca="false">IF(B58=0,JN58+JR58,0)</f>
        <v>0</v>
      </c>
      <c r="RF58" s="20" t="n">
        <f aca="false">IF(B58=0,IF(HU58=1,JP58,JQ58),0)</f>
        <v>0</v>
      </c>
      <c r="RG58" s="20" t="n">
        <f aca="false">IF(BV58=1,IF(HU58=1,JW58+JZ58,BW58-PS58)*(1+Slot6_Rate),0)</f>
        <v>0</v>
      </c>
      <c r="RH58" s="20" t="n">
        <f aca="false">IF(AND(HU58=1,BV58=1),(JV58+JZ58)/F58,0)</f>
        <v>0</v>
      </c>
      <c r="RI58" s="20" t="n">
        <f aca="false">IF(B58=0,JV58+JZ58,0)</f>
        <v>0</v>
      </c>
      <c r="RJ58" s="20" t="n">
        <f aca="false">IF(B58=0,IF(HU58=1,JX58,JY58),0)</f>
        <v>0</v>
      </c>
      <c r="RK58" s="20" t="n">
        <f aca="false">IF(CF58=1,IF(HU58=1,KE58+KH58,CG58-PQ58)*(1+Slot7_Rate),0)</f>
        <v>0</v>
      </c>
      <c r="RL58" s="20" t="n">
        <f aca="false">IF(AND(HU58=1,CF58=1),(KD58+KH58)/F58,0)</f>
        <v>0</v>
      </c>
      <c r="RM58" s="20" t="n">
        <f aca="false">IF(B58=0,KD58+KH58,0)</f>
        <v>0</v>
      </c>
      <c r="RN58" s="20" t="n">
        <f aca="false">IF(B58=0,IF(HU58=1,KF58,KG58),0)</f>
        <v>0</v>
      </c>
      <c r="RO58" s="20" t="n">
        <f aca="false">IF(CP58=1,IF(HU58=1,KM58+KP58,CQ58-PO58)*(1+Slot8_Rate),0)</f>
        <v>0</v>
      </c>
      <c r="RP58" s="20" t="n">
        <f aca="false">IF(AND(HU58=1,CP58=1),(KL58+KP58)/F58,0)</f>
        <v>0</v>
      </c>
      <c r="RQ58" s="20" t="n">
        <f aca="false">IF(B58=0,KL58+KP58,0)</f>
        <v>0</v>
      </c>
      <c r="RR58" s="20" t="n">
        <f aca="false">IF(B58=0,IF(HU58=1,KN58,KO58),0)</f>
        <v>0</v>
      </c>
      <c r="RS58" s="20" t="n">
        <f aca="false">IF(CZ58=1,IF(HU58=1,KU58+KX58,DA58-PM58)*(1+Slot9_Rate),0)</f>
        <v>0</v>
      </c>
      <c r="RT58" s="20" t="n">
        <f aca="false">IF(AND(HU58=1,CZ58=1),(KT58+KX58)/F58,0)</f>
        <v>0</v>
      </c>
      <c r="RU58" s="20" t="n">
        <f aca="false">IF(B58=0,KT58+KX58,0)</f>
        <v>0</v>
      </c>
      <c r="RV58" s="20" t="n">
        <f aca="false">IF(B58=0,IF(HU58=1,KV58,KW58),0)</f>
        <v>0</v>
      </c>
      <c r="RW58" s="20" t="n">
        <f aca="false">IF(DJ58=1,IF(HU58=1,LC58+LF58,DK58-PK58)*(1+Slot10_Rate),0)</f>
        <v>0</v>
      </c>
      <c r="RX58" s="20" t="n">
        <f aca="false">IF(AND(HU58=1,DJ58=1),(LB58+LF58)/F58,0)</f>
        <v>0</v>
      </c>
      <c r="RY58" s="20" t="n">
        <f aca="false">IF(B58=0,LB58+LF58,0)</f>
        <v>0</v>
      </c>
      <c r="RZ58" s="20" t="n">
        <f aca="false">IF(B58=0,IF(HU58=1,LD58,LE58),0)</f>
        <v>0</v>
      </c>
      <c r="SA58" s="20" t="n">
        <f aca="false">IF(DT58=1,IF(HU58=1,LK58+LN58,DU58-PI58)*(1+Slot11_Rate),0)</f>
        <v>0</v>
      </c>
      <c r="SB58" s="20" t="n">
        <f aca="false">IF(AND(HU58=1,DT58=1),(LJ58+LN58)/F58,0)</f>
        <v>0</v>
      </c>
      <c r="SC58" s="20" t="n">
        <f aca="false">IF(B58=0,LJ58+LN58,0)</f>
        <v>0</v>
      </c>
      <c r="SD58" s="20" t="n">
        <f aca="false">IF(B58=0,IF(HU58=1,LL58,LM58),0)</f>
        <v>0</v>
      </c>
      <c r="SE58" s="20" t="n">
        <f aca="false">IF(ED58=1,IF(HU58=1,LS58+LV58,EE58-PG58)*(1+Slot12_Rate),0)</f>
        <v>0</v>
      </c>
      <c r="SF58" s="20" t="n">
        <f aca="false">IF(AND(HU58=1,ED58=1),(LR58+LV58)/F58,0)</f>
        <v>0</v>
      </c>
      <c r="SG58" s="20" t="n">
        <f aca="false">IF(B58=0,LR58+LV58,0)</f>
        <v>0</v>
      </c>
      <c r="SH58" s="20" t="n">
        <f aca="false">IF(B58=0,IF(HU58=1,LT58,LU58),0)</f>
        <v>0</v>
      </c>
      <c r="SI58" s="20" t="n">
        <f aca="false">IF(EN58=1,IF(HU58=1,MA58+MD58,EO58-PE58)*(1+Slot13_Rate),0)</f>
        <v>0</v>
      </c>
      <c r="SJ58" s="20" t="n">
        <f aca="false">IF(AND(HU58=1,EN58=1),(LZ58+MD58)/F58,0)</f>
        <v>0</v>
      </c>
      <c r="SK58" s="20" t="n">
        <f aca="false">IF(B58=0,LZ58+MD58,0)</f>
        <v>0</v>
      </c>
      <c r="SL58" s="20" t="n">
        <f aca="false">IF(B58=0,IF(HU58=1,MB58,MC58),0)</f>
        <v>0</v>
      </c>
      <c r="SM58" s="20" t="n">
        <f aca="false">IF(EX58=1,IF(HU58=1,MI58+ML58,EY58-PC58)*(1+Slot14_Rate),0)</f>
        <v>0</v>
      </c>
      <c r="SN58" s="20" t="n">
        <f aca="false">IF(AND(HU58=1,EX58=1),(MH58+ML58)/F58,0)</f>
        <v>0</v>
      </c>
      <c r="SO58" s="20" t="n">
        <f aca="false">IF(B58=0,MH58+ML58,0)</f>
        <v>0</v>
      </c>
      <c r="SP58" s="20" t="n">
        <f aca="false">IF(B58=0,IF(HU58=1,MJ58,MK58),0)</f>
        <v>0</v>
      </c>
      <c r="SQ58" s="20" t="n">
        <f aca="false">IF(FH58=1,IF(HU58=1,MQ58+MT58,FI58-PA58)*(1+Slot15_Rate),0)</f>
        <v>0</v>
      </c>
      <c r="SR58" s="20" t="n">
        <f aca="false">IF(AND(HU58=1,FH58=1),(MP58+MT58)/F58,0)</f>
        <v>0</v>
      </c>
      <c r="SS58" s="20" t="n">
        <f aca="false">IF(B58=0,MP58+MT58,0)</f>
        <v>0</v>
      </c>
      <c r="ST58" s="20" t="n">
        <f aca="false">IF(B58=0,IF(HU58=1,MR58,MS58),0)</f>
        <v>0</v>
      </c>
      <c r="SU58" s="20" t="n">
        <f aca="false">IF(FR58=1,IF(HU58=1,MY58+NB58,FS58-OY58)*(1+Slot16_Rate),0)</f>
        <v>0</v>
      </c>
      <c r="SV58" s="20" t="n">
        <f aca="false">IF(AND(HU58=1,FR58=1),(MX58+NB58)/F58,0)</f>
        <v>0</v>
      </c>
      <c r="SW58" s="20" t="n">
        <f aca="false">IF(B58=0,MX58+NB58,0)</f>
        <v>0</v>
      </c>
      <c r="SX58" s="20" t="n">
        <f aca="false">IF(B58=0,IF(HU58=1,MZ58,NA58),0)</f>
        <v>0</v>
      </c>
      <c r="SY58" s="20" t="n">
        <f aca="false">IF(GB58=1,IF(HU58=1,NG58+NJ58,GC58-OW58)*(1+Slot17_Rate),0)</f>
        <v>0</v>
      </c>
      <c r="SZ58" s="20" t="n">
        <f aca="false">IF(AND(HU58=1,GB58=1),(NF58+NJ58)/F58,0)</f>
        <v>0</v>
      </c>
      <c r="TA58" s="20" t="n">
        <f aca="false">IF(B58=0,NF58+NJ58,0)</f>
        <v>0</v>
      </c>
      <c r="TB58" s="20" t="n">
        <f aca="false">IF(B58=0,IF(HU58=1,NH58,NI58),0)</f>
        <v>0</v>
      </c>
      <c r="TC58" s="20" t="n">
        <f aca="false">IF(GL58=1,IF(HU58=1,NO58+NR58,GM58-OU58)*(1+Slot18_Rate),0)</f>
        <v>0</v>
      </c>
      <c r="TD58" s="20" t="n">
        <f aca="false">IF(AND(HU58=1,GL58=1),(NN58+NR58)/F58,0)</f>
        <v>0</v>
      </c>
      <c r="TE58" s="20" t="n">
        <f aca="false">IF(B58=0,NN58+NR58,0)</f>
        <v>0</v>
      </c>
      <c r="TF58" s="20" t="n">
        <f aca="false">IF(B58=0,IF(HU58=1,NP58,NQ58),0)</f>
        <v>0</v>
      </c>
      <c r="TG58" s="20" t="n">
        <f aca="false">IF(GV58=1,IF(HU58=1,NW58+NZ58,GW58-OS58)*(1+Slot19_Rate),0)</f>
        <v>0</v>
      </c>
      <c r="TH58" s="20" t="n">
        <f aca="false">IF(AND(HU58=1,GV58=1),(NV58+NZ58)/F58,0)</f>
        <v>0</v>
      </c>
      <c r="TI58" s="20" t="n">
        <f aca="false">IF(B58=0,NV58+NZ58,0)</f>
        <v>0</v>
      </c>
      <c r="TJ58" s="20" t="n">
        <f aca="false">IF(B58=0,IF(HU58=1,NX58,NY58),0)</f>
        <v>0</v>
      </c>
      <c r="TK58" s="20" t="n">
        <f aca="false">IF(HF58=1,IF(HU58=1,OE58+OH58,HG58-OQ58)*(1+Slot20_Rate),0)</f>
        <v>0</v>
      </c>
      <c r="TL58" s="20" t="n">
        <f aca="false">IF(AND(HU58=1,HF58=1),(OD58+OH58)/F58,0)</f>
        <v>0</v>
      </c>
      <c r="TM58" s="20" t="n">
        <f aca="false">IF(B58=0,OD58+OH58,0)</f>
        <v>0</v>
      </c>
      <c r="TN58" s="20" t="n">
        <f aca="false">IF(B58=0,IF(HU58=1,OF58,OG58),0)</f>
        <v>0</v>
      </c>
      <c r="TO58" s="20" t="n">
        <f aca="false">QK58+QL58+QM58+QQ58+QU58+QY58+RC58+RG58+RK58+RO58+RS58+RW58+SA58+SE58+SI58+SM58+SQ58+SU58+SY58+TC58+TG58+TK58</f>
        <v>0</v>
      </c>
      <c r="TP58" s="20" t="n">
        <f aca="false">QE58+HP58</f>
        <v>27428.8502381298</v>
      </c>
      <c r="TQ58" s="20" t="n">
        <f aca="false">I58+S58</f>
        <v>128657.907789718</v>
      </c>
      <c r="TR58" s="20" t="n">
        <f aca="false">1-G58</f>
        <v>1</v>
      </c>
      <c r="TS58" s="20" t="n">
        <f aca="false">IF(AND(RG_Exists=1,G58=0,C58=1),I58,0)</f>
        <v>128657.907789718</v>
      </c>
      <c r="TT58" s="20" t="n">
        <f aca="false">IF(AND(RG_Exists=1,G58=0,C58=1),I58-MIN(QE58,I58),0)</f>
        <v>101229.057551589</v>
      </c>
      <c r="TU58" s="20" t="n">
        <f aca="false">'Plan pay &amp; tax'!AD284</f>
        <v>195479.573257787</v>
      </c>
      <c r="TV58" s="20" t="n">
        <f aca="false">IF(AND(C58=1,QE58&gt;MAX(PR_Short1,TQ58*PR_Short2)),1,0)</f>
        <v>1</v>
      </c>
      <c r="TW58" s="20" t="n">
        <f aca="false">MIN(H58,I58+S58)</f>
        <v>101229.057551589</v>
      </c>
      <c r="TX58" s="20" t="n">
        <f aca="false">QF58+MAX(0,HQ58-HP58)</f>
        <v>0</v>
      </c>
      <c r="TY58" s="20" t="n">
        <f aca="false">QE58+HP58</f>
        <v>27428.8502381298</v>
      </c>
      <c r="TZ58" s="20" t="n">
        <f aca="false">IF(AND(C58=1,TY58&gt;PR_MinShort),1,0)</f>
        <v>1</v>
      </c>
      <c r="UA58" s="20" t="n">
        <f aca="false">IF(AND(C58=1,TZ58=0,TX58&gt;PR_MinShort),1,0)</f>
        <v>0</v>
      </c>
      <c r="UB58" s="20" t="n">
        <f aca="false">IF(AND(C58=1,QE58&gt;PR_MinShort),1,0)</f>
        <v>1</v>
      </c>
      <c r="UC58" s="20" t="n">
        <f aca="false">IF(AND(C58=1,QF58&gt;1,UJ58=0),1,0)</f>
        <v>0</v>
      </c>
      <c r="UD58" s="20" t="str">
        <f aca="false">IF(C58=0,"",IF(UJ58=1,"Gap to plan for: short "&amp;"€"&amp;TEXT(ROUND(TP58,0),"#,##0"),IF(QF58&gt;1,"Using savings","Comfortable")))</f>
        <v>Gap to plan for: short €27,429</v>
      </c>
      <c r="UE58" s="20" t="n">
        <f aca="false">IF(AND(INT(D58/10)*10=90,B58&gt;0),80,INT(D58/10)*10)</f>
        <v>80</v>
      </c>
      <c r="UF58" s="20" t="n">
        <f aca="false">IF(B58=0,1,IF(UE58&lt;&gt;UE57,UF57+1,UF57))</f>
        <v>6</v>
      </c>
      <c r="UG58" s="20" t="n">
        <f aca="false">IF(AND(C58=1,G58=1,QE58&gt;MAX(PR_Short1,TQ58*PR_Short2)),1,0)</f>
        <v>0</v>
      </c>
      <c r="UH58" s="20" t="n">
        <f aca="false">TR58*TV58</f>
        <v>1</v>
      </c>
      <c r="UI58" s="20" t="n">
        <f aca="false">IF(AND(V58=1,Slot1_PctLow=1),1,0)+IF(AND(AG58=1,Slot2_PctLow=1),1,0)+IF(AND(AQ58=1,Slot3_PctLow=1),1,0)+IF(AND(BA58=1,Slot4_PctLow=1),1,0)+IF(AND(BK58=1,Slot5_PctLow=1),1,0)+IF(AND(BU58=1,Slot6_PctLow=1),1,0)+IF(AND(CE58=1,Slot7_PctLow=1),1,0)+IF(AND(CO58=1,Slot8_PctLow=1),1,0)+IF(AND(CY58=1,Slot9_PctLow=1),1,0)+IF(AND(DI58=1,Slot10_PctLow=1),1,0)+IF(AND(DS58=1,Slot11_PctLow=1),1,0)+IF(AND(EC58=1,Slot12_PctLow=1),1,0)+IF(AND(EM58=1,Slot13_PctLow=1),1,0)+IF(AND(EW58=1,Slot14_PctLow=1),1,0)+IF(AND(FG58=1,Slot15_PctLow=1),1,0)+IF(AND(FQ58=1,Slot16_PctLow=1),1,0)+IF(AND(GA58=1,Slot17_PctLow=1),1,0)+IF(AND(GK58=1,Slot18_PctLow=1),1,0)+IF(AND(GU58=1,Slot19_PctLow=1),1,0)+IF(AND(HE58=1,Slot20_PctLow=1),1,0)</f>
        <v>0</v>
      </c>
      <c r="UJ58" s="20" t="n">
        <f aca="false">IF(C58=1,IF(OR(TV58=1,UI58&gt;0),1,0),0)</f>
        <v>1</v>
      </c>
    </row>
    <row r="59" customFormat="false" ht="15" hidden="false" customHeight="true" outlineLevel="0" collapsed="false">
      <c r="B59" s="20" t="n">
        <v>51</v>
      </c>
      <c r="C59" s="20" t="n">
        <f aca="false">IF(B59&lt;=F_N,1,0)</f>
        <v>1</v>
      </c>
      <c r="D59" s="20" t="n">
        <f aca="false">'Plan pay &amp; tax'!C285</f>
        <v>89</v>
      </c>
      <c r="E59" s="20" t="str">
        <f aca="false">IF($C59=1,"Income tax "&amp;TEXT(N('Plan pay &amp; tax'!BK285),"#,##0")&amp;"; USC "&amp;TEXT(N('Plan pay &amp; tax'!BM285)+N('Plan pay &amp; tax'!BO285),"#,##0")&amp;"; PRSI "&amp;TEXT(N('Plan pay &amp; tax'!BP285)+N('Plan pay &amp; tax'!BQ285),"#,##0")&amp;". DIRT and exit tax are inside the growth rates here.","")</f>
        <v>Income tax 1,006; USC 0; PRSI 0. DIRT and exit tax are inside the growth rates here.</v>
      </c>
      <c r="F59" s="44" t="n">
        <f aca="false">'Plan pay &amp; tax'!E285</f>
        <v>2.74541978965508</v>
      </c>
      <c r="G59" s="20" t="n">
        <f aca="false">'Plan pay &amp; tax'!G285</f>
        <v>0</v>
      </c>
      <c r="H59" s="20" t="n">
        <f aca="false">'Plan pay &amp; tax'!BT285-'Plan pay &amp; tax'!BS285-'Plan pay &amp; tax'!R285</f>
        <v>103502.708998856</v>
      </c>
      <c r="I59" s="20" t="n">
        <f aca="false">IF(G59=1,F_CostsM*12,IF(RG_Exists=1,RG_Amount,F_CostsM*12*AS_RetireSpend))*F59+F_OneOffY*F59</f>
        <v>131231.065945513</v>
      </c>
      <c r="J59" s="20" t="n">
        <f aca="false">HR58</f>
        <v>0</v>
      </c>
      <c r="K59" s="20" t="n">
        <f aca="false">IF(J59&gt;1,'Plan debt months'!AC59,0)</f>
        <v>0</v>
      </c>
      <c r="L59" s="20" t="n">
        <f aca="false">IF(J59&gt;1,'Plan debt months'!AB59,J59)</f>
        <v>0</v>
      </c>
      <c r="M59" s="20" t="n">
        <f aca="false">O58</f>
        <v>0</v>
      </c>
      <c r="N59" s="20" t="n">
        <f aca="false">IF(M59&gt;1,'Plan debt months'!BD59,0)</f>
        <v>0</v>
      </c>
      <c r="O59" s="20" t="n">
        <f aca="false">IF(M59&gt;1,'Plan debt months'!BC59,M59)</f>
        <v>0</v>
      </c>
      <c r="P59" s="20" t="n">
        <f aca="false">R58</f>
        <v>0</v>
      </c>
      <c r="Q59" s="20" t="n">
        <f aca="false">IF(P59&gt;1,'Plan debt months'!CE59,0)</f>
        <v>0</v>
      </c>
      <c r="R59" s="20" t="n">
        <f aca="false">IF(P59&gt;1,'Plan debt months'!CD59,P59)</f>
        <v>0</v>
      </c>
      <c r="S59" s="20" t="n">
        <f aca="false">K59+N59+Q59</f>
        <v>0</v>
      </c>
      <c r="T59" s="20" t="n">
        <f aca="false">QK58+'Plan pay &amp; tax'!Y285</f>
        <v>0</v>
      </c>
      <c r="U59" s="20" t="n">
        <f aca="false">QK58</f>
        <v>0</v>
      </c>
      <c r="V59" s="20" t="n">
        <f aca="false">IF(AND(Slot1_On=1,D59=Slot1_Age),1,0)</f>
        <v>0</v>
      </c>
      <c r="W59" s="20" t="n">
        <f aca="false">IF(AND(Slot1_On=1,Slot1_Age&gt;D59),1,0)</f>
        <v>0</v>
      </c>
      <c r="X59" s="20" t="n">
        <f aca="false">QM58</f>
        <v>0</v>
      </c>
      <c r="Y59" s="20" t="n">
        <f aca="false">V59*MIN(Slot1_Cost,X59)</f>
        <v>0</v>
      </c>
      <c r="Z59" s="20" t="n">
        <f aca="false">V59*Slot1_SpendLike*MIN(Slot1_Cost-Y59,T59)</f>
        <v>0</v>
      </c>
      <c r="AA59" s="20" t="n">
        <f aca="false">Y59+Z59</f>
        <v>0</v>
      </c>
      <c r="AB59" s="20" t="n">
        <f aca="false">T59-Z59+V59*IF(Slot1_SpendLike=1,X59-Y59,IF(Slot1_PotFree=1,X59,0))</f>
        <v>0</v>
      </c>
      <c r="AC59" s="20" t="n">
        <f aca="false">AF59+V59*Slot1_BufPot*X59</f>
        <v>0</v>
      </c>
      <c r="AD59" s="20" t="n">
        <f aca="false">IF(AND(V59=1,Slot1_IsMfree=1),IF(AA59&gt;=Slot1_Cost-1,0,MAX(0,L59-AA59)),L59)</f>
        <v>0</v>
      </c>
      <c r="AE59" s="20" t="n">
        <f aca="false">V59*(Slot1_Cost-AA59)</f>
        <v>0</v>
      </c>
      <c r="AF59" s="20" t="n">
        <f aca="false">QL58</f>
        <v>0</v>
      </c>
      <c r="AG59" s="20" t="n">
        <f aca="false">IF(AND(Slot2_On=1,D59=Slot2_Age),1,0)</f>
        <v>0</v>
      </c>
      <c r="AH59" s="20" t="n">
        <f aca="false">IF(AND(Slot2_On=1,Slot2_Age&gt;D59),1,0)</f>
        <v>0</v>
      </c>
      <c r="AI59" s="20" t="n">
        <f aca="false">QQ58</f>
        <v>0</v>
      </c>
      <c r="AJ59" s="20" t="n">
        <f aca="false">AG59*MIN(Slot2_Cost,AI59)</f>
        <v>0</v>
      </c>
      <c r="AK59" s="20" t="n">
        <f aca="false">AG59*Slot2_SpendLike*MIN(Slot2_Cost-AJ59,AB59)</f>
        <v>0</v>
      </c>
      <c r="AL59" s="20" t="n">
        <f aca="false">AJ59+AK59</f>
        <v>0</v>
      </c>
      <c r="AM59" s="20" t="n">
        <f aca="false">AB59-AK59+AG59*IF(Slot2_SpendLike=1,AI59-AJ59,IF(Slot2_PotFree=1,AI59,0))</f>
        <v>0</v>
      </c>
      <c r="AN59" s="20" t="n">
        <f aca="false">AC59+AG59*Slot2_BufPot*AI59</f>
        <v>0</v>
      </c>
      <c r="AO59" s="20" t="n">
        <f aca="false">IF(AND(AG59=1,Slot2_IsMfree=1),IF(AL59&gt;=Slot2_Cost-1,0,MAX(0,AD59-AL59)),AD59)</f>
        <v>0</v>
      </c>
      <c r="AP59" s="20" t="n">
        <f aca="false">AG59*(Slot2_Cost-AL59)</f>
        <v>0</v>
      </c>
      <c r="AQ59" s="20" t="n">
        <f aca="false">IF(AND(Slot3_On=1,D59=Slot3_Age),1,0)</f>
        <v>0</v>
      </c>
      <c r="AR59" s="20" t="n">
        <f aca="false">IF(AND(Slot3_On=1,Slot3_Age&gt;D59),1,0)</f>
        <v>0</v>
      </c>
      <c r="AS59" s="20" t="n">
        <f aca="false">QU58</f>
        <v>0</v>
      </c>
      <c r="AT59" s="20" t="n">
        <f aca="false">AQ59*MIN(Slot3_Cost,AS59)</f>
        <v>0</v>
      </c>
      <c r="AU59" s="20" t="n">
        <f aca="false">AQ59*Slot3_SpendLike*MIN(Slot3_Cost-AT59,AM59)</f>
        <v>0</v>
      </c>
      <c r="AV59" s="20" t="n">
        <f aca="false">AT59+AU59</f>
        <v>0</v>
      </c>
      <c r="AW59" s="20" t="n">
        <f aca="false">AM59-AU59+AQ59*IF(Slot3_SpendLike=1,AS59-AT59,IF(Slot3_PotFree=1,AS59,0))</f>
        <v>0</v>
      </c>
      <c r="AX59" s="20" t="n">
        <f aca="false">AN59+AQ59*Slot3_BufPot*AS59</f>
        <v>0</v>
      </c>
      <c r="AY59" s="20" t="n">
        <f aca="false">IF(AND(AQ59=1,Slot3_IsMfree=1),IF(AV59&gt;=Slot3_Cost-1,0,MAX(0,AO59-AV59)),AO59)</f>
        <v>0</v>
      </c>
      <c r="AZ59" s="20" t="n">
        <f aca="false">AQ59*(Slot3_Cost-AV59)</f>
        <v>0</v>
      </c>
      <c r="BA59" s="20" t="n">
        <f aca="false">IF(AND(Slot4_On=1,D59=Slot4_Age),1,0)</f>
        <v>0</v>
      </c>
      <c r="BB59" s="20" t="n">
        <f aca="false">IF(AND(Slot4_On=1,Slot4_Age&gt;D59),1,0)</f>
        <v>0</v>
      </c>
      <c r="BC59" s="20" t="n">
        <f aca="false">QY58</f>
        <v>0</v>
      </c>
      <c r="BD59" s="20" t="n">
        <f aca="false">BA59*MIN(Slot4_Cost,BC59)</f>
        <v>0</v>
      </c>
      <c r="BE59" s="20" t="n">
        <f aca="false">BA59*Slot4_SpendLike*MIN(Slot4_Cost-BD59,AW59)</f>
        <v>0</v>
      </c>
      <c r="BF59" s="20" t="n">
        <f aca="false">BD59+BE59</f>
        <v>0</v>
      </c>
      <c r="BG59" s="20" t="n">
        <f aca="false">AW59-BE59+BA59*IF(Slot4_SpendLike=1,BC59-BD59,IF(Slot4_PotFree=1,BC59,0))</f>
        <v>0</v>
      </c>
      <c r="BH59" s="20" t="n">
        <f aca="false">AX59+BA59*Slot4_BufPot*BC59</f>
        <v>0</v>
      </c>
      <c r="BI59" s="20" t="n">
        <f aca="false">IF(AND(BA59=1,Slot4_IsMfree=1),IF(BF59&gt;=Slot4_Cost-1,0,MAX(0,AY59-BF59)),AY59)</f>
        <v>0</v>
      </c>
      <c r="BJ59" s="20" t="n">
        <f aca="false">BA59*(Slot4_Cost-BF59)</f>
        <v>0</v>
      </c>
      <c r="BK59" s="20" t="n">
        <f aca="false">IF(AND(Slot5_On=1,D59=Slot5_Age),1,0)</f>
        <v>0</v>
      </c>
      <c r="BL59" s="20" t="n">
        <f aca="false">IF(AND(Slot5_On=1,Slot5_Age&gt;D59),1,0)</f>
        <v>0</v>
      </c>
      <c r="BM59" s="20" t="n">
        <f aca="false">RC58</f>
        <v>0</v>
      </c>
      <c r="BN59" s="20" t="n">
        <f aca="false">BK59*MIN(Slot5_Cost,BM59)</f>
        <v>0</v>
      </c>
      <c r="BO59" s="20" t="n">
        <f aca="false">BK59*Slot5_SpendLike*MIN(Slot5_Cost-BN59,BG59)</f>
        <v>0</v>
      </c>
      <c r="BP59" s="20" t="n">
        <f aca="false">BN59+BO59</f>
        <v>0</v>
      </c>
      <c r="BQ59" s="20" t="n">
        <f aca="false">BG59-BO59+BK59*IF(Slot5_SpendLike=1,BM59-BN59,IF(Slot5_PotFree=1,BM59,0))</f>
        <v>0</v>
      </c>
      <c r="BR59" s="20" t="n">
        <f aca="false">BH59+BK59*Slot5_BufPot*BM59</f>
        <v>0</v>
      </c>
      <c r="BS59" s="20" t="n">
        <f aca="false">IF(AND(BK59=1,Slot5_IsMfree=1),IF(BP59&gt;=Slot5_Cost-1,0,MAX(0,BI59-BP59)),BI59)</f>
        <v>0</v>
      </c>
      <c r="BT59" s="20" t="n">
        <f aca="false">BK59*(Slot5_Cost-BP59)</f>
        <v>0</v>
      </c>
      <c r="BU59" s="20" t="n">
        <f aca="false">IF(AND(Slot6_On=1,D59=Slot6_Age),1,0)</f>
        <v>0</v>
      </c>
      <c r="BV59" s="20" t="n">
        <f aca="false">IF(AND(Slot6_On=1,Slot6_Age&gt;D59),1,0)</f>
        <v>0</v>
      </c>
      <c r="BW59" s="20" t="n">
        <f aca="false">RG58</f>
        <v>0</v>
      </c>
      <c r="BX59" s="20" t="n">
        <f aca="false">BU59*MIN(Slot6_Cost,BW59)</f>
        <v>0</v>
      </c>
      <c r="BY59" s="20" t="n">
        <f aca="false">BU59*Slot6_SpendLike*MIN(Slot6_Cost-BX59,BQ59)</f>
        <v>0</v>
      </c>
      <c r="BZ59" s="20" t="n">
        <f aca="false">BX59+BY59</f>
        <v>0</v>
      </c>
      <c r="CA59" s="20" t="n">
        <f aca="false">BQ59-BY59+BU59*IF(Slot6_SpendLike=1,BW59-BX59,IF(Slot6_PotFree=1,BW59,0))</f>
        <v>0</v>
      </c>
      <c r="CB59" s="20" t="n">
        <f aca="false">BR59+BU59*Slot6_BufPot*BW59</f>
        <v>0</v>
      </c>
      <c r="CC59" s="20" t="n">
        <f aca="false">IF(AND(BU59=1,Slot6_IsMfree=1),IF(BZ59&gt;=Slot6_Cost-1,0,MAX(0,BS59-BZ59)),BS59)</f>
        <v>0</v>
      </c>
      <c r="CD59" s="20" t="n">
        <f aca="false">BU59*(Slot6_Cost-BZ59)</f>
        <v>0</v>
      </c>
      <c r="CE59" s="20" t="n">
        <f aca="false">IF(AND(Slot7_On=1,D59=Slot7_Age),1,0)</f>
        <v>0</v>
      </c>
      <c r="CF59" s="20" t="n">
        <f aca="false">IF(AND(Slot7_On=1,Slot7_Age&gt;D59),1,0)</f>
        <v>0</v>
      </c>
      <c r="CG59" s="20" t="n">
        <f aca="false">RK58</f>
        <v>0</v>
      </c>
      <c r="CH59" s="20" t="n">
        <f aca="false">CE59*MIN(Slot7_Cost,CG59)</f>
        <v>0</v>
      </c>
      <c r="CI59" s="20" t="n">
        <f aca="false">CE59*Slot7_SpendLike*MIN(Slot7_Cost-CH59,CA59)</f>
        <v>0</v>
      </c>
      <c r="CJ59" s="20" t="n">
        <f aca="false">CH59+CI59</f>
        <v>0</v>
      </c>
      <c r="CK59" s="20" t="n">
        <f aca="false">CA59-CI59+CE59*IF(Slot7_SpendLike=1,CG59-CH59,IF(Slot7_PotFree=1,CG59,0))</f>
        <v>0</v>
      </c>
      <c r="CL59" s="20" t="n">
        <f aca="false">CB59+CE59*Slot7_BufPot*CG59</f>
        <v>0</v>
      </c>
      <c r="CM59" s="20" t="n">
        <f aca="false">IF(AND(CE59=1,Slot7_IsMfree=1),IF(CJ59&gt;=Slot7_Cost-1,0,MAX(0,CC59-CJ59)),CC59)</f>
        <v>0</v>
      </c>
      <c r="CN59" s="20" t="n">
        <f aca="false">CE59*(Slot7_Cost-CJ59)</f>
        <v>0</v>
      </c>
      <c r="CO59" s="20" t="n">
        <f aca="false">IF(AND(Slot8_On=1,D59=Slot8_Age),1,0)</f>
        <v>0</v>
      </c>
      <c r="CP59" s="20" t="n">
        <f aca="false">IF(AND(Slot8_On=1,Slot8_Age&gt;D59),1,0)</f>
        <v>0</v>
      </c>
      <c r="CQ59" s="20" t="n">
        <f aca="false">RO58</f>
        <v>0</v>
      </c>
      <c r="CR59" s="20" t="n">
        <f aca="false">CO59*MIN(Slot8_Cost,CQ59)</f>
        <v>0</v>
      </c>
      <c r="CS59" s="20" t="n">
        <f aca="false">CO59*Slot8_SpendLike*MIN(Slot8_Cost-CR59,CK59)</f>
        <v>0</v>
      </c>
      <c r="CT59" s="20" t="n">
        <f aca="false">CR59+CS59</f>
        <v>0</v>
      </c>
      <c r="CU59" s="20" t="n">
        <f aca="false">CK59-CS59+CO59*IF(Slot8_SpendLike=1,CQ59-CR59,IF(Slot8_PotFree=1,CQ59,0))</f>
        <v>0</v>
      </c>
      <c r="CV59" s="20" t="n">
        <f aca="false">CL59+CO59*Slot8_BufPot*CQ59</f>
        <v>0</v>
      </c>
      <c r="CW59" s="20" t="n">
        <f aca="false">IF(AND(CO59=1,Slot8_IsMfree=1),IF(CT59&gt;=Slot8_Cost-1,0,MAX(0,CM59-CT59)),CM59)</f>
        <v>0</v>
      </c>
      <c r="CX59" s="20" t="n">
        <f aca="false">CO59*(Slot8_Cost-CT59)</f>
        <v>0</v>
      </c>
      <c r="CY59" s="20" t="n">
        <f aca="false">IF(AND(Slot9_On=1,D59=Slot9_Age),1,0)</f>
        <v>0</v>
      </c>
      <c r="CZ59" s="20" t="n">
        <f aca="false">IF(AND(Slot9_On=1,Slot9_Age&gt;D59),1,0)</f>
        <v>0</v>
      </c>
      <c r="DA59" s="20" t="n">
        <f aca="false">RS58</f>
        <v>0</v>
      </c>
      <c r="DB59" s="20" t="n">
        <f aca="false">CY59*MIN(Slot9_Cost,DA59)</f>
        <v>0</v>
      </c>
      <c r="DC59" s="20" t="n">
        <f aca="false">CY59*Slot9_SpendLike*MIN(Slot9_Cost-DB59,CU59)</f>
        <v>0</v>
      </c>
      <c r="DD59" s="20" t="n">
        <f aca="false">DB59+DC59</f>
        <v>0</v>
      </c>
      <c r="DE59" s="20" t="n">
        <f aca="false">CU59-DC59+CY59*IF(Slot9_SpendLike=1,DA59-DB59,IF(Slot9_PotFree=1,DA59,0))</f>
        <v>0</v>
      </c>
      <c r="DF59" s="20" t="n">
        <f aca="false">CV59+CY59*Slot9_BufPot*DA59</f>
        <v>0</v>
      </c>
      <c r="DG59" s="20" t="n">
        <f aca="false">IF(AND(CY59=1,Slot9_IsMfree=1),IF(DD59&gt;=Slot9_Cost-1,0,MAX(0,CW59-DD59)),CW59)</f>
        <v>0</v>
      </c>
      <c r="DH59" s="20" t="n">
        <f aca="false">CY59*(Slot9_Cost-DD59)</f>
        <v>0</v>
      </c>
      <c r="DI59" s="20" t="n">
        <f aca="false">IF(AND(Slot10_On=1,D59=Slot10_Age),1,0)</f>
        <v>0</v>
      </c>
      <c r="DJ59" s="20" t="n">
        <f aca="false">IF(AND(Slot10_On=1,Slot10_Age&gt;D59),1,0)</f>
        <v>0</v>
      </c>
      <c r="DK59" s="20" t="n">
        <f aca="false">RW58</f>
        <v>0</v>
      </c>
      <c r="DL59" s="20" t="n">
        <f aca="false">DI59*MIN(Slot10_Cost,DK59)</f>
        <v>0</v>
      </c>
      <c r="DM59" s="20" t="n">
        <f aca="false">DI59*Slot10_SpendLike*MIN(Slot10_Cost-DL59,DE59)</f>
        <v>0</v>
      </c>
      <c r="DN59" s="20" t="n">
        <f aca="false">DL59+DM59</f>
        <v>0</v>
      </c>
      <c r="DO59" s="20" t="n">
        <f aca="false">DE59-DM59+DI59*IF(Slot10_SpendLike=1,DK59-DL59,IF(Slot10_PotFree=1,DK59,0))</f>
        <v>0</v>
      </c>
      <c r="DP59" s="20" t="n">
        <f aca="false">DF59+DI59*Slot10_BufPot*DK59</f>
        <v>0</v>
      </c>
      <c r="DQ59" s="20" t="n">
        <f aca="false">IF(AND(DI59=1,Slot10_IsMfree=1),IF(DN59&gt;=Slot10_Cost-1,0,MAX(0,DG59-DN59)),DG59)</f>
        <v>0</v>
      </c>
      <c r="DR59" s="20" t="n">
        <f aca="false">DI59*(Slot10_Cost-DN59)</f>
        <v>0</v>
      </c>
      <c r="DS59" s="20" t="n">
        <f aca="false">IF(AND(Slot11_On=1,D59=Slot11_Age),1,0)</f>
        <v>0</v>
      </c>
      <c r="DT59" s="20" t="n">
        <f aca="false">IF(AND(Slot11_On=1,Slot11_Age&gt;D59),1,0)</f>
        <v>0</v>
      </c>
      <c r="DU59" s="20" t="n">
        <f aca="false">SA58</f>
        <v>0</v>
      </c>
      <c r="DV59" s="20" t="n">
        <f aca="false">DS59*MIN(Slot11_Cost,DU59)</f>
        <v>0</v>
      </c>
      <c r="DW59" s="20" t="n">
        <f aca="false">DS59*Slot11_SpendLike*MIN(Slot11_Cost-DV59,DO59)</f>
        <v>0</v>
      </c>
      <c r="DX59" s="20" t="n">
        <f aca="false">DV59+DW59</f>
        <v>0</v>
      </c>
      <c r="DY59" s="20" t="n">
        <f aca="false">DO59-DW59+DS59*IF(Slot11_SpendLike=1,DU59-DV59,IF(Slot11_PotFree=1,DU59,0))</f>
        <v>0</v>
      </c>
      <c r="DZ59" s="20" t="n">
        <f aca="false">DP59+DS59*Slot11_BufPot*DU59</f>
        <v>0</v>
      </c>
      <c r="EA59" s="20" t="n">
        <f aca="false">IF(AND(DS59=1,Slot11_IsMfree=1),IF(DX59&gt;=Slot11_Cost-1,0,MAX(0,DQ59-DX59)),DQ59)</f>
        <v>0</v>
      </c>
      <c r="EB59" s="20" t="n">
        <f aca="false">DS59*(Slot11_Cost-DX59)</f>
        <v>0</v>
      </c>
      <c r="EC59" s="20" t="n">
        <f aca="false">IF(AND(Slot12_On=1,D59=Slot12_Age),1,0)</f>
        <v>0</v>
      </c>
      <c r="ED59" s="20" t="n">
        <f aca="false">IF(AND(Slot12_On=1,Slot12_Age&gt;D59),1,0)</f>
        <v>0</v>
      </c>
      <c r="EE59" s="20" t="n">
        <f aca="false">SE58</f>
        <v>0</v>
      </c>
      <c r="EF59" s="20" t="n">
        <f aca="false">EC59*MIN(Slot12_Cost,EE59)</f>
        <v>0</v>
      </c>
      <c r="EG59" s="20" t="n">
        <f aca="false">EC59*Slot12_SpendLike*MIN(Slot12_Cost-EF59,DY59)</f>
        <v>0</v>
      </c>
      <c r="EH59" s="20" t="n">
        <f aca="false">EF59+EG59</f>
        <v>0</v>
      </c>
      <c r="EI59" s="20" t="n">
        <f aca="false">DY59-EG59+EC59*IF(Slot12_SpendLike=1,EE59-EF59,IF(Slot12_PotFree=1,EE59,0))</f>
        <v>0</v>
      </c>
      <c r="EJ59" s="20" t="n">
        <f aca="false">DZ59+EC59*Slot12_BufPot*EE59</f>
        <v>0</v>
      </c>
      <c r="EK59" s="20" t="n">
        <f aca="false">IF(AND(EC59=1,Slot12_IsMfree=1),IF(EH59&gt;=Slot12_Cost-1,0,MAX(0,EA59-EH59)),EA59)</f>
        <v>0</v>
      </c>
      <c r="EL59" s="20" t="n">
        <f aca="false">EC59*(Slot12_Cost-EH59)</f>
        <v>0</v>
      </c>
      <c r="EM59" s="20" t="n">
        <f aca="false">IF(AND(Slot13_On=1,D59=Slot13_Age),1,0)</f>
        <v>0</v>
      </c>
      <c r="EN59" s="20" t="n">
        <f aca="false">IF(AND(Slot13_On=1,Slot13_Age&gt;D59),1,0)</f>
        <v>0</v>
      </c>
      <c r="EO59" s="20" t="n">
        <f aca="false">SI58</f>
        <v>0</v>
      </c>
      <c r="EP59" s="20" t="n">
        <f aca="false">EM59*MIN(Slot13_Cost,EO59)</f>
        <v>0</v>
      </c>
      <c r="EQ59" s="20" t="n">
        <f aca="false">EM59*Slot13_SpendLike*MIN(Slot13_Cost-EP59,EI59)</f>
        <v>0</v>
      </c>
      <c r="ER59" s="20" t="n">
        <f aca="false">EP59+EQ59</f>
        <v>0</v>
      </c>
      <c r="ES59" s="20" t="n">
        <f aca="false">EI59-EQ59+EM59*IF(Slot13_SpendLike=1,EO59-EP59,IF(Slot13_PotFree=1,EO59,0))</f>
        <v>0</v>
      </c>
      <c r="ET59" s="20" t="n">
        <f aca="false">EJ59+EM59*Slot13_BufPot*EO59</f>
        <v>0</v>
      </c>
      <c r="EU59" s="20" t="n">
        <f aca="false">IF(AND(EM59=1,Slot13_IsMfree=1),IF(ER59&gt;=Slot13_Cost-1,0,MAX(0,EK59-ER59)),EK59)</f>
        <v>0</v>
      </c>
      <c r="EV59" s="20" t="n">
        <f aca="false">EM59*(Slot13_Cost-ER59)</f>
        <v>0</v>
      </c>
      <c r="EW59" s="20" t="n">
        <f aca="false">IF(AND(Slot14_On=1,D59=Slot14_Age),1,0)</f>
        <v>0</v>
      </c>
      <c r="EX59" s="20" t="n">
        <f aca="false">IF(AND(Slot14_On=1,Slot14_Age&gt;D59),1,0)</f>
        <v>0</v>
      </c>
      <c r="EY59" s="20" t="n">
        <f aca="false">SM58</f>
        <v>0</v>
      </c>
      <c r="EZ59" s="20" t="n">
        <f aca="false">EW59*MIN(Slot14_Cost,EY59)</f>
        <v>0</v>
      </c>
      <c r="FA59" s="20" t="n">
        <f aca="false">EW59*Slot14_SpendLike*MIN(Slot14_Cost-EZ59,ES59)</f>
        <v>0</v>
      </c>
      <c r="FB59" s="20" t="n">
        <f aca="false">EZ59+FA59</f>
        <v>0</v>
      </c>
      <c r="FC59" s="20" t="n">
        <f aca="false">ES59-FA59+EW59*IF(Slot14_SpendLike=1,EY59-EZ59,IF(Slot14_PotFree=1,EY59,0))</f>
        <v>0</v>
      </c>
      <c r="FD59" s="20" t="n">
        <f aca="false">ET59+EW59*Slot14_BufPot*EY59</f>
        <v>0</v>
      </c>
      <c r="FE59" s="20" t="n">
        <f aca="false">IF(AND(EW59=1,Slot14_IsMfree=1),IF(FB59&gt;=Slot14_Cost-1,0,MAX(0,EU59-FB59)),EU59)</f>
        <v>0</v>
      </c>
      <c r="FF59" s="20" t="n">
        <f aca="false">EW59*(Slot14_Cost-FB59)</f>
        <v>0</v>
      </c>
      <c r="FG59" s="20" t="n">
        <f aca="false">IF(AND(Slot15_On=1,D59=Slot15_Age),1,0)</f>
        <v>0</v>
      </c>
      <c r="FH59" s="20" t="n">
        <f aca="false">IF(AND(Slot15_On=1,Slot15_Age&gt;D59),1,0)</f>
        <v>0</v>
      </c>
      <c r="FI59" s="20" t="n">
        <f aca="false">SQ58</f>
        <v>0</v>
      </c>
      <c r="FJ59" s="20" t="n">
        <f aca="false">FG59*MIN(Slot15_Cost,FI59)</f>
        <v>0</v>
      </c>
      <c r="FK59" s="20" t="n">
        <f aca="false">FG59*Slot15_SpendLike*MIN(Slot15_Cost-FJ59,FC59)</f>
        <v>0</v>
      </c>
      <c r="FL59" s="20" t="n">
        <f aca="false">FJ59+FK59</f>
        <v>0</v>
      </c>
      <c r="FM59" s="20" t="n">
        <f aca="false">FC59-FK59+FG59*IF(Slot15_SpendLike=1,FI59-FJ59,IF(Slot15_PotFree=1,FI59,0))</f>
        <v>0</v>
      </c>
      <c r="FN59" s="20" t="n">
        <f aca="false">FD59+FG59*Slot15_BufPot*FI59</f>
        <v>0</v>
      </c>
      <c r="FO59" s="20" t="n">
        <f aca="false">IF(AND(FG59=1,Slot15_IsMfree=1),IF(FL59&gt;=Slot15_Cost-1,0,MAX(0,FE59-FL59)),FE59)</f>
        <v>0</v>
      </c>
      <c r="FP59" s="20" t="n">
        <f aca="false">FG59*(Slot15_Cost-FL59)</f>
        <v>0</v>
      </c>
      <c r="FQ59" s="20" t="n">
        <f aca="false">IF(AND(Slot16_On=1,D59=Slot16_Age),1,0)</f>
        <v>0</v>
      </c>
      <c r="FR59" s="20" t="n">
        <f aca="false">IF(AND(Slot16_On=1,Slot16_Age&gt;D59),1,0)</f>
        <v>0</v>
      </c>
      <c r="FS59" s="20" t="n">
        <f aca="false">SU58</f>
        <v>0</v>
      </c>
      <c r="FT59" s="20" t="n">
        <f aca="false">FQ59*MIN(Slot16_Cost,FS59)</f>
        <v>0</v>
      </c>
      <c r="FU59" s="20" t="n">
        <f aca="false">FQ59*Slot16_SpendLike*MIN(Slot16_Cost-FT59,FM59)</f>
        <v>0</v>
      </c>
      <c r="FV59" s="20" t="n">
        <f aca="false">FT59+FU59</f>
        <v>0</v>
      </c>
      <c r="FW59" s="20" t="n">
        <f aca="false">FM59-FU59+FQ59*IF(Slot16_SpendLike=1,FS59-FT59,IF(Slot16_PotFree=1,FS59,0))</f>
        <v>0</v>
      </c>
      <c r="FX59" s="20" t="n">
        <f aca="false">FN59+FQ59*Slot16_BufPot*FS59</f>
        <v>0</v>
      </c>
      <c r="FY59" s="20" t="n">
        <f aca="false">IF(AND(FQ59=1,Slot16_IsMfree=1),IF(FV59&gt;=Slot16_Cost-1,0,MAX(0,FO59-FV59)),FO59)</f>
        <v>0</v>
      </c>
      <c r="FZ59" s="20" t="n">
        <f aca="false">FQ59*(Slot16_Cost-FV59)</f>
        <v>0</v>
      </c>
      <c r="GA59" s="20" t="n">
        <f aca="false">IF(AND(Slot17_On=1,D59=Slot17_Age),1,0)</f>
        <v>0</v>
      </c>
      <c r="GB59" s="20" t="n">
        <f aca="false">IF(AND(Slot17_On=1,Slot17_Age&gt;D59),1,0)</f>
        <v>0</v>
      </c>
      <c r="GC59" s="20" t="n">
        <f aca="false">SY58</f>
        <v>0</v>
      </c>
      <c r="GD59" s="20" t="n">
        <f aca="false">GA59*MIN(Slot17_Cost,GC59)</f>
        <v>0</v>
      </c>
      <c r="GE59" s="20" t="n">
        <f aca="false">GA59*Slot17_SpendLike*MIN(Slot17_Cost-GD59,FW59)</f>
        <v>0</v>
      </c>
      <c r="GF59" s="20" t="n">
        <f aca="false">GD59+GE59</f>
        <v>0</v>
      </c>
      <c r="GG59" s="20" t="n">
        <f aca="false">FW59-GE59+GA59*IF(Slot17_SpendLike=1,GC59-GD59,IF(Slot17_PotFree=1,GC59,0))</f>
        <v>0</v>
      </c>
      <c r="GH59" s="20" t="n">
        <f aca="false">FX59+GA59*Slot17_BufPot*GC59</f>
        <v>0</v>
      </c>
      <c r="GI59" s="20" t="n">
        <f aca="false">IF(AND(GA59=1,Slot17_IsMfree=1),IF(GF59&gt;=Slot17_Cost-1,0,MAX(0,FY59-GF59)),FY59)</f>
        <v>0</v>
      </c>
      <c r="GJ59" s="20" t="n">
        <f aca="false">GA59*(Slot17_Cost-GF59)</f>
        <v>0</v>
      </c>
      <c r="GK59" s="20" t="n">
        <f aca="false">IF(AND(Slot18_On=1,D59=Slot18_Age),1,0)</f>
        <v>0</v>
      </c>
      <c r="GL59" s="20" t="n">
        <f aca="false">IF(AND(Slot18_On=1,Slot18_Age&gt;D59),1,0)</f>
        <v>0</v>
      </c>
      <c r="GM59" s="20" t="n">
        <f aca="false">TC58</f>
        <v>0</v>
      </c>
      <c r="GN59" s="20" t="n">
        <f aca="false">GK59*MIN(Slot18_Cost,GM59)</f>
        <v>0</v>
      </c>
      <c r="GO59" s="20" t="n">
        <f aca="false">GK59*Slot18_SpendLike*MIN(Slot18_Cost-GN59,GG59)</f>
        <v>0</v>
      </c>
      <c r="GP59" s="20" t="n">
        <f aca="false">GN59+GO59</f>
        <v>0</v>
      </c>
      <c r="GQ59" s="20" t="n">
        <f aca="false">GG59-GO59+GK59*IF(Slot18_SpendLike=1,GM59-GN59,IF(Slot18_PotFree=1,GM59,0))</f>
        <v>0</v>
      </c>
      <c r="GR59" s="20" t="n">
        <f aca="false">GH59+GK59*Slot18_BufPot*GM59</f>
        <v>0</v>
      </c>
      <c r="GS59" s="20" t="n">
        <f aca="false">IF(AND(GK59=1,Slot18_IsMfree=1),IF(GP59&gt;=Slot18_Cost-1,0,MAX(0,GI59-GP59)),GI59)</f>
        <v>0</v>
      </c>
      <c r="GT59" s="20" t="n">
        <f aca="false">GK59*(Slot18_Cost-GP59)</f>
        <v>0</v>
      </c>
      <c r="GU59" s="20" t="n">
        <f aca="false">IF(AND(Slot19_On=1,D59=Slot19_Age),1,0)</f>
        <v>0</v>
      </c>
      <c r="GV59" s="20" t="n">
        <f aca="false">IF(AND(Slot19_On=1,Slot19_Age&gt;D59),1,0)</f>
        <v>0</v>
      </c>
      <c r="GW59" s="20" t="n">
        <f aca="false">TG58</f>
        <v>0</v>
      </c>
      <c r="GX59" s="20" t="n">
        <f aca="false">GU59*MIN(Slot19_Cost,GW59)</f>
        <v>0</v>
      </c>
      <c r="GY59" s="20" t="n">
        <f aca="false">GU59*Slot19_SpendLike*MIN(Slot19_Cost-GX59,GQ59)</f>
        <v>0</v>
      </c>
      <c r="GZ59" s="20" t="n">
        <f aca="false">GX59+GY59</f>
        <v>0</v>
      </c>
      <c r="HA59" s="20" t="n">
        <f aca="false">GQ59-GY59+GU59*IF(Slot19_SpendLike=1,GW59-GX59,IF(Slot19_PotFree=1,GW59,0))</f>
        <v>0</v>
      </c>
      <c r="HB59" s="20" t="n">
        <f aca="false">GR59+GU59*Slot19_BufPot*GW59</f>
        <v>0</v>
      </c>
      <c r="HC59" s="20" t="n">
        <f aca="false">IF(AND(GU59=1,Slot19_IsMfree=1),IF(GZ59&gt;=Slot19_Cost-1,0,MAX(0,GS59-GZ59)),GS59)</f>
        <v>0</v>
      </c>
      <c r="HD59" s="20" t="n">
        <f aca="false">GU59*(Slot19_Cost-GZ59)</f>
        <v>0</v>
      </c>
      <c r="HE59" s="20" t="n">
        <f aca="false">IF(AND(Slot20_On=1,D59=Slot20_Age),1,0)</f>
        <v>0</v>
      </c>
      <c r="HF59" s="20" t="n">
        <f aca="false">IF(AND(Slot20_On=1,Slot20_Age&gt;D59),1,0)</f>
        <v>0</v>
      </c>
      <c r="HG59" s="20" t="n">
        <f aca="false">TK58</f>
        <v>0</v>
      </c>
      <c r="HH59" s="20" t="n">
        <f aca="false">HE59*MIN(Slot20_Cost,HG59)</f>
        <v>0</v>
      </c>
      <c r="HI59" s="20" t="n">
        <f aca="false">HE59*Slot20_SpendLike*MIN(Slot20_Cost-HH59,HA59)</f>
        <v>0</v>
      </c>
      <c r="HJ59" s="20" t="n">
        <f aca="false">HH59+HI59</f>
        <v>0</v>
      </c>
      <c r="HK59" s="20" t="n">
        <f aca="false">HA59-HI59+HE59*IF(Slot20_SpendLike=1,HG59-HH59,IF(Slot20_PotFree=1,HG59,0))</f>
        <v>0</v>
      </c>
      <c r="HL59" s="20" t="n">
        <f aca="false">HB59+HE59*Slot20_BufPot*HG59</f>
        <v>0</v>
      </c>
      <c r="HM59" s="20" t="n">
        <f aca="false">IF(AND(HE59=1,Slot20_IsMfree=1),IF(HJ59&gt;=Slot20_Cost-1,0,MAX(0,HC59-HJ59)),HC59)</f>
        <v>0</v>
      </c>
      <c r="HN59" s="20" t="n">
        <f aca="false">HE59*(Slot20_Cost-HJ59)</f>
        <v>0</v>
      </c>
      <c r="HO59" s="20" t="n">
        <f aca="false">V59*Slot1_SpendLike*AA59+AG59*Slot2_SpendLike*AL59+AQ59*Slot3_SpendLike*AV59+BA59*Slot4_SpendLike*BF59+BK59*Slot5_SpendLike*BP59+BU59*Slot6_SpendLike*BZ59+CE59*Slot7_SpendLike*CJ59+CO59*Slot8_SpendLike*CT59+CY59*Slot9_SpendLike*DD59+DI59*Slot10_SpendLike*DN59+DS59*Slot11_SpendLike*DX59+EC59*Slot12_SpendLike*EH59+EM59*Slot13_SpendLike*ER59+EW59*Slot14_SpendLike*FB59+FG59*Slot15_SpendLike*FL59+FQ59*Slot16_SpendLike*FV59+GA59*Slot17_SpendLike*GF59+GK59*Slot18_SpendLike*GP59+GU59*Slot19_SpendLike*GZ59+HE59*Slot20_SpendLike*HJ59</f>
        <v>0</v>
      </c>
      <c r="HP59" s="20" t="n">
        <f aca="false">AE59+AP59+AZ59+BJ59+BT59+CD59+CN59+CX59+DH59+DR59+EB59+EL59+EV59+FF59+FP59+FZ59+GJ59+GT59+HD59+HN59</f>
        <v>0</v>
      </c>
      <c r="HQ59" s="20" t="n">
        <f aca="false">V59*Slot1_Cost+AG59*Slot2_Cost+AQ59*Slot3_Cost+BA59*Slot4_Cost+BK59*Slot5_Cost+BU59*Slot6_Cost+CE59*Slot7_Cost+CO59*Slot8_Cost+CY59*Slot9_Cost+DI59*Slot10_Cost+DS59*Slot11_Cost+EC59*Slot12_Cost+EM59*Slot13_Cost+EW59*Slot14_Cost+FG59*Slot15_Cost+FQ59*Slot16_Cost+GA59*Slot17_Cost+GK59*Slot18_Cost+GU59*Slot19_Cost+HE59*Slot20_Cost</f>
        <v>0</v>
      </c>
      <c r="HR59" s="20" t="n">
        <f aca="false">HM59</f>
        <v>0</v>
      </c>
      <c r="HS59" s="20" t="n">
        <f aca="false">H59-I59-S59</f>
        <v>-27728.3569466565</v>
      </c>
      <c r="HT59" s="20" t="n">
        <f aca="false">IF(B59=0,IF(AND(Has_q6=1,In_q6=4),PR_ShareVaries*(MAX(0,HS59)/12),MIN(IF(Has_q6=1,CHOOSE(In_q6+1,PR_SaveB1,PR_SaveB2,PR_SaveB3,PR_SaveB4,0),AS_NoAnswer),AS_SaveShare*(MAX(0,HS59)/12))),HT58)</f>
        <v>62.3316893520437</v>
      </c>
      <c r="HU59" s="20" t="n">
        <f aca="false">IF(HS59&gt;=0,1,0)</f>
        <v>0</v>
      </c>
      <c r="HV59" s="20" t="n">
        <f aca="false">MAX(0,HS59/12/F59)</f>
        <v>0</v>
      </c>
      <c r="HW59" s="20" t="n">
        <f aca="false">IF(AND(Has_q6=1,In_q6=4),PR_ShareVaries*(HV59),MIN(IF(Has_q6=1,CHOOSE(In_q6+1,PR_SaveB1,PR_SaveB2,PR_SaveB3,PR_SaveB4,0),AS_NoAnswer),AS_SaveShare*(HV59)))</f>
        <v>0</v>
      </c>
      <c r="HX59" s="20" t="n">
        <f aca="false">IF(Has_saveM=1,IF(In_saveUp="Yes",1,IF(In_saveUp="No",0,IF(In_saveM&gt;=HT59-0.5,1,0))),0)</f>
        <v>0</v>
      </c>
      <c r="HY59" s="20" t="n">
        <f aca="false">IF(Has_saveM=1,MIN(HV59,IF(HX59=1,MAX(In_saveM,HW59),MIN(In_saveM,HW59))),HW59)</f>
        <v>0</v>
      </c>
      <c r="HZ59" s="20" t="n">
        <f aca="false">IF(G59=1,HY59*12*F59,0)</f>
        <v>0</v>
      </c>
      <c r="IA59" s="20" t="n">
        <f aca="false">MAX(0,HZ59+IF(AND(WI_Retire=0,WI_M&lt;0,G59=1),WI_M*12*F59,0))</f>
        <v>0</v>
      </c>
      <c r="IB59" s="20" t="n">
        <f aca="false">Slot1_IsWG*W59+Slot2_IsWG*AH59+Slot3_IsWG*AR59+Slot4_IsWG*BB59+Slot5_IsWG*BL59+Slot6_IsWG*BV59+Slot7_IsWG*CF59+Slot8_IsWG*CP59+Slot9_IsWG*CZ59+Slot10_IsWG*DJ59+Slot11_IsWG*DT59+Slot12_IsWG*ED59+Slot13_IsWG*EN59+Slot14_IsWG*EX59+Slot15_IsWG*FH59+Slot16_IsWG*FR59+Slot17_IsWG*GB59+Slot18_IsWG*GL59+Slot19_IsWG*GV59+Slot20_IsWG*HF59</f>
        <v>0</v>
      </c>
      <c r="IC59" s="20" t="n">
        <f aca="false">IF(AND(WI_Retire=0,WI_M&gt;0,G59=1,IB59&gt;=1),WI_M*12*F59,0)</f>
        <v>0</v>
      </c>
      <c r="ID59" s="20" t="n">
        <f aca="false">IF(HU59=1,MIN(IA59,HS59),0)</f>
        <v>0</v>
      </c>
      <c r="IE59" s="20" t="n">
        <f aca="false">IF(HU59=1,MIN(IC59,HS59-ID59),0)</f>
        <v>0</v>
      </c>
      <c r="IF59" s="20" t="n">
        <f aca="false">IF(W59=1,IF(ABS((1+AS_Wage)/(1+Slot1_Rate)-1)&lt;0.000000000001,(Slot1_Age-D59)*(1+Slot1_Rate)^(Slot1_Age-D59),(1+Slot1_Rate)^(Slot1_Age-D59)*(1-((1+AS_Wage)/(1+Slot1_Rate))^(Slot1_Age-D59))/(1-(1+AS_Wage)/(1+Slot1_Rate))),1)</f>
        <v>1</v>
      </c>
      <c r="IG59" s="20" t="n">
        <f aca="false">IF(AND(HU59=1,IE59&gt;0,Slot1_IsWG=1,W59=1),MAX(0,(Slot1_Cost-X59*(1+Slot1_Rate)^(Slot1_Age-D59))/IF59),0)</f>
        <v>0</v>
      </c>
      <c r="IH59" s="20" t="n">
        <f aca="false">IF(AND(HU59=1,IE59&gt;0,Slot1_IsWG=1,W59=1),MIN(IE59,IG59),0)</f>
        <v>0</v>
      </c>
      <c r="II59" s="20" t="n">
        <f aca="false">X59+IH59</f>
        <v>0</v>
      </c>
      <c r="IJ59" s="20" t="n">
        <f aca="false">IF(W59=1,MAX(0,(Slot1_Cost-II59*(1+Slot1_Rate)^(Slot1_Age-D59))/IF59),0)</f>
        <v>0</v>
      </c>
      <c r="IK59" s="20" t="n">
        <f aca="false">IF(W59=1,MAX(0,(Slot1_Cost-X59*(1+Slot1_Rate)^(Slot1_Age-D59))/IF59),0)</f>
        <v>0</v>
      </c>
      <c r="IL59" s="20" t="n">
        <f aca="false">IF(AND(HU59=1,W59=1),MIN(ID59,IJ59),0)</f>
        <v>0</v>
      </c>
      <c r="IM59" s="20" t="n">
        <f aca="false">ID59-IL59</f>
        <v>0</v>
      </c>
      <c r="IN59" s="20" t="n">
        <f aca="false">IF(AH59=1,IF(ABS((1+AS_Wage)/(1+Slot2_Rate)-1)&lt;0.000000000001,(Slot2_Age-D59)*(1+Slot2_Rate)^(Slot2_Age-D59),(1+Slot2_Rate)^(Slot2_Age-D59)*(1-((1+AS_Wage)/(1+Slot2_Rate))^(Slot2_Age-D59))/(1-(1+AS_Wage)/(1+Slot2_Rate))),1)</f>
        <v>1</v>
      </c>
      <c r="IO59" s="20" t="n">
        <f aca="false">IF(AND(HU59=1,IE59&gt;0,Slot2_IsWG=1,AH59=1),MAX(0,(Slot2_Cost-AI59*(1+Slot2_Rate)^(Slot2_Age-D59))/IN59),0)</f>
        <v>0</v>
      </c>
      <c r="IP59" s="20" t="n">
        <f aca="false">IF(AND(HU59=1,IE59&gt;0,Slot2_IsWG=1,AH59=1),MIN(IE59,IO59),0)</f>
        <v>0</v>
      </c>
      <c r="IQ59" s="20" t="n">
        <f aca="false">AI59+IP59</f>
        <v>0</v>
      </c>
      <c r="IR59" s="20" t="n">
        <f aca="false">IF(AH59=1,MAX(0,(Slot2_Cost-IQ59*(1+Slot2_Rate)^(Slot2_Age-D59))/IN59),0)</f>
        <v>0</v>
      </c>
      <c r="IS59" s="20" t="n">
        <f aca="false">IF(AH59=1,MAX(0,(Slot2_Cost-AI59*(1+Slot2_Rate)^(Slot2_Age-D59))/IN59),0)</f>
        <v>0</v>
      </c>
      <c r="IT59" s="20" t="n">
        <f aca="false">IF(AND(HU59=1,AH59=1),MIN(IM59,IR59),0)</f>
        <v>0</v>
      </c>
      <c r="IU59" s="20" t="n">
        <f aca="false">IM59-IT59</f>
        <v>0</v>
      </c>
      <c r="IV59" s="20" t="n">
        <f aca="false">IF(AR59=1,IF(ABS((1+AS_Wage)/(1+Slot3_Rate)-1)&lt;0.000000000001,(Slot3_Age-D59)*(1+Slot3_Rate)^(Slot3_Age-D59),(1+Slot3_Rate)^(Slot3_Age-D59)*(1-((1+AS_Wage)/(1+Slot3_Rate))^(Slot3_Age-D59))/(1-(1+AS_Wage)/(1+Slot3_Rate))),1)</f>
        <v>1</v>
      </c>
      <c r="IW59" s="20" t="n">
        <f aca="false">IF(AND(HU59=1,IE59&gt;0,Slot3_IsWG=1,AR59=1),MAX(0,(Slot3_Cost-AS59*(1+Slot3_Rate)^(Slot3_Age-D59))/IV59),0)</f>
        <v>0</v>
      </c>
      <c r="IX59" s="20" t="n">
        <f aca="false">IF(AND(HU59=1,IE59&gt;0,Slot3_IsWG=1,AR59=1),MIN(IE59,IW59),0)</f>
        <v>0</v>
      </c>
      <c r="IY59" s="20" t="n">
        <f aca="false">AS59+IX59</f>
        <v>0</v>
      </c>
      <c r="IZ59" s="20" t="n">
        <f aca="false">IF(AR59=1,MAX(0,(Slot3_Cost-IY59*(1+Slot3_Rate)^(Slot3_Age-D59))/IV59),0)</f>
        <v>0</v>
      </c>
      <c r="JA59" s="20" t="n">
        <f aca="false">IF(AR59=1,MAX(0,(Slot3_Cost-AS59*(1+Slot3_Rate)^(Slot3_Age-D59))/IV59),0)</f>
        <v>0</v>
      </c>
      <c r="JB59" s="20" t="n">
        <f aca="false">IF(AND(HU59=1,AR59=1),MIN(IU59,IZ59),0)</f>
        <v>0</v>
      </c>
      <c r="JC59" s="20" t="n">
        <f aca="false">IU59-JB59</f>
        <v>0</v>
      </c>
      <c r="JD59" s="20" t="n">
        <f aca="false">IF(BB59=1,IF(ABS((1+AS_Wage)/(1+Slot4_Rate)-1)&lt;0.000000000001,(Slot4_Age-D59)*(1+Slot4_Rate)^(Slot4_Age-D59),(1+Slot4_Rate)^(Slot4_Age-D59)*(1-((1+AS_Wage)/(1+Slot4_Rate))^(Slot4_Age-D59))/(1-(1+AS_Wage)/(1+Slot4_Rate))),1)</f>
        <v>1</v>
      </c>
      <c r="JE59" s="20" t="n">
        <f aca="false">IF(AND(HU59=1,IE59&gt;0,Slot4_IsWG=1,BB59=1),MAX(0,(Slot4_Cost-BC59*(1+Slot4_Rate)^(Slot4_Age-D59))/JD59),0)</f>
        <v>0</v>
      </c>
      <c r="JF59" s="20" t="n">
        <f aca="false">IF(AND(HU59=1,IE59&gt;0,Slot4_IsWG=1,BB59=1),MIN(IE59,JE59),0)</f>
        <v>0</v>
      </c>
      <c r="JG59" s="20" t="n">
        <f aca="false">BC59+JF59</f>
        <v>0</v>
      </c>
      <c r="JH59" s="20" t="n">
        <f aca="false">IF(BB59=1,MAX(0,(Slot4_Cost-JG59*(1+Slot4_Rate)^(Slot4_Age-D59))/JD59),0)</f>
        <v>0</v>
      </c>
      <c r="JI59" s="20" t="n">
        <f aca="false">IF(BB59=1,MAX(0,(Slot4_Cost-BC59*(1+Slot4_Rate)^(Slot4_Age-D59))/JD59),0)</f>
        <v>0</v>
      </c>
      <c r="JJ59" s="20" t="n">
        <f aca="false">IF(AND(HU59=1,BB59=1),MIN(JC59,JH59),0)</f>
        <v>0</v>
      </c>
      <c r="JK59" s="20" t="n">
        <f aca="false">JC59-JJ59</f>
        <v>0</v>
      </c>
      <c r="JL59" s="20" t="n">
        <f aca="false">IF(BL59=1,IF(ABS((1+AS_Wage)/(1+Slot5_Rate)-1)&lt;0.000000000001,(Slot5_Age-D59)*(1+Slot5_Rate)^(Slot5_Age-D59),(1+Slot5_Rate)^(Slot5_Age-D59)*(1-((1+AS_Wage)/(1+Slot5_Rate))^(Slot5_Age-D59))/(1-(1+AS_Wage)/(1+Slot5_Rate))),1)</f>
        <v>1</v>
      </c>
      <c r="JM59" s="20" t="n">
        <f aca="false">IF(AND(HU59=1,IE59&gt;0,Slot5_IsWG=1,BL59=1),MAX(0,(Slot5_Cost-BM59*(1+Slot5_Rate)^(Slot5_Age-D59))/JL59),0)</f>
        <v>0</v>
      </c>
      <c r="JN59" s="20" t="n">
        <f aca="false">IF(AND(HU59=1,IE59&gt;0,Slot5_IsWG=1,BL59=1),MIN(IE59,JM59),0)</f>
        <v>0</v>
      </c>
      <c r="JO59" s="20" t="n">
        <f aca="false">BM59+JN59</f>
        <v>0</v>
      </c>
      <c r="JP59" s="20" t="n">
        <f aca="false">IF(BL59=1,MAX(0,(Slot5_Cost-JO59*(1+Slot5_Rate)^(Slot5_Age-D59))/JL59),0)</f>
        <v>0</v>
      </c>
      <c r="JQ59" s="20" t="n">
        <f aca="false">IF(BL59=1,MAX(0,(Slot5_Cost-BM59*(1+Slot5_Rate)^(Slot5_Age-D59))/JL59),0)</f>
        <v>0</v>
      </c>
      <c r="JR59" s="20" t="n">
        <f aca="false">IF(AND(HU59=1,BL59=1),MIN(JK59,JP59),0)</f>
        <v>0</v>
      </c>
      <c r="JS59" s="20" t="n">
        <f aca="false">JK59-JR59</f>
        <v>0</v>
      </c>
      <c r="JT59" s="20" t="n">
        <f aca="false">IF(BV59=1,IF(ABS((1+AS_Wage)/(1+Slot6_Rate)-1)&lt;0.000000000001,(Slot6_Age-D59)*(1+Slot6_Rate)^(Slot6_Age-D59),(1+Slot6_Rate)^(Slot6_Age-D59)*(1-((1+AS_Wage)/(1+Slot6_Rate))^(Slot6_Age-D59))/(1-(1+AS_Wage)/(1+Slot6_Rate))),1)</f>
        <v>1</v>
      </c>
      <c r="JU59" s="20" t="n">
        <f aca="false">IF(AND(HU59=1,IE59&gt;0,Slot6_IsWG=1,BV59=1),MAX(0,(Slot6_Cost-BW59*(1+Slot6_Rate)^(Slot6_Age-D59))/JT59),0)</f>
        <v>0</v>
      </c>
      <c r="JV59" s="20" t="n">
        <f aca="false">IF(AND(HU59=1,IE59&gt;0,Slot6_IsWG=1,BV59=1),MIN(IE59,JU59),0)</f>
        <v>0</v>
      </c>
      <c r="JW59" s="20" t="n">
        <f aca="false">BW59+JV59</f>
        <v>0</v>
      </c>
      <c r="JX59" s="20" t="n">
        <f aca="false">IF(BV59=1,MAX(0,(Slot6_Cost-JW59*(1+Slot6_Rate)^(Slot6_Age-D59))/JT59),0)</f>
        <v>0</v>
      </c>
      <c r="JY59" s="20" t="n">
        <f aca="false">IF(BV59=1,MAX(0,(Slot6_Cost-BW59*(1+Slot6_Rate)^(Slot6_Age-D59))/JT59),0)</f>
        <v>0</v>
      </c>
      <c r="JZ59" s="20" t="n">
        <f aca="false">IF(AND(HU59=1,BV59=1),MIN(JS59,JX59),0)</f>
        <v>0</v>
      </c>
      <c r="KA59" s="20" t="n">
        <f aca="false">JS59-JZ59</f>
        <v>0</v>
      </c>
      <c r="KB59" s="20" t="n">
        <f aca="false">IF(CF59=1,IF(ABS((1+AS_Wage)/(1+Slot7_Rate)-1)&lt;0.000000000001,(Slot7_Age-D59)*(1+Slot7_Rate)^(Slot7_Age-D59),(1+Slot7_Rate)^(Slot7_Age-D59)*(1-((1+AS_Wage)/(1+Slot7_Rate))^(Slot7_Age-D59))/(1-(1+AS_Wage)/(1+Slot7_Rate))),1)</f>
        <v>1</v>
      </c>
      <c r="KC59" s="20" t="n">
        <f aca="false">IF(AND(HU59=1,IE59&gt;0,Slot7_IsWG=1,CF59=1),MAX(0,(Slot7_Cost-CG59*(1+Slot7_Rate)^(Slot7_Age-D59))/KB59),0)</f>
        <v>0</v>
      </c>
      <c r="KD59" s="20" t="n">
        <f aca="false">IF(AND(HU59=1,IE59&gt;0,Slot7_IsWG=1,CF59=1),MIN(IE59,KC59),0)</f>
        <v>0</v>
      </c>
      <c r="KE59" s="20" t="n">
        <f aca="false">CG59+KD59</f>
        <v>0</v>
      </c>
      <c r="KF59" s="20" t="n">
        <f aca="false">IF(CF59=1,MAX(0,(Slot7_Cost-KE59*(1+Slot7_Rate)^(Slot7_Age-D59))/KB59),0)</f>
        <v>0</v>
      </c>
      <c r="KG59" s="20" t="n">
        <f aca="false">IF(CF59=1,MAX(0,(Slot7_Cost-CG59*(1+Slot7_Rate)^(Slot7_Age-D59))/KB59),0)</f>
        <v>0</v>
      </c>
      <c r="KH59" s="20" t="n">
        <f aca="false">IF(AND(HU59=1,CF59=1),MIN(KA59,KF59),0)</f>
        <v>0</v>
      </c>
      <c r="KI59" s="20" t="n">
        <f aca="false">KA59-KH59</f>
        <v>0</v>
      </c>
      <c r="KJ59" s="20" t="n">
        <f aca="false">IF(CP59=1,IF(ABS((1+AS_Wage)/(1+Slot8_Rate)-1)&lt;0.000000000001,(Slot8_Age-D59)*(1+Slot8_Rate)^(Slot8_Age-D59),(1+Slot8_Rate)^(Slot8_Age-D59)*(1-((1+AS_Wage)/(1+Slot8_Rate))^(Slot8_Age-D59))/(1-(1+AS_Wage)/(1+Slot8_Rate))),1)</f>
        <v>1</v>
      </c>
      <c r="KK59" s="20" t="n">
        <f aca="false">IF(AND(HU59=1,IE59&gt;0,Slot8_IsWG=1,CP59=1),MAX(0,(Slot8_Cost-CQ59*(1+Slot8_Rate)^(Slot8_Age-D59))/KJ59),0)</f>
        <v>0</v>
      </c>
      <c r="KL59" s="20" t="n">
        <f aca="false">IF(AND(HU59=1,IE59&gt;0,Slot8_IsWG=1,CP59=1),MIN(IE59,KK59),0)</f>
        <v>0</v>
      </c>
      <c r="KM59" s="20" t="n">
        <f aca="false">CQ59+KL59</f>
        <v>0</v>
      </c>
      <c r="KN59" s="20" t="n">
        <f aca="false">IF(CP59=1,MAX(0,(Slot8_Cost-KM59*(1+Slot8_Rate)^(Slot8_Age-D59))/KJ59),0)</f>
        <v>0</v>
      </c>
      <c r="KO59" s="20" t="n">
        <f aca="false">IF(CP59=1,MAX(0,(Slot8_Cost-CQ59*(1+Slot8_Rate)^(Slot8_Age-D59))/KJ59),0)</f>
        <v>0</v>
      </c>
      <c r="KP59" s="20" t="n">
        <f aca="false">IF(AND(HU59=1,CP59=1),MIN(KI59,KN59),0)</f>
        <v>0</v>
      </c>
      <c r="KQ59" s="20" t="n">
        <f aca="false">KI59-KP59</f>
        <v>0</v>
      </c>
      <c r="KR59" s="20" t="n">
        <f aca="false">IF(CZ59=1,IF(ABS((1+AS_Wage)/(1+Slot9_Rate)-1)&lt;0.000000000001,(Slot9_Age-D59)*(1+Slot9_Rate)^(Slot9_Age-D59),(1+Slot9_Rate)^(Slot9_Age-D59)*(1-((1+AS_Wage)/(1+Slot9_Rate))^(Slot9_Age-D59))/(1-(1+AS_Wage)/(1+Slot9_Rate))),1)</f>
        <v>1</v>
      </c>
      <c r="KS59" s="20" t="n">
        <f aca="false">IF(AND(HU59=1,IE59&gt;0,Slot9_IsWG=1,CZ59=1),MAX(0,(Slot9_Cost-DA59*(1+Slot9_Rate)^(Slot9_Age-D59))/KR59),0)</f>
        <v>0</v>
      </c>
      <c r="KT59" s="20" t="n">
        <f aca="false">IF(AND(HU59=1,IE59&gt;0,Slot9_IsWG=1,CZ59=1),MIN(IE59,KS59),0)</f>
        <v>0</v>
      </c>
      <c r="KU59" s="20" t="n">
        <f aca="false">DA59+KT59</f>
        <v>0</v>
      </c>
      <c r="KV59" s="20" t="n">
        <f aca="false">IF(CZ59=1,MAX(0,(Slot9_Cost-KU59*(1+Slot9_Rate)^(Slot9_Age-D59))/KR59),0)</f>
        <v>0</v>
      </c>
      <c r="KW59" s="20" t="n">
        <f aca="false">IF(CZ59=1,MAX(0,(Slot9_Cost-DA59*(1+Slot9_Rate)^(Slot9_Age-D59))/KR59),0)</f>
        <v>0</v>
      </c>
      <c r="KX59" s="20" t="n">
        <f aca="false">IF(AND(HU59=1,CZ59=1),MIN(KQ59,KV59),0)</f>
        <v>0</v>
      </c>
      <c r="KY59" s="20" t="n">
        <f aca="false">KQ59-KX59</f>
        <v>0</v>
      </c>
      <c r="KZ59" s="20" t="n">
        <f aca="false">IF(DJ59=1,IF(ABS((1+AS_Wage)/(1+Slot10_Rate)-1)&lt;0.000000000001,(Slot10_Age-D59)*(1+Slot10_Rate)^(Slot10_Age-D59),(1+Slot10_Rate)^(Slot10_Age-D59)*(1-((1+AS_Wage)/(1+Slot10_Rate))^(Slot10_Age-D59))/(1-(1+AS_Wage)/(1+Slot10_Rate))),1)</f>
        <v>1</v>
      </c>
      <c r="LA59" s="20" t="n">
        <f aca="false">IF(AND(HU59=1,IE59&gt;0,Slot10_IsWG=1,DJ59=1),MAX(0,(Slot10_Cost-DK59*(1+Slot10_Rate)^(Slot10_Age-D59))/KZ59),0)</f>
        <v>0</v>
      </c>
      <c r="LB59" s="20" t="n">
        <f aca="false">IF(AND(HU59=1,IE59&gt;0,Slot10_IsWG=1,DJ59=1),MIN(IE59,LA59),0)</f>
        <v>0</v>
      </c>
      <c r="LC59" s="20" t="n">
        <f aca="false">DK59+LB59</f>
        <v>0</v>
      </c>
      <c r="LD59" s="20" t="n">
        <f aca="false">IF(DJ59=1,MAX(0,(Slot10_Cost-LC59*(1+Slot10_Rate)^(Slot10_Age-D59))/KZ59),0)</f>
        <v>0</v>
      </c>
      <c r="LE59" s="20" t="n">
        <f aca="false">IF(DJ59=1,MAX(0,(Slot10_Cost-DK59*(1+Slot10_Rate)^(Slot10_Age-D59))/KZ59),0)</f>
        <v>0</v>
      </c>
      <c r="LF59" s="20" t="n">
        <f aca="false">IF(AND(HU59=1,DJ59=1),MIN(KY59,LD59),0)</f>
        <v>0</v>
      </c>
      <c r="LG59" s="20" t="n">
        <f aca="false">KY59-LF59</f>
        <v>0</v>
      </c>
      <c r="LH59" s="20" t="n">
        <f aca="false">IF(DT59=1,IF(ABS((1+AS_Wage)/(1+Slot11_Rate)-1)&lt;0.000000000001,(Slot11_Age-D59)*(1+Slot11_Rate)^(Slot11_Age-D59),(1+Slot11_Rate)^(Slot11_Age-D59)*(1-((1+AS_Wage)/(1+Slot11_Rate))^(Slot11_Age-D59))/(1-(1+AS_Wage)/(1+Slot11_Rate))),1)</f>
        <v>1</v>
      </c>
      <c r="LI59" s="20" t="n">
        <f aca="false">IF(AND(HU59=1,IE59&gt;0,Slot11_IsWG=1,DT59=1),MAX(0,(Slot11_Cost-DU59*(1+Slot11_Rate)^(Slot11_Age-D59))/LH59),0)</f>
        <v>0</v>
      </c>
      <c r="LJ59" s="20" t="n">
        <f aca="false">IF(AND(HU59=1,IE59&gt;0,Slot11_IsWG=1,DT59=1),MIN(IE59,LI59),0)</f>
        <v>0</v>
      </c>
      <c r="LK59" s="20" t="n">
        <f aca="false">DU59+LJ59</f>
        <v>0</v>
      </c>
      <c r="LL59" s="20" t="n">
        <f aca="false">IF(DT59=1,MAX(0,(Slot11_Cost-LK59*(1+Slot11_Rate)^(Slot11_Age-D59))/LH59),0)</f>
        <v>0</v>
      </c>
      <c r="LM59" s="20" t="n">
        <f aca="false">IF(DT59=1,MAX(0,(Slot11_Cost-DU59*(1+Slot11_Rate)^(Slot11_Age-D59))/LH59),0)</f>
        <v>0</v>
      </c>
      <c r="LN59" s="20" t="n">
        <f aca="false">IF(AND(HU59=1,DT59=1),MIN(LG59,LL59),0)</f>
        <v>0</v>
      </c>
      <c r="LO59" s="20" t="n">
        <f aca="false">LG59-LN59</f>
        <v>0</v>
      </c>
      <c r="LP59" s="20" t="n">
        <f aca="false">IF(ED59=1,IF(ABS((1+AS_Wage)/(1+Slot12_Rate)-1)&lt;0.000000000001,(Slot12_Age-D59)*(1+Slot12_Rate)^(Slot12_Age-D59),(1+Slot12_Rate)^(Slot12_Age-D59)*(1-((1+AS_Wage)/(1+Slot12_Rate))^(Slot12_Age-D59))/(1-(1+AS_Wage)/(1+Slot12_Rate))),1)</f>
        <v>1</v>
      </c>
      <c r="LQ59" s="20" t="n">
        <f aca="false">IF(AND(HU59=1,IE59&gt;0,Slot12_IsWG=1,ED59=1),MAX(0,(Slot12_Cost-EE59*(1+Slot12_Rate)^(Slot12_Age-D59))/LP59),0)</f>
        <v>0</v>
      </c>
      <c r="LR59" s="20" t="n">
        <f aca="false">IF(AND(HU59=1,IE59&gt;0,Slot12_IsWG=1,ED59=1),MIN(IE59,LQ59),0)</f>
        <v>0</v>
      </c>
      <c r="LS59" s="20" t="n">
        <f aca="false">EE59+LR59</f>
        <v>0</v>
      </c>
      <c r="LT59" s="20" t="n">
        <f aca="false">IF(ED59=1,MAX(0,(Slot12_Cost-LS59*(1+Slot12_Rate)^(Slot12_Age-D59))/LP59),0)</f>
        <v>0</v>
      </c>
      <c r="LU59" s="20" t="n">
        <f aca="false">IF(ED59=1,MAX(0,(Slot12_Cost-EE59*(1+Slot12_Rate)^(Slot12_Age-D59))/LP59),0)</f>
        <v>0</v>
      </c>
      <c r="LV59" s="20" t="n">
        <f aca="false">IF(AND(HU59=1,ED59=1),MIN(LO59,LT59),0)</f>
        <v>0</v>
      </c>
      <c r="LW59" s="20" t="n">
        <f aca="false">LO59-LV59</f>
        <v>0</v>
      </c>
      <c r="LX59" s="20" t="n">
        <f aca="false">IF(EN59=1,IF(ABS((1+AS_Wage)/(1+Slot13_Rate)-1)&lt;0.000000000001,(Slot13_Age-D59)*(1+Slot13_Rate)^(Slot13_Age-D59),(1+Slot13_Rate)^(Slot13_Age-D59)*(1-((1+AS_Wage)/(1+Slot13_Rate))^(Slot13_Age-D59))/(1-(1+AS_Wage)/(1+Slot13_Rate))),1)</f>
        <v>1</v>
      </c>
      <c r="LY59" s="20" t="n">
        <f aca="false">IF(AND(HU59=1,IE59&gt;0,Slot13_IsWG=1,EN59=1),MAX(0,(Slot13_Cost-EO59*(1+Slot13_Rate)^(Slot13_Age-D59))/LX59),0)</f>
        <v>0</v>
      </c>
      <c r="LZ59" s="20" t="n">
        <f aca="false">IF(AND(HU59=1,IE59&gt;0,Slot13_IsWG=1,EN59=1),MIN(IE59,LY59),0)</f>
        <v>0</v>
      </c>
      <c r="MA59" s="20" t="n">
        <f aca="false">EO59+LZ59</f>
        <v>0</v>
      </c>
      <c r="MB59" s="20" t="n">
        <f aca="false">IF(EN59=1,MAX(0,(Slot13_Cost-MA59*(1+Slot13_Rate)^(Slot13_Age-D59))/LX59),0)</f>
        <v>0</v>
      </c>
      <c r="MC59" s="20" t="n">
        <f aca="false">IF(EN59=1,MAX(0,(Slot13_Cost-EO59*(1+Slot13_Rate)^(Slot13_Age-D59))/LX59),0)</f>
        <v>0</v>
      </c>
      <c r="MD59" s="20" t="n">
        <f aca="false">IF(AND(HU59=1,EN59=1),MIN(LW59,MB59),0)</f>
        <v>0</v>
      </c>
      <c r="ME59" s="20" t="n">
        <f aca="false">LW59-MD59</f>
        <v>0</v>
      </c>
      <c r="MF59" s="20" t="n">
        <f aca="false">IF(EX59=1,IF(ABS((1+AS_Wage)/(1+Slot14_Rate)-1)&lt;0.000000000001,(Slot14_Age-D59)*(1+Slot14_Rate)^(Slot14_Age-D59),(1+Slot14_Rate)^(Slot14_Age-D59)*(1-((1+AS_Wage)/(1+Slot14_Rate))^(Slot14_Age-D59))/(1-(1+AS_Wage)/(1+Slot14_Rate))),1)</f>
        <v>1</v>
      </c>
      <c r="MG59" s="20" t="n">
        <f aca="false">IF(AND(HU59=1,IE59&gt;0,Slot14_IsWG=1,EX59=1),MAX(0,(Slot14_Cost-EY59*(1+Slot14_Rate)^(Slot14_Age-D59))/MF59),0)</f>
        <v>0</v>
      </c>
      <c r="MH59" s="20" t="n">
        <f aca="false">IF(AND(HU59=1,IE59&gt;0,Slot14_IsWG=1,EX59=1),MIN(IE59,MG59),0)</f>
        <v>0</v>
      </c>
      <c r="MI59" s="20" t="n">
        <f aca="false">EY59+MH59</f>
        <v>0</v>
      </c>
      <c r="MJ59" s="20" t="n">
        <f aca="false">IF(EX59=1,MAX(0,(Slot14_Cost-MI59*(1+Slot14_Rate)^(Slot14_Age-D59))/MF59),0)</f>
        <v>0</v>
      </c>
      <c r="MK59" s="20" t="n">
        <f aca="false">IF(EX59=1,MAX(0,(Slot14_Cost-EY59*(1+Slot14_Rate)^(Slot14_Age-D59))/MF59),0)</f>
        <v>0</v>
      </c>
      <c r="ML59" s="20" t="n">
        <f aca="false">IF(AND(HU59=1,EX59=1),MIN(ME59,MJ59),0)</f>
        <v>0</v>
      </c>
      <c r="MM59" s="20" t="n">
        <f aca="false">ME59-ML59</f>
        <v>0</v>
      </c>
      <c r="MN59" s="20" t="n">
        <f aca="false">IF(FH59=1,IF(ABS((1+AS_Wage)/(1+Slot15_Rate)-1)&lt;0.000000000001,(Slot15_Age-D59)*(1+Slot15_Rate)^(Slot15_Age-D59),(1+Slot15_Rate)^(Slot15_Age-D59)*(1-((1+AS_Wage)/(1+Slot15_Rate))^(Slot15_Age-D59))/(1-(1+AS_Wage)/(1+Slot15_Rate))),1)</f>
        <v>1</v>
      </c>
      <c r="MO59" s="20" t="n">
        <f aca="false">IF(AND(HU59=1,IE59&gt;0,Slot15_IsWG=1,FH59=1),MAX(0,(Slot15_Cost-FI59*(1+Slot15_Rate)^(Slot15_Age-D59))/MN59),0)</f>
        <v>0</v>
      </c>
      <c r="MP59" s="20" t="n">
        <f aca="false">IF(AND(HU59=1,IE59&gt;0,Slot15_IsWG=1,FH59=1),MIN(IE59,MO59),0)</f>
        <v>0</v>
      </c>
      <c r="MQ59" s="20" t="n">
        <f aca="false">FI59+MP59</f>
        <v>0</v>
      </c>
      <c r="MR59" s="20" t="n">
        <f aca="false">IF(FH59=1,MAX(0,(Slot15_Cost-MQ59*(1+Slot15_Rate)^(Slot15_Age-D59))/MN59),0)</f>
        <v>0</v>
      </c>
      <c r="MS59" s="20" t="n">
        <f aca="false">IF(FH59=1,MAX(0,(Slot15_Cost-FI59*(1+Slot15_Rate)^(Slot15_Age-D59))/MN59),0)</f>
        <v>0</v>
      </c>
      <c r="MT59" s="20" t="n">
        <f aca="false">IF(AND(HU59=1,FH59=1),MIN(MM59,MR59),0)</f>
        <v>0</v>
      </c>
      <c r="MU59" s="20" t="n">
        <f aca="false">MM59-MT59</f>
        <v>0</v>
      </c>
      <c r="MV59" s="20" t="n">
        <f aca="false">IF(FR59=1,IF(ABS((1+AS_Wage)/(1+Slot16_Rate)-1)&lt;0.000000000001,(Slot16_Age-D59)*(1+Slot16_Rate)^(Slot16_Age-D59),(1+Slot16_Rate)^(Slot16_Age-D59)*(1-((1+AS_Wage)/(1+Slot16_Rate))^(Slot16_Age-D59))/(1-(1+AS_Wage)/(1+Slot16_Rate))),1)</f>
        <v>1</v>
      </c>
      <c r="MW59" s="20" t="n">
        <f aca="false">IF(AND(HU59=1,IE59&gt;0,Slot16_IsWG=1,FR59=1),MAX(0,(Slot16_Cost-FS59*(1+Slot16_Rate)^(Slot16_Age-D59))/MV59),0)</f>
        <v>0</v>
      </c>
      <c r="MX59" s="20" t="n">
        <f aca="false">IF(AND(HU59=1,IE59&gt;0,Slot16_IsWG=1,FR59=1),MIN(IE59,MW59),0)</f>
        <v>0</v>
      </c>
      <c r="MY59" s="20" t="n">
        <f aca="false">FS59+MX59</f>
        <v>0</v>
      </c>
      <c r="MZ59" s="20" t="n">
        <f aca="false">IF(FR59=1,MAX(0,(Slot16_Cost-MY59*(1+Slot16_Rate)^(Slot16_Age-D59))/MV59),0)</f>
        <v>0</v>
      </c>
      <c r="NA59" s="20" t="n">
        <f aca="false">IF(FR59=1,MAX(0,(Slot16_Cost-FS59*(1+Slot16_Rate)^(Slot16_Age-D59))/MV59),0)</f>
        <v>0</v>
      </c>
      <c r="NB59" s="20" t="n">
        <f aca="false">IF(AND(HU59=1,FR59=1),MIN(MU59,MZ59),0)</f>
        <v>0</v>
      </c>
      <c r="NC59" s="20" t="n">
        <f aca="false">MU59-NB59</f>
        <v>0</v>
      </c>
      <c r="ND59" s="20" t="n">
        <f aca="false">IF(GB59=1,IF(ABS((1+AS_Wage)/(1+Slot17_Rate)-1)&lt;0.000000000001,(Slot17_Age-D59)*(1+Slot17_Rate)^(Slot17_Age-D59),(1+Slot17_Rate)^(Slot17_Age-D59)*(1-((1+AS_Wage)/(1+Slot17_Rate))^(Slot17_Age-D59))/(1-(1+AS_Wage)/(1+Slot17_Rate))),1)</f>
        <v>1</v>
      </c>
      <c r="NE59" s="20" t="n">
        <f aca="false">IF(AND(HU59=1,IE59&gt;0,Slot17_IsWG=1,GB59=1),MAX(0,(Slot17_Cost-GC59*(1+Slot17_Rate)^(Slot17_Age-D59))/ND59),0)</f>
        <v>0</v>
      </c>
      <c r="NF59" s="20" t="n">
        <f aca="false">IF(AND(HU59=1,IE59&gt;0,Slot17_IsWG=1,GB59=1),MIN(IE59,NE59),0)</f>
        <v>0</v>
      </c>
      <c r="NG59" s="20" t="n">
        <f aca="false">GC59+NF59</f>
        <v>0</v>
      </c>
      <c r="NH59" s="20" t="n">
        <f aca="false">IF(GB59=1,MAX(0,(Slot17_Cost-NG59*(1+Slot17_Rate)^(Slot17_Age-D59))/ND59),0)</f>
        <v>0</v>
      </c>
      <c r="NI59" s="20" t="n">
        <f aca="false">IF(GB59=1,MAX(0,(Slot17_Cost-GC59*(1+Slot17_Rate)^(Slot17_Age-D59))/ND59),0)</f>
        <v>0</v>
      </c>
      <c r="NJ59" s="20" t="n">
        <f aca="false">IF(AND(HU59=1,GB59=1),MIN(NC59,NH59),0)</f>
        <v>0</v>
      </c>
      <c r="NK59" s="20" t="n">
        <f aca="false">NC59-NJ59</f>
        <v>0</v>
      </c>
      <c r="NL59" s="20" t="n">
        <f aca="false">IF(GL59=1,IF(ABS((1+AS_Wage)/(1+Slot18_Rate)-1)&lt;0.000000000001,(Slot18_Age-D59)*(1+Slot18_Rate)^(Slot18_Age-D59),(1+Slot18_Rate)^(Slot18_Age-D59)*(1-((1+AS_Wage)/(1+Slot18_Rate))^(Slot18_Age-D59))/(1-(1+AS_Wage)/(1+Slot18_Rate))),1)</f>
        <v>1</v>
      </c>
      <c r="NM59" s="20" t="n">
        <f aca="false">IF(AND(HU59=1,IE59&gt;0,Slot18_IsWG=1,GL59=1),MAX(0,(Slot18_Cost-GM59*(1+Slot18_Rate)^(Slot18_Age-D59))/NL59),0)</f>
        <v>0</v>
      </c>
      <c r="NN59" s="20" t="n">
        <f aca="false">IF(AND(HU59=1,IE59&gt;0,Slot18_IsWG=1,GL59=1),MIN(IE59,NM59),0)</f>
        <v>0</v>
      </c>
      <c r="NO59" s="20" t="n">
        <f aca="false">GM59+NN59</f>
        <v>0</v>
      </c>
      <c r="NP59" s="20" t="n">
        <f aca="false">IF(GL59=1,MAX(0,(Slot18_Cost-NO59*(1+Slot18_Rate)^(Slot18_Age-D59))/NL59),0)</f>
        <v>0</v>
      </c>
      <c r="NQ59" s="20" t="n">
        <f aca="false">IF(GL59=1,MAX(0,(Slot18_Cost-GM59*(1+Slot18_Rate)^(Slot18_Age-D59))/NL59),0)</f>
        <v>0</v>
      </c>
      <c r="NR59" s="20" t="n">
        <f aca="false">IF(AND(HU59=1,GL59=1),MIN(NK59,NP59),0)</f>
        <v>0</v>
      </c>
      <c r="NS59" s="20" t="n">
        <f aca="false">NK59-NR59</f>
        <v>0</v>
      </c>
      <c r="NT59" s="20" t="n">
        <f aca="false">IF(GV59=1,IF(ABS((1+AS_Wage)/(1+Slot19_Rate)-1)&lt;0.000000000001,(Slot19_Age-D59)*(1+Slot19_Rate)^(Slot19_Age-D59),(1+Slot19_Rate)^(Slot19_Age-D59)*(1-((1+AS_Wage)/(1+Slot19_Rate))^(Slot19_Age-D59))/(1-(1+AS_Wage)/(1+Slot19_Rate))),1)</f>
        <v>1</v>
      </c>
      <c r="NU59" s="20" t="n">
        <f aca="false">IF(AND(HU59=1,IE59&gt;0,Slot19_IsWG=1,GV59=1),MAX(0,(Slot19_Cost-GW59*(1+Slot19_Rate)^(Slot19_Age-D59))/NT59),0)</f>
        <v>0</v>
      </c>
      <c r="NV59" s="20" t="n">
        <f aca="false">IF(AND(HU59=1,IE59&gt;0,Slot19_IsWG=1,GV59=1),MIN(IE59,NU59),0)</f>
        <v>0</v>
      </c>
      <c r="NW59" s="20" t="n">
        <f aca="false">GW59+NV59</f>
        <v>0</v>
      </c>
      <c r="NX59" s="20" t="n">
        <f aca="false">IF(GV59=1,MAX(0,(Slot19_Cost-NW59*(1+Slot19_Rate)^(Slot19_Age-D59))/NT59),0)</f>
        <v>0</v>
      </c>
      <c r="NY59" s="20" t="n">
        <f aca="false">IF(GV59=1,MAX(0,(Slot19_Cost-GW59*(1+Slot19_Rate)^(Slot19_Age-D59))/NT59),0)</f>
        <v>0</v>
      </c>
      <c r="NZ59" s="20" t="n">
        <f aca="false">IF(AND(HU59=1,GV59=1),MIN(NS59,NX59),0)</f>
        <v>0</v>
      </c>
      <c r="OA59" s="20" t="n">
        <f aca="false">NS59-NZ59</f>
        <v>0</v>
      </c>
      <c r="OB59" s="20" t="n">
        <f aca="false">IF(HF59=1,IF(ABS((1+AS_Wage)/(1+Slot20_Rate)-1)&lt;0.000000000001,(Slot20_Age-D59)*(1+Slot20_Rate)^(Slot20_Age-D59),(1+Slot20_Rate)^(Slot20_Age-D59)*(1-((1+AS_Wage)/(1+Slot20_Rate))^(Slot20_Age-D59))/(1-(1+AS_Wage)/(1+Slot20_Rate))),1)</f>
        <v>1</v>
      </c>
      <c r="OC59" s="20" t="n">
        <f aca="false">IF(AND(HU59=1,IE59&gt;0,Slot20_IsWG=1,HF59=1),MAX(0,(Slot20_Cost-HG59*(1+Slot20_Rate)^(Slot20_Age-D59))/OB59),0)</f>
        <v>0</v>
      </c>
      <c r="OD59" s="20" t="n">
        <f aca="false">IF(AND(HU59=1,IE59&gt;0,Slot20_IsWG=1,HF59=1),MIN(IE59,OC59),0)</f>
        <v>0</v>
      </c>
      <c r="OE59" s="20" t="n">
        <f aca="false">HG59+OD59</f>
        <v>0</v>
      </c>
      <c r="OF59" s="20" t="n">
        <f aca="false">IF(HF59=1,MAX(0,(Slot20_Cost-OE59*(1+Slot20_Rate)^(Slot20_Age-D59))/OB59),0)</f>
        <v>0</v>
      </c>
      <c r="OG59" s="20" t="n">
        <f aca="false">IF(HF59=1,MAX(0,(Slot20_Cost-HG59*(1+Slot20_Rate)^(Slot20_Age-D59))/OB59),0)</f>
        <v>0</v>
      </c>
      <c r="OH59" s="20" t="n">
        <f aca="false">IF(AND(HU59=1,HF59=1),MIN(OA59,OF59),0)</f>
        <v>0</v>
      </c>
      <c r="OI59" s="20" t="n">
        <f aca="false">OA59-OH59</f>
        <v>0</v>
      </c>
      <c r="OJ59" s="20" t="n">
        <f aca="false">IE59-(IH59+IP59+IX59+JF59+JN59+JV59+KD59+KL59+KT59+LB59+LJ59+LR59+LZ59+MH59+MP59+MX59+NF59+NN59+NV59+OD59)</f>
        <v>0</v>
      </c>
      <c r="OK59" s="20" t="n">
        <f aca="false">IF(HU59=1,HS59-ID59-IE59,0)</f>
        <v>0</v>
      </c>
      <c r="OL59" s="20" t="n">
        <f aca="false">IF(HU59=0,-HS59,0)</f>
        <v>27728.3569466565</v>
      </c>
      <c r="OM59" s="20" t="n">
        <f aca="false">MIN(OL59,HK59)</f>
        <v>0</v>
      </c>
      <c r="ON59" s="20" t="n">
        <f aca="false">OL59-OM59</f>
        <v>27728.3569466565</v>
      </c>
      <c r="OO59" s="20" t="n">
        <f aca="false">MIN(ON59,HL59)</f>
        <v>0</v>
      </c>
      <c r="OP59" s="20" t="n">
        <f aca="false">ON59-OO59</f>
        <v>27728.3569466565</v>
      </c>
      <c r="OQ59" s="20" t="n">
        <f aca="false">IF(AND(HU59=0,HF59=1,OP59&gt;0),MIN(OP59,HG59),0)</f>
        <v>0</v>
      </c>
      <c r="OR59" s="20" t="n">
        <f aca="false">OP59-OQ59</f>
        <v>27728.3569466565</v>
      </c>
      <c r="OS59" s="20" t="n">
        <f aca="false">IF(AND(HU59=0,GV59=1,OR59&gt;0),MIN(OR59,GW59),0)</f>
        <v>0</v>
      </c>
      <c r="OT59" s="20" t="n">
        <f aca="false">OR59-OS59</f>
        <v>27728.3569466565</v>
      </c>
      <c r="OU59" s="20" t="n">
        <f aca="false">IF(AND(HU59=0,GL59=1,OT59&gt;0),MIN(OT59,GM59),0)</f>
        <v>0</v>
      </c>
      <c r="OV59" s="20" t="n">
        <f aca="false">OT59-OU59</f>
        <v>27728.3569466565</v>
      </c>
      <c r="OW59" s="20" t="n">
        <f aca="false">IF(AND(HU59=0,GB59=1,OV59&gt;0),MIN(OV59,GC59),0)</f>
        <v>0</v>
      </c>
      <c r="OX59" s="20" t="n">
        <f aca="false">OV59-OW59</f>
        <v>27728.3569466565</v>
      </c>
      <c r="OY59" s="20" t="n">
        <f aca="false">IF(AND(HU59=0,FR59=1,OX59&gt;0),MIN(OX59,FS59),0)</f>
        <v>0</v>
      </c>
      <c r="OZ59" s="20" t="n">
        <f aca="false">OX59-OY59</f>
        <v>27728.3569466565</v>
      </c>
      <c r="PA59" s="20" t="n">
        <f aca="false">IF(AND(HU59=0,FH59=1,OZ59&gt;0),MIN(OZ59,FI59),0)</f>
        <v>0</v>
      </c>
      <c r="PB59" s="20" t="n">
        <f aca="false">OZ59-PA59</f>
        <v>27728.3569466565</v>
      </c>
      <c r="PC59" s="20" t="n">
        <f aca="false">IF(AND(HU59=0,EX59=1,PB59&gt;0),MIN(PB59,EY59),0)</f>
        <v>0</v>
      </c>
      <c r="PD59" s="20" t="n">
        <f aca="false">PB59-PC59</f>
        <v>27728.3569466565</v>
      </c>
      <c r="PE59" s="20" t="n">
        <f aca="false">IF(AND(HU59=0,EN59=1,PD59&gt;0),MIN(PD59,EO59),0)</f>
        <v>0</v>
      </c>
      <c r="PF59" s="20" t="n">
        <f aca="false">PD59-PE59</f>
        <v>27728.3569466565</v>
      </c>
      <c r="PG59" s="20" t="n">
        <f aca="false">IF(AND(HU59=0,ED59=1,PF59&gt;0),MIN(PF59,EE59),0)</f>
        <v>0</v>
      </c>
      <c r="PH59" s="20" t="n">
        <f aca="false">PF59-PG59</f>
        <v>27728.3569466565</v>
      </c>
      <c r="PI59" s="20" t="n">
        <f aca="false">IF(AND(HU59=0,DT59=1,PH59&gt;0),MIN(PH59,DU59),0)</f>
        <v>0</v>
      </c>
      <c r="PJ59" s="20" t="n">
        <f aca="false">PH59-PI59</f>
        <v>27728.3569466565</v>
      </c>
      <c r="PK59" s="20" t="n">
        <f aca="false">IF(AND(HU59=0,DJ59=1,PJ59&gt;0),MIN(PJ59,DK59),0)</f>
        <v>0</v>
      </c>
      <c r="PL59" s="20" t="n">
        <f aca="false">PJ59-PK59</f>
        <v>27728.3569466565</v>
      </c>
      <c r="PM59" s="20" t="n">
        <f aca="false">IF(AND(HU59=0,CZ59=1,PL59&gt;0),MIN(PL59,DA59),0)</f>
        <v>0</v>
      </c>
      <c r="PN59" s="20" t="n">
        <f aca="false">PL59-PM59</f>
        <v>27728.3569466565</v>
      </c>
      <c r="PO59" s="20" t="n">
        <f aca="false">IF(AND(HU59=0,CP59=1,PN59&gt;0),MIN(PN59,CQ59),0)</f>
        <v>0</v>
      </c>
      <c r="PP59" s="20" t="n">
        <f aca="false">PN59-PO59</f>
        <v>27728.3569466565</v>
      </c>
      <c r="PQ59" s="20" t="n">
        <f aca="false">IF(AND(HU59=0,CF59=1,PP59&gt;0),MIN(PP59,CG59),0)</f>
        <v>0</v>
      </c>
      <c r="PR59" s="20" t="n">
        <f aca="false">PP59-PQ59</f>
        <v>27728.3569466565</v>
      </c>
      <c r="PS59" s="20" t="n">
        <f aca="false">IF(AND(HU59=0,BV59=1,PR59&gt;0),MIN(PR59,BW59),0)</f>
        <v>0</v>
      </c>
      <c r="PT59" s="20" t="n">
        <f aca="false">PR59-PS59</f>
        <v>27728.3569466565</v>
      </c>
      <c r="PU59" s="20" t="n">
        <f aca="false">IF(AND(HU59=0,BL59=1,PT59&gt;0),MIN(PT59,BM59),0)</f>
        <v>0</v>
      </c>
      <c r="PV59" s="20" t="n">
        <f aca="false">PT59-PU59</f>
        <v>27728.3569466565</v>
      </c>
      <c r="PW59" s="20" t="n">
        <f aca="false">IF(AND(HU59=0,BB59=1,PV59&gt;0),MIN(PV59,BC59),0)</f>
        <v>0</v>
      </c>
      <c r="PX59" s="20" t="n">
        <f aca="false">PV59-PW59</f>
        <v>27728.3569466565</v>
      </c>
      <c r="PY59" s="20" t="n">
        <f aca="false">IF(AND(HU59=0,AR59=1,PX59&gt;0),MIN(PX59,AS59),0)</f>
        <v>0</v>
      </c>
      <c r="PZ59" s="20" t="n">
        <f aca="false">PX59-PY59</f>
        <v>27728.3569466565</v>
      </c>
      <c r="QA59" s="20" t="n">
        <f aca="false">IF(AND(HU59=0,AH59=1,PZ59&gt;0),MIN(PZ59,AI59),0)</f>
        <v>0</v>
      </c>
      <c r="QB59" s="20" t="n">
        <f aca="false">PZ59-QA59</f>
        <v>27728.3569466565</v>
      </c>
      <c r="QC59" s="20" t="n">
        <f aca="false">IF(AND(HU59=0,W59=1,QB59&gt;0),MIN(QB59,X59),0)</f>
        <v>0</v>
      </c>
      <c r="QD59" s="20" t="n">
        <f aca="false">QB59-QC59</f>
        <v>27728.3569466565</v>
      </c>
      <c r="QE59" s="20" t="n">
        <f aca="false">IF(HU59=0,QD59,0)</f>
        <v>27728.3569466565</v>
      </c>
      <c r="QF59" s="20" t="n">
        <f aca="false">OM59+OO59+QC59+QA59+PY59+PW59+PU59+PS59+PQ59+PO59+PM59+PK59+PI59+PG59+PE59+PC59+PA59+OY59+OW59+OU59+OS59+OQ59</f>
        <v>0</v>
      </c>
      <c r="QG59" s="20" t="n">
        <f aca="false">IF(HU59=1,HK59+OJ59+OI59+IF(G59=1,0,OK59),HK59-OM59)</f>
        <v>0</v>
      </c>
      <c r="QH59" s="20" t="n">
        <f aca="false">HL59-OO59</f>
        <v>0</v>
      </c>
      <c r="QI59" s="20" t="n">
        <f aca="false">IF(HU59=1,IF(G59=1,ID59+IE59,HS59),0)</f>
        <v>0</v>
      </c>
      <c r="QJ59" s="20" t="n">
        <f aca="false">IF(HU59=1,IF(G59=1,HS59-ID59-IE59,0),0)</f>
        <v>0</v>
      </c>
      <c r="QK59" s="20" t="n">
        <f aca="false">QG59*(1+GR)</f>
        <v>0</v>
      </c>
      <c r="QL59" s="20" t="n">
        <f aca="false">QH59*(1+AS_Cash)</f>
        <v>0</v>
      </c>
      <c r="QM59" s="20" t="n">
        <f aca="false">IF(W59=1,IF(HU59=1,II59+IL59,X59-QC59)*(1+Slot1_Rate),0)</f>
        <v>0</v>
      </c>
      <c r="QN59" s="20" t="n">
        <f aca="false">IF(AND(HU59=1,W59=1),(IH59+IL59)/F59,0)</f>
        <v>0</v>
      </c>
      <c r="QO59" s="20" t="n">
        <f aca="false">IF(B59=0,IH59+IL59,0)</f>
        <v>0</v>
      </c>
      <c r="QP59" s="20" t="n">
        <f aca="false">IF(B59=0,IF(HU59=1,IJ59,IK59),0)</f>
        <v>0</v>
      </c>
      <c r="QQ59" s="20" t="n">
        <f aca="false">IF(AH59=1,IF(HU59=1,IQ59+IT59,AI59-QA59)*(1+Slot2_Rate),0)</f>
        <v>0</v>
      </c>
      <c r="QR59" s="20" t="n">
        <f aca="false">IF(AND(HU59=1,AH59=1),(IP59+IT59)/F59,0)</f>
        <v>0</v>
      </c>
      <c r="QS59" s="20" t="n">
        <f aca="false">IF(B59=0,IP59+IT59,0)</f>
        <v>0</v>
      </c>
      <c r="QT59" s="20" t="n">
        <f aca="false">IF(B59=0,IF(HU59=1,IR59,IS59),0)</f>
        <v>0</v>
      </c>
      <c r="QU59" s="20" t="n">
        <f aca="false">IF(AR59=1,IF(HU59=1,IY59+JB59,AS59-PY59)*(1+Slot3_Rate),0)</f>
        <v>0</v>
      </c>
      <c r="QV59" s="20" t="n">
        <f aca="false">IF(AND(HU59=1,AR59=1),(IX59+JB59)/F59,0)</f>
        <v>0</v>
      </c>
      <c r="QW59" s="20" t="n">
        <f aca="false">IF(B59=0,IX59+JB59,0)</f>
        <v>0</v>
      </c>
      <c r="QX59" s="20" t="n">
        <f aca="false">IF(B59=0,IF(HU59=1,IZ59,JA59),0)</f>
        <v>0</v>
      </c>
      <c r="QY59" s="20" t="n">
        <f aca="false">IF(BB59=1,IF(HU59=1,JG59+JJ59,BC59-PW59)*(1+Slot4_Rate),0)</f>
        <v>0</v>
      </c>
      <c r="QZ59" s="20" t="n">
        <f aca="false">IF(AND(HU59=1,BB59=1),(JF59+JJ59)/F59,0)</f>
        <v>0</v>
      </c>
      <c r="RA59" s="20" t="n">
        <f aca="false">IF(B59=0,JF59+JJ59,0)</f>
        <v>0</v>
      </c>
      <c r="RB59" s="20" t="n">
        <f aca="false">IF(B59=0,IF(HU59=1,JH59,JI59),0)</f>
        <v>0</v>
      </c>
      <c r="RC59" s="20" t="n">
        <f aca="false">IF(BL59=1,IF(HU59=1,JO59+JR59,BM59-PU59)*(1+Slot5_Rate),0)</f>
        <v>0</v>
      </c>
      <c r="RD59" s="20" t="n">
        <f aca="false">IF(AND(HU59=1,BL59=1),(JN59+JR59)/F59,0)</f>
        <v>0</v>
      </c>
      <c r="RE59" s="20" t="n">
        <f aca="false">IF(B59=0,JN59+JR59,0)</f>
        <v>0</v>
      </c>
      <c r="RF59" s="20" t="n">
        <f aca="false">IF(B59=0,IF(HU59=1,JP59,JQ59),0)</f>
        <v>0</v>
      </c>
      <c r="RG59" s="20" t="n">
        <f aca="false">IF(BV59=1,IF(HU59=1,JW59+JZ59,BW59-PS59)*(1+Slot6_Rate),0)</f>
        <v>0</v>
      </c>
      <c r="RH59" s="20" t="n">
        <f aca="false">IF(AND(HU59=1,BV59=1),(JV59+JZ59)/F59,0)</f>
        <v>0</v>
      </c>
      <c r="RI59" s="20" t="n">
        <f aca="false">IF(B59=0,JV59+JZ59,0)</f>
        <v>0</v>
      </c>
      <c r="RJ59" s="20" t="n">
        <f aca="false">IF(B59=0,IF(HU59=1,JX59,JY59),0)</f>
        <v>0</v>
      </c>
      <c r="RK59" s="20" t="n">
        <f aca="false">IF(CF59=1,IF(HU59=1,KE59+KH59,CG59-PQ59)*(1+Slot7_Rate),0)</f>
        <v>0</v>
      </c>
      <c r="RL59" s="20" t="n">
        <f aca="false">IF(AND(HU59=1,CF59=1),(KD59+KH59)/F59,0)</f>
        <v>0</v>
      </c>
      <c r="RM59" s="20" t="n">
        <f aca="false">IF(B59=0,KD59+KH59,0)</f>
        <v>0</v>
      </c>
      <c r="RN59" s="20" t="n">
        <f aca="false">IF(B59=0,IF(HU59=1,KF59,KG59),0)</f>
        <v>0</v>
      </c>
      <c r="RO59" s="20" t="n">
        <f aca="false">IF(CP59=1,IF(HU59=1,KM59+KP59,CQ59-PO59)*(1+Slot8_Rate),0)</f>
        <v>0</v>
      </c>
      <c r="RP59" s="20" t="n">
        <f aca="false">IF(AND(HU59=1,CP59=1),(KL59+KP59)/F59,0)</f>
        <v>0</v>
      </c>
      <c r="RQ59" s="20" t="n">
        <f aca="false">IF(B59=0,KL59+KP59,0)</f>
        <v>0</v>
      </c>
      <c r="RR59" s="20" t="n">
        <f aca="false">IF(B59=0,IF(HU59=1,KN59,KO59),0)</f>
        <v>0</v>
      </c>
      <c r="RS59" s="20" t="n">
        <f aca="false">IF(CZ59=1,IF(HU59=1,KU59+KX59,DA59-PM59)*(1+Slot9_Rate),0)</f>
        <v>0</v>
      </c>
      <c r="RT59" s="20" t="n">
        <f aca="false">IF(AND(HU59=1,CZ59=1),(KT59+KX59)/F59,0)</f>
        <v>0</v>
      </c>
      <c r="RU59" s="20" t="n">
        <f aca="false">IF(B59=0,KT59+KX59,0)</f>
        <v>0</v>
      </c>
      <c r="RV59" s="20" t="n">
        <f aca="false">IF(B59=0,IF(HU59=1,KV59,KW59),0)</f>
        <v>0</v>
      </c>
      <c r="RW59" s="20" t="n">
        <f aca="false">IF(DJ59=1,IF(HU59=1,LC59+LF59,DK59-PK59)*(1+Slot10_Rate),0)</f>
        <v>0</v>
      </c>
      <c r="RX59" s="20" t="n">
        <f aca="false">IF(AND(HU59=1,DJ59=1),(LB59+LF59)/F59,0)</f>
        <v>0</v>
      </c>
      <c r="RY59" s="20" t="n">
        <f aca="false">IF(B59=0,LB59+LF59,0)</f>
        <v>0</v>
      </c>
      <c r="RZ59" s="20" t="n">
        <f aca="false">IF(B59=0,IF(HU59=1,LD59,LE59),0)</f>
        <v>0</v>
      </c>
      <c r="SA59" s="20" t="n">
        <f aca="false">IF(DT59=1,IF(HU59=1,LK59+LN59,DU59-PI59)*(1+Slot11_Rate),0)</f>
        <v>0</v>
      </c>
      <c r="SB59" s="20" t="n">
        <f aca="false">IF(AND(HU59=1,DT59=1),(LJ59+LN59)/F59,0)</f>
        <v>0</v>
      </c>
      <c r="SC59" s="20" t="n">
        <f aca="false">IF(B59=0,LJ59+LN59,0)</f>
        <v>0</v>
      </c>
      <c r="SD59" s="20" t="n">
        <f aca="false">IF(B59=0,IF(HU59=1,LL59,LM59),0)</f>
        <v>0</v>
      </c>
      <c r="SE59" s="20" t="n">
        <f aca="false">IF(ED59=1,IF(HU59=1,LS59+LV59,EE59-PG59)*(1+Slot12_Rate),0)</f>
        <v>0</v>
      </c>
      <c r="SF59" s="20" t="n">
        <f aca="false">IF(AND(HU59=1,ED59=1),(LR59+LV59)/F59,0)</f>
        <v>0</v>
      </c>
      <c r="SG59" s="20" t="n">
        <f aca="false">IF(B59=0,LR59+LV59,0)</f>
        <v>0</v>
      </c>
      <c r="SH59" s="20" t="n">
        <f aca="false">IF(B59=0,IF(HU59=1,LT59,LU59),0)</f>
        <v>0</v>
      </c>
      <c r="SI59" s="20" t="n">
        <f aca="false">IF(EN59=1,IF(HU59=1,MA59+MD59,EO59-PE59)*(1+Slot13_Rate),0)</f>
        <v>0</v>
      </c>
      <c r="SJ59" s="20" t="n">
        <f aca="false">IF(AND(HU59=1,EN59=1),(LZ59+MD59)/F59,0)</f>
        <v>0</v>
      </c>
      <c r="SK59" s="20" t="n">
        <f aca="false">IF(B59=0,LZ59+MD59,0)</f>
        <v>0</v>
      </c>
      <c r="SL59" s="20" t="n">
        <f aca="false">IF(B59=0,IF(HU59=1,MB59,MC59),0)</f>
        <v>0</v>
      </c>
      <c r="SM59" s="20" t="n">
        <f aca="false">IF(EX59=1,IF(HU59=1,MI59+ML59,EY59-PC59)*(1+Slot14_Rate),0)</f>
        <v>0</v>
      </c>
      <c r="SN59" s="20" t="n">
        <f aca="false">IF(AND(HU59=1,EX59=1),(MH59+ML59)/F59,0)</f>
        <v>0</v>
      </c>
      <c r="SO59" s="20" t="n">
        <f aca="false">IF(B59=0,MH59+ML59,0)</f>
        <v>0</v>
      </c>
      <c r="SP59" s="20" t="n">
        <f aca="false">IF(B59=0,IF(HU59=1,MJ59,MK59),0)</f>
        <v>0</v>
      </c>
      <c r="SQ59" s="20" t="n">
        <f aca="false">IF(FH59=1,IF(HU59=1,MQ59+MT59,FI59-PA59)*(1+Slot15_Rate),0)</f>
        <v>0</v>
      </c>
      <c r="SR59" s="20" t="n">
        <f aca="false">IF(AND(HU59=1,FH59=1),(MP59+MT59)/F59,0)</f>
        <v>0</v>
      </c>
      <c r="SS59" s="20" t="n">
        <f aca="false">IF(B59=0,MP59+MT59,0)</f>
        <v>0</v>
      </c>
      <c r="ST59" s="20" t="n">
        <f aca="false">IF(B59=0,IF(HU59=1,MR59,MS59),0)</f>
        <v>0</v>
      </c>
      <c r="SU59" s="20" t="n">
        <f aca="false">IF(FR59=1,IF(HU59=1,MY59+NB59,FS59-OY59)*(1+Slot16_Rate),0)</f>
        <v>0</v>
      </c>
      <c r="SV59" s="20" t="n">
        <f aca="false">IF(AND(HU59=1,FR59=1),(MX59+NB59)/F59,0)</f>
        <v>0</v>
      </c>
      <c r="SW59" s="20" t="n">
        <f aca="false">IF(B59=0,MX59+NB59,0)</f>
        <v>0</v>
      </c>
      <c r="SX59" s="20" t="n">
        <f aca="false">IF(B59=0,IF(HU59=1,MZ59,NA59),0)</f>
        <v>0</v>
      </c>
      <c r="SY59" s="20" t="n">
        <f aca="false">IF(GB59=1,IF(HU59=1,NG59+NJ59,GC59-OW59)*(1+Slot17_Rate),0)</f>
        <v>0</v>
      </c>
      <c r="SZ59" s="20" t="n">
        <f aca="false">IF(AND(HU59=1,GB59=1),(NF59+NJ59)/F59,0)</f>
        <v>0</v>
      </c>
      <c r="TA59" s="20" t="n">
        <f aca="false">IF(B59=0,NF59+NJ59,0)</f>
        <v>0</v>
      </c>
      <c r="TB59" s="20" t="n">
        <f aca="false">IF(B59=0,IF(HU59=1,NH59,NI59),0)</f>
        <v>0</v>
      </c>
      <c r="TC59" s="20" t="n">
        <f aca="false">IF(GL59=1,IF(HU59=1,NO59+NR59,GM59-OU59)*(1+Slot18_Rate),0)</f>
        <v>0</v>
      </c>
      <c r="TD59" s="20" t="n">
        <f aca="false">IF(AND(HU59=1,GL59=1),(NN59+NR59)/F59,0)</f>
        <v>0</v>
      </c>
      <c r="TE59" s="20" t="n">
        <f aca="false">IF(B59=0,NN59+NR59,0)</f>
        <v>0</v>
      </c>
      <c r="TF59" s="20" t="n">
        <f aca="false">IF(B59=0,IF(HU59=1,NP59,NQ59),0)</f>
        <v>0</v>
      </c>
      <c r="TG59" s="20" t="n">
        <f aca="false">IF(GV59=1,IF(HU59=1,NW59+NZ59,GW59-OS59)*(1+Slot19_Rate),0)</f>
        <v>0</v>
      </c>
      <c r="TH59" s="20" t="n">
        <f aca="false">IF(AND(HU59=1,GV59=1),(NV59+NZ59)/F59,0)</f>
        <v>0</v>
      </c>
      <c r="TI59" s="20" t="n">
        <f aca="false">IF(B59=0,NV59+NZ59,0)</f>
        <v>0</v>
      </c>
      <c r="TJ59" s="20" t="n">
        <f aca="false">IF(B59=0,IF(HU59=1,NX59,NY59),0)</f>
        <v>0</v>
      </c>
      <c r="TK59" s="20" t="n">
        <f aca="false">IF(HF59=1,IF(HU59=1,OE59+OH59,HG59-OQ59)*(1+Slot20_Rate),0)</f>
        <v>0</v>
      </c>
      <c r="TL59" s="20" t="n">
        <f aca="false">IF(AND(HU59=1,HF59=1),(OD59+OH59)/F59,0)</f>
        <v>0</v>
      </c>
      <c r="TM59" s="20" t="n">
        <f aca="false">IF(B59=0,OD59+OH59,0)</f>
        <v>0</v>
      </c>
      <c r="TN59" s="20" t="n">
        <f aca="false">IF(B59=0,IF(HU59=1,OF59,OG59),0)</f>
        <v>0</v>
      </c>
      <c r="TO59" s="20" t="n">
        <f aca="false">QK59+QL59+QM59+QQ59+QU59+QY59+RC59+RG59+RK59+RO59+RS59+RW59+SA59+SE59+SI59+SM59+SQ59+SU59+SY59+TC59+TG59+TK59</f>
        <v>0</v>
      </c>
      <c r="TP59" s="20" t="n">
        <f aca="false">QE59+HP59</f>
        <v>27728.3569466565</v>
      </c>
      <c r="TQ59" s="20" t="n">
        <f aca="false">I59+S59</f>
        <v>131231.065945513</v>
      </c>
      <c r="TR59" s="20" t="n">
        <f aca="false">1-G59</f>
        <v>1</v>
      </c>
      <c r="TS59" s="20" t="n">
        <f aca="false">IF(AND(RG_Exists=1,G59=0,C59=1),I59,0)</f>
        <v>131231.065945513</v>
      </c>
      <c r="TT59" s="20" t="n">
        <f aca="false">IF(AND(RG_Exists=1,G59=0,C59=1),I59-MIN(QE59,I59),0)</f>
        <v>103502.708998856</v>
      </c>
      <c r="TU59" s="20" t="n">
        <f aca="false">'Plan pay &amp; tax'!AD285</f>
        <v>172831.868413206</v>
      </c>
      <c r="TV59" s="20" t="n">
        <f aca="false">IF(AND(C59=1,QE59&gt;MAX(PR_Short1,TQ59*PR_Short2)),1,0)</f>
        <v>1</v>
      </c>
      <c r="TW59" s="20" t="n">
        <f aca="false">MIN(H59,I59+S59)</f>
        <v>103502.708998856</v>
      </c>
      <c r="TX59" s="20" t="n">
        <f aca="false">QF59+MAX(0,HQ59-HP59)</f>
        <v>0</v>
      </c>
      <c r="TY59" s="20" t="n">
        <f aca="false">QE59+HP59</f>
        <v>27728.3569466565</v>
      </c>
      <c r="TZ59" s="20" t="n">
        <f aca="false">IF(AND(C59=1,TY59&gt;PR_MinShort),1,0)</f>
        <v>1</v>
      </c>
      <c r="UA59" s="20" t="n">
        <f aca="false">IF(AND(C59=1,TZ59=0,TX59&gt;PR_MinShort),1,0)</f>
        <v>0</v>
      </c>
      <c r="UB59" s="20" t="n">
        <f aca="false">IF(AND(C59=1,QE59&gt;PR_MinShort),1,0)</f>
        <v>1</v>
      </c>
      <c r="UC59" s="20" t="n">
        <f aca="false">IF(AND(C59=1,QF59&gt;1,UJ59=0),1,0)</f>
        <v>0</v>
      </c>
      <c r="UD59" s="20" t="str">
        <f aca="false">IF(C59=0,"",IF(UJ59=1,"Gap to plan for: short "&amp;"€"&amp;TEXT(ROUND(TP59,0),"#,##0"),IF(QF59&gt;1,"Using savings","Comfortable")))</f>
        <v>Gap to plan for: short €27,728</v>
      </c>
      <c r="UE59" s="20" t="n">
        <f aca="false">IF(AND(INT(D59/10)*10=90,B59&gt;0),80,INT(D59/10)*10)</f>
        <v>80</v>
      </c>
      <c r="UF59" s="20" t="n">
        <f aca="false">IF(B59=0,1,IF(UE59&lt;&gt;UE58,UF58+1,UF58))</f>
        <v>6</v>
      </c>
      <c r="UG59" s="20" t="n">
        <f aca="false">IF(AND(C59=1,G59=1,QE59&gt;MAX(PR_Short1,TQ59*PR_Short2)),1,0)</f>
        <v>0</v>
      </c>
      <c r="UH59" s="20" t="n">
        <f aca="false">TR59*TV59</f>
        <v>1</v>
      </c>
      <c r="UI59" s="20" t="n">
        <f aca="false">IF(AND(V59=1,Slot1_PctLow=1),1,0)+IF(AND(AG59=1,Slot2_PctLow=1),1,0)+IF(AND(AQ59=1,Slot3_PctLow=1),1,0)+IF(AND(BA59=1,Slot4_PctLow=1),1,0)+IF(AND(BK59=1,Slot5_PctLow=1),1,0)+IF(AND(BU59=1,Slot6_PctLow=1),1,0)+IF(AND(CE59=1,Slot7_PctLow=1),1,0)+IF(AND(CO59=1,Slot8_PctLow=1),1,0)+IF(AND(CY59=1,Slot9_PctLow=1),1,0)+IF(AND(DI59=1,Slot10_PctLow=1),1,0)+IF(AND(DS59=1,Slot11_PctLow=1),1,0)+IF(AND(EC59=1,Slot12_PctLow=1),1,0)+IF(AND(EM59=1,Slot13_PctLow=1),1,0)+IF(AND(EW59=1,Slot14_PctLow=1),1,0)+IF(AND(FG59=1,Slot15_PctLow=1),1,0)+IF(AND(FQ59=1,Slot16_PctLow=1),1,0)+IF(AND(GA59=1,Slot17_PctLow=1),1,0)+IF(AND(GK59=1,Slot18_PctLow=1),1,0)+IF(AND(GU59=1,Slot19_PctLow=1),1,0)+IF(AND(HE59=1,Slot20_PctLow=1),1,0)</f>
        <v>0</v>
      </c>
      <c r="UJ59" s="20" t="n">
        <f aca="false">IF(C59=1,IF(OR(TV59=1,UI59&gt;0),1,0),0)</f>
        <v>1</v>
      </c>
    </row>
    <row r="60" customFormat="false" ht="15" hidden="false" customHeight="true" outlineLevel="0" collapsed="false">
      <c r="B60" s="20" t="n">
        <v>52</v>
      </c>
      <c r="C60" s="20" t="n">
        <f aca="false">IF(B60&lt;=F_N,1,0)</f>
        <v>1</v>
      </c>
      <c r="D60" s="20" t="n">
        <f aca="false">'Plan pay &amp; tax'!C286</f>
        <v>90</v>
      </c>
      <c r="E60" s="20" t="str">
        <f aca="false">IF($C60=1,"Income tax "&amp;TEXT(N('Plan pay &amp; tax'!BK286),"#,##0")&amp;"; USC "&amp;TEXT(N('Plan pay &amp; tax'!BM286)+N('Plan pay &amp; tax'!BO286),"#,##0")&amp;"; PRSI "&amp;TEXT(N('Plan pay &amp; tax'!BP286)+N('Plan pay &amp; tax'!BQ286),"#,##0")&amp;". DIRT and exit tax are inside the growth rates here.","")</f>
        <v>Income tax 1,029; USC 0; PRSI 0. DIRT and exit tax are inside the growth rates here.</v>
      </c>
      <c r="F60" s="44" t="n">
        <f aca="false">'Plan pay &amp; tax'!E286</f>
        <v>2.80032818544818</v>
      </c>
      <c r="G60" s="20" t="n">
        <f aca="false">'Plan pay &amp; tax'!G286</f>
        <v>0</v>
      </c>
      <c r="H60" s="20" t="n">
        <f aca="false">'Plan pay &amp; tax'!BT286-'Plan pay &amp; tax'!BS286-'Plan pay &amp; tax'!R286</f>
        <v>105829.679189401</v>
      </c>
      <c r="I60" s="20" t="n">
        <f aca="false">IF(G60=1,F_CostsM*12,IF(RG_Exists=1,RG_Amount,F_CostsM*12*AS_RetireSpend))*F60+F_OneOffY*F60</f>
        <v>133855.687264423</v>
      </c>
      <c r="J60" s="20" t="n">
        <f aca="false">HR59</f>
        <v>0</v>
      </c>
      <c r="K60" s="20" t="n">
        <f aca="false">IF(J60&gt;1,'Plan debt months'!AC60,0)</f>
        <v>0</v>
      </c>
      <c r="L60" s="20" t="n">
        <f aca="false">IF(J60&gt;1,'Plan debt months'!AB60,J60)</f>
        <v>0</v>
      </c>
      <c r="M60" s="20" t="n">
        <f aca="false">O59</f>
        <v>0</v>
      </c>
      <c r="N60" s="20" t="n">
        <f aca="false">IF(M60&gt;1,'Plan debt months'!BD60,0)</f>
        <v>0</v>
      </c>
      <c r="O60" s="20" t="n">
        <f aca="false">IF(M60&gt;1,'Plan debt months'!BC60,M60)</f>
        <v>0</v>
      </c>
      <c r="P60" s="20" t="n">
        <f aca="false">R59</f>
        <v>0</v>
      </c>
      <c r="Q60" s="20" t="n">
        <f aca="false">IF(P60&gt;1,'Plan debt months'!CE60,0)</f>
        <v>0</v>
      </c>
      <c r="R60" s="20" t="n">
        <f aca="false">IF(P60&gt;1,'Plan debt months'!CD60,P60)</f>
        <v>0</v>
      </c>
      <c r="S60" s="20" t="n">
        <f aca="false">K60+N60+Q60</f>
        <v>0</v>
      </c>
      <c r="T60" s="20" t="n">
        <f aca="false">QK59+'Plan pay &amp; tax'!Y286</f>
        <v>0</v>
      </c>
      <c r="U60" s="20" t="n">
        <f aca="false">QK59</f>
        <v>0</v>
      </c>
      <c r="V60" s="20" t="n">
        <f aca="false">IF(AND(Slot1_On=1,D60=Slot1_Age),1,0)</f>
        <v>0</v>
      </c>
      <c r="W60" s="20" t="n">
        <f aca="false">IF(AND(Slot1_On=1,Slot1_Age&gt;D60),1,0)</f>
        <v>0</v>
      </c>
      <c r="X60" s="20" t="n">
        <f aca="false">QM59</f>
        <v>0</v>
      </c>
      <c r="Y60" s="20" t="n">
        <f aca="false">V60*MIN(Slot1_Cost,X60)</f>
        <v>0</v>
      </c>
      <c r="Z60" s="20" t="n">
        <f aca="false">V60*Slot1_SpendLike*MIN(Slot1_Cost-Y60,T60)</f>
        <v>0</v>
      </c>
      <c r="AA60" s="20" t="n">
        <f aca="false">Y60+Z60</f>
        <v>0</v>
      </c>
      <c r="AB60" s="20" t="n">
        <f aca="false">T60-Z60+V60*IF(Slot1_SpendLike=1,X60-Y60,IF(Slot1_PotFree=1,X60,0))</f>
        <v>0</v>
      </c>
      <c r="AC60" s="20" t="n">
        <f aca="false">AF60+V60*Slot1_BufPot*X60</f>
        <v>0</v>
      </c>
      <c r="AD60" s="20" t="n">
        <f aca="false">IF(AND(V60=1,Slot1_IsMfree=1),IF(AA60&gt;=Slot1_Cost-1,0,MAX(0,L60-AA60)),L60)</f>
        <v>0</v>
      </c>
      <c r="AE60" s="20" t="n">
        <f aca="false">V60*(Slot1_Cost-AA60)</f>
        <v>0</v>
      </c>
      <c r="AF60" s="20" t="n">
        <f aca="false">QL59</f>
        <v>0</v>
      </c>
      <c r="AG60" s="20" t="n">
        <f aca="false">IF(AND(Slot2_On=1,D60=Slot2_Age),1,0)</f>
        <v>0</v>
      </c>
      <c r="AH60" s="20" t="n">
        <f aca="false">IF(AND(Slot2_On=1,Slot2_Age&gt;D60),1,0)</f>
        <v>0</v>
      </c>
      <c r="AI60" s="20" t="n">
        <f aca="false">QQ59</f>
        <v>0</v>
      </c>
      <c r="AJ60" s="20" t="n">
        <f aca="false">AG60*MIN(Slot2_Cost,AI60)</f>
        <v>0</v>
      </c>
      <c r="AK60" s="20" t="n">
        <f aca="false">AG60*Slot2_SpendLike*MIN(Slot2_Cost-AJ60,AB60)</f>
        <v>0</v>
      </c>
      <c r="AL60" s="20" t="n">
        <f aca="false">AJ60+AK60</f>
        <v>0</v>
      </c>
      <c r="AM60" s="20" t="n">
        <f aca="false">AB60-AK60+AG60*IF(Slot2_SpendLike=1,AI60-AJ60,IF(Slot2_PotFree=1,AI60,0))</f>
        <v>0</v>
      </c>
      <c r="AN60" s="20" t="n">
        <f aca="false">AC60+AG60*Slot2_BufPot*AI60</f>
        <v>0</v>
      </c>
      <c r="AO60" s="20" t="n">
        <f aca="false">IF(AND(AG60=1,Slot2_IsMfree=1),IF(AL60&gt;=Slot2_Cost-1,0,MAX(0,AD60-AL60)),AD60)</f>
        <v>0</v>
      </c>
      <c r="AP60" s="20" t="n">
        <f aca="false">AG60*(Slot2_Cost-AL60)</f>
        <v>0</v>
      </c>
      <c r="AQ60" s="20" t="n">
        <f aca="false">IF(AND(Slot3_On=1,D60=Slot3_Age),1,0)</f>
        <v>0</v>
      </c>
      <c r="AR60" s="20" t="n">
        <f aca="false">IF(AND(Slot3_On=1,Slot3_Age&gt;D60),1,0)</f>
        <v>0</v>
      </c>
      <c r="AS60" s="20" t="n">
        <f aca="false">QU59</f>
        <v>0</v>
      </c>
      <c r="AT60" s="20" t="n">
        <f aca="false">AQ60*MIN(Slot3_Cost,AS60)</f>
        <v>0</v>
      </c>
      <c r="AU60" s="20" t="n">
        <f aca="false">AQ60*Slot3_SpendLike*MIN(Slot3_Cost-AT60,AM60)</f>
        <v>0</v>
      </c>
      <c r="AV60" s="20" t="n">
        <f aca="false">AT60+AU60</f>
        <v>0</v>
      </c>
      <c r="AW60" s="20" t="n">
        <f aca="false">AM60-AU60+AQ60*IF(Slot3_SpendLike=1,AS60-AT60,IF(Slot3_PotFree=1,AS60,0))</f>
        <v>0</v>
      </c>
      <c r="AX60" s="20" t="n">
        <f aca="false">AN60+AQ60*Slot3_BufPot*AS60</f>
        <v>0</v>
      </c>
      <c r="AY60" s="20" t="n">
        <f aca="false">IF(AND(AQ60=1,Slot3_IsMfree=1),IF(AV60&gt;=Slot3_Cost-1,0,MAX(0,AO60-AV60)),AO60)</f>
        <v>0</v>
      </c>
      <c r="AZ60" s="20" t="n">
        <f aca="false">AQ60*(Slot3_Cost-AV60)</f>
        <v>0</v>
      </c>
      <c r="BA60" s="20" t="n">
        <f aca="false">IF(AND(Slot4_On=1,D60=Slot4_Age),1,0)</f>
        <v>0</v>
      </c>
      <c r="BB60" s="20" t="n">
        <f aca="false">IF(AND(Slot4_On=1,Slot4_Age&gt;D60),1,0)</f>
        <v>0</v>
      </c>
      <c r="BC60" s="20" t="n">
        <f aca="false">QY59</f>
        <v>0</v>
      </c>
      <c r="BD60" s="20" t="n">
        <f aca="false">BA60*MIN(Slot4_Cost,BC60)</f>
        <v>0</v>
      </c>
      <c r="BE60" s="20" t="n">
        <f aca="false">BA60*Slot4_SpendLike*MIN(Slot4_Cost-BD60,AW60)</f>
        <v>0</v>
      </c>
      <c r="BF60" s="20" t="n">
        <f aca="false">BD60+BE60</f>
        <v>0</v>
      </c>
      <c r="BG60" s="20" t="n">
        <f aca="false">AW60-BE60+BA60*IF(Slot4_SpendLike=1,BC60-BD60,IF(Slot4_PotFree=1,BC60,0))</f>
        <v>0</v>
      </c>
      <c r="BH60" s="20" t="n">
        <f aca="false">AX60+BA60*Slot4_BufPot*BC60</f>
        <v>0</v>
      </c>
      <c r="BI60" s="20" t="n">
        <f aca="false">IF(AND(BA60=1,Slot4_IsMfree=1),IF(BF60&gt;=Slot4_Cost-1,0,MAX(0,AY60-BF60)),AY60)</f>
        <v>0</v>
      </c>
      <c r="BJ60" s="20" t="n">
        <f aca="false">BA60*(Slot4_Cost-BF60)</f>
        <v>0</v>
      </c>
      <c r="BK60" s="20" t="n">
        <f aca="false">IF(AND(Slot5_On=1,D60=Slot5_Age),1,0)</f>
        <v>0</v>
      </c>
      <c r="BL60" s="20" t="n">
        <f aca="false">IF(AND(Slot5_On=1,Slot5_Age&gt;D60),1,0)</f>
        <v>0</v>
      </c>
      <c r="BM60" s="20" t="n">
        <f aca="false">RC59</f>
        <v>0</v>
      </c>
      <c r="BN60" s="20" t="n">
        <f aca="false">BK60*MIN(Slot5_Cost,BM60)</f>
        <v>0</v>
      </c>
      <c r="BO60" s="20" t="n">
        <f aca="false">BK60*Slot5_SpendLike*MIN(Slot5_Cost-BN60,BG60)</f>
        <v>0</v>
      </c>
      <c r="BP60" s="20" t="n">
        <f aca="false">BN60+BO60</f>
        <v>0</v>
      </c>
      <c r="BQ60" s="20" t="n">
        <f aca="false">BG60-BO60+BK60*IF(Slot5_SpendLike=1,BM60-BN60,IF(Slot5_PotFree=1,BM60,0))</f>
        <v>0</v>
      </c>
      <c r="BR60" s="20" t="n">
        <f aca="false">BH60+BK60*Slot5_BufPot*BM60</f>
        <v>0</v>
      </c>
      <c r="BS60" s="20" t="n">
        <f aca="false">IF(AND(BK60=1,Slot5_IsMfree=1),IF(BP60&gt;=Slot5_Cost-1,0,MAX(0,BI60-BP60)),BI60)</f>
        <v>0</v>
      </c>
      <c r="BT60" s="20" t="n">
        <f aca="false">BK60*(Slot5_Cost-BP60)</f>
        <v>0</v>
      </c>
      <c r="BU60" s="20" t="n">
        <f aca="false">IF(AND(Slot6_On=1,D60=Slot6_Age),1,0)</f>
        <v>0</v>
      </c>
      <c r="BV60" s="20" t="n">
        <f aca="false">IF(AND(Slot6_On=1,Slot6_Age&gt;D60),1,0)</f>
        <v>0</v>
      </c>
      <c r="BW60" s="20" t="n">
        <f aca="false">RG59</f>
        <v>0</v>
      </c>
      <c r="BX60" s="20" t="n">
        <f aca="false">BU60*MIN(Slot6_Cost,BW60)</f>
        <v>0</v>
      </c>
      <c r="BY60" s="20" t="n">
        <f aca="false">BU60*Slot6_SpendLike*MIN(Slot6_Cost-BX60,BQ60)</f>
        <v>0</v>
      </c>
      <c r="BZ60" s="20" t="n">
        <f aca="false">BX60+BY60</f>
        <v>0</v>
      </c>
      <c r="CA60" s="20" t="n">
        <f aca="false">BQ60-BY60+BU60*IF(Slot6_SpendLike=1,BW60-BX60,IF(Slot6_PotFree=1,BW60,0))</f>
        <v>0</v>
      </c>
      <c r="CB60" s="20" t="n">
        <f aca="false">BR60+BU60*Slot6_BufPot*BW60</f>
        <v>0</v>
      </c>
      <c r="CC60" s="20" t="n">
        <f aca="false">IF(AND(BU60=1,Slot6_IsMfree=1),IF(BZ60&gt;=Slot6_Cost-1,0,MAX(0,BS60-BZ60)),BS60)</f>
        <v>0</v>
      </c>
      <c r="CD60" s="20" t="n">
        <f aca="false">BU60*(Slot6_Cost-BZ60)</f>
        <v>0</v>
      </c>
      <c r="CE60" s="20" t="n">
        <f aca="false">IF(AND(Slot7_On=1,D60=Slot7_Age),1,0)</f>
        <v>0</v>
      </c>
      <c r="CF60" s="20" t="n">
        <f aca="false">IF(AND(Slot7_On=1,Slot7_Age&gt;D60),1,0)</f>
        <v>0</v>
      </c>
      <c r="CG60" s="20" t="n">
        <f aca="false">RK59</f>
        <v>0</v>
      </c>
      <c r="CH60" s="20" t="n">
        <f aca="false">CE60*MIN(Slot7_Cost,CG60)</f>
        <v>0</v>
      </c>
      <c r="CI60" s="20" t="n">
        <f aca="false">CE60*Slot7_SpendLike*MIN(Slot7_Cost-CH60,CA60)</f>
        <v>0</v>
      </c>
      <c r="CJ60" s="20" t="n">
        <f aca="false">CH60+CI60</f>
        <v>0</v>
      </c>
      <c r="CK60" s="20" t="n">
        <f aca="false">CA60-CI60+CE60*IF(Slot7_SpendLike=1,CG60-CH60,IF(Slot7_PotFree=1,CG60,0))</f>
        <v>0</v>
      </c>
      <c r="CL60" s="20" t="n">
        <f aca="false">CB60+CE60*Slot7_BufPot*CG60</f>
        <v>0</v>
      </c>
      <c r="CM60" s="20" t="n">
        <f aca="false">IF(AND(CE60=1,Slot7_IsMfree=1),IF(CJ60&gt;=Slot7_Cost-1,0,MAX(0,CC60-CJ60)),CC60)</f>
        <v>0</v>
      </c>
      <c r="CN60" s="20" t="n">
        <f aca="false">CE60*(Slot7_Cost-CJ60)</f>
        <v>0</v>
      </c>
      <c r="CO60" s="20" t="n">
        <f aca="false">IF(AND(Slot8_On=1,D60=Slot8_Age),1,0)</f>
        <v>0</v>
      </c>
      <c r="CP60" s="20" t="n">
        <f aca="false">IF(AND(Slot8_On=1,Slot8_Age&gt;D60),1,0)</f>
        <v>0</v>
      </c>
      <c r="CQ60" s="20" t="n">
        <f aca="false">RO59</f>
        <v>0</v>
      </c>
      <c r="CR60" s="20" t="n">
        <f aca="false">CO60*MIN(Slot8_Cost,CQ60)</f>
        <v>0</v>
      </c>
      <c r="CS60" s="20" t="n">
        <f aca="false">CO60*Slot8_SpendLike*MIN(Slot8_Cost-CR60,CK60)</f>
        <v>0</v>
      </c>
      <c r="CT60" s="20" t="n">
        <f aca="false">CR60+CS60</f>
        <v>0</v>
      </c>
      <c r="CU60" s="20" t="n">
        <f aca="false">CK60-CS60+CO60*IF(Slot8_SpendLike=1,CQ60-CR60,IF(Slot8_PotFree=1,CQ60,0))</f>
        <v>0</v>
      </c>
      <c r="CV60" s="20" t="n">
        <f aca="false">CL60+CO60*Slot8_BufPot*CQ60</f>
        <v>0</v>
      </c>
      <c r="CW60" s="20" t="n">
        <f aca="false">IF(AND(CO60=1,Slot8_IsMfree=1),IF(CT60&gt;=Slot8_Cost-1,0,MAX(0,CM60-CT60)),CM60)</f>
        <v>0</v>
      </c>
      <c r="CX60" s="20" t="n">
        <f aca="false">CO60*(Slot8_Cost-CT60)</f>
        <v>0</v>
      </c>
      <c r="CY60" s="20" t="n">
        <f aca="false">IF(AND(Slot9_On=1,D60=Slot9_Age),1,0)</f>
        <v>0</v>
      </c>
      <c r="CZ60" s="20" t="n">
        <f aca="false">IF(AND(Slot9_On=1,Slot9_Age&gt;D60),1,0)</f>
        <v>0</v>
      </c>
      <c r="DA60" s="20" t="n">
        <f aca="false">RS59</f>
        <v>0</v>
      </c>
      <c r="DB60" s="20" t="n">
        <f aca="false">CY60*MIN(Slot9_Cost,DA60)</f>
        <v>0</v>
      </c>
      <c r="DC60" s="20" t="n">
        <f aca="false">CY60*Slot9_SpendLike*MIN(Slot9_Cost-DB60,CU60)</f>
        <v>0</v>
      </c>
      <c r="DD60" s="20" t="n">
        <f aca="false">DB60+DC60</f>
        <v>0</v>
      </c>
      <c r="DE60" s="20" t="n">
        <f aca="false">CU60-DC60+CY60*IF(Slot9_SpendLike=1,DA60-DB60,IF(Slot9_PotFree=1,DA60,0))</f>
        <v>0</v>
      </c>
      <c r="DF60" s="20" t="n">
        <f aca="false">CV60+CY60*Slot9_BufPot*DA60</f>
        <v>0</v>
      </c>
      <c r="DG60" s="20" t="n">
        <f aca="false">IF(AND(CY60=1,Slot9_IsMfree=1),IF(DD60&gt;=Slot9_Cost-1,0,MAX(0,CW60-DD60)),CW60)</f>
        <v>0</v>
      </c>
      <c r="DH60" s="20" t="n">
        <f aca="false">CY60*(Slot9_Cost-DD60)</f>
        <v>0</v>
      </c>
      <c r="DI60" s="20" t="n">
        <f aca="false">IF(AND(Slot10_On=1,D60=Slot10_Age),1,0)</f>
        <v>0</v>
      </c>
      <c r="DJ60" s="20" t="n">
        <f aca="false">IF(AND(Slot10_On=1,Slot10_Age&gt;D60),1,0)</f>
        <v>0</v>
      </c>
      <c r="DK60" s="20" t="n">
        <f aca="false">RW59</f>
        <v>0</v>
      </c>
      <c r="DL60" s="20" t="n">
        <f aca="false">DI60*MIN(Slot10_Cost,DK60)</f>
        <v>0</v>
      </c>
      <c r="DM60" s="20" t="n">
        <f aca="false">DI60*Slot10_SpendLike*MIN(Slot10_Cost-DL60,DE60)</f>
        <v>0</v>
      </c>
      <c r="DN60" s="20" t="n">
        <f aca="false">DL60+DM60</f>
        <v>0</v>
      </c>
      <c r="DO60" s="20" t="n">
        <f aca="false">DE60-DM60+DI60*IF(Slot10_SpendLike=1,DK60-DL60,IF(Slot10_PotFree=1,DK60,0))</f>
        <v>0</v>
      </c>
      <c r="DP60" s="20" t="n">
        <f aca="false">DF60+DI60*Slot10_BufPot*DK60</f>
        <v>0</v>
      </c>
      <c r="DQ60" s="20" t="n">
        <f aca="false">IF(AND(DI60=1,Slot10_IsMfree=1),IF(DN60&gt;=Slot10_Cost-1,0,MAX(0,DG60-DN60)),DG60)</f>
        <v>0</v>
      </c>
      <c r="DR60" s="20" t="n">
        <f aca="false">DI60*(Slot10_Cost-DN60)</f>
        <v>0</v>
      </c>
      <c r="DS60" s="20" t="n">
        <f aca="false">IF(AND(Slot11_On=1,D60=Slot11_Age),1,0)</f>
        <v>0</v>
      </c>
      <c r="DT60" s="20" t="n">
        <f aca="false">IF(AND(Slot11_On=1,Slot11_Age&gt;D60),1,0)</f>
        <v>0</v>
      </c>
      <c r="DU60" s="20" t="n">
        <f aca="false">SA59</f>
        <v>0</v>
      </c>
      <c r="DV60" s="20" t="n">
        <f aca="false">DS60*MIN(Slot11_Cost,DU60)</f>
        <v>0</v>
      </c>
      <c r="DW60" s="20" t="n">
        <f aca="false">DS60*Slot11_SpendLike*MIN(Slot11_Cost-DV60,DO60)</f>
        <v>0</v>
      </c>
      <c r="DX60" s="20" t="n">
        <f aca="false">DV60+DW60</f>
        <v>0</v>
      </c>
      <c r="DY60" s="20" t="n">
        <f aca="false">DO60-DW60+DS60*IF(Slot11_SpendLike=1,DU60-DV60,IF(Slot11_PotFree=1,DU60,0))</f>
        <v>0</v>
      </c>
      <c r="DZ60" s="20" t="n">
        <f aca="false">DP60+DS60*Slot11_BufPot*DU60</f>
        <v>0</v>
      </c>
      <c r="EA60" s="20" t="n">
        <f aca="false">IF(AND(DS60=1,Slot11_IsMfree=1),IF(DX60&gt;=Slot11_Cost-1,0,MAX(0,DQ60-DX60)),DQ60)</f>
        <v>0</v>
      </c>
      <c r="EB60" s="20" t="n">
        <f aca="false">DS60*(Slot11_Cost-DX60)</f>
        <v>0</v>
      </c>
      <c r="EC60" s="20" t="n">
        <f aca="false">IF(AND(Slot12_On=1,D60=Slot12_Age),1,0)</f>
        <v>0</v>
      </c>
      <c r="ED60" s="20" t="n">
        <f aca="false">IF(AND(Slot12_On=1,Slot12_Age&gt;D60),1,0)</f>
        <v>0</v>
      </c>
      <c r="EE60" s="20" t="n">
        <f aca="false">SE59</f>
        <v>0</v>
      </c>
      <c r="EF60" s="20" t="n">
        <f aca="false">EC60*MIN(Slot12_Cost,EE60)</f>
        <v>0</v>
      </c>
      <c r="EG60" s="20" t="n">
        <f aca="false">EC60*Slot12_SpendLike*MIN(Slot12_Cost-EF60,DY60)</f>
        <v>0</v>
      </c>
      <c r="EH60" s="20" t="n">
        <f aca="false">EF60+EG60</f>
        <v>0</v>
      </c>
      <c r="EI60" s="20" t="n">
        <f aca="false">DY60-EG60+EC60*IF(Slot12_SpendLike=1,EE60-EF60,IF(Slot12_PotFree=1,EE60,0))</f>
        <v>0</v>
      </c>
      <c r="EJ60" s="20" t="n">
        <f aca="false">DZ60+EC60*Slot12_BufPot*EE60</f>
        <v>0</v>
      </c>
      <c r="EK60" s="20" t="n">
        <f aca="false">IF(AND(EC60=1,Slot12_IsMfree=1),IF(EH60&gt;=Slot12_Cost-1,0,MAX(0,EA60-EH60)),EA60)</f>
        <v>0</v>
      </c>
      <c r="EL60" s="20" t="n">
        <f aca="false">EC60*(Slot12_Cost-EH60)</f>
        <v>0</v>
      </c>
      <c r="EM60" s="20" t="n">
        <f aca="false">IF(AND(Slot13_On=1,D60=Slot13_Age),1,0)</f>
        <v>0</v>
      </c>
      <c r="EN60" s="20" t="n">
        <f aca="false">IF(AND(Slot13_On=1,Slot13_Age&gt;D60),1,0)</f>
        <v>0</v>
      </c>
      <c r="EO60" s="20" t="n">
        <f aca="false">SI59</f>
        <v>0</v>
      </c>
      <c r="EP60" s="20" t="n">
        <f aca="false">EM60*MIN(Slot13_Cost,EO60)</f>
        <v>0</v>
      </c>
      <c r="EQ60" s="20" t="n">
        <f aca="false">EM60*Slot13_SpendLike*MIN(Slot13_Cost-EP60,EI60)</f>
        <v>0</v>
      </c>
      <c r="ER60" s="20" t="n">
        <f aca="false">EP60+EQ60</f>
        <v>0</v>
      </c>
      <c r="ES60" s="20" t="n">
        <f aca="false">EI60-EQ60+EM60*IF(Slot13_SpendLike=1,EO60-EP60,IF(Slot13_PotFree=1,EO60,0))</f>
        <v>0</v>
      </c>
      <c r="ET60" s="20" t="n">
        <f aca="false">EJ60+EM60*Slot13_BufPot*EO60</f>
        <v>0</v>
      </c>
      <c r="EU60" s="20" t="n">
        <f aca="false">IF(AND(EM60=1,Slot13_IsMfree=1),IF(ER60&gt;=Slot13_Cost-1,0,MAX(0,EK60-ER60)),EK60)</f>
        <v>0</v>
      </c>
      <c r="EV60" s="20" t="n">
        <f aca="false">EM60*(Slot13_Cost-ER60)</f>
        <v>0</v>
      </c>
      <c r="EW60" s="20" t="n">
        <f aca="false">IF(AND(Slot14_On=1,D60=Slot14_Age),1,0)</f>
        <v>0</v>
      </c>
      <c r="EX60" s="20" t="n">
        <f aca="false">IF(AND(Slot14_On=1,Slot14_Age&gt;D60),1,0)</f>
        <v>0</v>
      </c>
      <c r="EY60" s="20" t="n">
        <f aca="false">SM59</f>
        <v>0</v>
      </c>
      <c r="EZ60" s="20" t="n">
        <f aca="false">EW60*MIN(Slot14_Cost,EY60)</f>
        <v>0</v>
      </c>
      <c r="FA60" s="20" t="n">
        <f aca="false">EW60*Slot14_SpendLike*MIN(Slot14_Cost-EZ60,ES60)</f>
        <v>0</v>
      </c>
      <c r="FB60" s="20" t="n">
        <f aca="false">EZ60+FA60</f>
        <v>0</v>
      </c>
      <c r="FC60" s="20" t="n">
        <f aca="false">ES60-FA60+EW60*IF(Slot14_SpendLike=1,EY60-EZ60,IF(Slot14_PotFree=1,EY60,0))</f>
        <v>0</v>
      </c>
      <c r="FD60" s="20" t="n">
        <f aca="false">ET60+EW60*Slot14_BufPot*EY60</f>
        <v>0</v>
      </c>
      <c r="FE60" s="20" t="n">
        <f aca="false">IF(AND(EW60=1,Slot14_IsMfree=1),IF(FB60&gt;=Slot14_Cost-1,0,MAX(0,EU60-FB60)),EU60)</f>
        <v>0</v>
      </c>
      <c r="FF60" s="20" t="n">
        <f aca="false">EW60*(Slot14_Cost-FB60)</f>
        <v>0</v>
      </c>
      <c r="FG60" s="20" t="n">
        <f aca="false">IF(AND(Slot15_On=1,D60=Slot15_Age),1,0)</f>
        <v>0</v>
      </c>
      <c r="FH60" s="20" t="n">
        <f aca="false">IF(AND(Slot15_On=1,Slot15_Age&gt;D60),1,0)</f>
        <v>0</v>
      </c>
      <c r="FI60" s="20" t="n">
        <f aca="false">SQ59</f>
        <v>0</v>
      </c>
      <c r="FJ60" s="20" t="n">
        <f aca="false">FG60*MIN(Slot15_Cost,FI60)</f>
        <v>0</v>
      </c>
      <c r="FK60" s="20" t="n">
        <f aca="false">FG60*Slot15_SpendLike*MIN(Slot15_Cost-FJ60,FC60)</f>
        <v>0</v>
      </c>
      <c r="FL60" s="20" t="n">
        <f aca="false">FJ60+FK60</f>
        <v>0</v>
      </c>
      <c r="FM60" s="20" t="n">
        <f aca="false">FC60-FK60+FG60*IF(Slot15_SpendLike=1,FI60-FJ60,IF(Slot15_PotFree=1,FI60,0))</f>
        <v>0</v>
      </c>
      <c r="FN60" s="20" t="n">
        <f aca="false">FD60+FG60*Slot15_BufPot*FI60</f>
        <v>0</v>
      </c>
      <c r="FO60" s="20" t="n">
        <f aca="false">IF(AND(FG60=1,Slot15_IsMfree=1),IF(FL60&gt;=Slot15_Cost-1,0,MAX(0,FE60-FL60)),FE60)</f>
        <v>0</v>
      </c>
      <c r="FP60" s="20" t="n">
        <f aca="false">FG60*(Slot15_Cost-FL60)</f>
        <v>0</v>
      </c>
      <c r="FQ60" s="20" t="n">
        <f aca="false">IF(AND(Slot16_On=1,D60=Slot16_Age),1,0)</f>
        <v>0</v>
      </c>
      <c r="FR60" s="20" t="n">
        <f aca="false">IF(AND(Slot16_On=1,Slot16_Age&gt;D60),1,0)</f>
        <v>0</v>
      </c>
      <c r="FS60" s="20" t="n">
        <f aca="false">SU59</f>
        <v>0</v>
      </c>
      <c r="FT60" s="20" t="n">
        <f aca="false">FQ60*MIN(Slot16_Cost,FS60)</f>
        <v>0</v>
      </c>
      <c r="FU60" s="20" t="n">
        <f aca="false">FQ60*Slot16_SpendLike*MIN(Slot16_Cost-FT60,FM60)</f>
        <v>0</v>
      </c>
      <c r="FV60" s="20" t="n">
        <f aca="false">FT60+FU60</f>
        <v>0</v>
      </c>
      <c r="FW60" s="20" t="n">
        <f aca="false">FM60-FU60+FQ60*IF(Slot16_SpendLike=1,FS60-FT60,IF(Slot16_PotFree=1,FS60,0))</f>
        <v>0</v>
      </c>
      <c r="FX60" s="20" t="n">
        <f aca="false">FN60+FQ60*Slot16_BufPot*FS60</f>
        <v>0</v>
      </c>
      <c r="FY60" s="20" t="n">
        <f aca="false">IF(AND(FQ60=1,Slot16_IsMfree=1),IF(FV60&gt;=Slot16_Cost-1,0,MAX(0,FO60-FV60)),FO60)</f>
        <v>0</v>
      </c>
      <c r="FZ60" s="20" t="n">
        <f aca="false">FQ60*(Slot16_Cost-FV60)</f>
        <v>0</v>
      </c>
      <c r="GA60" s="20" t="n">
        <f aca="false">IF(AND(Slot17_On=1,D60=Slot17_Age),1,0)</f>
        <v>0</v>
      </c>
      <c r="GB60" s="20" t="n">
        <f aca="false">IF(AND(Slot17_On=1,Slot17_Age&gt;D60),1,0)</f>
        <v>0</v>
      </c>
      <c r="GC60" s="20" t="n">
        <f aca="false">SY59</f>
        <v>0</v>
      </c>
      <c r="GD60" s="20" t="n">
        <f aca="false">GA60*MIN(Slot17_Cost,GC60)</f>
        <v>0</v>
      </c>
      <c r="GE60" s="20" t="n">
        <f aca="false">GA60*Slot17_SpendLike*MIN(Slot17_Cost-GD60,FW60)</f>
        <v>0</v>
      </c>
      <c r="GF60" s="20" t="n">
        <f aca="false">GD60+GE60</f>
        <v>0</v>
      </c>
      <c r="GG60" s="20" t="n">
        <f aca="false">FW60-GE60+GA60*IF(Slot17_SpendLike=1,GC60-GD60,IF(Slot17_PotFree=1,GC60,0))</f>
        <v>0</v>
      </c>
      <c r="GH60" s="20" t="n">
        <f aca="false">FX60+GA60*Slot17_BufPot*GC60</f>
        <v>0</v>
      </c>
      <c r="GI60" s="20" t="n">
        <f aca="false">IF(AND(GA60=1,Slot17_IsMfree=1),IF(GF60&gt;=Slot17_Cost-1,0,MAX(0,FY60-GF60)),FY60)</f>
        <v>0</v>
      </c>
      <c r="GJ60" s="20" t="n">
        <f aca="false">GA60*(Slot17_Cost-GF60)</f>
        <v>0</v>
      </c>
      <c r="GK60" s="20" t="n">
        <f aca="false">IF(AND(Slot18_On=1,D60=Slot18_Age),1,0)</f>
        <v>0</v>
      </c>
      <c r="GL60" s="20" t="n">
        <f aca="false">IF(AND(Slot18_On=1,Slot18_Age&gt;D60),1,0)</f>
        <v>0</v>
      </c>
      <c r="GM60" s="20" t="n">
        <f aca="false">TC59</f>
        <v>0</v>
      </c>
      <c r="GN60" s="20" t="n">
        <f aca="false">GK60*MIN(Slot18_Cost,GM60)</f>
        <v>0</v>
      </c>
      <c r="GO60" s="20" t="n">
        <f aca="false">GK60*Slot18_SpendLike*MIN(Slot18_Cost-GN60,GG60)</f>
        <v>0</v>
      </c>
      <c r="GP60" s="20" t="n">
        <f aca="false">GN60+GO60</f>
        <v>0</v>
      </c>
      <c r="GQ60" s="20" t="n">
        <f aca="false">GG60-GO60+GK60*IF(Slot18_SpendLike=1,GM60-GN60,IF(Slot18_PotFree=1,GM60,0))</f>
        <v>0</v>
      </c>
      <c r="GR60" s="20" t="n">
        <f aca="false">GH60+GK60*Slot18_BufPot*GM60</f>
        <v>0</v>
      </c>
      <c r="GS60" s="20" t="n">
        <f aca="false">IF(AND(GK60=1,Slot18_IsMfree=1),IF(GP60&gt;=Slot18_Cost-1,0,MAX(0,GI60-GP60)),GI60)</f>
        <v>0</v>
      </c>
      <c r="GT60" s="20" t="n">
        <f aca="false">GK60*(Slot18_Cost-GP60)</f>
        <v>0</v>
      </c>
      <c r="GU60" s="20" t="n">
        <f aca="false">IF(AND(Slot19_On=1,D60=Slot19_Age),1,0)</f>
        <v>0</v>
      </c>
      <c r="GV60" s="20" t="n">
        <f aca="false">IF(AND(Slot19_On=1,Slot19_Age&gt;D60),1,0)</f>
        <v>0</v>
      </c>
      <c r="GW60" s="20" t="n">
        <f aca="false">TG59</f>
        <v>0</v>
      </c>
      <c r="GX60" s="20" t="n">
        <f aca="false">GU60*MIN(Slot19_Cost,GW60)</f>
        <v>0</v>
      </c>
      <c r="GY60" s="20" t="n">
        <f aca="false">GU60*Slot19_SpendLike*MIN(Slot19_Cost-GX60,GQ60)</f>
        <v>0</v>
      </c>
      <c r="GZ60" s="20" t="n">
        <f aca="false">GX60+GY60</f>
        <v>0</v>
      </c>
      <c r="HA60" s="20" t="n">
        <f aca="false">GQ60-GY60+GU60*IF(Slot19_SpendLike=1,GW60-GX60,IF(Slot19_PotFree=1,GW60,0))</f>
        <v>0</v>
      </c>
      <c r="HB60" s="20" t="n">
        <f aca="false">GR60+GU60*Slot19_BufPot*GW60</f>
        <v>0</v>
      </c>
      <c r="HC60" s="20" t="n">
        <f aca="false">IF(AND(GU60=1,Slot19_IsMfree=1),IF(GZ60&gt;=Slot19_Cost-1,0,MAX(0,GS60-GZ60)),GS60)</f>
        <v>0</v>
      </c>
      <c r="HD60" s="20" t="n">
        <f aca="false">GU60*(Slot19_Cost-GZ60)</f>
        <v>0</v>
      </c>
      <c r="HE60" s="20" t="n">
        <f aca="false">IF(AND(Slot20_On=1,D60=Slot20_Age),1,0)</f>
        <v>0</v>
      </c>
      <c r="HF60" s="20" t="n">
        <f aca="false">IF(AND(Slot20_On=1,Slot20_Age&gt;D60),1,0)</f>
        <v>0</v>
      </c>
      <c r="HG60" s="20" t="n">
        <f aca="false">TK59</f>
        <v>0</v>
      </c>
      <c r="HH60" s="20" t="n">
        <f aca="false">HE60*MIN(Slot20_Cost,HG60)</f>
        <v>0</v>
      </c>
      <c r="HI60" s="20" t="n">
        <f aca="false">HE60*Slot20_SpendLike*MIN(Slot20_Cost-HH60,HA60)</f>
        <v>0</v>
      </c>
      <c r="HJ60" s="20" t="n">
        <f aca="false">HH60+HI60</f>
        <v>0</v>
      </c>
      <c r="HK60" s="20" t="n">
        <f aca="false">HA60-HI60+HE60*IF(Slot20_SpendLike=1,HG60-HH60,IF(Slot20_PotFree=1,HG60,0))</f>
        <v>0</v>
      </c>
      <c r="HL60" s="20" t="n">
        <f aca="false">HB60+HE60*Slot20_BufPot*HG60</f>
        <v>0</v>
      </c>
      <c r="HM60" s="20" t="n">
        <f aca="false">IF(AND(HE60=1,Slot20_IsMfree=1),IF(HJ60&gt;=Slot20_Cost-1,0,MAX(0,HC60-HJ60)),HC60)</f>
        <v>0</v>
      </c>
      <c r="HN60" s="20" t="n">
        <f aca="false">HE60*(Slot20_Cost-HJ60)</f>
        <v>0</v>
      </c>
      <c r="HO60" s="20" t="n">
        <f aca="false">V60*Slot1_SpendLike*AA60+AG60*Slot2_SpendLike*AL60+AQ60*Slot3_SpendLike*AV60+BA60*Slot4_SpendLike*BF60+BK60*Slot5_SpendLike*BP60+BU60*Slot6_SpendLike*BZ60+CE60*Slot7_SpendLike*CJ60+CO60*Slot8_SpendLike*CT60+CY60*Slot9_SpendLike*DD60+DI60*Slot10_SpendLike*DN60+DS60*Slot11_SpendLike*DX60+EC60*Slot12_SpendLike*EH60+EM60*Slot13_SpendLike*ER60+EW60*Slot14_SpendLike*FB60+FG60*Slot15_SpendLike*FL60+FQ60*Slot16_SpendLike*FV60+GA60*Slot17_SpendLike*GF60+GK60*Slot18_SpendLike*GP60+GU60*Slot19_SpendLike*GZ60+HE60*Slot20_SpendLike*HJ60</f>
        <v>0</v>
      </c>
      <c r="HP60" s="20" t="n">
        <f aca="false">AE60+AP60+AZ60+BJ60+BT60+CD60+CN60+CX60+DH60+DR60+EB60+EL60+EV60+FF60+FP60+FZ60+GJ60+GT60+HD60+HN60</f>
        <v>0</v>
      </c>
      <c r="HQ60" s="20" t="n">
        <f aca="false">V60*Slot1_Cost+AG60*Slot2_Cost+AQ60*Slot3_Cost+BA60*Slot4_Cost+BK60*Slot5_Cost+BU60*Slot6_Cost+CE60*Slot7_Cost+CO60*Slot8_Cost+CY60*Slot9_Cost+DI60*Slot10_Cost+DS60*Slot11_Cost+EC60*Slot12_Cost+EM60*Slot13_Cost+EW60*Slot14_Cost+FG60*Slot15_Cost+FQ60*Slot16_Cost+GA60*Slot17_Cost+GK60*Slot18_Cost+GU60*Slot19_Cost+HE60*Slot20_Cost</f>
        <v>0</v>
      </c>
      <c r="HR60" s="20" t="n">
        <f aca="false">HM60</f>
        <v>0</v>
      </c>
      <c r="HS60" s="20" t="n">
        <f aca="false">H60-I60-S60</f>
        <v>-28026.0080750222</v>
      </c>
      <c r="HT60" s="20" t="n">
        <f aca="false">IF(B60=0,IF(AND(Has_q6=1,In_q6=4),PR_ShareVaries*(MAX(0,HS60)/12),MIN(IF(Has_q6=1,CHOOSE(In_q6+1,PR_SaveB1,PR_SaveB2,PR_SaveB3,PR_SaveB4,0),AS_NoAnswer),AS_SaveShare*(MAX(0,HS60)/12))),HT59)</f>
        <v>62.3316893520437</v>
      </c>
      <c r="HU60" s="20" t="n">
        <f aca="false">IF(HS60&gt;=0,1,0)</f>
        <v>0</v>
      </c>
      <c r="HV60" s="20" t="n">
        <f aca="false">MAX(0,HS60/12/F60)</f>
        <v>0</v>
      </c>
      <c r="HW60" s="20" t="n">
        <f aca="false">IF(AND(Has_q6=1,In_q6=4),PR_ShareVaries*(HV60),MIN(IF(Has_q6=1,CHOOSE(In_q6+1,PR_SaveB1,PR_SaveB2,PR_SaveB3,PR_SaveB4,0),AS_NoAnswer),AS_SaveShare*(HV60)))</f>
        <v>0</v>
      </c>
      <c r="HX60" s="20" t="n">
        <f aca="false">IF(Has_saveM=1,IF(In_saveUp="Yes",1,IF(In_saveUp="No",0,IF(In_saveM&gt;=HT60-0.5,1,0))),0)</f>
        <v>0</v>
      </c>
      <c r="HY60" s="20" t="n">
        <f aca="false">IF(Has_saveM=1,MIN(HV60,IF(HX60=1,MAX(In_saveM,HW60),MIN(In_saveM,HW60))),HW60)</f>
        <v>0</v>
      </c>
      <c r="HZ60" s="20" t="n">
        <f aca="false">IF(G60=1,HY60*12*F60,0)</f>
        <v>0</v>
      </c>
      <c r="IA60" s="20" t="n">
        <f aca="false">MAX(0,HZ60+IF(AND(WI_Retire=0,WI_M&lt;0,G60=1),WI_M*12*F60,0))</f>
        <v>0</v>
      </c>
      <c r="IB60" s="20" t="n">
        <f aca="false">Slot1_IsWG*W60+Slot2_IsWG*AH60+Slot3_IsWG*AR60+Slot4_IsWG*BB60+Slot5_IsWG*BL60+Slot6_IsWG*BV60+Slot7_IsWG*CF60+Slot8_IsWG*CP60+Slot9_IsWG*CZ60+Slot10_IsWG*DJ60+Slot11_IsWG*DT60+Slot12_IsWG*ED60+Slot13_IsWG*EN60+Slot14_IsWG*EX60+Slot15_IsWG*FH60+Slot16_IsWG*FR60+Slot17_IsWG*GB60+Slot18_IsWG*GL60+Slot19_IsWG*GV60+Slot20_IsWG*HF60</f>
        <v>0</v>
      </c>
      <c r="IC60" s="20" t="n">
        <f aca="false">IF(AND(WI_Retire=0,WI_M&gt;0,G60=1,IB60&gt;=1),WI_M*12*F60,0)</f>
        <v>0</v>
      </c>
      <c r="ID60" s="20" t="n">
        <f aca="false">IF(HU60=1,MIN(IA60,HS60),0)</f>
        <v>0</v>
      </c>
      <c r="IE60" s="20" t="n">
        <f aca="false">IF(HU60=1,MIN(IC60,HS60-ID60),0)</f>
        <v>0</v>
      </c>
      <c r="IF60" s="20" t="n">
        <f aca="false">IF(W60=1,IF(ABS((1+AS_Wage)/(1+Slot1_Rate)-1)&lt;0.000000000001,(Slot1_Age-D60)*(1+Slot1_Rate)^(Slot1_Age-D60),(1+Slot1_Rate)^(Slot1_Age-D60)*(1-((1+AS_Wage)/(1+Slot1_Rate))^(Slot1_Age-D60))/(1-(1+AS_Wage)/(1+Slot1_Rate))),1)</f>
        <v>1</v>
      </c>
      <c r="IG60" s="20" t="n">
        <f aca="false">IF(AND(HU60=1,IE60&gt;0,Slot1_IsWG=1,W60=1),MAX(0,(Slot1_Cost-X60*(1+Slot1_Rate)^(Slot1_Age-D60))/IF60),0)</f>
        <v>0</v>
      </c>
      <c r="IH60" s="20" t="n">
        <f aca="false">IF(AND(HU60=1,IE60&gt;0,Slot1_IsWG=1,W60=1),MIN(IE60,IG60),0)</f>
        <v>0</v>
      </c>
      <c r="II60" s="20" t="n">
        <f aca="false">X60+IH60</f>
        <v>0</v>
      </c>
      <c r="IJ60" s="20" t="n">
        <f aca="false">IF(W60=1,MAX(0,(Slot1_Cost-II60*(1+Slot1_Rate)^(Slot1_Age-D60))/IF60),0)</f>
        <v>0</v>
      </c>
      <c r="IK60" s="20" t="n">
        <f aca="false">IF(W60=1,MAX(0,(Slot1_Cost-X60*(1+Slot1_Rate)^(Slot1_Age-D60))/IF60),0)</f>
        <v>0</v>
      </c>
      <c r="IL60" s="20" t="n">
        <f aca="false">IF(AND(HU60=1,W60=1),MIN(ID60,IJ60),0)</f>
        <v>0</v>
      </c>
      <c r="IM60" s="20" t="n">
        <f aca="false">ID60-IL60</f>
        <v>0</v>
      </c>
      <c r="IN60" s="20" t="n">
        <f aca="false">IF(AH60=1,IF(ABS((1+AS_Wage)/(1+Slot2_Rate)-1)&lt;0.000000000001,(Slot2_Age-D60)*(1+Slot2_Rate)^(Slot2_Age-D60),(1+Slot2_Rate)^(Slot2_Age-D60)*(1-((1+AS_Wage)/(1+Slot2_Rate))^(Slot2_Age-D60))/(1-(1+AS_Wage)/(1+Slot2_Rate))),1)</f>
        <v>1</v>
      </c>
      <c r="IO60" s="20" t="n">
        <f aca="false">IF(AND(HU60=1,IE60&gt;0,Slot2_IsWG=1,AH60=1),MAX(0,(Slot2_Cost-AI60*(1+Slot2_Rate)^(Slot2_Age-D60))/IN60),0)</f>
        <v>0</v>
      </c>
      <c r="IP60" s="20" t="n">
        <f aca="false">IF(AND(HU60=1,IE60&gt;0,Slot2_IsWG=1,AH60=1),MIN(IE60,IO60),0)</f>
        <v>0</v>
      </c>
      <c r="IQ60" s="20" t="n">
        <f aca="false">AI60+IP60</f>
        <v>0</v>
      </c>
      <c r="IR60" s="20" t="n">
        <f aca="false">IF(AH60=1,MAX(0,(Slot2_Cost-IQ60*(1+Slot2_Rate)^(Slot2_Age-D60))/IN60),0)</f>
        <v>0</v>
      </c>
      <c r="IS60" s="20" t="n">
        <f aca="false">IF(AH60=1,MAX(0,(Slot2_Cost-AI60*(1+Slot2_Rate)^(Slot2_Age-D60))/IN60),0)</f>
        <v>0</v>
      </c>
      <c r="IT60" s="20" t="n">
        <f aca="false">IF(AND(HU60=1,AH60=1),MIN(IM60,IR60),0)</f>
        <v>0</v>
      </c>
      <c r="IU60" s="20" t="n">
        <f aca="false">IM60-IT60</f>
        <v>0</v>
      </c>
      <c r="IV60" s="20" t="n">
        <f aca="false">IF(AR60=1,IF(ABS((1+AS_Wage)/(1+Slot3_Rate)-1)&lt;0.000000000001,(Slot3_Age-D60)*(1+Slot3_Rate)^(Slot3_Age-D60),(1+Slot3_Rate)^(Slot3_Age-D60)*(1-((1+AS_Wage)/(1+Slot3_Rate))^(Slot3_Age-D60))/(1-(1+AS_Wage)/(1+Slot3_Rate))),1)</f>
        <v>1</v>
      </c>
      <c r="IW60" s="20" t="n">
        <f aca="false">IF(AND(HU60=1,IE60&gt;0,Slot3_IsWG=1,AR60=1),MAX(0,(Slot3_Cost-AS60*(1+Slot3_Rate)^(Slot3_Age-D60))/IV60),0)</f>
        <v>0</v>
      </c>
      <c r="IX60" s="20" t="n">
        <f aca="false">IF(AND(HU60=1,IE60&gt;0,Slot3_IsWG=1,AR60=1),MIN(IE60,IW60),0)</f>
        <v>0</v>
      </c>
      <c r="IY60" s="20" t="n">
        <f aca="false">AS60+IX60</f>
        <v>0</v>
      </c>
      <c r="IZ60" s="20" t="n">
        <f aca="false">IF(AR60=1,MAX(0,(Slot3_Cost-IY60*(1+Slot3_Rate)^(Slot3_Age-D60))/IV60),0)</f>
        <v>0</v>
      </c>
      <c r="JA60" s="20" t="n">
        <f aca="false">IF(AR60=1,MAX(0,(Slot3_Cost-AS60*(1+Slot3_Rate)^(Slot3_Age-D60))/IV60),0)</f>
        <v>0</v>
      </c>
      <c r="JB60" s="20" t="n">
        <f aca="false">IF(AND(HU60=1,AR60=1),MIN(IU60,IZ60),0)</f>
        <v>0</v>
      </c>
      <c r="JC60" s="20" t="n">
        <f aca="false">IU60-JB60</f>
        <v>0</v>
      </c>
      <c r="JD60" s="20" t="n">
        <f aca="false">IF(BB60=1,IF(ABS((1+AS_Wage)/(1+Slot4_Rate)-1)&lt;0.000000000001,(Slot4_Age-D60)*(1+Slot4_Rate)^(Slot4_Age-D60),(1+Slot4_Rate)^(Slot4_Age-D60)*(1-((1+AS_Wage)/(1+Slot4_Rate))^(Slot4_Age-D60))/(1-(1+AS_Wage)/(1+Slot4_Rate))),1)</f>
        <v>1</v>
      </c>
      <c r="JE60" s="20" t="n">
        <f aca="false">IF(AND(HU60=1,IE60&gt;0,Slot4_IsWG=1,BB60=1),MAX(0,(Slot4_Cost-BC60*(1+Slot4_Rate)^(Slot4_Age-D60))/JD60),0)</f>
        <v>0</v>
      </c>
      <c r="JF60" s="20" t="n">
        <f aca="false">IF(AND(HU60=1,IE60&gt;0,Slot4_IsWG=1,BB60=1),MIN(IE60,JE60),0)</f>
        <v>0</v>
      </c>
      <c r="JG60" s="20" t="n">
        <f aca="false">BC60+JF60</f>
        <v>0</v>
      </c>
      <c r="JH60" s="20" t="n">
        <f aca="false">IF(BB60=1,MAX(0,(Slot4_Cost-JG60*(1+Slot4_Rate)^(Slot4_Age-D60))/JD60),0)</f>
        <v>0</v>
      </c>
      <c r="JI60" s="20" t="n">
        <f aca="false">IF(BB60=1,MAX(0,(Slot4_Cost-BC60*(1+Slot4_Rate)^(Slot4_Age-D60))/JD60),0)</f>
        <v>0</v>
      </c>
      <c r="JJ60" s="20" t="n">
        <f aca="false">IF(AND(HU60=1,BB60=1),MIN(JC60,JH60),0)</f>
        <v>0</v>
      </c>
      <c r="JK60" s="20" t="n">
        <f aca="false">JC60-JJ60</f>
        <v>0</v>
      </c>
      <c r="JL60" s="20" t="n">
        <f aca="false">IF(BL60=1,IF(ABS((1+AS_Wage)/(1+Slot5_Rate)-1)&lt;0.000000000001,(Slot5_Age-D60)*(1+Slot5_Rate)^(Slot5_Age-D60),(1+Slot5_Rate)^(Slot5_Age-D60)*(1-((1+AS_Wage)/(1+Slot5_Rate))^(Slot5_Age-D60))/(1-(1+AS_Wage)/(1+Slot5_Rate))),1)</f>
        <v>1</v>
      </c>
      <c r="JM60" s="20" t="n">
        <f aca="false">IF(AND(HU60=1,IE60&gt;0,Slot5_IsWG=1,BL60=1),MAX(0,(Slot5_Cost-BM60*(1+Slot5_Rate)^(Slot5_Age-D60))/JL60),0)</f>
        <v>0</v>
      </c>
      <c r="JN60" s="20" t="n">
        <f aca="false">IF(AND(HU60=1,IE60&gt;0,Slot5_IsWG=1,BL60=1),MIN(IE60,JM60),0)</f>
        <v>0</v>
      </c>
      <c r="JO60" s="20" t="n">
        <f aca="false">BM60+JN60</f>
        <v>0</v>
      </c>
      <c r="JP60" s="20" t="n">
        <f aca="false">IF(BL60=1,MAX(0,(Slot5_Cost-JO60*(1+Slot5_Rate)^(Slot5_Age-D60))/JL60),0)</f>
        <v>0</v>
      </c>
      <c r="JQ60" s="20" t="n">
        <f aca="false">IF(BL60=1,MAX(0,(Slot5_Cost-BM60*(1+Slot5_Rate)^(Slot5_Age-D60))/JL60),0)</f>
        <v>0</v>
      </c>
      <c r="JR60" s="20" t="n">
        <f aca="false">IF(AND(HU60=1,BL60=1),MIN(JK60,JP60),0)</f>
        <v>0</v>
      </c>
      <c r="JS60" s="20" t="n">
        <f aca="false">JK60-JR60</f>
        <v>0</v>
      </c>
      <c r="JT60" s="20" t="n">
        <f aca="false">IF(BV60=1,IF(ABS((1+AS_Wage)/(1+Slot6_Rate)-1)&lt;0.000000000001,(Slot6_Age-D60)*(1+Slot6_Rate)^(Slot6_Age-D60),(1+Slot6_Rate)^(Slot6_Age-D60)*(1-((1+AS_Wage)/(1+Slot6_Rate))^(Slot6_Age-D60))/(1-(1+AS_Wage)/(1+Slot6_Rate))),1)</f>
        <v>1</v>
      </c>
      <c r="JU60" s="20" t="n">
        <f aca="false">IF(AND(HU60=1,IE60&gt;0,Slot6_IsWG=1,BV60=1),MAX(0,(Slot6_Cost-BW60*(1+Slot6_Rate)^(Slot6_Age-D60))/JT60),0)</f>
        <v>0</v>
      </c>
      <c r="JV60" s="20" t="n">
        <f aca="false">IF(AND(HU60=1,IE60&gt;0,Slot6_IsWG=1,BV60=1),MIN(IE60,JU60),0)</f>
        <v>0</v>
      </c>
      <c r="JW60" s="20" t="n">
        <f aca="false">BW60+JV60</f>
        <v>0</v>
      </c>
      <c r="JX60" s="20" t="n">
        <f aca="false">IF(BV60=1,MAX(0,(Slot6_Cost-JW60*(1+Slot6_Rate)^(Slot6_Age-D60))/JT60),0)</f>
        <v>0</v>
      </c>
      <c r="JY60" s="20" t="n">
        <f aca="false">IF(BV60=1,MAX(0,(Slot6_Cost-BW60*(1+Slot6_Rate)^(Slot6_Age-D60))/JT60),0)</f>
        <v>0</v>
      </c>
      <c r="JZ60" s="20" t="n">
        <f aca="false">IF(AND(HU60=1,BV60=1),MIN(JS60,JX60),0)</f>
        <v>0</v>
      </c>
      <c r="KA60" s="20" t="n">
        <f aca="false">JS60-JZ60</f>
        <v>0</v>
      </c>
      <c r="KB60" s="20" t="n">
        <f aca="false">IF(CF60=1,IF(ABS((1+AS_Wage)/(1+Slot7_Rate)-1)&lt;0.000000000001,(Slot7_Age-D60)*(1+Slot7_Rate)^(Slot7_Age-D60),(1+Slot7_Rate)^(Slot7_Age-D60)*(1-((1+AS_Wage)/(1+Slot7_Rate))^(Slot7_Age-D60))/(1-(1+AS_Wage)/(1+Slot7_Rate))),1)</f>
        <v>1</v>
      </c>
      <c r="KC60" s="20" t="n">
        <f aca="false">IF(AND(HU60=1,IE60&gt;0,Slot7_IsWG=1,CF60=1),MAX(0,(Slot7_Cost-CG60*(1+Slot7_Rate)^(Slot7_Age-D60))/KB60),0)</f>
        <v>0</v>
      </c>
      <c r="KD60" s="20" t="n">
        <f aca="false">IF(AND(HU60=1,IE60&gt;0,Slot7_IsWG=1,CF60=1),MIN(IE60,KC60),0)</f>
        <v>0</v>
      </c>
      <c r="KE60" s="20" t="n">
        <f aca="false">CG60+KD60</f>
        <v>0</v>
      </c>
      <c r="KF60" s="20" t="n">
        <f aca="false">IF(CF60=1,MAX(0,(Slot7_Cost-KE60*(1+Slot7_Rate)^(Slot7_Age-D60))/KB60),0)</f>
        <v>0</v>
      </c>
      <c r="KG60" s="20" t="n">
        <f aca="false">IF(CF60=1,MAX(0,(Slot7_Cost-CG60*(1+Slot7_Rate)^(Slot7_Age-D60))/KB60),0)</f>
        <v>0</v>
      </c>
      <c r="KH60" s="20" t="n">
        <f aca="false">IF(AND(HU60=1,CF60=1),MIN(KA60,KF60),0)</f>
        <v>0</v>
      </c>
      <c r="KI60" s="20" t="n">
        <f aca="false">KA60-KH60</f>
        <v>0</v>
      </c>
      <c r="KJ60" s="20" t="n">
        <f aca="false">IF(CP60=1,IF(ABS((1+AS_Wage)/(1+Slot8_Rate)-1)&lt;0.000000000001,(Slot8_Age-D60)*(1+Slot8_Rate)^(Slot8_Age-D60),(1+Slot8_Rate)^(Slot8_Age-D60)*(1-((1+AS_Wage)/(1+Slot8_Rate))^(Slot8_Age-D60))/(1-(1+AS_Wage)/(1+Slot8_Rate))),1)</f>
        <v>1</v>
      </c>
      <c r="KK60" s="20" t="n">
        <f aca="false">IF(AND(HU60=1,IE60&gt;0,Slot8_IsWG=1,CP60=1),MAX(0,(Slot8_Cost-CQ60*(1+Slot8_Rate)^(Slot8_Age-D60))/KJ60),0)</f>
        <v>0</v>
      </c>
      <c r="KL60" s="20" t="n">
        <f aca="false">IF(AND(HU60=1,IE60&gt;0,Slot8_IsWG=1,CP60=1),MIN(IE60,KK60),0)</f>
        <v>0</v>
      </c>
      <c r="KM60" s="20" t="n">
        <f aca="false">CQ60+KL60</f>
        <v>0</v>
      </c>
      <c r="KN60" s="20" t="n">
        <f aca="false">IF(CP60=1,MAX(0,(Slot8_Cost-KM60*(1+Slot8_Rate)^(Slot8_Age-D60))/KJ60),0)</f>
        <v>0</v>
      </c>
      <c r="KO60" s="20" t="n">
        <f aca="false">IF(CP60=1,MAX(0,(Slot8_Cost-CQ60*(1+Slot8_Rate)^(Slot8_Age-D60))/KJ60),0)</f>
        <v>0</v>
      </c>
      <c r="KP60" s="20" t="n">
        <f aca="false">IF(AND(HU60=1,CP60=1),MIN(KI60,KN60),0)</f>
        <v>0</v>
      </c>
      <c r="KQ60" s="20" t="n">
        <f aca="false">KI60-KP60</f>
        <v>0</v>
      </c>
      <c r="KR60" s="20" t="n">
        <f aca="false">IF(CZ60=1,IF(ABS((1+AS_Wage)/(1+Slot9_Rate)-1)&lt;0.000000000001,(Slot9_Age-D60)*(1+Slot9_Rate)^(Slot9_Age-D60),(1+Slot9_Rate)^(Slot9_Age-D60)*(1-((1+AS_Wage)/(1+Slot9_Rate))^(Slot9_Age-D60))/(1-(1+AS_Wage)/(1+Slot9_Rate))),1)</f>
        <v>1</v>
      </c>
      <c r="KS60" s="20" t="n">
        <f aca="false">IF(AND(HU60=1,IE60&gt;0,Slot9_IsWG=1,CZ60=1),MAX(0,(Slot9_Cost-DA60*(1+Slot9_Rate)^(Slot9_Age-D60))/KR60),0)</f>
        <v>0</v>
      </c>
      <c r="KT60" s="20" t="n">
        <f aca="false">IF(AND(HU60=1,IE60&gt;0,Slot9_IsWG=1,CZ60=1),MIN(IE60,KS60),0)</f>
        <v>0</v>
      </c>
      <c r="KU60" s="20" t="n">
        <f aca="false">DA60+KT60</f>
        <v>0</v>
      </c>
      <c r="KV60" s="20" t="n">
        <f aca="false">IF(CZ60=1,MAX(0,(Slot9_Cost-KU60*(1+Slot9_Rate)^(Slot9_Age-D60))/KR60),0)</f>
        <v>0</v>
      </c>
      <c r="KW60" s="20" t="n">
        <f aca="false">IF(CZ60=1,MAX(0,(Slot9_Cost-DA60*(1+Slot9_Rate)^(Slot9_Age-D60))/KR60),0)</f>
        <v>0</v>
      </c>
      <c r="KX60" s="20" t="n">
        <f aca="false">IF(AND(HU60=1,CZ60=1),MIN(KQ60,KV60),0)</f>
        <v>0</v>
      </c>
      <c r="KY60" s="20" t="n">
        <f aca="false">KQ60-KX60</f>
        <v>0</v>
      </c>
      <c r="KZ60" s="20" t="n">
        <f aca="false">IF(DJ60=1,IF(ABS((1+AS_Wage)/(1+Slot10_Rate)-1)&lt;0.000000000001,(Slot10_Age-D60)*(1+Slot10_Rate)^(Slot10_Age-D60),(1+Slot10_Rate)^(Slot10_Age-D60)*(1-((1+AS_Wage)/(1+Slot10_Rate))^(Slot10_Age-D60))/(1-(1+AS_Wage)/(1+Slot10_Rate))),1)</f>
        <v>1</v>
      </c>
      <c r="LA60" s="20" t="n">
        <f aca="false">IF(AND(HU60=1,IE60&gt;0,Slot10_IsWG=1,DJ60=1),MAX(0,(Slot10_Cost-DK60*(1+Slot10_Rate)^(Slot10_Age-D60))/KZ60),0)</f>
        <v>0</v>
      </c>
      <c r="LB60" s="20" t="n">
        <f aca="false">IF(AND(HU60=1,IE60&gt;0,Slot10_IsWG=1,DJ60=1),MIN(IE60,LA60),0)</f>
        <v>0</v>
      </c>
      <c r="LC60" s="20" t="n">
        <f aca="false">DK60+LB60</f>
        <v>0</v>
      </c>
      <c r="LD60" s="20" t="n">
        <f aca="false">IF(DJ60=1,MAX(0,(Slot10_Cost-LC60*(1+Slot10_Rate)^(Slot10_Age-D60))/KZ60),0)</f>
        <v>0</v>
      </c>
      <c r="LE60" s="20" t="n">
        <f aca="false">IF(DJ60=1,MAX(0,(Slot10_Cost-DK60*(1+Slot10_Rate)^(Slot10_Age-D60))/KZ60),0)</f>
        <v>0</v>
      </c>
      <c r="LF60" s="20" t="n">
        <f aca="false">IF(AND(HU60=1,DJ60=1),MIN(KY60,LD60),0)</f>
        <v>0</v>
      </c>
      <c r="LG60" s="20" t="n">
        <f aca="false">KY60-LF60</f>
        <v>0</v>
      </c>
      <c r="LH60" s="20" t="n">
        <f aca="false">IF(DT60=1,IF(ABS((1+AS_Wage)/(1+Slot11_Rate)-1)&lt;0.000000000001,(Slot11_Age-D60)*(1+Slot11_Rate)^(Slot11_Age-D60),(1+Slot11_Rate)^(Slot11_Age-D60)*(1-((1+AS_Wage)/(1+Slot11_Rate))^(Slot11_Age-D60))/(1-(1+AS_Wage)/(1+Slot11_Rate))),1)</f>
        <v>1</v>
      </c>
      <c r="LI60" s="20" t="n">
        <f aca="false">IF(AND(HU60=1,IE60&gt;0,Slot11_IsWG=1,DT60=1),MAX(0,(Slot11_Cost-DU60*(1+Slot11_Rate)^(Slot11_Age-D60))/LH60),0)</f>
        <v>0</v>
      </c>
      <c r="LJ60" s="20" t="n">
        <f aca="false">IF(AND(HU60=1,IE60&gt;0,Slot11_IsWG=1,DT60=1),MIN(IE60,LI60),0)</f>
        <v>0</v>
      </c>
      <c r="LK60" s="20" t="n">
        <f aca="false">DU60+LJ60</f>
        <v>0</v>
      </c>
      <c r="LL60" s="20" t="n">
        <f aca="false">IF(DT60=1,MAX(0,(Slot11_Cost-LK60*(1+Slot11_Rate)^(Slot11_Age-D60))/LH60),0)</f>
        <v>0</v>
      </c>
      <c r="LM60" s="20" t="n">
        <f aca="false">IF(DT60=1,MAX(0,(Slot11_Cost-DU60*(1+Slot11_Rate)^(Slot11_Age-D60))/LH60),0)</f>
        <v>0</v>
      </c>
      <c r="LN60" s="20" t="n">
        <f aca="false">IF(AND(HU60=1,DT60=1),MIN(LG60,LL60),0)</f>
        <v>0</v>
      </c>
      <c r="LO60" s="20" t="n">
        <f aca="false">LG60-LN60</f>
        <v>0</v>
      </c>
      <c r="LP60" s="20" t="n">
        <f aca="false">IF(ED60=1,IF(ABS((1+AS_Wage)/(1+Slot12_Rate)-1)&lt;0.000000000001,(Slot12_Age-D60)*(1+Slot12_Rate)^(Slot12_Age-D60),(1+Slot12_Rate)^(Slot12_Age-D60)*(1-((1+AS_Wage)/(1+Slot12_Rate))^(Slot12_Age-D60))/(1-(1+AS_Wage)/(1+Slot12_Rate))),1)</f>
        <v>1</v>
      </c>
      <c r="LQ60" s="20" t="n">
        <f aca="false">IF(AND(HU60=1,IE60&gt;0,Slot12_IsWG=1,ED60=1),MAX(0,(Slot12_Cost-EE60*(1+Slot12_Rate)^(Slot12_Age-D60))/LP60),0)</f>
        <v>0</v>
      </c>
      <c r="LR60" s="20" t="n">
        <f aca="false">IF(AND(HU60=1,IE60&gt;0,Slot12_IsWG=1,ED60=1),MIN(IE60,LQ60),0)</f>
        <v>0</v>
      </c>
      <c r="LS60" s="20" t="n">
        <f aca="false">EE60+LR60</f>
        <v>0</v>
      </c>
      <c r="LT60" s="20" t="n">
        <f aca="false">IF(ED60=1,MAX(0,(Slot12_Cost-LS60*(1+Slot12_Rate)^(Slot12_Age-D60))/LP60),0)</f>
        <v>0</v>
      </c>
      <c r="LU60" s="20" t="n">
        <f aca="false">IF(ED60=1,MAX(0,(Slot12_Cost-EE60*(1+Slot12_Rate)^(Slot12_Age-D60))/LP60),0)</f>
        <v>0</v>
      </c>
      <c r="LV60" s="20" t="n">
        <f aca="false">IF(AND(HU60=1,ED60=1),MIN(LO60,LT60),0)</f>
        <v>0</v>
      </c>
      <c r="LW60" s="20" t="n">
        <f aca="false">LO60-LV60</f>
        <v>0</v>
      </c>
      <c r="LX60" s="20" t="n">
        <f aca="false">IF(EN60=1,IF(ABS((1+AS_Wage)/(1+Slot13_Rate)-1)&lt;0.000000000001,(Slot13_Age-D60)*(1+Slot13_Rate)^(Slot13_Age-D60),(1+Slot13_Rate)^(Slot13_Age-D60)*(1-((1+AS_Wage)/(1+Slot13_Rate))^(Slot13_Age-D60))/(1-(1+AS_Wage)/(1+Slot13_Rate))),1)</f>
        <v>1</v>
      </c>
      <c r="LY60" s="20" t="n">
        <f aca="false">IF(AND(HU60=1,IE60&gt;0,Slot13_IsWG=1,EN60=1),MAX(0,(Slot13_Cost-EO60*(1+Slot13_Rate)^(Slot13_Age-D60))/LX60),0)</f>
        <v>0</v>
      </c>
      <c r="LZ60" s="20" t="n">
        <f aca="false">IF(AND(HU60=1,IE60&gt;0,Slot13_IsWG=1,EN60=1),MIN(IE60,LY60),0)</f>
        <v>0</v>
      </c>
      <c r="MA60" s="20" t="n">
        <f aca="false">EO60+LZ60</f>
        <v>0</v>
      </c>
      <c r="MB60" s="20" t="n">
        <f aca="false">IF(EN60=1,MAX(0,(Slot13_Cost-MA60*(1+Slot13_Rate)^(Slot13_Age-D60))/LX60),0)</f>
        <v>0</v>
      </c>
      <c r="MC60" s="20" t="n">
        <f aca="false">IF(EN60=1,MAX(0,(Slot13_Cost-EO60*(1+Slot13_Rate)^(Slot13_Age-D60))/LX60),0)</f>
        <v>0</v>
      </c>
      <c r="MD60" s="20" t="n">
        <f aca="false">IF(AND(HU60=1,EN60=1),MIN(LW60,MB60),0)</f>
        <v>0</v>
      </c>
      <c r="ME60" s="20" t="n">
        <f aca="false">LW60-MD60</f>
        <v>0</v>
      </c>
      <c r="MF60" s="20" t="n">
        <f aca="false">IF(EX60=1,IF(ABS((1+AS_Wage)/(1+Slot14_Rate)-1)&lt;0.000000000001,(Slot14_Age-D60)*(1+Slot14_Rate)^(Slot14_Age-D60),(1+Slot14_Rate)^(Slot14_Age-D60)*(1-((1+AS_Wage)/(1+Slot14_Rate))^(Slot14_Age-D60))/(1-(1+AS_Wage)/(1+Slot14_Rate))),1)</f>
        <v>1</v>
      </c>
      <c r="MG60" s="20" t="n">
        <f aca="false">IF(AND(HU60=1,IE60&gt;0,Slot14_IsWG=1,EX60=1),MAX(0,(Slot14_Cost-EY60*(1+Slot14_Rate)^(Slot14_Age-D60))/MF60),0)</f>
        <v>0</v>
      </c>
      <c r="MH60" s="20" t="n">
        <f aca="false">IF(AND(HU60=1,IE60&gt;0,Slot14_IsWG=1,EX60=1),MIN(IE60,MG60),0)</f>
        <v>0</v>
      </c>
      <c r="MI60" s="20" t="n">
        <f aca="false">EY60+MH60</f>
        <v>0</v>
      </c>
      <c r="MJ60" s="20" t="n">
        <f aca="false">IF(EX60=1,MAX(0,(Slot14_Cost-MI60*(1+Slot14_Rate)^(Slot14_Age-D60))/MF60),0)</f>
        <v>0</v>
      </c>
      <c r="MK60" s="20" t="n">
        <f aca="false">IF(EX60=1,MAX(0,(Slot14_Cost-EY60*(1+Slot14_Rate)^(Slot14_Age-D60))/MF60),0)</f>
        <v>0</v>
      </c>
      <c r="ML60" s="20" t="n">
        <f aca="false">IF(AND(HU60=1,EX60=1),MIN(ME60,MJ60),0)</f>
        <v>0</v>
      </c>
      <c r="MM60" s="20" t="n">
        <f aca="false">ME60-ML60</f>
        <v>0</v>
      </c>
      <c r="MN60" s="20" t="n">
        <f aca="false">IF(FH60=1,IF(ABS((1+AS_Wage)/(1+Slot15_Rate)-1)&lt;0.000000000001,(Slot15_Age-D60)*(1+Slot15_Rate)^(Slot15_Age-D60),(1+Slot15_Rate)^(Slot15_Age-D60)*(1-((1+AS_Wage)/(1+Slot15_Rate))^(Slot15_Age-D60))/(1-(1+AS_Wage)/(1+Slot15_Rate))),1)</f>
        <v>1</v>
      </c>
      <c r="MO60" s="20" t="n">
        <f aca="false">IF(AND(HU60=1,IE60&gt;0,Slot15_IsWG=1,FH60=1),MAX(0,(Slot15_Cost-FI60*(1+Slot15_Rate)^(Slot15_Age-D60))/MN60),0)</f>
        <v>0</v>
      </c>
      <c r="MP60" s="20" t="n">
        <f aca="false">IF(AND(HU60=1,IE60&gt;0,Slot15_IsWG=1,FH60=1),MIN(IE60,MO60),0)</f>
        <v>0</v>
      </c>
      <c r="MQ60" s="20" t="n">
        <f aca="false">FI60+MP60</f>
        <v>0</v>
      </c>
      <c r="MR60" s="20" t="n">
        <f aca="false">IF(FH60=1,MAX(0,(Slot15_Cost-MQ60*(1+Slot15_Rate)^(Slot15_Age-D60))/MN60),0)</f>
        <v>0</v>
      </c>
      <c r="MS60" s="20" t="n">
        <f aca="false">IF(FH60=1,MAX(0,(Slot15_Cost-FI60*(1+Slot15_Rate)^(Slot15_Age-D60))/MN60),0)</f>
        <v>0</v>
      </c>
      <c r="MT60" s="20" t="n">
        <f aca="false">IF(AND(HU60=1,FH60=1),MIN(MM60,MR60),0)</f>
        <v>0</v>
      </c>
      <c r="MU60" s="20" t="n">
        <f aca="false">MM60-MT60</f>
        <v>0</v>
      </c>
      <c r="MV60" s="20" t="n">
        <f aca="false">IF(FR60=1,IF(ABS((1+AS_Wage)/(1+Slot16_Rate)-1)&lt;0.000000000001,(Slot16_Age-D60)*(1+Slot16_Rate)^(Slot16_Age-D60),(1+Slot16_Rate)^(Slot16_Age-D60)*(1-((1+AS_Wage)/(1+Slot16_Rate))^(Slot16_Age-D60))/(1-(1+AS_Wage)/(1+Slot16_Rate))),1)</f>
        <v>1</v>
      </c>
      <c r="MW60" s="20" t="n">
        <f aca="false">IF(AND(HU60=1,IE60&gt;0,Slot16_IsWG=1,FR60=1),MAX(0,(Slot16_Cost-FS60*(1+Slot16_Rate)^(Slot16_Age-D60))/MV60),0)</f>
        <v>0</v>
      </c>
      <c r="MX60" s="20" t="n">
        <f aca="false">IF(AND(HU60=1,IE60&gt;0,Slot16_IsWG=1,FR60=1),MIN(IE60,MW60),0)</f>
        <v>0</v>
      </c>
      <c r="MY60" s="20" t="n">
        <f aca="false">FS60+MX60</f>
        <v>0</v>
      </c>
      <c r="MZ60" s="20" t="n">
        <f aca="false">IF(FR60=1,MAX(0,(Slot16_Cost-MY60*(1+Slot16_Rate)^(Slot16_Age-D60))/MV60),0)</f>
        <v>0</v>
      </c>
      <c r="NA60" s="20" t="n">
        <f aca="false">IF(FR60=1,MAX(0,(Slot16_Cost-FS60*(1+Slot16_Rate)^(Slot16_Age-D60))/MV60),0)</f>
        <v>0</v>
      </c>
      <c r="NB60" s="20" t="n">
        <f aca="false">IF(AND(HU60=1,FR60=1),MIN(MU60,MZ60),0)</f>
        <v>0</v>
      </c>
      <c r="NC60" s="20" t="n">
        <f aca="false">MU60-NB60</f>
        <v>0</v>
      </c>
      <c r="ND60" s="20" t="n">
        <f aca="false">IF(GB60=1,IF(ABS((1+AS_Wage)/(1+Slot17_Rate)-1)&lt;0.000000000001,(Slot17_Age-D60)*(1+Slot17_Rate)^(Slot17_Age-D60),(1+Slot17_Rate)^(Slot17_Age-D60)*(1-((1+AS_Wage)/(1+Slot17_Rate))^(Slot17_Age-D60))/(1-(1+AS_Wage)/(1+Slot17_Rate))),1)</f>
        <v>1</v>
      </c>
      <c r="NE60" s="20" t="n">
        <f aca="false">IF(AND(HU60=1,IE60&gt;0,Slot17_IsWG=1,GB60=1),MAX(0,(Slot17_Cost-GC60*(1+Slot17_Rate)^(Slot17_Age-D60))/ND60),0)</f>
        <v>0</v>
      </c>
      <c r="NF60" s="20" t="n">
        <f aca="false">IF(AND(HU60=1,IE60&gt;0,Slot17_IsWG=1,GB60=1),MIN(IE60,NE60),0)</f>
        <v>0</v>
      </c>
      <c r="NG60" s="20" t="n">
        <f aca="false">GC60+NF60</f>
        <v>0</v>
      </c>
      <c r="NH60" s="20" t="n">
        <f aca="false">IF(GB60=1,MAX(0,(Slot17_Cost-NG60*(1+Slot17_Rate)^(Slot17_Age-D60))/ND60),0)</f>
        <v>0</v>
      </c>
      <c r="NI60" s="20" t="n">
        <f aca="false">IF(GB60=1,MAX(0,(Slot17_Cost-GC60*(1+Slot17_Rate)^(Slot17_Age-D60))/ND60),0)</f>
        <v>0</v>
      </c>
      <c r="NJ60" s="20" t="n">
        <f aca="false">IF(AND(HU60=1,GB60=1),MIN(NC60,NH60),0)</f>
        <v>0</v>
      </c>
      <c r="NK60" s="20" t="n">
        <f aca="false">NC60-NJ60</f>
        <v>0</v>
      </c>
      <c r="NL60" s="20" t="n">
        <f aca="false">IF(GL60=1,IF(ABS((1+AS_Wage)/(1+Slot18_Rate)-1)&lt;0.000000000001,(Slot18_Age-D60)*(1+Slot18_Rate)^(Slot18_Age-D60),(1+Slot18_Rate)^(Slot18_Age-D60)*(1-((1+AS_Wage)/(1+Slot18_Rate))^(Slot18_Age-D60))/(1-(1+AS_Wage)/(1+Slot18_Rate))),1)</f>
        <v>1</v>
      </c>
      <c r="NM60" s="20" t="n">
        <f aca="false">IF(AND(HU60=1,IE60&gt;0,Slot18_IsWG=1,GL60=1),MAX(0,(Slot18_Cost-GM60*(1+Slot18_Rate)^(Slot18_Age-D60))/NL60),0)</f>
        <v>0</v>
      </c>
      <c r="NN60" s="20" t="n">
        <f aca="false">IF(AND(HU60=1,IE60&gt;0,Slot18_IsWG=1,GL60=1),MIN(IE60,NM60),0)</f>
        <v>0</v>
      </c>
      <c r="NO60" s="20" t="n">
        <f aca="false">GM60+NN60</f>
        <v>0</v>
      </c>
      <c r="NP60" s="20" t="n">
        <f aca="false">IF(GL60=1,MAX(0,(Slot18_Cost-NO60*(1+Slot18_Rate)^(Slot18_Age-D60))/NL60),0)</f>
        <v>0</v>
      </c>
      <c r="NQ60" s="20" t="n">
        <f aca="false">IF(GL60=1,MAX(0,(Slot18_Cost-GM60*(1+Slot18_Rate)^(Slot18_Age-D60))/NL60),0)</f>
        <v>0</v>
      </c>
      <c r="NR60" s="20" t="n">
        <f aca="false">IF(AND(HU60=1,GL60=1),MIN(NK60,NP60),0)</f>
        <v>0</v>
      </c>
      <c r="NS60" s="20" t="n">
        <f aca="false">NK60-NR60</f>
        <v>0</v>
      </c>
      <c r="NT60" s="20" t="n">
        <f aca="false">IF(GV60=1,IF(ABS((1+AS_Wage)/(1+Slot19_Rate)-1)&lt;0.000000000001,(Slot19_Age-D60)*(1+Slot19_Rate)^(Slot19_Age-D60),(1+Slot19_Rate)^(Slot19_Age-D60)*(1-((1+AS_Wage)/(1+Slot19_Rate))^(Slot19_Age-D60))/(1-(1+AS_Wage)/(1+Slot19_Rate))),1)</f>
        <v>1</v>
      </c>
      <c r="NU60" s="20" t="n">
        <f aca="false">IF(AND(HU60=1,IE60&gt;0,Slot19_IsWG=1,GV60=1),MAX(0,(Slot19_Cost-GW60*(1+Slot19_Rate)^(Slot19_Age-D60))/NT60),0)</f>
        <v>0</v>
      </c>
      <c r="NV60" s="20" t="n">
        <f aca="false">IF(AND(HU60=1,IE60&gt;0,Slot19_IsWG=1,GV60=1),MIN(IE60,NU60),0)</f>
        <v>0</v>
      </c>
      <c r="NW60" s="20" t="n">
        <f aca="false">GW60+NV60</f>
        <v>0</v>
      </c>
      <c r="NX60" s="20" t="n">
        <f aca="false">IF(GV60=1,MAX(0,(Slot19_Cost-NW60*(1+Slot19_Rate)^(Slot19_Age-D60))/NT60),0)</f>
        <v>0</v>
      </c>
      <c r="NY60" s="20" t="n">
        <f aca="false">IF(GV60=1,MAX(0,(Slot19_Cost-GW60*(1+Slot19_Rate)^(Slot19_Age-D60))/NT60),0)</f>
        <v>0</v>
      </c>
      <c r="NZ60" s="20" t="n">
        <f aca="false">IF(AND(HU60=1,GV60=1),MIN(NS60,NX60),0)</f>
        <v>0</v>
      </c>
      <c r="OA60" s="20" t="n">
        <f aca="false">NS60-NZ60</f>
        <v>0</v>
      </c>
      <c r="OB60" s="20" t="n">
        <f aca="false">IF(HF60=1,IF(ABS((1+AS_Wage)/(1+Slot20_Rate)-1)&lt;0.000000000001,(Slot20_Age-D60)*(1+Slot20_Rate)^(Slot20_Age-D60),(1+Slot20_Rate)^(Slot20_Age-D60)*(1-((1+AS_Wage)/(1+Slot20_Rate))^(Slot20_Age-D60))/(1-(1+AS_Wage)/(1+Slot20_Rate))),1)</f>
        <v>1</v>
      </c>
      <c r="OC60" s="20" t="n">
        <f aca="false">IF(AND(HU60=1,IE60&gt;0,Slot20_IsWG=1,HF60=1),MAX(0,(Slot20_Cost-HG60*(1+Slot20_Rate)^(Slot20_Age-D60))/OB60),0)</f>
        <v>0</v>
      </c>
      <c r="OD60" s="20" t="n">
        <f aca="false">IF(AND(HU60=1,IE60&gt;0,Slot20_IsWG=1,HF60=1),MIN(IE60,OC60),0)</f>
        <v>0</v>
      </c>
      <c r="OE60" s="20" t="n">
        <f aca="false">HG60+OD60</f>
        <v>0</v>
      </c>
      <c r="OF60" s="20" t="n">
        <f aca="false">IF(HF60=1,MAX(0,(Slot20_Cost-OE60*(1+Slot20_Rate)^(Slot20_Age-D60))/OB60),0)</f>
        <v>0</v>
      </c>
      <c r="OG60" s="20" t="n">
        <f aca="false">IF(HF60=1,MAX(0,(Slot20_Cost-HG60*(1+Slot20_Rate)^(Slot20_Age-D60))/OB60),0)</f>
        <v>0</v>
      </c>
      <c r="OH60" s="20" t="n">
        <f aca="false">IF(AND(HU60=1,HF60=1),MIN(OA60,OF60),0)</f>
        <v>0</v>
      </c>
      <c r="OI60" s="20" t="n">
        <f aca="false">OA60-OH60</f>
        <v>0</v>
      </c>
      <c r="OJ60" s="20" t="n">
        <f aca="false">IE60-(IH60+IP60+IX60+JF60+JN60+JV60+KD60+KL60+KT60+LB60+LJ60+LR60+LZ60+MH60+MP60+MX60+NF60+NN60+NV60+OD60)</f>
        <v>0</v>
      </c>
      <c r="OK60" s="20" t="n">
        <f aca="false">IF(HU60=1,HS60-ID60-IE60,0)</f>
        <v>0</v>
      </c>
      <c r="OL60" s="20" t="n">
        <f aca="false">IF(HU60=0,-HS60,0)</f>
        <v>28026.0080750222</v>
      </c>
      <c r="OM60" s="20" t="n">
        <f aca="false">MIN(OL60,HK60)</f>
        <v>0</v>
      </c>
      <c r="ON60" s="20" t="n">
        <f aca="false">OL60-OM60</f>
        <v>28026.0080750222</v>
      </c>
      <c r="OO60" s="20" t="n">
        <f aca="false">MIN(ON60,HL60)</f>
        <v>0</v>
      </c>
      <c r="OP60" s="20" t="n">
        <f aca="false">ON60-OO60</f>
        <v>28026.0080750222</v>
      </c>
      <c r="OQ60" s="20" t="n">
        <f aca="false">IF(AND(HU60=0,HF60=1,OP60&gt;0),MIN(OP60,HG60),0)</f>
        <v>0</v>
      </c>
      <c r="OR60" s="20" t="n">
        <f aca="false">OP60-OQ60</f>
        <v>28026.0080750222</v>
      </c>
      <c r="OS60" s="20" t="n">
        <f aca="false">IF(AND(HU60=0,GV60=1,OR60&gt;0),MIN(OR60,GW60),0)</f>
        <v>0</v>
      </c>
      <c r="OT60" s="20" t="n">
        <f aca="false">OR60-OS60</f>
        <v>28026.0080750222</v>
      </c>
      <c r="OU60" s="20" t="n">
        <f aca="false">IF(AND(HU60=0,GL60=1,OT60&gt;0),MIN(OT60,GM60),0)</f>
        <v>0</v>
      </c>
      <c r="OV60" s="20" t="n">
        <f aca="false">OT60-OU60</f>
        <v>28026.0080750222</v>
      </c>
      <c r="OW60" s="20" t="n">
        <f aca="false">IF(AND(HU60=0,GB60=1,OV60&gt;0),MIN(OV60,GC60),0)</f>
        <v>0</v>
      </c>
      <c r="OX60" s="20" t="n">
        <f aca="false">OV60-OW60</f>
        <v>28026.0080750222</v>
      </c>
      <c r="OY60" s="20" t="n">
        <f aca="false">IF(AND(HU60=0,FR60=1,OX60&gt;0),MIN(OX60,FS60),0)</f>
        <v>0</v>
      </c>
      <c r="OZ60" s="20" t="n">
        <f aca="false">OX60-OY60</f>
        <v>28026.0080750222</v>
      </c>
      <c r="PA60" s="20" t="n">
        <f aca="false">IF(AND(HU60=0,FH60=1,OZ60&gt;0),MIN(OZ60,FI60),0)</f>
        <v>0</v>
      </c>
      <c r="PB60" s="20" t="n">
        <f aca="false">OZ60-PA60</f>
        <v>28026.0080750222</v>
      </c>
      <c r="PC60" s="20" t="n">
        <f aca="false">IF(AND(HU60=0,EX60=1,PB60&gt;0),MIN(PB60,EY60),0)</f>
        <v>0</v>
      </c>
      <c r="PD60" s="20" t="n">
        <f aca="false">PB60-PC60</f>
        <v>28026.0080750222</v>
      </c>
      <c r="PE60" s="20" t="n">
        <f aca="false">IF(AND(HU60=0,EN60=1,PD60&gt;0),MIN(PD60,EO60),0)</f>
        <v>0</v>
      </c>
      <c r="PF60" s="20" t="n">
        <f aca="false">PD60-PE60</f>
        <v>28026.0080750222</v>
      </c>
      <c r="PG60" s="20" t="n">
        <f aca="false">IF(AND(HU60=0,ED60=1,PF60&gt;0),MIN(PF60,EE60),0)</f>
        <v>0</v>
      </c>
      <c r="PH60" s="20" t="n">
        <f aca="false">PF60-PG60</f>
        <v>28026.0080750222</v>
      </c>
      <c r="PI60" s="20" t="n">
        <f aca="false">IF(AND(HU60=0,DT60=1,PH60&gt;0),MIN(PH60,DU60),0)</f>
        <v>0</v>
      </c>
      <c r="PJ60" s="20" t="n">
        <f aca="false">PH60-PI60</f>
        <v>28026.0080750222</v>
      </c>
      <c r="PK60" s="20" t="n">
        <f aca="false">IF(AND(HU60=0,DJ60=1,PJ60&gt;0),MIN(PJ60,DK60),0)</f>
        <v>0</v>
      </c>
      <c r="PL60" s="20" t="n">
        <f aca="false">PJ60-PK60</f>
        <v>28026.0080750222</v>
      </c>
      <c r="PM60" s="20" t="n">
        <f aca="false">IF(AND(HU60=0,CZ60=1,PL60&gt;0),MIN(PL60,DA60),0)</f>
        <v>0</v>
      </c>
      <c r="PN60" s="20" t="n">
        <f aca="false">PL60-PM60</f>
        <v>28026.0080750222</v>
      </c>
      <c r="PO60" s="20" t="n">
        <f aca="false">IF(AND(HU60=0,CP60=1,PN60&gt;0),MIN(PN60,CQ60),0)</f>
        <v>0</v>
      </c>
      <c r="PP60" s="20" t="n">
        <f aca="false">PN60-PO60</f>
        <v>28026.0080750222</v>
      </c>
      <c r="PQ60" s="20" t="n">
        <f aca="false">IF(AND(HU60=0,CF60=1,PP60&gt;0),MIN(PP60,CG60),0)</f>
        <v>0</v>
      </c>
      <c r="PR60" s="20" t="n">
        <f aca="false">PP60-PQ60</f>
        <v>28026.0080750222</v>
      </c>
      <c r="PS60" s="20" t="n">
        <f aca="false">IF(AND(HU60=0,BV60=1,PR60&gt;0),MIN(PR60,BW60),0)</f>
        <v>0</v>
      </c>
      <c r="PT60" s="20" t="n">
        <f aca="false">PR60-PS60</f>
        <v>28026.0080750222</v>
      </c>
      <c r="PU60" s="20" t="n">
        <f aca="false">IF(AND(HU60=0,BL60=1,PT60&gt;0),MIN(PT60,BM60),0)</f>
        <v>0</v>
      </c>
      <c r="PV60" s="20" t="n">
        <f aca="false">PT60-PU60</f>
        <v>28026.0080750222</v>
      </c>
      <c r="PW60" s="20" t="n">
        <f aca="false">IF(AND(HU60=0,BB60=1,PV60&gt;0),MIN(PV60,BC60),0)</f>
        <v>0</v>
      </c>
      <c r="PX60" s="20" t="n">
        <f aca="false">PV60-PW60</f>
        <v>28026.0080750222</v>
      </c>
      <c r="PY60" s="20" t="n">
        <f aca="false">IF(AND(HU60=0,AR60=1,PX60&gt;0),MIN(PX60,AS60),0)</f>
        <v>0</v>
      </c>
      <c r="PZ60" s="20" t="n">
        <f aca="false">PX60-PY60</f>
        <v>28026.0080750222</v>
      </c>
      <c r="QA60" s="20" t="n">
        <f aca="false">IF(AND(HU60=0,AH60=1,PZ60&gt;0),MIN(PZ60,AI60),0)</f>
        <v>0</v>
      </c>
      <c r="QB60" s="20" t="n">
        <f aca="false">PZ60-QA60</f>
        <v>28026.0080750222</v>
      </c>
      <c r="QC60" s="20" t="n">
        <f aca="false">IF(AND(HU60=0,W60=1,QB60&gt;0),MIN(QB60,X60),0)</f>
        <v>0</v>
      </c>
      <c r="QD60" s="20" t="n">
        <f aca="false">QB60-QC60</f>
        <v>28026.0080750222</v>
      </c>
      <c r="QE60" s="20" t="n">
        <f aca="false">IF(HU60=0,QD60,0)</f>
        <v>28026.0080750222</v>
      </c>
      <c r="QF60" s="20" t="n">
        <f aca="false">OM60+OO60+QC60+QA60+PY60+PW60+PU60+PS60+PQ60+PO60+PM60+PK60+PI60+PG60+PE60+PC60+PA60+OY60+OW60+OU60+OS60+OQ60</f>
        <v>0</v>
      </c>
      <c r="QG60" s="20" t="n">
        <f aca="false">IF(HU60=1,HK60+OJ60+OI60+IF(G60=1,0,OK60),HK60-OM60)</f>
        <v>0</v>
      </c>
      <c r="QH60" s="20" t="n">
        <f aca="false">HL60-OO60</f>
        <v>0</v>
      </c>
      <c r="QI60" s="20" t="n">
        <f aca="false">IF(HU60=1,IF(G60=1,ID60+IE60,HS60),0)</f>
        <v>0</v>
      </c>
      <c r="QJ60" s="20" t="n">
        <f aca="false">IF(HU60=1,IF(G60=1,HS60-ID60-IE60,0),0)</f>
        <v>0</v>
      </c>
      <c r="QK60" s="20" t="n">
        <f aca="false">QG60*(1+GR)</f>
        <v>0</v>
      </c>
      <c r="QL60" s="20" t="n">
        <f aca="false">QH60*(1+AS_Cash)</f>
        <v>0</v>
      </c>
      <c r="QM60" s="20" t="n">
        <f aca="false">IF(W60=1,IF(HU60=1,II60+IL60,X60-QC60)*(1+Slot1_Rate),0)</f>
        <v>0</v>
      </c>
      <c r="QN60" s="20" t="n">
        <f aca="false">IF(AND(HU60=1,W60=1),(IH60+IL60)/F60,0)</f>
        <v>0</v>
      </c>
      <c r="QO60" s="20" t="n">
        <f aca="false">IF(B60=0,IH60+IL60,0)</f>
        <v>0</v>
      </c>
      <c r="QP60" s="20" t="n">
        <f aca="false">IF(B60=0,IF(HU60=1,IJ60,IK60),0)</f>
        <v>0</v>
      </c>
      <c r="QQ60" s="20" t="n">
        <f aca="false">IF(AH60=1,IF(HU60=1,IQ60+IT60,AI60-QA60)*(1+Slot2_Rate),0)</f>
        <v>0</v>
      </c>
      <c r="QR60" s="20" t="n">
        <f aca="false">IF(AND(HU60=1,AH60=1),(IP60+IT60)/F60,0)</f>
        <v>0</v>
      </c>
      <c r="QS60" s="20" t="n">
        <f aca="false">IF(B60=0,IP60+IT60,0)</f>
        <v>0</v>
      </c>
      <c r="QT60" s="20" t="n">
        <f aca="false">IF(B60=0,IF(HU60=1,IR60,IS60),0)</f>
        <v>0</v>
      </c>
      <c r="QU60" s="20" t="n">
        <f aca="false">IF(AR60=1,IF(HU60=1,IY60+JB60,AS60-PY60)*(1+Slot3_Rate),0)</f>
        <v>0</v>
      </c>
      <c r="QV60" s="20" t="n">
        <f aca="false">IF(AND(HU60=1,AR60=1),(IX60+JB60)/F60,0)</f>
        <v>0</v>
      </c>
      <c r="QW60" s="20" t="n">
        <f aca="false">IF(B60=0,IX60+JB60,0)</f>
        <v>0</v>
      </c>
      <c r="QX60" s="20" t="n">
        <f aca="false">IF(B60=0,IF(HU60=1,IZ60,JA60),0)</f>
        <v>0</v>
      </c>
      <c r="QY60" s="20" t="n">
        <f aca="false">IF(BB60=1,IF(HU60=1,JG60+JJ60,BC60-PW60)*(1+Slot4_Rate),0)</f>
        <v>0</v>
      </c>
      <c r="QZ60" s="20" t="n">
        <f aca="false">IF(AND(HU60=1,BB60=1),(JF60+JJ60)/F60,0)</f>
        <v>0</v>
      </c>
      <c r="RA60" s="20" t="n">
        <f aca="false">IF(B60=0,JF60+JJ60,0)</f>
        <v>0</v>
      </c>
      <c r="RB60" s="20" t="n">
        <f aca="false">IF(B60=0,IF(HU60=1,JH60,JI60),0)</f>
        <v>0</v>
      </c>
      <c r="RC60" s="20" t="n">
        <f aca="false">IF(BL60=1,IF(HU60=1,JO60+JR60,BM60-PU60)*(1+Slot5_Rate),0)</f>
        <v>0</v>
      </c>
      <c r="RD60" s="20" t="n">
        <f aca="false">IF(AND(HU60=1,BL60=1),(JN60+JR60)/F60,0)</f>
        <v>0</v>
      </c>
      <c r="RE60" s="20" t="n">
        <f aca="false">IF(B60=0,JN60+JR60,0)</f>
        <v>0</v>
      </c>
      <c r="RF60" s="20" t="n">
        <f aca="false">IF(B60=0,IF(HU60=1,JP60,JQ60),0)</f>
        <v>0</v>
      </c>
      <c r="RG60" s="20" t="n">
        <f aca="false">IF(BV60=1,IF(HU60=1,JW60+JZ60,BW60-PS60)*(1+Slot6_Rate),0)</f>
        <v>0</v>
      </c>
      <c r="RH60" s="20" t="n">
        <f aca="false">IF(AND(HU60=1,BV60=1),(JV60+JZ60)/F60,0)</f>
        <v>0</v>
      </c>
      <c r="RI60" s="20" t="n">
        <f aca="false">IF(B60=0,JV60+JZ60,0)</f>
        <v>0</v>
      </c>
      <c r="RJ60" s="20" t="n">
        <f aca="false">IF(B60=0,IF(HU60=1,JX60,JY60),0)</f>
        <v>0</v>
      </c>
      <c r="RK60" s="20" t="n">
        <f aca="false">IF(CF60=1,IF(HU60=1,KE60+KH60,CG60-PQ60)*(1+Slot7_Rate),0)</f>
        <v>0</v>
      </c>
      <c r="RL60" s="20" t="n">
        <f aca="false">IF(AND(HU60=1,CF60=1),(KD60+KH60)/F60,0)</f>
        <v>0</v>
      </c>
      <c r="RM60" s="20" t="n">
        <f aca="false">IF(B60=0,KD60+KH60,0)</f>
        <v>0</v>
      </c>
      <c r="RN60" s="20" t="n">
        <f aca="false">IF(B60=0,IF(HU60=1,KF60,KG60),0)</f>
        <v>0</v>
      </c>
      <c r="RO60" s="20" t="n">
        <f aca="false">IF(CP60=1,IF(HU60=1,KM60+KP60,CQ60-PO60)*(1+Slot8_Rate),0)</f>
        <v>0</v>
      </c>
      <c r="RP60" s="20" t="n">
        <f aca="false">IF(AND(HU60=1,CP60=1),(KL60+KP60)/F60,0)</f>
        <v>0</v>
      </c>
      <c r="RQ60" s="20" t="n">
        <f aca="false">IF(B60=0,KL60+KP60,0)</f>
        <v>0</v>
      </c>
      <c r="RR60" s="20" t="n">
        <f aca="false">IF(B60=0,IF(HU60=1,KN60,KO60),0)</f>
        <v>0</v>
      </c>
      <c r="RS60" s="20" t="n">
        <f aca="false">IF(CZ60=1,IF(HU60=1,KU60+KX60,DA60-PM60)*(1+Slot9_Rate),0)</f>
        <v>0</v>
      </c>
      <c r="RT60" s="20" t="n">
        <f aca="false">IF(AND(HU60=1,CZ60=1),(KT60+KX60)/F60,0)</f>
        <v>0</v>
      </c>
      <c r="RU60" s="20" t="n">
        <f aca="false">IF(B60=0,KT60+KX60,0)</f>
        <v>0</v>
      </c>
      <c r="RV60" s="20" t="n">
        <f aca="false">IF(B60=0,IF(HU60=1,KV60,KW60),0)</f>
        <v>0</v>
      </c>
      <c r="RW60" s="20" t="n">
        <f aca="false">IF(DJ60=1,IF(HU60=1,LC60+LF60,DK60-PK60)*(1+Slot10_Rate),0)</f>
        <v>0</v>
      </c>
      <c r="RX60" s="20" t="n">
        <f aca="false">IF(AND(HU60=1,DJ60=1),(LB60+LF60)/F60,0)</f>
        <v>0</v>
      </c>
      <c r="RY60" s="20" t="n">
        <f aca="false">IF(B60=0,LB60+LF60,0)</f>
        <v>0</v>
      </c>
      <c r="RZ60" s="20" t="n">
        <f aca="false">IF(B60=0,IF(HU60=1,LD60,LE60),0)</f>
        <v>0</v>
      </c>
      <c r="SA60" s="20" t="n">
        <f aca="false">IF(DT60=1,IF(HU60=1,LK60+LN60,DU60-PI60)*(1+Slot11_Rate),0)</f>
        <v>0</v>
      </c>
      <c r="SB60" s="20" t="n">
        <f aca="false">IF(AND(HU60=1,DT60=1),(LJ60+LN60)/F60,0)</f>
        <v>0</v>
      </c>
      <c r="SC60" s="20" t="n">
        <f aca="false">IF(B60=0,LJ60+LN60,0)</f>
        <v>0</v>
      </c>
      <c r="SD60" s="20" t="n">
        <f aca="false">IF(B60=0,IF(HU60=1,LL60,LM60),0)</f>
        <v>0</v>
      </c>
      <c r="SE60" s="20" t="n">
        <f aca="false">IF(ED60=1,IF(HU60=1,LS60+LV60,EE60-PG60)*(1+Slot12_Rate),0)</f>
        <v>0</v>
      </c>
      <c r="SF60" s="20" t="n">
        <f aca="false">IF(AND(HU60=1,ED60=1),(LR60+LV60)/F60,0)</f>
        <v>0</v>
      </c>
      <c r="SG60" s="20" t="n">
        <f aca="false">IF(B60=0,LR60+LV60,0)</f>
        <v>0</v>
      </c>
      <c r="SH60" s="20" t="n">
        <f aca="false">IF(B60=0,IF(HU60=1,LT60,LU60),0)</f>
        <v>0</v>
      </c>
      <c r="SI60" s="20" t="n">
        <f aca="false">IF(EN60=1,IF(HU60=1,MA60+MD60,EO60-PE60)*(1+Slot13_Rate),0)</f>
        <v>0</v>
      </c>
      <c r="SJ60" s="20" t="n">
        <f aca="false">IF(AND(HU60=1,EN60=1),(LZ60+MD60)/F60,0)</f>
        <v>0</v>
      </c>
      <c r="SK60" s="20" t="n">
        <f aca="false">IF(B60=0,LZ60+MD60,0)</f>
        <v>0</v>
      </c>
      <c r="SL60" s="20" t="n">
        <f aca="false">IF(B60=0,IF(HU60=1,MB60,MC60),0)</f>
        <v>0</v>
      </c>
      <c r="SM60" s="20" t="n">
        <f aca="false">IF(EX60=1,IF(HU60=1,MI60+ML60,EY60-PC60)*(1+Slot14_Rate),0)</f>
        <v>0</v>
      </c>
      <c r="SN60" s="20" t="n">
        <f aca="false">IF(AND(HU60=1,EX60=1),(MH60+ML60)/F60,0)</f>
        <v>0</v>
      </c>
      <c r="SO60" s="20" t="n">
        <f aca="false">IF(B60=0,MH60+ML60,0)</f>
        <v>0</v>
      </c>
      <c r="SP60" s="20" t="n">
        <f aca="false">IF(B60=0,IF(HU60=1,MJ60,MK60),0)</f>
        <v>0</v>
      </c>
      <c r="SQ60" s="20" t="n">
        <f aca="false">IF(FH60=1,IF(HU60=1,MQ60+MT60,FI60-PA60)*(1+Slot15_Rate),0)</f>
        <v>0</v>
      </c>
      <c r="SR60" s="20" t="n">
        <f aca="false">IF(AND(HU60=1,FH60=1),(MP60+MT60)/F60,0)</f>
        <v>0</v>
      </c>
      <c r="SS60" s="20" t="n">
        <f aca="false">IF(B60=0,MP60+MT60,0)</f>
        <v>0</v>
      </c>
      <c r="ST60" s="20" t="n">
        <f aca="false">IF(B60=0,IF(HU60=1,MR60,MS60),0)</f>
        <v>0</v>
      </c>
      <c r="SU60" s="20" t="n">
        <f aca="false">IF(FR60=1,IF(HU60=1,MY60+NB60,FS60-OY60)*(1+Slot16_Rate),0)</f>
        <v>0</v>
      </c>
      <c r="SV60" s="20" t="n">
        <f aca="false">IF(AND(HU60=1,FR60=1),(MX60+NB60)/F60,0)</f>
        <v>0</v>
      </c>
      <c r="SW60" s="20" t="n">
        <f aca="false">IF(B60=0,MX60+NB60,0)</f>
        <v>0</v>
      </c>
      <c r="SX60" s="20" t="n">
        <f aca="false">IF(B60=0,IF(HU60=1,MZ60,NA60),0)</f>
        <v>0</v>
      </c>
      <c r="SY60" s="20" t="n">
        <f aca="false">IF(GB60=1,IF(HU60=1,NG60+NJ60,GC60-OW60)*(1+Slot17_Rate),0)</f>
        <v>0</v>
      </c>
      <c r="SZ60" s="20" t="n">
        <f aca="false">IF(AND(HU60=1,GB60=1),(NF60+NJ60)/F60,0)</f>
        <v>0</v>
      </c>
      <c r="TA60" s="20" t="n">
        <f aca="false">IF(B60=0,NF60+NJ60,0)</f>
        <v>0</v>
      </c>
      <c r="TB60" s="20" t="n">
        <f aca="false">IF(B60=0,IF(HU60=1,NH60,NI60),0)</f>
        <v>0</v>
      </c>
      <c r="TC60" s="20" t="n">
        <f aca="false">IF(GL60=1,IF(HU60=1,NO60+NR60,GM60-OU60)*(1+Slot18_Rate),0)</f>
        <v>0</v>
      </c>
      <c r="TD60" s="20" t="n">
        <f aca="false">IF(AND(HU60=1,GL60=1),(NN60+NR60)/F60,0)</f>
        <v>0</v>
      </c>
      <c r="TE60" s="20" t="n">
        <f aca="false">IF(B60=0,NN60+NR60,0)</f>
        <v>0</v>
      </c>
      <c r="TF60" s="20" t="n">
        <f aca="false">IF(B60=0,IF(HU60=1,NP60,NQ60),0)</f>
        <v>0</v>
      </c>
      <c r="TG60" s="20" t="n">
        <f aca="false">IF(GV60=1,IF(HU60=1,NW60+NZ60,GW60-OS60)*(1+Slot19_Rate),0)</f>
        <v>0</v>
      </c>
      <c r="TH60" s="20" t="n">
        <f aca="false">IF(AND(HU60=1,GV60=1),(NV60+NZ60)/F60,0)</f>
        <v>0</v>
      </c>
      <c r="TI60" s="20" t="n">
        <f aca="false">IF(B60=0,NV60+NZ60,0)</f>
        <v>0</v>
      </c>
      <c r="TJ60" s="20" t="n">
        <f aca="false">IF(B60=0,IF(HU60=1,NX60,NY60),0)</f>
        <v>0</v>
      </c>
      <c r="TK60" s="20" t="n">
        <f aca="false">IF(HF60=1,IF(HU60=1,OE60+OH60,HG60-OQ60)*(1+Slot20_Rate),0)</f>
        <v>0</v>
      </c>
      <c r="TL60" s="20" t="n">
        <f aca="false">IF(AND(HU60=1,HF60=1),(OD60+OH60)/F60,0)</f>
        <v>0</v>
      </c>
      <c r="TM60" s="20" t="n">
        <f aca="false">IF(B60=0,OD60+OH60,0)</f>
        <v>0</v>
      </c>
      <c r="TN60" s="20" t="n">
        <f aca="false">IF(B60=0,IF(HU60=1,OF60,OG60),0)</f>
        <v>0</v>
      </c>
      <c r="TO60" s="20" t="n">
        <f aca="false">QK60+QL60+QM60+QQ60+QU60+QY60+RC60+RG60+RK60+RO60+RS60+RW60+SA60+SE60+SI60+SM60+SQ60+SU60+SY60+TC60+TG60+TK60</f>
        <v>0</v>
      </c>
      <c r="TP60" s="20" t="n">
        <f aca="false">QE60+HP60</f>
        <v>28026.0080750222</v>
      </c>
      <c r="TQ60" s="20" t="n">
        <f aca="false">I60+S60</f>
        <v>133855.687264423</v>
      </c>
      <c r="TR60" s="20" t="n">
        <f aca="false">1-G60</f>
        <v>1</v>
      </c>
      <c r="TS60" s="20" t="n">
        <f aca="false">IF(AND(RG_Exists=1,G60=0,C60=1),I60,0)</f>
        <v>133855.687264423</v>
      </c>
      <c r="TT60" s="20" t="n">
        <f aca="false">IF(AND(RG_Exists=1,G60=0,C60=1),I60-MIN(QE60,I60),0)</f>
        <v>105829.679189401</v>
      </c>
      <c r="TU60" s="20" t="n">
        <f aca="false">'Plan pay &amp; tax'!AD286</f>
        <v>148563.393556852</v>
      </c>
      <c r="TV60" s="20" t="n">
        <f aca="false">IF(AND(C60=1,QE60&gt;MAX(PR_Short1,TQ60*PR_Short2)),1,0)</f>
        <v>1</v>
      </c>
      <c r="TW60" s="20" t="n">
        <f aca="false">MIN(H60,I60+S60)</f>
        <v>105829.679189401</v>
      </c>
      <c r="TX60" s="20" t="n">
        <f aca="false">QF60+MAX(0,HQ60-HP60)</f>
        <v>0</v>
      </c>
      <c r="TY60" s="20" t="n">
        <f aca="false">QE60+HP60</f>
        <v>28026.0080750222</v>
      </c>
      <c r="TZ60" s="20" t="n">
        <f aca="false">IF(AND(C60=1,TY60&gt;PR_MinShort),1,0)</f>
        <v>1</v>
      </c>
      <c r="UA60" s="20" t="n">
        <f aca="false">IF(AND(C60=1,TZ60=0,TX60&gt;PR_MinShort),1,0)</f>
        <v>0</v>
      </c>
      <c r="UB60" s="20" t="n">
        <f aca="false">IF(AND(C60=1,QE60&gt;PR_MinShort),1,0)</f>
        <v>1</v>
      </c>
      <c r="UC60" s="20" t="n">
        <f aca="false">IF(AND(C60=1,QF60&gt;1,UJ60=0),1,0)</f>
        <v>0</v>
      </c>
      <c r="UD60" s="20" t="str">
        <f aca="false">IF(C60=0,"",IF(UJ60=1,"Gap to plan for: short "&amp;"€"&amp;TEXT(ROUND(TP60,0),"#,##0"),IF(QF60&gt;1,"Using savings","Comfortable")))</f>
        <v>Gap to plan for: short €28,026</v>
      </c>
      <c r="UE60" s="20" t="n">
        <f aca="false">IF(AND(INT(D60/10)*10=90,B60&gt;0),80,INT(D60/10)*10)</f>
        <v>80</v>
      </c>
      <c r="UF60" s="20" t="n">
        <f aca="false">IF(B60=0,1,IF(UE60&lt;&gt;UE59,UF59+1,UF59))</f>
        <v>6</v>
      </c>
      <c r="UG60" s="20" t="n">
        <f aca="false">IF(AND(C60=1,G60=1,QE60&gt;MAX(PR_Short1,TQ60*PR_Short2)),1,0)</f>
        <v>0</v>
      </c>
      <c r="UH60" s="20" t="n">
        <f aca="false">TR60*TV60</f>
        <v>1</v>
      </c>
      <c r="UI60" s="20" t="n">
        <f aca="false">IF(AND(V60=1,Slot1_PctLow=1),1,0)+IF(AND(AG60=1,Slot2_PctLow=1),1,0)+IF(AND(AQ60=1,Slot3_PctLow=1),1,0)+IF(AND(BA60=1,Slot4_PctLow=1),1,0)+IF(AND(BK60=1,Slot5_PctLow=1),1,0)+IF(AND(BU60=1,Slot6_PctLow=1),1,0)+IF(AND(CE60=1,Slot7_PctLow=1),1,0)+IF(AND(CO60=1,Slot8_PctLow=1),1,0)+IF(AND(CY60=1,Slot9_PctLow=1),1,0)+IF(AND(DI60=1,Slot10_PctLow=1),1,0)+IF(AND(DS60=1,Slot11_PctLow=1),1,0)+IF(AND(EC60=1,Slot12_PctLow=1),1,0)+IF(AND(EM60=1,Slot13_PctLow=1),1,0)+IF(AND(EW60=1,Slot14_PctLow=1),1,0)+IF(AND(FG60=1,Slot15_PctLow=1),1,0)+IF(AND(FQ60=1,Slot16_PctLow=1),1,0)+IF(AND(GA60=1,Slot17_PctLow=1),1,0)+IF(AND(GK60=1,Slot18_PctLow=1),1,0)+IF(AND(GU60=1,Slot19_PctLow=1),1,0)+IF(AND(HE60=1,Slot20_PctLow=1),1,0)</f>
        <v>0</v>
      </c>
      <c r="UJ60" s="20" t="n">
        <f aca="false">IF(C60=1,IF(OR(TV60=1,UI60&gt;0),1,0),0)</f>
        <v>1</v>
      </c>
    </row>
    <row r="61" customFormat="false" ht="15" hidden="false" customHeight="true" outlineLevel="0" collapsed="false">
      <c r="B61" s="20" t="n">
        <v>53</v>
      </c>
      <c r="C61" s="20" t="n">
        <f aca="false">IF(B61&lt;=F_N,1,0)</f>
        <v>1</v>
      </c>
      <c r="D61" s="20" t="n">
        <f aca="false">'Plan pay &amp; tax'!C287</f>
        <v>91</v>
      </c>
      <c r="E61" s="20" t="str">
        <f aca="false">IF($C61=1,"Income tax "&amp;TEXT(N('Plan pay &amp; tax'!BK287),"#,##0")&amp;"; USC "&amp;TEXT(N('Plan pay &amp; tax'!BM287)+N('Plan pay &amp; tax'!BO287),"#,##0")&amp;"; PRSI "&amp;TEXT(N('Plan pay &amp; tax'!BP287)+N('Plan pay &amp; tax'!BQ287),"#,##0")&amp;". DIRT and exit tax are inside the growth rates here.","")</f>
        <v>Income tax 1,052; USC 0; PRSI 0. DIRT and exit tax are inside the growth rates here.</v>
      </c>
      <c r="F61" s="44" t="n">
        <f aca="false">'Plan pay &amp; tax'!E287</f>
        <v>2.85633474915715</v>
      </c>
      <c r="G61" s="20" t="n">
        <f aca="false">'Plan pay &amp; tax'!G287</f>
        <v>0</v>
      </c>
      <c r="H61" s="20" t="n">
        <f aca="false">'Plan pay &amp; tax'!BT287-'Plan pay &amp; tax'!BS287-'Plan pay &amp; tax'!R287</f>
        <v>108211.281638089</v>
      </c>
      <c r="I61" s="20" t="n">
        <f aca="false">IF(G61=1,F_CostsM*12,IF(RG_Exists=1,RG_Amount,F_CostsM*12*AS_RetireSpend))*F61+F_OneOffY*F61</f>
        <v>136532.801009712</v>
      </c>
      <c r="J61" s="20" t="n">
        <f aca="false">HR60</f>
        <v>0</v>
      </c>
      <c r="K61" s="20" t="n">
        <f aca="false">IF(J61&gt;1,'Plan debt months'!AC61,0)</f>
        <v>0</v>
      </c>
      <c r="L61" s="20" t="n">
        <f aca="false">IF(J61&gt;1,'Plan debt months'!AB61,J61)</f>
        <v>0</v>
      </c>
      <c r="M61" s="20" t="n">
        <f aca="false">O60</f>
        <v>0</v>
      </c>
      <c r="N61" s="20" t="n">
        <f aca="false">IF(M61&gt;1,'Plan debt months'!BD61,0)</f>
        <v>0</v>
      </c>
      <c r="O61" s="20" t="n">
        <f aca="false">IF(M61&gt;1,'Plan debt months'!BC61,M61)</f>
        <v>0</v>
      </c>
      <c r="P61" s="20" t="n">
        <f aca="false">R60</f>
        <v>0</v>
      </c>
      <c r="Q61" s="20" t="n">
        <f aca="false">IF(P61&gt;1,'Plan debt months'!CE61,0)</f>
        <v>0</v>
      </c>
      <c r="R61" s="20" t="n">
        <f aca="false">IF(P61&gt;1,'Plan debt months'!CD61,P61)</f>
        <v>0</v>
      </c>
      <c r="S61" s="20" t="n">
        <f aca="false">K61+N61+Q61</f>
        <v>0</v>
      </c>
      <c r="T61" s="20" t="n">
        <f aca="false">QK60+'Plan pay &amp; tax'!Y287</f>
        <v>0</v>
      </c>
      <c r="U61" s="20" t="n">
        <f aca="false">QK60</f>
        <v>0</v>
      </c>
      <c r="V61" s="20" t="n">
        <f aca="false">IF(AND(Slot1_On=1,D61=Slot1_Age),1,0)</f>
        <v>0</v>
      </c>
      <c r="W61" s="20" t="n">
        <f aca="false">IF(AND(Slot1_On=1,Slot1_Age&gt;D61),1,0)</f>
        <v>0</v>
      </c>
      <c r="X61" s="20" t="n">
        <f aca="false">QM60</f>
        <v>0</v>
      </c>
      <c r="Y61" s="20" t="n">
        <f aca="false">V61*MIN(Slot1_Cost,X61)</f>
        <v>0</v>
      </c>
      <c r="Z61" s="20" t="n">
        <f aca="false">V61*Slot1_SpendLike*MIN(Slot1_Cost-Y61,T61)</f>
        <v>0</v>
      </c>
      <c r="AA61" s="20" t="n">
        <f aca="false">Y61+Z61</f>
        <v>0</v>
      </c>
      <c r="AB61" s="20" t="n">
        <f aca="false">T61-Z61+V61*IF(Slot1_SpendLike=1,X61-Y61,IF(Slot1_PotFree=1,X61,0))</f>
        <v>0</v>
      </c>
      <c r="AC61" s="20" t="n">
        <f aca="false">AF61+V61*Slot1_BufPot*X61</f>
        <v>0</v>
      </c>
      <c r="AD61" s="20" t="n">
        <f aca="false">IF(AND(V61=1,Slot1_IsMfree=1),IF(AA61&gt;=Slot1_Cost-1,0,MAX(0,L61-AA61)),L61)</f>
        <v>0</v>
      </c>
      <c r="AE61" s="20" t="n">
        <f aca="false">V61*(Slot1_Cost-AA61)</f>
        <v>0</v>
      </c>
      <c r="AF61" s="20" t="n">
        <f aca="false">QL60</f>
        <v>0</v>
      </c>
      <c r="AG61" s="20" t="n">
        <f aca="false">IF(AND(Slot2_On=1,D61=Slot2_Age),1,0)</f>
        <v>0</v>
      </c>
      <c r="AH61" s="20" t="n">
        <f aca="false">IF(AND(Slot2_On=1,Slot2_Age&gt;D61),1,0)</f>
        <v>0</v>
      </c>
      <c r="AI61" s="20" t="n">
        <f aca="false">QQ60</f>
        <v>0</v>
      </c>
      <c r="AJ61" s="20" t="n">
        <f aca="false">AG61*MIN(Slot2_Cost,AI61)</f>
        <v>0</v>
      </c>
      <c r="AK61" s="20" t="n">
        <f aca="false">AG61*Slot2_SpendLike*MIN(Slot2_Cost-AJ61,AB61)</f>
        <v>0</v>
      </c>
      <c r="AL61" s="20" t="n">
        <f aca="false">AJ61+AK61</f>
        <v>0</v>
      </c>
      <c r="AM61" s="20" t="n">
        <f aca="false">AB61-AK61+AG61*IF(Slot2_SpendLike=1,AI61-AJ61,IF(Slot2_PotFree=1,AI61,0))</f>
        <v>0</v>
      </c>
      <c r="AN61" s="20" t="n">
        <f aca="false">AC61+AG61*Slot2_BufPot*AI61</f>
        <v>0</v>
      </c>
      <c r="AO61" s="20" t="n">
        <f aca="false">IF(AND(AG61=1,Slot2_IsMfree=1),IF(AL61&gt;=Slot2_Cost-1,0,MAX(0,AD61-AL61)),AD61)</f>
        <v>0</v>
      </c>
      <c r="AP61" s="20" t="n">
        <f aca="false">AG61*(Slot2_Cost-AL61)</f>
        <v>0</v>
      </c>
      <c r="AQ61" s="20" t="n">
        <f aca="false">IF(AND(Slot3_On=1,D61=Slot3_Age),1,0)</f>
        <v>0</v>
      </c>
      <c r="AR61" s="20" t="n">
        <f aca="false">IF(AND(Slot3_On=1,Slot3_Age&gt;D61),1,0)</f>
        <v>0</v>
      </c>
      <c r="AS61" s="20" t="n">
        <f aca="false">QU60</f>
        <v>0</v>
      </c>
      <c r="AT61" s="20" t="n">
        <f aca="false">AQ61*MIN(Slot3_Cost,AS61)</f>
        <v>0</v>
      </c>
      <c r="AU61" s="20" t="n">
        <f aca="false">AQ61*Slot3_SpendLike*MIN(Slot3_Cost-AT61,AM61)</f>
        <v>0</v>
      </c>
      <c r="AV61" s="20" t="n">
        <f aca="false">AT61+AU61</f>
        <v>0</v>
      </c>
      <c r="AW61" s="20" t="n">
        <f aca="false">AM61-AU61+AQ61*IF(Slot3_SpendLike=1,AS61-AT61,IF(Slot3_PotFree=1,AS61,0))</f>
        <v>0</v>
      </c>
      <c r="AX61" s="20" t="n">
        <f aca="false">AN61+AQ61*Slot3_BufPot*AS61</f>
        <v>0</v>
      </c>
      <c r="AY61" s="20" t="n">
        <f aca="false">IF(AND(AQ61=1,Slot3_IsMfree=1),IF(AV61&gt;=Slot3_Cost-1,0,MAX(0,AO61-AV61)),AO61)</f>
        <v>0</v>
      </c>
      <c r="AZ61" s="20" t="n">
        <f aca="false">AQ61*(Slot3_Cost-AV61)</f>
        <v>0</v>
      </c>
      <c r="BA61" s="20" t="n">
        <f aca="false">IF(AND(Slot4_On=1,D61=Slot4_Age),1,0)</f>
        <v>0</v>
      </c>
      <c r="BB61" s="20" t="n">
        <f aca="false">IF(AND(Slot4_On=1,Slot4_Age&gt;D61),1,0)</f>
        <v>0</v>
      </c>
      <c r="BC61" s="20" t="n">
        <f aca="false">QY60</f>
        <v>0</v>
      </c>
      <c r="BD61" s="20" t="n">
        <f aca="false">BA61*MIN(Slot4_Cost,BC61)</f>
        <v>0</v>
      </c>
      <c r="BE61" s="20" t="n">
        <f aca="false">BA61*Slot4_SpendLike*MIN(Slot4_Cost-BD61,AW61)</f>
        <v>0</v>
      </c>
      <c r="BF61" s="20" t="n">
        <f aca="false">BD61+BE61</f>
        <v>0</v>
      </c>
      <c r="BG61" s="20" t="n">
        <f aca="false">AW61-BE61+BA61*IF(Slot4_SpendLike=1,BC61-BD61,IF(Slot4_PotFree=1,BC61,0))</f>
        <v>0</v>
      </c>
      <c r="BH61" s="20" t="n">
        <f aca="false">AX61+BA61*Slot4_BufPot*BC61</f>
        <v>0</v>
      </c>
      <c r="BI61" s="20" t="n">
        <f aca="false">IF(AND(BA61=1,Slot4_IsMfree=1),IF(BF61&gt;=Slot4_Cost-1,0,MAX(0,AY61-BF61)),AY61)</f>
        <v>0</v>
      </c>
      <c r="BJ61" s="20" t="n">
        <f aca="false">BA61*(Slot4_Cost-BF61)</f>
        <v>0</v>
      </c>
      <c r="BK61" s="20" t="n">
        <f aca="false">IF(AND(Slot5_On=1,D61=Slot5_Age),1,0)</f>
        <v>0</v>
      </c>
      <c r="BL61" s="20" t="n">
        <f aca="false">IF(AND(Slot5_On=1,Slot5_Age&gt;D61),1,0)</f>
        <v>0</v>
      </c>
      <c r="BM61" s="20" t="n">
        <f aca="false">RC60</f>
        <v>0</v>
      </c>
      <c r="BN61" s="20" t="n">
        <f aca="false">BK61*MIN(Slot5_Cost,BM61)</f>
        <v>0</v>
      </c>
      <c r="BO61" s="20" t="n">
        <f aca="false">BK61*Slot5_SpendLike*MIN(Slot5_Cost-BN61,BG61)</f>
        <v>0</v>
      </c>
      <c r="BP61" s="20" t="n">
        <f aca="false">BN61+BO61</f>
        <v>0</v>
      </c>
      <c r="BQ61" s="20" t="n">
        <f aca="false">BG61-BO61+BK61*IF(Slot5_SpendLike=1,BM61-BN61,IF(Slot5_PotFree=1,BM61,0))</f>
        <v>0</v>
      </c>
      <c r="BR61" s="20" t="n">
        <f aca="false">BH61+BK61*Slot5_BufPot*BM61</f>
        <v>0</v>
      </c>
      <c r="BS61" s="20" t="n">
        <f aca="false">IF(AND(BK61=1,Slot5_IsMfree=1),IF(BP61&gt;=Slot5_Cost-1,0,MAX(0,BI61-BP61)),BI61)</f>
        <v>0</v>
      </c>
      <c r="BT61" s="20" t="n">
        <f aca="false">BK61*(Slot5_Cost-BP61)</f>
        <v>0</v>
      </c>
      <c r="BU61" s="20" t="n">
        <f aca="false">IF(AND(Slot6_On=1,D61=Slot6_Age),1,0)</f>
        <v>0</v>
      </c>
      <c r="BV61" s="20" t="n">
        <f aca="false">IF(AND(Slot6_On=1,Slot6_Age&gt;D61),1,0)</f>
        <v>0</v>
      </c>
      <c r="BW61" s="20" t="n">
        <f aca="false">RG60</f>
        <v>0</v>
      </c>
      <c r="BX61" s="20" t="n">
        <f aca="false">BU61*MIN(Slot6_Cost,BW61)</f>
        <v>0</v>
      </c>
      <c r="BY61" s="20" t="n">
        <f aca="false">BU61*Slot6_SpendLike*MIN(Slot6_Cost-BX61,BQ61)</f>
        <v>0</v>
      </c>
      <c r="BZ61" s="20" t="n">
        <f aca="false">BX61+BY61</f>
        <v>0</v>
      </c>
      <c r="CA61" s="20" t="n">
        <f aca="false">BQ61-BY61+BU61*IF(Slot6_SpendLike=1,BW61-BX61,IF(Slot6_PotFree=1,BW61,0))</f>
        <v>0</v>
      </c>
      <c r="CB61" s="20" t="n">
        <f aca="false">BR61+BU61*Slot6_BufPot*BW61</f>
        <v>0</v>
      </c>
      <c r="CC61" s="20" t="n">
        <f aca="false">IF(AND(BU61=1,Slot6_IsMfree=1),IF(BZ61&gt;=Slot6_Cost-1,0,MAX(0,BS61-BZ61)),BS61)</f>
        <v>0</v>
      </c>
      <c r="CD61" s="20" t="n">
        <f aca="false">BU61*(Slot6_Cost-BZ61)</f>
        <v>0</v>
      </c>
      <c r="CE61" s="20" t="n">
        <f aca="false">IF(AND(Slot7_On=1,D61=Slot7_Age),1,0)</f>
        <v>0</v>
      </c>
      <c r="CF61" s="20" t="n">
        <f aca="false">IF(AND(Slot7_On=1,Slot7_Age&gt;D61),1,0)</f>
        <v>0</v>
      </c>
      <c r="CG61" s="20" t="n">
        <f aca="false">RK60</f>
        <v>0</v>
      </c>
      <c r="CH61" s="20" t="n">
        <f aca="false">CE61*MIN(Slot7_Cost,CG61)</f>
        <v>0</v>
      </c>
      <c r="CI61" s="20" t="n">
        <f aca="false">CE61*Slot7_SpendLike*MIN(Slot7_Cost-CH61,CA61)</f>
        <v>0</v>
      </c>
      <c r="CJ61" s="20" t="n">
        <f aca="false">CH61+CI61</f>
        <v>0</v>
      </c>
      <c r="CK61" s="20" t="n">
        <f aca="false">CA61-CI61+CE61*IF(Slot7_SpendLike=1,CG61-CH61,IF(Slot7_PotFree=1,CG61,0))</f>
        <v>0</v>
      </c>
      <c r="CL61" s="20" t="n">
        <f aca="false">CB61+CE61*Slot7_BufPot*CG61</f>
        <v>0</v>
      </c>
      <c r="CM61" s="20" t="n">
        <f aca="false">IF(AND(CE61=1,Slot7_IsMfree=1),IF(CJ61&gt;=Slot7_Cost-1,0,MAX(0,CC61-CJ61)),CC61)</f>
        <v>0</v>
      </c>
      <c r="CN61" s="20" t="n">
        <f aca="false">CE61*(Slot7_Cost-CJ61)</f>
        <v>0</v>
      </c>
      <c r="CO61" s="20" t="n">
        <f aca="false">IF(AND(Slot8_On=1,D61=Slot8_Age),1,0)</f>
        <v>0</v>
      </c>
      <c r="CP61" s="20" t="n">
        <f aca="false">IF(AND(Slot8_On=1,Slot8_Age&gt;D61),1,0)</f>
        <v>0</v>
      </c>
      <c r="CQ61" s="20" t="n">
        <f aca="false">RO60</f>
        <v>0</v>
      </c>
      <c r="CR61" s="20" t="n">
        <f aca="false">CO61*MIN(Slot8_Cost,CQ61)</f>
        <v>0</v>
      </c>
      <c r="CS61" s="20" t="n">
        <f aca="false">CO61*Slot8_SpendLike*MIN(Slot8_Cost-CR61,CK61)</f>
        <v>0</v>
      </c>
      <c r="CT61" s="20" t="n">
        <f aca="false">CR61+CS61</f>
        <v>0</v>
      </c>
      <c r="CU61" s="20" t="n">
        <f aca="false">CK61-CS61+CO61*IF(Slot8_SpendLike=1,CQ61-CR61,IF(Slot8_PotFree=1,CQ61,0))</f>
        <v>0</v>
      </c>
      <c r="CV61" s="20" t="n">
        <f aca="false">CL61+CO61*Slot8_BufPot*CQ61</f>
        <v>0</v>
      </c>
      <c r="CW61" s="20" t="n">
        <f aca="false">IF(AND(CO61=1,Slot8_IsMfree=1),IF(CT61&gt;=Slot8_Cost-1,0,MAX(0,CM61-CT61)),CM61)</f>
        <v>0</v>
      </c>
      <c r="CX61" s="20" t="n">
        <f aca="false">CO61*(Slot8_Cost-CT61)</f>
        <v>0</v>
      </c>
      <c r="CY61" s="20" t="n">
        <f aca="false">IF(AND(Slot9_On=1,D61=Slot9_Age),1,0)</f>
        <v>0</v>
      </c>
      <c r="CZ61" s="20" t="n">
        <f aca="false">IF(AND(Slot9_On=1,Slot9_Age&gt;D61),1,0)</f>
        <v>0</v>
      </c>
      <c r="DA61" s="20" t="n">
        <f aca="false">RS60</f>
        <v>0</v>
      </c>
      <c r="DB61" s="20" t="n">
        <f aca="false">CY61*MIN(Slot9_Cost,DA61)</f>
        <v>0</v>
      </c>
      <c r="DC61" s="20" t="n">
        <f aca="false">CY61*Slot9_SpendLike*MIN(Slot9_Cost-DB61,CU61)</f>
        <v>0</v>
      </c>
      <c r="DD61" s="20" t="n">
        <f aca="false">DB61+DC61</f>
        <v>0</v>
      </c>
      <c r="DE61" s="20" t="n">
        <f aca="false">CU61-DC61+CY61*IF(Slot9_SpendLike=1,DA61-DB61,IF(Slot9_PotFree=1,DA61,0))</f>
        <v>0</v>
      </c>
      <c r="DF61" s="20" t="n">
        <f aca="false">CV61+CY61*Slot9_BufPot*DA61</f>
        <v>0</v>
      </c>
      <c r="DG61" s="20" t="n">
        <f aca="false">IF(AND(CY61=1,Slot9_IsMfree=1),IF(DD61&gt;=Slot9_Cost-1,0,MAX(0,CW61-DD61)),CW61)</f>
        <v>0</v>
      </c>
      <c r="DH61" s="20" t="n">
        <f aca="false">CY61*(Slot9_Cost-DD61)</f>
        <v>0</v>
      </c>
      <c r="DI61" s="20" t="n">
        <f aca="false">IF(AND(Slot10_On=1,D61=Slot10_Age),1,0)</f>
        <v>0</v>
      </c>
      <c r="DJ61" s="20" t="n">
        <f aca="false">IF(AND(Slot10_On=1,Slot10_Age&gt;D61),1,0)</f>
        <v>0</v>
      </c>
      <c r="DK61" s="20" t="n">
        <f aca="false">RW60</f>
        <v>0</v>
      </c>
      <c r="DL61" s="20" t="n">
        <f aca="false">DI61*MIN(Slot10_Cost,DK61)</f>
        <v>0</v>
      </c>
      <c r="DM61" s="20" t="n">
        <f aca="false">DI61*Slot10_SpendLike*MIN(Slot10_Cost-DL61,DE61)</f>
        <v>0</v>
      </c>
      <c r="DN61" s="20" t="n">
        <f aca="false">DL61+DM61</f>
        <v>0</v>
      </c>
      <c r="DO61" s="20" t="n">
        <f aca="false">DE61-DM61+DI61*IF(Slot10_SpendLike=1,DK61-DL61,IF(Slot10_PotFree=1,DK61,0))</f>
        <v>0</v>
      </c>
      <c r="DP61" s="20" t="n">
        <f aca="false">DF61+DI61*Slot10_BufPot*DK61</f>
        <v>0</v>
      </c>
      <c r="DQ61" s="20" t="n">
        <f aca="false">IF(AND(DI61=1,Slot10_IsMfree=1),IF(DN61&gt;=Slot10_Cost-1,0,MAX(0,DG61-DN61)),DG61)</f>
        <v>0</v>
      </c>
      <c r="DR61" s="20" t="n">
        <f aca="false">DI61*(Slot10_Cost-DN61)</f>
        <v>0</v>
      </c>
      <c r="DS61" s="20" t="n">
        <f aca="false">IF(AND(Slot11_On=1,D61=Slot11_Age),1,0)</f>
        <v>0</v>
      </c>
      <c r="DT61" s="20" t="n">
        <f aca="false">IF(AND(Slot11_On=1,Slot11_Age&gt;D61),1,0)</f>
        <v>0</v>
      </c>
      <c r="DU61" s="20" t="n">
        <f aca="false">SA60</f>
        <v>0</v>
      </c>
      <c r="DV61" s="20" t="n">
        <f aca="false">DS61*MIN(Slot11_Cost,DU61)</f>
        <v>0</v>
      </c>
      <c r="DW61" s="20" t="n">
        <f aca="false">DS61*Slot11_SpendLike*MIN(Slot11_Cost-DV61,DO61)</f>
        <v>0</v>
      </c>
      <c r="DX61" s="20" t="n">
        <f aca="false">DV61+DW61</f>
        <v>0</v>
      </c>
      <c r="DY61" s="20" t="n">
        <f aca="false">DO61-DW61+DS61*IF(Slot11_SpendLike=1,DU61-DV61,IF(Slot11_PotFree=1,DU61,0))</f>
        <v>0</v>
      </c>
      <c r="DZ61" s="20" t="n">
        <f aca="false">DP61+DS61*Slot11_BufPot*DU61</f>
        <v>0</v>
      </c>
      <c r="EA61" s="20" t="n">
        <f aca="false">IF(AND(DS61=1,Slot11_IsMfree=1),IF(DX61&gt;=Slot11_Cost-1,0,MAX(0,DQ61-DX61)),DQ61)</f>
        <v>0</v>
      </c>
      <c r="EB61" s="20" t="n">
        <f aca="false">DS61*(Slot11_Cost-DX61)</f>
        <v>0</v>
      </c>
      <c r="EC61" s="20" t="n">
        <f aca="false">IF(AND(Slot12_On=1,D61=Slot12_Age),1,0)</f>
        <v>0</v>
      </c>
      <c r="ED61" s="20" t="n">
        <f aca="false">IF(AND(Slot12_On=1,Slot12_Age&gt;D61),1,0)</f>
        <v>0</v>
      </c>
      <c r="EE61" s="20" t="n">
        <f aca="false">SE60</f>
        <v>0</v>
      </c>
      <c r="EF61" s="20" t="n">
        <f aca="false">EC61*MIN(Slot12_Cost,EE61)</f>
        <v>0</v>
      </c>
      <c r="EG61" s="20" t="n">
        <f aca="false">EC61*Slot12_SpendLike*MIN(Slot12_Cost-EF61,DY61)</f>
        <v>0</v>
      </c>
      <c r="EH61" s="20" t="n">
        <f aca="false">EF61+EG61</f>
        <v>0</v>
      </c>
      <c r="EI61" s="20" t="n">
        <f aca="false">DY61-EG61+EC61*IF(Slot12_SpendLike=1,EE61-EF61,IF(Slot12_PotFree=1,EE61,0))</f>
        <v>0</v>
      </c>
      <c r="EJ61" s="20" t="n">
        <f aca="false">DZ61+EC61*Slot12_BufPot*EE61</f>
        <v>0</v>
      </c>
      <c r="EK61" s="20" t="n">
        <f aca="false">IF(AND(EC61=1,Slot12_IsMfree=1),IF(EH61&gt;=Slot12_Cost-1,0,MAX(0,EA61-EH61)),EA61)</f>
        <v>0</v>
      </c>
      <c r="EL61" s="20" t="n">
        <f aca="false">EC61*(Slot12_Cost-EH61)</f>
        <v>0</v>
      </c>
      <c r="EM61" s="20" t="n">
        <f aca="false">IF(AND(Slot13_On=1,D61=Slot13_Age),1,0)</f>
        <v>0</v>
      </c>
      <c r="EN61" s="20" t="n">
        <f aca="false">IF(AND(Slot13_On=1,Slot13_Age&gt;D61),1,0)</f>
        <v>0</v>
      </c>
      <c r="EO61" s="20" t="n">
        <f aca="false">SI60</f>
        <v>0</v>
      </c>
      <c r="EP61" s="20" t="n">
        <f aca="false">EM61*MIN(Slot13_Cost,EO61)</f>
        <v>0</v>
      </c>
      <c r="EQ61" s="20" t="n">
        <f aca="false">EM61*Slot13_SpendLike*MIN(Slot13_Cost-EP61,EI61)</f>
        <v>0</v>
      </c>
      <c r="ER61" s="20" t="n">
        <f aca="false">EP61+EQ61</f>
        <v>0</v>
      </c>
      <c r="ES61" s="20" t="n">
        <f aca="false">EI61-EQ61+EM61*IF(Slot13_SpendLike=1,EO61-EP61,IF(Slot13_PotFree=1,EO61,0))</f>
        <v>0</v>
      </c>
      <c r="ET61" s="20" t="n">
        <f aca="false">EJ61+EM61*Slot13_BufPot*EO61</f>
        <v>0</v>
      </c>
      <c r="EU61" s="20" t="n">
        <f aca="false">IF(AND(EM61=1,Slot13_IsMfree=1),IF(ER61&gt;=Slot13_Cost-1,0,MAX(0,EK61-ER61)),EK61)</f>
        <v>0</v>
      </c>
      <c r="EV61" s="20" t="n">
        <f aca="false">EM61*(Slot13_Cost-ER61)</f>
        <v>0</v>
      </c>
      <c r="EW61" s="20" t="n">
        <f aca="false">IF(AND(Slot14_On=1,D61=Slot14_Age),1,0)</f>
        <v>0</v>
      </c>
      <c r="EX61" s="20" t="n">
        <f aca="false">IF(AND(Slot14_On=1,Slot14_Age&gt;D61),1,0)</f>
        <v>0</v>
      </c>
      <c r="EY61" s="20" t="n">
        <f aca="false">SM60</f>
        <v>0</v>
      </c>
      <c r="EZ61" s="20" t="n">
        <f aca="false">EW61*MIN(Slot14_Cost,EY61)</f>
        <v>0</v>
      </c>
      <c r="FA61" s="20" t="n">
        <f aca="false">EW61*Slot14_SpendLike*MIN(Slot14_Cost-EZ61,ES61)</f>
        <v>0</v>
      </c>
      <c r="FB61" s="20" t="n">
        <f aca="false">EZ61+FA61</f>
        <v>0</v>
      </c>
      <c r="FC61" s="20" t="n">
        <f aca="false">ES61-FA61+EW61*IF(Slot14_SpendLike=1,EY61-EZ61,IF(Slot14_PotFree=1,EY61,0))</f>
        <v>0</v>
      </c>
      <c r="FD61" s="20" t="n">
        <f aca="false">ET61+EW61*Slot14_BufPot*EY61</f>
        <v>0</v>
      </c>
      <c r="FE61" s="20" t="n">
        <f aca="false">IF(AND(EW61=1,Slot14_IsMfree=1),IF(FB61&gt;=Slot14_Cost-1,0,MAX(0,EU61-FB61)),EU61)</f>
        <v>0</v>
      </c>
      <c r="FF61" s="20" t="n">
        <f aca="false">EW61*(Slot14_Cost-FB61)</f>
        <v>0</v>
      </c>
      <c r="FG61" s="20" t="n">
        <f aca="false">IF(AND(Slot15_On=1,D61=Slot15_Age),1,0)</f>
        <v>0</v>
      </c>
      <c r="FH61" s="20" t="n">
        <f aca="false">IF(AND(Slot15_On=1,Slot15_Age&gt;D61),1,0)</f>
        <v>0</v>
      </c>
      <c r="FI61" s="20" t="n">
        <f aca="false">SQ60</f>
        <v>0</v>
      </c>
      <c r="FJ61" s="20" t="n">
        <f aca="false">FG61*MIN(Slot15_Cost,FI61)</f>
        <v>0</v>
      </c>
      <c r="FK61" s="20" t="n">
        <f aca="false">FG61*Slot15_SpendLike*MIN(Slot15_Cost-FJ61,FC61)</f>
        <v>0</v>
      </c>
      <c r="FL61" s="20" t="n">
        <f aca="false">FJ61+FK61</f>
        <v>0</v>
      </c>
      <c r="FM61" s="20" t="n">
        <f aca="false">FC61-FK61+FG61*IF(Slot15_SpendLike=1,FI61-FJ61,IF(Slot15_PotFree=1,FI61,0))</f>
        <v>0</v>
      </c>
      <c r="FN61" s="20" t="n">
        <f aca="false">FD61+FG61*Slot15_BufPot*FI61</f>
        <v>0</v>
      </c>
      <c r="FO61" s="20" t="n">
        <f aca="false">IF(AND(FG61=1,Slot15_IsMfree=1),IF(FL61&gt;=Slot15_Cost-1,0,MAX(0,FE61-FL61)),FE61)</f>
        <v>0</v>
      </c>
      <c r="FP61" s="20" t="n">
        <f aca="false">FG61*(Slot15_Cost-FL61)</f>
        <v>0</v>
      </c>
      <c r="FQ61" s="20" t="n">
        <f aca="false">IF(AND(Slot16_On=1,D61=Slot16_Age),1,0)</f>
        <v>0</v>
      </c>
      <c r="FR61" s="20" t="n">
        <f aca="false">IF(AND(Slot16_On=1,Slot16_Age&gt;D61),1,0)</f>
        <v>0</v>
      </c>
      <c r="FS61" s="20" t="n">
        <f aca="false">SU60</f>
        <v>0</v>
      </c>
      <c r="FT61" s="20" t="n">
        <f aca="false">FQ61*MIN(Slot16_Cost,FS61)</f>
        <v>0</v>
      </c>
      <c r="FU61" s="20" t="n">
        <f aca="false">FQ61*Slot16_SpendLike*MIN(Slot16_Cost-FT61,FM61)</f>
        <v>0</v>
      </c>
      <c r="FV61" s="20" t="n">
        <f aca="false">FT61+FU61</f>
        <v>0</v>
      </c>
      <c r="FW61" s="20" t="n">
        <f aca="false">FM61-FU61+FQ61*IF(Slot16_SpendLike=1,FS61-FT61,IF(Slot16_PotFree=1,FS61,0))</f>
        <v>0</v>
      </c>
      <c r="FX61" s="20" t="n">
        <f aca="false">FN61+FQ61*Slot16_BufPot*FS61</f>
        <v>0</v>
      </c>
      <c r="FY61" s="20" t="n">
        <f aca="false">IF(AND(FQ61=1,Slot16_IsMfree=1),IF(FV61&gt;=Slot16_Cost-1,0,MAX(0,FO61-FV61)),FO61)</f>
        <v>0</v>
      </c>
      <c r="FZ61" s="20" t="n">
        <f aca="false">FQ61*(Slot16_Cost-FV61)</f>
        <v>0</v>
      </c>
      <c r="GA61" s="20" t="n">
        <f aca="false">IF(AND(Slot17_On=1,D61=Slot17_Age),1,0)</f>
        <v>0</v>
      </c>
      <c r="GB61" s="20" t="n">
        <f aca="false">IF(AND(Slot17_On=1,Slot17_Age&gt;D61),1,0)</f>
        <v>0</v>
      </c>
      <c r="GC61" s="20" t="n">
        <f aca="false">SY60</f>
        <v>0</v>
      </c>
      <c r="GD61" s="20" t="n">
        <f aca="false">GA61*MIN(Slot17_Cost,GC61)</f>
        <v>0</v>
      </c>
      <c r="GE61" s="20" t="n">
        <f aca="false">GA61*Slot17_SpendLike*MIN(Slot17_Cost-GD61,FW61)</f>
        <v>0</v>
      </c>
      <c r="GF61" s="20" t="n">
        <f aca="false">GD61+GE61</f>
        <v>0</v>
      </c>
      <c r="GG61" s="20" t="n">
        <f aca="false">FW61-GE61+GA61*IF(Slot17_SpendLike=1,GC61-GD61,IF(Slot17_PotFree=1,GC61,0))</f>
        <v>0</v>
      </c>
      <c r="GH61" s="20" t="n">
        <f aca="false">FX61+GA61*Slot17_BufPot*GC61</f>
        <v>0</v>
      </c>
      <c r="GI61" s="20" t="n">
        <f aca="false">IF(AND(GA61=1,Slot17_IsMfree=1),IF(GF61&gt;=Slot17_Cost-1,0,MAX(0,FY61-GF61)),FY61)</f>
        <v>0</v>
      </c>
      <c r="GJ61" s="20" t="n">
        <f aca="false">GA61*(Slot17_Cost-GF61)</f>
        <v>0</v>
      </c>
      <c r="GK61" s="20" t="n">
        <f aca="false">IF(AND(Slot18_On=1,D61=Slot18_Age),1,0)</f>
        <v>0</v>
      </c>
      <c r="GL61" s="20" t="n">
        <f aca="false">IF(AND(Slot18_On=1,Slot18_Age&gt;D61),1,0)</f>
        <v>0</v>
      </c>
      <c r="GM61" s="20" t="n">
        <f aca="false">TC60</f>
        <v>0</v>
      </c>
      <c r="GN61" s="20" t="n">
        <f aca="false">GK61*MIN(Slot18_Cost,GM61)</f>
        <v>0</v>
      </c>
      <c r="GO61" s="20" t="n">
        <f aca="false">GK61*Slot18_SpendLike*MIN(Slot18_Cost-GN61,GG61)</f>
        <v>0</v>
      </c>
      <c r="GP61" s="20" t="n">
        <f aca="false">GN61+GO61</f>
        <v>0</v>
      </c>
      <c r="GQ61" s="20" t="n">
        <f aca="false">GG61-GO61+GK61*IF(Slot18_SpendLike=1,GM61-GN61,IF(Slot18_PotFree=1,GM61,0))</f>
        <v>0</v>
      </c>
      <c r="GR61" s="20" t="n">
        <f aca="false">GH61+GK61*Slot18_BufPot*GM61</f>
        <v>0</v>
      </c>
      <c r="GS61" s="20" t="n">
        <f aca="false">IF(AND(GK61=1,Slot18_IsMfree=1),IF(GP61&gt;=Slot18_Cost-1,0,MAX(0,GI61-GP61)),GI61)</f>
        <v>0</v>
      </c>
      <c r="GT61" s="20" t="n">
        <f aca="false">GK61*(Slot18_Cost-GP61)</f>
        <v>0</v>
      </c>
      <c r="GU61" s="20" t="n">
        <f aca="false">IF(AND(Slot19_On=1,D61=Slot19_Age),1,0)</f>
        <v>0</v>
      </c>
      <c r="GV61" s="20" t="n">
        <f aca="false">IF(AND(Slot19_On=1,Slot19_Age&gt;D61),1,0)</f>
        <v>0</v>
      </c>
      <c r="GW61" s="20" t="n">
        <f aca="false">TG60</f>
        <v>0</v>
      </c>
      <c r="GX61" s="20" t="n">
        <f aca="false">GU61*MIN(Slot19_Cost,GW61)</f>
        <v>0</v>
      </c>
      <c r="GY61" s="20" t="n">
        <f aca="false">GU61*Slot19_SpendLike*MIN(Slot19_Cost-GX61,GQ61)</f>
        <v>0</v>
      </c>
      <c r="GZ61" s="20" t="n">
        <f aca="false">GX61+GY61</f>
        <v>0</v>
      </c>
      <c r="HA61" s="20" t="n">
        <f aca="false">GQ61-GY61+GU61*IF(Slot19_SpendLike=1,GW61-GX61,IF(Slot19_PotFree=1,GW61,0))</f>
        <v>0</v>
      </c>
      <c r="HB61" s="20" t="n">
        <f aca="false">GR61+GU61*Slot19_BufPot*GW61</f>
        <v>0</v>
      </c>
      <c r="HC61" s="20" t="n">
        <f aca="false">IF(AND(GU61=1,Slot19_IsMfree=1),IF(GZ61&gt;=Slot19_Cost-1,0,MAX(0,GS61-GZ61)),GS61)</f>
        <v>0</v>
      </c>
      <c r="HD61" s="20" t="n">
        <f aca="false">GU61*(Slot19_Cost-GZ61)</f>
        <v>0</v>
      </c>
      <c r="HE61" s="20" t="n">
        <f aca="false">IF(AND(Slot20_On=1,D61=Slot20_Age),1,0)</f>
        <v>0</v>
      </c>
      <c r="HF61" s="20" t="n">
        <f aca="false">IF(AND(Slot20_On=1,Slot20_Age&gt;D61),1,0)</f>
        <v>0</v>
      </c>
      <c r="HG61" s="20" t="n">
        <f aca="false">TK60</f>
        <v>0</v>
      </c>
      <c r="HH61" s="20" t="n">
        <f aca="false">HE61*MIN(Slot20_Cost,HG61)</f>
        <v>0</v>
      </c>
      <c r="HI61" s="20" t="n">
        <f aca="false">HE61*Slot20_SpendLike*MIN(Slot20_Cost-HH61,HA61)</f>
        <v>0</v>
      </c>
      <c r="HJ61" s="20" t="n">
        <f aca="false">HH61+HI61</f>
        <v>0</v>
      </c>
      <c r="HK61" s="20" t="n">
        <f aca="false">HA61-HI61+HE61*IF(Slot20_SpendLike=1,HG61-HH61,IF(Slot20_PotFree=1,HG61,0))</f>
        <v>0</v>
      </c>
      <c r="HL61" s="20" t="n">
        <f aca="false">HB61+HE61*Slot20_BufPot*HG61</f>
        <v>0</v>
      </c>
      <c r="HM61" s="20" t="n">
        <f aca="false">IF(AND(HE61=1,Slot20_IsMfree=1),IF(HJ61&gt;=Slot20_Cost-1,0,MAX(0,HC61-HJ61)),HC61)</f>
        <v>0</v>
      </c>
      <c r="HN61" s="20" t="n">
        <f aca="false">HE61*(Slot20_Cost-HJ61)</f>
        <v>0</v>
      </c>
      <c r="HO61" s="20" t="n">
        <f aca="false">V61*Slot1_SpendLike*AA61+AG61*Slot2_SpendLike*AL61+AQ61*Slot3_SpendLike*AV61+BA61*Slot4_SpendLike*BF61+BK61*Slot5_SpendLike*BP61+BU61*Slot6_SpendLike*BZ61+CE61*Slot7_SpendLike*CJ61+CO61*Slot8_SpendLike*CT61+CY61*Slot9_SpendLike*DD61+DI61*Slot10_SpendLike*DN61+DS61*Slot11_SpendLike*DX61+EC61*Slot12_SpendLike*EH61+EM61*Slot13_SpendLike*ER61+EW61*Slot14_SpendLike*FB61+FG61*Slot15_SpendLike*FL61+FQ61*Slot16_SpendLike*FV61+GA61*Slot17_SpendLike*GF61+GK61*Slot18_SpendLike*GP61+GU61*Slot19_SpendLike*GZ61+HE61*Slot20_SpendLike*HJ61</f>
        <v>0</v>
      </c>
      <c r="HP61" s="20" t="n">
        <f aca="false">AE61+AP61+AZ61+BJ61+BT61+CD61+CN61+CX61+DH61+DR61+EB61+EL61+EV61+FF61+FP61+FZ61+GJ61+GT61+HD61+HN61</f>
        <v>0</v>
      </c>
      <c r="HQ61" s="20" t="n">
        <f aca="false">V61*Slot1_Cost+AG61*Slot2_Cost+AQ61*Slot3_Cost+BA61*Slot4_Cost+BK61*Slot5_Cost+BU61*Slot6_Cost+CE61*Slot7_Cost+CO61*Slot8_Cost+CY61*Slot9_Cost+DI61*Slot10_Cost+DS61*Slot11_Cost+EC61*Slot12_Cost+EM61*Slot13_Cost+EW61*Slot14_Cost+FG61*Slot15_Cost+FQ61*Slot16_Cost+GA61*Slot17_Cost+GK61*Slot18_Cost+GU61*Slot19_Cost+HE61*Slot20_Cost</f>
        <v>0</v>
      </c>
      <c r="HR61" s="20" t="n">
        <f aca="false">HM61</f>
        <v>0</v>
      </c>
      <c r="HS61" s="20" t="n">
        <f aca="false">H61-I61-S61</f>
        <v>-28321.5193716224</v>
      </c>
      <c r="HT61" s="20" t="n">
        <f aca="false">IF(B61=0,IF(AND(Has_q6=1,In_q6=4),PR_ShareVaries*(MAX(0,HS61)/12),MIN(IF(Has_q6=1,CHOOSE(In_q6+1,PR_SaveB1,PR_SaveB2,PR_SaveB3,PR_SaveB4,0),AS_NoAnswer),AS_SaveShare*(MAX(0,HS61)/12))),HT60)</f>
        <v>62.3316893520437</v>
      </c>
      <c r="HU61" s="20" t="n">
        <f aca="false">IF(HS61&gt;=0,1,0)</f>
        <v>0</v>
      </c>
      <c r="HV61" s="20" t="n">
        <f aca="false">MAX(0,HS61/12/F61)</f>
        <v>0</v>
      </c>
      <c r="HW61" s="20" t="n">
        <f aca="false">IF(AND(Has_q6=1,In_q6=4),PR_ShareVaries*(HV61),MIN(IF(Has_q6=1,CHOOSE(In_q6+1,PR_SaveB1,PR_SaveB2,PR_SaveB3,PR_SaveB4,0),AS_NoAnswer),AS_SaveShare*(HV61)))</f>
        <v>0</v>
      </c>
      <c r="HX61" s="20" t="n">
        <f aca="false">IF(Has_saveM=1,IF(In_saveUp="Yes",1,IF(In_saveUp="No",0,IF(In_saveM&gt;=HT61-0.5,1,0))),0)</f>
        <v>0</v>
      </c>
      <c r="HY61" s="20" t="n">
        <f aca="false">IF(Has_saveM=1,MIN(HV61,IF(HX61=1,MAX(In_saveM,HW61),MIN(In_saveM,HW61))),HW61)</f>
        <v>0</v>
      </c>
      <c r="HZ61" s="20" t="n">
        <f aca="false">IF(G61=1,HY61*12*F61,0)</f>
        <v>0</v>
      </c>
      <c r="IA61" s="20" t="n">
        <f aca="false">MAX(0,HZ61+IF(AND(WI_Retire=0,WI_M&lt;0,G61=1),WI_M*12*F61,0))</f>
        <v>0</v>
      </c>
      <c r="IB61" s="20" t="n">
        <f aca="false">Slot1_IsWG*W61+Slot2_IsWG*AH61+Slot3_IsWG*AR61+Slot4_IsWG*BB61+Slot5_IsWG*BL61+Slot6_IsWG*BV61+Slot7_IsWG*CF61+Slot8_IsWG*CP61+Slot9_IsWG*CZ61+Slot10_IsWG*DJ61+Slot11_IsWG*DT61+Slot12_IsWG*ED61+Slot13_IsWG*EN61+Slot14_IsWG*EX61+Slot15_IsWG*FH61+Slot16_IsWG*FR61+Slot17_IsWG*GB61+Slot18_IsWG*GL61+Slot19_IsWG*GV61+Slot20_IsWG*HF61</f>
        <v>0</v>
      </c>
      <c r="IC61" s="20" t="n">
        <f aca="false">IF(AND(WI_Retire=0,WI_M&gt;0,G61=1,IB61&gt;=1),WI_M*12*F61,0)</f>
        <v>0</v>
      </c>
      <c r="ID61" s="20" t="n">
        <f aca="false">IF(HU61=1,MIN(IA61,HS61),0)</f>
        <v>0</v>
      </c>
      <c r="IE61" s="20" t="n">
        <f aca="false">IF(HU61=1,MIN(IC61,HS61-ID61),0)</f>
        <v>0</v>
      </c>
      <c r="IF61" s="20" t="n">
        <f aca="false">IF(W61=1,IF(ABS((1+AS_Wage)/(1+Slot1_Rate)-1)&lt;0.000000000001,(Slot1_Age-D61)*(1+Slot1_Rate)^(Slot1_Age-D61),(1+Slot1_Rate)^(Slot1_Age-D61)*(1-((1+AS_Wage)/(1+Slot1_Rate))^(Slot1_Age-D61))/(1-(1+AS_Wage)/(1+Slot1_Rate))),1)</f>
        <v>1</v>
      </c>
      <c r="IG61" s="20" t="n">
        <f aca="false">IF(AND(HU61=1,IE61&gt;0,Slot1_IsWG=1,W61=1),MAX(0,(Slot1_Cost-X61*(1+Slot1_Rate)^(Slot1_Age-D61))/IF61),0)</f>
        <v>0</v>
      </c>
      <c r="IH61" s="20" t="n">
        <f aca="false">IF(AND(HU61=1,IE61&gt;0,Slot1_IsWG=1,W61=1),MIN(IE61,IG61),0)</f>
        <v>0</v>
      </c>
      <c r="II61" s="20" t="n">
        <f aca="false">X61+IH61</f>
        <v>0</v>
      </c>
      <c r="IJ61" s="20" t="n">
        <f aca="false">IF(W61=1,MAX(0,(Slot1_Cost-II61*(1+Slot1_Rate)^(Slot1_Age-D61))/IF61),0)</f>
        <v>0</v>
      </c>
      <c r="IK61" s="20" t="n">
        <f aca="false">IF(W61=1,MAX(0,(Slot1_Cost-X61*(1+Slot1_Rate)^(Slot1_Age-D61))/IF61),0)</f>
        <v>0</v>
      </c>
      <c r="IL61" s="20" t="n">
        <f aca="false">IF(AND(HU61=1,W61=1),MIN(ID61,IJ61),0)</f>
        <v>0</v>
      </c>
      <c r="IM61" s="20" t="n">
        <f aca="false">ID61-IL61</f>
        <v>0</v>
      </c>
      <c r="IN61" s="20" t="n">
        <f aca="false">IF(AH61=1,IF(ABS((1+AS_Wage)/(1+Slot2_Rate)-1)&lt;0.000000000001,(Slot2_Age-D61)*(1+Slot2_Rate)^(Slot2_Age-D61),(1+Slot2_Rate)^(Slot2_Age-D61)*(1-((1+AS_Wage)/(1+Slot2_Rate))^(Slot2_Age-D61))/(1-(1+AS_Wage)/(1+Slot2_Rate))),1)</f>
        <v>1</v>
      </c>
      <c r="IO61" s="20" t="n">
        <f aca="false">IF(AND(HU61=1,IE61&gt;0,Slot2_IsWG=1,AH61=1),MAX(0,(Slot2_Cost-AI61*(1+Slot2_Rate)^(Slot2_Age-D61))/IN61),0)</f>
        <v>0</v>
      </c>
      <c r="IP61" s="20" t="n">
        <f aca="false">IF(AND(HU61=1,IE61&gt;0,Slot2_IsWG=1,AH61=1),MIN(IE61,IO61),0)</f>
        <v>0</v>
      </c>
      <c r="IQ61" s="20" t="n">
        <f aca="false">AI61+IP61</f>
        <v>0</v>
      </c>
      <c r="IR61" s="20" t="n">
        <f aca="false">IF(AH61=1,MAX(0,(Slot2_Cost-IQ61*(1+Slot2_Rate)^(Slot2_Age-D61))/IN61),0)</f>
        <v>0</v>
      </c>
      <c r="IS61" s="20" t="n">
        <f aca="false">IF(AH61=1,MAX(0,(Slot2_Cost-AI61*(1+Slot2_Rate)^(Slot2_Age-D61))/IN61),0)</f>
        <v>0</v>
      </c>
      <c r="IT61" s="20" t="n">
        <f aca="false">IF(AND(HU61=1,AH61=1),MIN(IM61,IR61),0)</f>
        <v>0</v>
      </c>
      <c r="IU61" s="20" t="n">
        <f aca="false">IM61-IT61</f>
        <v>0</v>
      </c>
      <c r="IV61" s="20" t="n">
        <f aca="false">IF(AR61=1,IF(ABS((1+AS_Wage)/(1+Slot3_Rate)-1)&lt;0.000000000001,(Slot3_Age-D61)*(1+Slot3_Rate)^(Slot3_Age-D61),(1+Slot3_Rate)^(Slot3_Age-D61)*(1-((1+AS_Wage)/(1+Slot3_Rate))^(Slot3_Age-D61))/(1-(1+AS_Wage)/(1+Slot3_Rate))),1)</f>
        <v>1</v>
      </c>
      <c r="IW61" s="20" t="n">
        <f aca="false">IF(AND(HU61=1,IE61&gt;0,Slot3_IsWG=1,AR61=1),MAX(0,(Slot3_Cost-AS61*(1+Slot3_Rate)^(Slot3_Age-D61))/IV61),0)</f>
        <v>0</v>
      </c>
      <c r="IX61" s="20" t="n">
        <f aca="false">IF(AND(HU61=1,IE61&gt;0,Slot3_IsWG=1,AR61=1),MIN(IE61,IW61),0)</f>
        <v>0</v>
      </c>
      <c r="IY61" s="20" t="n">
        <f aca="false">AS61+IX61</f>
        <v>0</v>
      </c>
      <c r="IZ61" s="20" t="n">
        <f aca="false">IF(AR61=1,MAX(0,(Slot3_Cost-IY61*(1+Slot3_Rate)^(Slot3_Age-D61))/IV61),0)</f>
        <v>0</v>
      </c>
      <c r="JA61" s="20" t="n">
        <f aca="false">IF(AR61=1,MAX(0,(Slot3_Cost-AS61*(1+Slot3_Rate)^(Slot3_Age-D61))/IV61),0)</f>
        <v>0</v>
      </c>
      <c r="JB61" s="20" t="n">
        <f aca="false">IF(AND(HU61=1,AR61=1),MIN(IU61,IZ61),0)</f>
        <v>0</v>
      </c>
      <c r="JC61" s="20" t="n">
        <f aca="false">IU61-JB61</f>
        <v>0</v>
      </c>
      <c r="JD61" s="20" t="n">
        <f aca="false">IF(BB61=1,IF(ABS((1+AS_Wage)/(1+Slot4_Rate)-1)&lt;0.000000000001,(Slot4_Age-D61)*(1+Slot4_Rate)^(Slot4_Age-D61),(1+Slot4_Rate)^(Slot4_Age-D61)*(1-((1+AS_Wage)/(1+Slot4_Rate))^(Slot4_Age-D61))/(1-(1+AS_Wage)/(1+Slot4_Rate))),1)</f>
        <v>1</v>
      </c>
      <c r="JE61" s="20" t="n">
        <f aca="false">IF(AND(HU61=1,IE61&gt;0,Slot4_IsWG=1,BB61=1),MAX(0,(Slot4_Cost-BC61*(1+Slot4_Rate)^(Slot4_Age-D61))/JD61),0)</f>
        <v>0</v>
      </c>
      <c r="JF61" s="20" t="n">
        <f aca="false">IF(AND(HU61=1,IE61&gt;0,Slot4_IsWG=1,BB61=1),MIN(IE61,JE61),0)</f>
        <v>0</v>
      </c>
      <c r="JG61" s="20" t="n">
        <f aca="false">BC61+JF61</f>
        <v>0</v>
      </c>
      <c r="JH61" s="20" t="n">
        <f aca="false">IF(BB61=1,MAX(0,(Slot4_Cost-JG61*(1+Slot4_Rate)^(Slot4_Age-D61))/JD61),0)</f>
        <v>0</v>
      </c>
      <c r="JI61" s="20" t="n">
        <f aca="false">IF(BB61=1,MAX(0,(Slot4_Cost-BC61*(1+Slot4_Rate)^(Slot4_Age-D61))/JD61),0)</f>
        <v>0</v>
      </c>
      <c r="JJ61" s="20" t="n">
        <f aca="false">IF(AND(HU61=1,BB61=1),MIN(JC61,JH61),0)</f>
        <v>0</v>
      </c>
      <c r="JK61" s="20" t="n">
        <f aca="false">JC61-JJ61</f>
        <v>0</v>
      </c>
      <c r="JL61" s="20" t="n">
        <f aca="false">IF(BL61=1,IF(ABS((1+AS_Wage)/(1+Slot5_Rate)-1)&lt;0.000000000001,(Slot5_Age-D61)*(1+Slot5_Rate)^(Slot5_Age-D61),(1+Slot5_Rate)^(Slot5_Age-D61)*(1-((1+AS_Wage)/(1+Slot5_Rate))^(Slot5_Age-D61))/(1-(1+AS_Wage)/(1+Slot5_Rate))),1)</f>
        <v>1</v>
      </c>
      <c r="JM61" s="20" t="n">
        <f aca="false">IF(AND(HU61=1,IE61&gt;0,Slot5_IsWG=1,BL61=1),MAX(0,(Slot5_Cost-BM61*(1+Slot5_Rate)^(Slot5_Age-D61))/JL61),0)</f>
        <v>0</v>
      </c>
      <c r="JN61" s="20" t="n">
        <f aca="false">IF(AND(HU61=1,IE61&gt;0,Slot5_IsWG=1,BL61=1),MIN(IE61,JM61),0)</f>
        <v>0</v>
      </c>
      <c r="JO61" s="20" t="n">
        <f aca="false">BM61+JN61</f>
        <v>0</v>
      </c>
      <c r="JP61" s="20" t="n">
        <f aca="false">IF(BL61=1,MAX(0,(Slot5_Cost-JO61*(1+Slot5_Rate)^(Slot5_Age-D61))/JL61),0)</f>
        <v>0</v>
      </c>
      <c r="JQ61" s="20" t="n">
        <f aca="false">IF(BL61=1,MAX(0,(Slot5_Cost-BM61*(1+Slot5_Rate)^(Slot5_Age-D61))/JL61),0)</f>
        <v>0</v>
      </c>
      <c r="JR61" s="20" t="n">
        <f aca="false">IF(AND(HU61=1,BL61=1),MIN(JK61,JP61),0)</f>
        <v>0</v>
      </c>
      <c r="JS61" s="20" t="n">
        <f aca="false">JK61-JR61</f>
        <v>0</v>
      </c>
      <c r="JT61" s="20" t="n">
        <f aca="false">IF(BV61=1,IF(ABS((1+AS_Wage)/(1+Slot6_Rate)-1)&lt;0.000000000001,(Slot6_Age-D61)*(1+Slot6_Rate)^(Slot6_Age-D61),(1+Slot6_Rate)^(Slot6_Age-D61)*(1-((1+AS_Wage)/(1+Slot6_Rate))^(Slot6_Age-D61))/(1-(1+AS_Wage)/(1+Slot6_Rate))),1)</f>
        <v>1</v>
      </c>
      <c r="JU61" s="20" t="n">
        <f aca="false">IF(AND(HU61=1,IE61&gt;0,Slot6_IsWG=1,BV61=1),MAX(0,(Slot6_Cost-BW61*(1+Slot6_Rate)^(Slot6_Age-D61))/JT61),0)</f>
        <v>0</v>
      </c>
      <c r="JV61" s="20" t="n">
        <f aca="false">IF(AND(HU61=1,IE61&gt;0,Slot6_IsWG=1,BV61=1),MIN(IE61,JU61),0)</f>
        <v>0</v>
      </c>
      <c r="JW61" s="20" t="n">
        <f aca="false">BW61+JV61</f>
        <v>0</v>
      </c>
      <c r="JX61" s="20" t="n">
        <f aca="false">IF(BV61=1,MAX(0,(Slot6_Cost-JW61*(1+Slot6_Rate)^(Slot6_Age-D61))/JT61),0)</f>
        <v>0</v>
      </c>
      <c r="JY61" s="20" t="n">
        <f aca="false">IF(BV61=1,MAX(0,(Slot6_Cost-BW61*(1+Slot6_Rate)^(Slot6_Age-D61))/JT61),0)</f>
        <v>0</v>
      </c>
      <c r="JZ61" s="20" t="n">
        <f aca="false">IF(AND(HU61=1,BV61=1),MIN(JS61,JX61),0)</f>
        <v>0</v>
      </c>
      <c r="KA61" s="20" t="n">
        <f aca="false">JS61-JZ61</f>
        <v>0</v>
      </c>
      <c r="KB61" s="20" t="n">
        <f aca="false">IF(CF61=1,IF(ABS((1+AS_Wage)/(1+Slot7_Rate)-1)&lt;0.000000000001,(Slot7_Age-D61)*(1+Slot7_Rate)^(Slot7_Age-D61),(1+Slot7_Rate)^(Slot7_Age-D61)*(1-((1+AS_Wage)/(1+Slot7_Rate))^(Slot7_Age-D61))/(1-(1+AS_Wage)/(1+Slot7_Rate))),1)</f>
        <v>1</v>
      </c>
      <c r="KC61" s="20" t="n">
        <f aca="false">IF(AND(HU61=1,IE61&gt;0,Slot7_IsWG=1,CF61=1),MAX(0,(Slot7_Cost-CG61*(1+Slot7_Rate)^(Slot7_Age-D61))/KB61),0)</f>
        <v>0</v>
      </c>
      <c r="KD61" s="20" t="n">
        <f aca="false">IF(AND(HU61=1,IE61&gt;0,Slot7_IsWG=1,CF61=1),MIN(IE61,KC61),0)</f>
        <v>0</v>
      </c>
      <c r="KE61" s="20" t="n">
        <f aca="false">CG61+KD61</f>
        <v>0</v>
      </c>
      <c r="KF61" s="20" t="n">
        <f aca="false">IF(CF61=1,MAX(0,(Slot7_Cost-KE61*(1+Slot7_Rate)^(Slot7_Age-D61))/KB61),0)</f>
        <v>0</v>
      </c>
      <c r="KG61" s="20" t="n">
        <f aca="false">IF(CF61=1,MAX(0,(Slot7_Cost-CG61*(1+Slot7_Rate)^(Slot7_Age-D61))/KB61),0)</f>
        <v>0</v>
      </c>
      <c r="KH61" s="20" t="n">
        <f aca="false">IF(AND(HU61=1,CF61=1),MIN(KA61,KF61),0)</f>
        <v>0</v>
      </c>
      <c r="KI61" s="20" t="n">
        <f aca="false">KA61-KH61</f>
        <v>0</v>
      </c>
      <c r="KJ61" s="20" t="n">
        <f aca="false">IF(CP61=1,IF(ABS((1+AS_Wage)/(1+Slot8_Rate)-1)&lt;0.000000000001,(Slot8_Age-D61)*(1+Slot8_Rate)^(Slot8_Age-D61),(1+Slot8_Rate)^(Slot8_Age-D61)*(1-((1+AS_Wage)/(1+Slot8_Rate))^(Slot8_Age-D61))/(1-(1+AS_Wage)/(1+Slot8_Rate))),1)</f>
        <v>1</v>
      </c>
      <c r="KK61" s="20" t="n">
        <f aca="false">IF(AND(HU61=1,IE61&gt;0,Slot8_IsWG=1,CP61=1),MAX(0,(Slot8_Cost-CQ61*(1+Slot8_Rate)^(Slot8_Age-D61))/KJ61),0)</f>
        <v>0</v>
      </c>
      <c r="KL61" s="20" t="n">
        <f aca="false">IF(AND(HU61=1,IE61&gt;0,Slot8_IsWG=1,CP61=1),MIN(IE61,KK61),0)</f>
        <v>0</v>
      </c>
      <c r="KM61" s="20" t="n">
        <f aca="false">CQ61+KL61</f>
        <v>0</v>
      </c>
      <c r="KN61" s="20" t="n">
        <f aca="false">IF(CP61=1,MAX(0,(Slot8_Cost-KM61*(1+Slot8_Rate)^(Slot8_Age-D61))/KJ61),0)</f>
        <v>0</v>
      </c>
      <c r="KO61" s="20" t="n">
        <f aca="false">IF(CP61=1,MAX(0,(Slot8_Cost-CQ61*(1+Slot8_Rate)^(Slot8_Age-D61))/KJ61),0)</f>
        <v>0</v>
      </c>
      <c r="KP61" s="20" t="n">
        <f aca="false">IF(AND(HU61=1,CP61=1),MIN(KI61,KN61),0)</f>
        <v>0</v>
      </c>
      <c r="KQ61" s="20" t="n">
        <f aca="false">KI61-KP61</f>
        <v>0</v>
      </c>
      <c r="KR61" s="20" t="n">
        <f aca="false">IF(CZ61=1,IF(ABS((1+AS_Wage)/(1+Slot9_Rate)-1)&lt;0.000000000001,(Slot9_Age-D61)*(1+Slot9_Rate)^(Slot9_Age-D61),(1+Slot9_Rate)^(Slot9_Age-D61)*(1-((1+AS_Wage)/(1+Slot9_Rate))^(Slot9_Age-D61))/(1-(1+AS_Wage)/(1+Slot9_Rate))),1)</f>
        <v>1</v>
      </c>
      <c r="KS61" s="20" t="n">
        <f aca="false">IF(AND(HU61=1,IE61&gt;0,Slot9_IsWG=1,CZ61=1),MAX(0,(Slot9_Cost-DA61*(1+Slot9_Rate)^(Slot9_Age-D61))/KR61),0)</f>
        <v>0</v>
      </c>
      <c r="KT61" s="20" t="n">
        <f aca="false">IF(AND(HU61=1,IE61&gt;0,Slot9_IsWG=1,CZ61=1),MIN(IE61,KS61),0)</f>
        <v>0</v>
      </c>
      <c r="KU61" s="20" t="n">
        <f aca="false">DA61+KT61</f>
        <v>0</v>
      </c>
      <c r="KV61" s="20" t="n">
        <f aca="false">IF(CZ61=1,MAX(0,(Slot9_Cost-KU61*(1+Slot9_Rate)^(Slot9_Age-D61))/KR61),0)</f>
        <v>0</v>
      </c>
      <c r="KW61" s="20" t="n">
        <f aca="false">IF(CZ61=1,MAX(0,(Slot9_Cost-DA61*(1+Slot9_Rate)^(Slot9_Age-D61))/KR61),0)</f>
        <v>0</v>
      </c>
      <c r="KX61" s="20" t="n">
        <f aca="false">IF(AND(HU61=1,CZ61=1),MIN(KQ61,KV61),0)</f>
        <v>0</v>
      </c>
      <c r="KY61" s="20" t="n">
        <f aca="false">KQ61-KX61</f>
        <v>0</v>
      </c>
      <c r="KZ61" s="20" t="n">
        <f aca="false">IF(DJ61=1,IF(ABS((1+AS_Wage)/(1+Slot10_Rate)-1)&lt;0.000000000001,(Slot10_Age-D61)*(1+Slot10_Rate)^(Slot10_Age-D61),(1+Slot10_Rate)^(Slot10_Age-D61)*(1-((1+AS_Wage)/(1+Slot10_Rate))^(Slot10_Age-D61))/(1-(1+AS_Wage)/(1+Slot10_Rate))),1)</f>
        <v>1</v>
      </c>
      <c r="LA61" s="20" t="n">
        <f aca="false">IF(AND(HU61=1,IE61&gt;0,Slot10_IsWG=1,DJ61=1),MAX(0,(Slot10_Cost-DK61*(1+Slot10_Rate)^(Slot10_Age-D61))/KZ61),0)</f>
        <v>0</v>
      </c>
      <c r="LB61" s="20" t="n">
        <f aca="false">IF(AND(HU61=1,IE61&gt;0,Slot10_IsWG=1,DJ61=1),MIN(IE61,LA61),0)</f>
        <v>0</v>
      </c>
      <c r="LC61" s="20" t="n">
        <f aca="false">DK61+LB61</f>
        <v>0</v>
      </c>
      <c r="LD61" s="20" t="n">
        <f aca="false">IF(DJ61=1,MAX(0,(Slot10_Cost-LC61*(1+Slot10_Rate)^(Slot10_Age-D61))/KZ61),0)</f>
        <v>0</v>
      </c>
      <c r="LE61" s="20" t="n">
        <f aca="false">IF(DJ61=1,MAX(0,(Slot10_Cost-DK61*(1+Slot10_Rate)^(Slot10_Age-D61))/KZ61),0)</f>
        <v>0</v>
      </c>
      <c r="LF61" s="20" t="n">
        <f aca="false">IF(AND(HU61=1,DJ61=1),MIN(KY61,LD61),0)</f>
        <v>0</v>
      </c>
      <c r="LG61" s="20" t="n">
        <f aca="false">KY61-LF61</f>
        <v>0</v>
      </c>
      <c r="LH61" s="20" t="n">
        <f aca="false">IF(DT61=1,IF(ABS((1+AS_Wage)/(1+Slot11_Rate)-1)&lt;0.000000000001,(Slot11_Age-D61)*(1+Slot11_Rate)^(Slot11_Age-D61),(1+Slot11_Rate)^(Slot11_Age-D61)*(1-((1+AS_Wage)/(1+Slot11_Rate))^(Slot11_Age-D61))/(1-(1+AS_Wage)/(1+Slot11_Rate))),1)</f>
        <v>1</v>
      </c>
      <c r="LI61" s="20" t="n">
        <f aca="false">IF(AND(HU61=1,IE61&gt;0,Slot11_IsWG=1,DT61=1),MAX(0,(Slot11_Cost-DU61*(1+Slot11_Rate)^(Slot11_Age-D61))/LH61),0)</f>
        <v>0</v>
      </c>
      <c r="LJ61" s="20" t="n">
        <f aca="false">IF(AND(HU61=1,IE61&gt;0,Slot11_IsWG=1,DT61=1),MIN(IE61,LI61),0)</f>
        <v>0</v>
      </c>
      <c r="LK61" s="20" t="n">
        <f aca="false">DU61+LJ61</f>
        <v>0</v>
      </c>
      <c r="LL61" s="20" t="n">
        <f aca="false">IF(DT61=1,MAX(0,(Slot11_Cost-LK61*(1+Slot11_Rate)^(Slot11_Age-D61))/LH61),0)</f>
        <v>0</v>
      </c>
      <c r="LM61" s="20" t="n">
        <f aca="false">IF(DT61=1,MAX(0,(Slot11_Cost-DU61*(1+Slot11_Rate)^(Slot11_Age-D61))/LH61),0)</f>
        <v>0</v>
      </c>
      <c r="LN61" s="20" t="n">
        <f aca="false">IF(AND(HU61=1,DT61=1),MIN(LG61,LL61),0)</f>
        <v>0</v>
      </c>
      <c r="LO61" s="20" t="n">
        <f aca="false">LG61-LN61</f>
        <v>0</v>
      </c>
      <c r="LP61" s="20" t="n">
        <f aca="false">IF(ED61=1,IF(ABS((1+AS_Wage)/(1+Slot12_Rate)-1)&lt;0.000000000001,(Slot12_Age-D61)*(1+Slot12_Rate)^(Slot12_Age-D61),(1+Slot12_Rate)^(Slot12_Age-D61)*(1-((1+AS_Wage)/(1+Slot12_Rate))^(Slot12_Age-D61))/(1-(1+AS_Wage)/(1+Slot12_Rate))),1)</f>
        <v>1</v>
      </c>
      <c r="LQ61" s="20" t="n">
        <f aca="false">IF(AND(HU61=1,IE61&gt;0,Slot12_IsWG=1,ED61=1),MAX(0,(Slot12_Cost-EE61*(1+Slot12_Rate)^(Slot12_Age-D61))/LP61),0)</f>
        <v>0</v>
      </c>
      <c r="LR61" s="20" t="n">
        <f aca="false">IF(AND(HU61=1,IE61&gt;0,Slot12_IsWG=1,ED61=1),MIN(IE61,LQ61),0)</f>
        <v>0</v>
      </c>
      <c r="LS61" s="20" t="n">
        <f aca="false">EE61+LR61</f>
        <v>0</v>
      </c>
      <c r="LT61" s="20" t="n">
        <f aca="false">IF(ED61=1,MAX(0,(Slot12_Cost-LS61*(1+Slot12_Rate)^(Slot12_Age-D61))/LP61),0)</f>
        <v>0</v>
      </c>
      <c r="LU61" s="20" t="n">
        <f aca="false">IF(ED61=1,MAX(0,(Slot12_Cost-EE61*(1+Slot12_Rate)^(Slot12_Age-D61))/LP61),0)</f>
        <v>0</v>
      </c>
      <c r="LV61" s="20" t="n">
        <f aca="false">IF(AND(HU61=1,ED61=1),MIN(LO61,LT61),0)</f>
        <v>0</v>
      </c>
      <c r="LW61" s="20" t="n">
        <f aca="false">LO61-LV61</f>
        <v>0</v>
      </c>
      <c r="LX61" s="20" t="n">
        <f aca="false">IF(EN61=1,IF(ABS((1+AS_Wage)/(1+Slot13_Rate)-1)&lt;0.000000000001,(Slot13_Age-D61)*(1+Slot13_Rate)^(Slot13_Age-D61),(1+Slot13_Rate)^(Slot13_Age-D61)*(1-((1+AS_Wage)/(1+Slot13_Rate))^(Slot13_Age-D61))/(1-(1+AS_Wage)/(1+Slot13_Rate))),1)</f>
        <v>1</v>
      </c>
      <c r="LY61" s="20" t="n">
        <f aca="false">IF(AND(HU61=1,IE61&gt;0,Slot13_IsWG=1,EN61=1),MAX(0,(Slot13_Cost-EO61*(1+Slot13_Rate)^(Slot13_Age-D61))/LX61),0)</f>
        <v>0</v>
      </c>
      <c r="LZ61" s="20" t="n">
        <f aca="false">IF(AND(HU61=1,IE61&gt;0,Slot13_IsWG=1,EN61=1),MIN(IE61,LY61),0)</f>
        <v>0</v>
      </c>
      <c r="MA61" s="20" t="n">
        <f aca="false">EO61+LZ61</f>
        <v>0</v>
      </c>
      <c r="MB61" s="20" t="n">
        <f aca="false">IF(EN61=1,MAX(0,(Slot13_Cost-MA61*(1+Slot13_Rate)^(Slot13_Age-D61))/LX61),0)</f>
        <v>0</v>
      </c>
      <c r="MC61" s="20" t="n">
        <f aca="false">IF(EN61=1,MAX(0,(Slot13_Cost-EO61*(1+Slot13_Rate)^(Slot13_Age-D61))/LX61),0)</f>
        <v>0</v>
      </c>
      <c r="MD61" s="20" t="n">
        <f aca="false">IF(AND(HU61=1,EN61=1),MIN(LW61,MB61),0)</f>
        <v>0</v>
      </c>
      <c r="ME61" s="20" t="n">
        <f aca="false">LW61-MD61</f>
        <v>0</v>
      </c>
      <c r="MF61" s="20" t="n">
        <f aca="false">IF(EX61=1,IF(ABS((1+AS_Wage)/(1+Slot14_Rate)-1)&lt;0.000000000001,(Slot14_Age-D61)*(1+Slot14_Rate)^(Slot14_Age-D61),(1+Slot14_Rate)^(Slot14_Age-D61)*(1-((1+AS_Wage)/(1+Slot14_Rate))^(Slot14_Age-D61))/(1-(1+AS_Wage)/(1+Slot14_Rate))),1)</f>
        <v>1</v>
      </c>
      <c r="MG61" s="20" t="n">
        <f aca="false">IF(AND(HU61=1,IE61&gt;0,Slot14_IsWG=1,EX61=1),MAX(0,(Slot14_Cost-EY61*(1+Slot14_Rate)^(Slot14_Age-D61))/MF61),0)</f>
        <v>0</v>
      </c>
      <c r="MH61" s="20" t="n">
        <f aca="false">IF(AND(HU61=1,IE61&gt;0,Slot14_IsWG=1,EX61=1),MIN(IE61,MG61),0)</f>
        <v>0</v>
      </c>
      <c r="MI61" s="20" t="n">
        <f aca="false">EY61+MH61</f>
        <v>0</v>
      </c>
      <c r="MJ61" s="20" t="n">
        <f aca="false">IF(EX61=1,MAX(0,(Slot14_Cost-MI61*(1+Slot14_Rate)^(Slot14_Age-D61))/MF61),0)</f>
        <v>0</v>
      </c>
      <c r="MK61" s="20" t="n">
        <f aca="false">IF(EX61=1,MAX(0,(Slot14_Cost-EY61*(1+Slot14_Rate)^(Slot14_Age-D61))/MF61),0)</f>
        <v>0</v>
      </c>
      <c r="ML61" s="20" t="n">
        <f aca="false">IF(AND(HU61=1,EX61=1),MIN(ME61,MJ61),0)</f>
        <v>0</v>
      </c>
      <c r="MM61" s="20" t="n">
        <f aca="false">ME61-ML61</f>
        <v>0</v>
      </c>
      <c r="MN61" s="20" t="n">
        <f aca="false">IF(FH61=1,IF(ABS((1+AS_Wage)/(1+Slot15_Rate)-1)&lt;0.000000000001,(Slot15_Age-D61)*(1+Slot15_Rate)^(Slot15_Age-D61),(1+Slot15_Rate)^(Slot15_Age-D61)*(1-((1+AS_Wage)/(1+Slot15_Rate))^(Slot15_Age-D61))/(1-(1+AS_Wage)/(1+Slot15_Rate))),1)</f>
        <v>1</v>
      </c>
      <c r="MO61" s="20" t="n">
        <f aca="false">IF(AND(HU61=1,IE61&gt;0,Slot15_IsWG=1,FH61=1),MAX(0,(Slot15_Cost-FI61*(1+Slot15_Rate)^(Slot15_Age-D61))/MN61),0)</f>
        <v>0</v>
      </c>
      <c r="MP61" s="20" t="n">
        <f aca="false">IF(AND(HU61=1,IE61&gt;0,Slot15_IsWG=1,FH61=1),MIN(IE61,MO61),0)</f>
        <v>0</v>
      </c>
      <c r="MQ61" s="20" t="n">
        <f aca="false">FI61+MP61</f>
        <v>0</v>
      </c>
      <c r="MR61" s="20" t="n">
        <f aca="false">IF(FH61=1,MAX(0,(Slot15_Cost-MQ61*(1+Slot15_Rate)^(Slot15_Age-D61))/MN61),0)</f>
        <v>0</v>
      </c>
      <c r="MS61" s="20" t="n">
        <f aca="false">IF(FH61=1,MAX(0,(Slot15_Cost-FI61*(1+Slot15_Rate)^(Slot15_Age-D61))/MN61),0)</f>
        <v>0</v>
      </c>
      <c r="MT61" s="20" t="n">
        <f aca="false">IF(AND(HU61=1,FH61=1),MIN(MM61,MR61),0)</f>
        <v>0</v>
      </c>
      <c r="MU61" s="20" t="n">
        <f aca="false">MM61-MT61</f>
        <v>0</v>
      </c>
      <c r="MV61" s="20" t="n">
        <f aca="false">IF(FR61=1,IF(ABS((1+AS_Wage)/(1+Slot16_Rate)-1)&lt;0.000000000001,(Slot16_Age-D61)*(1+Slot16_Rate)^(Slot16_Age-D61),(1+Slot16_Rate)^(Slot16_Age-D61)*(1-((1+AS_Wage)/(1+Slot16_Rate))^(Slot16_Age-D61))/(1-(1+AS_Wage)/(1+Slot16_Rate))),1)</f>
        <v>1</v>
      </c>
      <c r="MW61" s="20" t="n">
        <f aca="false">IF(AND(HU61=1,IE61&gt;0,Slot16_IsWG=1,FR61=1),MAX(0,(Slot16_Cost-FS61*(1+Slot16_Rate)^(Slot16_Age-D61))/MV61),0)</f>
        <v>0</v>
      </c>
      <c r="MX61" s="20" t="n">
        <f aca="false">IF(AND(HU61=1,IE61&gt;0,Slot16_IsWG=1,FR61=1),MIN(IE61,MW61),0)</f>
        <v>0</v>
      </c>
      <c r="MY61" s="20" t="n">
        <f aca="false">FS61+MX61</f>
        <v>0</v>
      </c>
      <c r="MZ61" s="20" t="n">
        <f aca="false">IF(FR61=1,MAX(0,(Slot16_Cost-MY61*(1+Slot16_Rate)^(Slot16_Age-D61))/MV61),0)</f>
        <v>0</v>
      </c>
      <c r="NA61" s="20" t="n">
        <f aca="false">IF(FR61=1,MAX(0,(Slot16_Cost-FS61*(1+Slot16_Rate)^(Slot16_Age-D61))/MV61),0)</f>
        <v>0</v>
      </c>
      <c r="NB61" s="20" t="n">
        <f aca="false">IF(AND(HU61=1,FR61=1),MIN(MU61,MZ61),0)</f>
        <v>0</v>
      </c>
      <c r="NC61" s="20" t="n">
        <f aca="false">MU61-NB61</f>
        <v>0</v>
      </c>
      <c r="ND61" s="20" t="n">
        <f aca="false">IF(GB61=1,IF(ABS((1+AS_Wage)/(1+Slot17_Rate)-1)&lt;0.000000000001,(Slot17_Age-D61)*(1+Slot17_Rate)^(Slot17_Age-D61),(1+Slot17_Rate)^(Slot17_Age-D61)*(1-((1+AS_Wage)/(1+Slot17_Rate))^(Slot17_Age-D61))/(1-(1+AS_Wage)/(1+Slot17_Rate))),1)</f>
        <v>1</v>
      </c>
      <c r="NE61" s="20" t="n">
        <f aca="false">IF(AND(HU61=1,IE61&gt;0,Slot17_IsWG=1,GB61=1),MAX(0,(Slot17_Cost-GC61*(1+Slot17_Rate)^(Slot17_Age-D61))/ND61),0)</f>
        <v>0</v>
      </c>
      <c r="NF61" s="20" t="n">
        <f aca="false">IF(AND(HU61=1,IE61&gt;0,Slot17_IsWG=1,GB61=1),MIN(IE61,NE61),0)</f>
        <v>0</v>
      </c>
      <c r="NG61" s="20" t="n">
        <f aca="false">GC61+NF61</f>
        <v>0</v>
      </c>
      <c r="NH61" s="20" t="n">
        <f aca="false">IF(GB61=1,MAX(0,(Slot17_Cost-NG61*(1+Slot17_Rate)^(Slot17_Age-D61))/ND61),0)</f>
        <v>0</v>
      </c>
      <c r="NI61" s="20" t="n">
        <f aca="false">IF(GB61=1,MAX(0,(Slot17_Cost-GC61*(1+Slot17_Rate)^(Slot17_Age-D61))/ND61),0)</f>
        <v>0</v>
      </c>
      <c r="NJ61" s="20" t="n">
        <f aca="false">IF(AND(HU61=1,GB61=1),MIN(NC61,NH61),0)</f>
        <v>0</v>
      </c>
      <c r="NK61" s="20" t="n">
        <f aca="false">NC61-NJ61</f>
        <v>0</v>
      </c>
      <c r="NL61" s="20" t="n">
        <f aca="false">IF(GL61=1,IF(ABS((1+AS_Wage)/(1+Slot18_Rate)-1)&lt;0.000000000001,(Slot18_Age-D61)*(1+Slot18_Rate)^(Slot18_Age-D61),(1+Slot18_Rate)^(Slot18_Age-D61)*(1-((1+AS_Wage)/(1+Slot18_Rate))^(Slot18_Age-D61))/(1-(1+AS_Wage)/(1+Slot18_Rate))),1)</f>
        <v>1</v>
      </c>
      <c r="NM61" s="20" t="n">
        <f aca="false">IF(AND(HU61=1,IE61&gt;0,Slot18_IsWG=1,GL61=1),MAX(0,(Slot18_Cost-GM61*(1+Slot18_Rate)^(Slot18_Age-D61))/NL61),0)</f>
        <v>0</v>
      </c>
      <c r="NN61" s="20" t="n">
        <f aca="false">IF(AND(HU61=1,IE61&gt;0,Slot18_IsWG=1,GL61=1),MIN(IE61,NM61),0)</f>
        <v>0</v>
      </c>
      <c r="NO61" s="20" t="n">
        <f aca="false">GM61+NN61</f>
        <v>0</v>
      </c>
      <c r="NP61" s="20" t="n">
        <f aca="false">IF(GL61=1,MAX(0,(Slot18_Cost-NO61*(1+Slot18_Rate)^(Slot18_Age-D61))/NL61),0)</f>
        <v>0</v>
      </c>
      <c r="NQ61" s="20" t="n">
        <f aca="false">IF(GL61=1,MAX(0,(Slot18_Cost-GM61*(1+Slot18_Rate)^(Slot18_Age-D61))/NL61),0)</f>
        <v>0</v>
      </c>
      <c r="NR61" s="20" t="n">
        <f aca="false">IF(AND(HU61=1,GL61=1),MIN(NK61,NP61),0)</f>
        <v>0</v>
      </c>
      <c r="NS61" s="20" t="n">
        <f aca="false">NK61-NR61</f>
        <v>0</v>
      </c>
      <c r="NT61" s="20" t="n">
        <f aca="false">IF(GV61=1,IF(ABS((1+AS_Wage)/(1+Slot19_Rate)-1)&lt;0.000000000001,(Slot19_Age-D61)*(1+Slot19_Rate)^(Slot19_Age-D61),(1+Slot19_Rate)^(Slot19_Age-D61)*(1-((1+AS_Wage)/(1+Slot19_Rate))^(Slot19_Age-D61))/(1-(1+AS_Wage)/(1+Slot19_Rate))),1)</f>
        <v>1</v>
      </c>
      <c r="NU61" s="20" t="n">
        <f aca="false">IF(AND(HU61=1,IE61&gt;0,Slot19_IsWG=1,GV61=1),MAX(0,(Slot19_Cost-GW61*(1+Slot19_Rate)^(Slot19_Age-D61))/NT61),0)</f>
        <v>0</v>
      </c>
      <c r="NV61" s="20" t="n">
        <f aca="false">IF(AND(HU61=1,IE61&gt;0,Slot19_IsWG=1,GV61=1),MIN(IE61,NU61),0)</f>
        <v>0</v>
      </c>
      <c r="NW61" s="20" t="n">
        <f aca="false">GW61+NV61</f>
        <v>0</v>
      </c>
      <c r="NX61" s="20" t="n">
        <f aca="false">IF(GV61=1,MAX(0,(Slot19_Cost-NW61*(1+Slot19_Rate)^(Slot19_Age-D61))/NT61),0)</f>
        <v>0</v>
      </c>
      <c r="NY61" s="20" t="n">
        <f aca="false">IF(GV61=1,MAX(0,(Slot19_Cost-GW61*(1+Slot19_Rate)^(Slot19_Age-D61))/NT61),0)</f>
        <v>0</v>
      </c>
      <c r="NZ61" s="20" t="n">
        <f aca="false">IF(AND(HU61=1,GV61=1),MIN(NS61,NX61),0)</f>
        <v>0</v>
      </c>
      <c r="OA61" s="20" t="n">
        <f aca="false">NS61-NZ61</f>
        <v>0</v>
      </c>
      <c r="OB61" s="20" t="n">
        <f aca="false">IF(HF61=1,IF(ABS((1+AS_Wage)/(1+Slot20_Rate)-1)&lt;0.000000000001,(Slot20_Age-D61)*(1+Slot20_Rate)^(Slot20_Age-D61),(1+Slot20_Rate)^(Slot20_Age-D61)*(1-((1+AS_Wage)/(1+Slot20_Rate))^(Slot20_Age-D61))/(1-(1+AS_Wage)/(1+Slot20_Rate))),1)</f>
        <v>1</v>
      </c>
      <c r="OC61" s="20" t="n">
        <f aca="false">IF(AND(HU61=1,IE61&gt;0,Slot20_IsWG=1,HF61=1),MAX(0,(Slot20_Cost-HG61*(1+Slot20_Rate)^(Slot20_Age-D61))/OB61),0)</f>
        <v>0</v>
      </c>
      <c r="OD61" s="20" t="n">
        <f aca="false">IF(AND(HU61=1,IE61&gt;0,Slot20_IsWG=1,HF61=1),MIN(IE61,OC61),0)</f>
        <v>0</v>
      </c>
      <c r="OE61" s="20" t="n">
        <f aca="false">HG61+OD61</f>
        <v>0</v>
      </c>
      <c r="OF61" s="20" t="n">
        <f aca="false">IF(HF61=1,MAX(0,(Slot20_Cost-OE61*(1+Slot20_Rate)^(Slot20_Age-D61))/OB61),0)</f>
        <v>0</v>
      </c>
      <c r="OG61" s="20" t="n">
        <f aca="false">IF(HF61=1,MAX(0,(Slot20_Cost-HG61*(1+Slot20_Rate)^(Slot20_Age-D61))/OB61),0)</f>
        <v>0</v>
      </c>
      <c r="OH61" s="20" t="n">
        <f aca="false">IF(AND(HU61=1,HF61=1),MIN(OA61,OF61),0)</f>
        <v>0</v>
      </c>
      <c r="OI61" s="20" t="n">
        <f aca="false">OA61-OH61</f>
        <v>0</v>
      </c>
      <c r="OJ61" s="20" t="n">
        <f aca="false">IE61-(IH61+IP61+IX61+JF61+JN61+JV61+KD61+KL61+KT61+LB61+LJ61+LR61+LZ61+MH61+MP61+MX61+NF61+NN61+NV61+OD61)</f>
        <v>0</v>
      </c>
      <c r="OK61" s="20" t="n">
        <f aca="false">IF(HU61=1,HS61-ID61-IE61,0)</f>
        <v>0</v>
      </c>
      <c r="OL61" s="20" t="n">
        <f aca="false">IF(HU61=0,-HS61,0)</f>
        <v>28321.5193716224</v>
      </c>
      <c r="OM61" s="20" t="n">
        <f aca="false">MIN(OL61,HK61)</f>
        <v>0</v>
      </c>
      <c r="ON61" s="20" t="n">
        <f aca="false">OL61-OM61</f>
        <v>28321.5193716224</v>
      </c>
      <c r="OO61" s="20" t="n">
        <f aca="false">MIN(ON61,HL61)</f>
        <v>0</v>
      </c>
      <c r="OP61" s="20" t="n">
        <f aca="false">ON61-OO61</f>
        <v>28321.5193716224</v>
      </c>
      <c r="OQ61" s="20" t="n">
        <f aca="false">IF(AND(HU61=0,HF61=1,OP61&gt;0),MIN(OP61,HG61),0)</f>
        <v>0</v>
      </c>
      <c r="OR61" s="20" t="n">
        <f aca="false">OP61-OQ61</f>
        <v>28321.5193716224</v>
      </c>
      <c r="OS61" s="20" t="n">
        <f aca="false">IF(AND(HU61=0,GV61=1,OR61&gt;0),MIN(OR61,GW61),0)</f>
        <v>0</v>
      </c>
      <c r="OT61" s="20" t="n">
        <f aca="false">OR61-OS61</f>
        <v>28321.5193716224</v>
      </c>
      <c r="OU61" s="20" t="n">
        <f aca="false">IF(AND(HU61=0,GL61=1,OT61&gt;0),MIN(OT61,GM61),0)</f>
        <v>0</v>
      </c>
      <c r="OV61" s="20" t="n">
        <f aca="false">OT61-OU61</f>
        <v>28321.5193716224</v>
      </c>
      <c r="OW61" s="20" t="n">
        <f aca="false">IF(AND(HU61=0,GB61=1,OV61&gt;0),MIN(OV61,GC61),0)</f>
        <v>0</v>
      </c>
      <c r="OX61" s="20" t="n">
        <f aca="false">OV61-OW61</f>
        <v>28321.5193716224</v>
      </c>
      <c r="OY61" s="20" t="n">
        <f aca="false">IF(AND(HU61=0,FR61=1,OX61&gt;0),MIN(OX61,FS61),0)</f>
        <v>0</v>
      </c>
      <c r="OZ61" s="20" t="n">
        <f aca="false">OX61-OY61</f>
        <v>28321.5193716224</v>
      </c>
      <c r="PA61" s="20" t="n">
        <f aca="false">IF(AND(HU61=0,FH61=1,OZ61&gt;0),MIN(OZ61,FI61),0)</f>
        <v>0</v>
      </c>
      <c r="PB61" s="20" t="n">
        <f aca="false">OZ61-PA61</f>
        <v>28321.5193716224</v>
      </c>
      <c r="PC61" s="20" t="n">
        <f aca="false">IF(AND(HU61=0,EX61=1,PB61&gt;0),MIN(PB61,EY61),0)</f>
        <v>0</v>
      </c>
      <c r="PD61" s="20" t="n">
        <f aca="false">PB61-PC61</f>
        <v>28321.5193716224</v>
      </c>
      <c r="PE61" s="20" t="n">
        <f aca="false">IF(AND(HU61=0,EN61=1,PD61&gt;0),MIN(PD61,EO61),0)</f>
        <v>0</v>
      </c>
      <c r="PF61" s="20" t="n">
        <f aca="false">PD61-PE61</f>
        <v>28321.5193716224</v>
      </c>
      <c r="PG61" s="20" t="n">
        <f aca="false">IF(AND(HU61=0,ED61=1,PF61&gt;0),MIN(PF61,EE61),0)</f>
        <v>0</v>
      </c>
      <c r="PH61" s="20" t="n">
        <f aca="false">PF61-PG61</f>
        <v>28321.5193716224</v>
      </c>
      <c r="PI61" s="20" t="n">
        <f aca="false">IF(AND(HU61=0,DT61=1,PH61&gt;0),MIN(PH61,DU61),0)</f>
        <v>0</v>
      </c>
      <c r="PJ61" s="20" t="n">
        <f aca="false">PH61-PI61</f>
        <v>28321.5193716224</v>
      </c>
      <c r="PK61" s="20" t="n">
        <f aca="false">IF(AND(HU61=0,DJ61=1,PJ61&gt;0),MIN(PJ61,DK61),0)</f>
        <v>0</v>
      </c>
      <c r="PL61" s="20" t="n">
        <f aca="false">PJ61-PK61</f>
        <v>28321.5193716224</v>
      </c>
      <c r="PM61" s="20" t="n">
        <f aca="false">IF(AND(HU61=0,CZ61=1,PL61&gt;0),MIN(PL61,DA61),0)</f>
        <v>0</v>
      </c>
      <c r="PN61" s="20" t="n">
        <f aca="false">PL61-PM61</f>
        <v>28321.5193716224</v>
      </c>
      <c r="PO61" s="20" t="n">
        <f aca="false">IF(AND(HU61=0,CP61=1,PN61&gt;0),MIN(PN61,CQ61),0)</f>
        <v>0</v>
      </c>
      <c r="PP61" s="20" t="n">
        <f aca="false">PN61-PO61</f>
        <v>28321.5193716224</v>
      </c>
      <c r="PQ61" s="20" t="n">
        <f aca="false">IF(AND(HU61=0,CF61=1,PP61&gt;0),MIN(PP61,CG61),0)</f>
        <v>0</v>
      </c>
      <c r="PR61" s="20" t="n">
        <f aca="false">PP61-PQ61</f>
        <v>28321.5193716224</v>
      </c>
      <c r="PS61" s="20" t="n">
        <f aca="false">IF(AND(HU61=0,BV61=1,PR61&gt;0),MIN(PR61,BW61),0)</f>
        <v>0</v>
      </c>
      <c r="PT61" s="20" t="n">
        <f aca="false">PR61-PS61</f>
        <v>28321.5193716224</v>
      </c>
      <c r="PU61" s="20" t="n">
        <f aca="false">IF(AND(HU61=0,BL61=1,PT61&gt;0),MIN(PT61,BM61),0)</f>
        <v>0</v>
      </c>
      <c r="PV61" s="20" t="n">
        <f aca="false">PT61-PU61</f>
        <v>28321.5193716224</v>
      </c>
      <c r="PW61" s="20" t="n">
        <f aca="false">IF(AND(HU61=0,BB61=1,PV61&gt;0),MIN(PV61,BC61),0)</f>
        <v>0</v>
      </c>
      <c r="PX61" s="20" t="n">
        <f aca="false">PV61-PW61</f>
        <v>28321.5193716224</v>
      </c>
      <c r="PY61" s="20" t="n">
        <f aca="false">IF(AND(HU61=0,AR61=1,PX61&gt;0),MIN(PX61,AS61),0)</f>
        <v>0</v>
      </c>
      <c r="PZ61" s="20" t="n">
        <f aca="false">PX61-PY61</f>
        <v>28321.5193716224</v>
      </c>
      <c r="QA61" s="20" t="n">
        <f aca="false">IF(AND(HU61=0,AH61=1,PZ61&gt;0),MIN(PZ61,AI61),0)</f>
        <v>0</v>
      </c>
      <c r="QB61" s="20" t="n">
        <f aca="false">PZ61-QA61</f>
        <v>28321.5193716224</v>
      </c>
      <c r="QC61" s="20" t="n">
        <f aca="false">IF(AND(HU61=0,W61=1,QB61&gt;0),MIN(QB61,X61),0)</f>
        <v>0</v>
      </c>
      <c r="QD61" s="20" t="n">
        <f aca="false">QB61-QC61</f>
        <v>28321.5193716224</v>
      </c>
      <c r="QE61" s="20" t="n">
        <f aca="false">IF(HU61=0,QD61,0)</f>
        <v>28321.5193716224</v>
      </c>
      <c r="QF61" s="20" t="n">
        <f aca="false">OM61+OO61+QC61+QA61+PY61+PW61+PU61+PS61+PQ61+PO61+PM61+PK61+PI61+PG61+PE61+PC61+PA61+OY61+OW61+OU61+OS61+OQ61</f>
        <v>0</v>
      </c>
      <c r="QG61" s="20" t="n">
        <f aca="false">IF(HU61=1,HK61+OJ61+OI61+IF(G61=1,0,OK61),HK61-OM61)</f>
        <v>0</v>
      </c>
      <c r="QH61" s="20" t="n">
        <f aca="false">HL61-OO61</f>
        <v>0</v>
      </c>
      <c r="QI61" s="20" t="n">
        <f aca="false">IF(HU61=1,IF(G61=1,ID61+IE61,HS61),0)</f>
        <v>0</v>
      </c>
      <c r="QJ61" s="20" t="n">
        <f aca="false">IF(HU61=1,IF(G61=1,HS61-ID61-IE61,0),0)</f>
        <v>0</v>
      </c>
      <c r="QK61" s="20" t="n">
        <f aca="false">QG61*(1+GR)</f>
        <v>0</v>
      </c>
      <c r="QL61" s="20" t="n">
        <f aca="false">QH61*(1+AS_Cash)</f>
        <v>0</v>
      </c>
      <c r="QM61" s="20" t="n">
        <f aca="false">IF(W61=1,IF(HU61=1,II61+IL61,X61-QC61)*(1+Slot1_Rate),0)</f>
        <v>0</v>
      </c>
      <c r="QN61" s="20" t="n">
        <f aca="false">IF(AND(HU61=1,W61=1),(IH61+IL61)/F61,0)</f>
        <v>0</v>
      </c>
      <c r="QO61" s="20" t="n">
        <f aca="false">IF(B61=0,IH61+IL61,0)</f>
        <v>0</v>
      </c>
      <c r="QP61" s="20" t="n">
        <f aca="false">IF(B61=0,IF(HU61=1,IJ61,IK61),0)</f>
        <v>0</v>
      </c>
      <c r="QQ61" s="20" t="n">
        <f aca="false">IF(AH61=1,IF(HU61=1,IQ61+IT61,AI61-QA61)*(1+Slot2_Rate),0)</f>
        <v>0</v>
      </c>
      <c r="QR61" s="20" t="n">
        <f aca="false">IF(AND(HU61=1,AH61=1),(IP61+IT61)/F61,0)</f>
        <v>0</v>
      </c>
      <c r="QS61" s="20" t="n">
        <f aca="false">IF(B61=0,IP61+IT61,0)</f>
        <v>0</v>
      </c>
      <c r="QT61" s="20" t="n">
        <f aca="false">IF(B61=0,IF(HU61=1,IR61,IS61),0)</f>
        <v>0</v>
      </c>
      <c r="QU61" s="20" t="n">
        <f aca="false">IF(AR61=1,IF(HU61=1,IY61+JB61,AS61-PY61)*(1+Slot3_Rate),0)</f>
        <v>0</v>
      </c>
      <c r="QV61" s="20" t="n">
        <f aca="false">IF(AND(HU61=1,AR61=1),(IX61+JB61)/F61,0)</f>
        <v>0</v>
      </c>
      <c r="QW61" s="20" t="n">
        <f aca="false">IF(B61=0,IX61+JB61,0)</f>
        <v>0</v>
      </c>
      <c r="QX61" s="20" t="n">
        <f aca="false">IF(B61=0,IF(HU61=1,IZ61,JA61),0)</f>
        <v>0</v>
      </c>
      <c r="QY61" s="20" t="n">
        <f aca="false">IF(BB61=1,IF(HU61=1,JG61+JJ61,BC61-PW61)*(1+Slot4_Rate),0)</f>
        <v>0</v>
      </c>
      <c r="QZ61" s="20" t="n">
        <f aca="false">IF(AND(HU61=1,BB61=1),(JF61+JJ61)/F61,0)</f>
        <v>0</v>
      </c>
      <c r="RA61" s="20" t="n">
        <f aca="false">IF(B61=0,JF61+JJ61,0)</f>
        <v>0</v>
      </c>
      <c r="RB61" s="20" t="n">
        <f aca="false">IF(B61=0,IF(HU61=1,JH61,JI61),0)</f>
        <v>0</v>
      </c>
      <c r="RC61" s="20" t="n">
        <f aca="false">IF(BL61=1,IF(HU61=1,JO61+JR61,BM61-PU61)*(1+Slot5_Rate),0)</f>
        <v>0</v>
      </c>
      <c r="RD61" s="20" t="n">
        <f aca="false">IF(AND(HU61=1,BL61=1),(JN61+JR61)/F61,0)</f>
        <v>0</v>
      </c>
      <c r="RE61" s="20" t="n">
        <f aca="false">IF(B61=0,JN61+JR61,0)</f>
        <v>0</v>
      </c>
      <c r="RF61" s="20" t="n">
        <f aca="false">IF(B61=0,IF(HU61=1,JP61,JQ61),0)</f>
        <v>0</v>
      </c>
      <c r="RG61" s="20" t="n">
        <f aca="false">IF(BV61=1,IF(HU61=1,JW61+JZ61,BW61-PS61)*(1+Slot6_Rate),0)</f>
        <v>0</v>
      </c>
      <c r="RH61" s="20" t="n">
        <f aca="false">IF(AND(HU61=1,BV61=1),(JV61+JZ61)/F61,0)</f>
        <v>0</v>
      </c>
      <c r="RI61" s="20" t="n">
        <f aca="false">IF(B61=0,JV61+JZ61,0)</f>
        <v>0</v>
      </c>
      <c r="RJ61" s="20" t="n">
        <f aca="false">IF(B61=0,IF(HU61=1,JX61,JY61),0)</f>
        <v>0</v>
      </c>
      <c r="RK61" s="20" t="n">
        <f aca="false">IF(CF61=1,IF(HU61=1,KE61+KH61,CG61-PQ61)*(1+Slot7_Rate),0)</f>
        <v>0</v>
      </c>
      <c r="RL61" s="20" t="n">
        <f aca="false">IF(AND(HU61=1,CF61=1),(KD61+KH61)/F61,0)</f>
        <v>0</v>
      </c>
      <c r="RM61" s="20" t="n">
        <f aca="false">IF(B61=0,KD61+KH61,0)</f>
        <v>0</v>
      </c>
      <c r="RN61" s="20" t="n">
        <f aca="false">IF(B61=0,IF(HU61=1,KF61,KG61),0)</f>
        <v>0</v>
      </c>
      <c r="RO61" s="20" t="n">
        <f aca="false">IF(CP61=1,IF(HU61=1,KM61+KP61,CQ61-PO61)*(1+Slot8_Rate),0)</f>
        <v>0</v>
      </c>
      <c r="RP61" s="20" t="n">
        <f aca="false">IF(AND(HU61=1,CP61=1),(KL61+KP61)/F61,0)</f>
        <v>0</v>
      </c>
      <c r="RQ61" s="20" t="n">
        <f aca="false">IF(B61=0,KL61+KP61,0)</f>
        <v>0</v>
      </c>
      <c r="RR61" s="20" t="n">
        <f aca="false">IF(B61=0,IF(HU61=1,KN61,KO61),0)</f>
        <v>0</v>
      </c>
      <c r="RS61" s="20" t="n">
        <f aca="false">IF(CZ61=1,IF(HU61=1,KU61+KX61,DA61-PM61)*(1+Slot9_Rate),0)</f>
        <v>0</v>
      </c>
      <c r="RT61" s="20" t="n">
        <f aca="false">IF(AND(HU61=1,CZ61=1),(KT61+KX61)/F61,0)</f>
        <v>0</v>
      </c>
      <c r="RU61" s="20" t="n">
        <f aca="false">IF(B61=0,KT61+KX61,0)</f>
        <v>0</v>
      </c>
      <c r="RV61" s="20" t="n">
        <f aca="false">IF(B61=0,IF(HU61=1,KV61,KW61),0)</f>
        <v>0</v>
      </c>
      <c r="RW61" s="20" t="n">
        <f aca="false">IF(DJ61=1,IF(HU61=1,LC61+LF61,DK61-PK61)*(1+Slot10_Rate),0)</f>
        <v>0</v>
      </c>
      <c r="RX61" s="20" t="n">
        <f aca="false">IF(AND(HU61=1,DJ61=1),(LB61+LF61)/F61,0)</f>
        <v>0</v>
      </c>
      <c r="RY61" s="20" t="n">
        <f aca="false">IF(B61=0,LB61+LF61,0)</f>
        <v>0</v>
      </c>
      <c r="RZ61" s="20" t="n">
        <f aca="false">IF(B61=0,IF(HU61=1,LD61,LE61),0)</f>
        <v>0</v>
      </c>
      <c r="SA61" s="20" t="n">
        <f aca="false">IF(DT61=1,IF(HU61=1,LK61+LN61,DU61-PI61)*(1+Slot11_Rate),0)</f>
        <v>0</v>
      </c>
      <c r="SB61" s="20" t="n">
        <f aca="false">IF(AND(HU61=1,DT61=1),(LJ61+LN61)/F61,0)</f>
        <v>0</v>
      </c>
      <c r="SC61" s="20" t="n">
        <f aca="false">IF(B61=0,LJ61+LN61,0)</f>
        <v>0</v>
      </c>
      <c r="SD61" s="20" t="n">
        <f aca="false">IF(B61=0,IF(HU61=1,LL61,LM61),0)</f>
        <v>0</v>
      </c>
      <c r="SE61" s="20" t="n">
        <f aca="false">IF(ED61=1,IF(HU61=1,LS61+LV61,EE61-PG61)*(1+Slot12_Rate),0)</f>
        <v>0</v>
      </c>
      <c r="SF61" s="20" t="n">
        <f aca="false">IF(AND(HU61=1,ED61=1),(LR61+LV61)/F61,0)</f>
        <v>0</v>
      </c>
      <c r="SG61" s="20" t="n">
        <f aca="false">IF(B61=0,LR61+LV61,0)</f>
        <v>0</v>
      </c>
      <c r="SH61" s="20" t="n">
        <f aca="false">IF(B61=0,IF(HU61=1,LT61,LU61),0)</f>
        <v>0</v>
      </c>
      <c r="SI61" s="20" t="n">
        <f aca="false">IF(EN61=1,IF(HU61=1,MA61+MD61,EO61-PE61)*(1+Slot13_Rate),0)</f>
        <v>0</v>
      </c>
      <c r="SJ61" s="20" t="n">
        <f aca="false">IF(AND(HU61=1,EN61=1),(LZ61+MD61)/F61,0)</f>
        <v>0</v>
      </c>
      <c r="SK61" s="20" t="n">
        <f aca="false">IF(B61=0,LZ61+MD61,0)</f>
        <v>0</v>
      </c>
      <c r="SL61" s="20" t="n">
        <f aca="false">IF(B61=0,IF(HU61=1,MB61,MC61),0)</f>
        <v>0</v>
      </c>
      <c r="SM61" s="20" t="n">
        <f aca="false">IF(EX61=1,IF(HU61=1,MI61+ML61,EY61-PC61)*(1+Slot14_Rate),0)</f>
        <v>0</v>
      </c>
      <c r="SN61" s="20" t="n">
        <f aca="false">IF(AND(HU61=1,EX61=1),(MH61+ML61)/F61,0)</f>
        <v>0</v>
      </c>
      <c r="SO61" s="20" t="n">
        <f aca="false">IF(B61=0,MH61+ML61,0)</f>
        <v>0</v>
      </c>
      <c r="SP61" s="20" t="n">
        <f aca="false">IF(B61=0,IF(HU61=1,MJ61,MK61),0)</f>
        <v>0</v>
      </c>
      <c r="SQ61" s="20" t="n">
        <f aca="false">IF(FH61=1,IF(HU61=1,MQ61+MT61,FI61-PA61)*(1+Slot15_Rate),0)</f>
        <v>0</v>
      </c>
      <c r="SR61" s="20" t="n">
        <f aca="false">IF(AND(HU61=1,FH61=1),(MP61+MT61)/F61,0)</f>
        <v>0</v>
      </c>
      <c r="SS61" s="20" t="n">
        <f aca="false">IF(B61=0,MP61+MT61,0)</f>
        <v>0</v>
      </c>
      <c r="ST61" s="20" t="n">
        <f aca="false">IF(B61=0,IF(HU61=1,MR61,MS61),0)</f>
        <v>0</v>
      </c>
      <c r="SU61" s="20" t="n">
        <f aca="false">IF(FR61=1,IF(HU61=1,MY61+NB61,FS61-OY61)*(1+Slot16_Rate),0)</f>
        <v>0</v>
      </c>
      <c r="SV61" s="20" t="n">
        <f aca="false">IF(AND(HU61=1,FR61=1),(MX61+NB61)/F61,0)</f>
        <v>0</v>
      </c>
      <c r="SW61" s="20" t="n">
        <f aca="false">IF(B61=0,MX61+NB61,0)</f>
        <v>0</v>
      </c>
      <c r="SX61" s="20" t="n">
        <f aca="false">IF(B61=0,IF(HU61=1,MZ61,NA61),0)</f>
        <v>0</v>
      </c>
      <c r="SY61" s="20" t="n">
        <f aca="false">IF(GB61=1,IF(HU61=1,NG61+NJ61,GC61-OW61)*(1+Slot17_Rate),0)</f>
        <v>0</v>
      </c>
      <c r="SZ61" s="20" t="n">
        <f aca="false">IF(AND(HU61=1,GB61=1),(NF61+NJ61)/F61,0)</f>
        <v>0</v>
      </c>
      <c r="TA61" s="20" t="n">
        <f aca="false">IF(B61=0,NF61+NJ61,0)</f>
        <v>0</v>
      </c>
      <c r="TB61" s="20" t="n">
        <f aca="false">IF(B61=0,IF(HU61=1,NH61,NI61),0)</f>
        <v>0</v>
      </c>
      <c r="TC61" s="20" t="n">
        <f aca="false">IF(GL61=1,IF(HU61=1,NO61+NR61,GM61-OU61)*(1+Slot18_Rate),0)</f>
        <v>0</v>
      </c>
      <c r="TD61" s="20" t="n">
        <f aca="false">IF(AND(HU61=1,GL61=1),(NN61+NR61)/F61,0)</f>
        <v>0</v>
      </c>
      <c r="TE61" s="20" t="n">
        <f aca="false">IF(B61=0,NN61+NR61,0)</f>
        <v>0</v>
      </c>
      <c r="TF61" s="20" t="n">
        <f aca="false">IF(B61=0,IF(HU61=1,NP61,NQ61),0)</f>
        <v>0</v>
      </c>
      <c r="TG61" s="20" t="n">
        <f aca="false">IF(GV61=1,IF(HU61=1,NW61+NZ61,GW61-OS61)*(1+Slot19_Rate),0)</f>
        <v>0</v>
      </c>
      <c r="TH61" s="20" t="n">
        <f aca="false">IF(AND(HU61=1,GV61=1),(NV61+NZ61)/F61,0)</f>
        <v>0</v>
      </c>
      <c r="TI61" s="20" t="n">
        <f aca="false">IF(B61=0,NV61+NZ61,0)</f>
        <v>0</v>
      </c>
      <c r="TJ61" s="20" t="n">
        <f aca="false">IF(B61=0,IF(HU61=1,NX61,NY61),0)</f>
        <v>0</v>
      </c>
      <c r="TK61" s="20" t="n">
        <f aca="false">IF(HF61=1,IF(HU61=1,OE61+OH61,HG61-OQ61)*(1+Slot20_Rate),0)</f>
        <v>0</v>
      </c>
      <c r="TL61" s="20" t="n">
        <f aca="false">IF(AND(HU61=1,HF61=1),(OD61+OH61)/F61,0)</f>
        <v>0</v>
      </c>
      <c r="TM61" s="20" t="n">
        <f aca="false">IF(B61=0,OD61+OH61,0)</f>
        <v>0</v>
      </c>
      <c r="TN61" s="20" t="n">
        <f aca="false">IF(B61=0,IF(HU61=1,OF61,OG61),0)</f>
        <v>0</v>
      </c>
      <c r="TO61" s="20" t="n">
        <f aca="false">QK61+QL61+QM61+QQ61+QU61+QY61+RC61+RG61+RK61+RO61+RS61+RW61+SA61+SE61+SI61+SM61+SQ61+SU61+SY61+TC61+TG61+TK61</f>
        <v>0</v>
      </c>
      <c r="TP61" s="20" t="n">
        <f aca="false">QE61+HP61</f>
        <v>28321.5193716224</v>
      </c>
      <c r="TQ61" s="20" t="n">
        <f aca="false">I61+S61</f>
        <v>136532.801009712</v>
      </c>
      <c r="TR61" s="20" t="n">
        <f aca="false">1-G61</f>
        <v>1</v>
      </c>
      <c r="TS61" s="20" t="n">
        <f aca="false">IF(AND(RG_Exists=1,G61=0,C61=1),I61,0)</f>
        <v>136532.801009712</v>
      </c>
      <c r="TT61" s="20" t="n">
        <f aca="false">IF(AND(RG_Exists=1,G61=0,C61=1),I61-MIN(QE61,I61),0)</f>
        <v>108211.281638089</v>
      </c>
      <c r="TU61" s="20" t="n">
        <f aca="false">'Plan pay &amp; tax'!AD287</f>
        <v>122594.512363114</v>
      </c>
      <c r="TV61" s="20" t="n">
        <f aca="false">IF(AND(C61=1,QE61&gt;MAX(PR_Short1,TQ61*PR_Short2)),1,0)</f>
        <v>1</v>
      </c>
      <c r="TW61" s="20" t="n">
        <f aca="false">MIN(H61,I61+S61)</f>
        <v>108211.281638089</v>
      </c>
      <c r="TX61" s="20" t="n">
        <f aca="false">QF61+MAX(0,HQ61-HP61)</f>
        <v>0</v>
      </c>
      <c r="TY61" s="20" t="n">
        <f aca="false">QE61+HP61</f>
        <v>28321.5193716224</v>
      </c>
      <c r="TZ61" s="20" t="n">
        <f aca="false">IF(AND(C61=1,TY61&gt;PR_MinShort),1,0)</f>
        <v>1</v>
      </c>
      <c r="UA61" s="20" t="n">
        <f aca="false">IF(AND(C61=1,TZ61=0,TX61&gt;PR_MinShort),1,0)</f>
        <v>0</v>
      </c>
      <c r="UB61" s="20" t="n">
        <f aca="false">IF(AND(C61=1,QE61&gt;PR_MinShort),1,0)</f>
        <v>1</v>
      </c>
      <c r="UC61" s="20" t="n">
        <f aca="false">IF(AND(C61=1,QF61&gt;1,UJ61=0),1,0)</f>
        <v>0</v>
      </c>
      <c r="UD61" s="20" t="str">
        <f aca="false">IF(C61=0,"",IF(UJ61=1,"Gap to plan for: short "&amp;"€"&amp;TEXT(ROUND(TP61,0),"#,##0"),IF(QF61&gt;1,"Using savings","Comfortable")))</f>
        <v>Gap to plan for: short €28,322</v>
      </c>
      <c r="UE61" s="20" t="n">
        <f aca="false">IF(AND(INT(D61/10)*10=90,B61&gt;0),80,INT(D61/10)*10)</f>
        <v>80</v>
      </c>
      <c r="UF61" s="20" t="n">
        <f aca="false">IF(B61=0,1,IF(UE61&lt;&gt;UE60,UF60+1,UF60))</f>
        <v>6</v>
      </c>
      <c r="UG61" s="20" t="n">
        <f aca="false">IF(AND(C61=1,G61=1,QE61&gt;MAX(PR_Short1,TQ61*PR_Short2)),1,0)</f>
        <v>0</v>
      </c>
      <c r="UH61" s="20" t="n">
        <f aca="false">TR61*TV61</f>
        <v>1</v>
      </c>
      <c r="UI61" s="20" t="n">
        <f aca="false">IF(AND(V61=1,Slot1_PctLow=1),1,0)+IF(AND(AG61=1,Slot2_PctLow=1),1,0)+IF(AND(AQ61=1,Slot3_PctLow=1),1,0)+IF(AND(BA61=1,Slot4_PctLow=1),1,0)+IF(AND(BK61=1,Slot5_PctLow=1),1,0)+IF(AND(BU61=1,Slot6_PctLow=1),1,0)+IF(AND(CE61=1,Slot7_PctLow=1),1,0)+IF(AND(CO61=1,Slot8_PctLow=1),1,0)+IF(AND(CY61=1,Slot9_PctLow=1),1,0)+IF(AND(DI61=1,Slot10_PctLow=1),1,0)+IF(AND(DS61=1,Slot11_PctLow=1),1,0)+IF(AND(EC61=1,Slot12_PctLow=1),1,0)+IF(AND(EM61=1,Slot13_PctLow=1),1,0)+IF(AND(EW61=1,Slot14_PctLow=1),1,0)+IF(AND(FG61=1,Slot15_PctLow=1),1,0)+IF(AND(FQ61=1,Slot16_PctLow=1),1,0)+IF(AND(GA61=1,Slot17_PctLow=1),1,0)+IF(AND(GK61=1,Slot18_PctLow=1),1,0)+IF(AND(GU61=1,Slot19_PctLow=1),1,0)+IF(AND(HE61=1,Slot20_PctLow=1),1,0)</f>
        <v>0</v>
      </c>
      <c r="UJ61" s="20" t="n">
        <f aca="false">IF(C61=1,IF(OR(TV61=1,UI61&gt;0),1,0),0)</f>
        <v>1</v>
      </c>
    </row>
    <row r="62" customFormat="false" ht="15" hidden="false" customHeight="true" outlineLevel="0" collapsed="false">
      <c r="B62" s="20" t="n">
        <v>54</v>
      </c>
      <c r="C62" s="20" t="n">
        <f aca="false">IF(B62&lt;=F_N,1,0)</f>
        <v>1</v>
      </c>
      <c r="D62" s="20" t="n">
        <f aca="false">'Plan pay &amp; tax'!C288</f>
        <v>92</v>
      </c>
      <c r="E62" s="20" t="str">
        <f aca="false">IF($C62=1,"Income tax "&amp;TEXT(N('Plan pay &amp; tax'!BK288),"#,##0")&amp;"; USC "&amp;TEXT(N('Plan pay &amp; tax'!BM288)+N('Plan pay &amp; tax'!BO288),"#,##0")&amp;"; PRSI "&amp;TEXT(N('Plan pay &amp; tax'!BP288)+N('Plan pay &amp; tax'!BQ288),"#,##0")&amp;". DIRT and exit tax are inside the growth rates here.","")</f>
        <v>Income tax 1,076; USC 0; PRSI 0. DIRT and exit tax are inside the growth rates here.</v>
      </c>
      <c r="F62" s="44" t="n">
        <f aca="false">'Plan pay &amp; tax'!E288</f>
        <v>2.91346144414029</v>
      </c>
      <c r="G62" s="20" t="n">
        <f aca="false">'Plan pay &amp; tax'!G288</f>
        <v>0</v>
      </c>
      <c r="H62" s="20" t="n">
        <f aca="false">'Plan pay &amp; tax'!BT288-'Plan pay &amp; tax'!BS288-'Plan pay &amp; tax'!R288</f>
        <v>110648.863914996</v>
      </c>
      <c r="I62" s="20" t="n">
        <f aca="false">IF(G62=1,F_CostsM*12,IF(RG_Exists=1,RG_Amount,F_CostsM*12*AS_RetireSpend))*F62+F_OneOffY*F62</f>
        <v>139263.457029906</v>
      </c>
      <c r="J62" s="20" t="n">
        <f aca="false">HR61</f>
        <v>0</v>
      </c>
      <c r="K62" s="20" t="n">
        <f aca="false">IF(J62&gt;1,'Plan debt months'!AC62,0)</f>
        <v>0</v>
      </c>
      <c r="L62" s="20" t="n">
        <f aca="false">IF(J62&gt;1,'Plan debt months'!AB62,J62)</f>
        <v>0</v>
      </c>
      <c r="M62" s="20" t="n">
        <f aca="false">O61</f>
        <v>0</v>
      </c>
      <c r="N62" s="20" t="n">
        <f aca="false">IF(M62&gt;1,'Plan debt months'!BD62,0)</f>
        <v>0</v>
      </c>
      <c r="O62" s="20" t="n">
        <f aca="false">IF(M62&gt;1,'Plan debt months'!BC62,M62)</f>
        <v>0</v>
      </c>
      <c r="P62" s="20" t="n">
        <f aca="false">R61</f>
        <v>0</v>
      </c>
      <c r="Q62" s="20" t="n">
        <f aca="false">IF(P62&gt;1,'Plan debt months'!CE62,0)</f>
        <v>0</v>
      </c>
      <c r="R62" s="20" t="n">
        <f aca="false">IF(P62&gt;1,'Plan debt months'!CD62,P62)</f>
        <v>0</v>
      </c>
      <c r="S62" s="20" t="n">
        <f aca="false">K62+N62+Q62</f>
        <v>0</v>
      </c>
      <c r="T62" s="20" t="n">
        <f aca="false">QK61+'Plan pay &amp; tax'!Y288</f>
        <v>0</v>
      </c>
      <c r="U62" s="20" t="n">
        <f aca="false">QK61</f>
        <v>0</v>
      </c>
      <c r="V62" s="20" t="n">
        <f aca="false">IF(AND(Slot1_On=1,D62=Slot1_Age),1,0)</f>
        <v>0</v>
      </c>
      <c r="W62" s="20" t="n">
        <f aca="false">IF(AND(Slot1_On=1,Slot1_Age&gt;D62),1,0)</f>
        <v>0</v>
      </c>
      <c r="X62" s="20" t="n">
        <f aca="false">QM61</f>
        <v>0</v>
      </c>
      <c r="Y62" s="20" t="n">
        <f aca="false">V62*MIN(Slot1_Cost,X62)</f>
        <v>0</v>
      </c>
      <c r="Z62" s="20" t="n">
        <f aca="false">V62*Slot1_SpendLike*MIN(Slot1_Cost-Y62,T62)</f>
        <v>0</v>
      </c>
      <c r="AA62" s="20" t="n">
        <f aca="false">Y62+Z62</f>
        <v>0</v>
      </c>
      <c r="AB62" s="20" t="n">
        <f aca="false">T62-Z62+V62*IF(Slot1_SpendLike=1,X62-Y62,IF(Slot1_PotFree=1,X62,0))</f>
        <v>0</v>
      </c>
      <c r="AC62" s="20" t="n">
        <f aca="false">AF62+V62*Slot1_BufPot*X62</f>
        <v>0</v>
      </c>
      <c r="AD62" s="20" t="n">
        <f aca="false">IF(AND(V62=1,Slot1_IsMfree=1),IF(AA62&gt;=Slot1_Cost-1,0,MAX(0,L62-AA62)),L62)</f>
        <v>0</v>
      </c>
      <c r="AE62" s="20" t="n">
        <f aca="false">V62*(Slot1_Cost-AA62)</f>
        <v>0</v>
      </c>
      <c r="AF62" s="20" t="n">
        <f aca="false">QL61</f>
        <v>0</v>
      </c>
      <c r="AG62" s="20" t="n">
        <f aca="false">IF(AND(Slot2_On=1,D62=Slot2_Age),1,0)</f>
        <v>0</v>
      </c>
      <c r="AH62" s="20" t="n">
        <f aca="false">IF(AND(Slot2_On=1,Slot2_Age&gt;D62),1,0)</f>
        <v>0</v>
      </c>
      <c r="AI62" s="20" t="n">
        <f aca="false">QQ61</f>
        <v>0</v>
      </c>
      <c r="AJ62" s="20" t="n">
        <f aca="false">AG62*MIN(Slot2_Cost,AI62)</f>
        <v>0</v>
      </c>
      <c r="AK62" s="20" t="n">
        <f aca="false">AG62*Slot2_SpendLike*MIN(Slot2_Cost-AJ62,AB62)</f>
        <v>0</v>
      </c>
      <c r="AL62" s="20" t="n">
        <f aca="false">AJ62+AK62</f>
        <v>0</v>
      </c>
      <c r="AM62" s="20" t="n">
        <f aca="false">AB62-AK62+AG62*IF(Slot2_SpendLike=1,AI62-AJ62,IF(Slot2_PotFree=1,AI62,0))</f>
        <v>0</v>
      </c>
      <c r="AN62" s="20" t="n">
        <f aca="false">AC62+AG62*Slot2_BufPot*AI62</f>
        <v>0</v>
      </c>
      <c r="AO62" s="20" t="n">
        <f aca="false">IF(AND(AG62=1,Slot2_IsMfree=1),IF(AL62&gt;=Slot2_Cost-1,0,MAX(0,AD62-AL62)),AD62)</f>
        <v>0</v>
      </c>
      <c r="AP62" s="20" t="n">
        <f aca="false">AG62*(Slot2_Cost-AL62)</f>
        <v>0</v>
      </c>
      <c r="AQ62" s="20" t="n">
        <f aca="false">IF(AND(Slot3_On=1,D62=Slot3_Age),1,0)</f>
        <v>0</v>
      </c>
      <c r="AR62" s="20" t="n">
        <f aca="false">IF(AND(Slot3_On=1,Slot3_Age&gt;D62),1,0)</f>
        <v>0</v>
      </c>
      <c r="AS62" s="20" t="n">
        <f aca="false">QU61</f>
        <v>0</v>
      </c>
      <c r="AT62" s="20" t="n">
        <f aca="false">AQ62*MIN(Slot3_Cost,AS62)</f>
        <v>0</v>
      </c>
      <c r="AU62" s="20" t="n">
        <f aca="false">AQ62*Slot3_SpendLike*MIN(Slot3_Cost-AT62,AM62)</f>
        <v>0</v>
      </c>
      <c r="AV62" s="20" t="n">
        <f aca="false">AT62+AU62</f>
        <v>0</v>
      </c>
      <c r="AW62" s="20" t="n">
        <f aca="false">AM62-AU62+AQ62*IF(Slot3_SpendLike=1,AS62-AT62,IF(Slot3_PotFree=1,AS62,0))</f>
        <v>0</v>
      </c>
      <c r="AX62" s="20" t="n">
        <f aca="false">AN62+AQ62*Slot3_BufPot*AS62</f>
        <v>0</v>
      </c>
      <c r="AY62" s="20" t="n">
        <f aca="false">IF(AND(AQ62=1,Slot3_IsMfree=1),IF(AV62&gt;=Slot3_Cost-1,0,MAX(0,AO62-AV62)),AO62)</f>
        <v>0</v>
      </c>
      <c r="AZ62" s="20" t="n">
        <f aca="false">AQ62*(Slot3_Cost-AV62)</f>
        <v>0</v>
      </c>
      <c r="BA62" s="20" t="n">
        <f aca="false">IF(AND(Slot4_On=1,D62=Slot4_Age),1,0)</f>
        <v>0</v>
      </c>
      <c r="BB62" s="20" t="n">
        <f aca="false">IF(AND(Slot4_On=1,Slot4_Age&gt;D62),1,0)</f>
        <v>0</v>
      </c>
      <c r="BC62" s="20" t="n">
        <f aca="false">QY61</f>
        <v>0</v>
      </c>
      <c r="BD62" s="20" t="n">
        <f aca="false">BA62*MIN(Slot4_Cost,BC62)</f>
        <v>0</v>
      </c>
      <c r="BE62" s="20" t="n">
        <f aca="false">BA62*Slot4_SpendLike*MIN(Slot4_Cost-BD62,AW62)</f>
        <v>0</v>
      </c>
      <c r="BF62" s="20" t="n">
        <f aca="false">BD62+BE62</f>
        <v>0</v>
      </c>
      <c r="BG62" s="20" t="n">
        <f aca="false">AW62-BE62+BA62*IF(Slot4_SpendLike=1,BC62-BD62,IF(Slot4_PotFree=1,BC62,0))</f>
        <v>0</v>
      </c>
      <c r="BH62" s="20" t="n">
        <f aca="false">AX62+BA62*Slot4_BufPot*BC62</f>
        <v>0</v>
      </c>
      <c r="BI62" s="20" t="n">
        <f aca="false">IF(AND(BA62=1,Slot4_IsMfree=1),IF(BF62&gt;=Slot4_Cost-1,0,MAX(0,AY62-BF62)),AY62)</f>
        <v>0</v>
      </c>
      <c r="BJ62" s="20" t="n">
        <f aca="false">BA62*(Slot4_Cost-BF62)</f>
        <v>0</v>
      </c>
      <c r="BK62" s="20" t="n">
        <f aca="false">IF(AND(Slot5_On=1,D62=Slot5_Age),1,0)</f>
        <v>0</v>
      </c>
      <c r="BL62" s="20" t="n">
        <f aca="false">IF(AND(Slot5_On=1,Slot5_Age&gt;D62),1,0)</f>
        <v>0</v>
      </c>
      <c r="BM62" s="20" t="n">
        <f aca="false">RC61</f>
        <v>0</v>
      </c>
      <c r="BN62" s="20" t="n">
        <f aca="false">BK62*MIN(Slot5_Cost,BM62)</f>
        <v>0</v>
      </c>
      <c r="BO62" s="20" t="n">
        <f aca="false">BK62*Slot5_SpendLike*MIN(Slot5_Cost-BN62,BG62)</f>
        <v>0</v>
      </c>
      <c r="BP62" s="20" t="n">
        <f aca="false">BN62+BO62</f>
        <v>0</v>
      </c>
      <c r="BQ62" s="20" t="n">
        <f aca="false">BG62-BO62+BK62*IF(Slot5_SpendLike=1,BM62-BN62,IF(Slot5_PotFree=1,BM62,0))</f>
        <v>0</v>
      </c>
      <c r="BR62" s="20" t="n">
        <f aca="false">BH62+BK62*Slot5_BufPot*BM62</f>
        <v>0</v>
      </c>
      <c r="BS62" s="20" t="n">
        <f aca="false">IF(AND(BK62=1,Slot5_IsMfree=1),IF(BP62&gt;=Slot5_Cost-1,0,MAX(0,BI62-BP62)),BI62)</f>
        <v>0</v>
      </c>
      <c r="BT62" s="20" t="n">
        <f aca="false">BK62*(Slot5_Cost-BP62)</f>
        <v>0</v>
      </c>
      <c r="BU62" s="20" t="n">
        <f aca="false">IF(AND(Slot6_On=1,D62=Slot6_Age),1,0)</f>
        <v>0</v>
      </c>
      <c r="BV62" s="20" t="n">
        <f aca="false">IF(AND(Slot6_On=1,Slot6_Age&gt;D62),1,0)</f>
        <v>0</v>
      </c>
      <c r="BW62" s="20" t="n">
        <f aca="false">RG61</f>
        <v>0</v>
      </c>
      <c r="BX62" s="20" t="n">
        <f aca="false">BU62*MIN(Slot6_Cost,BW62)</f>
        <v>0</v>
      </c>
      <c r="BY62" s="20" t="n">
        <f aca="false">BU62*Slot6_SpendLike*MIN(Slot6_Cost-BX62,BQ62)</f>
        <v>0</v>
      </c>
      <c r="BZ62" s="20" t="n">
        <f aca="false">BX62+BY62</f>
        <v>0</v>
      </c>
      <c r="CA62" s="20" t="n">
        <f aca="false">BQ62-BY62+BU62*IF(Slot6_SpendLike=1,BW62-BX62,IF(Slot6_PotFree=1,BW62,0))</f>
        <v>0</v>
      </c>
      <c r="CB62" s="20" t="n">
        <f aca="false">BR62+BU62*Slot6_BufPot*BW62</f>
        <v>0</v>
      </c>
      <c r="CC62" s="20" t="n">
        <f aca="false">IF(AND(BU62=1,Slot6_IsMfree=1),IF(BZ62&gt;=Slot6_Cost-1,0,MAX(0,BS62-BZ62)),BS62)</f>
        <v>0</v>
      </c>
      <c r="CD62" s="20" t="n">
        <f aca="false">BU62*(Slot6_Cost-BZ62)</f>
        <v>0</v>
      </c>
      <c r="CE62" s="20" t="n">
        <f aca="false">IF(AND(Slot7_On=1,D62=Slot7_Age),1,0)</f>
        <v>0</v>
      </c>
      <c r="CF62" s="20" t="n">
        <f aca="false">IF(AND(Slot7_On=1,Slot7_Age&gt;D62),1,0)</f>
        <v>0</v>
      </c>
      <c r="CG62" s="20" t="n">
        <f aca="false">RK61</f>
        <v>0</v>
      </c>
      <c r="CH62" s="20" t="n">
        <f aca="false">CE62*MIN(Slot7_Cost,CG62)</f>
        <v>0</v>
      </c>
      <c r="CI62" s="20" t="n">
        <f aca="false">CE62*Slot7_SpendLike*MIN(Slot7_Cost-CH62,CA62)</f>
        <v>0</v>
      </c>
      <c r="CJ62" s="20" t="n">
        <f aca="false">CH62+CI62</f>
        <v>0</v>
      </c>
      <c r="CK62" s="20" t="n">
        <f aca="false">CA62-CI62+CE62*IF(Slot7_SpendLike=1,CG62-CH62,IF(Slot7_PotFree=1,CG62,0))</f>
        <v>0</v>
      </c>
      <c r="CL62" s="20" t="n">
        <f aca="false">CB62+CE62*Slot7_BufPot*CG62</f>
        <v>0</v>
      </c>
      <c r="CM62" s="20" t="n">
        <f aca="false">IF(AND(CE62=1,Slot7_IsMfree=1),IF(CJ62&gt;=Slot7_Cost-1,0,MAX(0,CC62-CJ62)),CC62)</f>
        <v>0</v>
      </c>
      <c r="CN62" s="20" t="n">
        <f aca="false">CE62*(Slot7_Cost-CJ62)</f>
        <v>0</v>
      </c>
      <c r="CO62" s="20" t="n">
        <f aca="false">IF(AND(Slot8_On=1,D62=Slot8_Age),1,0)</f>
        <v>0</v>
      </c>
      <c r="CP62" s="20" t="n">
        <f aca="false">IF(AND(Slot8_On=1,Slot8_Age&gt;D62),1,0)</f>
        <v>0</v>
      </c>
      <c r="CQ62" s="20" t="n">
        <f aca="false">RO61</f>
        <v>0</v>
      </c>
      <c r="CR62" s="20" t="n">
        <f aca="false">CO62*MIN(Slot8_Cost,CQ62)</f>
        <v>0</v>
      </c>
      <c r="CS62" s="20" t="n">
        <f aca="false">CO62*Slot8_SpendLike*MIN(Slot8_Cost-CR62,CK62)</f>
        <v>0</v>
      </c>
      <c r="CT62" s="20" t="n">
        <f aca="false">CR62+CS62</f>
        <v>0</v>
      </c>
      <c r="CU62" s="20" t="n">
        <f aca="false">CK62-CS62+CO62*IF(Slot8_SpendLike=1,CQ62-CR62,IF(Slot8_PotFree=1,CQ62,0))</f>
        <v>0</v>
      </c>
      <c r="CV62" s="20" t="n">
        <f aca="false">CL62+CO62*Slot8_BufPot*CQ62</f>
        <v>0</v>
      </c>
      <c r="CW62" s="20" t="n">
        <f aca="false">IF(AND(CO62=1,Slot8_IsMfree=1),IF(CT62&gt;=Slot8_Cost-1,0,MAX(0,CM62-CT62)),CM62)</f>
        <v>0</v>
      </c>
      <c r="CX62" s="20" t="n">
        <f aca="false">CO62*(Slot8_Cost-CT62)</f>
        <v>0</v>
      </c>
      <c r="CY62" s="20" t="n">
        <f aca="false">IF(AND(Slot9_On=1,D62=Slot9_Age),1,0)</f>
        <v>0</v>
      </c>
      <c r="CZ62" s="20" t="n">
        <f aca="false">IF(AND(Slot9_On=1,Slot9_Age&gt;D62),1,0)</f>
        <v>0</v>
      </c>
      <c r="DA62" s="20" t="n">
        <f aca="false">RS61</f>
        <v>0</v>
      </c>
      <c r="DB62" s="20" t="n">
        <f aca="false">CY62*MIN(Slot9_Cost,DA62)</f>
        <v>0</v>
      </c>
      <c r="DC62" s="20" t="n">
        <f aca="false">CY62*Slot9_SpendLike*MIN(Slot9_Cost-DB62,CU62)</f>
        <v>0</v>
      </c>
      <c r="DD62" s="20" t="n">
        <f aca="false">DB62+DC62</f>
        <v>0</v>
      </c>
      <c r="DE62" s="20" t="n">
        <f aca="false">CU62-DC62+CY62*IF(Slot9_SpendLike=1,DA62-DB62,IF(Slot9_PotFree=1,DA62,0))</f>
        <v>0</v>
      </c>
      <c r="DF62" s="20" t="n">
        <f aca="false">CV62+CY62*Slot9_BufPot*DA62</f>
        <v>0</v>
      </c>
      <c r="DG62" s="20" t="n">
        <f aca="false">IF(AND(CY62=1,Slot9_IsMfree=1),IF(DD62&gt;=Slot9_Cost-1,0,MAX(0,CW62-DD62)),CW62)</f>
        <v>0</v>
      </c>
      <c r="DH62" s="20" t="n">
        <f aca="false">CY62*(Slot9_Cost-DD62)</f>
        <v>0</v>
      </c>
      <c r="DI62" s="20" t="n">
        <f aca="false">IF(AND(Slot10_On=1,D62=Slot10_Age),1,0)</f>
        <v>0</v>
      </c>
      <c r="DJ62" s="20" t="n">
        <f aca="false">IF(AND(Slot10_On=1,Slot10_Age&gt;D62),1,0)</f>
        <v>0</v>
      </c>
      <c r="DK62" s="20" t="n">
        <f aca="false">RW61</f>
        <v>0</v>
      </c>
      <c r="DL62" s="20" t="n">
        <f aca="false">DI62*MIN(Slot10_Cost,DK62)</f>
        <v>0</v>
      </c>
      <c r="DM62" s="20" t="n">
        <f aca="false">DI62*Slot10_SpendLike*MIN(Slot10_Cost-DL62,DE62)</f>
        <v>0</v>
      </c>
      <c r="DN62" s="20" t="n">
        <f aca="false">DL62+DM62</f>
        <v>0</v>
      </c>
      <c r="DO62" s="20" t="n">
        <f aca="false">DE62-DM62+DI62*IF(Slot10_SpendLike=1,DK62-DL62,IF(Slot10_PotFree=1,DK62,0))</f>
        <v>0</v>
      </c>
      <c r="DP62" s="20" t="n">
        <f aca="false">DF62+DI62*Slot10_BufPot*DK62</f>
        <v>0</v>
      </c>
      <c r="DQ62" s="20" t="n">
        <f aca="false">IF(AND(DI62=1,Slot10_IsMfree=1),IF(DN62&gt;=Slot10_Cost-1,0,MAX(0,DG62-DN62)),DG62)</f>
        <v>0</v>
      </c>
      <c r="DR62" s="20" t="n">
        <f aca="false">DI62*(Slot10_Cost-DN62)</f>
        <v>0</v>
      </c>
      <c r="DS62" s="20" t="n">
        <f aca="false">IF(AND(Slot11_On=1,D62=Slot11_Age),1,0)</f>
        <v>0</v>
      </c>
      <c r="DT62" s="20" t="n">
        <f aca="false">IF(AND(Slot11_On=1,Slot11_Age&gt;D62),1,0)</f>
        <v>0</v>
      </c>
      <c r="DU62" s="20" t="n">
        <f aca="false">SA61</f>
        <v>0</v>
      </c>
      <c r="DV62" s="20" t="n">
        <f aca="false">DS62*MIN(Slot11_Cost,DU62)</f>
        <v>0</v>
      </c>
      <c r="DW62" s="20" t="n">
        <f aca="false">DS62*Slot11_SpendLike*MIN(Slot11_Cost-DV62,DO62)</f>
        <v>0</v>
      </c>
      <c r="DX62" s="20" t="n">
        <f aca="false">DV62+DW62</f>
        <v>0</v>
      </c>
      <c r="DY62" s="20" t="n">
        <f aca="false">DO62-DW62+DS62*IF(Slot11_SpendLike=1,DU62-DV62,IF(Slot11_PotFree=1,DU62,0))</f>
        <v>0</v>
      </c>
      <c r="DZ62" s="20" t="n">
        <f aca="false">DP62+DS62*Slot11_BufPot*DU62</f>
        <v>0</v>
      </c>
      <c r="EA62" s="20" t="n">
        <f aca="false">IF(AND(DS62=1,Slot11_IsMfree=1),IF(DX62&gt;=Slot11_Cost-1,0,MAX(0,DQ62-DX62)),DQ62)</f>
        <v>0</v>
      </c>
      <c r="EB62" s="20" t="n">
        <f aca="false">DS62*(Slot11_Cost-DX62)</f>
        <v>0</v>
      </c>
      <c r="EC62" s="20" t="n">
        <f aca="false">IF(AND(Slot12_On=1,D62=Slot12_Age),1,0)</f>
        <v>0</v>
      </c>
      <c r="ED62" s="20" t="n">
        <f aca="false">IF(AND(Slot12_On=1,Slot12_Age&gt;D62),1,0)</f>
        <v>0</v>
      </c>
      <c r="EE62" s="20" t="n">
        <f aca="false">SE61</f>
        <v>0</v>
      </c>
      <c r="EF62" s="20" t="n">
        <f aca="false">EC62*MIN(Slot12_Cost,EE62)</f>
        <v>0</v>
      </c>
      <c r="EG62" s="20" t="n">
        <f aca="false">EC62*Slot12_SpendLike*MIN(Slot12_Cost-EF62,DY62)</f>
        <v>0</v>
      </c>
      <c r="EH62" s="20" t="n">
        <f aca="false">EF62+EG62</f>
        <v>0</v>
      </c>
      <c r="EI62" s="20" t="n">
        <f aca="false">DY62-EG62+EC62*IF(Slot12_SpendLike=1,EE62-EF62,IF(Slot12_PotFree=1,EE62,0))</f>
        <v>0</v>
      </c>
      <c r="EJ62" s="20" t="n">
        <f aca="false">DZ62+EC62*Slot12_BufPot*EE62</f>
        <v>0</v>
      </c>
      <c r="EK62" s="20" t="n">
        <f aca="false">IF(AND(EC62=1,Slot12_IsMfree=1),IF(EH62&gt;=Slot12_Cost-1,0,MAX(0,EA62-EH62)),EA62)</f>
        <v>0</v>
      </c>
      <c r="EL62" s="20" t="n">
        <f aca="false">EC62*(Slot12_Cost-EH62)</f>
        <v>0</v>
      </c>
      <c r="EM62" s="20" t="n">
        <f aca="false">IF(AND(Slot13_On=1,D62=Slot13_Age),1,0)</f>
        <v>0</v>
      </c>
      <c r="EN62" s="20" t="n">
        <f aca="false">IF(AND(Slot13_On=1,Slot13_Age&gt;D62),1,0)</f>
        <v>0</v>
      </c>
      <c r="EO62" s="20" t="n">
        <f aca="false">SI61</f>
        <v>0</v>
      </c>
      <c r="EP62" s="20" t="n">
        <f aca="false">EM62*MIN(Slot13_Cost,EO62)</f>
        <v>0</v>
      </c>
      <c r="EQ62" s="20" t="n">
        <f aca="false">EM62*Slot13_SpendLike*MIN(Slot13_Cost-EP62,EI62)</f>
        <v>0</v>
      </c>
      <c r="ER62" s="20" t="n">
        <f aca="false">EP62+EQ62</f>
        <v>0</v>
      </c>
      <c r="ES62" s="20" t="n">
        <f aca="false">EI62-EQ62+EM62*IF(Slot13_SpendLike=1,EO62-EP62,IF(Slot13_PotFree=1,EO62,0))</f>
        <v>0</v>
      </c>
      <c r="ET62" s="20" t="n">
        <f aca="false">EJ62+EM62*Slot13_BufPot*EO62</f>
        <v>0</v>
      </c>
      <c r="EU62" s="20" t="n">
        <f aca="false">IF(AND(EM62=1,Slot13_IsMfree=1),IF(ER62&gt;=Slot13_Cost-1,0,MAX(0,EK62-ER62)),EK62)</f>
        <v>0</v>
      </c>
      <c r="EV62" s="20" t="n">
        <f aca="false">EM62*(Slot13_Cost-ER62)</f>
        <v>0</v>
      </c>
      <c r="EW62" s="20" t="n">
        <f aca="false">IF(AND(Slot14_On=1,D62=Slot14_Age),1,0)</f>
        <v>0</v>
      </c>
      <c r="EX62" s="20" t="n">
        <f aca="false">IF(AND(Slot14_On=1,Slot14_Age&gt;D62),1,0)</f>
        <v>0</v>
      </c>
      <c r="EY62" s="20" t="n">
        <f aca="false">SM61</f>
        <v>0</v>
      </c>
      <c r="EZ62" s="20" t="n">
        <f aca="false">EW62*MIN(Slot14_Cost,EY62)</f>
        <v>0</v>
      </c>
      <c r="FA62" s="20" t="n">
        <f aca="false">EW62*Slot14_SpendLike*MIN(Slot14_Cost-EZ62,ES62)</f>
        <v>0</v>
      </c>
      <c r="FB62" s="20" t="n">
        <f aca="false">EZ62+FA62</f>
        <v>0</v>
      </c>
      <c r="FC62" s="20" t="n">
        <f aca="false">ES62-FA62+EW62*IF(Slot14_SpendLike=1,EY62-EZ62,IF(Slot14_PotFree=1,EY62,0))</f>
        <v>0</v>
      </c>
      <c r="FD62" s="20" t="n">
        <f aca="false">ET62+EW62*Slot14_BufPot*EY62</f>
        <v>0</v>
      </c>
      <c r="FE62" s="20" t="n">
        <f aca="false">IF(AND(EW62=1,Slot14_IsMfree=1),IF(FB62&gt;=Slot14_Cost-1,0,MAX(0,EU62-FB62)),EU62)</f>
        <v>0</v>
      </c>
      <c r="FF62" s="20" t="n">
        <f aca="false">EW62*(Slot14_Cost-FB62)</f>
        <v>0</v>
      </c>
      <c r="FG62" s="20" t="n">
        <f aca="false">IF(AND(Slot15_On=1,D62=Slot15_Age),1,0)</f>
        <v>0</v>
      </c>
      <c r="FH62" s="20" t="n">
        <f aca="false">IF(AND(Slot15_On=1,Slot15_Age&gt;D62),1,0)</f>
        <v>0</v>
      </c>
      <c r="FI62" s="20" t="n">
        <f aca="false">SQ61</f>
        <v>0</v>
      </c>
      <c r="FJ62" s="20" t="n">
        <f aca="false">FG62*MIN(Slot15_Cost,FI62)</f>
        <v>0</v>
      </c>
      <c r="FK62" s="20" t="n">
        <f aca="false">FG62*Slot15_SpendLike*MIN(Slot15_Cost-FJ62,FC62)</f>
        <v>0</v>
      </c>
      <c r="FL62" s="20" t="n">
        <f aca="false">FJ62+FK62</f>
        <v>0</v>
      </c>
      <c r="FM62" s="20" t="n">
        <f aca="false">FC62-FK62+FG62*IF(Slot15_SpendLike=1,FI62-FJ62,IF(Slot15_PotFree=1,FI62,0))</f>
        <v>0</v>
      </c>
      <c r="FN62" s="20" t="n">
        <f aca="false">FD62+FG62*Slot15_BufPot*FI62</f>
        <v>0</v>
      </c>
      <c r="FO62" s="20" t="n">
        <f aca="false">IF(AND(FG62=1,Slot15_IsMfree=1),IF(FL62&gt;=Slot15_Cost-1,0,MAX(0,FE62-FL62)),FE62)</f>
        <v>0</v>
      </c>
      <c r="FP62" s="20" t="n">
        <f aca="false">FG62*(Slot15_Cost-FL62)</f>
        <v>0</v>
      </c>
      <c r="FQ62" s="20" t="n">
        <f aca="false">IF(AND(Slot16_On=1,D62=Slot16_Age),1,0)</f>
        <v>0</v>
      </c>
      <c r="FR62" s="20" t="n">
        <f aca="false">IF(AND(Slot16_On=1,Slot16_Age&gt;D62),1,0)</f>
        <v>0</v>
      </c>
      <c r="FS62" s="20" t="n">
        <f aca="false">SU61</f>
        <v>0</v>
      </c>
      <c r="FT62" s="20" t="n">
        <f aca="false">FQ62*MIN(Slot16_Cost,FS62)</f>
        <v>0</v>
      </c>
      <c r="FU62" s="20" t="n">
        <f aca="false">FQ62*Slot16_SpendLike*MIN(Slot16_Cost-FT62,FM62)</f>
        <v>0</v>
      </c>
      <c r="FV62" s="20" t="n">
        <f aca="false">FT62+FU62</f>
        <v>0</v>
      </c>
      <c r="FW62" s="20" t="n">
        <f aca="false">FM62-FU62+FQ62*IF(Slot16_SpendLike=1,FS62-FT62,IF(Slot16_PotFree=1,FS62,0))</f>
        <v>0</v>
      </c>
      <c r="FX62" s="20" t="n">
        <f aca="false">FN62+FQ62*Slot16_BufPot*FS62</f>
        <v>0</v>
      </c>
      <c r="FY62" s="20" t="n">
        <f aca="false">IF(AND(FQ62=1,Slot16_IsMfree=1),IF(FV62&gt;=Slot16_Cost-1,0,MAX(0,FO62-FV62)),FO62)</f>
        <v>0</v>
      </c>
      <c r="FZ62" s="20" t="n">
        <f aca="false">FQ62*(Slot16_Cost-FV62)</f>
        <v>0</v>
      </c>
      <c r="GA62" s="20" t="n">
        <f aca="false">IF(AND(Slot17_On=1,D62=Slot17_Age),1,0)</f>
        <v>0</v>
      </c>
      <c r="GB62" s="20" t="n">
        <f aca="false">IF(AND(Slot17_On=1,Slot17_Age&gt;D62),1,0)</f>
        <v>0</v>
      </c>
      <c r="GC62" s="20" t="n">
        <f aca="false">SY61</f>
        <v>0</v>
      </c>
      <c r="GD62" s="20" t="n">
        <f aca="false">GA62*MIN(Slot17_Cost,GC62)</f>
        <v>0</v>
      </c>
      <c r="GE62" s="20" t="n">
        <f aca="false">GA62*Slot17_SpendLike*MIN(Slot17_Cost-GD62,FW62)</f>
        <v>0</v>
      </c>
      <c r="GF62" s="20" t="n">
        <f aca="false">GD62+GE62</f>
        <v>0</v>
      </c>
      <c r="GG62" s="20" t="n">
        <f aca="false">FW62-GE62+GA62*IF(Slot17_SpendLike=1,GC62-GD62,IF(Slot17_PotFree=1,GC62,0))</f>
        <v>0</v>
      </c>
      <c r="GH62" s="20" t="n">
        <f aca="false">FX62+GA62*Slot17_BufPot*GC62</f>
        <v>0</v>
      </c>
      <c r="GI62" s="20" t="n">
        <f aca="false">IF(AND(GA62=1,Slot17_IsMfree=1),IF(GF62&gt;=Slot17_Cost-1,0,MAX(0,FY62-GF62)),FY62)</f>
        <v>0</v>
      </c>
      <c r="GJ62" s="20" t="n">
        <f aca="false">GA62*(Slot17_Cost-GF62)</f>
        <v>0</v>
      </c>
      <c r="GK62" s="20" t="n">
        <f aca="false">IF(AND(Slot18_On=1,D62=Slot18_Age),1,0)</f>
        <v>0</v>
      </c>
      <c r="GL62" s="20" t="n">
        <f aca="false">IF(AND(Slot18_On=1,Slot18_Age&gt;D62),1,0)</f>
        <v>0</v>
      </c>
      <c r="GM62" s="20" t="n">
        <f aca="false">TC61</f>
        <v>0</v>
      </c>
      <c r="GN62" s="20" t="n">
        <f aca="false">GK62*MIN(Slot18_Cost,GM62)</f>
        <v>0</v>
      </c>
      <c r="GO62" s="20" t="n">
        <f aca="false">GK62*Slot18_SpendLike*MIN(Slot18_Cost-GN62,GG62)</f>
        <v>0</v>
      </c>
      <c r="GP62" s="20" t="n">
        <f aca="false">GN62+GO62</f>
        <v>0</v>
      </c>
      <c r="GQ62" s="20" t="n">
        <f aca="false">GG62-GO62+GK62*IF(Slot18_SpendLike=1,GM62-GN62,IF(Slot18_PotFree=1,GM62,0))</f>
        <v>0</v>
      </c>
      <c r="GR62" s="20" t="n">
        <f aca="false">GH62+GK62*Slot18_BufPot*GM62</f>
        <v>0</v>
      </c>
      <c r="GS62" s="20" t="n">
        <f aca="false">IF(AND(GK62=1,Slot18_IsMfree=1),IF(GP62&gt;=Slot18_Cost-1,0,MAX(0,GI62-GP62)),GI62)</f>
        <v>0</v>
      </c>
      <c r="GT62" s="20" t="n">
        <f aca="false">GK62*(Slot18_Cost-GP62)</f>
        <v>0</v>
      </c>
      <c r="GU62" s="20" t="n">
        <f aca="false">IF(AND(Slot19_On=1,D62=Slot19_Age),1,0)</f>
        <v>0</v>
      </c>
      <c r="GV62" s="20" t="n">
        <f aca="false">IF(AND(Slot19_On=1,Slot19_Age&gt;D62),1,0)</f>
        <v>0</v>
      </c>
      <c r="GW62" s="20" t="n">
        <f aca="false">TG61</f>
        <v>0</v>
      </c>
      <c r="GX62" s="20" t="n">
        <f aca="false">GU62*MIN(Slot19_Cost,GW62)</f>
        <v>0</v>
      </c>
      <c r="GY62" s="20" t="n">
        <f aca="false">GU62*Slot19_SpendLike*MIN(Slot19_Cost-GX62,GQ62)</f>
        <v>0</v>
      </c>
      <c r="GZ62" s="20" t="n">
        <f aca="false">GX62+GY62</f>
        <v>0</v>
      </c>
      <c r="HA62" s="20" t="n">
        <f aca="false">GQ62-GY62+GU62*IF(Slot19_SpendLike=1,GW62-GX62,IF(Slot19_PotFree=1,GW62,0))</f>
        <v>0</v>
      </c>
      <c r="HB62" s="20" t="n">
        <f aca="false">GR62+GU62*Slot19_BufPot*GW62</f>
        <v>0</v>
      </c>
      <c r="HC62" s="20" t="n">
        <f aca="false">IF(AND(GU62=1,Slot19_IsMfree=1),IF(GZ62&gt;=Slot19_Cost-1,0,MAX(0,GS62-GZ62)),GS62)</f>
        <v>0</v>
      </c>
      <c r="HD62" s="20" t="n">
        <f aca="false">GU62*(Slot19_Cost-GZ62)</f>
        <v>0</v>
      </c>
      <c r="HE62" s="20" t="n">
        <f aca="false">IF(AND(Slot20_On=1,D62=Slot20_Age),1,0)</f>
        <v>0</v>
      </c>
      <c r="HF62" s="20" t="n">
        <f aca="false">IF(AND(Slot20_On=1,Slot20_Age&gt;D62),1,0)</f>
        <v>0</v>
      </c>
      <c r="HG62" s="20" t="n">
        <f aca="false">TK61</f>
        <v>0</v>
      </c>
      <c r="HH62" s="20" t="n">
        <f aca="false">HE62*MIN(Slot20_Cost,HG62)</f>
        <v>0</v>
      </c>
      <c r="HI62" s="20" t="n">
        <f aca="false">HE62*Slot20_SpendLike*MIN(Slot20_Cost-HH62,HA62)</f>
        <v>0</v>
      </c>
      <c r="HJ62" s="20" t="n">
        <f aca="false">HH62+HI62</f>
        <v>0</v>
      </c>
      <c r="HK62" s="20" t="n">
        <f aca="false">HA62-HI62+HE62*IF(Slot20_SpendLike=1,HG62-HH62,IF(Slot20_PotFree=1,HG62,0))</f>
        <v>0</v>
      </c>
      <c r="HL62" s="20" t="n">
        <f aca="false">HB62+HE62*Slot20_BufPot*HG62</f>
        <v>0</v>
      </c>
      <c r="HM62" s="20" t="n">
        <f aca="false">IF(AND(HE62=1,Slot20_IsMfree=1),IF(HJ62&gt;=Slot20_Cost-1,0,MAX(0,HC62-HJ62)),HC62)</f>
        <v>0</v>
      </c>
      <c r="HN62" s="20" t="n">
        <f aca="false">HE62*(Slot20_Cost-HJ62)</f>
        <v>0</v>
      </c>
      <c r="HO62" s="20" t="n">
        <f aca="false">V62*Slot1_SpendLike*AA62+AG62*Slot2_SpendLike*AL62+AQ62*Slot3_SpendLike*AV62+BA62*Slot4_SpendLike*BF62+BK62*Slot5_SpendLike*BP62+BU62*Slot6_SpendLike*BZ62+CE62*Slot7_SpendLike*CJ62+CO62*Slot8_SpendLike*CT62+CY62*Slot9_SpendLike*DD62+DI62*Slot10_SpendLike*DN62+DS62*Slot11_SpendLike*DX62+EC62*Slot12_SpendLike*EH62+EM62*Slot13_SpendLike*ER62+EW62*Slot14_SpendLike*FB62+FG62*Slot15_SpendLike*FL62+FQ62*Slot16_SpendLike*FV62+GA62*Slot17_SpendLike*GF62+GK62*Slot18_SpendLike*GP62+GU62*Slot19_SpendLike*GZ62+HE62*Slot20_SpendLike*HJ62</f>
        <v>0</v>
      </c>
      <c r="HP62" s="20" t="n">
        <f aca="false">AE62+AP62+AZ62+BJ62+BT62+CD62+CN62+CX62+DH62+DR62+EB62+EL62+EV62+FF62+FP62+FZ62+GJ62+GT62+HD62+HN62</f>
        <v>0</v>
      </c>
      <c r="HQ62" s="20" t="n">
        <f aca="false">V62*Slot1_Cost+AG62*Slot2_Cost+AQ62*Slot3_Cost+BA62*Slot4_Cost+BK62*Slot5_Cost+BU62*Slot6_Cost+CE62*Slot7_Cost+CO62*Slot8_Cost+CY62*Slot9_Cost+DI62*Slot10_Cost+DS62*Slot11_Cost+EC62*Slot12_Cost+EM62*Slot13_Cost+EW62*Slot14_Cost+FG62*Slot15_Cost+FQ62*Slot16_Cost+GA62*Slot17_Cost+GK62*Slot18_Cost+GU62*Slot19_Cost+HE62*Slot20_Cost</f>
        <v>0</v>
      </c>
      <c r="HR62" s="20" t="n">
        <f aca="false">HM62</f>
        <v>0</v>
      </c>
      <c r="HS62" s="20" t="n">
        <f aca="false">H62-I62-S62</f>
        <v>-28614.5931149102</v>
      </c>
      <c r="HT62" s="20" t="n">
        <f aca="false">IF(B62=0,IF(AND(Has_q6=1,In_q6=4),PR_ShareVaries*(MAX(0,HS62)/12),MIN(IF(Has_q6=1,CHOOSE(In_q6+1,PR_SaveB1,PR_SaveB2,PR_SaveB3,PR_SaveB4,0),AS_NoAnswer),AS_SaveShare*(MAX(0,HS62)/12))),HT61)</f>
        <v>62.3316893520437</v>
      </c>
      <c r="HU62" s="20" t="n">
        <f aca="false">IF(HS62&gt;=0,1,0)</f>
        <v>0</v>
      </c>
      <c r="HV62" s="20" t="n">
        <f aca="false">MAX(0,HS62/12/F62)</f>
        <v>0</v>
      </c>
      <c r="HW62" s="20" t="n">
        <f aca="false">IF(AND(Has_q6=1,In_q6=4),PR_ShareVaries*(HV62),MIN(IF(Has_q6=1,CHOOSE(In_q6+1,PR_SaveB1,PR_SaveB2,PR_SaveB3,PR_SaveB4,0),AS_NoAnswer),AS_SaveShare*(HV62)))</f>
        <v>0</v>
      </c>
      <c r="HX62" s="20" t="n">
        <f aca="false">IF(Has_saveM=1,IF(In_saveUp="Yes",1,IF(In_saveUp="No",0,IF(In_saveM&gt;=HT62-0.5,1,0))),0)</f>
        <v>0</v>
      </c>
      <c r="HY62" s="20" t="n">
        <f aca="false">IF(Has_saveM=1,MIN(HV62,IF(HX62=1,MAX(In_saveM,HW62),MIN(In_saveM,HW62))),HW62)</f>
        <v>0</v>
      </c>
      <c r="HZ62" s="20" t="n">
        <f aca="false">IF(G62=1,HY62*12*F62,0)</f>
        <v>0</v>
      </c>
      <c r="IA62" s="20" t="n">
        <f aca="false">MAX(0,HZ62+IF(AND(WI_Retire=0,WI_M&lt;0,G62=1),WI_M*12*F62,0))</f>
        <v>0</v>
      </c>
      <c r="IB62" s="20" t="n">
        <f aca="false">Slot1_IsWG*W62+Slot2_IsWG*AH62+Slot3_IsWG*AR62+Slot4_IsWG*BB62+Slot5_IsWG*BL62+Slot6_IsWG*BV62+Slot7_IsWG*CF62+Slot8_IsWG*CP62+Slot9_IsWG*CZ62+Slot10_IsWG*DJ62+Slot11_IsWG*DT62+Slot12_IsWG*ED62+Slot13_IsWG*EN62+Slot14_IsWG*EX62+Slot15_IsWG*FH62+Slot16_IsWG*FR62+Slot17_IsWG*GB62+Slot18_IsWG*GL62+Slot19_IsWG*GV62+Slot20_IsWG*HF62</f>
        <v>0</v>
      </c>
      <c r="IC62" s="20" t="n">
        <f aca="false">IF(AND(WI_Retire=0,WI_M&gt;0,G62=1,IB62&gt;=1),WI_M*12*F62,0)</f>
        <v>0</v>
      </c>
      <c r="ID62" s="20" t="n">
        <f aca="false">IF(HU62=1,MIN(IA62,HS62),0)</f>
        <v>0</v>
      </c>
      <c r="IE62" s="20" t="n">
        <f aca="false">IF(HU62=1,MIN(IC62,HS62-ID62),0)</f>
        <v>0</v>
      </c>
      <c r="IF62" s="20" t="n">
        <f aca="false">IF(W62=1,IF(ABS((1+AS_Wage)/(1+Slot1_Rate)-1)&lt;0.000000000001,(Slot1_Age-D62)*(1+Slot1_Rate)^(Slot1_Age-D62),(1+Slot1_Rate)^(Slot1_Age-D62)*(1-((1+AS_Wage)/(1+Slot1_Rate))^(Slot1_Age-D62))/(1-(1+AS_Wage)/(1+Slot1_Rate))),1)</f>
        <v>1</v>
      </c>
      <c r="IG62" s="20" t="n">
        <f aca="false">IF(AND(HU62=1,IE62&gt;0,Slot1_IsWG=1,W62=1),MAX(0,(Slot1_Cost-X62*(1+Slot1_Rate)^(Slot1_Age-D62))/IF62),0)</f>
        <v>0</v>
      </c>
      <c r="IH62" s="20" t="n">
        <f aca="false">IF(AND(HU62=1,IE62&gt;0,Slot1_IsWG=1,W62=1),MIN(IE62,IG62),0)</f>
        <v>0</v>
      </c>
      <c r="II62" s="20" t="n">
        <f aca="false">X62+IH62</f>
        <v>0</v>
      </c>
      <c r="IJ62" s="20" t="n">
        <f aca="false">IF(W62=1,MAX(0,(Slot1_Cost-II62*(1+Slot1_Rate)^(Slot1_Age-D62))/IF62),0)</f>
        <v>0</v>
      </c>
      <c r="IK62" s="20" t="n">
        <f aca="false">IF(W62=1,MAX(0,(Slot1_Cost-X62*(1+Slot1_Rate)^(Slot1_Age-D62))/IF62),0)</f>
        <v>0</v>
      </c>
      <c r="IL62" s="20" t="n">
        <f aca="false">IF(AND(HU62=1,W62=1),MIN(ID62,IJ62),0)</f>
        <v>0</v>
      </c>
      <c r="IM62" s="20" t="n">
        <f aca="false">ID62-IL62</f>
        <v>0</v>
      </c>
      <c r="IN62" s="20" t="n">
        <f aca="false">IF(AH62=1,IF(ABS((1+AS_Wage)/(1+Slot2_Rate)-1)&lt;0.000000000001,(Slot2_Age-D62)*(1+Slot2_Rate)^(Slot2_Age-D62),(1+Slot2_Rate)^(Slot2_Age-D62)*(1-((1+AS_Wage)/(1+Slot2_Rate))^(Slot2_Age-D62))/(1-(1+AS_Wage)/(1+Slot2_Rate))),1)</f>
        <v>1</v>
      </c>
      <c r="IO62" s="20" t="n">
        <f aca="false">IF(AND(HU62=1,IE62&gt;0,Slot2_IsWG=1,AH62=1),MAX(0,(Slot2_Cost-AI62*(1+Slot2_Rate)^(Slot2_Age-D62))/IN62),0)</f>
        <v>0</v>
      </c>
      <c r="IP62" s="20" t="n">
        <f aca="false">IF(AND(HU62=1,IE62&gt;0,Slot2_IsWG=1,AH62=1),MIN(IE62,IO62),0)</f>
        <v>0</v>
      </c>
      <c r="IQ62" s="20" t="n">
        <f aca="false">AI62+IP62</f>
        <v>0</v>
      </c>
      <c r="IR62" s="20" t="n">
        <f aca="false">IF(AH62=1,MAX(0,(Slot2_Cost-IQ62*(1+Slot2_Rate)^(Slot2_Age-D62))/IN62),0)</f>
        <v>0</v>
      </c>
      <c r="IS62" s="20" t="n">
        <f aca="false">IF(AH62=1,MAX(0,(Slot2_Cost-AI62*(1+Slot2_Rate)^(Slot2_Age-D62))/IN62),0)</f>
        <v>0</v>
      </c>
      <c r="IT62" s="20" t="n">
        <f aca="false">IF(AND(HU62=1,AH62=1),MIN(IM62,IR62),0)</f>
        <v>0</v>
      </c>
      <c r="IU62" s="20" t="n">
        <f aca="false">IM62-IT62</f>
        <v>0</v>
      </c>
      <c r="IV62" s="20" t="n">
        <f aca="false">IF(AR62=1,IF(ABS((1+AS_Wage)/(1+Slot3_Rate)-1)&lt;0.000000000001,(Slot3_Age-D62)*(1+Slot3_Rate)^(Slot3_Age-D62),(1+Slot3_Rate)^(Slot3_Age-D62)*(1-((1+AS_Wage)/(1+Slot3_Rate))^(Slot3_Age-D62))/(1-(1+AS_Wage)/(1+Slot3_Rate))),1)</f>
        <v>1</v>
      </c>
      <c r="IW62" s="20" t="n">
        <f aca="false">IF(AND(HU62=1,IE62&gt;0,Slot3_IsWG=1,AR62=1),MAX(0,(Slot3_Cost-AS62*(1+Slot3_Rate)^(Slot3_Age-D62))/IV62),0)</f>
        <v>0</v>
      </c>
      <c r="IX62" s="20" t="n">
        <f aca="false">IF(AND(HU62=1,IE62&gt;0,Slot3_IsWG=1,AR62=1),MIN(IE62,IW62),0)</f>
        <v>0</v>
      </c>
      <c r="IY62" s="20" t="n">
        <f aca="false">AS62+IX62</f>
        <v>0</v>
      </c>
      <c r="IZ62" s="20" t="n">
        <f aca="false">IF(AR62=1,MAX(0,(Slot3_Cost-IY62*(1+Slot3_Rate)^(Slot3_Age-D62))/IV62),0)</f>
        <v>0</v>
      </c>
      <c r="JA62" s="20" t="n">
        <f aca="false">IF(AR62=1,MAX(0,(Slot3_Cost-AS62*(1+Slot3_Rate)^(Slot3_Age-D62))/IV62),0)</f>
        <v>0</v>
      </c>
      <c r="JB62" s="20" t="n">
        <f aca="false">IF(AND(HU62=1,AR62=1),MIN(IU62,IZ62),0)</f>
        <v>0</v>
      </c>
      <c r="JC62" s="20" t="n">
        <f aca="false">IU62-JB62</f>
        <v>0</v>
      </c>
      <c r="JD62" s="20" t="n">
        <f aca="false">IF(BB62=1,IF(ABS((1+AS_Wage)/(1+Slot4_Rate)-1)&lt;0.000000000001,(Slot4_Age-D62)*(1+Slot4_Rate)^(Slot4_Age-D62),(1+Slot4_Rate)^(Slot4_Age-D62)*(1-((1+AS_Wage)/(1+Slot4_Rate))^(Slot4_Age-D62))/(1-(1+AS_Wage)/(1+Slot4_Rate))),1)</f>
        <v>1</v>
      </c>
      <c r="JE62" s="20" t="n">
        <f aca="false">IF(AND(HU62=1,IE62&gt;0,Slot4_IsWG=1,BB62=1),MAX(0,(Slot4_Cost-BC62*(1+Slot4_Rate)^(Slot4_Age-D62))/JD62),0)</f>
        <v>0</v>
      </c>
      <c r="JF62" s="20" t="n">
        <f aca="false">IF(AND(HU62=1,IE62&gt;0,Slot4_IsWG=1,BB62=1),MIN(IE62,JE62),0)</f>
        <v>0</v>
      </c>
      <c r="JG62" s="20" t="n">
        <f aca="false">BC62+JF62</f>
        <v>0</v>
      </c>
      <c r="JH62" s="20" t="n">
        <f aca="false">IF(BB62=1,MAX(0,(Slot4_Cost-JG62*(1+Slot4_Rate)^(Slot4_Age-D62))/JD62),0)</f>
        <v>0</v>
      </c>
      <c r="JI62" s="20" t="n">
        <f aca="false">IF(BB62=1,MAX(0,(Slot4_Cost-BC62*(1+Slot4_Rate)^(Slot4_Age-D62))/JD62),0)</f>
        <v>0</v>
      </c>
      <c r="JJ62" s="20" t="n">
        <f aca="false">IF(AND(HU62=1,BB62=1),MIN(JC62,JH62),0)</f>
        <v>0</v>
      </c>
      <c r="JK62" s="20" t="n">
        <f aca="false">JC62-JJ62</f>
        <v>0</v>
      </c>
      <c r="JL62" s="20" t="n">
        <f aca="false">IF(BL62=1,IF(ABS((1+AS_Wage)/(1+Slot5_Rate)-1)&lt;0.000000000001,(Slot5_Age-D62)*(1+Slot5_Rate)^(Slot5_Age-D62),(1+Slot5_Rate)^(Slot5_Age-D62)*(1-((1+AS_Wage)/(1+Slot5_Rate))^(Slot5_Age-D62))/(1-(1+AS_Wage)/(1+Slot5_Rate))),1)</f>
        <v>1</v>
      </c>
      <c r="JM62" s="20" t="n">
        <f aca="false">IF(AND(HU62=1,IE62&gt;0,Slot5_IsWG=1,BL62=1),MAX(0,(Slot5_Cost-BM62*(1+Slot5_Rate)^(Slot5_Age-D62))/JL62),0)</f>
        <v>0</v>
      </c>
      <c r="JN62" s="20" t="n">
        <f aca="false">IF(AND(HU62=1,IE62&gt;0,Slot5_IsWG=1,BL62=1),MIN(IE62,JM62),0)</f>
        <v>0</v>
      </c>
      <c r="JO62" s="20" t="n">
        <f aca="false">BM62+JN62</f>
        <v>0</v>
      </c>
      <c r="JP62" s="20" t="n">
        <f aca="false">IF(BL62=1,MAX(0,(Slot5_Cost-JO62*(1+Slot5_Rate)^(Slot5_Age-D62))/JL62),0)</f>
        <v>0</v>
      </c>
      <c r="JQ62" s="20" t="n">
        <f aca="false">IF(BL62=1,MAX(0,(Slot5_Cost-BM62*(1+Slot5_Rate)^(Slot5_Age-D62))/JL62),0)</f>
        <v>0</v>
      </c>
      <c r="JR62" s="20" t="n">
        <f aca="false">IF(AND(HU62=1,BL62=1),MIN(JK62,JP62),0)</f>
        <v>0</v>
      </c>
      <c r="JS62" s="20" t="n">
        <f aca="false">JK62-JR62</f>
        <v>0</v>
      </c>
      <c r="JT62" s="20" t="n">
        <f aca="false">IF(BV62=1,IF(ABS((1+AS_Wage)/(1+Slot6_Rate)-1)&lt;0.000000000001,(Slot6_Age-D62)*(1+Slot6_Rate)^(Slot6_Age-D62),(1+Slot6_Rate)^(Slot6_Age-D62)*(1-((1+AS_Wage)/(1+Slot6_Rate))^(Slot6_Age-D62))/(1-(1+AS_Wage)/(1+Slot6_Rate))),1)</f>
        <v>1</v>
      </c>
      <c r="JU62" s="20" t="n">
        <f aca="false">IF(AND(HU62=1,IE62&gt;0,Slot6_IsWG=1,BV62=1),MAX(0,(Slot6_Cost-BW62*(1+Slot6_Rate)^(Slot6_Age-D62))/JT62),0)</f>
        <v>0</v>
      </c>
      <c r="JV62" s="20" t="n">
        <f aca="false">IF(AND(HU62=1,IE62&gt;0,Slot6_IsWG=1,BV62=1),MIN(IE62,JU62),0)</f>
        <v>0</v>
      </c>
      <c r="JW62" s="20" t="n">
        <f aca="false">BW62+JV62</f>
        <v>0</v>
      </c>
      <c r="JX62" s="20" t="n">
        <f aca="false">IF(BV62=1,MAX(0,(Slot6_Cost-JW62*(1+Slot6_Rate)^(Slot6_Age-D62))/JT62),0)</f>
        <v>0</v>
      </c>
      <c r="JY62" s="20" t="n">
        <f aca="false">IF(BV62=1,MAX(0,(Slot6_Cost-BW62*(1+Slot6_Rate)^(Slot6_Age-D62))/JT62),0)</f>
        <v>0</v>
      </c>
      <c r="JZ62" s="20" t="n">
        <f aca="false">IF(AND(HU62=1,BV62=1),MIN(JS62,JX62),0)</f>
        <v>0</v>
      </c>
      <c r="KA62" s="20" t="n">
        <f aca="false">JS62-JZ62</f>
        <v>0</v>
      </c>
      <c r="KB62" s="20" t="n">
        <f aca="false">IF(CF62=1,IF(ABS((1+AS_Wage)/(1+Slot7_Rate)-1)&lt;0.000000000001,(Slot7_Age-D62)*(1+Slot7_Rate)^(Slot7_Age-D62),(1+Slot7_Rate)^(Slot7_Age-D62)*(1-((1+AS_Wage)/(1+Slot7_Rate))^(Slot7_Age-D62))/(1-(1+AS_Wage)/(1+Slot7_Rate))),1)</f>
        <v>1</v>
      </c>
      <c r="KC62" s="20" t="n">
        <f aca="false">IF(AND(HU62=1,IE62&gt;0,Slot7_IsWG=1,CF62=1),MAX(0,(Slot7_Cost-CG62*(1+Slot7_Rate)^(Slot7_Age-D62))/KB62),0)</f>
        <v>0</v>
      </c>
      <c r="KD62" s="20" t="n">
        <f aca="false">IF(AND(HU62=1,IE62&gt;0,Slot7_IsWG=1,CF62=1),MIN(IE62,KC62),0)</f>
        <v>0</v>
      </c>
      <c r="KE62" s="20" t="n">
        <f aca="false">CG62+KD62</f>
        <v>0</v>
      </c>
      <c r="KF62" s="20" t="n">
        <f aca="false">IF(CF62=1,MAX(0,(Slot7_Cost-KE62*(1+Slot7_Rate)^(Slot7_Age-D62))/KB62),0)</f>
        <v>0</v>
      </c>
      <c r="KG62" s="20" t="n">
        <f aca="false">IF(CF62=1,MAX(0,(Slot7_Cost-CG62*(1+Slot7_Rate)^(Slot7_Age-D62))/KB62),0)</f>
        <v>0</v>
      </c>
      <c r="KH62" s="20" t="n">
        <f aca="false">IF(AND(HU62=1,CF62=1),MIN(KA62,KF62),0)</f>
        <v>0</v>
      </c>
      <c r="KI62" s="20" t="n">
        <f aca="false">KA62-KH62</f>
        <v>0</v>
      </c>
      <c r="KJ62" s="20" t="n">
        <f aca="false">IF(CP62=1,IF(ABS((1+AS_Wage)/(1+Slot8_Rate)-1)&lt;0.000000000001,(Slot8_Age-D62)*(1+Slot8_Rate)^(Slot8_Age-D62),(1+Slot8_Rate)^(Slot8_Age-D62)*(1-((1+AS_Wage)/(1+Slot8_Rate))^(Slot8_Age-D62))/(1-(1+AS_Wage)/(1+Slot8_Rate))),1)</f>
        <v>1</v>
      </c>
      <c r="KK62" s="20" t="n">
        <f aca="false">IF(AND(HU62=1,IE62&gt;0,Slot8_IsWG=1,CP62=1),MAX(0,(Slot8_Cost-CQ62*(1+Slot8_Rate)^(Slot8_Age-D62))/KJ62),0)</f>
        <v>0</v>
      </c>
      <c r="KL62" s="20" t="n">
        <f aca="false">IF(AND(HU62=1,IE62&gt;0,Slot8_IsWG=1,CP62=1),MIN(IE62,KK62),0)</f>
        <v>0</v>
      </c>
      <c r="KM62" s="20" t="n">
        <f aca="false">CQ62+KL62</f>
        <v>0</v>
      </c>
      <c r="KN62" s="20" t="n">
        <f aca="false">IF(CP62=1,MAX(0,(Slot8_Cost-KM62*(1+Slot8_Rate)^(Slot8_Age-D62))/KJ62),0)</f>
        <v>0</v>
      </c>
      <c r="KO62" s="20" t="n">
        <f aca="false">IF(CP62=1,MAX(0,(Slot8_Cost-CQ62*(1+Slot8_Rate)^(Slot8_Age-D62))/KJ62),0)</f>
        <v>0</v>
      </c>
      <c r="KP62" s="20" t="n">
        <f aca="false">IF(AND(HU62=1,CP62=1),MIN(KI62,KN62),0)</f>
        <v>0</v>
      </c>
      <c r="KQ62" s="20" t="n">
        <f aca="false">KI62-KP62</f>
        <v>0</v>
      </c>
      <c r="KR62" s="20" t="n">
        <f aca="false">IF(CZ62=1,IF(ABS((1+AS_Wage)/(1+Slot9_Rate)-1)&lt;0.000000000001,(Slot9_Age-D62)*(1+Slot9_Rate)^(Slot9_Age-D62),(1+Slot9_Rate)^(Slot9_Age-D62)*(1-((1+AS_Wage)/(1+Slot9_Rate))^(Slot9_Age-D62))/(1-(1+AS_Wage)/(1+Slot9_Rate))),1)</f>
        <v>1</v>
      </c>
      <c r="KS62" s="20" t="n">
        <f aca="false">IF(AND(HU62=1,IE62&gt;0,Slot9_IsWG=1,CZ62=1),MAX(0,(Slot9_Cost-DA62*(1+Slot9_Rate)^(Slot9_Age-D62))/KR62),0)</f>
        <v>0</v>
      </c>
      <c r="KT62" s="20" t="n">
        <f aca="false">IF(AND(HU62=1,IE62&gt;0,Slot9_IsWG=1,CZ62=1),MIN(IE62,KS62),0)</f>
        <v>0</v>
      </c>
      <c r="KU62" s="20" t="n">
        <f aca="false">DA62+KT62</f>
        <v>0</v>
      </c>
      <c r="KV62" s="20" t="n">
        <f aca="false">IF(CZ62=1,MAX(0,(Slot9_Cost-KU62*(1+Slot9_Rate)^(Slot9_Age-D62))/KR62),0)</f>
        <v>0</v>
      </c>
      <c r="KW62" s="20" t="n">
        <f aca="false">IF(CZ62=1,MAX(0,(Slot9_Cost-DA62*(1+Slot9_Rate)^(Slot9_Age-D62))/KR62),0)</f>
        <v>0</v>
      </c>
      <c r="KX62" s="20" t="n">
        <f aca="false">IF(AND(HU62=1,CZ62=1),MIN(KQ62,KV62),0)</f>
        <v>0</v>
      </c>
      <c r="KY62" s="20" t="n">
        <f aca="false">KQ62-KX62</f>
        <v>0</v>
      </c>
      <c r="KZ62" s="20" t="n">
        <f aca="false">IF(DJ62=1,IF(ABS((1+AS_Wage)/(1+Slot10_Rate)-1)&lt;0.000000000001,(Slot10_Age-D62)*(1+Slot10_Rate)^(Slot10_Age-D62),(1+Slot10_Rate)^(Slot10_Age-D62)*(1-((1+AS_Wage)/(1+Slot10_Rate))^(Slot10_Age-D62))/(1-(1+AS_Wage)/(1+Slot10_Rate))),1)</f>
        <v>1</v>
      </c>
      <c r="LA62" s="20" t="n">
        <f aca="false">IF(AND(HU62=1,IE62&gt;0,Slot10_IsWG=1,DJ62=1),MAX(0,(Slot10_Cost-DK62*(1+Slot10_Rate)^(Slot10_Age-D62))/KZ62),0)</f>
        <v>0</v>
      </c>
      <c r="LB62" s="20" t="n">
        <f aca="false">IF(AND(HU62=1,IE62&gt;0,Slot10_IsWG=1,DJ62=1),MIN(IE62,LA62),0)</f>
        <v>0</v>
      </c>
      <c r="LC62" s="20" t="n">
        <f aca="false">DK62+LB62</f>
        <v>0</v>
      </c>
      <c r="LD62" s="20" t="n">
        <f aca="false">IF(DJ62=1,MAX(0,(Slot10_Cost-LC62*(1+Slot10_Rate)^(Slot10_Age-D62))/KZ62),0)</f>
        <v>0</v>
      </c>
      <c r="LE62" s="20" t="n">
        <f aca="false">IF(DJ62=1,MAX(0,(Slot10_Cost-DK62*(1+Slot10_Rate)^(Slot10_Age-D62))/KZ62),0)</f>
        <v>0</v>
      </c>
      <c r="LF62" s="20" t="n">
        <f aca="false">IF(AND(HU62=1,DJ62=1),MIN(KY62,LD62),0)</f>
        <v>0</v>
      </c>
      <c r="LG62" s="20" t="n">
        <f aca="false">KY62-LF62</f>
        <v>0</v>
      </c>
      <c r="LH62" s="20" t="n">
        <f aca="false">IF(DT62=1,IF(ABS((1+AS_Wage)/(1+Slot11_Rate)-1)&lt;0.000000000001,(Slot11_Age-D62)*(1+Slot11_Rate)^(Slot11_Age-D62),(1+Slot11_Rate)^(Slot11_Age-D62)*(1-((1+AS_Wage)/(1+Slot11_Rate))^(Slot11_Age-D62))/(1-(1+AS_Wage)/(1+Slot11_Rate))),1)</f>
        <v>1</v>
      </c>
      <c r="LI62" s="20" t="n">
        <f aca="false">IF(AND(HU62=1,IE62&gt;0,Slot11_IsWG=1,DT62=1),MAX(0,(Slot11_Cost-DU62*(1+Slot11_Rate)^(Slot11_Age-D62))/LH62),0)</f>
        <v>0</v>
      </c>
      <c r="LJ62" s="20" t="n">
        <f aca="false">IF(AND(HU62=1,IE62&gt;0,Slot11_IsWG=1,DT62=1),MIN(IE62,LI62),0)</f>
        <v>0</v>
      </c>
      <c r="LK62" s="20" t="n">
        <f aca="false">DU62+LJ62</f>
        <v>0</v>
      </c>
      <c r="LL62" s="20" t="n">
        <f aca="false">IF(DT62=1,MAX(0,(Slot11_Cost-LK62*(1+Slot11_Rate)^(Slot11_Age-D62))/LH62),0)</f>
        <v>0</v>
      </c>
      <c r="LM62" s="20" t="n">
        <f aca="false">IF(DT62=1,MAX(0,(Slot11_Cost-DU62*(1+Slot11_Rate)^(Slot11_Age-D62))/LH62),0)</f>
        <v>0</v>
      </c>
      <c r="LN62" s="20" t="n">
        <f aca="false">IF(AND(HU62=1,DT62=1),MIN(LG62,LL62),0)</f>
        <v>0</v>
      </c>
      <c r="LO62" s="20" t="n">
        <f aca="false">LG62-LN62</f>
        <v>0</v>
      </c>
      <c r="LP62" s="20" t="n">
        <f aca="false">IF(ED62=1,IF(ABS((1+AS_Wage)/(1+Slot12_Rate)-1)&lt;0.000000000001,(Slot12_Age-D62)*(1+Slot12_Rate)^(Slot12_Age-D62),(1+Slot12_Rate)^(Slot12_Age-D62)*(1-((1+AS_Wage)/(1+Slot12_Rate))^(Slot12_Age-D62))/(1-(1+AS_Wage)/(1+Slot12_Rate))),1)</f>
        <v>1</v>
      </c>
      <c r="LQ62" s="20" t="n">
        <f aca="false">IF(AND(HU62=1,IE62&gt;0,Slot12_IsWG=1,ED62=1),MAX(0,(Slot12_Cost-EE62*(1+Slot12_Rate)^(Slot12_Age-D62))/LP62),0)</f>
        <v>0</v>
      </c>
      <c r="LR62" s="20" t="n">
        <f aca="false">IF(AND(HU62=1,IE62&gt;0,Slot12_IsWG=1,ED62=1),MIN(IE62,LQ62),0)</f>
        <v>0</v>
      </c>
      <c r="LS62" s="20" t="n">
        <f aca="false">EE62+LR62</f>
        <v>0</v>
      </c>
      <c r="LT62" s="20" t="n">
        <f aca="false">IF(ED62=1,MAX(0,(Slot12_Cost-LS62*(1+Slot12_Rate)^(Slot12_Age-D62))/LP62),0)</f>
        <v>0</v>
      </c>
      <c r="LU62" s="20" t="n">
        <f aca="false">IF(ED62=1,MAX(0,(Slot12_Cost-EE62*(1+Slot12_Rate)^(Slot12_Age-D62))/LP62),0)</f>
        <v>0</v>
      </c>
      <c r="LV62" s="20" t="n">
        <f aca="false">IF(AND(HU62=1,ED62=1),MIN(LO62,LT62),0)</f>
        <v>0</v>
      </c>
      <c r="LW62" s="20" t="n">
        <f aca="false">LO62-LV62</f>
        <v>0</v>
      </c>
      <c r="LX62" s="20" t="n">
        <f aca="false">IF(EN62=1,IF(ABS((1+AS_Wage)/(1+Slot13_Rate)-1)&lt;0.000000000001,(Slot13_Age-D62)*(1+Slot13_Rate)^(Slot13_Age-D62),(1+Slot13_Rate)^(Slot13_Age-D62)*(1-((1+AS_Wage)/(1+Slot13_Rate))^(Slot13_Age-D62))/(1-(1+AS_Wage)/(1+Slot13_Rate))),1)</f>
        <v>1</v>
      </c>
      <c r="LY62" s="20" t="n">
        <f aca="false">IF(AND(HU62=1,IE62&gt;0,Slot13_IsWG=1,EN62=1),MAX(0,(Slot13_Cost-EO62*(1+Slot13_Rate)^(Slot13_Age-D62))/LX62),0)</f>
        <v>0</v>
      </c>
      <c r="LZ62" s="20" t="n">
        <f aca="false">IF(AND(HU62=1,IE62&gt;0,Slot13_IsWG=1,EN62=1),MIN(IE62,LY62),0)</f>
        <v>0</v>
      </c>
      <c r="MA62" s="20" t="n">
        <f aca="false">EO62+LZ62</f>
        <v>0</v>
      </c>
      <c r="MB62" s="20" t="n">
        <f aca="false">IF(EN62=1,MAX(0,(Slot13_Cost-MA62*(1+Slot13_Rate)^(Slot13_Age-D62))/LX62),0)</f>
        <v>0</v>
      </c>
      <c r="MC62" s="20" t="n">
        <f aca="false">IF(EN62=1,MAX(0,(Slot13_Cost-EO62*(1+Slot13_Rate)^(Slot13_Age-D62))/LX62),0)</f>
        <v>0</v>
      </c>
      <c r="MD62" s="20" t="n">
        <f aca="false">IF(AND(HU62=1,EN62=1),MIN(LW62,MB62),0)</f>
        <v>0</v>
      </c>
      <c r="ME62" s="20" t="n">
        <f aca="false">LW62-MD62</f>
        <v>0</v>
      </c>
      <c r="MF62" s="20" t="n">
        <f aca="false">IF(EX62=1,IF(ABS((1+AS_Wage)/(1+Slot14_Rate)-1)&lt;0.000000000001,(Slot14_Age-D62)*(1+Slot14_Rate)^(Slot14_Age-D62),(1+Slot14_Rate)^(Slot14_Age-D62)*(1-((1+AS_Wage)/(1+Slot14_Rate))^(Slot14_Age-D62))/(1-(1+AS_Wage)/(1+Slot14_Rate))),1)</f>
        <v>1</v>
      </c>
      <c r="MG62" s="20" t="n">
        <f aca="false">IF(AND(HU62=1,IE62&gt;0,Slot14_IsWG=1,EX62=1),MAX(0,(Slot14_Cost-EY62*(1+Slot14_Rate)^(Slot14_Age-D62))/MF62),0)</f>
        <v>0</v>
      </c>
      <c r="MH62" s="20" t="n">
        <f aca="false">IF(AND(HU62=1,IE62&gt;0,Slot14_IsWG=1,EX62=1),MIN(IE62,MG62),0)</f>
        <v>0</v>
      </c>
      <c r="MI62" s="20" t="n">
        <f aca="false">EY62+MH62</f>
        <v>0</v>
      </c>
      <c r="MJ62" s="20" t="n">
        <f aca="false">IF(EX62=1,MAX(0,(Slot14_Cost-MI62*(1+Slot14_Rate)^(Slot14_Age-D62))/MF62),0)</f>
        <v>0</v>
      </c>
      <c r="MK62" s="20" t="n">
        <f aca="false">IF(EX62=1,MAX(0,(Slot14_Cost-EY62*(1+Slot14_Rate)^(Slot14_Age-D62))/MF62),0)</f>
        <v>0</v>
      </c>
      <c r="ML62" s="20" t="n">
        <f aca="false">IF(AND(HU62=1,EX62=1),MIN(ME62,MJ62),0)</f>
        <v>0</v>
      </c>
      <c r="MM62" s="20" t="n">
        <f aca="false">ME62-ML62</f>
        <v>0</v>
      </c>
      <c r="MN62" s="20" t="n">
        <f aca="false">IF(FH62=1,IF(ABS((1+AS_Wage)/(1+Slot15_Rate)-1)&lt;0.000000000001,(Slot15_Age-D62)*(1+Slot15_Rate)^(Slot15_Age-D62),(1+Slot15_Rate)^(Slot15_Age-D62)*(1-((1+AS_Wage)/(1+Slot15_Rate))^(Slot15_Age-D62))/(1-(1+AS_Wage)/(1+Slot15_Rate))),1)</f>
        <v>1</v>
      </c>
      <c r="MO62" s="20" t="n">
        <f aca="false">IF(AND(HU62=1,IE62&gt;0,Slot15_IsWG=1,FH62=1),MAX(0,(Slot15_Cost-FI62*(1+Slot15_Rate)^(Slot15_Age-D62))/MN62),0)</f>
        <v>0</v>
      </c>
      <c r="MP62" s="20" t="n">
        <f aca="false">IF(AND(HU62=1,IE62&gt;0,Slot15_IsWG=1,FH62=1),MIN(IE62,MO62),0)</f>
        <v>0</v>
      </c>
      <c r="MQ62" s="20" t="n">
        <f aca="false">FI62+MP62</f>
        <v>0</v>
      </c>
      <c r="MR62" s="20" t="n">
        <f aca="false">IF(FH62=1,MAX(0,(Slot15_Cost-MQ62*(1+Slot15_Rate)^(Slot15_Age-D62))/MN62),0)</f>
        <v>0</v>
      </c>
      <c r="MS62" s="20" t="n">
        <f aca="false">IF(FH62=1,MAX(0,(Slot15_Cost-FI62*(1+Slot15_Rate)^(Slot15_Age-D62))/MN62),0)</f>
        <v>0</v>
      </c>
      <c r="MT62" s="20" t="n">
        <f aca="false">IF(AND(HU62=1,FH62=1),MIN(MM62,MR62),0)</f>
        <v>0</v>
      </c>
      <c r="MU62" s="20" t="n">
        <f aca="false">MM62-MT62</f>
        <v>0</v>
      </c>
      <c r="MV62" s="20" t="n">
        <f aca="false">IF(FR62=1,IF(ABS((1+AS_Wage)/(1+Slot16_Rate)-1)&lt;0.000000000001,(Slot16_Age-D62)*(1+Slot16_Rate)^(Slot16_Age-D62),(1+Slot16_Rate)^(Slot16_Age-D62)*(1-((1+AS_Wage)/(1+Slot16_Rate))^(Slot16_Age-D62))/(1-(1+AS_Wage)/(1+Slot16_Rate))),1)</f>
        <v>1</v>
      </c>
      <c r="MW62" s="20" t="n">
        <f aca="false">IF(AND(HU62=1,IE62&gt;0,Slot16_IsWG=1,FR62=1),MAX(0,(Slot16_Cost-FS62*(1+Slot16_Rate)^(Slot16_Age-D62))/MV62),0)</f>
        <v>0</v>
      </c>
      <c r="MX62" s="20" t="n">
        <f aca="false">IF(AND(HU62=1,IE62&gt;0,Slot16_IsWG=1,FR62=1),MIN(IE62,MW62),0)</f>
        <v>0</v>
      </c>
      <c r="MY62" s="20" t="n">
        <f aca="false">FS62+MX62</f>
        <v>0</v>
      </c>
      <c r="MZ62" s="20" t="n">
        <f aca="false">IF(FR62=1,MAX(0,(Slot16_Cost-MY62*(1+Slot16_Rate)^(Slot16_Age-D62))/MV62),0)</f>
        <v>0</v>
      </c>
      <c r="NA62" s="20" t="n">
        <f aca="false">IF(FR62=1,MAX(0,(Slot16_Cost-FS62*(1+Slot16_Rate)^(Slot16_Age-D62))/MV62),0)</f>
        <v>0</v>
      </c>
      <c r="NB62" s="20" t="n">
        <f aca="false">IF(AND(HU62=1,FR62=1),MIN(MU62,MZ62),0)</f>
        <v>0</v>
      </c>
      <c r="NC62" s="20" t="n">
        <f aca="false">MU62-NB62</f>
        <v>0</v>
      </c>
      <c r="ND62" s="20" t="n">
        <f aca="false">IF(GB62=1,IF(ABS((1+AS_Wage)/(1+Slot17_Rate)-1)&lt;0.000000000001,(Slot17_Age-D62)*(1+Slot17_Rate)^(Slot17_Age-D62),(1+Slot17_Rate)^(Slot17_Age-D62)*(1-((1+AS_Wage)/(1+Slot17_Rate))^(Slot17_Age-D62))/(1-(1+AS_Wage)/(1+Slot17_Rate))),1)</f>
        <v>1</v>
      </c>
      <c r="NE62" s="20" t="n">
        <f aca="false">IF(AND(HU62=1,IE62&gt;0,Slot17_IsWG=1,GB62=1),MAX(0,(Slot17_Cost-GC62*(1+Slot17_Rate)^(Slot17_Age-D62))/ND62),0)</f>
        <v>0</v>
      </c>
      <c r="NF62" s="20" t="n">
        <f aca="false">IF(AND(HU62=1,IE62&gt;0,Slot17_IsWG=1,GB62=1),MIN(IE62,NE62),0)</f>
        <v>0</v>
      </c>
      <c r="NG62" s="20" t="n">
        <f aca="false">GC62+NF62</f>
        <v>0</v>
      </c>
      <c r="NH62" s="20" t="n">
        <f aca="false">IF(GB62=1,MAX(0,(Slot17_Cost-NG62*(1+Slot17_Rate)^(Slot17_Age-D62))/ND62),0)</f>
        <v>0</v>
      </c>
      <c r="NI62" s="20" t="n">
        <f aca="false">IF(GB62=1,MAX(0,(Slot17_Cost-GC62*(1+Slot17_Rate)^(Slot17_Age-D62))/ND62),0)</f>
        <v>0</v>
      </c>
      <c r="NJ62" s="20" t="n">
        <f aca="false">IF(AND(HU62=1,GB62=1),MIN(NC62,NH62),0)</f>
        <v>0</v>
      </c>
      <c r="NK62" s="20" t="n">
        <f aca="false">NC62-NJ62</f>
        <v>0</v>
      </c>
      <c r="NL62" s="20" t="n">
        <f aca="false">IF(GL62=1,IF(ABS((1+AS_Wage)/(1+Slot18_Rate)-1)&lt;0.000000000001,(Slot18_Age-D62)*(1+Slot18_Rate)^(Slot18_Age-D62),(1+Slot18_Rate)^(Slot18_Age-D62)*(1-((1+AS_Wage)/(1+Slot18_Rate))^(Slot18_Age-D62))/(1-(1+AS_Wage)/(1+Slot18_Rate))),1)</f>
        <v>1</v>
      </c>
      <c r="NM62" s="20" t="n">
        <f aca="false">IF(AND(HU62=1,IE62&gt;0,Slot18_IsWG=1,GL62=1),MAX(0,(Slot18_Cost-GM62*(1+Slot18_Rate)^(Slot18_Age-D62))/NL62),0)</f>
        <v>0</v>
      </c>
      <c r="NN62" s="20" t="n">
        <f aca="false">IF(AND(HU62=1,IE62&gt;0,Slot18_IsWG=1,GL62=1),MIN(IE62,NM62),0)</f>
        <v>0</v>
      </c>
      <c r="NO62" s="20" t="n">
        <f aca="false">GM62+NN62</f>
        <v>0</v>
      </c>
      <c r="NP62" s="20" t="n">
        <f aca="false">IF(GL62=1,MAX(0,(Slot18_Cost-NO62*(1+Slot18_Rate)^(Slot18_Age-D62))/NL62),0)</f>
        <v>0</v>
      </c>
      <c r="NQ62" s="20" t="n">
        <f aca="false">IF(GL62=1,MAX(0,(Slot18_Cost-GM62*(1+Slot18_Rate)^(Slot18_Age-D62))/NL62),0)</f>
        <v>0</v>
      </c>
      <c r="NR62" s="20" t="n">
        <f aca="false">IF(AND(HU62=1,GL62=1),MIN(NK62,NP62),0)</f>
        <v>0</v>
      </c>
      <c r="NS62" s="20" t="n">
        <f aca="false">NK62-NR62</f>
        <v>0</v>
      </c>
      <c r="NT62" s="20" t="n">
        <f aca="false">IF(GV62=1,IF(ABS((1+AS_Wage)/(1+Slot19_Rate)-1)&lt;0.000000000001,(Slot19_Age-D62)*(1+Slot19_Rate)^(Slot19_Age-D62),(1+Slot19_Rate)^(Slot19_Age-D62)*(1-((1+AS_Wage)/(1+Slot19_Rate))^(Slot19_Age-D62))/(1-(1+AS_Wage)/(1+Slot19_Rate))),1)</f>
        <v>1</v>
      </c>
      <c r="NU62" s="20" t="n">
        <f aca="false">IF(AND(HU62=1,IE62&gt;0,Slot19_IsWG=1,GV62=1),MAX(0,(Slot19_Cost-GW62*(1+Slot19_Rate)^(Slot19_Age-D62))/NT62),0)</f>
        <v>0</v>
      </c>
      <c r="NV62" s="20" t="n">
        <f aca="false">IF(AND(HU62=1,IE62&gt;0,Slot19_IsWG=1,GV62=1),MIN(IE62,NU62),0)</f>
        <v>0</v>
      </c>
      <c r="NW62" s="20" t="n">
        <f aca="false">GW62+NV62</f>
        <v>0</v>
      </c>
      <c r="NX62" s="20" t="n">
        <f aca="false">IF(GV62=1,MAX(0,(Slot19_Cost-NW62*(1+Slot19_Rate)^(Slot19_Age-D62))/NT62),0)</f>
        <v>0</v>
      </c>
      <c r="NY62" s="20" t="n">
        <f aca="false">IF(GV62=1,MAX(0,(Slot19_Cost-GW62*(1+Slot19_Rate)^(Slot19_Age-D62))/NT62),0)</f>
        <v>0</v>
      </c>
      <c r="NZ62" s="20" t="n">
        <f aca="false">IF(AND(HU62=1,GV62=1),MIN(NS62,NX62),0)</f>
        <v>0</v>
      </c>
      <c r="OA62" s="20" t="n">
        <f aca="false">NS62-NZ62</f>
        <v>0</v>
      </c>
      <c r="OB62" s="20" t="n">
        <f aca="false">IF(HF62=1,IF(ABS((1+AS_Wage)/(1+Slot20_Rate)-1)&lt;0.000000000001,(Slot20_Age-D62)*(1+Slot20_Rate)^(Slot20_Age-D62),(1+Slot20_Rate)^(Slot20_Age-D62)*(1-((1+AS_Wage)/(1+Slot20_Rate))^(Slot20_Age-D62))/(1-(1+AS_Wage)/(1+Slot20_Rate))),1)</f>
        <v>1</v>
      </c>
      <c r="OC62" s="20" t="n">
        <f aca="false">IF(AND(HU62=1,IE62&gt;0,Slot20_IsWG=1,HF62=1),MAX(0,(Slot20_Cost-HG62*(1+Slot20_Rate)^(Slot20_Age-D62))/OB62),0)</f>
        <v>0</v>
      </c>
      <c r="OD62" s="20" t="n">
        <f aca="false">IF(AND(HU62=1,IE62&gt;0,Slot20_IsWG=1,HF62=1),MIN(IE62,OC62),0)</f>
        <v>0</v>
      </c>
      <c r="OE62" s="20" t="n">
        <f aca="false">HG62+OD62</f>
        <v>0</v>
      </c>
      <c r="OF62" s="20" t="n">
        <f aca="false">IF(HF62=1,MAX(0,(Slot20_Cost-OE62*(1+Slot20_Rate)^(Slot20_Age-D62))/OB62),0)</f>
        <v>0</v>
      </c>
      <c r="OG62" s="20" t="n">
        <f aca="false">IF(HF62=1,MAX(0,(Slot20_Cost-HG62*(1+Slot20_Rate)^(Slot20_Age-D62))/OB62),0)</f>
        <v>0</v>
      </c>
      <c r="OH62" s="20" t="n">
        <f aca="false">IF(AND(HU62=1,HF62=1),MIN(OA62,OF62),0)</f>
        <v>0</v>
      </c>
      <c r="OI62" s="20" t="n">
        <f aca="false">OA62-OH62</f>
        <v>0</v>
      </c>
      <c r="OJ62" s="20" t="n">
        <f aca="false">IE62-(IH62+IP62+IX62+JF62+JN62+JV62+KD62+KL62+KT62+LB62+LJ62+LR62+LZ62+MH62+MP62+MX62+NF62+NN62+NV62+OD62)</f>
        <v>0</v>
      </c>
      <c r="OK62" s="20" t="n">
        <f aca="false">IF(HU62=1,HS62-ID62-IE62,0)</f>
        <v>0</v>
      </c>
      <c r="OL62" s="20" t="n">
        <f aca="false">IF(HU62=0,-HS62,0)</f>
        <v>28614.5931149102</v>
      </c>
      <c r="OM62" s="20" t="n">
        <f aca="false">MIN(OL62,HK62)</f>
        <v>0</v>
      </c>
      <c r="ON62" s="20" t="n">
        <f aca="false">OL62-OM62</f>
        <v>28614.5931149102</v>
      </c>
      <c r="OO62" s="20" t="n">
        <f aca="false">MIN(ON62,HL62)</f>
        <v>0</v>
      </c>
      <c r="OP62" s="20" t="n">
        <f aca="false">ON62-OO62</f>
        <v>28614.5931149102</v>
      </c>
      <c r="OQ62" s="20" t="n">
        <f aca="false">IF(AND(HU62=0,HF62=1,OP62&gt;0),MIN(OP62,HG62),0)</f>
        <v>0</v>
      </c>
      <c r="OR62" s="20" t="n">
        <f aca="false">OP62-OQ62</f>
        <v>28614.5931149102</v>
      </c>
      <c r="OS62" s="20" t="n">
        <f aca="false">IF(AND(HU62=0,GV62=1,OR62&gt;0),MIN(OR62,GW62),0)</f>
        <v>0</v>
      </c>
      <c r="OT62" s="20" t="n">
        <f aca="false">OR62-OS62</f>
        <v>28614.5931149102</v>
      </c>
      <c r="OU62" s="20" t="n">
        <f aca="false">IF(AND(HU62=0,GL62=1,OT62&gt;0),MIN(OT62,GM62),0)</f>
        <v>0</v>
      </c>
      <c r="OV62" s="20" t="n">
        <f aca="false">OT62-OU62</f>
        <v>28614.5931149102</v>
      </c>
      <c r="OW62" s="20" t="n">
        <f aca="false">IF(AND(HU62=0,GB62=1,OV62&gt;0),MIN(OV62,GC62),0)</f>
        <v>0</v>
      </c>
      <c r="OX62" s="20" t="n">
        <f aca="false">OV62-OW62</f>
        <v>28614.5931149102</v>
      </c>
      <c r="OY62" s="20" t="n">
        <f aca="false">IF(AND(HU62=0,FR62=1,OX62&gt;0),MIN(OX62,FS62),0)</f>
        <v>0</v>
      </c>
      <c r="OZ62" s="20" t="n">
        <f aca="false">OX62-OY62</f>
        <v>28614.5931149102</v>
      </c>
      <c r="PA62" s="20" t="n">
        <f aca="false">IF(AND(HU62=0,FH62=1,OZ62&gt;0),MIN(OZ62,FI62),0)</f>
        <v>0</v>
      </c>
      <c r="PB62" s="20" t="n">
        <f aca="false">OZ62-PA62</f>
        <v>28614.5931149102</v>
      </c>
      <c r="PC62" s="20" t="n">
        <f aca="false">IF(AND(HU62=0,EX62=1,PB62&gt;0),MIN(PB62,EY62),0)</f>
        <v>0</v>
      </c>
      <c r="PD62" s="20" t="n">
        <f aca="false">PB62-PC62</f>
        <v>28614.5931149102</v>
      </c>
      <c r="PE62" s="20" t="n">
        <f aca="false">IF(AND(HU62=0,EN62=1,PD62&gt;0),MIN(PD62,EO62),0)</f>
        <v>0</v>
      </c>
      <c r="PF62" s="20" t="n">
        <f aca="false">PD62-PE62</f>
        <v>28614.5931149102</v>
      </c>
      <c r="PG62" s="20" t="n">
        <f aca="false">IF(AND(HU62=0,ED62=1,PF62&gt;0),MIN(PF62,EE62),0)</f>
        <v>0</v>
      </c>
      <c r="PH62" s="20" t="n">
        <f aca="false">PF62-PG62</f>
        <v>28614.5931149102</v>
      </c>
      <c r="PI62" s="20" t="n">
        <f aca="false">IF(AND(HU62=0,DT62=1,PH62&gt;0),MIN(PH62,DU62),0)</f>
        <v>0</v>
      </c>
      <c r="PJ62" s="20" t="n">
        <f aca="false">PH62-PI62</f>
        <v>28614.5931149102</v>
      </c>
      <c r="PK62" s="20" t="n">
        <f aca="false">IF(AND(HU62=0,DJ62=1,PJ62&gt;0),MIN(PJ62,DK62),0)</f>
        <v>0</v>
      </c>
      <c r="PL62" s="20" t="n">
        <f aca="false">PJ62-PK62</f>
        <v>28614.5931149102</v>
      </c>
      <c r="PM62" s="20" t="n">
        <f aca="false">IF(AND(HU62=0,CZ62=1,PL62&gt;0),MIN(PL62,DA62),0)</f>
        <v>0</v>
      </c>
      <c r="PN62" s="20" t="n">
        <f aca="false">PL62-PM62</f>
        <v>28614.5931149102</v>
      </c>
      <c r="PO62" s="20" t="n">
        <f aca="false">IF(AND(HU62=0,CP62=1,PN62&gt;0),MIN(PN62,CQ62),0)</f>
        <v>0</v>
      </c>
      <c r="PP62" s="20" t="n">
        <f aca="false">PN62-PO62</f>
        <v>28614.5931149102</v>
      </c>
      <c r="PQ62" s="20" t="n">
        <f aca="false">IF(AND(HU62=0,CF62=1,PP62&gt;0),MIN(PP62,CG62),0)</f>
        <v>0</v>
      </c>
      <c r="PR62" s="20" t="n">
        <f aca="false">PP62-PQ62</f>
        <v>28614.5931149102</v>
      </c>
      <c r="PS62" s="20" t="n">
        <f aca="false">IF(AND(HU62=0,BV62=1,PR62&gt;0),MIN(PR62,BW62),0)</f>
        <v>0</v>
      </c>
      <c r="PT62" s="20" t="n">
        <f aca="false">PR62-PS62</f>
        <v>28614.5931149102</v>
      </c>
      <c r="PU62" s="20" t="n">
        <f aca="false">IF(AND(HU62=0,BL62=1,PT62&gt;0),MIN(PT62,BM62),0)</f>
        <v>0</v>
      </c>
      <c r="PV62" s="20" t="n">
        <f aca="false">PT62-PU62</f>
        <v>28614.5931149102</v>
      </c>
      <c r="PW62" s="20" t="n">
        <f aca="false">IF(AND(HU62=0,BB62=1,PV62&gt;0),MIN(PV62,BC62),0)</f>
        <v>0</v>
      </c>
      <c r="PX62" s="20" t="n">
        <f aca="false">PV62-PW62</f>
        <v>28614.5931149102</v>
      </c>
      <c r="PY62" s="20" t="n">
        <f aca="false">IF(AND(HU62=0,AR62=1,PX62&gt;0),MIN(PX62,AS62),0)</f>
        <v>0</v>
      </c>
      <c r="PZ62" s="20" t="n">
        <f aca="false">PX62-PY62</f>
        <v>28614.5931149102</v>
      </c>
      <c r="QA62" s="20" t="n">
        <f aca="false">IF(AND(HU62=0,AH62=1,PZ62&gt;0),MIN(PZ62,AI62),0)</f>
        <v>0</v>
      </c>
      <c r="QB62" s="20" t="n">
        <f aca="false">PZ62-QA62</f>
        <v>28614.5931149102</v>
      </c>
      <c r="QC62" s="20" t="n">
        <f aca="false">IF(AND(HU62=0,W62=1,QB62&gt;0),MIN(QB62,X62),0)</f>
        <v>0</v>
      </c>
      <c r="QD62" s="20" t="n">
        <f aca="false">QB62-QC62</f>
        <v>28614.5931149102</v>
      </c>
      <c r="QE62" s="20" t="n">
        <f aca="false">IF(HU62=0,QD62,0)</f>
        <v>28614.5931149102</v>
      </c>
      <c r="QF62" s="20" t="n">
        <f aca="false">OM62+OO62+QC62+QA62+PY62+PW62+PU62+PS62+PQ62+PO62+PM62+PK62+PI62+PG62+PE62+PC62+PA62+OY62+OW62+OU62+OS62+OQ62</f>
        <v>0</v>
      </c>
      <c r="QG62" s="20" t="n">
        <f aca="false">IF(HU62=1,HK62+OJ62+OI62+IF(G62=1,0,OK62),HK62-OM62)</f>
        <v>0</v>
      </c>
      <c r="QH62" s="20" t="n">
        <f aca="false">HL62-OO62</f>
        <v>0</v>
      </c>
      <c r="QI62" s="20" t="n">
        <f aca="false">IF(HU62=1,IF(G62=1,ID62+IE62,HS62),0)</f>
        <v>0</v>
      </c>
      <c r="QJ62" s="20" t="n">
        <f aca="false">IF(HU62=1,IF(G62=1,HS62-ID62-IE62,0),0)</f>
        <v>0</v>
      </c>
      <c r="QK62" s="20" t="n">
        <f aca="false">QG62*(1+GR)</f>
        <v>0</v>
      </c>
      <c r="QL62" s="20" t="n">
        <f aca="false">QH62*(1+AS_Cash)</f>
        <v>0</v>
      </c>
      <c r="QM62" s="20" t="n">
        <f aca="false">IF(W62=1,IF(HU62=1,II62+IL62,X62-QC62)*(1+Slot1_Rate),0)</f>
        <v>0</v>
      </c>
      <c r="QN62" s="20" t="n">
        <f aca="false">IF(AND(HU62=1,W62=1),(IH62+IL62)/F62,0)</f>
        <v>0</v>
      </c>
      <c r="QO62" s="20" t="n">
        <f aca="false">IF(B62=0,IH62+IL62,0)</f>
        <v>0</v>
      </c>
      <c r="QP62" s="20" t="n">
        <f aca="false">IF(B62=0,IF(HU62=1,IJ62,IK62),0)</f>
        <v>0</v>
      </c>
      <c r="QQ62" s="20" t="n">
        <f aca="false">IF(AH62=1,IF(HU62=1,IQ62+IT62,AI62-QA62)*(1+Slot2_Rate),0)</f>
        <v>0</v>
      </c>
      <c r="QR62" s="20" t="n">
        <f aca="false">IF(AND(HU62=1,AH62=1),(IP62+IT62)/F62,0)</f>
        <v>0</v>
      </c>
      <c r="QS62" s="20" t="n">
        <f aca="false">IF(B62=0,IP62+IT62,0)</f>
        <v>0</v>
      </c>
      <c r="QT62" s="20" t="n">
        <f aca="false">IF(B62=0,IF(HU62=1,IR62,IS62),0)</f>
        <v>0</v>
      </c>
      <c r="QU62" s="20" t="n">
        <f aca="false">IF(AR62=1,IF(HU62=1,IY62+JB62,AS62-PY62)*(1+Slot3_Rate),0)</f>
        <v>0</v>
      </c>
      <c r="QV62" s="20" t="n">
        <f aca="false">IF(AND(HU62=1,AR62=1),(IX62+JB62)/F62,0)</f>
        <v>0</v>
      </c>
      <c r="QW62" s="20" t="n">
        <f aca="false">IF(B62=0,IX62+JB62,0)</f>
        <v>0</v>
      </c>
      <c r="QX62" s="20" t="n">
        <f aca="false">IF(B62=0,IF(HU62=1,IZ62,JA62),0)</f>
        <v>0</v>
      </c>
      <c r="QY62" s="20" t="n">
        <f aca="false">IF(BB62=1,IF(HU62=1,JG62+JJ62,BC62-PW62)*(1+Slot4_Rate),0)</f>
        <v>0</v>
      </c>
      <c r="QZ62" s="20" t="n">
        <f aca="false">IF(AND(HU62=1,BB62=1),(JF62+JJ62)/F62,0)</f>
        <v>0</v>
      </c>
      <c r="RA62" s="20" t="n">
        <f aca="false">IF(B62=0,JF62+JJ62,0)</f>
        <v>0</v>
      </c>
      <c r="RB62" s="20" t="n">
        <f aca="false">IF(B62=0,IF(HU62=1,JH62,JI62),0)</f>
        <v>0</v>
      </c>
      <c r="RC62" s="20" t="n">
        <f aca="false">IF(BL62=1,IF(HU62=1,JO62+JR62,BM62-PU62)*(1+Slot5_Rate),0)</f>
        <v>0</v>
      </c>
      <c r="RD62" s="20" t="n">
        <f aca="false">IF(AND(HU62=1,BL62=1),(JN62+JR62)/F62,0)</f>
        <v>0</v>
      </c>
      <c r="RE62" s="20" t="n">
        <f aca="false">IF(B62=0,JN62+JR62,0)</f>
        <v>0</v>
      </c>
      <c r="RF62" s="20" t="n">
        <f aca="false">IF(B62=0,IF(HU62=1,JP62,JQ62),0)</f>
        <v>0</v>
      </c>
      <c r="RG62" s="20" t="n">
        <f aca="false">IF(BV62=1,IF(HU62=1,JW62+JZ62,BW62-PS62)*(1+Slot6_Rate),0)</f>
        <v>0</v>
      </c>
      <c r="RH62" s="20" t="n">
        <f aca="false">IF(AND(HU62=1,BV62=1),(JV62+JZ62)/F62,0)</f>
        <v>0</v>
      </c>
      <c r="RI62" s="20" t="n">
        <f aca="false">IF(B62=0,JV62+JZ62,0)</f>
        <v>0</v>
      </c>
      <c r="RJ62" s="20" t="n">
        <f aca="false">IF(B62=0,IF(HU62=1,JX62,JY62),0)</f>
        <v>0</v>
      </c>
      <c r="RK62" s="20" t="n">
        <f aca="false">IF(CF62=1,IF(HU62=1,KE62+KH62,CG62-PQ62)*(1+Slot7_Rate),0)</f>
        <v>0</v>
      </c>
      <c r="RL62" s="20" t="n">
        <f aca="false">IF(AND(HU62=1,CF62=1),(KD62+KH62)/F62,0)</f>
        <v>0</v>
      </c>
      <c r="RM62" s="20" t="n">
        <f aca="false">IF(B62=0,KD62+KH62,0)</f>
        <v>0</v>
      </c>
      <c r="RN62" s="20" t="n">
        <f aca="false">IF(B62=0,IF(HU62=1,KF62,KG62),0)</f>
        <v>0</v>
      </c>
      <c r="RO62" s="20" t="n">
        <f aca="false">IF(CP62=1,IF(HU62=1,KM62+KP62,CQ62-PO62)*(1+Slot8_Rate),0)</f>
        <v>0</v>
      </c>
      <c r="RP62" s="20" t="n">
        <f aca="false">IF(AND(HU62=1,CP62=1),(KL62+KP62)/F62,0)</f>
        <v>0</v>
      </c>
      <c r="RQ62" s="20" t="n">
        <f aca="false">IF(B62=0,KL62+KP62,0)</f>
        <v>0</v>
      </c>
      <c r="RR62" s="20" t="n">
        <f aca="false">IF(B62=0,IF(HU62=1,KN62,KO62),0)</f>
        <v>0</v>
      </c>
      <c r="RS62" s="20" t="n">
        <f aca="false">IF(CZ62=1,IF(HU62=1,KU62+KX62,DA62-PM62)*(1+Slot9_Rate),0)</f>
        <v>0</v>
      </c>
      <c r="RT62" s="20" t="n">
        <f aca="false">IF(AND(HU62=1,CZ62=1),(KT62+KX62)/F62,0)</f>
        <v>0</v>
      </c>
      <c r="RU62" s="20" t="n">
        <f aca="false">IF(B62=0,KT62+KX62,0)</f>
        <v>0</v>
      </c>
      <c r="RV62" s="20" t="n">
        <f aca="false">IF(B62=0,IF(HU62=1,KV62,KW62),0)</f>
        <v>0</v>
      </c>
      <c r="RW62" s="20" t="n">
        <f aca="false">IF(DJ62=1,IF(HU62=1,LC62+LF62,DK62-PK62)*(1+Slot10_Rate),0)</f>
        <v>0</v>
      </c>
      <c r="RX62" s="20" t="n">
        <f aca="false">IF(AND(HU62=1,DJ62=1),(LB62+LF62)/F62,0)</f>
        <v>0</v>
      </c>
      <c r="RY62" s="20" t="n">
        <f aca="false">IF(B62=0,LB62+LF62,0)</f>
        <v>0</v>
      </c>
      <c r="RZ62" s="20" t="n">
        <f aca="false">IF(B62=0,IF(HU62=1,LD62,LE62),0)</f>
        <v>0</v>
      </c>
      <c r="SA62" s="20" t="n">
        <f aca="false">IF(DT62=1,IF(HU62=1,LK62+LN62,DU62-PI62)*(1+Slot11_Rate),0)</f>
        <v>0</v>
      </c>
      <c r="SB62" s="20" t="n">
        <f aca="false">IF(AND(HU62=1,DT62=1),(LJ62+LN62)/F62,0)</f>
        <v>0</v>
      </c>
      <c r="SC62" s="20" t="n">
        <f aca="false">IF(B62=0,LJ62+LN62,0)</f>
        <v>0</v>
      </c>
      <c r="SD62" s="20" t="n">
        <f aca="false">IF(B62=0,IF(HU62=1,LL62,LM62),0)</f>
        <v>0</v>
      </c>
      <c r="SE62" s="20" t="n">
        <f aca="false">IF(ED62=1,IF(HU62=1,LS62+LV62,EE62-PG62)*(1+Slot12_Rate),0)</f>
        <v>0</v>
      </c>
      <c r="SF62" s="20" t="n">
        <f aca="false">IF(AND(HU62=1,ED62=1),(LR62+LV62)/F62,0)</f>
        <v>0</v>
      </c>
      <c r="SG62" s="20" t="n">
        <f aca="false">IF(B62=0,LR62+LV62,0)</f>
        <v>0</v>
      </c>
      <c r="SH62" s="20" t="n">
        <f aca="false">IF(B62=0,IF(HU62=1,LT62,LU62),0)</f>
        <v>0</v>
      </c>
      <c r="SI62" s="20" t="n">
        <f aca="false">IF(EN62=1,IF(HU62=1,MA62+MD62,EO62-PE62)*(1+Slot13_Rate),0)</f>
        <v>0</v>
      </c>
      <c r="SJ62" s="20" t="n">
        <f aca="false">IF(AND(HU62=1,EN62=1),(LZ62+MD62)/F62,0)</f>
        <v>0</v>
      </c>
      <c r="SK62" s="20" t="n">
        <f aca="false">IF(B62=0,LZ62+MD62,0)</f>
        <v>0</v>
      </c>
      <c r="SL62" s="20" t="n">
        <f aca="false">IF(B62=0,IF(HU62=1,MB62,MC62),0)</f>
        <v>0</v>
      </c>
      <c r="SM62" s="20" t="n">
        <f aca="false">IF(EX62=1,IF(HU62=1,MI62+ML62,EY62-PC62)*(1+Slot14_Rate),0)</f>
        <v>0</v>
      </c>
      <c r="SN62" s="20" t="n">
        <f aca="false">IF(AND(HU62=1,EX62=1),(MH62+ML62)/F62,0)</f>
        <v>0</v>
      </c>
      <c r="SO62" s="20" t="n">
        <f aca="false">IF(B62=0,MH62+ML62,0)</f>
        <v>0</v>
      </c>
      <c r="SP62" s="20" t="n">
        <f aca="false">IF(B62=0,IF(HU62=1,MJ62,MK62),0)</f>
        <v>0</v>
      </c>
      <c r="SQ62" s="20" t="n">
        <f aca="false">IF(FH62=1,IF(HU62=1,MQ62+MT62,FI62-PA62)*(1+Slot15_Rate),0)</f>
        <v>0</v>
      </c>
      <c r="SR62" s="20" t="n">
        <f aca="false">IF(AND(HU62=1,FH62=1),(MP62+MT62)/F62,0)</f>
        <v>0</v>
      </c>
      <c r="SS62" s="20" t="n">
        <f aca="false">IF(B62=0,MP62+MT62,0)</f>
        <v>0</v>
      </c>
      <c r="ST62" s="20" t="n">
        <f aca="false">IF(B62=0,IF(HU62=1,MR62,MS62),0)</f>
        <v>0</v>
      </c>
      <c r="SU62" s="20" t="n">
        <f aca="false">IF(FR62=1,IF(HU62=1,MY62+NB62,FS62-OY62)*(1+Slot16_Rate),0)</f>
        <v>0</v>
      </c>
      <c r="SV62" s="20" t="n">
        <f aca="false">IF(AND(HU62=1,FR62=1),(MX62+NB62)/F62,0)</f>
        <v>0</v>
      </c>
      <c r="SW62" s="20" t="n">
        <f aca="false">IF(B62=0,MX62+NB62,0)</f>
        <v>0</v>
      </c>
      <c r="SX62" s="20" t="n">
        <f aca="false">IF(B62=0,IF(HU62=1,MZ62,NA62),0)</f>
        <v>0</v>
      </c>
      <c r="SY62" s="20" t="n">
        <f aca="false">IF(GB62=1,IF(HU62=1,NG62+NJ62,GC62-OW62)*(1+Slot17_Rate),0)</f>
        <v>0</v>
      </c>
      <c r="SZ62" s="20" t="n">
        <f aca="false">IF(AND(HU62=1,GB62=1),(NF62+NJ62)/F62,0)</f>
        <v>0</v>
      </c>
      <c r="TA62" s="20" t="n">
        <f aca="false">IF(B62=0,NF62+NJ62,0)</f>
        <v>0</v>
      </c>
      <c r="TB62" s="20" t="n">
        <f aca="false">IF(B62=0,IF(HU62=1,NH62,NI62),0)</f>
        <v>0</v>
      </c>
      <c r="TC62" s="20" t="n">
        <f aca="false">IF(GL62=1,IF(HU62=1,NO62+NR62,GM62-OU62)*(1+Slot18_Rate),0)</f>
        <v>0</v>
      </c>
      <c r="TD62" s="20" t="n">
        <f aca="false">IF(AND(HU62=1,GL62=1),(NN62+NR62)/F62,0)</f>
        <v>0</v>
      </c>
      <c r="TE62" s="20" t="n">
        <f aca="false">IF(B62=0,NN62+NR62,0)</f>
        <v>0</v>
      </c>
      <c r="TF62" s="20" t="n">
        <f aca="false">IF(B62=0,IF(HU62=1,NP62,NQ62),0)</f>
        <v>0</v>
      </c>
      <c r="TG62" s="20" t="n">
        <f aca="false">IF(GV62=1,IF(HU62=1,NW62+NZ62,GW62-OS62)*(1+Slot19_Rate),0)</f>
        <v>0</v>
      </c>
      <c r="TH62" s="20" t="n">
        <f aca="false">IF(AND(HU62=1,GV62=1),(NV62+NZ62)/F62,0)</f>
        <v>0</v>
      </c>
      <c r="TI62" s="20" t="n">
        <f aca="false">IF(B62=0,NV62+NZ62,0)</f>
        <v>0</v>
      </c>
      <c r="TJ62" s="20" t="n">
        <f aca="false">IF(B62=0,IF(HU62=1,NX62,NY62),0)</f>
        <v>0</v>
      </c>
      <c r="TK62" s="20" t="n">
        <f aca="false">IF(HF62=1,IF(HU62=1,OE62+OH62,HG62-OQ62)*(1+Slot20_Rate),0)</f>
        <v>0</v>
      </c>
      <c r="TL62" s="20" t="n">
        <f aca="false">IF(AND(HU62=1,HF62=1),(OD62+OH62)/F62,0)</f>
        <v>0</v>
      </c>
      <c r="TM62" s="20" t="n">
        <f aca="false">IF(B62=0,OD62+OH62,0)</f>
        <v>0</v>
      </c>
      <c r="TN62" s="20" t="n">
        <f aca="false">IF(B62=0,IF(HU62=1,OF62,OG62),0)</f>
        <v>0</v>
      </c>
      <c r="TO62" s="20" t="n">
        <f aca="false">QK62+QL62+QM62+QQ62+QU62+QY62+RC62+RG62+RK62+RO62+RS62+RW62+SA62+SE62+SI62+SM62+SQ62+SU62+SY62+TC62+TG62+TK62</f>
        <v>0</v>
      </c>
      <c r="TP62" s="20" t="n">
        <f aca="false">QE62+HP62</f>
        <v>28614.5931149102</v>
      </c>
      <c r="TQ62" s="20" t="n">
        <f aca="false">I62+S62</f>
        <v>139263.457029906</v>
      </c>
      <c r="TR62" s="20" t="n">
        <f aca="false">1-G62</f>
        <v>1</v>
      </c>
      <c r="TS62" s="20" t="n">
        <f aca="false">IF(AND(RG_Exists=1,G62=0,C62=1),I62,0)</f>
        <v>139263.457029906</v>
      </c>
      <c r="TT62" s="20" t="n">
        <f aca="false">IF(AND(RG_Exists=1,G62=0,C62=1),I62-MIN(QE62,I62),0)</f>
        <v>110648.863914996</v>
      </c>
      <c r="TU62" s="20" t="n">
        <f aca="false">'Plan pay &amp; tax'!AD288</f>
        <v>94842.179626914</v>
      </c>
      <c r="TV62" s="20" t="n">
        <f aca="false">IF(AND(C62=1,QE62&gt;MAX(PR_Short1,TQ62*PR_Short2)),1,0)</f>
        <v>1</v>
      </c>
      <c r="TW62" s="20" t="n">
        <f aca="false">MIN(H62,I62+S62)</f>
        <v>110648.863914996</v>
      </c>
      <c r="TX62" s="20" t="n">
        <f aca="false">QF62+MAX(0,HQ62-HP62)</f>
        <v>0</v>
      </c>
      <c r="TY62" s="20" t="n">
        <f aca="false">QE62+HP62</f>
        <v>28614.5931149102</v>
      </c>
      <c r="TZ62" s="20" t="n">
        <f aca="false">IF(AND(C62=1,TY62&gt;PR_MinShort),1,0)</f>
        <v>1</v>
      </c>
      <c r="UA62" s="20" t="n">
        <f aca="false">IF(AND(C62=1,TZ62=0,TX62&gt;PR_MinShort),1,0)</f>
        <v>0</v>
      </c>
      <c r="UB62" s="20" t="n">
        <f aca="false">IF(AND(C62=1,QE62&gt;PR_MinShort),1,0)</f>
        <v>1</v>
      </c>
      <c r="UC62" s="20" t="n">
        <f aca="false">IF(AND(C62=1,QF62&gt;1,UJ62=0),1,0)</f>
        <v>0</v>
      </c>
      <c r="UD62" s="20" t="str">
        <f aca="false">IF(C62=0,"",IF(UJ62=1,"Gap to plan for: short "&amp;"€"&amp;TEXT(ROUND(TP62,0),"#,##0"),IF(QF62&gt;1,"Using savings","Comfortable")))</f>
        <v>Gap to plan for: short €28,615</v>
      </c>
      <c r="UE62" s="20" t="n">
        <f aca="false">IF(AND(INT(D62/10)*10=90,B62&gt;0),80,INT(D62/10)*10)</f>
        <v>80</v>
      </c>
      <c r="UF62" s="20" t="n">
        <f aca="false">IF(B62=0,1,IF(UE62&lt;&gt;UE61,UF61+1,UF61))</f>
        <v>6</v>
      </c>
      <c r="UG62" s="20" t="n">
        <f aca="false">IF(AND(C62=1,G62=1,QE62&gt;MAX(PR_Short1,TQ62*PR_Short2)),1,0)</f>
        <v>0</v>
      </c>
      <c r="UH62" s="20" t="n">
        <f aca="false">TR62*TV62</f>
        <v>1</v>
      </c>
      <c r="UI62" s="20" t="n">
        <f aca="false">IF(AND(V62=1,Slot1_PctLow=1),1,0)+IF(AND(AG62=1,Slot2_PctLow=1),1,0)+IF(AND(AQ62=1,Slot3_PctLow=1),1,0)+IF(AND(BA62=1,Slot4_PctLow=1),1,0)+IF(AND(BK62=1,Slot5_PctLow=1),1,0)+IF(AND(BU62=1,Slot6_PctLow=1),1,0)+IF(AND(CE62=1,Slot7_PctLow=1),1,0)+IF(AND(CO62=1,Slot8_PctLow=1),1,0)+IF(AND(CY62=1,Slot9_PctLow=1),1,0)+IF(AND(DI62=1,Slot10_PctLow=1),1,0)+IF(AND(DS62=1,Slot11_PctLow=1),1,0)+IF(AND(EC62=1,Slot12_PctLow=1),1,0)+IF(AND(EM62=1,Slot13_PctLow=1),1,0)+IF(AND(EW62=1,Slot14_PctLow=1),1,0)+IF(AND(FG62=1,Slot15_PctLow=1),1,0)+IF(AND(FQ62=1,Slot16_PctLow=1),1,0)+IF(AND(GA62=1,Slot17_PctLow=1),1,0)+IF(AND(GK62=1,Slot18_PctLow=1),1,0)+IF(AND(GU62=1,Slot19_PctLow=1),1,0)+IF(AND(HE62=1,Slot20_PctLow=1),1,0)</f>
        <v>0</v>
      </c>
      <c r="UJ62" s="20" t="n">
        <f aca="false">IF(C62=1,IF(OR(TV62=1,UI62&gt;0),1,0),0)</f>
        <v>1</v>
      </c>
    </row>
    <row r="63" customFormat="false" ht="15" hidden="false" customHeight="true" outlineLevel="0" collapsed="false">
      <c r="B63" s="20" t="n">
        <v>55</v>
      </c>
      <c r="C63" s="20" t="n">
        <f aca="false">IF(B63&lt;=F_N,1,0)</f>
        <v>1</v>
      </c>
      <c r="D63" s="20" t="n">
        <f aca="false">'Plan pay &amp; tax'!C289</f>
        <v>93</v>
      </c>
      <c r="E63" s="20" t="str">
        <f aca="false">IF($C63=1,"Income tax "&amp;TEXT(N('Plan pay &amp; tax'!BK289),"#,##0")&amp;"; USC "&amp;TEXT(N('Plan pay &amp; tax'!BM289)+N('Plan pay &amp; tax'!BO289),"#,##0")&amp;"; PRSI "&amp;TEXT(N('Plan pay &amp; tax'!BP289)+N('Plan pay &amp; tax'!BQ289),"#,##0")&amp;". DIRT and exit tax are inside the growth rates here.","")</f>
        <v>Income tax 1,099; USC 0; PRSI 0. DIRT and exit tax are inside the growth rates here.</v>
      </c>
      <c r="F63" s="44" t="n">
        <f aca="false">'Plan pay &amp; tax'!E289</f>
        <v>2.97173067302309</v>
      </c>
      <c r="G63" s="20" t="n">
        <f aca="false">'Plan pay &amp; tax'!G289</f>
        <v>0</v>
      </c>
      <c r="H63" s="20" t="n">
        <f aca="false">'Plan pay &amp; tax'!BT289-'Plan pay &amp; tax'!BS289-'Plan pay &amp; tax'!R289</f>
        <v>113143.808571731</v>
      </c>
      <c r="I63" s="20" t="n">
        <f aca="false">IF(G63=1,F_CostsM*12,IF(RG_Exists=1,RG_Amount,F_CostsM*12*AS_RetireSpend))*F63+F_OneOffY*F63</f>
        <v>142048.726170504</v>
      </c>
      <c r="J63" s="20" t="n">
        <f aca="false">HR62</f>
        <v>0</v>
      </c>
      <c r="K63" s="20" t="n">
        <f aca="false">IF(J63&gt;1,'Plan debt months'!AC63,0)</f>
        <v>0</v>
      </c>
      <c r="L63" s="20" t="n">
        <f aca="false">IF(J63&gt;1,'Plan debt months'!AB63,J63)</f>
        <v>0</v>
      </c>
      <c r="M63" s="20" t="n">
        <f aca="false">O62</f>
        <v>0</v>
      </c>
      <c r="N63" s="20" t="n">
        <f aca="false">IF(M63&gt;1,'Plan debt months'!BD63,0)</f>
        <v>0</v>
      </c>
      <c r="O63" s="20" t="n">
        <f aca="false">IF(M63&gt;1,'Plan debt months'!BC63,M63)</f>
        <v>0</v>
      </c>
      <c r="P63" s="20" t="n">
        <f aca="false">R62</f>
        <v>0</v>
      </c>
      <c r="Q63" s="20" t="n">
        <f aca="false">IF(P63&gt;1,'Plan debt months'!CE63,0)</f>
        <v>0</v>
      </c>
      <c r="R63" s="20" t="n">
        <f aca="false">IF(P63&gt;1,'Plan debt months'!CD63,P63)</f>
        <v>0</v>
      </c>
      <c r="S63" s="20" t="n">
        <f aca="false">K63+N63+Q63</f>
        <v>0</v>
      </c>
      <c r="T63" s="20" t="n">
        <f aca="false">QK62+'Plan pay &amp; tax'!Y289</f>
        <v>0</v>
      </c>
      <c r="U63" s="20" t="n">
        <f aca="false">QK62</f>
        <v>0</v>
      </c>
      <c r="V63" s="20" t="n">
        <f aca="false">IF(AND(Slot1_On=1,D63=Slot1_Age),1,0)</f>
        <v>0</v>
      </c>
      <c r="W63" s="20" t="n">
        <f aca="false">IF(AND(Slot1_On=1,Slot1_Age&gt;D63),1,0)</f>
        <v>0</v>
      </c>
      <c r="X63" s="20" t="n">
        <f aca="false">QM62</f>
        <v>0</v>
      </c>
      <c r="Y63" s="20" t="n">
        <f aca="false">V63*MIN(Slot1_Cost,X63)</f>
        <v>0</v>
      </c>
      <c r="Z63" s="20" t="n">
        <f aca="false">V63*Slot1_SpendLike*MIN(Slot1_Cost-Y63,T63)</f>
        <v>0</v>
      </c>
      <c r="AA63" s="20" t="n">
        <f aca="false">Y63+Z63</f>
        <v>0</v>
      </c>
      <c r="AB63" s="20" t="n">
        <f aca="false">T63-Z63+V63*IF(Slot1_SpendLike=1,X63-Y63,IF(Slot1_PotFree=1,X63,0))</f>
        <v>0</v>
      </c>
      <c r="AC63" s="20" t="n">
        <f aca="false">AF63+V63*Slot1_BufPot*X63</f>
        <v>0</v>
      </c>
      <c r="AD63" s="20" t="n">
        <f aca="false">IF(AND(V63=1,Slot1_IsMfree=1),IF(AA63&gt;=Slot1_Cost-1,0,MAX(0,L63-AA63)),L63)</f>
        <v>0</v>
      </c>
      <c r="AE63" s="20" t="n">
        <f aca="false">V63*(Slot1_Cost-AA63)</f>
        <v>0</v>
      </c>
      <c r="AF63" s="20" t="n">
        <f aca="false">QL62</f>
        <v>0</v>
      </c>
      <c r="AG63" s="20" t="n">
        <f aca="false">IF(AND(Slot2_On=1,D63=Slot2_Age),1,0)</f>
        <v>0</v>
      </c>
      <c r="AH63" s="20" t="n">
        <f aca="false">IF(AND(Slot2_On=1,Slot2_Age&gt;D63),1,0)</f>
        <v>0</v>
      </c>
      <c r="AI63" s="20" t="n">
        <f aca="false">QQ62</f>
        <v>0</v>
      </c>
      <c r="AJ63" s="20" t="n">
        <f aca="false">AG63*MIN(Slot2_Cost,AI63)</f>
        <v>0</v>
      </c>
      <c r="AK63" s="20" t="n">
        <f aca="false">AG63*Slot2_SpendLike*MIN(Slot2_Cost-AJ63,AB63)</f>
        <v>0</v>
      </c>
      <c r="AL63" s="20" t="n">
        <f aca="false">AJ63+AK63</f>
        <v>0</v>
      </c>
      <c r="AM63" s="20" t="n">
        <f aca="false">AB63-AK63+AG63*IF(Slot2_SpendLike=1,AI63-AJ63,IF(Slot2_PotFree=1,AI63,0))</f>
        <v>0</v>
      </c>
      <c r="AN63" s="20" t="n">
        <f aca="false">AC63+AG63*Slot2_BufPot*AI63</f>
        <v>0</v>
      </c>
      <c r="AO63" s="20" t="n">
        <f aca="false">IF(AND(AG63=1,Slot2_IsMfree=1),IF(AL63&gt;=Slot2_Cost-1,0,MAX(0,AD63-AL63)),AD63)</f>
        <v>0</v>
      </c>
      <c r="AP63" s="20" t="n">
        <f aca="false">AG63*(Slot2_Cost-AL63)</f>
        <v>0</v>
      </c>
      <c r="AQ63" s="20" t="n">
        <f aca="false">IF(AND(Slot3_On=1,D63=Slot3_Age),1,0)</f>
        <v>0</v>
      </c>
      <c r="AR63" s="20" t="n">
        <f aca="false">IF(AND(Slot3_On=1,Slot3_Age&gt;D63),1,0)</f>
        <v>0</v>
      </c>
      <c r="AS63" s="20" t="n">
        <f aca="false">QU62</f>
        <v>0</v>
      </c>
      <c r="AT63" s="20" t="n">
        <f aca="false">AQ63*MIN(Slot3_Cost,AS63)</f>
        <v>0</v>
      </c>
      <c r="AU63" s="20" t="n">
        <f aca="false">AQ63*Slot3_SpendLike*MIN(Slot3_Cost-AT63,AM63)</f>
        <v>0</v>
      </c>
      <c r="AV63" s="20" t="n">
        <f aca="false">AT63+AU63</f>
        <v>0</v>
      </c>
      <c r="AW63" s="20" t="n">
        <f aca="false">AM63-AU63+AQ63*IF(Slot3_SpendLike=1,AS63-AT63,IF(Slot3_PotFree=1,AS63,0))</f>
        <v>0</v>
      </c>
      <c r="AX63" s="20" t="n">
        <f aca="false">AN63+AQ63*Slot3_BufPot*AS63</f>
        <v>0</v>
      </c>
      <c r="AY63" s="20" t="n">
        <f aca="false">IF(AND(AQ63=1,Slot3_IsMfree=1),IF(AV63&gt;=Slot3_Cost-1,0,MAX(0,AO63-AV63)),AO63)</f>
        <v>0</v>
      </c>
      <c r="AZ63" s="20" t="n">
        <f aca="false">AQ63*(Slot3_Cost-AV63)</f>
        <v>0</v>
      </c>
      <c r="BA63" s="20" t="n">
        <f aca="false">IF(AND(Slot4_On=1,D63=Slot4_Age),1,0)</f>
        <v>0</v>
      </c>
      <c r="BB63" s="20" t="n">
        <f aca="false">IF(AND(Slot4_On=1,Slot4_Age&gt;D63),1,0)</f>
        <v>0</v>
      </c>
      <c r="BC63" s="20" t="n">
        <f aca="false">QY62</f>
        <v>0</v>
      </c>
      <c r="BD63" s="20" t="n">
        <f aca="false">BA63*MIN(Slot4_Cost,BC63)</f>
        <v>0</v>
      </c>
      <c r="BE63" s="20" t="n">
        <f aca="false">BA63*Slot4_SpendLike*MIN(Slot4_Cost-BD63,AW63)</f>
        <v>0</v>
      </c>
      <c r="BF63" s="20" t="n">
        <f aca="false">BD63+BE63</f>
        <v>0</v>
      </c>
      <c r="BG63" s="20" t="n">
        <f aca="false">AW63-BE63+BA63*IF(Slot4_SpendLike=1,BC63-BD63,IF(Slot4_PotFree=1,BC63,0))</f>
        <v>0</v>
      </c>
      <c r="BH63" s="20" t="n">
        <f aca="false">AX63+BA63*Slot4_BufPot*BC63</f>
        <v>0</v>
      </c>
      <c r="BI63" s="20" t="n">
        <f aca="false">IF(AND(BA63=1,Slot4_IsMfree=1),IF(BF63&gt;=Slot4_Cost-1,0,MAX(0,AY63-BF63)),AY63)</f>
        <v>0</v>
      </c>
      <c r="BJ63" s="20" t="n">
        <f aca="false">BA63*(Slot4_Cost-BF63)</f>
        <v>0</v>
      </c>
      <c r="BK63" s="20" t="n">
        <f aca="false">IF(AND(Slot5_On=1,D63=Slot5_Age),1,0)</f>
        <v>0</v>
      </c>
      <c r="BL63" s="20" t="n">
        <f aca="false">IF(AND(Slot5_On=1,Slot5_Age&gt;D63),1,0)</f>
        <v>0</v>
      </c>
      <c r="BM63" s="20" t="n">
        <f aca="false">RC62</f>
        <v>0</v>
      </c>
      <c r="BN63" s="20" t="n">
        <f aca="false">BK63*MIN(Slot5_Cost,BM63)</f>
        <v>0</v>
      </c>
      <c r="BO63" s="20" t="n">
        <f aca="false">BK63*Slot5_SpendLike*MIN(Slot5_Cost-BN63,BG63)</f>
        <v>0</v>
      </c>
      <c r="BP63" s="20" t="n">
        <f aca="false">BN63+BO63</f>
        <v>0</v>
      </c>
      <c r="BQ63" s="20" t="n">
        <f aca="false">BG63-BO63+BK63*IF(Slot5_SpendLike=1,BM63-BN63,IF(Slot5_PotFree=1,BM63,0))</f>
        <v>0</v>
      </c>
      <c r="BR63" s="20" t="n">
        <f aca="false">BH63+BK63*Slot5_BufPot*BM63</f>
        <v>0</v>
      </c>
      <c r="BS63" s="20" t="n">
        <f aca="false">IF(AND(BK63=1,Slot5_IsMfree=1),IF(BP63&gt;=Slot5_Cost-1,0,MAX(0,BI63-BP63)),BI63)</f>
        <v>0</v>
      </c>
      <c r="BT63" s="20" t="n">
        <f aca="false">BK63*(Slot5_Cost-BP63)</f>
        <v>0</v>
      </c>
      <c r="BU63" s="20" t="n">
        <f aca="false">IF(AND(Slot6_On=1,D63=Slot6_Age),1,0)</f>
        <v>0</v>
      </c>
      <c r="BV63" s="20" t="n">
        <f aca="false">IF(AND(Slot6_On=1,Slot6_Age&gt;D63),1,0)</f>
        <v>0</v>
      </c>
      <c r="BW63" s="20" t="n">
        <f aca="false">RG62</f>
        <v>0</v>
      </c>
      <c r="BX63" s="20" t="n">
        <f aca="false">BU63*MIN(Slot6_Cost,BW63)</f>
        <v>0</v>
      </c>
      <c r="BY63" s="20" t="n">
        <f aca="false">BU63*Slot6_SpendLike*MIN(Slot6_Cost-BX63,BQ63)</f>
        <v>0</v>
      </c>
      <c r="BZ63" s="20" t="n">
        <f aca="false">BX63+BY63</f>
        <v>0</v>
      </c>
      <c r="CA63" s="20" t="n">
        <f aca="false">BQ63-BY63+BU63*IF(Slot6_SpendLike=1,BW63-BX63,IF(Slot6_PotFree=1,BW63,0))</f>
        <v>0</v>
      </c>
      <c r="CB63" s="20" t="n">
        <f aca="false">BR63+BU63*Slot6_BufPot*BW63</f>
        <v>0</v>
      </c>
      <c r="CC63" s="20" t="n">
        <f aca="false">IF(AND(BU63=1,Slot6_IsMfree=1),IF(BZ63&gt;=Slot6_Cost-1,0,MAX(0,BS63-BZ63)),BS63)</f>
        <v>0</v>
      </c>
      <c r="CD63" s="20" t="n">
        <f aca="false">BU63*(Slot6_Cost-BZ63)</f>
        <v>0</v>
      </c>
      <c r="CE63" s="20" t="n">
        <f aca="false">IF(AND(Slot7_On=1,D63=Slot7_Age),1,0)</f>
        <v>0</v>
      </c>
      <c r="CF63" s="20" t="n">
        <f aca="false">IF(AND(Slot7_On=1,Slot7_Age&gt;D63),1,0)</f>
        <v>0</v>
      </c>
      <c r="CG63" s="20" t="n">
        <f aca="false">RK62</f>
        <v>0</v>
      </c>
      <c r="CH63" s="20" t="n">
        <f aca="false">CE63*MIN(Slot7_Cost,CG63)</f>
        <v>0</v>
      </c>
      <c r="CI63" s="20" t="n">
        <f aca="false">CE63*Slot7_SpendLike*MIN(Slot7_Cost-CH63,CA63)</f>
        <v>0</v>
      </c>
      <c r="CJ63" s="20" t="n">
        <f aca="false">CH63+CI63</f>
        <v>0</v>
      </c>
      <c r="CK63" s="20" t="n">
        <f aca="false">CA63-CI63+CE63*IF(Slot7_SpendLike=1,CG63-CH63,IF(Slot7_PotFree=1,CG63,0))</f>
        <v>0</v>
      </c>
      <c r="CL63" s="20" t="n">
        <f aca="false">CB63+CE63*Slot7_BufPot*CG63</f>
        <v>0</v>
      </c>
      <c r="CM63" s="20" t="n">
        <f aca="false">IF(AND(CE63=1,Slot7_IsMfree=1),IF(CJ63&gt;=Slot7_Cost-1,0,MAX(0,CC63-CJ63)),CC63)</f>
        <v>0</v>
      </c>
      <c r="CN63" s="20" t="n">
        <f aca="false">CE63*(Slot7_Cost-CJ63)</f>
        <v>0</v>
      </c>
      <c r="CO63" s="20" t="n">
        <f aca="false">IF(AND(Slot8_On=1,D63=Slot8_Age),1,0)</f>
        <v>0</v>
      </c>
      <c r="CP63" s="20" t="n">
        <f aca="false">IF(AND(Slot8_On=1,Slot8_Age&gt;D63),1,0)</f>
        <v>0</v>
      </c>
      <c r="CQ63" s="20" t="n">
        <f aca="false">RO62</f>
        <v>0</v>
      </c>
      <c r="CR63" s="20" t="n">
        <f aca="false">CO63*MIN(Slot8_Cost,CQ63)</f>
        <v>0</v>
      </c>
      <c r="CS63" s="20" t="n">
        <f aca="false">CO63*Slot8_SpendLike*MIN(Slot8_Cost-CR63,CK63)</f>
        <v>0</v>
      </c>
      <c r="CT63" s="20" t="n">
        <f aca="false">CR63+CS63</f>
        <v>0</v>
      </c>
      <c r="CU63" s="20" t="n">
        <f aca="false">CK63-CS63+CO63*IF(Slot8_SpendLike=1,CQ63-CR63,IF(Slot8_PotFree=1,CQ63,0))</f>
        <v>0</v>
      </c>
      <c r="CV63" s="20" t="n">
        <f aca="false">CL63+CO63*Slot8_BufPot*CQ63</f>
        <v>0</v>
      </c>
      <c r="CW63" s="20" t="n">
        <f aca="false">IF(AND(CO63=1,Slot8_IsMfree=1),IF(CT63&gt;=Slot8_Cost-1,0,MAX(0,CM63-CT63)),CM63)</f>
        <v>0</v>
      </c>
      <c r="CX63" s="20" t="n">
        <f aca="false">CO63*(Slot8_Cost-CT63)</f>
        <v>0</v>
      </c>
      <c r="CY63" s="20" t="n">
        <f aca="false">IF(AND(Slot9_On=1,D63=Slot9_Age),1,0)</f>
        <v>0</v>
      </c>
      <c r="CZ63" s="20" t="n">
        <f aca="false">IF(AND(Slot9_On=1,Slot9_Age&gt;D63),1,0)</f>
        <v>0</v>
      </c>
      <c r="DA63" s="20" t="n">
        <f aca="false">RS62</f>
        <v>0</v>
      </c>
      <c r="DB63" s="20" t="n">
        <f aca="false">CY63*MIN(Slot9_Cost,DA63)</f>
        <v>0</v>
      </c>
      <c r="DC63" s="20" t="n">
        <f aca="false">CY63*Slot9_SpendLike*MIN(Slot9_Cost-DB63,CU63)</f>
        <v>0</v>
      </c>
      <c r="DD63" s="20" t="n">
        <f aca="false">DB63+DC63</f>
        <v>0</v>
      </c>
      <c r="DE63" s="20" t="n">
        <f aca="false">CU63-DC63+CY63*IF(Slot9_SpendLike=1,DA63-DB63,IF(Slot9_PotFree=1,DA63,0))</f>
        <v>0</v>
      </c>
      <c r="DF63" s="20" t="n">
        <f aca="false">CV63+CY63*Slot9_BufPot*DA63</f>
        <v>0</v>
      </c>
      <c r="DG63" s="20" t="n">
        <f aca="false">IF(AND(CY63=1,Slot9_IsMfree=1),IF(DD63&gt;=Slot9_Cost-1,0,MAX(0,CW63-DD63)),CW63)</f>
        <v>0</v>
      </c>
      <c r="DH63" s="20" t="n">
        <f aca="false">CY63*(Slot9_Cost-DD63)</f>
        <v>0</v>
      </c>
      <c r="DI63" s="20" t="n">
        <f aca="false">IF(AND(Slot10_On=1,D63=Slot10_Age),1,0)</f>
        <v>0</v>
      </c>
      <c r="DJ63" s="20" t="n">
        <f aca="false">IF(AND(Slot10_On=1,Slot10_Age&gt;D63),1,0)</f>
        <v>0</v>
      </c>
      <c r="DK63" s="20" t="n">
        <f aca="false">RW62</f>
        <v>0</v>
      </c>
      <c r="DL63" s="20" t="n">
        <f aca="false">DI63*MIN(Slot10_Cost,DK63)</f>
        <v>0</v>
      </c>
      <c r="DM63" s="20" t="n">
        <f aca="false">DI63*Slot10_SpendLike*MIN(Slot10_Cost-DL63,DE63)</f>
        <v>0</v>
      </c>
      <c r="DN63" s="20" t="n">
        <f aca="false">DL63+DM63</f>
        <v>0</v>
      </c>
      <c r="DO63" s="20" t="n">
        <f aca="false">DE63-DM63+DI63*IF(Slot10_SpendLike=1,DK63-DL63,IF(Slot10_PotFree=1,DK63,0))</f>
        <v>0</v>
      </c>
      <c r="DP63" s="20" t="n">
        <f aca="false">DF63+DI63*Slot10_BufPot*DK63</f>
        <v>0</v>
      </c>
      <c r="DQ63" s="20" t="n">
        <f aca="false">IF(AND(DI63=1,Slot10_IsMfree=1),IF(DN63&gt;=Slot10_Cost-1,0,MAX(0,DG63-DN63)),DG63)</f>
        <v>0</v>
      </c>
      <c r="DR63" s="20" t="n">
        <f aca="false">DI63*(Slot10_Cost-DN63)</f>
        <v>0</v>
      </c>
      <c r="DS63" s="20" t="n">
        <f aca="false">IF(AND(Slot11_On=1,D63=Slot11_Age),1,0)</f>
        <v>0</v>
      </c>
      <c r="DT63" s="20" t="n">
        <f aca="false">IF(AND(Slot11_On=1,Slot11_Age&gt;D63),1,0)</f>
        <v>0</v>
      </c>
      <c r="DU63" s="20" t="n">
        <f aca="false">SA62</f>
        <v>0</v>
      </c>
      <c r="DV63" s="20" t="n">
        <f aca="false">DS63*MIN(Slot11_Cost,DU63)</f>
        <v>0</v>
      </c>
      <c r="DW63" s="20" t="n">
        <f aca="false">DS63*Slot11_SpendLike*MIN(Slot11_Cost-DV63,DO63)</f>
        <v>0</v>
      </c>
      <c r="DX63" s="20" t="n">
        <f aca="false">DV63+DW63</f>
        <v>0</v>
      </c>
      <c r="DY63" s="20" t="n">
        <f aca="false">DO63-DW63+DS63*IF(Slot11_SpendLike=1,DU63-DV63,IF(Slot11_PotFree=1,DU63,0))</f>
        <v>0</v>
      </c>
      <c r="DZ63" s="20" t="n">
        <f aca="false">DP63+DS63*Slot11_BufPot*DU63</f>
        <v>0</v>
      </c>
      <c r="EA63" s="20" t="n">
        <f aca="false">IF(AND(DS63=1,Slot11_IsMfree=1),IF(DX63&gt;=Slot11_Cost-1,0,MAX(0,DQ63-DX63)),DQ63)</f>
        <v>0</v>
      </c>
      <c r="EB63" s="20" t="n">
        <f aca="false">DS63*(Slot11_Cost-DX63)</f>
        <v>0</v>
      </c>
      <c r="EC63" s="20" t="n">
        <f aca="false">IF(AND(Slot12_On=1,D63=Slot12_Age),1,0)</f>
        <v>0</v>
      </c>
      <c r="ED63" s="20" t="n">
        <f aca="false">IF(AND(Slot12_On=1,Slot12_Age&gt;D63),1,0)</f>
        <v>0</v>
      </c>
      <c r="EE63" s="20" t="n">
        <f aca="false">SE62</f>
        <v>0</v>
      </c>
      <c r="EF63" s="20" t="n">
        <f aca="false">EC63*MIN(Slot12_Cost,EE63)</f>
        <v>0</v>
      </c>
      <c r="EG63" s="20" t="n">
        <f aca="false">EC63*Slot12_SpendLike*MIN(Slot12_Cost-EF63,DY63)</f>
        <v>0</v>
      </c>
      <c r="EH63" s="20" t="n">
        <f aca="false">EF63+EG63</f>
        <v>0</v>
      </c>
      <c r="EI63" s="20" t="n">
        <f aca="false">DY63-EG63+EC63*IF(Slot12_SpendLike=1,EE63-EF63,IF(Slot12_PotFree=1,EE63,0))</f>
        <v>0</v>
      </c>
      <c r="EJ63" s="20" t="n">
        <f aca="false">DZ63+EC63*Slot12_BufPot*EE63</f>
        <v>0</v>
      </c>
      <c r="EK63" s="20" t="n">
        <f aca="false">IF(AND(EC63=1,Slot12_IsMfree=1),IF(EH63&gt;=Slot12_Cost-1,0,MAX(0,EA63-EH63)),EA63)</f>
        <v>0</v>
      </c>
      <c r="EL63" s="20" t="n">
        <f aca="false">EC63*(Slot12_Cost-EH63)</f>
        <v>0</v>
      </c>
      <c r="EM63" s="20" t="n">
        <f aca="false">IF(AND(Slot13_On=1,D63=Slot13_Age),1,0)</f>
        <v>0</v>
      </c>
      <c r="EN63" s="20" t="n">
        <f aca="false">IF(AND(Slot13_On=1,Slot13_Age&gt;D63),1,0)</f>
        <v>0</v>
      </c>
      <c r="EO63" s="20" t="n">
        <f aca="false">SI62</f>
        <v>0</v>
      </c>
      <c r="EP63" s="20" t="n">
        <f aca="false">EM63*MIN(Slot13_Cost,EO63)</f>
        <v>0</v>
      </c>
      <c r="EQ63" s="20" t="n">
        <f aca="false">EM63*Slot13_SpendLike*MIN(Slot13_Cost-EP63,EI63)</f>
        <v>0</v>
      </c>
      <c r="ER63" s="20" t="n">
        <f aca="false">EP63+EQ63</f>
        <v>0</v>
      </c>
      <c r="ES63" s="20" t="n">
        <f aca="false">EI63-EQ63+EM63*IF(Slot13_SpendLike=1,EO63-EP63,IF(Slot13_PotFree=1,EO63,0))</f>
        <v>0</v>
      </c>
      <c r="ET63" s="20" t="n">
        <f aca="false">EJ63+EM63*Slot13_BufPot*EO63</f>
        <v>0</v>
      </c>
      <c r="EU63" s="20" t="n">
        <f aca="false">IF(AND(EM63=1,Slot13_IsMfree=1),IF(ER63&gt;=Slot13_Cost-1,0,MAX(0,EK63-ER63)),EK63)</f>
        <v>0</v>
      </c>
      <c r="EV63" s="20" t="n">
        <f aca="false">EM63*(Slot13_Cost-ER63)</f>
        <v>0</v>
      </c>
      <c r="EW63" s="20" t="n">
        <f aca="false">IF(AND(Slot14_On=1,D63=Slot14_Age),1,0)</f>
        <v>0</v>
      </c>
      <c r="EX63" s="20" t="n">
        <f aca="false">IF(AND(Slot14_On=1,Slot14_Age&gt;D63),1,0)</f>
        <v>0</v>
      </c>
      <c r="EY63" s="20" t="n">
        <f aca="false">SM62</f>
        <v>0</v>
      </c>
      <c r="EZ63" s="20" t="n">
        <f aca="false">EW63*MIN(Slot14_Cost,EY63)</f>
        <v>0</v>
      </c>
      <c r="FA63" s="20" t="n">
        <f aca="false">EW63*Slot14_SpendLike*MIN(Slot14_Cost-EZ63,ES63)</f>
        <v>0</v>
      </c>
      <c r="FB63" s="20" t="n">
        <f aca="false">EZ63+FA63</f>
        <v>0</v>
      </c>
      <c r="FC63" s="20" t="n">
        <f aca="false">ES63-FA63+EW63*IF(Slot14_SpendLike=1,EY63-EZ63,IF(Slot14_PotFree=1,EY63,0))</f>
        <v>0</v>
      </c>
      <c r="FD63" s="20" t="n">
        <f aca="false">ET63+EW63*Slot14_BufPot*EY63</f>
        <v>0</v>
      </c>
      <c r="FE63" s="20" t="n">
        <f aca="false">IF(AND(EW63=1,Slot14_IsMfree=1),IF(FB63&gt;=Slot14_Cost-1,0,MAX(0,EU63-FB63)),EU63)</f>
        <v>0</v>
      </c>
      <c r="FF63" s="20" t="n">
        <f aca="false">EW63*(Slot14_Cost-FB63)</f>
        <v>0</v>
      </c>
      <c r="FG63" s="20" t="n">
        <f aca="false">IF(AND(Slot15_On=1,D63=Slot15_Age),1,0)</f>
        <v>0</v>
      </c>
      <c r="FH63" s="20" t="n">
        <f aca="false">IF(AND(Slot15_On=1,Slot15_Age&gt;D63),1,0)</f>
        <v>0</v>
      </c>
      <c r="FI63" s="20" t="n">
        <f aca="false">SQ62</f>
        <v>0</v>
      </c>
      <c r="FJ63" s="20" t="n">
        <f aca="false">FG63*MIN(Slot15_Cost,FI63)</f>
        <v>0</v>
      </c>
      <c r="FK63" s="20" t="n">
        <f aca="false">FG63*Slot15_SpendLike*MIN(Slot15_Cost-FJ63,FC63)</f>
        <v>0</v>
      </c>
      <c r="FL63" s="20" t="n">
        <f aca="false">FJ63+FK63</f>
        <v>0</v>
      </c>
      <c r="FM63" s="20" t="n">
        <f aca="false">FC63-FK63+FG63*IF(Slot15_SpendLike=1,FI63-FJ63,IF(Slot15_PotFree=1,FI63,0))</f>
        <v>0</v>
      </c>
      <c r="FN63" s="20" t="n">
        <f aca="false">FD63+FG63*Slot15_BufPot*FI63</f>
        <v>0</v>
      </c>
      <c r="FO63" s="20" t="n">
        <f aca="false">IF(AND(FG63=1,Slot15_IsMfree=1),IF(FL63&gt;=Slot15_Cost-1,0,MAX(0,FE63-FL63)),FE63)</f>
        <v>0</v>
      </c>
      <c r="FP63" s="20" t="n">
        <f aca="false">FG63*(Slot15_Cost-FL63)</f>
        <v>0</v>
      </c>
      <c r="FQ63" s="20" t="n">
        <f aca="false">IF(AND(Slot16_On=1,D63=Slot16_Age),1,0)</f>
        <v>0</v>
      </c>
      <c r="FR63" s="20" t="n">
        <f aca="false">IF(AND(Slot16_On=1,Slot16_Age&gt;D63),1,0)</f>
        <v>0</v>
      </c>
      <c r="FS63" s="20" t="n">
        <f aca="false">SU62</f>
        <v>0</v>
      </c>
      <c r="FT63" s="20" t="n">
        <f aca="false">FQ63*MIN(Slot16_Cost,FS63)</f>
        <v>0</v>
      </c>
      <c r="FU63" s="20" t="n">
        <f aca="false">FQ63*Slot16_SpendLike*MIN(Slot16_Cost-FT63,FM63)</f>
        <v>0</v>
      </c>
      <c r="FV63" s="20" t="n">
        <f aca="false">FT63+FU63</f>
        <v>0</v>
      </c>
      <c r="FW63" s="20" t="n">
        <f aca="false">FM63-FU63+FQ63*IF(Slot16_SpendLike=1,FS63-FT63,IF(Slot16_PotFree=1,FS63,0))</f>
        <v>0</v>
      </c>
      <c r="FX63" s="20" t="n">
        <f aca="false">FN63+FQ63*Slot16_BufPot*FS63</f>
        <v>0</v>
      </c>
      <c r="FY63" s="20" t="n">
        <f aca="false">IF(AND(FQ63=1,Slot16_IsMfree=1),IF(FV63&gt;=Slot16_Cost-1,0,MAX(0,FO63-FV63)),FO63)</f>
        <v>0</v>
      </c>
      <c r="FZ63" s="20" t="n">
        <f aca="false">FQ63*(Slot16_Cost-FV63)</f>
        <v>0</v>
      </c>
      <c r="GA63" s="20" t="n">
        <f aca="false">IF(AND(Slot17_On=1,D63=Slot17_Age),1,0)</f>
        <v>0</v>
      </c>
      <c r="GB63" s="20" t="n">
        <f aca="false">IF(AND(Slot17_On=1,Slot17_Age&gt;D63),1,0)</f>
        <v>0</v>
      </c>
      <c r="GC63" s="20" t="n">
        <f aca="false">SY62</f>
        <v>0</v>
      </c>
      <c r="GD63" s="20" t="n">
        <f aca="false">GA63*MIN(Slot17_Cost,GC63)</f>
        <v>0</v>
      </c>
      <c r="GE63" s="20" t="n">
        <f aca="false">GA63*Slot17_SpendLike*MIN(Slot17_Cost-GD63,FW63)</f>
        <v>0</v>
      </c>
      <c r="GF63" s="20" t="n">
        <f aca="false">GD63+GE63</f>
        <v>0</v>
      </c>
      <c r="GG63" s="20" t="n">
        <f aca="false">FW63-GE63+GA63*IF(Slot17_SpendLike=1,GC63-GD63,IF(Slot17_PotFree=1,GC63,0))</f>
        <v>0</v>
      </c>
      <c r="GH63" s="20" t="n">
        <f aca="false">FX63+GA63*Slot17_BufPot*GC63</f>
        <v>0</v>
      </c>
      <c r="GI63" s="20" t="n">
        <f aca="false">IF(AND(GA63=1,Slot17_IsMfree=1),IF(GF63&gt;=Slot17_Cost-1,0,MAX(0,FY63-GF63)),FY63)</f>
        <v>0</v>
      </c>
      <c r="GJ63" s="20" t="n">
        <f aca="false">GA63*(Slot17_Cost-GF63)</f>
        <v>0</v>
      </c>
      <c r="GK63" s="20" t="n">
        <f aca="false">IF(AND(Slot18_On=1,D63=Slot18_Age),1,0)</f>
        <v>0</v>
      </c>
      <c r="GL63" s="20" t="n">
        <f aca="false">IF(AND(Slot18_On=1,Slot18_Age&gt;D63),1,0)</f>
        <v>0</v>
      </c>
      <c r="GM63" s="20" t="n">
        <f aca="false">TC62</f>
        <v>0</v>
      </c>
      <c r="GN63" s="20" t="n">
        <f aca="false">GK63*MIN(Slot18_Cost,GM63)</f>
        <v>0</v>
      </c>
      <c r="GO63" s="20" t="n">
        <f aca="false">GK63*Slot18_SpendLike*MIN(Slot18_Cost-GN63,GG63)</f>
        <v>0</v>
      </c>
      <c r="GP63" s="20" t="n">
        <f aca="false">GN63+GO63</f>
        <v>0</v>
      </c>
      <c r="GQ63" s="20" t="n">
        <f aca="false">GG63-GO63+GK63*IF(Slot18_SpendLike=1,GM63-GN63,IF(Slot18_PotFree=1,GM63,0))</f>
        <v>0</v>
      </c>
      <c r="GR63" s="20" t="n">
        <f aca="false">GH63+GK63*Slot18_BufPot*GM63</f>
        <v>0</v>
      </c>
      <c r="GS63" s="20" t="n">
        <f aca="false">IF(AND(GK63=1,Slot18_IsMfree=1),IF(GP63&gt;=Slot18_Cost-1,0,MAX(0,GI63-GP63)),GI63)</f>
        <v>0</v>
      </c>
      <c r="GT63" s="20" t="n">
        <f aca="false">GK63*(Slot18_Cost-GP63)</f>
        <v>0</v>
      </c>
      <c r="GU63" s="20" t="n">
        <f aca="false">IF(AND(Slot19_On=1,D63=Slot19_Age),1,0)</f>
        <v>0</v>
      </c>
      <c r="GV63" s="20" t="n">
        <f aca="false">IF(AND(Slot19_On=1,Slot19_Age&gt;D63),1,0)</f>
        <v>0</v>
      </c>
      <c r="GW63" s="20" t="n">
        <f aca="false">TG62</f>
        <v>0</v>
      </c>
      <c r="GX63" s="20" t="n">
        <f aca="false">GU63*MIN(Slot19_Cost,GW63)</f>
        <v>0</v>
      </c>
      <c r="GY63" s="20" t="n">
        <f aca="false">GU63*Slot19_SpendLike*MIN(Slot19_Cost-GX63,GQ63)</f>
        <v>0</v>
      </c>
      <c r="GZ63" s="20" t="n">
        <f aca="false">GX63+GY63</f>
        <v>0</v>
      </c>
      <c r="HA63" s="20" t="n">
        <f aca="false">GQ63-GY63+GU63*IF(Slot19_SpendLike=1,GW63-GX63,IF(Slot19_PotFree=1,GW63,0))</f>
        <v>0</v>
      </c>
      <c r="HB63" s="20" t="n">
        <f aca="false">GR63+GU63*Slot19_BufPot*GW63</f>
        <v>0</v>
      </c>
      <c r="HC63" s="20" t="n">
        <f aca="false">IF(AND(GU63=1,Slot19_IsMfree=1),IF(GZ63&gt;=Slot19_Cost-1,0,MAX(0,GS63-GZ63)),GS63)</f>
        <v>0</v>
      </c>
      <c r="HD63" s="20" t="n">
        <f aca="false">GU63*(Slot19_Cost-GZ63)</f>
        <v>0</v>
      </c>
      <c r="HE63" s="20" t="n">
        <f aca="false">IF(AND(Slot20_On=1,D63=Slot20_Age),1,0)</f>
        <v>0</v>
      </c>
      <c r="HF63" s="20" t="n">
        <f aca="false">IF(AND(Slot20_On=1,Slot20_Age&gt;D63),1,0)</f>
        <v>0</v>
      </c>
      <c r="HG63" s="20" t="n">
        <f aca="false">TK62</f>
        <v>0</v>
      </c>
      <c r="HH63" s="20" t="n">
        <f aca="false">HE63*MIN(Slot20_Cost,HG63)</f>
        <v>0</v>
      </c>
      <c r="HI63" s="20" t="n">
        <f aca="false">HE63*Slot20_SpendLike*MIN(Slot20_Cost-HH63,HA63)</f>
        <v>0</v>
      </c>
      <c r="HJ63" s="20" t="n">
        <f aca="false">HH63+HI63</f>
        <v>0</v>
      </c>
      <c r="HK63" s="20" t="n">
        <f aca="false">HA63-HI63+HE63*IF(Slot20_SpendLike=1,HG63-HH63,IF(Slot20_PotFree=1,HG63,0))</f>
        <v>0</v>
      </c>
      <c r="HL63" s="20" t="n">
        <f aca="false">HB63+HE63*Slot20_BufPot*HG63</f>
        <v>0</v>
      </c>
      <c r="HM63" s="20" t="n">
        <f aca="false">IF(AND(HE63=1,Slot20_IsMfree=1),IF(HJ63&gt;=Slot20_Cost-1,0,MAX(0,HC63-HJ63)),HC63)</f>
        <v>0</v>
      </c>
      <c r="HN63" s="20" t="n">
        <f aca="false">HE63*(Slot20_Cost-HJ63)</f>
        <v>0</v>
      </c>
      <c r="HO63" s="20" t="n">
        <f aca="false">V63*Slot1_SpendLike*AA63+AG63*Slot2_SpendLike*AL63+AQ63*Slot3_SpendLike*AV63+BA63*Slot4_SpendLike*BF63+BK63*Slot5_SpendLike*BP63+BU63*Slot6_SpendLike*BZ63+CE63*Slot7_SpendLike*CJ63+CO63*Slot8_SpendLike*CT63+CY63*Slot9_SpendLike*DD63+DI63*Slot10_SpendLike*DN63+DS63*Slot11_SpendLike*DX63+EC63*Slot12_SpendLike*EH63+EM63*Slot13_SpendLike*ER63+EW63*Slot14_SpendLike*FB63+FG63*Slot15_SpendLike*FL63+FQ63*Slot16_SpendLike*FV63+GA63*Slot17_SpendLike*GF63+GK63*Slot18_SpendLike*GP63+GU63*Slot19_SpendLike*GZ63+HE63*Slot20_SpendLike*HJ63</f>
        <v>0</v>
      </c>
      <c r="HP63" s="20" t="n">
        <f aca="false">AE63+AP63+AZ63+BJ63+BT63+CD63+CN63+CX63+DH63+DR63+EB63+EL63+EV63+FF63+FP63+FZ63+GJ63+GT63+HD63+HN63</f>
        <v>0</v>
      </c>
      <c r="HQ63" s="20" t="n">
        <f aca="false">V63*Slot1_Cost+AG63*Slot2_Cost+AQ63*Slot3_Cost+BA63*Slot4_Cost+BK63*Slot5_Cost+BU63*Slot6_Cost+CE63*Slot7_Cost+CO63*Slot8_Cost+CY63*Slot9_Cost+DI63*Slot10_Cost+DS63*Slot11_Cost+EC63*Slot12_Cost+EM63*Slot13_Cost+EW63*Slot14_Cost+FG63*Slot15_Cost+FQ63*Slot16_Cost+GA63*Slot17_Cost+GK63*Slot18_Cost+GU63*Slot19_Cost+HE63*Slot20_Cost</f>
        <v>0</v>
      </c>
      <c r="HR63" s="20" t="n">
        <f aca="false">HM63</f>
        <v>0</v>
      </c>
      <c r="HS63" s="20" t="n">
        <f aca="false">H63-I63-S63</f>
        <v>-28904.9175987733</v>
      </c>
      <c r="HT63" s="20" t="n">
        <f aca="false">IF(B63=0,IF(AND(Has_q6=1,In_q6=4),PR_ShareVaries*(MAX(0,HS63)/12),MIN(IF(Has_q6=1,CHOOSE(In_q6+1,PR_SaveB1,PR_SaveB2,PR_SaveB3,PR_SaveB4,0),AS_NoAnswer),AS_SaveShare*(MAX(0,HS63)/12))),HT62)</f>
        <v>62.3316893520437</v>
      </c>
      <c r="HU63" s="20" t="n">
        <f aca="false">IF(HS63&gt;=0,1,0)</f>
        <v>0</v>
      </c>
      <c r="HV63" s="20" t="n">
        <f aca="false">MAX(0,HS63/12/F63)</f>
        <v>0</v>
      </c>
      <c r="HW63" s="20" t="n">
        <f aca="false">IF(AND(Has_q6=1,In_q6=4),PR_ShareVaries*(HV63),MIN(IF(Has_q6=1,CHOOSE(In_q6+1,PR_SaveB1,PR_SaveB2,PR_SaveB3,PR_SaveB4,0),AS_NoAnswer),AS_SaveShare*(HV63)))</f>
        <v>0</v>
      </c>
      <c r="HX63" s="20" t="n">
        <f aca="false">IF(Has_saveM=1,IF(In_saveUp="Yes",1,IF(In_saveUp="No",0,IF(In_saveM&gt;=HT63-0.5,1,0))),0)</f>
        <v>0</v>
      </c>
      <c r="HY63" s="20" t="n">
        <f aca="false">IF(Has_saveM=1,MIN(HV63,IF(HX63=1,MAX(In_saveM,HW63),MIN(In_saveM,HW63))),HW63)</f>
        <v>0</v>
      </c>
      <c r="HZ63" s="20" t="n">
        <f aca="false">IF(G63=1,HY63*12*F63,0)</f>
        <v>0</v>
      </c>
      <c r="IA63" s="20" t="n">
        <f aca="false">MAX(0,HZ63+IF(AND(WI_Retire=0,WI_M&lt;0,G63=1),WI_M*12*F63,0))</f>
        <v>0</v>
      </c>
      <c r="IB63" s="20" t="n">
        <f aca="false">Slot1_IsWG*W63+Slot2_IsWG*AH63+Slot3_IsWG*AR63+Slot4_IsWG*BB63+Slot5_IsWG*BL63+Slot6_IsWG*BV63+Slot7_IsWG*CF63+Slot8_IsWG*CP63+Slot9_IsWG*CZ63+Slot10_IsWG*DJ63+Slot11_IsWG*DT63+Slot12_IsWG*ED63+Slot13_IsWG*EN63+Slot14_IsWG*EX63+Slot15_IsWG*FH63+Slot16_IsWG*FR63+Slot17_IsWG*GB63+Slot18_IsWG*GL63+Slot19_IsWG*GV63+Slot20_IsWG*HF63</f>
        <v>0</v>
      </c>
      <c r="IC63" s="20" t="n">
        <f aca="false">IF(AND(WI_Retire=0,WI_M&gt;0,G63=1,IB63&gt;=1),WI_M*12*F63,0)</f>
        <v>0</v>
      </c>
      <c r="ID63" s="20" t="n">
        <f aca="false">IF(HU63=1,MIN(IA63,HS63),0)</f>
        <v>0</v>
      </c>
      <c r="IE63" s="20" t="n">
        <f aca="false">IF(HU63=1,MIN(IC63,HS63-ID63),0)</f>
        <v>0</v>
      </c>
      <c r="IF63" s="20" t="n">
        <f aca="false">IF(W63=1,IF(ABS((1+AS_Wage)/(1+Slot1_Rate)-1)&lt;0.000000000001,(Slot1_Age-D63)*(1+Slot1_Rate)^(Slot1_Age-D63),(1+Slot1_Rate)^(Slot1_Age-D63)*(1-((1+AS_Wage)/(1+Slot1_Rate))^(Slot1_Age-D63))/(1-(1+AS_Wage)/(1+Slot1_Rate))),1)</f>
        <v>1</v>
      </c>
      <c r="IG63" s="20" t="n">
        <f aca="false">IF(AND(HU63=1,IE63&gt;0,Slot1_IsWG=1,W63=1),MAX(0,(Slot1_Cost-X63*(1+Slot1_Rate)^(Slot1_Age-D63))/IF63),0)</f>
        <v>0</v>
      </c>
      <c r="IH63" s="20" t="n">
        <f aca="false">IF(AND(HU63=1,IE63&gt;0,Slot1_IsWG=1,W63=1),MIN(IE63,IG63),0)</f>
        <v>0</v>
      </c>
      <c r="II63" s="20" t="n">
        <f aca="false">X63+IH63</f>
        <v>0</v>
      </c>
      <c r="IJ63" s="20" t="n">
        <f aca="false">IF(W63=1,MAX(0,(Slot1_Cost-II63*(1+Slot1_Rate)^(Slot1_Age-D63))/IF63),0)</f>
        <v>0</v>
      </c>
      <c r="IK63" s="20" t="n">
        <f aca="false">IF(W63=1,MAX(0,(Slot1_Cost-X63*(1+Slot1_Rate)^(Slot1_Age-D63))/IF63),0)</f>
        <v>0</v>
      </c>
      <c r="IL63" s="20" t="n">
        <f aca="false">IF(AND(HU63=1,W63=1),MIN(ID63,IJ63),0)</f>
        <v>0</v>
      </c>
      <c r="IM63" s="20" t="n">
        <f aca="false">ID63-IL63</f>
        <v>0</v>
      </c>
      <c r="IN63" s="20" t="n">
        <f aca="false">IF(AH63=1,IF(ABS((1+AS_Wage)/(1+Slot2_Rate)-1)&lt;0.000000000001,(Slot2_Age-D63)*(1+Slot2_Rate)^(Slot2_Age-D63),(1+Slot2_Rate)^(Slot2_Age-D63)*(1-((1+AS_Wage)/(1+Slot2_Rate))^(Slot2_Age-D63))/(1-(1+AS_Wage)/(1+Slot2_Rate))),1)</f>
        <v>1</v>
      </c>
      <c r="IO63" s="20" t="n">
        <f aca="false">IF(AND(HU63=1,IE63&gt;0,Slot2_IsWG=1,AH63=1),MAX(0,(Slot2_Cost-AI63*(1+Slot2_Rate)^(Slot2_Age-D63))/IN63),0)</f>
        <v>0</v>
      </c>
      <c r="IP63" s="20" t="n">
        <f aca="false">IF(AND(HU63=1,IE63&gt;0,Slot2_IsWG=1,AH63=1),MIN(IE63,IO63),0)</f>
        <v>0</v>
      </c>
      <c r="IQ63" s="20" t="n">
        <f aca="false">AI63+IP63</f>
        <v>0</v>
      </c>
      <c r="IR63" s="20" t="n">
        <f aca="false">IF(AH63=1,MAX(0,(Slot2_Cost-IQ63*(1+Slot2_Rate)^(Slot2_Age-D63))/IN63),0)</f>
        <v>0</v>
      </c>
      <c r="IS63" s="20" t="n">
        <f aca="false">IF(AH63=1,MAX(0,(Slot2_Cost-AI63*(1+Slot2_Rate)^(Slot2_Age-D63))/IN63),0)</f>
        <v>0</v>
      </c>
      <c r="IT63" s="20" t="n">
        <f aca="false">IF(AND(HU63=1,AH63=1),MIN(IM63,IR63),0)</f>
        <v>0</v>
      </c>
      <c r="IU63" s="20" t="n">
        <f aca="false">IM63-IT63</f>
        <v>0</v>
      </c>
      <c r="IV63" s="20" t="n">
        <f aca="false">IF(AR63=1,IF(ABS((1+AS_Wage)/(1+Slot3_Rate)-1)&lt;0.000000000001,(Slot3_Age-D63)*(1+Slot3_Rate)^(Slot3_Age-D63),(1+Slot3_Rate)^(Slot3_Age-D63)*(1-((1+AS_Wage)/(1+Slot3_Rate))^(Slot3_Age-D63))/(1-(1+AS_Wage)/(1+Slot3_Rate))),1)</f>
        <v>1</v>
      </c>
      <c r="IW63" s="20" t="n">
        <f aca="false">IF(AND(HU63=1,IE63&gt;0,Slot3_IsWG=1,AR63=1),MAX(0,(Slot3_Cost-AS63*(1+Slot3_Rate)^(Slot3_Age-D63))/IV63),0)</f>
        <v>0</v>
      </c>
      <c r="IX63" s="20" t="n">
        <f aca="false">IF(AND(HU63=1,IE63&gt;0,Slot3_IsWG=1,AR63=1),MIN(IE63,IW63),0)</f>
        <v>0</v>
      </c>
      <c r="IY63" s="20" t="n">
        <f aca="false">AS63+IX63</f>
        <v>0</v>
      </c>
      <c r="IZ63" s="20" t="n">
        <f aca="false">IF(AR63=1,MAX(0,(Slot3_Cost-IY63*(1+Slot3_Rate)^(Slot3_Age-D63))/IV63),0)</f>
        <v>0</v>
      </c>
      <c r="JA63" s="20" t="n">
        <f aca="false">IF(AR63=1,MAX(0,(Slot3_Cost-AS63*(1+Slot3_Rate)^(Slot3_Age-D63))/IV63),0)</f>
        <v>0</v>
      </c>
      <c r="JB63" s="20" t="n">
        <f aca="false">IF(AND(HU63=1,AR63=1),MIN(IU63,IZ63),0)</f>
        <v>0</v>
      </c>
      <c r="JC63" s="20" t="n">
        <f aca="false">IU63-JB63</f>
        <v>0</v>
      </c>
      <c r="JD63" s="20" t="n">
        <f aca="false">IF(BB63=1,IF(ABS((1+AS_Wage)/(1+Slot4_Rate)-1)&lt;0.000000000001,(Slot4_Age-D63)*(1+Slot4_Rate)^(Slot4_Age-D63),(1+Slot4_Rate)^(Slot4_Age-D63)*(1-((1+AS_Wage)/(1+Slot4_Rate))^(Slot4_Age-D63))/(1-(1+AS_Wage)/(1+Slot4_Rate))),1)</f>
        <v>1</v>
      </c>
      <c r="JE63" s="20" t="n">
        <f aca="false">IF(AND(HU63=1,IE63&gt;0,Slot4_IsWG=1,BB63=1),MAX(0,(Slot4_Cost-BC63*(1+Slot4_Rate)^(Slot4_Age-D63))/JD63),0)</f>
        <v>0</v>
      </c>
      <c r="JF63" s="20" t="n">
        <f aca="false">IF(AND(HU63=1,IE63&gt;0,Slot4_IsWG=1,BB63=1),MIN(IE63,JE63),0)</f>
        <v>0</v>
      </c>
      <c r="JG63" s="20" t="n">
        <f aca="false">BC63+JF63</f>
        <v>0</v>
      </c>
      <c r="JH63" s="20" t="n">
        <f aca="false">IF(BB63=1,MAX(0,(Slot4_Cost-JG63*(1+Slot4_Rate)^(Slot4_Age-D63))/JD63),0)</f>
        <v>0</v>
      </c>
      <c r="JI63" s="20" t="n">
        <f aca="false">IF(BB63=1,MAX(0,(Slot4_Cost-BC63*(1+Slot4_Rate)^(Slot4_Age-D63))/JD63),0)</f>
        <v>0</v>
      </c>
      <c r="JJ63" s="20" t="n">
        <f aca="false">IF(AND(HU63=1,BB63=1),MIN(JC63,JH63),0)</f>
        <v>0</v>
      </c>
      <c r="JK63" s="20" t="n">
        <f aca="false">JC63-JJ63</f>
        <v>0</v>
      </c>
      <c r="JL63" s="20" t="n">
        <f aca="false">IF(BL63=1,IF(ABS((1+AS_Wage)/(1+Slot5_Rate)-1)&lt;0.000000000001,(Slot5_Age-D63)*(1+Slot5_Rate)^(Slot5_Age-D63),(1+Slot5_Rate)^(Slot5_Age-D63)*(1-((1+AS_Wage)/(1+Slot5_Rate))^(Slot5_Age-D63))/(1-(1+AS_Wage)/(1+Slot5_Rate))),1)</f>
        <v>1</v>
      </c>
      <c r="JM63" s="20" t="n">
        <f aca="false">IF(AND(HU63=1,IE63&gt;0,Slot5_IsWG=1,BL63=1),MAX(0,(Slot5_Cost-BM63*(1+Slot5_Rate)^(Slot5_Age-D63))/JL63),0)</f>
        <v>0</v>
      </c>
      <c r="JN63" s="20" t="n">
        <f aca="false">IF(AND(HU63=1,IE63&gt;0,Slot5_IsWG=1,BL63=1),MIN(IE63,JM63),0)</f>
        <v>0</v>
      </c>
      <c r="JO63" s="20" t="n">
        <f aca="false">BM63+JN63</f>
        <v>0</v>
      </c>
      <c r="JP63" s="20" t="n">
        <f aca="false">IF(BL63=1,MAX(0,(Slot5_Cost-JO63*(1+Slot5_Rate)^(Slot5_Age-D63))/JL63),0)</f>
        <v>0</v>
      </c>
      <c r="JQ63" s="20" t="n">
        <f aca="false">IF(BL63=1,MAX(0,(Slot5_Cost-BM63*(1+Slot5_Rate)^(Slot5_Age-D63))/JL63),0)</f>
        <v>0</v>
      </c>
      <c r="JR63" s="20" t="n">
        <f aca="false">IF(AND(HU63=1,BL63=1),MIN(JK63,JP63),0)</f>
        <v>0</v>
      </c>
      <c r="JS63" s="20" t="n">
        <f aca="false">JK63-JR63</f>
        <v>0</v>
      </c>
      <c r="JT63" s="20" t="n">
        <f aca="false">IF(BV63=1,IF(ABS((1+AS_Wage)/(1+Slot6_Rate)-1)&lt;0.000000000001,(Slot6_Age-D63)*(1+Slot6_Rate)^(Slot6_Age-D63),(1+Slot6_Rate)^(Slot6_Age-D63)*(1-((1+AS_Wage)/(1+Slot6_Rate))^(Slot6_Age-D63))/(1-(1+AS_Wage)/(1+Slot6_Rate))),1)</f>
        <v>1</v>
      </c>
      <c r="JU63" s="20" t="n">
        <f aca="false">IF(AND(HU63=1,IE63&gt;0,Slot6_IsWG=1,BV63=1),MAX(0,(Slot6_Cost-BW63*(1+Slot6_Rate)^(Slot6_Age-D63))/JT63),0)</f>
        <v>0</v>
      </c>
      <c r="JV63" s="20" t="n">
        <f aca="false">IF(AND(HU63=1,IE63&gt;0,Slot6_IsWG=1,BV63=1),MIN(IE63,JU63),0)</f>
        <v>0</v>
      </c>
      <c r="JW63" s="20" t="n">
        <f aca="false">BW63+JV63</f>
        <v>0</v>
      </c>
      <c r="JX63" s="20" t="n">
        <f aca="false">IF(BV63=1,MAX(0,(Slot6_Cost-JW63*(1+Slot6_Rate)^(Slot6_Age-D63))/JT63),0)</f>
        <v>0</v>
      </c>
      <c r="JY63" s="20" t="n">
        <f aca="false">IF(BV63=1,MAX(0,(Slot6_Cost-BW63*(1+Slot6_Rate)^(Slot6_Age-D63))/JT63),0)</f>
        <v>0</v>
      </c>
      <c r="JZ63" s="20" t="n">
        <f aca="false">IF(AND(HU63=1,BV63=1),MIN(JS63,JX63),0)</f>
        <v>0</v>
      </c>
      <c r="KA63" s="20" t="n">
        <f aca="false">JS63-JZ63</f>
        <v>0</v>
      </c>
      <c r="KB63" s="20" t="n">
        <f aca="false">IF(CF63=1,IF(ABS((1+AS_Wage)/(1+Slot7_Rate)-1)&lt;0.000000000001,(Slot7_Age-D63)*(1+Slot7_Rate)^(Slot7_Age-D63),(1+Slot7_Rate)^(Slot7_Age-D63)*(1-((1+AS_Wage)/(1+Slot7_Rate))^(Slot7_Age-D63))/(1-(1+AS_Wage)/(1+Slot7_Rate))),1)</f>
        <v>1</v>
      </c>
      <c r="KC63" s="20" t="n">
        <f aca="false">IF(AND(HU63=1,IE63&gt;0,Slot7_IsWG=1,CF63=1),MAX(0,(Slot7_Cost-CG63*(1+Slot7_Rate)^(Slot7_Age-D63))/KB63),0)</f>
        <v>0</v>
      </c>
      <c r="KD63" s="20" t="n">
        <f aca="false">IF(AND(HU63=1,IE63&gt;0,Slot7_IsWG=1,CF63=1),MIN(IE63,KC63),0)</f>
        <v>0</v>
      </c>
      <c r="KE63" s="20" t="n">
        <f aca="false">CG63+KD63</f>
        <v>0</v>
      </c>
      <c r="KF63" s="20" t="n">
        <f aca="false">IF(CF63=1,MAX(0,(Slot7_Cost-KE63*(1+Slot7_Rate)^(Slot7_Age-D63))/KB63),0)</f>
        <v>0</v>
      </c>
      <c r="KG63" s="20" t="n">
        <f aca="false">IF(CF63=1,MAX(0,(Slot7_Cost-CG63*(1+Slot7_Rate)^(Slot7_Age-D63))/KB63),0)</f>
        <v>0</v>
      </c>
      <c r="KH63" s="20" t="n">
        <f aca="false">IF(AND(HU63=1,CF63=1),MIN(KA63,KF63),0)</f>
        <v>0</v>
      </c>
      <c r="KI63" s="20" t="n">
        <f aca="false">KA63-KH63</f>
        <v>0</v>
      </c>
      <c r="KJ63" s="20" t="n">
        <f aca="false">IF(CP63=1,IF(ABS((1+AS_Wage)/(1+Slot8_Rate)-1)&lt;0.000000000001,(Slot8_Age-D63)*(1+Slot8_Rate)^(Slot8_Age-D63),(1+Slot8_Rate)^(Slot8_Age-D63)*(1-((1+AS_Wage)/(1+Slot8_Rate))^(Slot8_Age-D63))/(1-(1+AS_Wage)/(1+Slot8_Rate))),1)</f>
        <v>1</v>
      </c>
      <c r="KK63" s="20" t="n">
        <f aca="false">IF(AND(HU63=1,IE63&gt;0,Slot8_IsWG=1,CP63=1),MAX(0,(Slot8_Cost-CQ63*(1+Slot8_Rate)^(Slot8_Age-D63))/KJ63),0)</f>
        <v>0</v>
      </c>
      <c r="KL63" s="20" t="n">
        <f aca="false">IF(AND(HU63=1,IE63&gt;0,Slot8_IsWG=1,CP63=1),MIN(IE63,KK63),0)</f>
        <v>0</v>
      </c>
      <c r="KM63" s="20" t="n">
        <f aca="false">CQ63+KL63</f>
        <v>0</v>
      </c>
      <c r="KN63" s="20" t="n">
        <f aca="false">IF(CP63=1,MAX(0,(Slot8_Cost-KM63*(1+Slot8_Rate)^(Slot8_Age-D63))/KJ63),0)</f>
        <v>0</v>
      </c>
      <c r="KO63" s="20" t="n">
        <f aca="false">IF(CP63=1,MAX(0,(Slot8_Cost-CQ63*(1+Slot8_Rate)^(Slot8_Age-D63))/KJ63),0)</f>
        <v>0</v>
      </c>
      <c r="KP63" s="20" t="n">
        <f aca="false">IF(AND(HU63=1,CP63=1),MIN(KI63,KN63),0)</f>
        <v>0</v>
      </c>
      <c r="KQ63" s="20" t="n">
        <f aca="false">KI63-KP63</f>
        <v>0</v>
      </c>
      <c r="KR63" s="20" t="n">
        <f aca="false">IF(CZ63=1,IF(ABS((1+AS_Wage)/(1+Slot9_Rate)-1)&lt;0.000000000001,(Slot9_Age-D63)*(1+Slot9_Rate)^(Slot9_Age-D63),(1+Slot9_Rate)^(Slot9_Age-D63)*(1-((1+AS_Wage)/(1+Slot9_Rate))^(Slot9_Age-D63))/(1-(1+AS_Wage)/(1+Slot9_Rate))),1)</f>
        <v>1</v>
      </c>
      <c r="KS63" s="20" t="n">
        <f aca="false">IF(AND(HU63=1,IE63&gt;0,Slot9_IsWG=1,CZ63=1),MAX(0,(Slot9_Cost-DA63*(1+Slot9_Rate)^(Slot9_Age-D63))/KR63),0)</f>
        <v>0</v>
      </c>
      <c r="KT63" s="20" t="n">
        <f aca="false">IF(AND(HU63=1,IE63&gt;0,Slot9_IsWG=1,CZ63=1),MIN(IE63,KS63),0)</f>
        <v>0</v>
      </c>
      <c r="KU63" s="20" t="n">
        <f aca="false">DA63+KT63</f>
        <v>0</v>
      </c>
      <c r="KV63" s="20" t="n">
        <f aca="false">IF(CZ63=1,MAX(0,(Slot9_Cost-KU63*(1+Slot9_Rate)^(Slot9_Age-D63))/KR63),0)</f>
        <v>0</v>
      </c>
      <c r="KW63" s="20" t="n">
        <f aca="false">IF(CZ63=1,MAX(0,(Slot9_Cost-DA63*(1+Slot9_Rate)^(Slot9_Age-D63))/KR63),0)</f>
        <v>0</v>
      </c>
      <c r="KX63" s="20" t="n">
        <f aca="false">IF(AND(HU63=1,CZ63=1),MIN(KQ63,KV63),0)</f>
        <v>0</v>
      </c>
      <c r="KY63" s="20" t="n">
        <f aca="false">KQ63-KX63</f>
        <v>0</v>
      </c>
      <c r="KZ63" s="20" t="n">
        <f aca="false">IF(DJ63=1,IF(ABS((1+AS_Wage)/(1+Slot10_Rate)-1)&lt;0.000000000001,(Slot10_Age-D63)*(1+Slot10_Rate)^(Slot10_Age-D63),(1+Slot10_Rate)^(Slot10_Age-D63)*(1-((1+AS_Wage)/(1+Slot10_Rate))^(Slot10_Age-D63))/(1-(1+AS_Wage)/(1+Slot10_Rate))),1)</f>
        <v>1</v>
      </c>
      <c r="LA63" s="20" t="n">
        <f aca="false">IF(AND(HU63=1,IE63&gt;0,Slot10_IsWG=1,DJ63=1),MAX(0,(Slot10_Cost-DK63*(1+Slot10_Rate)^(Slot10_Age-D63))/KZ63),0)</f>
        <v>0</v>
      </c>
      <c r="LB63" s="20" t="n">
        <f aca="false">IF(AND(HU63=1,IE63&gt;0,Slot10_IsWG=1,DJ63=1),MIN(IE63,LA63),0)</f>
        <v>0</v>
      </c>
      <c r="LC63" s="20" t="n">
        <f aca="false">DK63+LB63</f>
        <v>0</v>
      </c>
      <c r="LD63" s="20" t="n">
        <f aca="false">IF(DJ63=1,MAX(0,(Slot10_Cost-LC63*(1+Slot10_Rate)^(Slot10_Age-D63))/KZ63),0)</f>
        <v>0</v>
      </c>
      <c r="LE63" s="20" t="n">
        <f aca="false">IF(DJ63=1,MAX(0,(Slot10_Cost-DK63*(1+Slot10_Rate)^(Slot10_Age-D63))/KZ63),0)</f>
        <v>0</v>
      </c>
      <c r="LF63" s="20" t="n">
        <f aca="false">IF(AND(HU63=1,DJ63=1),MIN(KY63,LD63),0)</f>
        <v>0</v>
      </c>
      <c r="LG63" s="20" t="n">
        <f aca="false">KY63-LF63</f>
        <v>0</v>
      </c>
      <c r="LH63" s="20" t="n">
        <f aca="false">IF(DT63=1,IF(ABS((1+AS_Wage)/(1+Slot11_Rate)-1)&lt;0.000000000001,(Slot11_Age-D63)*(1+Slot11_Rate)^(Slot11_Age-D63),(1+Slot11_Rate)^(Slot11_Age-D63)*(1-((1+AS_Wage)/(1+Slot11_Rate))^(Slot11_Age-D63))/(1-(1+AS_Wage)/(1+Slot11_Rate))),1)</f>
        <v>1</v>
      </c>
      <c r="LI63" s="20" t="n">
        <f aca="false">IF(AND(HU63=1,IE63&gt;0,Slot11_IsWG=1,DT63=1),MAX(0,(Slot11_Cost-DU63*(1+Slot11_Rate)^(Slot11_Age-D63))/LH63),0)</f>
        <v>0</v>
      </c>
      <c r="LJ63" s="20" t="n">
        <f aca="false">IF(AND(HU63=1,IE63&gt;0,Slot11_IsWG=1,DT63=1),MIN(IE63,LI63),0)</f>
        <v>0</v>
      </c>
      <c r="LK63" s="20" t="n">
        <f aca="false">DU63+LJ63</f>
        <v>0</v>
      </c>
      <c r="LL63" s="20" t="n">
        <f aca="false">IF(DT63=1,MAX(0,(Slot11_Cost-LK63*(1+Slot11_Rate)^(Slot11_Age-D63))/LH63),0)</f>
        <v>0</v>
      </c>
      <c r="LM63" s="20" t="n">
        <f aca="false">IF(DT63=1,MAX(0,(Slot11_Cost-DU63*(1+Slot11_Rate)^(Slot11_Age-D63))/LH63),0)</f>
        <v>0</v>
      </c>
      <c r="LN63" s="20" t="n">
        <f aca="false">IF(AND(HU63=1,DT63=1),MIN(LG63,LL63),0)</f>
        <v>0</v>
      </c>
      <c r="LO63" s="20" t="n">
        <f aca="false">LG63-LN63</f>
        <v>0</v>
      </c>
      <c r="LP63" s="20" t="n">
        <f aca="false">IF(ED63=1,IF(ABS((1+AS_Wage)/(1+Slot12_Rate)-1)&lt;0.000000000001,(Slot12_Age-D63)*(1+Slot12_Rate)^(Slot12_Age-D63),(1+Slot12_Rate)^(Slot12_Age-D63)*(1-((1+AS_Wage)/(1+Slot12_Rate))^(Slot12_Age-D63))/(1-(1+AS_Wage)/(1+Slot12_Rate))),1)</f>
        <v>1</v>
      </c>
      <c r="LQ63" s="20" t="n">
        <f aca="false">IF(AND(HU63=1,IE63&gt;0,Slot12_IsWG=1,ED63=1),MAX(0,(Slot12_Cost-EE63*(1+Slot12_Rate)^(Slot12_Age-D63))/LP63),0)</f>
        <v>0</v>
      </c>
      <c r="LR63" s="20" t="n">
        <f aca="false">IF(AND(HU63=1,IE63&gt;0,Slot12_IsWG=1,ED63=1),MIN(IE63,LQ63),0)</f>
        <v>0</v>
      </c>
      <c r="LS63" s="20" t="n">
        <f aca="false">EE63+LR63</f>
        <v>0</v>
      </c>
      <c r="LT63" s="20" t="n">
        <f aca="false">IF(ED63=1,MAX(0,(Slot12_Cost-LS63*(1+Slot12_Rate)^(Slot12_Age-D63))/LP63),0)</f>
        <v>0</v>
      </c>
      <c r="LU63" s="20" t="n">
        <f aca="false">IF(ED63=1,MAX(0,(Slot12_Cost-EE63*(1+Slot12_Rate)^(Slot12_Age-D63))/LP63),0)</f>
        <v>0</v>
      </c>
      <c r="LV63" s="20" t="n">
        <f aca="false">IF(AND(HU63=1,ED63=1),MIN(LO63,LT63),0)</f>
        <v>0</v>
      </c>
      <c r="LW63" s="20" t="n">
        <f aca="false">LO63-LV63</f>
        <v>0</v>
      </c>
      <c r="LX63" s="20" t="n">
        <f aca="false">IF(EN63=1,IF(ABS((1+AS_Wage)/(1+Slot13_Rate)-1)&lt;0.000000000001,(Slot13_Age-D63)*(1+Slot13_Rate)^(Slot13_Age-D63),(1+Slot13_Rate)^(Slot13_Age-D63)*(1-((1+AS_Wage)/(1+Slot13_Rate))^(Slot13_Age-D63))/(1-(1+AS_Wage)/(1+Slot13_Rate))),1)</f>
        <v>1</v>
      </c>
      <c r="LY63" s="20" t="n">
        <f aca="false">IF(AND(HU63=1,IE63&gt;0,Slot13_IsWG=1,EN63=1),MAX(0,(Slot13_Cost-EO63*(1+Slot13_Rate)^(Slot13_Age-D63))/LX63),0)</f>
        <v>0</v>
      </c>
      <c r="LZ63" s="20" t="n">
        <f aca="false">IF(AND(HU63=1,IE63&gt;0,Slot13_IsWG=1,EN63=1),MIN(IE63,LY63),0)</f>
        <v>0</v>
      </c>
      <c r="MA63" s="20" t="n">
        <f aca="false">EO63+LZ63</f>
        <v>0</v>
      </c>
      <c r="MB63" s="20" t="n">
        <f aca="false">IF(EN63=1,MAX(0,(Slot13_Cost-MA63*(1+Slot13_Rate)^(Slot13_Age-D63))/LX63),0)</f>
        <v>0</v>
      </c>
      <c r="MC63" s="20" t="n">
        <f aca="false">IF(EN63=1,MAX(0,(Slot13_Cost-EO63*(1+Slot13_Rate)^(Slot13_Age-D63))/LX63),0)</f>
        <v>0</v>
      </c>
      <c r="MD63" s="20" t="n">
        <f aca="false">IF(AND(HU63=1,EN63=1),MIN(LW63,MB63),0)</f>
        <v>0</v>
      </c>
      <c r="ME63" s="20" t="n">
        <f aca="false">LW63-MD63</f>
        <v>0</v>
      </c>
      <c r="MF63" s="20" t="n">
        <f aca="false">IF(EX63=1,IF(ABS((1+AS_Wage)/(1+Slot14_Rate)-1)&lt;0.000000000001,(Slot14_Age-D63)*(1+Slot14_Rate)^(Slot14_Age-D63),(1+Slot14_Rate)^(Slot14_Age-D63)*(1-((1+AS_Wage)/(1+Slot14_Rate))^(Slot14_Age-D63))/(1-(1+AS_Wage)/(1+Slot14_Rate))),1)</f>
        <v>1</v>
      </c>
      <c r="MG63" s="20" t="n">
        <f aca="false">IF(AND(HU63=1,IE63&gt;0,Slot14_IsWG=1,EX63=1),MAX(0,(Slot14_Cost-EY63*(1+Slot14_Rate)^(Slot14_Age-D63))/MF63),0)</f>
        <v>0</v>
      </c>
      <c r="MH63" s="20" t="n">
        <f aca="false">IF(AND(HU63=1,IE63&gt;0,Slot14_IsWG=1,EX63=1),MIN(IE63,MG63),0)</f>
        <v>0</v>
      </c>
      <c r="MI63" s="20" t="n">
        <f aca="false">EY63+MH63</f>
        <v>0</v>
      </c>
      <c r="MJ63" s="20" t="n">
        <f aca="false">IF(EX63=1,MAX(0,(Slot14_Cost-MI63*(1+Slot14_Rate)^(Slot14_Age-D63))/MF63),0)</f>
        <v>0</v>
      </c>
      <c r="MK63" s="20" t="n">
        <f aca="false">IF(EX63=1,MAX(0,(Slot14_Cost-EY63*(1+Slot14_Rate)^(Slot14_Age-D63))/MF63),0)</f>
        <v>0</v>
      </c>
      <c r="ML63" s="20" t="n">
        <f aca="false">IF(AND(HU63=1,EX63=1),MIN(ME63,MJ63),0)</f>
        <v>0</v>
      </c>
      <c r="MM63" s="20" t="n">
        <f aca="false">ME63-ML63</f>
        <v>0</v>
      </c>
      <c r="MN63" s="20" t="n">
        <f aca="false">IF(FH63=1,IF(ABS((1+AS_Wage)/(1+Slot15_Rate)-1)&lt;0.000000000001,(Slot15_Age-D63)*(1+Slot15_Rate)^(Slot15_Age-D63),(1+Slot15_Rate)^(Slot15_Age-D63)*(1-((1+AS_Wage)/(1+Slot15_Rate))^(Slot15_Age-D63))/(1-(1+AS_Wage)/(1+Slot15_Rate))),1)</f>
        <v>1</v>
      </c>
      <c r="MO63" s="20" t="n">
        <f aca="false">IF(AND(HU63=1,IE63&gt;0,Slot15_IsWG=1,FH63=1),MAX(0,(Slot15_Cost-FI63*(1+Slot15_Rate)^(Slot15_Age-D63))/MN63),0)</f>
        <v>0</v>
      </c>
      <c r="MP63" s="20" t="n">
        <f aca="false">IF(AND(HU63=1,IE63&gt;0,Slot15_IsWG=1,FH63=1),MIN(IE63,MO63),0)</f>
        <v>0</v>
      </c>
      <c r="MQ63" s="20" t="n">
        <f aca="false">FI63+MP63</f>
        <v>0</v>
      </c>
      <c r="MR63" s="20" t="n">
        <f aca="false">IF(FH63=1,MAX(0,(Slot15_Cost-MQ63*(1+Slot15_Rate)^(Slot15_Age-D63))/MN63),0)</f>
        <v>0</v>
      </c>
      <c r="MS63" s="20" t="n">
        <f aca="false">IF(FH63=1,MAX(0,(Slot15_Cost-FI63*(1+Slot15_Rate)^(Slot15_Age-D63))/MN63),0)</f>
        <v>0</v>
      </c>
      <c r="MT63" s="20" t="n">
        <f aca="false">IF(AND(HU63=1,FH63=1),MIN(MM63,MR63),0)</f>
        <v>0</v>
      </c>
      <c r="MU63" s="20" t="n">
        <f aca="false">MM63-MT63</f>
        <v>0</v>
      </c>
      <c r="MV63" s="20" t="n">
        <f aca="false">IF(FR63=1,IF(ABS((1+AS_Wage)/(1+Slot16_Rate)-1)&lt;0.000000000001,(Slot16_Age-D63)*(1+Slot16_Rate)^(Slot16_Age-D63),(1+Slot16_Rate)^(Slot16_Age-D63)*(1-((1+AS_Wage)/(1+Slot16_Rate))^(Slot16_Age-D63))/(1-(1+AS_Wage)/(1+Slot16_Rate))),1)</f>
        <v>1</v>
      </c>
      <c r="MW63" s="20" t="n">
        <f aca="false">IF(AND(HU63=1,IE63&gt;0,Slot16_IsWG=1,FR63=1),MAX(0,(Slot16_Cost-FS63*(1+Slot16_Rate)^(Slot16_Age-D63))/MV63),0)</f>
        <v>0</v>
      </c>
      <c r="MX63" s="20" t="n">
        <f aca="false">IF(AND(HU63=1,IE63&gt;0,Slot16_IsWG=1,FR63=1),MIN(IE63,MW63),0)</f>
        <v>0</v>
      </c>
      <c r="MY63" s="20" t="n">
        <f aca="false">FS63+MX63</f>
        <v>0</v>
      </c>
      <c r="MZ63" s="20" t="n">
        <f aca="false">IF(FR63=1,MAX(0,(Slot16_Cost-MY63*(1+Slot16_Rate)^(Slot16_Age-D63))/MV63),0)</f>
        <v>0</v>
      </c>
      <c r="NA63" s="20" t="n">
        <f aca="false">IF(FR63=1,MAX(0,(Slot16_Cost-FS63*(1+Slot16_Rate)^(Slot16_Age-D63))/MV63),0)</f>
        <v>0</v>
      </c>
      <c r="NB63" s="20" t="n">
        <f aca="false">IF(AND(HU63=1,FR63=1),MIN(MU63,MZ63),0)</f>
        <v>0</v>
      </c>
      <c r="NC63" s="20" t="n">
        <f aca="false">MU63-NB63</f>
        <v>0</v>
      </c>
      <c r="ND63" s="20" t="n">
        <f aca="false">IF(GB63=1,IF(ABS((1+AS_Wage)/(1+Slot17_Rate)-1)&lt;0.000000000001,(Slot17_Age-D63)*(1+Slot17_Rate)^(Slot17_Age-D63),(1+Slot17_Rate)^(Slot17_Age-D63)*(1-((1+AS_Wage)/(1+Slot17_Rate))^(Slot17_Age-D63))/(1-(1+AS_Wage)/(1+Slot17_Rate))),1)</f>
        <v>1</v>
      </c>
      <c r="NE63" s="20" t="n">
        <f aca="false">IF(AND(HU63=1,IE63&gt;0,Slot17_IsWG=1,GB63=1),MAX(0,(Slot17_Cost-GC63*(1+Slot17_Rate)^(Slot17_Age-D63))/ND63),0)</f>
        <v>0</v>
      </c>
      <c r="NF63" s="20" t="n">
        <f aca="false">IF(AND(HU63=1,IE63&gt;0,Slot17_IsWG=1,GB63=1),MIN(IE63,NE63),0)</f>
        <v>0</v>
      </c>
      <c r="NG63" s="20" t="n">
        <f aca="false">GC63+NF63</f>
        <v>0</v>
      </c>
      <c r="NH63" s="20" t="n">
        <f aca="false">IF(GB63=1,MAX(0,(Slot17_Cost-NG63*(1+Slot17_Rate)^(Slot17_Age-D63))/ND63),0)</f>
        <v>0</v>
      </c>
      <c r="NI63" s="20" t="n">
        <f aca="false">IF(GB63=1,MAX(0,(Slot17_Cost-GC63*(1+Slot17_Rate)^(Slot17_Age-D63))/ND63),0)</f>
        <v>0</v>
      </c>
      <c r="NJ63" s="20" t="n">
        <f aca="false">IF(AND(HU63=1,GB63=1),MIN(NC63,NH63),0)</f>
        <v>0</v>
      </c>
      <c r="NK63" s="20" t="n">
        <f aca="false">NC63-NJ63</f>
        <v>0</v>
      </c>
      <c r="NL63" s="20" t="n">
        <f aca="false">IF(GL63=1,IF(ABS((1+AS_Wage)/(1+Slot18_Rate)-1)&lt;0.000000000001,(Slot18_Age-D63)*(1+Slot18_Rate)^(Slot18_Age-D63),(1+Slot18_Rate)^(Slot18_Age-D63)*(1-((1+AS_Wage)/(1+Slot18_Rate))^(Slot18_Age-D63))/(1-(1+AS_Wage)/(1+Slot18_Rate))),1)</f>
        <v>1</v>
      </c>
      <c r="NM63" s="20" t="n">
        <f aca="false">IF(AND(HU63=1,IE63&gt;0,Slot18_IsWG=1,GL63=1),MAX(0,(Slot18_Cost-GM63*(1+Slot18_Rate)^(Slot18_Age-D63))/NL63),0)</f>
        <v>0</v>
      </c>
      <c r="NN63" s="20" t="n">
        <f aca="false">IF(AND(HU63=1,IE63&gt;0,Slot18_IsWG=1,GL63=1),MIN(IE63,NM63),0)</f>
        <v>0</v>
      </c>
      <c r="NO63" s="20" t="n">
        <f aca="false">GM63+NN63</f>
        <v>0</v>
      </c>
      <c r="NP63" s="20" t="n">
        <f aca="false">IF(GL63=1,MAX(0,(Slot18_Cost-NO63*(1+Slot18_Rate)^(Slot18_Age-D63))/NL63),0)</f>
        <v>0</v>
      </c>
      <c r="NQ63" s="20" t="n">
        <f aca="false">IF(GL63=1,MAX(0,(Slot18_Cost-GM63*(1+Slot18_Rate)^(Slot18_Age-D63))/NL63),0)</f>
        <v>0</v>
      </c>
      <c r="NR63" s="20" t="n">
        <f aca="false">IF(AND(HU63=1,GL63=1),MIN(NK63,NP63),0)</f>
        <v>0</v>
      </c>
      <c r="NS63" s="20" t="n">
        <f aca="false">NK63-NR63</f>
        <v>0</v>
      </c>
      <c r="NT63" s="20" t="n">
        <f aca="false">IF(GV63=1,IF(ABS((1+AS_Wage)/(1+Slot19_Rate)-1)&lt;0.000000000001,(Slot19_Age-D63)*(1+Slot19_Rate)^(Slot19_Age-D63),(1+Slot19_Rate)^(Slot19_Age-D63)*(1-((1+AS_Wage)/(1+Slot19_Rate))^(Slot19_Age-D63))/(1-(1+AS_Wage)/(1+Slot19_Rate))),1)</f>
        <v>1</v>
      </c>
      <c r="NU63" s="20" t="n">
        <f aca="false">IF(AND(HU63=1,IE63&gt;0,Slot19_IsWG=1,GV63=1),MAX(0,(Slot19_Cost-GW63*(1+Slot19_Rate)^(Slot19_Age-D63))/NT63),0)</f>
        <v>0</v>
      </c>
      <c r="NV63" s="20" t="n">
        <f aca="false">IF(AND(HU63=1,IE63&gt;0,Slot19_IsWG=1,GV63=1),MIN(IE63,NU63),0)</f>
        <v>0</v>
      </c>
      <c r="NW63" s="20" t="n">
        <f aca="false">GW63+NV63</f>
        <v>0</v>
      </c>
      <c r="NX63" s="20" t="n">
        <f aca="false">IF(GV63=1,MAX(0,(Slot19_Cost-NW63*(1+Slot19_Rate)^(Slot19_Age-D63))/NT63),0)</f>
        <v>0</v>
      </c>
      <c r="NY63" s="20" t="n">
        <f aca="false">IF(GV63=1,MAX(0,(Slot19_Cost-GW63*(1+Slot19_Rate)^(Slot19_Age-D63))/NT63),0)</f>
        <v>0</v>
      </c>
      <c r="NZ63" s="20" t="n">
        <f aca="false">IF(AND(HU63=1,GV63=1),MIN(NS63,NX63),0)</f>
        <v>0</v>
      </c>
      <c r="OA63" s="20" t="n">
        <f aca="false">NS63-NZ63</f>
        <v>0</v>
      </c>
      <c r="OB63" s="20" t="n">
        <f aca="false">IF(HF63=1,IF(ABS((1+AS_Wage)/(1+Slot20_Rate)-1)&lt;0.000000000001,(Slot20_Age-D63)*(1+Slot20_Rate)^(Slot20_Age-D63),(1+Slot20_Rate)^(Slot20_Age-D63)*(1-((1+AS_Wage)/(1+Slot20_Rate))^(Slot20_Age-D63))/(1-(1+AS_Wage)/(1+Slot20_Rate))),1)</f>
        <v>1</v>
      </c>
      <c r="OC63" s="20" t="n">
        <f aca="false">IF(AND(HU63=1,IE63&gt;0,Slot20_IsWG=1,HF63=1),MAX(0,(Slot20_Cost-HG63*(1+Slot20_Rate)^(Slot20_Age-D63))/OB63),0)</f>
        <v>0</v>
      </c>
      <c r="OD63" s="20" t="n">
        <f aca="false">IF(AND(HU63=1,IE63&gt;0,Slot20_IsWG=1,HF63=1),MIN(IE63,OC63),0)</f>
        <v>0</v>
      </c>
      <c r="OE63" s="20" t="n">
        <f aca="false">HG63+OD63</f>
        <v>0</v>
      </c>
      <c r="OF63" s="20" t="n">
        <f aca="false">IF(HF63=1,MAX(0,(Slot20_Cost-OE63*(1+Slot20_Rate)^(Slot20_Age-D63))/OB63),0)</f>
        <v>0</v>
      </c>
      <c r="OG63" s="20" t="n">
        <f aca="false">IF(HF63=1,MAX(0,(Slot20_Cost-HG63*(1+Slot20_Rate)^(Slot20_Age-D63))/OB63),0)</f>
        <v>0</v>
      </c>
      <c r="OH63" s="20" t="n">
        <f aca="false">IF(AND(HU63=1,HF63=1),MIN(OA63,OF63),0)</f>
        <v>0</v>
      </c>
      <c r="OI63" s="20" t="n">
        <f aca="false">OA63-OH63</f>
        <v>0</v>
      </c>
      <c r="OJ63" s="20" t="n">
        <f aca="false">IE63-(IH63+IP63+IX63+JF63+JN63+JV63+KD63+KL63+KT63+LB63+LJ63+LR63+LZ63+MH63+MP63+MX63+NF63+NN63+NV63+OD63)</f>
        <v>0</v>
      </c>
      <c r="OK63" s="20" t="n">
        <f aca="false">IF(HU63=1,HS63-ID63-IE63,0)</f>
        <v>0</v>
      </c>
      <c r="OL63" s="20" t="n">
        <f aca="false">IF(HU63=0,-HS63,0)</f>
        <v>28904.9175987733</v>
      </c>
      <c r="OM63" s="20" t="n">
        <f aca="false">MIN(OL63,HK63)</f>
        <v>0</v>
      </c>
      <c r="ON63" s="20" t="n">
        <f aca="false">OL63-OM63</f>
        <v>28904.9175987733</v>
      </c>
      <c r="OO63" s="20" t="n">
        <f aca="false">MIN(ON63,HL63)</f>
        <v>0</v>
      </c>
      <c r="OP63" s="20" t="n">
        <f aca="false">ON63-OO63</f>
        <v>28904.9175987733</v>
      </c>
      <c r="OQ63" s="20" t="n">
        <f aca="false">IF(AND(HU63=0,HF63=1,OP63&gt;0),MIN(OP63,HG63),0)</f>
        <v>0</v>
      </c>
      <c r="OR63" s="20" t="n">
        <f aca="false">OP63-OQ63</f>
        <v>28904.9175987733</v>
      </c>
      <c r="OS63" s="20" t="n">
        <f aca="false">IF(AND(HU63=0,GV63=1,OR63&gt;0),MIN(OR63,GW63),0)</f>
        <v>0</v>
      </c>
      <c r="OT63" s="20" t="n">
        <f aca="false">OR63-OS63</f>
        <v>28904.9175987733</v>
      </c>
      <c r="OU63" s="20" t="n">
        <f aca="false">IF(AND(HU63=0,GL63=1,OT63&gt;0),MIN(OT63,GM63),0)</f>
        <v>0</v>
      </c>
      <c r="OV63" s="20" t="n">
        <f aca="false">OT63-OU63</f>
        <v>28904.9175987733</v>
      </c>
      <c r="OW63" s="20" t="n">
        <f aca="false">IF(AND(HU63=0,GB63=1,OV63&gt;0),MIN(OV63,GC63),0)</f>
        <v>0</v>
      </c>
      <c r="OX63" s="20" t="n">
        <f aca="false">OV63-OW63</f>
        <v>28904.9175987733</v>
      </c>
      <c r="OY63" s="20" t="n">
        <f aca="false">IF(AND(HU63=0,FR63=1,OX63&gt;0),MIN(OX63,FS63),0)</f>
        <v>0</v>
      </c>
      <c r="OZ63" s="20" t="n">
        <f aca="false">OX63-OY63</f>
        <v>28904.9175987733</v>
      </c>
      <c r="PA63" s="20" t="n">
        <f aca="false">IF(AND(HU63=0,FH63=1,OZ63&gt;0),MIN(OZ63,FI63),0)</f>
        <v>0</v>
      </c>
      <c r="PB63" s="20" t="n">
        <f aca="false">OZ63-PA63</f>
        <v>28904.9175987733</v>
      </c>
      <c r="PC63" s="20" t="n">
        <f aca="false">IF(AND(HU63=0,EX63=1,PB63&gt;0),MIN(PB63,EY63),0)</f>
        <v>0</v>
      </c>
      <c r="PD63" s="20" t="n">
        <f aca="false">PB63-PC63</f>
        <v>28904.9175987733</v>
      </c>
      <c r="PE63" s="20" t="n">
        <f aca="false">IF(AND(HU63=0,EN63=1,PD63&gt;0),MIN(PD63,EO63),0)</f>
        <v>0</v>
      </c>
      <c r="PF63" s="20" t="n">
        <f aca="false">PD63-PE63</f>
        <v>28904.9175987733</v>
      </c>
      <c r="PG63" s="20" t="n">
        <f aca="false">IF(AND(HU63=0,ED63=1,PF63&gt;0),MIN(PF63,EE63),0)</f>
        <v>0</v>
      </c>
      <c r="PH63" s="20" t="n">
        <f aca="false">PF63-PG63</f>
        <v>28904.9175987733</v>
      </c>
      <c r="PI63" s="20" t="n">
        <f aca="false">IF(AND(HU63=0,DT63=1,PH63&gt;0),MIN(PH63,DU63),0)</f>
        <v>0</v>
      </c>
      <c r="PJ63" s="20" t="n">
        <f aca="false">PH63-PI63</f>
        <v>28904.9175987733</v>
      </c>
      <c r="PK63" s="20" t="n">
        <f aca="false">IF(AND(HU63=0,DJ63=1,PJ63&gt;0),MIN(PJ63,DK63),0)</f>
        <v>0</v>
      </c>
      <c r="PL63" s="20" t="n">
        <f aca="false">PJ63-PK63</f>
        <v>28904.9175987733</v>
      </c>
      <c r="PM63" s="20" t="n">
        <f aca="false">IF(AND(HU63=0,CZ63=1,PL63&gt;0),MIN(PL63,DA63),0)</f>
        <v>0</v>
      </c>
      <c r="PN63" s="20" t="n">
        <f aca="false">PL63-PM63</f>
        <v>28904.9175987733</v>
      </c>
      <c r="PO63" s="20" t="n">
        <f aca="false">IF(AND(HU63=0,CP63=1,PN63&gt;0),MIN(PN63,CQ63),0)</f>
        <v>0</v>
      </c>
      <c r="PP63" s="20" t="n">
        <f aca="false">PN63-PO63</f>
        <v>28904.9175987733</v>
      </c>
      <c r="PQ63" s="20" t="n">
        <f aca="false">IF(AND(HU63=0,CF63=1,PP63&gt;0),MIN(PP63,CG63),0)</f>
        <v>0</v>
      </c>
      <c r="PR63" s="20" t="n">
        <f aca="false">PP63-PQ63</f>
        <v>28904.9175987733</v>
      </c>
      <c r="PS63" s="20" t="n">
        <f aca="false">IF(AND(HU63=0,BV63=1,PR63&gt;0),MIN(PR63,BW63),0)</f>
        <v>0</v>
      </c>
      <c r="PT63" s="20" t="n">
        <f aca="false">PR63-PS63</f>
        <v>28904.9175987733</v>
      </c>
      <c r="PU63" s="20" t="n">
        <f aca="false">IF(AND(HU63=0,BL63=1,PT63&gt;0),MIN(PT63,BM63),0)</f>
        <v>0</v>
      </c>
      <c r="PV63" s="20" t="n">
        <f aca="false">PT63-PU63</f>
        <v>28904.9175987733</v>
      </c>
      <c r="PW63" s="20" t="n">
        <f aca="false">IF(AND(HU63=0,BB63=1,PV63&gt;0),MIN(PV63,BC63),0)</f>
        <v>0</v>
      </c>
      <c r="PX63" s="20" t="n">
        <f aca="false">PV63-PW63</f>
        <v>28904.9175987733</v>
      </c>
      <c r="PY63" s="20" t="n">
        <f aca="false">IF(AND(HU63=0,AR63=1,PX63&gt;0),MIN(PX63,AS63),0)</f>
        <v>0</v>
      </c>
      <c r="PZ63" s="20" t="n">
        <f aca="false">PX63-PY63</f>
        <v>28904.9175987733</v>
      </c>
      <c r="QA63" s="20" t="n">
        <f aca="false">IF(AND(HU63=0,AH63=1,PZ63&gt;0),MIN(PZ63,AI63),0)</f>
        <v>0</v>
      </c>
      <c r="QB63" s="20" t="n">
        <f aca="false">PZ63-QA63</f>
        <v>28904.9175987733</v>
      </c>
      <c r="QC63" s="20" t="n">
        <f aca="false">IF(AND(HU63=0,W63=1,QB63&gt;0),MIN(QB63,X63),0)</f>
        <v>0</v>
      </c>
      <c r="QD63" s="20" t="n">
        <f aca="false">QB63-QC63</f>
        <v>28904.9175987733</v>
      </c>
      <c r="QE63" s="20" t="n">
        <f aca="false">IF(HU63=0,QD63,0)</f>
        <v>28904.9175987733</v>
      </c>
      <c r="QF63" s="20" t="n">
        <f aca="false">OM63+OO63+QC63+QA63+PY63+PW63+PU63+PS63+PQ63+PO63+PM63+PK63+PI63+PG63+PE63+PC63+PA63+OY63+OW63+OU63+OS63+OQ63</f>
        <v>0</v>
      </c>
      <c r="QG63" s="20" t="n">
        <f aca="false">IF(HU63=1,HK63+OJ63+OI63+IF(G63=1,0,OK63),HK63-OM63)</f>
        <v>0</v>
      </c>
      <c r="QH63" s="20" t="n">
        <f aca="false">HL63-OO63</f>
        <v>0</v>
      </c>
      <c r="QI63" s="20" t="n">
        <f aca="false">IF(HU63=1,IF(G63=1,ID63+IE63,HS63),0)</f>
        <v>0</v>
      </c>
      <c r="QJ63" s="20" t="n">
        <f aca="false">IF(HU63=1,IF(G63=1,HS63-ID63-IE63,0),0)</f>
        <v>0</v>
      </c>
      <c r="QK63" s="20" t="n">
        <f aca="false">QG63*(1+GR)</f>
        <v>0</v>
      </c>
      <c r="QL63" s="20" t="n">
        <f aca="false">QH63*(1+AS_Cash)</f>
        <v>0</v>
      </c>
      <c r="QM63" s="20" t="n">
        <f aca="false">IF(W63=1,IF(HU63=1,II63+IL63,X63-QC63)*(1+Slot1_Rate),0)</f>
        <v>0</v>
      </c>
      <c r="QN63" s="20" t="n">
        <f aca="false">IF(AND(HU63=1,W63=1),(IH63+IL63)/F63,0)</f>
        <v>0</v>
      </c>
      <c r="QO63" s="20" t="n">
        <f aca="false">IF(B63=0,IH63+IL63,0)</f>
        <v>0</v>
      </c>
      <c r="QP63" s="20" t="n">
        <f aca="false">IF(B63=0,IF(HU63=1,IJ63,IK63),0)</f>
        <v>0</v>
      </c>
      <c r="QQ63" s="20" t="n">
        <f aca="false">IF(AH63=1,IF(HU63=1,IQ63+IT63,AI63-QA63)*(1+Slot2_Rate),0)</f>
        <v>0</v>
      </c>
      <c r="QR63" s="20" t="n">
        <f aca="false">IF(AND(HU63=1,AH63=1),(IP63+IT63)/F63,0)</f>
        <v>0</v>
      </c>
      <c r="QS63" s="20" t="n">
        <f aca="false">IF(B63=0,IP63+IT63,0)</f>
        <v>0</v>
      </c>
      <c r="QT63" s="20" t="n">
        <f aca="false">IF(B63=0,IF(HU63=1,IR63,IS63),0)</f>
        <v>0</v>
      </c>
      <c r="QU63" s="20" t="n">
        <f aca="false">IF(AR63=1,IF(HU63=1,IY63+JB63,AS63-PY63)*(1+Slot3_Rate),0)</f>
        <v>0</v>
      </c>
      <c r="QV63" s="20" t="n">
        <f aca="false">IF(AND(HU63=1,AR63=1),(IX63+JB63)/F63,0)</f>
        <v>0</v>
      </c>
      <c r="QW63" s="20" t="n">
        <f aca="false">IF(B63=0,IX63+JB63,0)</f>
        <v>0</v>
      </c>
      <c r="QX63" s="20" t="n">
        <f aca="false">IF(B63=0,IF(HU63=1,IZ63,JA63),0)</f>
        <v>0</v>
      </c>
      <c r="QY63" s="20" t="n">
        <f aca="false">IF(BB63=1,IF(HU63=1,JG63+JJ63,BC63-PW63)*(1+Slot4_Rate),0)</f>
        <v>0</v>
      </c>
      <c r="QZ63" s="20" t="n">
        <f aca="false">IF(AND(HU63=1,BB63=1),(JF63+JJ63)/F63,0)</f>
        <v>0</v>
      </c>
      <c r="RA63" s="20" t="n">
        <f aca="false">IF(B63=0,JF63+JJ63,0)</f>
        <v>0</v>
      </c>
      <c r="RB63" s="20" t="n">
        <f aca="false">IF(B63=0,IF(HU63=1,JH63,JI63),0)</f>
        <v>0</v>
      </c>
      <c r="RC63" s="20" t="n">
        <f aca="false">IF(BL63=1,IF(HU63=1,JO63+JR63,BM63-PU63)*(1+Slot5_Rate),0)</f>
        <v>0</v>
      </c>
      <c r="RD63" s="20" t="n">
        <f aca="false">IF(AND(HU63=1,BL63=1),(JN63+JR63)/F63,0)</f>
        <v>0</v>
      </c>
      <c r="RE63" s="20" t="n">
        <f aca="false">IF(B63=0,JN63+JR63,0)</f>
        <v>0</v>
      </c>
      <c r="RF63" s="20" t="n">
        <f aca="false">IF(B63=0,IF(HU63=1,JP63,JQ63),0)</f>
        <v>0</v>
      </c>
      <c r="RG63" s="20" t="n">
        <f aca="false">IF(BV63=1,IF(HU63=1,JW63+JZ63,BW63-PS63)*(1+Slot6_Rate),0)</f>
        <v>0</v>
      </c>
      <c r="RH63" s="20" t="n">
        <f aca="false">IF(AND(HU63=1,BV63=1),(JV63+JZ63)/F63,0)</f>
        <v>0</v>
      </c>
      <c r="RI63" s="20" t="n">
        <f aca="false">IF(B63=0,JV63+JZ63,0)</f>
        <v>0</v>
      </c>
      <c r="RJ63" s="20" t="n">
        <f aca="false">IF(B63=0,IF(HU63=1,JX63,JY63),0)</f>
        <v>0</v>
      </c>
      <c r="RK63" s="20" t="n">
        <f aca="false">IF(CF63=1,IF(HU63=1,KE63+KH63,CG63-PQ63)*(1+Slot7_Rate),0)</f>
        <v>0</v>
      </c>
      <c r="RL63" s="20" t="n">
        <f aca="false">IF(AND(HU63=1,CF63=1),(KD63+KH63)/F63,0)</f>
        <v>0</v>
      </c>
      <c r="RM63" s="20" t="n">
        <f aca="false">IF(B63=0,KD63+KH63,0)</f>
        <v>0</v>
      </c>
      <c r="RN63" s="20" t="n">
        <f aca="false">IF(B63=0,IF(HU63=1,KF63,KG63),0)</f>
        <v>0</v>
      </c>
      <c r="RO63" s="20" t="n">
        <f aca="false">IF(CP63=1,IF(HU63=1,KM63+KP63,CQ63-PO63)*(1+Slot8_Rate),0)</f>
        <v>0</v>
      </c>
      <c r="RP63" s="20" t="n">
        <f aca="false">IF(AND(HU63=1,CP63=1),(KL63+KP63)/F63,0)</f>
        <v>0</v>
      </c>
      <c r="RQ63" s="20" t="n">
        <f aca="false">IF(B63=0,KL63+KP63,0)</f>
        <v>0</v>
      </c>
      <c r="RR63" s="20" t="n">
        <f aca="false">IF(B63=0,IF(HU63=1,KN63,KO63),0)</f>
        <v>0</v>
      </c>
      <c r="RS63" s="20" t="n">
        <f aca="false">IF(CZ63=1,IF(HU63=1,KU63+KX63,DA63-PM63)*(1+Slot9_Rate),0)</f>
        <v>0</v>
      </c>
      <c r="RT63" s="20" t="n">
        <f aca="false">IF(AND(HU63=1,CZ63=1),(KT63+KX63)/F63,0)</f>
        <v>0</v>
      </c>
      <c r="RU63" s="20" t="n">
        <f aca="false">IF(B63=0,KT63+KX63,0)</f>
        <v>0</v>
      </c>
      <c r="RV63" s="20" t="n">
        <f aca="false">IF(B63=0,IF(HU63=1,KV63,KW63),0)</f>
        <v>0</v>
      </c>
      <c r="RW63" s="20" t="n">
        <f aca="false">IF(DJ63=1,IF(HU63=1,LC63+LF63,DK63-PK63)*(1+Slot10_Rate),0)</f>
        <v>0</v>
      </c>
      <c r="RX63" s="20" t="n">
        <f aca="false">IF(AND(HU63=1,DJ63=1),(LB63+LF63)/F63,0)</f>
        <v>0</v>
      </c>
      <c r="RY63" s="20" t="n">
        <f aca="false">IF(B63=0,LB63+LF63,0)</f>
        <v>0</v>
      </c>
      <c r="RZ63" s="20" t="n">
        <f aca="false">IF(B63=0,IF(HU63=1,LD63,LE63),0)</f>
        <v>0</v>
      </c>
      <c r="SA63" s="20" t="n">
        <f aca="false">IF(DT63=1,IF(HU63=1,LK63+LN63,DU63-PI63)*(1+Slot11_Rate),0)</f>
        <v>0</v>
      </c>
      <c r="SB63" s="20" t="n">
        <f aca="false">IF(AND(HU63=1,DT63=1),(LJ63+LN63)/F63,0)</f>
        <v>0</v>
      </c>
      <c r="SC63" s="20" t="n">
        <f aca="false">IF(B63=0,LJ63+LN63,0)</f>
        <v>0</v>
      </c>
      <c r="SD63" s="20" t="n">
        <f aca="false">IF(B63=0,IF(HU63=1,LL63,LM63),0)</f>
        <v>0</v>
      </c>
      <c r="SE63" s="20" t="n">
        <f aca="false">IF(ED63=1,IF(HU63=1,LS63+LV63,EE63-PG63)*(1+Slot12_Rate),0)</f>
        <v>0</v>
      </c>
      <c r="SF63" s="20" t="n">
        <f aca="false">IF(AND(HU63=1,ED63=1),(LR63+LV63)/F63,0)</f>
        <v>0</v>
      </c>
      <c r="SG63" s="20" t="n">
        <f aca="false">IF(B63=0,LR63+LV63,0)</f>
        <v>0</v>
      </c>
      <c r="SH63" s="20" t="n">
        <f aca="false">IF(B63=0,IF(HU63=1,LT63,LU63),0)</f>
        <v>0</v>
      </c>
      <c r="SI63" s="20" t="n">
        <f aca="false">IF(EN63=1,IF(HU63=1,MA63+MD63,EO63-PE63)*(1+Slot13_Rate),0)</f>
        <v>0</v>
      </c>
      <c r="SJ63" s="20" t="n">
        <f aca="false">IF(AND(HU63=1,EN63=1),(LZ63+MD63)/F63,0)</f>
        <v>0</v>
      </c>
      <c r="SK63" s="20" t="n">
        <f aca="false">IF(B63=0,LZ63+MD63,0)</f>
        <v>0</v>
      </c>
      <c r="SL63" s="20" t="n">
        <f aca="false">IF(B63=0,IF(HU63=1,MB63,MC63),0)</f>
        <v>0</v>
      </c>
      <c r="SM63" s="20" t="n">
        <f aca="false">IF(EX63=1,IF(HU63=1,MI63+ML63,EY63-PC63)*(1+Slot14_Rate),0)</f>
        <v>0</v>
      </c>
      <c r="SN63" s="20" t="n">
        <f aca="false">IF(AND(HU63=1,EX63=1),(MH63+ML63)/F63,0)</f>
        <v>0</v>
      </c>
      <c r="SO63" s="20" t="n">
        <f aca="false">IF(B63=0,MH63+ML63,0)</f>
        <v>0</v>
      </c>
      <c r="SP63" s="20" t="n">
        <f aca="false">IF(B63=0,IF(HU63=1,MJ63,MK63),0)</f>
        <v>0</v>
      </c>
      <c r="SQ63" s="20" t="n">
        <f aca="false">IF(FH63=1,IF(HU63=1,MQ63+MT63,FI63-PA63)*(1+Slot15_Rate),0)</f>
        <v>0</v>
      </c>
      <c r="SR63" s="20" t="n">
        <f aca="false">IF(AND(HU63=1,FH63=1),(MP63+MT63)/F63,0)</f>
        <v>0</v>
      </c>
      <c r="SS63" s="20" t="n">
        <f aca="false">IF(B63=0,MP63+MT63,0)</f>
        <v>0</v>
      </c>
      <c r="ST63" s="20" t="n">
        <f aca="false">IF(B63=0,IF(HU63=1,MR63,MS63),0)</f>
        <v>0</v>
      </c>
      <c r="SU63" s="20" t="n">
        <f aca="false">IF(FR63=1,IF(HU63=1,MY63+NB63,FS63-OY63)*(1+Slot16_Rate),0)</f>
        <v>0</v>
      </c>
      <c r="SV63" s="20" t="n">
        <f aca="false">IF(AND(HU63=1,FR63=1),(MX63+NB63)/F63,0)</f>
        <v>0</v>
      </c>
      <c r="SW63" s="20" t="n">
        <f aca="false">IF(B63=0,MX63+NB63,0)</f>
        <v>0</v>
      </c>
      <c r="SX63" s="20" t="n">
        <f aca="false">IF(B63=0,IF(HU63=1,MZ63,NA63),0)</f>
        <v>0</v>
      </c>
      <c r="SY63" s="20" t="n">
        <f aca="false">IF(GB63=1,IF(HU63=1,NG63+NJ63,GC63-OW63)*(1+Slot17_Rate),0)</f>
        <v>0</v>
      </c>
      <c r="SZ63" s="20" t="n">
        <f aca="false">IF(AND(HU63=1,GB63=1),(NF63+NJ63)/F63,0)</f>
        <v>0</v>
      </c>
      <c r="TA63" s="20" t="n">
        <f aca="false">IF(B63=0,NF63+NJ63,0)</f>
        <v>0</v>
      </c>
      <c r="TB63" s="20" t="n">
        <f aca="false">IF(B63=0,IF(HU63=1,NH63,NI63),0)</f>
        <v>0</v>
      </c>
      <c r="TC63" s="20" t="n">
        <f aca="false">IF(GL63=1,IF(HU63=1,NO63+NR63,GM63-OU63)*(1+Slot18_Rate),0)</f>
        <v>0</v>
      </c>
      <c r="TD63" s="20" t="n">
        <f aca="false">IF(AND(HU63=1,GL63=1),(NN63+NR63)/F63,0)</f>
        <v>0</v>
      </c>
      <c r="TE63" s="20" t="n">
        <f aca="false">IF(B63=0,NN63+NR63,0)</f>
        <v>0</v>
      </c>
      <c r="TF63" s="20" t="n">
        <f aca="false">IF(B63=0,IF(HU63=1,NP63,NQ63),0)</f>
        <v>0</v>
      </c>
      <c r="TG63" s="20" t="n">
        <f aca="false">IF(GV63=1,IF(HU63=1,NW63+NZ63,GW63-OS63)*(1+Slot19_Rate),0)</f>
        <v>0</v>
      </c>
      <c r="TH63" s="20" t="n">
        <f aca="false">IF(AND(HU63=1,GV63=1),(NV63+NZ63)/F63,0)</f>
        <v>0</v>
      </c>
      <c r="TI63" s="20" t="n">
        <f aca="false">IF(B63=0,NV63+NZ63,0)</f>
        <v>0</v>
      </c>
      <c r="TJ63" s="20" t="n">
        <f aca="false">IF(B63=0,IF(HU63=1,NX63,NY63),0)</f>
        <v>0</v>
      </c>
      <c r="TK63" s="20" t="n">
        <f aca="false">IF(HF63=1,IF(HU63=1,OE63+OH63,HG63-OQ63)*(1+Slot20_Rate),0)</f>
        <v>0</v>
      </c>
      <c r="TL63" s="20" t="n">
        <f aca="false">IF(AND(HU63=1,HF63=1),(OD63+OH63)/F63,0)</f>
        <v>0</v>
      </c>
      <c r="TM63" s="20" t="n">
        <f aca="false">IF(B63=0,OD63+OH63,0)</f>
        <v>0</v>
      </c>
      <c r="TN63" s="20" t="n">
        <f aca="false">IF(B63=0,IF(HU63=1,OF63,OG63),0)</f>
        <v>0</v>
      </c>
      <c r="TO63" s="20" t="n">
        <f aca="false">QK63+QL63+QM63+QQ63+QU63+QY63+RC63+RG63+RK63+RO63+RS63+RW63+SA63+SE63+SI63+SM63+SQ63+SU63+SY63+TC63+TG63+TK63</f>
        <v>0</v>
      </c>
      <c r="TP63" s="20" t="n">
        <f aca="false">QE63+HP63</f>
        <v>28904.9175987733</v>
      </c>
      <c r="TQ63" s="20" t="n">
        <f aca="false">I63+S63</f>
        <v>142048.726170504</v>
      </c>
      <c r="TR63" s="20" t="n">
        <f aca="false">1-G63</f>
        <v>1</v>
      </c>
      <c r="TS63" s="20" t="n">
        <f aca="false">IF(AND(RG_Exists=1,G63=0,C63=1),I63,0)</f>
        <v>142048.726170504</v>
      </c>
      <c r="TT63" s="20" t="n">
        <f aca="false">IF(AND(RG_Exists=1,G63=0,C63=1),I63-MIN(QE63,I63),0)</f>
        <v>113143.808571731</v>
      </c>
      <c r="TU63" s="20" t="n">
        <f aca="false">'Plan pay &amp; tax'!AD289</f>
        <v>65219.8055234412</v>
      </c>
      <c r="TV63" s="20" t="n">
        <f aca="false">IF(AND(C63=1,QE63&gt;MAX(PR_Short1,TQ63*PR_Short2)),1,0)</f>
        <v>1</v>
      </c>
      <c r="TW63" s="20" t="n">
        <f aca="false">MIN(H63,I63+S63)</f>
        <v>113143.808571731</v>
      </c>
      <c r="TX63" s="20" t="n">
        <f aca="false">QF63+MAX(0,HQ63-HP63)</f>
        <v>0</v>
      </c>
      <c r="TY63" s="20" t="n">
        <f aca="false">QE63+HP63</f>
        <v>28904.9175987733</v>
      </c>
      <c r="TZ63" s="20" t="n">
        <f aca="false">IF(AND(C63=1,TY63&gt;PR_MinShort),1,0)</f>
        <v>1</v>
      </c>
      <c r="UA63" s="20" t="n">
        <f aca="false">IF(AND(C63=1,TZ63=0,TX63&gt;PR_MinShort),1,0)</f>
        <v>0</v>
      </c>
      <c r="UB63" s="20" t="n">
        <f aca="false">IF(AND(C63=1,QE63&gt;PR_MinShort),1,0)</f>
        <v>1</v>
      </c>
      <c r="UC63" s="20" t="n">
        <f aca="false">IF(AND(C63=1,QF63&gt;1,UJ63=0),1,0)</f>
        <v>0</v>
      </c>
      <c r="UD63" s="20" t="str">
        <f aca="false">IF(C63=0,"",IF(UJ63=1,"Gap to plan for: short "&amp;"€"&amp;TEXT(ROUND(TP63,0),"#,##0"),IF(QF63&gt;1,"Using savings","Comfortable")))</f>
        <v>Gap to plan for: short €28,905</v>
      </c>
      <c r="UE63" s="20" t="n">
        <f aca="false">IF(AND(INT(D63/10)*10=90,B63&gt;0),80,INT(D63/10)*10)</f>
        <v>80</v>
      </c>
      <c r="UF63" s="20" t="n">
        <f aca="false">IF(B63=0,1,IF(UE63&lt;&gt;UE62,UF62+1,UF62))</f>
        <v>6</v>
      </c>
      <c r="UG63" s="20" t="n">
        <f aca="false">IF(AND(C63=1,G63=1,QE63&gt;MAX(PR_Short1,TQ63*PR_Short2)),1,0)</f>
        <v>0</v>
      </c>
      <c r="UH63" s="20" t="n">
        <f aca="false">TR63*TV63</f>
        <v>1</v>
      </c>
      <c r="UI63" s="20" t="n">
        <f aca="false">IF(AND(V63=1,Slot1_PctLow=1),1,0)+IF(AND(AG63=1,Slot2_PctLow=1),1,0)+IF(AND(AQ63=1,Slot3_PctLow=1),1,0)+IF(AND(BA63=1,Slot4_PctLow=1),1,0)+IF(AND(BK63=1,Slot5_PctLow=1),1,0)+IF(AND(BU63=1,Slot6_PctLow=1),1,0)+IF(AND(CE63=1,Slot7_PctLow=1),1,0)+IF(AND(CO63=1,Slot8_PctLow=1),1,0)+IF(AND(CY63=1,Slot9_PctLow=1),1,0)+IF(AND(DI63=1,Slot10_PctLow=1),1,0)+IF(AND(DS63=1,Slot11_PctLow=1),1,0)+IF(AND(EC63=1,Slot12_PctLow=1),1,0)+IF(AND(EM63=1,Slot13_PctLow=1),1,0)+IF(AND(EW63=1,Slot14_PctLow=1),1,0)+IF(AND(FG63=1,Slot15_PctLow=1),1,0)+IF(AND(FQ63=1,Slot16_PctLow=1),1,0)+IF(AND(GA63=1,Slot17_PctLow=1),1,0)+IF(AND(GK63=1,Slot18_PctLow=1),1,0)+IF(AND(GU63=1,Slot19_PctLow=1),1,0)+IF(AND(HE63=1,Slot20_PctLow=1),1,0)</f>
        <v>0</v>
      </c>
      <c r="UJ63" s="20" t="n">
        <f aca="false">IF(C63=1,IF(OR(TV63=1,UI63&gt;0),1,0),0)</f>
        <v>1</v>
      </c>
    </row>
    <row r="64" customFormat="false" ht="15" hidden="false" customHeight="true" outlineLevel="0" collapsed="false">
      <c r="B64" s="20" t="n">
        <v>56</v>
      </c>
      <c r="C64" s="20" t="n">
        <f aca="false">IF(B64&lt;=F_N,1,0)</f>
        <v>1</v>
      </c>
      <c r="D64" s="20" t="n">
        <f aca="false">'Plan pay &amp; tax'!C290</f>
        <v>94</v>
      </c>
      <c r="E64" s="20" t="str">
        <f aca="false">IF($C64=1,"Income tax "&amp;TEXT(N('Plan pay &amp; tax'!BK290),"#,##0")&amp;"; USC "&amp;TEXT(N('Plan pay &amp; tax'!BM290)+N('Plan pay &amp; tax'!BO290),"#,##0")&amp;"; PRSI "&amp;TEXT(N('Plan pay &amp; tax'!BP290)+N('Plan pay &amp; tax'!BQ290),"#,##0")&amp;". DIRT and exit tax are inside the growth rates here.","")</f>
        <v>Income tax 1,123; USC 0; PRSI 0. DIRT and exit tax are inside the growth rates here.</v>
      </c>
      <c r="F64" s="44" t="n">
        <f aca="false">'Plan pay &amp; tax'!E290</f>
        <v>3.03116528648356</v>
      </c>
      <c r="G64" s="20" t="n">
        <f aca="false">'Plan pay &amp; tax'!G290</f>
        <v>0</v>
      </c>
      <c r="H64" s="20" t="n">
        <f aca="false">'Plan pay &amp; tax'!BT290-'Plan pay &amp; tax'!BS290-'Plan pay &amp; tax'!R290</f>
        <v>115697.534094021</v>
      </c>
      <c r="I64" s="20" t="n">
        <f aca="false">IF(G64=1,F_CostsM*12,IF(RG_Exists=1,RG_Amount,F_CostsM*12*AS_RetireSpend))*F64+F_OneOffY*F64</f>
        <v>144889.700693914</v>
      </c>
      <c r="J64" s="20" t="n">
        <f aca="false">HR63</f>
        <v>0</v>
      </c>
      <c r="K64" s="20" t="n">
        <f aca="false">IF(J64&gt;1,'Plan debt months'!AC64,0)</f>
        <v>0</v>
      </c>
      <c r="L64" s="20" t="n">
        <f aca="false">IF(J64&gt;1,'Plan debt months'!AB64,J64)</f>
        <v>0</v>
      </c>
      <c r="M64" s="20" t="n">
        <f aca="false">O63</f>
        <v>0</v>
      </c>
      <c r="N64" s="20" t="n">
        <f aca="false">IF(M64&gt;1,'Plan debt months'!BD64,0)</f>
        <v>0</v>
      </c>
      <c r="O64" s="20" t="n">
        <f aca="false">IF(M64&gt;1,'Plan debt months'!BC64,M64)</f>
        <v>0</v>
      </c>
      <c r="P64" s="20" t="n">
        <f aca="false">R63</f>
        <v>0</v>
      </c>
      <c r="Q64" s="20" t="n">
        <f aca="false">IF(P64&gt;1,'Plan debt months'!CE64,0)</f>
        <v>0</v>
      </c>
      <c r="R64" s="20" t="n">
        <f aca="false">IF(P64&gt;1,'Plan debt months'!CD64,P64)</f>
        <v>0</v>
      </c>
      <c r="S64" s="20" t="n">
        <f aca="false">K64+N64+Q64</f>
        <v>0</v>
      </c>
      <c r="T64" s="20" t="n">
        <f aca="false">QK63+'Plan pay &amp; tax'!Y290</f>
        <v>0</v>
      </c>
      <c r="U64" s="20" t="n">
        <f aca="false">QK63</f>
        <v>0</v>
      </c>
      <c r="V64" s="20" t="n">
        <f aca="false">IF(AND(Slot1_On=1,D64=Slot1_Age),1,0)</f>
        <v>0</v>
      </c>
      <c r="W64" s="20" t="n">
        <f aca="false">IF(AND(Slot1_On=1,Slot1_Age&gt;D64),1,0)</f>
        <v>0</v>
      </c>
      <c r="X64" s="20" t="n">
        <f aca="false">QM63</f>
        <v>0</v>
      </c>
      <c r="Y64" s="20" t="n">
        <f aca="false">V64*MIN(Slot1_Cost,X64)</f>
        <v>0</v>
      </c>
      <c r="Z64" s="20" t="n">
        <f aca="false">V64*Slot1_SpendLike*MIN(Slot1_Cost-Y64,T64)</f>
        <v>0</v>
      </c>
      <c r="AA64" s="20" t="n">
        <f aca="false">Y64+Z64</f>
        <v>0</v>
      </c>
      <c r="AB64" s="20" t="n">
        <f aca="false">T64-Z64+V64*IF(Slot1_SpendLike=1,X64-Y64,IF(Slot1_PotFree=1,X64,0))</f>
        <v>0</v>
      </c>
      <c r="AC64" s="20" t="n">
        <f aca="false">AF64+V64*Slot1_BufPot*X64</f>
        <v>0</v>
      </c>
      <c r="AD64" s="20" t="n">
        <f aca="false">IF(AND(V64=1,Slot1_IsMfree=1),IF(AA64&gt;=Slot1_Cost-1,0,MAX(0,L64-AA64)),L64)</f>
        <v>0</v>
      </c>
      <c r="AE64" s="20" t="n">
        <f aca="false">V64*(Slot1_Cost-AA64)</f>
        <v>0</v>
      </c>
      <c r="AF64" s="20" t="n">
        <f aca="false">QL63</f>
        <v>0</v>
      </c>
      <c r="AG64" s="20" t="n">
        <f aca="false">IF(AND(Slot2_On=1,D64=Slot2_Age),1,0)</f>
        <v>0</v>
      </c>
      <c r="AH64" s="20" t="n">
        <f aca="false">IF(AND(Slot2_On=1,Slot2_Age&gt;D64),1,0)</f>
        <v>0</v>
      </c>
      <c r="AI64" s="20" t="n">
        <f aca="false">QQ63</f>
        <v>0</v>
      </c>
      <c r="AJ64" s="20" t="n">
        <f aca="false">AG64*MIN(Slot2_Cost,AI64)</f>
        <v>0</v>
      </c>
      <c r="AK64" s="20" t="n">
        <f aca="false">AG64*Slot2_SpendLike*MIN(Slot2_Cost-AJ64,AB64)</f>
        <v>0</v>
      </c>
      <c r="AL64" s="20" t="n">
        <f aca="false">AJ64+AK64</f>
        <v>0</v>
      </c>
      <c r="AM64" s="20" t="n">
        <f aca="false">AB64-AK64+AG64*IF(Slot2_SpendLike=1,AI64-AJ64,IF(Slot2_PotFree=1,AI64,0))</f>
        <v>0</v>
      </c>
      <c r="AN64" s="20" t="n">
        <f aca="false">AC64+AG64*Slot2_BufPot*AI64</f>
        <v>0</v>
      </c>
      <c r="AO64" s="20" t="n">
        <f aca="false">IF(AND(AG64=1,Slot2_IsMfree=1),IF(AL64&gt;=Slot2_Cost-1,0,MAX(0,AD64-AL64)),AD64)</f>
        <v>0</v>
      </c>
      <c r="AP64" s="20" t="n">
        <f aca="false">AG64*(Slot2_Cost-AL64)</f>
        <v>0</v>
      </c>
      <c r="AQ64" s="20" t="n">
        <f aca="false">IF(AND(Slot3_On=1,D64=Slot3_Age),1,0)</f>
        <v>0</v>
      </c>
      <c r="AR64" s="20" t="n">
        <f aca="false">IF(AND(Slot3_On=1,Slot3_Age&gt;D64),1,0)</f>
        <v>0</v>
      </c>
      <c r="AS64" s="20" t="n">
        <f aca="false">QU63</f>
        <v>0</v>
      </c>
      <c r="AT64" s="20" t="n">
        <f aca="false">AQ64*MIN(Slot3_Cost,AS64)</f>
        <v>0</v>
      </c>
      <c r="AU64" s="20" t="n">
        <f aca="false">AQ64*Slot3_SpendLike*MIN(Slot3_Cost-AT64,AM64)</f>
        <v>0</v>
      </c>
      <c r="AV64" s="20" t="n">
        <f aca="false">AT64+AU64</f>
        <v>0</v>
      </c>
      <c r="AW64" s="20" t="n">
        <f aca="false">AM64-AU64+AQ64*IF(Slot3_SpendLike=1,AS64-AT64,IF(Slot3_PotFree=1,AS64,0))</f>
        <v>0</v>
      </c>
      <c r="AX64" s="20" t="n">
        <f aca="false">AN64+AQ64*Slot3_BufPot*AS64</f>
        <v>0</v>
      </c>
      <c r="AY64" s="20" t="n">
        <f aca="false">IF(AND(AQ64=1,Slot3_IsMfree=1),IF(AV64&gt;=Slot3_Cost-1,0,MAX(0,AO64-AV64)),AO64)</f>
        <v>0</v>
      </c>
      <c r="AZ64" s="20" t="n">
        <f aca="false">AQ64*(Slot3_Cost-AV64)</f>
        <v>0</v>
      </c>
      <c r="BA64" s="20" t="n">
        <f aca="false">IF(AND(Slot4_On=1,D64=Slot4_Age),1,0)</f>
        <v>0</v>
      </c>
      <c r="BB64" s="20" t="n">
        <f aca="false">IF(AND(Slot4_On=1,Slot4_Age&gt;D64),1,0)</f>
        <v>0</v>
      </c>
      <c r="BC64" s="20" t="n">
        <f aca="false">QY63</f>
        <v>0</v>
      </c>
      <c r="BD64" s="20" t="n">
        <f aca="false">BA64*MIN(Slot4_Cost,BC64)</f>
        <v>0</v>
      </c>
      <c r="BE64" s="20" t="n">
        <f aca="false">BA64*Slot4_SpendLike*MIN(Slot4_Cost-BD64,AW64)</f>
        <v>0</v>
      </c>
      <c r="BF64" s="20" t="n">
        <f aca="false">BD64+BE64</f>
        <v>0</v>
      </c>
      <c r="BG64" s="20" t="n">
        <f aca="false">AW64-BE64+BA64*IF(Slot4_SpendLike=1,BC64-BD64,IF(Slot4_PotFree=1,BC64,0))</f>
        <v>0</v>
      </c>
      <c r="BH64" s="20" t="n">
        <f aca="false">AX64+BA64*Slot4_BufPot*BC64</f>
        <v>0</v>
      </c>
      <c r="BI64" s="20" t="n">
        <f aca="false">IF(AND(BA64=1,Slot4_IsMfree=1),IF(BF64&gt;=Slot4_Cost-1,0,MAX(0,AY64-BF64)),AY64)</f>
        <v>0</v>
      </c>
      <c r="BJ64" s="20" t="n">
        <f aca="false">BA64*(Slot4_Cost-BF64)</f>
        <v>0</v>
      </c>
      <c r="BK64" s="20" t="n">
        <f aca="false">IF(AND(Slot5_On=1,D64=Slot5_Age),1,0)</f>
        <v>0</v>
      </c>
      <c r="BL64" s="20" t="n">
        <f aca="false">IF(AND(Slot5_On=1,Slot5_Age&gt;D64),1,0)</f>
        <v>0</v>
      </c>
      <c r="BM64" s="20" t="n">
        <f aca="false">RC63</f>
        <v>0</v>
      </c>
      <c r="BN64" s="20" t="n">
        <f aca="false">BK64*MIN(Slot5_Cost,BM64)</f>
        <v>0</v>
      </c>
      <c r="BO64" s="20" t="n">
        <f aca="false">BK64*Slot5_SpendLike*MIN(Slot5_Cost-BN64,BG64)</f>
        <v>0</v>
      </c>
      <c r="BP64" s="20" t="n">
        <f aca="false">BN64+BO64</f>
        <v>0</v>
      </c>
      <c r="BQ64" s="20" t="n">
        <f aca="false">BG64-BO64+BK64*IF(Slot5_SpendLike=1,BM64-BN64,IF(Slot5_PotFree=1,BM64,0))</f>
        <v>0</v>
      </c>
      <c r="BR64" s="20" t="n">
        <f aca="false">BH64+BK64*Slot5_BufPot*BM64</f>
        <v>0</v>
      </c>
      <c r="BS64" s="20" t="n">
        <f aca="false">IF(AND(BK64=1,Slot5_IsMfree=1),IF(BP64&gt;=Slot5_Cost-1,0,MAX(0,BI64-BP64)),BI64)</f>
        <v>0</v>
      </c>
      <c r="BT64" s="20" t="n">
        <f aca="false">BK64*(Slot5_Cost-BP64)</f>
        <v>0</v>
      </c>
      <c r="BU64" s="20" t="n">
        <f aca="false">IF(AND(Slot6_On=1,D64=Slot6_Age),1,0)</f>
        <v>0</v>
      </c>
      <c r="BV64" s="20" t="n">
        <f aca="false">IF(AND(Slot6_On=1,Slot6_Age&gt;D64),1,0)</f>
        <v>0</v>
      </c>
      <c r="BW64" s="20" t="n">
        <f aca="false">RG63</f>
        <v>0</v>
      </c>
      <c r="BX64" s="20" t="n">
        <f aca="false">BU64*MIN(Slot6_Cost,BW64)</f>
        <v>0</v>
      </c>
      <c r="BY64" s="20" t="n">
        <f aca="false">BU64*Slot6_SpendLike*MIN(Slot6_Cost-BX64,BQ64)</f>
        <v>0</v>
      </c>
      <c r="BZ64" s="20" t="n">
        <f aca="false">BX64+BY64</f>
        <v>0</v>
      </c>
      <c r="CA64" s="20" t="n">
        <f aca="false">BQ64-BY64+BU64*IF(Slot6_SpendLike=1,BW64-BX64,IF(Slot6_PotFree=1,BW64,0))</f>
        <v>0</v>
      </c>
      <c r="CB64" s="20" t="n">
        <f aca="false">BR64+BU64*Slot6_BufPot*BW64</f>
        <v>0</v>
      </c>
      <c r="CC64" s="20" t="n">
        <f aca="false">IF(AND(BU64=1,Slot6_IsMfree=1),IF(BZ64&gt;=Slot6_Cost-1,0,MAX(0,BS64-BZ64)),BS64)</f>
        <v>0</v>
      </c>
      <c r="CD64" s="20" t="n">
        <f aca="false">BU64*(Slot6_Cost-BZ64)</f>
        <v>0</v>
      </c>
      <c r="CE64" s="20" t="n">
        <f aca="false">IF(AND(Slot7_On=1,D64=Slot7_Age),1,0)</f>
        <v>0</v>
      </c>
      <c r="CF64" s="20" t="n">
        <f aca="false">IF(AND(Slot7_On=1,Slot7_Age&gt;D64),1,0)</f>
        <v>0</v>
      </c>
      <c r="CG64" s="20" t="n">
        <f aca="false">RK63</f>
        <v>0</v>
      </c>
      <c r="CH64" s="20" t="n">
        <f aca="false">CE64*MIN(Slot7_Cost,CG64)</f>
        <v>0</v>
      </c>
      <c r="CI64" s="20" t="n">
        <f aca="false">CE64*Slot7_SpendLike*MIN(Slot7_Cost-CH64,CA64)</f>
        <v>0</v>
      </c>
      <c r="CJ64" s="20" t="n">
        <f aca="false">CH64+CI64</f>
        <v>0</v>
      </c>
      <c r="CK64" s="20" t="n">
        <f aca="false">CA64-CI64+CE64*IF(Slot7_SpendLike=1,CG64-CH64,IF(Slot7_PotFree=1,CG64,0))</f>
        <v>0</v>
      </c>
      <c r="CL64" s="20" t="n">
        <f aca="false">CB64+CE64*Slot7_BufPot*CG64</f>
        <v>0</v>
      </c>
      <c r="CM64" s="20" t="n">
        <f aca="false">IF(AND(CE64=1,Slot7_IsMfree=1),IF(CJ64&gt;=Slot7_Cost-1,0,MAX(0,CC64-CJ64)),CC64)</f>
        <v>0</v>
      </c>
      <c r="CN64" s="20" t="n">
        <f aca="false">CE64*(Slot7_Cost-CJ64)</f>
        <v>0</v>
      </c>
      <c r="CO64" s="20" t="n">
        <f aca="false">IF(AND(Slot8_On=1,D64=Slot8_Age),1,0)</f>
        <v>0</v>
      </c>
      <c r="CP64" s="20" t="n">
        <f aca="false">IF(AND(Slot8_On=1,Slot8_Age&gt;D64),1,0)</f>
        <v>0</v>
      </c>
      <c r="CQ64" s="20" t="n">
        <f aca="false">RO63</f>
        <v>0</v>
      </c>
      <c r="CR64" s="20" t="n">
        <f aca="false">CO64*MIN(Slot8_Cost,CQ64)</f>
        <v>0</v>
      </c>
      <c r="CS64" s="20" t="n">
        <f aca="false">CO64*Slot8_SpendLike*MIN(Slot8_Cost-CR64,CK64)</f>
        <v>0</v>
      </c>
      <c r="CT64" s="20" t="n">
        <f aca="false">CR64+CS64</f>
        <v>0</v>
      </c>
      <c r="CU64" s="20" t="n">
        <f aca="false">CK64-CS64+CO64*IF(Slot8_SpendLike=1,CQ64-CR64,IF(Slot8_PotFree=1,CQ64,0))</f>
        <v>0</v>
      </c>
      <c r="CV64" s="20" t="n">
        <f aca="false">CL64+CO64*Slot8_BufPot*CQ64</f>
        <v>0</v>
      </c>
      <c r="CW64" s="20" t="n">
        <f aca="false">IF(AND(CO64=1,Slot8_IsMfree=1),IF(CT64&gt;=Slot8_Cost-1,0,MAX(0,CM64-CT64)),CM64)</f>
        <v>0</v>
      </c>
      <c r="CX64" s="20" t="n">
        <f aca="false">CO64*(Slot8_Cost-CT64)</f>
        <v>0</v>
      </c>
      <c r="CY64" s="20" t="n">
        <f aca="false">IF(AND(Slot9_On=1,D64=Slot9_Age),1,0)</f>
        <v>0</v>
      </c>
      <c r="CZ64" s="20" t="n">
        <f aca="false">IF(AND(Slot9_On=1,Slot9_Age&gt;D64),1,0)</f>
        <v>0</v>
      </c>
      <c r="DA64" s="20" t="n">
        <f aca="false">RS63</f>
        <v>0</v>
      </c>
      <c r="DB64" s="20" t="n">
        <f aca="false">CY64*MIN(Slot9_Cost,DA64)</f>
        <v>0</v>
      </c>
      <c r="DC64" s="20" t="n">
        <f aca="false">CY64*Slot9_SpendLike*MIN(Slot9_Cost-DB64,CU64)</f>
        <v>0</v>
      </c>
      <c r="DD64" s="20" t="n">
        <f aca="false">DB64+DC64</f>
        <v>0</v>
      </c>
      <c r="DE64" s="20" t="n">
        <f aca="false">CU64-DC64+CY64*IF(Slot9_SpendLike=1,DA64-DB64,IF(Slot9_PotFree=1,DA64,0))</f>
        <v>0</v>
      </c>
      <c r="DF64" s="20" t="n">
        <f aca="false">CV64+CY64*Slot9_BufPot*DA64</f>
        <v>0</v>
      </c>
      <c r="DG64" s="20" t="n">
        <f aca="false">IF(AND(CY64=1,Slot9_IsMfree=1),IF(DD64&gt;=Slot9_Cost-1,0,MAX(0,CW64-DD64)),CW64)</f>
        <v>0</v>
      </c>
      <c r="DH64" s="20" t="n">
        <f aca="false">CY64*(Slot9_Cost-DD64)</f>
        <v>0</v>
      </c>
      <c r="DI64" s="20" t="n">
        <f aca="false">IF(AND(Slot10_On=1,D64=Slot10_Age),1,0)</f>
        <v>0</v>
      </c>
      <c r="DJ64" s="20" t="n">
        <f aca="false">IF(AND(Slot10_On=1,Slot10_Age&gt;D64),1,0)</f>
        <v>0</v>
      </c>
      <c r="DK64" s="20" t="n">
        <f aca="false">RW63</f>
        <v>0</v>
      </c>
      <c r="DL64" s="20" t="n">
        <f aca="false">DI64*MIN(Slot10_Cost,DK64)</f>
        <v>0</v>
      </c>
      <c r="DM64" s="20" t="n">
        <f aca="false">DI64*Slot10_SpendLike*MIN(Slot10_Cost-DL64,DE64)</f>
        <v>0</v>
      </c>
      <c r="DN64" s="20" t="n">
        <f aca="false">DL64+DM64</f>
        <v>0</v>
      </c>
      <c r="DO64" s="20" t="n">
        <f aca="false">DE64-DM64+DI64*IF(Slot10_SpendLike=1,DK64-DL64,IF(Slot10_PotFree=1,DK64,0))</f>
        <v>0</v>
      </c>
      <c r="DP64" s="20" t="n">
        <f aca="false">DF64+DI64*Slot10_BufPot*DK64</f>
        <v>0</v>
      </c>
      <c r="DQ64" s="20" t="n">
        <f aca="false">IF(AND(DI64=1,Slot10_IsMfree=1),IF(DN64&gt;=Slot10_Cost-1,0,MAX(0,DG64-DN64)),DG64)</f>
        <v>0</v>
      </c>
      <c r="DR64" s="20" t="n">
        <f aca="false">DI64*(Slot10_Cost-DN64)</f>
        <v>0</v>
      </c>
      <c r="DS64" s="20" t="n">
        <f aca="false">IF(AND(Slot11_On=1,D64=Slot11_Age),1,0)</f>
        <v>0</v>
      </c>
      <c r="DT64" s="20" t="n">
        <f aca="false">IF(AND(Slot11_On=1,Slot11_Age&gt;D64),1,0)</f>
        <v>0</v>
      </c>
      <c r="DU64" s="20" t="n">
        <f aca="false">SA63</f>
        <v>0</v>
      </c>
      <c r="DV64" s="20" t="n">
        <f aca="false">DS64*MIN(Slot11_Cost,DU64)</f>
        <v>0</v>
      </c>
      <c r="DW64" s="20" t="n">
        <f aca="false">DS64*Slot11_SpendLike*MIN(Slot11_Cost-DV64,DO64)</f>
        <v>0</v>
      </c>
      <c r="DX64" s="20" t="n">
        <f aca="false">DV64+DW64</f>
        <v>0</v>
      </c>
      <c r="DY64" s="20" t="n">
        <f aca="false">DO64-DW64+DS64*IF(Slot11_SpendLike=1,DU64-DV64,IF(Slot11_PotFree=1,DU64,0))</f>
        <v>0</v>
      </c>
      <c r="DZ64" s="20" t="n">
        <f aca="false">DP64+DS64*Slot11_BufPot*DU64</f>
        <v>0</v>
      </c>
      <c r="EA64" s="20" t="n">
        <f aca="false">IF(AND(DS64=1,Slot11_IsMfree=1),IF(DX64&gt;=Slot11_Cost-1,0,MAX(0,DQ64-DX64)),DQ64)</f>
        <v>0</v>
      </c>
      <c r="EB64" s="20" t="n">
        <f aca="false">DS64*(Slot11_Cost-DX64)</f>
        <v>0</v>
      </c>
      <c r="EC64" s="20" t="n">
        <f aca="false">IF(AND(Slot12_On=1,D64=Slot12_Age),1,0)</f>
        <v>0</v>
      </c>
      <c r="ED64" s="20" t="n">
        <f aca="false">IF(AND(Slot12_On=1,Slot12_Age&gt;D64),1,0)</f>
        <v>0</v>
      </c>
      <c r="EE64" s="20" t="n">
        <f aca="false">SE63</f>
        <v>0</v>
      </c>
      <c r="EF64" s="20" t="n">
        <f aca="false">EC64*MIN(Slot12_Cost,EE64)</f>
        <v>0</v>
      </c>
      <c r="EG64" s="20" t="n">
        <f aca="false">EC64*Slot12_SpendLike*MIN(Slot12_Cost-EF64,DY64)</f>
        <v>0</v>
      </c>
      <c r="EH64" s="20" t="n">
        <f aca="false">EF64+EG64</f>
        <v>0</v>
      </c>
      <c r="EI64" s="20" t="n">
        <f aca="false">DY64-EG64+EC64*IF(Slot12_SpendLike=1,EE64-EF64,IF(Slot12_PotFree=1,EE64,0))</f>
        <v>0</v>
      </c>
      <c r="EJ64" s="20" t="n">
        <f aca="false">DZ64+EC64*Slot12_BufPot*EE64</f>
        <v>0</v>
      </c>
      <c r="EK64" s="20" t="n">
        <f aca="false">IF(AND(EC64=1,Slot12_IsMfree=1),IF(EH64&gt;=Slot12_Cost-1,0,MAX(0,EA64-EH64)),EA64)</f>
        <v>0</v>
      </c>
      <c r="EL64" s="20" t="n">
        <f aca="false">EC64*(Slot12_Cost-EH64)</f>
        <v>0</v>
      </c>
      <c r="EM64" s="20" t="n">
        <f aca="false">IF(AND(Slot13_On=1,D64=Slot13_Age),1,0)</f>
        <v>0</v>
      </c>
      <c r="EN64" s="20" t="n">
        <f aca="false">IF(AND(Slot13_On=1,Slot13_Age&gt;D64),1,0)</f>
        <v>0</v>
      </c>
      <c r="EO64" s="20" t="n">
        <f aca="false">SI63</f>
        <v>0</v>
      </c>
      <c r="EP64" s="20" t="n">
        <f aca="false">EM64*MIN(Slot13_Cost,EO64)</f>
        <v>0</v>
      </c>
      <c r="EQ64" s="20" t="n">
        <f aca="false">EM64*Slot13_SpendLike*MIN(Slot13_Cost-EP64,EI64)</f>
        <v>0</v>
      </c>
      <c r="ER64" s="20" t="n">
        <f aca="false">EP64+EQ64</f>
        <v>0</v>
      </c>
      <c r="ES64" s="20" t="n">
        <f aca="false">EI64-EQ64+EM64*IF(Slot13_SpendLike=1,EO64-EP64,IF(Slot13_PotFree=1,EO64,0))</f>
        <v>0</v>
      </c>
      <c r="ET64" s="20" t="n">
        <f aca="false">EJ64+EM64*Slot13_BufPot*EO64</f>
        <v>0</v>
      </c>
      <c r="EU64" s="20" t="n">
        <f aca="false">IF(AND(EM64=1,Slot13_IsMfree=1),IF(ER64&gt;=Slot13_Cost-1,0,MAX(0,EK64-ER64)),EK64)</f>
        <v>0</v>
      </c>
      <c r="EV64" s="20" t="n">
        <f aca="false">EM64*(Slot13_Cost-ER64)</f>
        <v>0</v>
      </c>
      <c r="EW64" s="20" t="n">
        <f aca="false">IF(AND(Slot14_On=1,D64=Slot14_Age),1,0)</f>
        <v>0</v>
      </c>
      <c r="EX64" s="20" t="n">
        <f aca="false">IF(AND(Slot14_On=1,Slot14_Age&gt;D64),1,0)</f>
        <v>0</v>
      </c>
      <c r="EY64" s="20" t="n">
        <f aca="false">SM63</f>
        <v>0</v>
      </c>
      <c r="EZ64" s="20" t="n">
        <f aca="false">EW64*MIN(Slot14_Cost,EY64)</f>
        <v>0</v>
      </c>
      <c r="FA64" s="20" t="n">
        <f aca="false">EW64*Slot14_SpendLike*MIN(Slot14_Cost-EZ64,ES64)</f>
        <v>0</v>
      </c>
      <c r="FB64" s="20" t="n">
        <f aca="false">EZ64+FA64</f>
        <v>0</v>
      </c>
      <c r="FC64" s="20" t="n">
        <f aca="false">ES64-FA64+EW64*IF(Slot14_SpendLike=1,EY64-EZ64,IF(Slot14_PotFree=1,EY64,0))</f>
        <v>0</v>
      </c>
      <c r="FD64" s="20" t="n">
        <f aca="false">ET64+EW64*Slot14_BufPot*EY64</f>
        <v>0</v>
      </c>
      <c r="FE64" s="20" t="n">
        <f aca="false">IF(AND(EW64=1,Slot14_IsMfree=1),IF(FB64&gt;=Slot14_Cost-1,0,MAX(0,EU64-FB64)),EU64)</f>
        <v>0</v>
      </c>
      <c r="FF64" s="20" t="n">
        <f aca="false">EW64*(Slot14_Cost-FB64)</f>
        <v>0</v>
      </c>
      <c r="FG64" s="20" t="n">
        <f aca="false">IF(AND(Slot15_On=1,D64=Slot15_Age),1,0)</f>
        <v>0</v>
      </c>
      <c r="FH64" s="20" t="n">
        <f aca="false">IF(AND(Slot15_On=1,Slot15_Age&gt;D64),1,0)</f>
        <v>0</v>
      </c>
      <c r="FI64" s="20" t="n">
        <f aca="false">SQ63</f>
        <v>0</v>
      </c>
      <c r="FJ64" s="20" t="n">
        <f aca="false">FG64*MIN(Slot15_Cost,FI64)</f>
        <v>0</v>
      </c>
      <c r="FK64" s="20" t="n">
        <f aca="false">FG64*Slot15_SpendLike*MIN(Slot15_Cost-FJ64,FC64)</f>
        <v>0</v>
      </c>
      <c r="FL64" s="20" t="n">
        <f aca="false">FJ64+FK64</f>
        <v>0</v>
      </c>
      <c r="FM64" s="20" t="n">
        <f aca="false">FC64-FK64+FG64*IF(Slot15_SpendLike=1,FI64-FJ64,IF(Slot15_PotFree=1,FI64,0))</f>
        <v>0</v>
      </c>
      <c r="FN64" s="20" t="n">
        <f aca="false">FD64+FG64*Slot15_BufPot*FI64</f>
        <v>0</v>
      </c>
      <c r="FO64" s="20" t="n">
        <f aca="false">IF(AND(FG64=1,Slot15_IsMfree=1),IF(FL64&gt;=Slot15_Cost-1,0,MAX(0,FE64-FL64)),FE64)</f>
        <v>0</v>
      </c>
      <c r="FP64" s="20" t="n">
        <f aca="false">FG64*(Slot15_Cost-FL64)</f>
        <v>0</v>
      </c>
      <c r="FQ64" s="20" t="n">
        <f aca="false">IF(AND(Slot16_On=1,D64=Slot16_Age),1,0)</f>
        <v>0</v>
      </c>
      <c r="FR64" s="20" t="n">
        <f aca="false">IF(AND(Slot16_On=1,Slot16_Age&gt;D64),1,0)</f>
        <v>0</v>
      </c>
      <c r="FS64" s="20" t="n">
        <f aca="false">SU63</f>
        <v>0</v>
      </c>
      <c r="FT64" s="20" t="n">
        <f aca="false">FQ64*MIN(Slot16_Cost,FS64)</f>
        <v>0</v>
      </c>
      <c r="FU64" s="20" t="n">
        <f aca="false">FQ64*Slot16_SpendLike*MIN(Slot16_Cost-FT64,FM64)</f>
        <v>0</v>
      </c>
      <c r="FV64" s="20" t="n">
        <f aca="false">FT64+FU64</f>
        <v>0</v>
      </c>
      <c r="FW64" s="20" t="n">
        <f aca="false">FM64-FU64+FQ64*IF(Slot16_SpendLike=1,FS64-FT64,IF(Slot16_PotFree=1,FS64,0))</f>
        <v>0</v>
      </c>
      <c r="FX64" s="20" t="n">
        <f aca="false">FN64+FQ64*Slot16_BufPot*FS64</f>
        <v>0</v>
      </c>
      <c r="FY64" s="20" t="n">
        <f aca="false">IF(AND(FQ64=1,Slot16_IsMfree=1),IF(FV64&gt;=Slot16_Cost-1,0,MAX(0,FO64-FV64)),FO64)</f>
        <v>0</v>
      </c>
      <c r="FZ64" s="20" t="n">
        <f aca="false">FQ64*(Slot16_Cost-FV64)</f>
        <v>0</v>
      </c>
      <c r="GA64" s="20" t="n">
        <f aca="false">IF(AND(Slot17_On=1,D64=Slot17_Age),1,0)</f>
        <v>0</v>
      </c>
      <c r="GB64" s="20" t="n">
        <f aca="false">IF(AND(Slot17_On=1,Slot17_Age&gt;D64),1,0)</f>
        <v>0</v>
      </c>
      <c r="GC64" s="20" t="n">
        <f aca="false">SY63</f>
        <v>0</v>
      </c>
      <c r="GD64" s="20" t="n">
        <f aca="false">GA64*MIN(Slot17_Cost,GC64)</f>
        <v>0</v>
      </c>
      <c r="GE64" s="20" t="n">
        <f aca="false">GA64*Slot17_SpendLike*MIN(Slot17_Cost-GD64,FW64)</f>
        <v>0</v>
      </c>
      <c r="GF64" s="20" t="n">
        <f aca="false">GD64+GE64</f>
        <v>0</v>
      </c>
      <c r="GG64" s="20" t="n">
        <f aca="false">FW64-GE64+GA64*IF(Slot17_SpendLike=1,GC64-GD64,IF(Slot17_PotFree=1,GC64,0))</f>
        <v>0</v>
      </c>
      <c r="GH64" s="20" t="n">
        <f aca="false">FX64+GA64*Slot17_BufPot*GC64</f>
        <v>0</v>
      </c>
      <c r="GI64" s="20" t="n">
        <f aca="false">IF(AND(GA64=1,Slot17_IsMfree=1),IF(GF64&gt;=Slot17_Cost-1,0,MAX(0,FY64-GF64)),FY64)</f>
        <v>0</v>
      </c>
      <c r="GJ64" s="20" t="n">
        <f aca="false">GA64*(Slot17_Cost-GF64)</f>
        <v>0</v>
      </c>
      <c r="GK64" s="20" t="n">
        <f aca="false">IF(AND(Slot18_On=1,D64=Slot18_Age),1,0)</f>
        <v>0</v>
      </c>
      <c r="GL64" s="20" t="n">
        <f aca="false">IF(AND(Slot18_On=1,Slot18_Age&gt;D64),1,0)</f>
        <v>0</v>
      </c>
      <c r="GM64" s="20" t="n">
        <f aca="false">TC63</f>
        <v>0</v>
      </c>
      <c r="GN64" s="20" t="n">
        <f aca="false">GK64*MIN(Slot18_Cost,GM64)</f>
        <v>0</v>
      </c>
      <c r="GO64" s="20" t="n">
        <f aca="false">GK64*Slot18_SpendLike*MIN(Slot18_Cost-GN64,GG64)</f>
        <v>0</v>
      </c>
      <c r="GP64" s="20" t="n">
        <f aca="false">GN64+GO64</f>
        <v>0</v>
      </c>
      <c r="GQ64" s="20" t="n">
        <f aca="false">GG64-GO64+GK64*IF(Slot18_SpendLike=1,GM64-GN64,IF(Slot18_PotFree=1,GM64,0))</f>
        <v>0</v>
      </c>
      <c r="GR64" s="20" t="n">
        <f aca="false">GH64+GK64*Slot18_BufPot*GM64</f>
        <v>0</v>
      </c>
      <c r="GS64" s="20" t="n">
        <f aca="false">IF(AND(GK64=1,Slot18_IsMfree=1),IF(GP64&gt;=Slot18_Cost-1,0,MAX(0,GI64-GP64)),GI64)</f>
        <v>0</v>
      </c>
      <c r="GT64" s="20" t="n">
        <f aca="false">GK64*(Slot18_Cost-GP64)</f>
        <v>0</v>
      </c>
      <c r="GU64" s="20" t="n">
        <f aca="false">IF(AND(Slot19_On=1,D64=Slot19_Age),1,0)</f>
        <v>0</v>
      </c>
      <c r="GV64" s="20" t="n">
        <f aca="false">IF(AND(Slot19_On=1,Slot19_Age&gt;D64),1,0)</f>
        <v>0</v>
      </c>
      <c r="GW64" s="20" t="n">
        <f aca="false">TG63</f>
        <v>0</v>
      </c>
      <c r="GX64" s="20" t="n">
        <f aca="false">GU64*MIN(Slot19_Cost,GW64)</f>
        <v>0</v>
      </c>
      <c r="GY64" s="20" t="n">
        <f aca="false">GU64*Slot19_SpendLike*MIN(Slot19_Cost-GX64,GQ64)</f>
        <v>0</v>
      </c>
      <c r="GZ64" s="20" t="n">
        <f aca="false">GX64+GY64</f>
        <v>0</v>
      </c>
      <c r="HA64" s="20" t="n">
        <f aca="false">GQ64-GY64+GU64*IF(Slot19_SpendLike=1,GW64-GX64,IF(Slot19_PotFree=1,GW64,0))</f>
        <v>0</v>
      </c>
      <c r="HB64" s="20" t="n">
        <f aca="false">GR64+GU64*Slot19_BufPot*GW64</f>
        <v>0</v>
      </c>
      <c r="HC64" s="20" t="n">
        <f aca="false">IF(AND(GU64=1,Slot19_IsMfree=1),IF(GZ64&gt;=Slot19_Cost-1,0,MAX(0,GS64-GZ64)),GS64)</f>
        <v>0</v>
      </c>
      <c r="HD64" s="20" t="n">
        <f aca="false">GU64*(Slot19_Cost-GZ64)</f>
        <v>0</v>
      </c>
      <c r="HE64" s="20" t="n">
        <f aca="false">IF(AND(Slot20_On=1,D64=Slot20_Age),1,0)</f>
        <v>0</v>
      </c>
      <c r="HF64" s="20" t="n">
        <f aca="false">IF(AND(Slot20_On=1,Slot20_Age&gt;D64),1,0)</f>
        <v>0</v>
      </c>
      <c r="HG64" s="20" t="n">
        <f aca="false">TK63</f>
        <v>0</v>
      </c>
      <c r="HH64" s="20" t="n">
        <f aca="false">HE64*MIN(Slot20_Cost,HG64)</f>
        <v>0</v>
      </c>
      <c r="HI64" s="20" t="n">
        <f aca="false">HE64*Slot20_SpendLike*MIN(Slot20_Cost-HH64,HA64)</f>
        <v>0</v>
      </c>
      <c r="HJ64" s="20" t="n">
        <f aca="false">HH64+HI64</f>
        <v>0</v>
      </c>
      <c r="HK64" s="20" t="n">
        <f aca="false">HA64-HI64+HE64*IF(Slot20_SpendLike=1,HG64-HH64,IF(Slot20_PotFree=1,HG64,0))</f>
        <v>0</v>
      </c>
      <c r="HL64" s="20" t="n">
        <f aca="false">HB64+HE64*Slot20_BufPot*HG64</f>
        <v>0</v>
      </c>
      <c r="HM64" s="20" t="n">
        <f aca="false">IF(AND(HE64=1,Slot20_IsMfree=1),IF(HJ64&gt;=Slot20_Cost-1,0,MAX(0,HC64-HJ64)),HC64)</f>
        <v>0</v>
      </c>
      <c r="HN64" s="20" t="n">
        <f aca="false">HE64*(Slot20_Cost-HJ64)</f>
        <v>0</v>
      </c>
      <c r="HO64" s="20" t="n">
        <f aca="false">V64*Slot1_SpendLike*AA64+AG64*Slot2_SpendLike*AL64+AQ64*Slot3_SpendLike*AV64+BA64*Slot4_SpendLike*BF64+BK64*Slot5_SpendLike*BP64+BU64*Slot6_SpendLike*BZ64+CE64*Slot7_SpendLike*CJ64+CO64*Slot8_SpendLike*CT64+CY64*Slot9_SpendLike*DD64+DI64*Slot10_SpendLike*DN64+DS64*Slot11_SpendLike*DX64+EC64*Slot12_SpendLike*EH64+EM64*Slot13_SpendLike*ER64+EW64*Slot14_SpendLike*FB64+FG64*Slot15_SpendLike*FL64+FQ64*Slot16_SpendLike*FV64+GA64*Slot17_SpendLike*GF64+GK64*Slot18_SpendLike*GP64+GU64*Slot19_SpendLike*GZ64+HE64*Slot20_SpendLike*HJ64</f>
        <v>0</v>
      </c>
      <c r="HP64" s="20" t="n">
        <f aca="false">AE64+AP64+AZ64+BJ64+BT64+CD64+CN64+CX64+DH64+DR64+EB64+EL64+EV64+FF64+FP64+FZ64+GJ64+GT64+HD64+HN64</f>
        <v>0</v>
      </c>
      <c r="HQ64" s="20" t="n">
        <f aca="false">V64*Slot1_Cost+AG64*Slot2_Cost+AQ64*Slot3_Cost+BA64*Slot4_Cost+BK64*Slot5_Cost+BU64*Slot6_Cost+CE64*Slot7_Cost+CO64*Slot8_Cost+CY64*Slot9_Cost+DI64*Slot10_Cost+DS64*Slot11_Cost+EC64*Slot12_Cost+EM64*Slot13_Cost+EW64*Slot14_Cost+FG64*Slot15_Cost+FQ64*Slot16_Cost+GA64*Slot17_Cost+GK64*Slot18_Cost+GU64*Slot19_Cost+HE64*Slot20_Cost</f>
        <v>0</v>
      </c>
      <c r="HR64" s="20" t="n">
        <f aca="false">HM64</f>
        <v>0</v>
      </c>
      <c r="HS64" s="20" t="n">
        <f aca="false">H64-I64-S64</f>
        <v>-29192.1665998929</v>
      </c>
      <c r="HT64" s="20" t="n">
        <f aca="false">IF(B64=0,IF(AND(Has_q6=1,In_q6=4),PR_ShareVaries*(MAX(0,HS64)/12),MIN(IF(Has_q6=1,CHOOSE(In_q6+1,PR_SaveB1,PR_SaveB2,PR_SaveB3,PR_SaveB4,0),AS_NoAnswer),AS_SaveShare*(MAX(0,HS64)/12))),HT63)</f>
        <v>62.3316893520437</v>
      </c>
      <c r="HU64" s="20" t="n">
        <f aca="false">IF(HS64&gt;=0,1,0)</f>
        <v>0</v>
      </c>
      <c r="HV64" s="20" t="n">
        <f aca="false">MAX(0,HS64/12/F64)</f>
        <v>0</v>
      </c>
      <c r="HW64" s="20" t="n">
        <f aca="false">IF(AND(Has_q6=1,In_q6=4),PR_ShareVaries*(HV64),MIN(IF(Has_q6=1,CHOOSE(In_q6+1,PR_SaveB1,PR_SaveB2,PR_SaveB3,PR_SaveB4,0),AS_NoAnswer),AS_SaveShare*(HV64)))</f>
        <v>0</v>
      </c>
      <c r="HX64" s="20" t="n">
        <f aca="false">IF(Has_saveM=1,IF(In_saveUp="Yes",1,IF(In_saveUp="No",0,IF(In_saveM&gt;=HT64-0.5,1,0))),0)</f>
        <v>0</v>
      </c>
      <c r="HY64" s="20" t="n">
        <f aca="false">IF(Has_saveM=1,MIN(HV64,IF(HX64=1,MAX(In_saveM,HW64),MIN(In_saveM,HW64))),HW64)</f>
        <v>0</v>
      </c>
      <c r="HZ64" s="20" t="n">
        <f aca="false">IF(G64=1,HY64*12*F64,0)</f>
        <v>0</v>
      </c>
      <c r="IA64" s="20" t="n">
        <f aca="false">MAX(0,HZ64+IF(AND(WI_Retire=0,WI_M&lt;0,G64=1),WI_M*12*F64,0))</f>
        <v>0</v>
      </c>
      <c r="IB64" s="20" t="n">
        <f aca="false">Slot1_IsWG*W64+Slot2_IsWG*AH64+Slot3_IsWG*AR64+Slot4_IsWG*BB64+Slot5_IsWG*BL64+Slot6_IsWG*BV64+Slot7_IsWG*CF64+Slot8_IsWG*CP64+Slot9_IsWG*CZ64+Slot10_IsWG*DJ64+Slot11_IsWG*DT64+Slot12_IsWG*ED64+Slot13_IsWG*EN64+Slot14_IsWG*EX64+Slot15_IsWG*FH64+Slot16_IsWG*FR64+Slot17_IsWG*GB64+Slot18_IsWG*GL64+Slot19_IsWG*GV64+Slot20_IsWG*HF64</f>
        <v>0</v>
      </c>
      <c r="IC64" s="20" t="n">
        <f aca="false">IF(AND(WI_Retire=0,WI_M&gt;0,G64=1,IB64&gt;=1),WI_M*12*F64,0)</f>
        <v>0</v>
      </c>
      <c r="ID64" s="20" t="n">
        <f aca="false">IF(HU64=1,MIN(IA64,HS64),0)</f>
        <v>0</v>
      </c>
      <c r="IE64" s="20" t="n">
        <f aca="false">IF(HU64=1,MIN(IC64,HS64-ID64),0)</f>
        <v>0</v>
      </c>
      <c r="IF64" s="20" t="n">
        <f aca="false">IF(W64=1,IF(ABS((1+AS_Wage)/(1+Slot1_Rate)-1)&lt;0.000000000001,(Slot1_Age-D64)*(1+Slot1_Rate)^(Slot1_Age-D64),(1+Slot1_Rate)^(Slot1_Age-D64)*(1-((1+AS_Wage)/(1+Slot1_Rate))^(Slot1_Age-D64))/(1-(1+AS_Wage)/(1+Slot1_Rate))),1)</f>
        <v>1</v>
      </c>
      <c r="IG64" s="20" t="n">
        <f aca="false">IF(AND(HU64=1,IE64&gt;0,Slot1_IsWG=1,W64=1),MAX(0,(Slot1_Cost-X64*(1+Slot1_Rate)^(Slot1_Age-D64))/IF64),0)</f>
        <v>0</v>
      </c>
      <c r="IH64" s="20" t="n">
        <f aca="false">IF(AND(HU64=1,IE64&gt;0,Slot1_IsWG=1,W64=1),MIN(IE64,IG64),0)</f>
        <v>0</v>
      </c>
      <c r="II64" s="20" t="n">
        <f aca="false">X64+IH64</f>
        <v>0</v>
      </c>
      <c r="IJ64" s="20" t="n">
        <f aca="false">IF(W64=1,MAX(0,(Slot1_Cost-II64*(1+Slot1_Rate)^(Slot1_Age-D64))/IF64),0)</f>
        <v>0</v>
      </c>
      <c r="IK64" s="20" t="n">
        <f aca="false">IF(W64=1,MAX(0,(Slot1_Cost-X64*(1+Slot1_Rate)^(Slot1_Age-D64))/IF64),0)</f>
        <v>0</v>
      </c>
      <c r="IL64" s="20" t="n">
        <f aca="false">IF(AND(HU64=1,W64=1),MIN(ID64,IJ64),0)</f>
        <v>0</v>
      </c>
      <c r="IM64" s="20" t="n">
        <f aca="false">ID64-IL64</f>
        <v>0</v>
      </c>
      <c r="IN64" s="20" t="n">
        <f aca="false">IF(AH64=1,IF(ABS((1+AS_Wage)/(1+Slot2_Rate)-1)&lt;0.000000000001,(Slot2_Age-D64)*(1+Slot2_Rate)^(Slot2_Age-D64),(1+Slot2_Rate)^(Slot2_Age-D64)*(1-((1+AS_Wage)/(1+Slot2_Rate))^(Slot2_Age-D64))/(1-(1+AS_Wage)/(1+Slot2_Rate))),1)</f>
        <v>1</v>
      </c>
      <c r="IO64" s="20" t="n">
        <f aca="false">IF(AND(HU64=1,IE64&gt;0,Slot2_IsWG=1,AH64=1),MAX(0,(Slot2_Cost-AI64*(1+Slot2_Rate)^(Slot2_Age-D64))/IN64),0)</f>
        <v>0</v>
      </c>
      <c r="IP64" s="20" t="n">
        <f aca="false">IF(AND(HU64=1,IE64&gt;0,Slot2_IsWG=1,AH64=1),MIN(IE64,IO64),0)</f>
        <v>0</v>
      </c>
      <c r="IQ64" s="20" t="n">
        <f aca="false">AI64+IP64</f>
        <v>0</v>
      </c>
      <c r="IR64" s="20" t="n">
        <f aca="false">IF(AH64=1,MAX(0,(Slot2_Cost-IQ64*(1+Slot2_Rate)^(Slot2_Age-D64))/IN64),0)</f>
        <v>0</v>
      </c>
      <c r="IS64" s="20" t="n">
        <f aca="false">IF(AH64=1,MAX(0,(Slot2_Cost-AI64*(1+Slot2_Rate)^(Slot2_Age-D64))/IN64),0)</f>
        <v>0</v>
      </c>
      <c r="IT64" s="20" t="n">
        <f aca="false">IF(AND(HU64=1,AH64=1),MIN(IM64,IR64),0)</f>
        <v>0</v>
      </c>
      <c r="IU64" s="20" t="n">
        <f aca="false">IM64-IT64</f>
        <v>0</v>
      </c>
      <c r="IV64" s="20" t="n">
        <f aca="false">IF(AR64=1,IF(ABS((1+AS_Wage)/(1+Slot3_Rate)-1)&lt;0.000000000001,(Slot3_Age-D64)*(1+Slot3_Rate)^(Slot3_Age-D64),(1+Slot3_Rate)^(Slot3_Age-D64)*(1-((1+AS_Wage)/(1+Slot3_Rate))^(Slot3_Age-D64))/(1-(1+AS_Wage)/(1+Slot3_Rate))),1)</f>
        <v>1</v>
      </c>
      <c r="IW64" s="20" t="n">
        <f aca="false">IF(AND(HU64=1,IE64&gt;0,Slot3_IsWG=1,AR64=1),MAX(0,(Slot3_Cost-AS64*(1+Slot3_Rate)^(Slot3_Age-D64))/IV64),0)</f>
        <v>0</v>
      </c>
      <c r="IX64" s="20" t="n">
        <f aca="false">IF(AND(HU64=1,IE64&gt;0,Slot3_IsWG=1,AR64=1),MIN(IE64,IW64),0)</f>
        <v>0</v>
      </c>
      <c r="IY64" s="20" t="n">
        <f aca="false">AS64+IX64</f>
        <v>0</v>
      </c>
      <c r="IZ64" s="20" t="n">
        <f aca="false">IF(AR64=1,MAX(0,(Slot3_Cost-IY64*(1+Slot3_Rate)^(Slot3_Age-D64))/IV64),0)</f>
        <v>0</v>
      </c>
      <c r="JA64" s="20" t="n">
        <f aca="false">IF(AR64=1,MAX(0,(Slot3_Cost-AS64*(1+Slot3_Rate)^(Slot3_Age-D64))/IV64),0)</f>
        <v>0</v>
      </c>
      <c r="JB64" s="20" t="n">
        <f aca="false">IF(AND(HU64=1,AR64=1),MIN(IU64,IZ64),0)</f>
        <v>0</v>
      </c>
      <c r="JC64" s="20" t="n">
        <f aca="false">IU64-JB64</f>
        <v>0</v>
      </c>
      <c r="JD64" s="20" t="n">
        <f aca="false">IF(BB64=1,IF(ABS((1+AS_Wage)/(1+Slot4_Rate)-1)&lt;0.000000000001,(Slot4_Age-D64)*(1+Slot4_Rate)^(Slot4_Age-D64),(1+Slot4_Rate)^(Slot4_Age-D64)*(1-((1+AS_Wage)/(1+Slot4_Rate))^(Slot4_Age-D64))/(1-(1+AS_Wage)/(1+Slot4_Rate))),1)</f>
        <v>1</v>
      </c>
      <c r="JE64" s="20" t="n">
        <f aca="false">IF(AND(HU64=1,IE64&gt;0,Slot4_IsWG=1,BB64=1),MAX(0,(Slot4_Cost-BC64*(1+Slot4_Rate)^(Slot4_Age-D64))/JD64),0)</f>
        <v>0</v>
      </c>
      <c r="JF64" s="20" t="n">
        <f aca="false">IF(AND(HU64=1,IE64&gt;0,Slot4_IsWG=1,BB64=1),MIN(IE64,JE64),0)</f>
        <v>0</v>
      </c>
      <c r="JG64" s="20" t="n">
        <f aca="false">BC64+JF64</f>
        <v>0</v>
      </c>
      <c r="JH64" s="20" t="n">
        <f aca="false">IF(BB64=1,MAX(0,(Slot4_Cost-JG64*(1+Slot4_Rate)^(Slot4_Age-D64))/JD64),0)</f>
        <v>0</v>
      </c>
      <c r="JI64" s="20" t="n">
        <f aca="false">IF(BB64=1,MAX(0,(Slot4_Cost-BC64*(1+Slot4_Rate)^(Slot4_Age-D64))/JD64),0)</f>
        <v>0</v>
      </c>
      <c r="JJ64" s="20" t="n">
        <f aca="false">IF(AND(HU64=1,BB64=1),MIN(JC64,JH64),0)</f>
        <v>0</v>
      </c>
      <c r="JK64" s="20" t="n">
        <f aca="false">JC64-JJ64</f>
        <v>0</v>
      </c>
      <c r="JL64" s="20" t="n">
        <f aca="false">IF(BL64=1,IF(ABS((1+AS_Wage)/(1+Slot5_Rate)-1)&lt;0.000000000001,(Slot5_Age-D64)*(1+Slot5_Rate)^(Slot5_Age-D64),(1+Slot5_Rate)^(Slot5_Age-D64)*(1-((1+AS_Wage)/(1+Slot5_Rate))^(Slot5_Age-D64))/(1-(1+AS_Wage)/(1+Slot5_Rate))),1)</f>
        <v>1</v>
      </c>
      <c r="JM64" s="20" t="n">
        <f aca="false">IF(AND(HU64=1,IE64&gt;0,Slot5_IsWG=1,BL64=1),MAX(0,(Slot5_Cost-BM64*(1+Slot5_Rate)^(Slot5_Age-D64))/JL64),0)</f>
        <v>0</v>
      </c>
      <c r="JN64" s="20" t="n">
        <f aca="false">IF(AND(HU64=1,IE64&gt;0,Slot5_IsWG=1,BL64=1),MIN(IE64,JM64),0)</f>
        <v>0</v>
      </c>
      <c r="JO64" s="20" t="n">
        <f aca="false">BM64+JN64</f>
        <v>0</v>
      </c>
      <c r="JP64" s="20" t="n">
        <f aca="false">IF(BL64=1,MAX(0,(Slot5_Cost-JO64*(1+Slot5_Rate)^(Slot5_Age-D64))/JL64),0)</f>
        <v>0</v>
      </c>
      <c r="JQ64" s="20" t="n">
        <f aca="false">IF(BL64=1,MAX(0,(Slot5_Cost-BM64*(1+Slot5_Rate)^(Slot5_Age-D64))/JL64),0)</f>
        <v>0</v>
      </c>
      <c r="JR64" s="20" t="n">
        <f aca="false">IF(AND(HU64=1,BL64=1),MIN(JK64,JP64),0)</f>
        <v>0</v>
      </c>
      <c r="JS64" s="20" t="n">
        <f aca="false">JK64-JR64</f>
        <v>0</v>
      </c>
      <c r="JT64" s="20" t="n">
        <f aca="false">IF(BV64=1,IF(ABS((1+AS_Wage)/(1+Slot6_Rate)-1)&lt;0.000000000001,(Slot6_Age-D64)*(1+Slot6_Rate)^(Slot6_Age-D64),(1+Slot6_Rate)^(Slot6_Age-D64)*(1-((1+AS_Wage)/(1+Slot6_Rate))^(Slot6_Age-D64))/(1-(1+AS_Wage)/(1+Slot6_Rate))),1)</f>
        <v>1</v>
      </c>
      <c r="JU64" s="20" t="n">
        <f aca="false">IF(AND(HU64=1,IE64&gt;0,Slot6_IsWG=1,BV64=1),MAX(0,(Slot6_Cost-BW64*(1+Slot6_Rate)^(Slot6_Age-D64))/JT64),0)</f>
        <v>0</v>
      </c>
      <c r="JV64" s="20" t="n">
        <f aca="false">IF(AND(HU64=1,IE64&gt;0,Slot6_IsWG=1,BV64=1),MIN(IE64,JU64),0)</f>
        <v>0</v>
      </c>
      <c r="JW64" s="20" t="n">
        <f aca="false">BW64+JV64</f>
        <v>0</v>
      </c>
      <c r="JX64" s="20" t="n">
        <f aca="false">IF(BV64=1,MAX(0,(Slot6_Cost-JW64*(1+Slot6_Rate)^(Slot6_Age-D64))/JT64),0)</f>
        <v>0</v>
      </c>
      <c r="JY64" s="20" t="n">
        <f aca="false">IF(BV64=1,MAX(0,(Slot6_Cost-BW64*(1+Slot6_Rate)^(Slot6_Age-D64))/JT64),0)</f>
        <v>0</v>
      </c>
      <c r="JZ64" s="20" t="n">
        <f aca="false">IF(AND(HU64=1,BV64=1),MIN(JS64,JX64),0)</f>
        <v>0</v>
      </c>
      <c r="KA64" s="20" t="n">
        <f aca="false">JS64-JZ64</f>
        <v>0</v>
      </c>
      <c r="KB64" s="20" t="n">
        <f aca="false">IF(CF64=1,IF(ABS((1+AS_Wage)/(1+Slot7_Rate)-1)&lt;0.000000000001,(Slot7_Age-D64)*(1+Slot7_Rate)^(Slot7_Age-D64),(1+Slot7_Rate)^(Slot7_Age-D64)*(1-((1+AS_Wage)/(1+Slot7_Rate))^(Slot7_Age-D64))/(1-(1+AS_Wage)/(1+Slot7_Rate))),1)</f>
        <v>1</v>
      </c>
      <c r="KC64" s="20" t="n">
        <f aca="false">IF(AND(HU64=1,IE64&gt;0,Slot7_IsWG=1,CF64=1),MAX(0,(Slot7_Cost-CG64*(1+Slot7_Rate)^(Slot7_Age-D64))/KB64),0)</f>
        <v>0</v>
      </c>
      <c r="KD64" s="20" t="n">
        <f aca="false">IF(AND(HU64=1,IE64&gt;0,Slot7_IsWG=1,CF64=1),MIN(IE64,KC64),0)</f>
        <v>0</v>
      </c>
      <c r="KE64" s="20" t="n">
        <f aca="false">CG64+KD64</f>
        <v>0</v>
      </c>
      <c r="KF64" s="20" t="n">
        <f aca="false">IF(CF64=1,MAX(0,(Slot7_Cost-KE64*(1+Slot7_Rate)^(Slot7_Age-D64))/KB64),0)</f>
        <v>0</v>
      </c>
      <c r="KG64" s="20" t="n">
        <f aca="false">IF(CF64=1,MAX(0,(Slot7_Cost-CG64*(1+Slot7_Rate)^(Slot7_Age-D64))/KB64),0)</f>
        <v>0</v>
      </c>
      <c r="KH64" s="20" t="n">
        <f aca="false">IF(AND(HU64=1,CF64=1),MIN(KA64,KF64),0)</f>
        <v>0</v>
      </c>
      <c r="KI64" s="20" t="n">
        <f aca="false">KA64-KH64</f>
        <v>0</v>
      </c>
      <c r="KJ64" s="20" t="n">
        <f aca="false">IF(CP64=1,IF(ABS((1+AS_Wage)/(1+Slot8_Rate)-1)&lt;0.000000000001,(Slot8_Age-D64)*(1+Slot8_Rate)^(Slot8_Age-D64),(1+Slot8_Rate)^(Slot8_Age-D64)*(1-((1+AS_Wage)/(1+Slot8_Rate))^(Slot8_Age-D64))/(1-(1+AS_Wage)/(1+Slot8_Rate))),1)</f>
        <v>1</v>
      </c>
      <c r="KK64" s="20" t="n">
        <f aca="false">IF(AND(HU64=1,IE64&gt;0,Slot8_IsWG=1,CP64=1),MAX(0,(Slot8_Cost-CQ64*(1+Slot8_Rate)^(Slot8_Age-D64))/KJ64),0)</f>
        <v>0</v>
      </c>
      <c r="KL64" s="20" t="n">
        <f aca="false">IF(AND(HU64=1,IE64&gt;0,Slot8_IsWG=1,CP64=1),MIN(IE64,KK64),0)</f>
        <v>0</v>
      </c>
      <c r="KM64" s="20" t="n">
        <f aca="false">CQ64+KL64</f>
        <v>0</v>
      </c>
      <c r="KN64" s="20" t="n">
        <f aca="false">IF(CP64=1,MAX(0,(Slot8_Cost-KM64*(1+Slot8_Rate)^(Slot8_Age-D64))/KJ64),0)</f>
        <v>0</v>
      </c>
      <c r="KO64" s="20" t="n">
        <f aca="false">IF(CP64=1,MAX(0,(Slot8_Cost-CQ64*(1+Slot8_Rate)^(Slot8_Age-D64))/KJ64),0)</f>
        <v>0</v>
      </c>
      <c r="KP64" s="20" t="n">
        <f aca="false">IF(AND(HU64=1,CP64=1),MIN(KI64,KN64),0)</f>
        <v>0</v>
      </c>
      <c r="KQ64" s="20" t="n">
        <f aca="false">KI64-KP64</f>
        <v>0</v>
      </c>
      <c r="KR64" s="20" t="n">
        <f aca="false">IF(CZ64=1,IF(ABS((1+AS_Wage)/(1+Slot9_Rate)-1)&lt;0.000000000001,(Slot9_Age-D64)*(1+Slot9_Rate)^(Slot9_Age-D64),(1+Slot9_Rate)^(Slot9_Age-D64)*(1-((1+AS_Wage)/(1+Slot9_Rate))^(Slot9_Age-D64))/(1-(1+AS_Wage)/(1+Slot9_Rate))),1)</f>
        <v>1</v>
      </c>
      <c r="KS64" s="20" t="n">
        <f aca="false">IF(AND(HU64=1,IE64&gt;0,Slot9_IsWG=1,CZ64=1),MAX(0,(Slot9_Cost-DA64*(1+Slot9_Rate)^(Slot9_Age-D64))/KR64),0)</f>
        <v>0</v>
      </c>
      <c r="KT64" s="20" t="n">
        <f aca="false">IF(AND(HU64=1,IE64&gt;0,Slot9_IsWG=1,CZ64=1),MIN(IE64,KS64),0)</f>
        <v>0</v>
      </c>
      <c r="KU64" s="20" t="n">
        <f aca="false">DA64+KT64</f>
        <v>0</v>
      </c>
      <c r="KV64" s="20" t="n">
        <f aca="false">IF(CZ64=1,MAX(0,(Slot9_Cost-KU64*(1+Slot9_Rate)^(Slot9_Age-D64))/KR64),0)</f>
        <v>0</v>
      </c>
      <c r="KW64" s="20" t="n">
        <f aca="false">IF(CZ64=1,MAX(0,(Slot9_Cost-DA64*(1+Slot9_Rate)^(Slot9_Age-D64))/KR64),0)</f>
        <v>0</v>
      </c>
      <c r="KX64" s="20" t="n">
        <f aca="false">IF(AND(HU64=1,CZ64=1),MIN(KQ64,KV64),0)</f>
        <v>0</v>
      </c>
      <c r="KY64" s="20" t="n">
        <f aca="false">KQ64-KX64</f>
        <v>0</v>
      </c>
      <c r="KZ64" s="20" t="n">
        <f aca="false">IF(DJ64=1,IF(ABS((1+AS_Wage)/(1+Slot10_Rate)-1)&lt;0.000000000001,(Slot10_Age-D64)*(1+Slot10_Rate)^(Slot10_Age-D64),(1+Slot10_Rate)^(Slot10_Age-D64)*(1-((1+AS_Wage)/(1+Slot10_Rate))^(Slot10_Age-D64))/(1-(1+AS_Wage)/(1+Slot10_Rate))),1)</f>
        <v>1</v>
      </c>
      <c r="LA64" s="20" t="n">
        <f aca="false">IF(AND(HU64=1,IE64&gt;0,Slot10_IsWG=1,DJ64=1),MAX(0,(Slot10_Cost-DK64*(1+Slot10_Rate)^(Slot10_Age-D64))/KZ64),0)</f>
        <v>0</v>
      </c>
      <c r="LB64" s="20" t="n">
        <f aca="false">IF(AND(HU64=1,IE64&gt;0,Slot10_IsWG=1,DJ64=1),MIN(IE64,LA64),0)</f>
        <v>0</v>
      </c>
      <c r="LC64" s="20" t="n">
        <f aca="false">DK64+LB64</f>
        <v>0</v>
      </c>
      <c r="LD64" s="20" t="n">
        <f aca="false">IF(DJ64=1,MAX(0,(Slot10_Cost-LC64*(1+Slot10_Rate)^(Slot10_Age-D64))/KZ64),0)</f>
        <v>0</v>
      </c>
      <c r="LE64" s="20" t="n">
        <f aca="false">IF(DJ64=1,MAX(0,(Slot10_Cost-DK64*(1+Slot10_Rate)^(Slot10_Age-D64))/KZ64),0)</f>
        <v>0</v>
      </c>
      <c r="LF64" s="20" t="n">
        <f aca="false">IF(AND(HU64=1,DJ64=1),MIN(KY64,LD64),0)</f>
        <v>0</v>
      </c>
      <c r="LG64" s="20" t="n">
        <f aca="false">KY64-LF64</f>
        <v>0</v>
      </c>
      <c r="LH64" s="20" t="n">
        <f aca="false">IF(DT64=1,IF(ABS((1+AS_Wage)/(1+Slot11_Rate)-1)&lt;0.000000000001,(Slot11_Age-D64)*(1+Slot11_Rate)^(Slot11_Age-D64),(1+Slot11_Rate)^(Slot11_Age-D64)*(1-((1+AS_Wage)/(1+Slot11_Rate))^(Slot11_Age-D64))/(1-(1+AS_Wage)/(1+Slot11_Rate))),1)</f>
        <v>1</v>
      </c>
      <c r="LI64" s="20" t="n">
        <f aca="false">IF(AND(HU64=1,IE64&gt;0,Slot11_IsWG=1,DT64=1),MAX(0,(Slot11_Cost-DU64*(1+Slot11_Rate)^(Slot11_Age-D64))/LH64),0)</f>
        <v>0</v>
      </c>
      <c r="LJ64" s="20" t="n">
        <f aca="false">IF(AND(HU64=1,IE64&gt;0,Slot11_IsWG=1,DT64=1),MIN(IE64,LI64),0)</f>
        <v>0</v>
      </c>
      <c r="LK64" s="20" t="n">
        <f aca="false">DU64+LJ64</f>
        <v>0</v>
      </c>
      <c r="LL64" s="20" t="n">
        <f aca="false">IF(DT64=1,MAX(0,(Slot11_Cost-LK64*(1+Slot11_Rate)^(Slot11_Age-D64))/LH64),0)</f>
        <v>0</v>
      </c>
      <c r="LM64" s="20" t="n">
        <f aca="false">IF(DT64=1,MAX(0,(Slot11_Cost-DU64*(1+Slot11_Rate)^(Slot11_Age-D64))/LH64),0)</f>
        <v>0</v>
      </c>
      <c r="LN64" s="20" t="n">
        <f aca="false">IF(AND(HU64=1,DT64=1),MIN(LG64,LL64),0)</f>
        <v>0</v>
      </c>
      <c r="LO64" s="20" t="n">
        <f aca="false">LG64-LN64</f>
        <v>0</v>
      </c>
      <c r="LP64" s="20" t="n">
        <f aca="false">IF(ED64=1,IF(ABS((1+AS_Wage)/(1+Slot12_Rate)-1)&lt;0.000000000001,(Slot12_Age-D64)*(1+Slot12_Rate)^(Slot12_Age-D64),(1+Slot12_Rate)^(Slot12_Age-D64)*(1-((1+AS_Wage)/(1+Slot12_Rate))^(Slot12_Age-D64))/(1-(1+AS_Wage)/(1+Slot12_Rate))),1)</f>
        <v>1</v>
      </c>
      <c r="LQ64" s="20" t="n">
        <f aca="false">IF(AND(HU64=1,IE64&gt;0,Slot12_IsWG=1,ED64=1),MAX(0,(Slot12_Cost-EE64*(1+Slot12_Rate)^(Slot12_Age-D64))/LP64),0)</f>
        <v>0</v>
      </c>
      <c r="LR64" s="20" t="n">
        <f aca="false">IF(AND(HU64=1,IE64&gt;0,Slot12_IsWG=1,ED64=1),MIN(IE64,LQ64),0)</f>
        <v>0</v>
      </c>
      <c r="LS64" s="20" t="n">
        <f aca="false">EE64+LR64</f>
        <v>0</v>
      </c>
      <c r="LT64" s="20" t="n">
        <f aca="false">IF(ED64=1,MAX(0,(Slot12_Cost-LS64*(1+Slot12_Rate)^(Slot12_Age-D64))/LP64),0)</f>
        <v>0</v>
      </c>
      <c r="LU64" s="20" t="n">
        <f aca="false">IF(ED64=1,MAX(0,(Slot12_Cost-EE64*(1+Slot12_Rate)^(Slot12_Age-D64))/LP64),0)</f>
        <v>0</v>
      </c>
      <c r="LV64" s="20" t="n">
        <f aca="false">IF(AND(HU64=1,ED64=1),MIN(LO64,LT64),0)</f>
        <v>0</v>
      </c>
      <c r="LW64" s="20" t="n">
        <f aca="false">LO64-LV64</f>
        <v>0</v>
      </c>
      <c r="LX64" s="20" t="n">
        <f aca="false">IF(EN64=1,IF(ABS((1+AS_Wage)/(1+Slot13_Rate)-1)&lt;0.000000000001,(Slot13_Age-D64)*(1+Slot13_Rate)^(Slot13_Age-D64),(1+Slot13_Rate)^(Slot13_Age-D64)*(1-((1+AS_Wage)/(1+Slot13_Rate))^(Slot13_Age-D64))/(1-(1+AS_Wage)/(1+Slot13_Rate))),1)</f>
        <v>1</v>
      </c>
      <c r="LY64" s="20" t="n">
        <f aca="false">IF(AND(HU64=1,IE64&gt;0,Slot13_IsWG=1,EN64=1),MAX(0,(Slot13_Cost-EO64*(1+Slot13_Rate)^(Slot13_Age-D64))/LX64),0)</f>
        <v>0</v>
      </c>
      <c r="LZ64" s="20" t="n">
        <f aca="false">IF(AND(HU64=1,IE64&gt;0,Slot13_IsWG=1,EN64=1),MIN(IE64,LY64),0)</f>
        <v>0</v>
      </c>
      <c r="MA64" s="20" t="n">
        <f aca="false">EO64+LZ64</f>
        <v>0</v>
      </c>
      <c r="MB64" s="20" t="n">
        <f aca="false">IF(EN64=1,MAX(0,(Slot13_Cost-MA64*(1+Slot13_Rate)^(Slot13_Age-D64))/LX64),0)</f>
        <v>0</v>
      </c>
      <c r="MC64" s="20" t="n">
        <f aca="false">IF(EN64=1,MAX(0,(Slot13_Cost-EO64*(1+Slot13_Rate)^(Slot13_Age-D64))/LX64),0)</f>
        <v>0</v>
      </c>
      <c r="MD64" s="20" t="n">
        <f aca="false">IF(AND(HU64=1,EN64=1),MIN(LW64,MB64),0)</f>
        <v>0</v>
      </c>
      <c r="ME64" s="20" t="n">
        <f aca="false">LW64-MD64</f>
        <v>0</v>
      </c>
      <c r="MF64" s="20" t="n">
        <f aca="false">IF(EX64=1,IF(ABS((1+AS_Wage)/(1+Slot14_Rate)-1)&lt;0.000000000001,(Slot14_Age-D64)*(1+Slot14_Rate)^(Slot14_Age-D64),(1+Slot14_Rate)^(Slot14_Age-D64)*(1-((1+AS_Wage)/(1+Slot14_Rate))^(Slot14_Age-D64))/(1-(1+AS_Wage)/(1+Slot14_Rate))),1)</f>
        <v>1</v>
      </c>
      <c r="MG64" s="20" t="n">
        <f aca="false">IF(AND(HU64=1,IE64&gt;0,Slot14_IsWG=1,EX64=1),MAX(0,(Slot14_Cost-EY64*(1+Slot14_Rate)^(Slot14_Age-D64))/MF64),0)</f>
        <v>0</v>
      </c>
      <c r="MH64" s="20" t="n">
        <f aca="false">IF(AND(HU64=1,IE64&gt;0,Slot14_IsWG=1,EX64=1),MIN(IE64,MG64),0)</f>
        <v>0</v>
      </c>
      <c r="MI64" s="20" t="n">
        <f aca="false">EY64+MH64</f>
        <v>0</v>
      </c>
      <c r="MJ64" s="20" t="n">
        <f aca="false">IF(EX64=1,MAX(0,(Slot14_Cost-MI64*(1+Slot14_Rate)^(Slot14_Age-D64))/MF64),0)</f>
        <v>0</v>
      </c>
      <c r="MK64" s="20" t="n">
        <f aca="false">IF(EX64=1,MAX(0,(Slot14_Cost-EY64*(1+Slot14_Rate)^(Slot14_Age-D64))/MF64),0)</f>
        <v>0</v>
      </c>
      <c r="ML64" s="20" t="n">
        <f aca="false">IF(AND(HU64=1,EX64=1),MIN(ME64,MJ64),0)</f>
        <v>0</v>
      </c>
      <c r="MM64" s="20" t="n">
        <f aca="false">ME64-ML64</f>
        <v>0</v>
      </c>
      <c r="MN64" s="20" t="n">
        <f aca="false">IF(FH64=1,IF(ABS((1+AS_Wage)/(1+Slot15_Rate)-1)&lt;0.000000000001,(Slot15_Age-D64)*(1+Slot15_Rate)^(Slot15_Age-D64),(1+Slot15_Rate)^(Slot15_Age-D64)*(1-((1+AS_Wage)/(1+Slot15_Rate))^(Slot15_Age-D64))/(1-(1+AS_Wage)/(1+Slot15_Rate))),1)</f>
        <v>1</v>
      </c>
      <c r="MO64" s="20" t="n">
        <f aca="false">IF(AND(HU64=1,IE64&gt;0,Slot15_IsWG=1,FH64=1),MAX(0,(Slot15_Cost-FI64*(1+Slot15_Rate)^(Slot15_Age-D64))/MN64),0)</f>
        <v>0</v>
      </c>
      <c r="MP64" s="20" t="n">
        <f aca="false">IF(AND(HU64=1,IE64&gt;0,Slot15_IsWG=1,FH64=1),MIN(IE64,MO64),0)</f>
        <v>0</v>
      </c>
      <c r="MQ64" s="20" t="n">
        <f aca="false">FI64+MP64</f>
        <v>0</v>
      </c>
      <c r="MR64" s="20" t="n">
        <f aca="false">IF(FH64=1,MAX(0,(Slot15_Cost-MQ64*(1+Slot15_Rate)^(Slot15_Age-D64))/MN64),0)</f>
        <v>0</v>
      </c>
      <c r="MS64" s="20" t="n">
        <f aca="false">IF(FH64=1,MAX(0,(Slot15_Cost-FI64*(1+Slot15_Rate)^(Slot15_Age-D64))/MN64),0)</f>
        <v>0</v>
      </c>
      <c r="MT64" s="20" t="n">
        <f aca="false">IF(AND(HU64=1,FH64=1),MIN(MM64,MR64),0)</f>
        <v>0</v>
      </c>
      <c r="MU64" s="20" t="n">
        <f aca="false">MM64-MT64</f>
        <v>0</v>
      </c>
      <c r="MV64" s="20" t="n">
        <f aca="false">IF(FR64=1,IF(ABS((1+AS_Wage)/(1+Slot16_Rate)-1)&lt;0.000000000001,(Slot16_Age-D64)*(1+Slot16_Rate)^(Slot16_Age-D64),(1+Slot16_Rate)^(Slot16_Age-D64)*(1-((1+AS_Wage)/(1+Slot16_Rate))^(Slot16_Age-D64))/(1-(1+AS_Wage)/(1+Slot16_Rate))),1)</f>
        <v>1</v>
      </c>
      <c r="MW64" s="20" t="n">
        <f aca="false">IF(AND(HU64=1,IE64&gt;0,Slot16_IsWG=1,FR64=1),MAX(0,(Slot16_Cost-FS64*(1+Slot16_Rate)^(Slot16_Age-D64))/MV64),0)</f>
        <v>0</v>
      </c>
      <c r="MX64" s="20" t="n">
        <f aca="false">IF(AND(HU64=1,IE64&gt;0,Slot16_IsWG=1,FR64=1),MIN(IE64,MW64),0)</f>
        <v>0</v>
      </c>
      <c r="MY64" s="20" t="n">
        <f aca="false">FS64+MX64</f>
        <v>0</v>
      </c>
      <c r="MZ64" s="20" t="n">
        <f aca="false">IF(FR64=1,MAX(0,(Slot16_Cost-MY64*(1+Slot16_Rate)^(Slot16_Age-D64))/MV64),0)</f>
        <v>0</v>
      </c>
      <c r="NA64" s="20" t="n">
        <f aca="false">IF(FR64=1,MAX(0,(Slot16_Cost-FS64*(1+Slot16_Rate)^(Slot16_Age-D64))/MV64),0)</f>
        <v>0</v>
      </c>
      <c r="NB64" s="20" t="n">
        <f aca="false">IF(AND(HU64=1,FR64=1),MIN(MU64,MZ64),0)</f>
        <v>0</v>
      </c>
      <c r="NC64" s="20" t="n">
        <f aca="false">MU64-NB64</f>
        <v>0</v>
      </c>
      <c r="ND64" s="20" t="n">
        <f aca="false">IF(GB64=1,IF(ABS((1+AS_Wage)/(1+Slot17_Rate)-1)&lt;0.000000000001,(Slot17_Age-D64)*(1+Slot17_Rate)^(Slot17_Age-D64),(1+Slot17_Rate)^(Slot17_Age-D64)*(1-((1+AS_Wage)/(1+Slot17_Rate))^(Slot17_Age-D64))/(1-(1+AS_Wage)/(1+Slot17_Rate))),1)</f>
        <v>1</v>
      </c>
      <c r="NE64" s="20" t="n">
        <f aca="false">IF(AND(HU64=1,IE64&gt;0,Slot17_IsWG=1,GB64=1),MAX(0,(Slot17_Cost-GC64*(1+Slot17_Rate)^(Slot17_Age-D64))/ND64),0)</f>
        <v>0</v>
      </c>
      <c r="NF64" s="20" t="n">
        <f aca="false">IF(AND(HU64=1,IE64&gt;0,Slot17_IsWG=1,GB64=1),MIN(IE64,NE64),0)</f>
        <v>0</v>
      </c>
      <c r="NG64" s="20" t="n">
        <f aca="false">GC64+NF64</f>
        <v>0</v>
      </c>
      <c r="NH64" s="20" t="n">
        <f aca="false">IF(GB64=1,MAX(0,(Slot17_Cost-NG64*(1+Slot17_Rate)^(Slot17_Age-D64))/ND64),0)</f>
        <v>0</v>
      </c>
      <c r="NI64" s="20" t="n">
        <f aca="false">IF(GB64=1,MAX(0,(Slot17_Cost-GC64*(1+Slot17_Rate)^(Slot17_Age-D64))/ND64),0)</f>
        <v>0</v>
      </c>
      <c r="NJ64" s="20" t="n">
        <f aca="false">IF(AND(HU64=1,GB64=1),MIN(NC64,NH64),0)</f>
        <v>0</v>
      </c>
      <c r="NK64" s="20" t="n">
        <f aca="false">NC64-NJ64</f>
        <v>0</v>
      </c>
      <c r="NL64" s="20" t="n">
        <f aca="false">IF(GL64=1,IF(ABS((1+AS_Wage)/(1+Slot18_Rate)-1)&lt;0.000000000001,(Slot18_Age-D64)*(1+Slot18_Rate)^(Slot18_Age-D64),(1+Slot18_Rate)^(Slot18_Age-D64)*(1-((1+AS_Wage)/(1+Slot18_Rate))^(Slot18_Age-D64))/(1-(1+AS_Wage)/(1+Slot18_Rate))),1)</f>
        <v>1</v>
      </c>
      <c r="NM64" s="20" t="n">
        <f aca="false">IF(AND(HU64=1,IE64&gt;0,Slot18_IsWG=1,GL64=1),MAX(0,(Slot18_Cost-GM64*(1+Slot18_Rate)^(Slot18_Age-D64))/NL64),0)</f>
        <v>0</v>
      </c>
      <c r="NN64" s="20" t="n">
        <f aca="false">IF(AND(HU64=1,IE64&gt;0,Slot18_IsWG=1,GL64=1),MIN(IE64,NM64),0)</f>
        <v>0</v>
      </c>
      <c r="NO64" s="20" t="n">
        <f aca="false">GM64+NN64</f>
        <v>0</v>
      </c>
      <c r="NP64" s="20" t="n">
        <f aca="false">IF(GL64=1,MAX(0,(Slot18_Cost-NO64*(1+Slot18_Rate)^(Slot18_Age-D64))/NL64),0)</f>
        <v>0</v>
      </c>
      <c r="NQ64" s="20" t="n">
        <f aca="false">IF(GL64=1,MAX(0,(Slot18_Cost-GM64*(1+Slot18_Rate)^(Slot18_Age-D64))/NL64),0)</f>
        <v>0</v>
      </c>
      <c r="NR64" s="20" t="n">
        <f aca="false">IF(AND(HU64=1,GL64=1),MIN(NK64,NP64),0)</f>
        <v>0</v>
      </c>
      <c r="NS64" s="20" t="n">
        <f aca="false">NK64-NR64</f>
        <v>0</v>
      </c>
      <c r="NT64" s="20" t="n">
        <f aca="false">IF(GV64=1,IF(ABS((1+AS_Wage)/(1+Slot19_Rate)-1)&lt;0.000000000001,(Slot19_Age-D64)*(1+Slot19_Rate)^(Slot19_Age-D64),(1+Slot19_Rate)^(Slot19_Age-D64)*(1-((1+AS_Wage)/(1+Slot19_Rate))^(Slot19_Age-D64))/(1-(1+AS_Wage)/(1+Slot19_Rate))),1)</f>
        <v>1</v>
      </c>
      <c r="NU64" s="20" t="n">
        <f aca="false">IF(AND(HU64=1,IE64&gt;0,Slot19_IsWG=1,GV64=1),MAX(0,(Slot19_Cost-GW64*(1+Slot19_Rate)^(Slot19_Age-D64))/NT64),0)</f>
        <v>0</v>
      </c>
      <c r="NV64" s="20" t="n">
        <f aca="false">IF(AND(HU64=1,IE64&gt;0,Slot19_IsWG=1,GV64=1),MIN(IE64,NU64),0)</f>
        <v>0</v>
      </c>
      <c r="NW64" s="20" t="n">
        <f aca="false">GW64+NV64</f>
        <v>0</v>
      </c>
      <c r="NX64" s="20" t="n">
        <f aca="false">IF(GV64=1,MAX(0,(Slot19_Cost-NW64*(1+Slot19_Rate)^(Slot19_Age-D64))/NT64),0)</f>
        <v>0</v>
      </c>
      <c r="NY64" s="20" t="n">
        <f aca="false">IF(GV64=1,MAX(0,(Slot19_Cost-GW64*(1+Slot19_Rate)^(Slot19_Age-D64))/NT64),0)</f>
        <v>0</v>
      </c>
      <c r="NZ64" s="20" t="n">
        <f aca="false">IF(AND(HU64=1,GV64=1),MIN(NS64,NX64),0)</f>
        <v>0</v>
      </c>
      <c r="OA64" s="20" t="n">
        <f aca="false">NS64-NZ64</f>
        <v>0</v>
      </c>
      <c r="OB64" s="20" t="n">
        <f aca="false">IF(HF64=1,IF(ABS((1+AS_Wage)/(1+Slot20_Rate)-1)&lt;0.000000000001,(Slot20_Age-D64)*(1+Slot20_Rate)^(Slot20_Age-D64),(1+Slot20_Rate)^(Slot20_Age-D64)*(1-((1+AS_Wage)/(1+Slot20_Rate))^(Slot20_Age-D64))/(1-(1+AS_Wage)/(1+Slot20_Rate))),1)</f>
        <v>1</v>
      </c>
      <c r="OC64" s="20" t="n">
        <f aca="false">IF(AND(HU64=1,IE64&gt;0,Slot20_IsWG=1,HF64=1),MAX(0,(Slot20_Cost-HG64*(1+Slot20_Rate)^(Slot20_Age-D64))/OB64),0)</f>
        <v>0</v>
      </c>
      <c r="OD64" s="20" t="n">
        <f aca="false">IF(AND(HU64=1,IE64&gt;0,Slot20_IsWG=1,HF64=1),MIN(IE64,OC64),0)</f>
        <v>0</v>
      </c>
      <c r="OE64" s="20" t="n">
        <f aca="false">HG64+OD64</f>
        <v>0</v>
      </c>
      <c r="OF64" s="20" t="n">
        <f aca="false">IF(HF64=1,MAX(0,(Slot20_Cost-OE64*(1+Slot20_Rate)^(Slot20_Age-D64))/OB64),0)</f>
        <v>0</v>
      </c>
      <c r="OG64" s="20" t="n">
        <f aca="false">IF(HF64=1,MAX(0,(Slot20_Cost-HG64*(1+Slot20_Rate)^(Slot20_Age-D64))/OB64),0)</f>
        <v>0</v>
      </c>
      <c r="OH64" s="20" t="n">
        <f aca="false">IF(AND(HU64=1,HF64=1),MIN(OA64,OF64),0)</f>
        <v>0</v>
      </c>
      <c r="OI64" s="20" t="n">
        <f aca="false">OA64-OH64</f>
        <v>0</v>
      </c>
      <c r="OJ64" s="20" t="n">
        <f aca="false">IE64-(IH64+IP64+IX64+JF64+JN64+JV64+KD64+KL64+KT64+LB64+LJ64+LR64+LZ64+MH64+MP64+MX64+NF64+NN64+NV64+OD64)</f>
        <v>0</v>
      </c>
      <c r="OK64" s="20" t="n">
        <f aca="false">IF(HU64=1,HS64-ID64-IE64,0)</f>
        <v>0</v>
      </c>
      <c r="OL64" s="20" t="n">
        <f aca="false">IF(HU64=0,-HS64,0)</f>
        <v>29192.1665998929</v>
      </c>
      <c r="OM64" s="20" t="n">
        <f aca="false">MIN(OL64,HK64)</f>
        <v>0</v>
      </c>
      <c r="ON64" s="20" t="n">
        <f aca="false">OL64-OM64</f>
        <v>29192.1665998929</v>
      </c>
      <c r="OO64" s="20" t="n">
        <f aca="false">MIN(ON64,HL64)</f>
        <v>0</v>
      </c>
      <c r="OP64" s="20" t="n">
        <f aca="false">ON64-OO64</f>
        <v>29192.1665998929</v>
      </c>
      <c r="OQ64" s="20" t="n">
        <f aca="false">IF(AND(HU64=0,HF64=1,OP64&gt;0),MIN(OP64,HG64),0)</f>
        <v>0</v>
      </c>
      <c r="OR64" s="20" t="n">
        <f aca="false">OP64-OQ64</f>
        <v>29192.1665998929</v>
      </c>
      <c r="OS64" s="20" t="n">
        <f aca="false">IF(AND(HU64=0,GV64=1,OR64&gt;0),MIN(OR64,GW64),0)</f>
        <v>0</v>
      </c>
      <c r="OT64" s="20" t="n">
        <f aca="false">OR64-OS64</f>
        <v>29192.1665998929</v>
      </c>
      <c r="OU64" s="20" t="n">
        <f aca="false">IF(AND(HU64=0,GL64=1,OT64&gt;0),MIN(OT64,GM64),0)</f>
        <v>0</v>
      </c>
      <c r="OV64" s="20" t="n">
        <f aca="false">OT64-OU64</f>
        <v>29192.1665998929</v>
      </c>
      <c r="OW64" s="20" t="n">
        <f aca="false">IF(AND(HU64=0,GB64=1,OV64&gt;0),MIN(OV64,GC64),0)</f>
        <v>0</v>
      </c>
      <c r="OX64" s="20" t="n">
        <f aca="false">OV64-OW64</f>
        <v>29192.1665998929</v>
      </c>
      <c r="OY64" s="20" t="n">
        <f aca="false">IF(AND(HU64=0,FR64=1,OX64&gt;0),MIN(OX64,FS64),0)</f>
        <v>0</v>
      </c>
      <c r="OZ64" s="20" t="n">
        <f aca="false">OX64-OY64</f>
        <v>29192.1665998929</v>
      </c>
      <c r="PA64" s="20" t="n">
        <f aca="false">IF(AND(HU64=0,FH64=1,OZ64&gt;0),MIN(OZ64,FI64),0)</f>
        <v>0</v>
      </c>
      <c r="PB64" s="20" t="n">
        <f aca="false">OZ64-PA64</f>
        <v>29192.1665998929</v>
      </c>
      <c r="PC64" s="20" t="n">
        <f aca="false">IF(AND(HU64=0,EX64=1,PB64&gt;0),MIN(PB64,EY64),0)</f>
        <v>0</v>
      </c>
      <c r="PD64" s="20" t="n">
        <f aca="false">PB64-PC64</f>
        <v>29192.1665998929</v>
      </c>
      <c r="PE64" s="20" t="n">
        <f aca="false">IF(AND(HU64=0,EN64=1,PD64&gt;0),MIN(PD64,EO64),0)</f>
        <v>0</v>
      </c>
      <c r="PF64" s="20" t="n">
        <f aca="false">PD64-PE64</f>
        <v>29192.1665998929</v>
      </c>
      <c r="PG64" s="20" t="n">
        <f aca="false">IF(AND(HU64=0,ED64=1,PF64&gt;0),MIN(PF64,EE64),0)</f>
        <v>0</v>
      </c>
      <c r="PH64" s="20" t="n">
        <f aca="false">PF64-PG64</f>
        <v>29192.1665998929</v>
      </c>
      <c r="PI64" s="20" t="n">
        <f aca="false">IF(AND(HU64=0,DT64=1,PH64&gt;0),MIN(PH64,DU64),0)</f>
        <v>0</v>
      </c>
      <c r="PJ64" s="20" t="n">
        <f aca="false">PH64-PI64</f>
        <v>29192.1665998929</v>
      </c>
      <c r="PK64" s="20" t="n">
        <f aca="false">IF(AND(HU64=0,DJ64=1,PJ64&gt;0),MIN(PJ64,DK64),0)</f>
        <v>0</v>
      </c>
      <c r="PL64" s="20" t="n">
        <f aca="false">PJ64-PK64</f>
        <v>29192.1665998929</v>
      </c>
      <c r="PM64" s="20" t="n">
        <f aca="false">IF(AND(HU64=0,CZ64=1,PL64&gt;0),MIN(PL64,DA64),0)</f>
        <v>0</v>
      </c>
      <c r="PN64" s="20" t="n">
        <f aca="false">PL64-PM64</f>
        <v>29192.1665998929</v>
      </c>
      <c r="PO64" s="20" t="n">
        <f aca="false">IF(AND(HU64=0,CP64=1,PN64&gt;0),MIN(PN64,CQ64),0)</f>
        <v>0</v>
      </c>
      <c r="PP64" s="20" t="n">
        <f aca="false">PN64-PO64</f>
        <v>29192.1665998929</v>
      </c>
      <c r="PQ64" s="20" t="n">
        <f aca="false">IF(AND(HU64=0,CF64=1,PP64&gt;0),MIN(PP64,CG64),0)</f>
        <v>0</v>
      </c>
      <c r="PR64" s="20" t="n">
        <f aca="false">PP64-PQ64</f>
        <v>29192.1665998929</v>
      </c>
      <c r="PS64" s="20" t="n">
        <f aca="false">IF(AND(HU64=0,BV64=1,PR64&gt;0),MIN(PR64,BW64),0)</f>
        <v>0</v>
      </c>
      <c r="PT64" s="20" t="n">
        <f aca="false">PR64-PS64</f>
        <v>29192.1665998929</v>
      </c>
      <c r="PU64" s="20" t="n">
        <f aca="false">IF(AND(HU64=0,BL64=1,PT64&gt;0),MIN(PT64,BM64),0)</f>
        <v>0</v>
      </c>
      <c r="PV64" s="20" t="n">
        <f aca="false">PT64-PU64</f>
        <v>29192.1665998929</v>
      </c>
      <c r="PW64" s="20" t="n">
        <f aca="false">IF(AND(HU64=0,BB64=1,PV64&gt;0),MIN(PV64,BC64),0)</f>
        <v>0</v>
      </c>
      <c r="PX64" s="20" t="n">
        <f aca="false">PV64-PW64</f>
        <v>29192.1665998929</v>
      </c>
      <c r="PY64" s="20" t="n">
        <f aca="false">IF(AND(HU64=0,AR64=1,PX64&gt;0),MIN(PX64,AS64),0)</f>
        <v>0</v>
      </c>
      <c r="PZ64" s="20" t="n">
        <f aca="false">PX64-PY64</f>
        <v>29192.1665998929</v>
      </c>
      <c r="QA64" s="20" t="n">
        <f aca="false">IF(AND(HU64=0,AH64=1,PZ64&gt;0),MIN(PZ64,AI64),0)</f>
        <v>0</v>
      </c>
      <c r="QB64" s="20" t="n">
        <f aca="false">PZ64-QA64</f>
        <v>29192.1665998929</v>
      </c>
      <c r="QC64" s="20" t="n">
        <f aca="false">IF(AND(HU64=0,W64=1,QB64&gt;0),MIN(QB64,X64),0)</f>
        <v>0</v>
      </c>
      <c r="QD64" s="20" t="n">
        <f aca="false">QB64-QC64</f>
        <v>29192.1665998929</v>
      </c>
      <c r="QE64" s="20" t="n">
        <f aca="false">IF(HU64=0,QD64,0)</f>
        <v>29192.1665998929</v>
      </c>
      <c r="QF64" s="20" t="n">
        <f aca="false">OM64+OO64+QC64+QA64+PY64+PW64+PU64+PS64+PQ64+PO64+PM64+PK64+PI64+PG64+PE64+PC64+PA64+OY64+OW64+OU64+OS64+OQ64</f>
        <v>0</v>
      </c>
      <c r="QG64" s="20" t="n">
        <f aca="false">IF(HU64=1,HK64+OJ64+OI64+IF(G64=1,0,OK64),HK64-OM64)</f>
        <v>0</v>
      </c>
      <c r="QH64" s="20" t="n">
        <f aca="false">HL64-OO64</f>
        <v>0</v>
      </c>
      <c r="QI64" s="20" t="n">
        <f aca="false">IF(HU64=1,IF(G64=1,ID64+IE64,HS64),0)</f>
        <v>0</v>
      </c>
      <c r="QJ64" s="20" t="n">
        <f aca="false">IF(HU64=1,IF(G64=1,HS64-ID64-IE64,0),0)</f>
        <v>0</v>
      </c>
      <c r="QK64" s="20" t="n">
        <f aca="false">QG64*(1+GR)</f>
        <v>0</v>
      </c>
      <c r="QL64" s="20" t="n">
        <f aca="false">QH64*(1+AS_Cash)</f>
        <v>0</v>
      </c>
      <c r="QM64" s="20" t="n">
        <f aca="false">IF(W64=1,IF(HU64=1,II64+IL64,X64-QC64)*(1+Slot1_Rate),0)</f>
        <v>0</v>
      </c>
      <c r="QN64" s="20" t="n">
        <f aca="false">IF(AND(HU64=1,W64=1),(IH64+IL64)/F64,0)</f>
        <v>0</v>
      </c>
      <c r="QO64" s="20" t="n">
        <f aca="false">IF(B64=0,IH64+IL64,0)</f>
        <v>0</v>
      </c>
      <c r="QP64" s="20" t="n">
        <f aca="false">IF(B64=0,IF(HU64=1,IJ64,IK64),0)</f>
        <v>0</v>
      </c>
      <c r="QQ64" s="20" t="n">
        <f aca="false">IF(AH64=1,IF(HU64=1,IQ64+IT64,AI64-QA64)*(1+Slot2_Rate),0)</f>
        <v>0</v>
      </c>
      <c r="QR64" s="20" t="n">
        <f aca="false">IF(AND(HU64=1,AH64=1),(IP64+IT64)/F64,0)</f>
        <v>0</v>
      </c>
      <c r="QS64" s="20" t="n">
        <f aca="false">IF(B64=0,IP64+IT64,0)</f>
        <v>0</v>
      </c>
      <c r="QT64" s="20" t="n">
        <f aca="false">IF(B64=0,IF(HU64=1,IR64,IS64),0)</f>
        <v>0</v>
      </c>
      <c r="QU64" s="20" t="n">
        <f aca="false">IF(AR64=1,IF(HU64=1,IY64+JB64,AS64-PY64)*(1+Slot3_Rate),0)</f>
        <v>0</v>
      </c>
      <c r="QV64" s="20" t="n">
        <f aca="false">IF(AND(HU64=1,AR64=1),(IX64+JB64)/F64,0)</f>
        <v>0</v>
      </c>
      <c r="QW64" s="20" t="n">
        <f aca="false">IF(B64=0,IX64+JB64,0)</f>
        <v>0</v>
      </c>
      <c r="QX64" s="20" t="n">
        <f aca="false">IF(B64=0,IF(HU64=1,IZ64,JA64),0)</f>
        <v>0</v>
      </c>
      <c r="QY64" s="20" t="n">
        <f aca="false">IF(BB64=1,IF(HU64=1,JG64+JJ64,BC64-PW64)*(1+Slot4_Rate),0)</f>
        <v>0</v>
      </c>
      <c r="QZ64" s="20" t="n">
        <f aca="false">IF(AND(HU64=1,BB64=1),(JF64+JJ64)/F64,0)</f>
        <v>0</v>
      </c>
      <c r="RA64" s="20" t="n">
        <f aca="false">IF(B64=0,JF64+JJ64,0)</f>
        <v>0</v>
      </c>
      <c r="RB64" s="20" t="n">
        <f aca="false">IF(B64=0,IF(HU64=1,JH64,JI64),0)</f>
        <v>0</v>
      </c>
      <c r="RC64" s="20" t="n">
        <f aca="false">IF(BL64=1,IF(HU64=1,JO64+JR64,BM64-PU64)*(1+Slot5_Rate),0)</f>
        <v>0</v>
      </c>
      <c r="RD64" s="20" t="n">
        <f aca="false">IF(AND(HU64=1,BL64=1),(JN64+JR64)/F64,0)</f>
        <v>0</v>
      </c>
      <c r="RE64" s="20" t="n">
        <f aca="false">IF(B64=0,JN64+JR64,0)</f>
        <v>0</v>
      </c>
      <c r="RF64" s="20" t="n">
        <f aca="false">IF(B64=0,IF(HU64=1,JP64,JQ64),0)</f>
        <v>0</v>
      </c>
      <c r="RG64" s="20" t="n">
        <f aca="false">IF(BV64=1,IF(HU64=1,JW64+JZ64,BW64-PS64)*(1+Slot6_Rate),0)</f>
        <v>0</v>
      </c>
      <c r="RH64" s="20" t="n">
        <f aca="false">IF(AND(HU64=1,BV64=1),(JV64+JZ64)/F64,0)</f>
        <v>0</v>
      </c>
      <c r="RI64" s="20" t="n">
        <f aca="false">IF(B64=0,JV64+JZ64,0)</f>
        <v>0</v>
      </c>
      <c r="RJ64" s="20" t="n">
        <f aca="false">IF(B64=0,IF(HU64=1,JX64,JY64),0)</f>
        <v>0</v>
      </c>
      <c r="RK64" s="20" t="n">
        <f aca="false">IF(CF64=1,IF(HU64=1,KE64+KH64,CG64-PQ64)*(1+Slot7_Rate),0)</f>
        <v>0</v>
      </c>
      <c r="RL64" s="20" t="n">
        <f aca="false">IF(AND(HU64=1,CF64=1),(KD64+KH64)/F64,0)</f>
        <v>0</v>
      </c>
      <c r="RM64" s="20" t="n">
        <f aca="false">IF(B64=0,KD64+KH64,0)</f>
        <v>0</v>
      </c>
      <c r="RN64" s="20" t="n">
        <f aca="false">IF(B64=0,IF(HU64=1,KF64,KG64),0)</f>
        <v>0</v>
      </c>
      <c r="RO64" s="20" t="n">
        <f aca="false">IF(CP64=1,IF(HU64=1,KM64+KP64,CQ64-PO64)*(1+Slot8_Rate),0)</f>
        <v>0</v>
      </c>
      <c r="RP64" s="20" t="n">
        <f aca="false">IF(AND(HU64=1,CP64=1),(KL64+KP64)/F64,0)</f>
        <v>0</v>
      </c>
      <c r="RQ64" s="20" t="n">
        <f aca="false">IF(B64=0,KL64+KP64,0)</f>
        <v>0</v>
      </c>
      <c r="RR64" s="20" t="n">
        <f aca="false">IF(B64=0,IF(HU64=1,KN64,KO64),0)</f>
        <v>0</v>
      </c>
      <c r="RS64" s="20" t="n">
        <f aca="false">IF(CZ64=1,IF(HU64=1,KU64+KX64,DA64-PM64)*(1+Slot9_Rate),0)</f>
        <v>0</v>
      </c>
      <c r="RT64" s="20" t="n">
        <f aca="false">IF(AND(HU64=1,CZ64=1),(KT64+KX64)/F64,0)</f>
        <v>0</v>
      </c>
      <c r="RU64" s="20" t="n">
        <f aca="false">IF(B64=0,KT64+KX64,0)</f>
        <v>0</v>
      </c>
      <c r="RV64" s="20" t="n">
        <f aca="false">IF(B64=0,IF(HU64=1,KV64,KW64),0)</f>
        <v>0</v>
      </c>
      <c r="RW64" s="20" t="n">
        <f aca="false">IF(DJ64=1,IF(HU64=1,LC64+LF64,DK64-PK64)*(1+Slot10_Rate),0)</f>
        <v>0</v>
      </c>
      <c r="RX64" s="20" t="n">
        <f aca="false">IF(AND(HU64=1,DJ64=1),(LB64+LF64)/F64,0)</f>
        <v>0</v>
      </c>
      <c r="RY64" s="20" t="n">
        <f aca="false">IF(B64=0,LB64+LF64,0)</f>
        <v>0</v>
      </c>
      <c r="RZ64" s="20" t="n">
        <f aca="false">IF(B64=0,IF(HU64=1,LD64,LE64),0)</f>
        <v>0</v>
      </c>
      <c r="SA64" s="20" t="n">
        <f aca="false">IF(DT64=1,IF(HU64=1,LK64+LN64,DU64-PI64)*(1+Slot11_Rate),0)</f>
        <v>0</v>
      </c>
      <c r="SB64" s="20" t="n">
        <f aca="false">IF(AND(HU64=1,DT64=1),(LJ64+LN64)/F64,0)</f>
        <v>0</v>
      </c>
      <c r="SC64" s="20" t="n">
        <f aca="false">IF(B64=0,LJ64+LN64,0)</f>
        <v>0</v>
      </c>
      <c r="SD64" s="20" t="n">
        <f aca="false">IF(B64=0,IF(HU64=1,LL64,LM64),0)</f>
        <v>0</v>
      </c>
      <c r="SE64" s="20" t="n">
        <f aca="false">IF(ED64=1,IF(HU64=1,LS64+LV64,EE64-PG64)*(1+Slot12_Rate),0)</f>
        <v>0</v>
      </c>
      <c r="SF64" s="20" t="n">
        <f aca="false">IF(AND(HU64=1,ED64=1),(LR64+LV64)/F64,0)</f>
        <v>0</v>
      </c>
      <c r="SG64" s="20" t="n">
        <f aca="false">IF(B64=0,LR64+LV64,0)</f>
        <v>0</v>
      </c>
      <c r="SH64" s="20" t="n">
        <f aca="false">IF(B64=0,IF(HU64=1,LT64,LU64),0)</f>
        <v>0</v>
      </c>
      <c r="SI64" s="20" t="n">
        <f aca="false">IF(EN64=1,IF(HU64=1,MA64+MD64,EO64-PE64)*(1+Slot13_Rate),0)</f>
        <v>0</v>
      </c>
      <c r="SJ64" s="20" t="n">
        <f aca="false">IF(AND(HU64=1,EN64=1),(LZ64+MD64)/F64,0)</f>
        <v>0</v>
      </c>
      <c r="SK64" s="20" t="n">
        <f aca="false">IF(B64=0,LZ64+MD64,0)</f>
        <v>0</v>
      </c>
      <c r="SL64" s="20" t="n">
        <f aca="false">IF(B64=0,IF(HU64=1,MB64,MC64),0)</f>
        <v>0</v>
      </c>
      <c r="SM64" s="20" t="n">
        <f aca="false">IF(EX64=1,IF(HU64=1,MI64+ML64,EY64-PC64)*(1+Slot14_Rate),0)</f>
        <v>0</v>
      </c>
      <c r="SN64" s="20" t="n">
        <f aca="false">IF(AND(HU64=1,EX64=1),(MH64+ML64)/F64,0)</f>
        <v>0</v>
      </c>
      <c r="SO64" s="20" t="n">
        <f aca="false">IF(B64=0,MH64+ML64,0)</f>
        <v>0</v>
      </c>
      <c r="SP64" s="20" t="n">
        <f aca="false">IF(B64=0,IF(HU64=1,MJ64,MK64),0)</f>
        <v>0</v>
      </c>
      <c r="SQ64" s="20" t="n">
        <f aca="false">IF(FH64=1,IF(HU64=1,MQ64+MT64,FI64-PA64)*(1+Slot15_Rate),0)</f>
        <v>0</v>
      </c>
      <c r="SR64" s="20" t="n">
        <f aca="false">IF(AND(HU64=1,FH64=1),(MP64+MT64)/F64,0)</f>
        <v>0</v>
      </c>
      <c r="SS64" s="20" t="n">
        <f aca="false">IF(B64=0,MP64+MT64,0)</f>
        <v>0</v>
      </c>
      <c r="ST64" s="20" t="n">
        <f aca="false">IF(B64=0,IF(HU64=1,MR64,MS64),0)</f>
        <v>0</v>
      </c>
      <c r="SU64" s="20" t="n">
        <f aca="false">IF(FR64=1,IF(HU64=1,MY64+NB64,FS64-OY64)*(1+Slot16_Rate),0)</f>
        <v>0</v>
      </c>
      <c r="SV64" s="20" t="n">
        <f aca="false">IF(AND(HU64=1,FR64=1),(MX64+NB64)/F64,0)</f>
        <v>0</v>
      </c>
      <c r="SW64" s="20" t="n">
        <f aca="false">IF(B64=0,MX64+NB64,0)</f>
        <v>0</v>
      </c>
      <c r="SX64" s="20" t="n">
        <f aca="false">IF(B64=0,IF(HU64=1,MZ64,NA64),0)</f>
        <v>0</v>
      </c>
      <c r="SY64" s="20" t="n">
        <f aca="false">IF(GB64=1,IF(HU64=1,NG64+NJ64,GC64-OW64)*(1+Slot17_Rate),0)</f>
        <v>0</v>
      </c>
      <c r="SZ64" s="20" t="n">
        <f aca="false">IF(AND(HU64=1,GB64=1),(NF64+NJ64)/F64,0)</f>
        <v>0</v>
      </c>
      <c r="TA64" s="20" t="n">
        <f aca="false">IF(B64=0,NF64+NJ64,0)</f>
        <v>0</v>
      </c>
      <c r="TB64" s="20" t="n">
        <f aca="false">IF(B64=0,IF(HU64=1,NH64,NI64),0)</f>
        <v>0</v>
      </c>
      <c r="TC64" s="20" t="n">
        <f aca="false">IF(GL64=1,IF(HU64=1,NO64+NR64,GM64-OU64)*(1+Slot18_Rate),0)</f>
        <v>0</v>
      </c>
      <c r="TD64" s="20" t="n">
        <f aca="false">IF(AND(HU64=1,GL64=1),(NN64+NR64)/F64,0)</f>
        <v>0</v>
      </c>
      <c r="TE64" s="20" t="n">
        <f aca="false">IF(B64=0,NN64+NR64,0)</f>
        <v>0</v>
      </c>
      <c r="TF64" s="20" t="n">
        <f aca="false">IF(B64=0,IF(HU64=1,NP64,NQ64),0)</f>
        <v>0</v>
      </c>
      <c r="TG64" s="20" t="n">
        <f aca="false">IF(GV64=1,IF(HU64=1,NW64+NZ64,GW64-OS64)*(1+Slot19_Rate),0)</f>
        <v>0</v>
      </c>
      <c r="TH64" s="20" t="n">
        <f aca="false">IF(AND(HU64=1,GV64=1),(NV64+NZ64)/F64,0)</f>
        <v>0</v>
      </c>
      <c r="TI64" s="20" t="n">
        <f aca="false">IF(B64=0,NV64+NZ64,0)</f>
        <v>0</v>
      </c>
      <c r="TJ64" s="20" t="n">
        <f aca="false">IF(B64=0,IF(HU64=1,NX64,NY64),0)</f>
        <v>0</v>
      </c>
      <c r="TK64" s="20" t="n">
        <f aca="false">IF(HF64=1,IF(HU64=1,OE64+OH64,HG64-OQ64)*(1+Slot20_Rate),0)</f>
        <v>0</v>
      </c>
      <c r="TL64" s="20" t="n">
        <f aca="false">IF(AND(HU64=1,HF64=1),(OD64+OH64)/F64,0)</f>
        <v>0</v>
      </c>
      <c r="TM64" s="20" t="n">
        <f aca="false">IF(B64=0,OD64+OH64,0)</f>
        <v>0</v>
      </c>
      <c r="TN64" s="20" t="n">
        <f aca="false">IF(B64=0,IF(HU64=1,OF64,OG64),0)</f>
        <v>0</v>
      </c>
      <c r="TO64" s="20" t="n">
        <f aca="false">QK64+QL64+QM64+QQ64+QU64+QY64+RC64+RG64+RK64+RO64+RS64+RW64+SA64+SE64+SI64+SM64+SQ64+SU64+SY64+TC64+TG64+TK64</f>
        <v>0</v>
      </c>
      <c r="TP64" s="20" t="n">
        <f aca="false">QE64+HP64</f>
        <v>29192.1665998929</v>
      </c>
      <c r="TQ64" s="20" t="n">
        <f aca="false">I64+S64</f>
        <v>144889.700693914</v>
      </c>
      <c r="TR64" s="20" t="n">
        <f aca="false">1-G64</f>
        <v>1</v>
      </c>
      <c r="TS64" s="20" t="n">
        <f aca="false">IF(AND(RG_Exists=1,G64=0,C64=1),I64,0)</f>
        <v>144889.700693914</v>
      </c>
      <c r="TT64" s="20" t="n">
        <f aca="false">IF(AND(RG_Exists=1,G64=0,C64=1),I64-MIN(QE64,I64),0)</f>
        <v>115697.534094021</v>
      </c>
      <c r="TU64" s="20" t="n">
        <f aca="false">'Plan pay &amp; tax'!AD290</f>
        <v>33637.1146987148</v>
      </c>
      <c r="TV64" s="20" t="n">
        <f aca="false">IF(AND(C64=1,QE64&gt;MAX(PR_Short1,TQ64*PR_Short2)),1,0)</f>
        <v>1</v>
      </c>
      <c r="TW64" s="20" t="n">
        <f aca="false">MIN(H64,I64+S64)</f>
        <v>115697.534094021</v>
      </c>
      <c r="TX64" s="20" t="n">
        <f aca="false">QF64+MAX(0,HQ64-HP64)</f>
        <v>0</v>
      </c>
      <c r="TY64" s="20" t="n">
        <f aca="false">QE64+HP64</f>
        <v>29192.1665998929</v>
      </c>
      <c r="TZ64" s="20" t="n">
        <f aca="false">IF(AND(C64=1,TY64&gt;PR_MinShort),1,0)</f>
        <v>1</v>
      </c>
      <c r="UA64" s="20" t="n">
        <f aca="false">IF(AND(C64=1,TZ64=0,TX64&gt;PR_MinShort),1,0)</f>
        <v>0</v>
      </c>
      <c r="UB64" s="20" t="n">
        <f aca="false">IF(AND(C64=1,QE64&gt;PR_MinShort),1,0)</f>
        <v>1</v>
      </c>
      <c r="UC64" s="20" t="n">
        <f aca="false">IF(AND(C64=1,QF64&gt;1,UJ64=0),1,0)</f>
        <v>0</v>
      </c>
      <c r="UD64" s="20" t="str">
        <f aca="false">IF(C64=0,"",IF(UJ64=1,"Gap to plan for: short "&amp;"€"&amp;TEXT(ROUND(TP64,0),"#,##0"),IF(QF64&gt;1,"Using savings","Comfortable")))</f>
        <v>Gap to plan for: short €29,192</v>
      </c>
      <c r="UE64" s="20" t="n">
        <f aca="false">IF(AND(INT(D64/10)*10=90,B64&gt;0),80,INT(D64/10)*10)</f>
        <v>80</v>
      </c>
      <c r="UF64" s="20" t="n">
        <f aca="false">IF(B64=0,1,IF(UE64&lt;&gt;UE63,UF63+1,UF63))</f>
        <v>6</v>
      </c>
      <c r="UG64" s="20" t="n">
        <f aca="false">IF(AND(C64=1,G64=1,QE64&gt;MAX(PR_Short1,TQ64*PR_Short2)),1,0)</f>
        <v>0</v>
      </c>
      <c r="UH64" s="20" t="n">
        <f aca="false">TR64*TV64</f>
        <v>1</v>
      </c>
      <c r="UI64" s="20" t="n">
        <f aca="false">IF(AND(V64=1,Slot1_PctLow=1),1,0)+IF(AND(AG64=1,Slot2_PctLow=1),1,0)+IF(AND(AQ64=1,Slot3_PctLow=1),1,0)+IF(AND(BA64=1,Slot4_PctLow=1),1,0)+IF(AND(BK64=1,Slot5_PctLow=1),1,0)+IF(AND(BU64=1,Slot6_PctLow=1),1,0)+IF(AND(CE64=1,Slot7_PctLow=1),1,0)+IF(AND(CO64=1,Slot8_PctLow=1),1,0)+IF(AND(CY64=1,Slot9_PctLow=1),1,0)+IF(AND(DI64=1,Slot10_PctLow=1),1,0)+IF(AND(DS64=1,Slot11_PctLow=1),1,0)+IF(AND(EC64=1,Slot12_PctLow=1),1,0)+IF(AND(EM64=1,Slot13_PctLow=1),1,0)+IF(AND(EW64=1,Slot14_PctLow=1),1,0)+IF(AND(FG64=1,Slot15_PctLow=1),1,0)+IF(AND(FQ64=1,Slot16_PctLow=1),1,0)+IF(AND(GA64=1,Slot17_PctLow=1),1,0)+IF(AND(GK64=1,Slot18_PctLow=1),1,0)+IF(AND(GU64=1,Slot19_PctLow=1),1,0)+IF(AND(HE64=1,Slot20_PctLow=1),1,0)</f>
        <v>0</v>
      </c>
      <c r="UJ64" s="20" t="n">
        <f aca="false">IF(C64=1,IF(OR(TV64=1,UI64&gt;0),1,0),0)</f>
        <v>1</v>
      </c>
    </row>
    <row r="65" customFormat="false" ht="15" hidden="false" customHeight="true" outlineLevel="0" collapsed="false">
      <c r="B65" s="20" t="n">
        <v>57</v>
      </c>
      <c r="C65" s="20" t="n">
        <f aca="false">IF(B65&lt;=F_N,1,0)</f>
        <v>1</v>
      </c>
      <c r="D65" s="20" t="n">
        <f aca="false">'Plan pay &amp; tax'!C291</f>
        <v>95</v>
      </c>
      <c r="E65" s="20" t="str">
        <f aca="false">IF($C65=1,"Income tax "&amp;TEXT(N('Plan pay &amp; tax'!BK291),"#,##0")&amp;"; USC "&amp;TEXT(N('Plan pay &amp; tax'!BM291)+N('Plan pay &amp; tax'!BO291),"#,##0")&amp;"; PRSI "&amp;TEXT(N('Plan pay &amp; tax'!BP291)+N('Plan pay &amp; tax'!BQ291),"#,##0")&amp;". DIRT and exit tax are inside the growth rates here.","")</f>
        <v>Income tax 1,148; USC 0; PRSI 0. DIRT and exit tax are inside the growth rates here.</v>
      </c>
      <c r="F65" s="44" t="n">
        <f aca="false">'Plan pay &amp; tax'!E291</f>
        <v>3.09178859221323</v>
      </c>
      <c r="G65" s="20" t="n">
        <f aca="false">'Plan pay &amp; tax'!G291</f>
        <v>0</v>
      </c>
      <c r="H65" s="20" t="n">
        <f aca="false">'Plan pay &amp; tax'!BT291-'Plan pay &amp; tax'!BS291-'Plan pay &amp; tax'!R291</f>
        <v>118311.495881309</v>
      </c>
      <c r="I65" s="20" t="n">
        <f aca="false">IF(G65=1,F_CostsM*12,IF(RG_Exists=1,RG_Amount,F_CostsM*12*AS_RetireSpend))*F65+F_OneOffY*F65</f>
        <v>147787.494707792</v>
      </c>
      <c r="J65" s="20" t="n">
        <f aca="false">HR64</f>
        <v>0</v>
      </c>
      <c r="K65" s="20" t="n">
        <f aca="false">IF(J65&gt;1,'Plan debt months'!AC65,0)</f>
        <v>0</v>
      </c>
      <c r="L65" s="20" t="n">
        <f aca="false">IF(J65&gt;1,'Plan debt months'!AB65,J65)</f>
        <v>0</v>
      </c>
      <c r="M65" s="20" t="n">
        <f aca="false">O64</f>
        <v>0</v>
      </c>
      <c r="N65" s="20" t="n">
        <f aca="false">IF(M65&gt;1,'Plan debt months'!BD65,0)</f>
        <v>0</v>
      </c>
      <c r="O65" s="20" t="n">
        <f aca="false">IF(M65&gt;1,'Plan debt months'!BC65,M65)</f>
        <v>0</v>
      </c>
      <c r="P65" s="20" t="n">
        <f aca="false">R64</f>
        <v>0</v>
      </c>
      <c r="Q65" s="20" t="n">
        <f aca="false">IF(P65&gt;1,'Plan debt months'!CE65,0)</f>
        <v>0</v>
      </c>
      <c r="R65" s="20" t="n">
        <f aca="false">IF(P65&gt;1,'Plan debt months'!CD65,P65)</f>
        <v>0</v>
      </c>
      <c r="S65" s="20" t="n">
        <f aca="false">K65+N65+Q65</f>
        <v>0</v>
      </c>
      <c r="T65" s="20" t="n">
        <f aca="false">QK64+'Plan pay &amp; tax'!Y291</f>
        <v>0</v>
      </c>
      <c r="U65" s="20" t="n">
        <f aca="false">QK64</f>
        <v>0</v>
      </c>
      <c r="V65" s="20" t="n">
        <f aca="false">IF(AND(Slot1_On=1,D65=Slot1_Age),1,0)</f>
        <v>0</v>
      </c>
      <c r="W65" s="20" t="n">
        <f aca="false">IF(AND(Slot1_On=1,Slot1_Age&gt;D65),1,0)</f>
        <v>0</v>
      </c>
      <c r="X65" s="20" t="n">
        <f aca="false">QM64</f>
        <v>0</v>
      </c>
      <c r="Y65" s="20" t="n">
        <f aca="false">V65*MIN(Slot1_Cost,X65)</f>
        <v>0</v>
      </c>
      <c r="Z65" s="20" t="n">
        <f aca="false">V65*Slot1_SpendLike*MIN(Slot1_Cost-Y65,T65)</f>
        <v>0</v>
      </c>
      <c r="AA65" s="20" t="n">
        <f aca="false">Y65+Z65</f>
        <v>0</v>
      </c>
      <c r="AB65" s="20" t="n">
        <f aca="false">T65-Z65+V65*IF(Slot1_SpendLike=1,X65-Y65,IF(Slot1_PotFree=1,X65,0))</f>
        <v>0</v>
      </c>
      <c r="AC65" s="20" t="n">
        <f aca="false">AF65+V65*Slot1_BufPot*X65</f>
        <v>0</v>
      </c>
      <c r="AD65" s="20" t="n">
        <f aca="false">IF(AND(V65=1,Slot1_IsMfree=1),IF(AA65&gt;=Slot1_Cost-1,0,MAX(0,L65-AA65)),L65)</f>
        <v>0</v>
      </c>
      <c r="AE65" s="20" t="n">
        <f aca="false">V65*(Slot1_Cost-AA65)</f>
        <v>0</v>
      </c>
      <c r="AF65" s="20" t="n">
        <f aca="false">QL64</f>
        <v>0</v>
      </c>
      <c r="AG65" s="20" t="n">
        <f aca="false">IF(AND(Slot2_On=1,D65=Slot2_Age),1,0)</f>
        <v>0</v>
      </c>
      <c r="AH65" s="20" t="n">
        <f aca="false">IF(AND(Slot2_On=1,Slot2_Age&gt;D65),1,0)</f>
        <v>0</v>
      </c>
      <c r="AI65" s="20" t="n">
        <f aca="false">QQ64</f>
        <v>0</v>
      </c>
      <c r="AJ65" s="20" t="n">
        <f aca="false">AG65*MIN(Slot2_Cost,AI65)</f>
        <v>0</v>
      </c>
      <c r="AK65" s="20" t="n">
        <f aca="false">AG65*Slot2_SpendLike*MIN(Slot2_Cost-AJ65,AB65)</f>
        <v>0</v>
      </c>
      <c r="AL65" s="20" t="n">
        <f aca="false">AJ65+AK65</f>
        <v>0</v>
      </c>
      <c r="AM65" s="20" t="n">
        <f aca="false">AB65-AK65+AG65*IF(Slot2_SpendLike=1,AI65-AJ65,IF(Slot2_PotFree=1,AI65,0))</f>
        <v>0</v>
      </c>
      <c r="AN65" s="20" t="n">
        <f aca="false">AC65+AG65*Slot2_BufPot*AI65</f>
        <v>0</v>
      </c>
      <c r="AO65" s="20" t="n">
        <f aca="false">IF(AND(AG65=1,Slot2_IsMfree=1),IF(AL65&gt;=Slot2_Cost-1,0,MAX(0,AD65-AL65)),AD65)</f>
        <v>0</v>
      </c>
      <c r="AP65" s="20" t="n">
        <f aca="false">AG65*(Slot2_Cost-AL65)</f>
        <v>0</v>
      </c>
      <c r="AQ65" s="20" t="n">
        <f aca="false">IF(AND(Slot3_On=1,D65=Slot3_Age),1,0)</f>
        <v>0</v>
      </c>
      <c r="AR65" s="20" t="n">
        <f aca="false">IF(AND(Slot3_On=1,Slot3_Age&gt;D65),1,0)</f>
        <v>0</v>
      </c>
      <c r="AS65" s="20" t="n">
        <f aca="false">QU64</f>
        <v>0</v>
      </c>
      <c r="AT65" s="20" t="n">
        <f aca="false">AQ65*MIN(Slot3_Cost,AS65)</f>
        <v>0</v>
      </c>
      <c r="AU65" s="20" t="n">
        <f aca="false">AQ65*Slot3_SpendLike*MIN(Slot3_Cost-AT65,AM65)</f>
        <v>0</v>
      </c>
      <c r="AV65" s="20" t="n">
        <f aca="false">AT65+AU65</f>
        <v>0</v>
      </c>
      <c r="AW65" s="20" t="n">
        <f aca="false">AM65-AU65+AQ65*IF(Slot3_SpendLike=1,AS65-AT65,IF(Slot3_PotFree=1,AS65,0))</f>
        <v>0</v>
      </c>
      <c r="AX65" s="20" t="n">
        <f aca="false">AN65+AQ65*Slot3_BufPot*AS65</f>
        <v>0</v>
      </c>
      <c r="AY65" s="20" t="n">
        <f aca="false">IF(AND(AQ65=1,Slot3_IsMfree=1),IF(AV65&gt;=Slot3_Cost-1,0,MAX(0,AO65-AV65)),AO65)</f>
        <v>0</v>
      </c>
      <c r="AZ65" s="20" t="n">
        <f aca="false">AQ65*(Slot3_Cost-AV65)</f>
        <v>0</v>
      </c>
      <c r="BA65" s="20" t="n">
        <f aca="false">IF(AND(Slot4_On=1,D65=Slot4_Age),1,0)</f>
        <v>0</v>
      </c>
      <c r="BB65" s="20" t="n">
        <f aca="false">IF(AND(Slot4_On=1,Slot4_Age&gt;D65),1,0)</f>
        <v>0</v>
      </c>
      <c r="BC65" s="20" t="n">
        <f aca="false">QY64</f>
        <v>0</v>
      </c>
      <c r="BD65" s="20" t="n">
        <f aca="false">BA65*MIN(Slot4_Cost,BC65)</f>
        <v>0</v>
      </c>
      <c r="BE65" s="20" t="n">
        <f aca="false">BA65*Slot4_SpendLike*MIN(Slot4_Cost-BD65,AW65)</f>
        <v>0</v>
      </c>
      <c r="BF65" s="20" t="n">
        <f aca="false">BD65+BE65</f>
        <v>0</v>
      </c>
      <c r="BG65" s="20" t="n">
        <f aca="false">AW65-BE65+BA65*IF(Slot4_SpendLike=1,BC65-BD65,IF(Slot4_PotFree=1,BC65,0))</f>
        <v>0</v>
      </c>
      <c r="BH65" s="20" t="n">
        <f aca="false">AX65+BA65*Slot4_BufPot*BC65</f>
        <v>0</v>
      </c>
      <c r="BI65" s="20" t="n">
        <f aca="false">IF(AND(BA65=1,Slot4_IsMfree=1),IF(BF65&gt;=Slot4_Cost-1,0,MAX(0,AY65-BF65)),AY65)</f>
        <v>0</v>
      </c>
      <c r="BJ65" s="20" t="n">
        <f aca="false">BA65*(Slot4_Cost-BF65)</f>
        <v>0</v>
      </c>
      <c r="BK65" s="20" t="n">
        <f aca="false">IF(AND(Slot5_On=1,D65=Slot5_Age),1,0)</f>
        <v>0</v>
      </c>
      <c r="BL65" s="20" t="n">
        <f aca="false">IF(AND(Slot5_On=1,Slot5_Age&gt;D65),1,0)</f>
        <v>0</v>
      </c>
      <c r="BM65" s="20" t="n">
        <f aca="false">RC64</f>
        <v>0</v>
      </c>
      <c r="BN65" s="20" t="n">
        <f aca="false">BK65*MIN(Slot5_Cost,BM65)</f>
        <v>0</v>
      </c>
      <c r="BO65" s="20" t="n">
        <f aca="false">BK65*Slot5_SpendLike*MIN(Slot5_Cost-BN65,BG65)</f>
        <v>0</v>
      </c>
      <c r="BP65" s="20" t="n">
        <f aca="false">BN65+BO65</f>
        <v>0</v>
      </c>
      <c r="BQ65" s="20" t="n">
        <f aca="false">BG65-BO65+BK65*IF(Slot5_SpendLike=1,BM65-BN65,IF(Slot5_PotFree=1,BM65,0))</f>
        <v>0</v>
      </c>
      <c r="BR65" s="20" t="n">
        <f aca="false">BH65+BK65*Slot5_BufPot*BM65</f>
        <v>0</v>
      </c>
      <c r="BS65" s="20" t="n">
        <f aca="false">IF(AND(BK65=1,Slot5_IsMfree=1),IF(BP65&gt;=Slot5_Cost-1,0,MAX(0,BI65-BP65)),BI65)</f>
        <v>0</v>
      </c>
      <c r="BT65" s="20" t="n">
        <f aca="false">BK65*(Slot5_Cost-BP65)</f>
        <v>0</v>
      </c>
      <c r="BU65" s="20" t="n">
        <f aca="false">IF(AND(Slot6_On=1,D65=Slot6_Age),1,0)</f>
        <v>0</v>
      </c>
      <c r="BV65" s="20" t="n">
        <f aca="false">IF(AND(Slot6_On=1,Slot6_Age&gt;D65),1,0)</f>
        <v>0</v>
      </c>
      <c r="BW65" s="20" t="n">
        <f aca="false">RG64</f>
        <v>0</v>
      </c>
      <c r="BX65" s="20" t="n">
        <f aca="false">BU65*MIN(Slot6_Cost,BW65)</f>
        <v>0</v>
      </c>
      <c r="BY65" s="20" t="n">
        <f aca="false">BU65*Slot6_SpendLike*MIN(Slot6_Cost-BX65,BQ65)</f>
        <v>0</v>
      </c>
      <c r="BZ65" s="20" t="n">
        <f aca="false">BX65+BY65</f>
        <v>0</v>
      </c>
      <c r="CA65" s="20" t="n">
        <f aca="false">BQ65-BY65+BU65*IF(Slot6_SpendLike=1,BW65-BX65,IF(Slot6_PotFree=1,BW65,0))</f>
        <v>0</v>
      </c>
      <c r="CB65" s="20" t="n">
        <f aca="false">BR65+BU65*Slot6_BufPot*BW65</f>
        <v>0</v>
      </c>
      <c r="CC65" s="20" t="n">
        <f aca="false">IF(AND(BU65=1,Slot6_IsMfree=1),IF(BZ65&gt;=Slot6_Cost-1,0,MAX(0,BS65-BZ65)),BS65)</f>
        <v>0</v>
      </c>
      <c r="CD65" s="20" t="n">
        <f aca="false">BU65*(Slot6_Cost-BZ65)</f>
        <v>0</v>
      </c>
      <c r="CE65" s="20" t="n">
        <f aca="false">IF(AND(Slot7_On=1,D65=Slot7_Age),1,0)</f>
        <v>0</v>
      </c>
      <c r="CF65" s="20" t="n">
        <f aca="false">IF(AND(Slot7_On=1,Slot7_Age&gt;D65),1,0)</f>
        <v>0</v>
      </c>
      <c r="CG65" s="20" t="n">
        <f aca="false">RK64</f>
        <v>0</v>
      </c>
      <c r="CH65" s="20" t="n">
        <f aca="false">CE65*MIN(Slot7_Cost,CG65)</f>
        <v>0</v>
      </c>
      <c r="CI65" s="20" t="n">
        <f aca="false">CE65*Slot7_SpendLike*MIN(Slot7_Cost-CH65,CA65)</f>
        <v>0</v>
      </c>
      <c r="CJ65" s="20" t="n">
        <f aca="false">CH65+CI65</f>
        <v>0</v>
      </c>
      <c r="CK65" s="20" t="n">
        <f aca="false">CA65-CI65+CE65*IF(Slot7_SpendLike=1,CG65-CH65,IF(Slot7_PotFree=1,CG65,0))</f>
        <v>0</v>
      </c>
      <c r="CL65" s="20" t="n">
        <f aca="false">CB65+CE65*Slot7_BufPot*CG65</f>
        <v>0</v>
      </c>
      <c r="CM65" s="20" t="n">
        <f aca="false">IF(AND(CE65=1,Slot7_IsMfree=1),IF(CJ65&gt;=Slot7_Cost-1,0,MAX(0,CC65-CJ65)),CC65)</f>
        <v>0</v>
      </c>
      <c r="CN65" s="20" t="n">
        <f aca="false">CE65*(Slot7_Cost-CJ65)</f>
        <v>0</v>
      </c>
      <c r="CO65" s="20" t="n">
        <f aca="false">IF(AND(Slot8_On=1,D65=Slot8_Age),1,0)</f>
        <v>0</v>
      </c>
      <c r="CP65" s="20" t="n">
        <f aca="false">IF(AND(Slot8_On=1,Slot8_Age&gt;D65),1,0)</f>
        <v>0</v>
      </c>
      <c r="CQ65" s="20" t="n">
        <f aca="false">RO64</f>
        <v>0</v>
      </c>
      <c r="CR65" s="20" t="n">
        <f aca="false">CO65*MIN(Slot8_Cost,CQ65)</f>
        <v>0</v>
      </c>
      <c r="CS65" s="20" t="n">
        <f aca="false">CO65*Slot8_SpendLike*MIN(Slot8_Cost-CR65,CK65)</f>
        <v>0</v>
      </c>
      <c r="CT65" s="20" t="n">
        <f aca="false">CR65+CS65</f>
        <v>0</v>
      </c>
      <c r="CU65" s="20" t="n">
        <f aca="false">CK65-CS65+CO65*IF(Slot8_SpendLike=1,CQ65-CR65,IF(Slot8_PotFree=1,CQ65,0))</f>
        <v>0</v>
      </c>
      <c r="CV65" s="20" t="n">
        <f aca="false">CL65+CO65*Slot8_BufPot*CQ65</f>
        <v>0</v>
      </c>
      <c r="CW65" s="20" t="n">
        <f aca="false">IF(AND(CO65=1,Slot8_IsMfree=1),IF(CT65&gt;=Slot8_Cost-1,0,MAX(0,CM65-CT65)),CM65)</f>
        <v>0</v>
      </c>
      <c r="CX65" s="20" t="n">
        <f aca="false">CO65*(Slot8_Cost-CT65)</f>
        <v>0</v>
      </c>
      <c r="CY65" s="20" t="n">
        <f aca="false">IF(AND(Slot9_On=1,D65=Slot9_Age),1,0)</f>
        <v>0</v>
      </c>
      <c r="CZ65" s="20" t="n">
        <f aca="false">IF(AND(Slot9_On=1,Slot9_Age&gt;D65),1,0)</f>
        <v>0</v>
      </c>
      <c r="DA65" s="20" t="n">
        <f aca="false">RS64</f>
        <v>0</v>
      </c>
      <c r="DB65" s="20" t="n">
        <f aca="false">CY65*MIN(Slot9_Cost,DA65)</f>
        <v>0</v>
      </c>
      <c r="DC65" s="20" t="n">
        <f aca="false">CY65*Slot9_SpendLike*MIN(Slot9_Cost-DB65,CU65)</f>
        <v>0</v>
      </c>
      <c r="DD65" s="20" t="n">
        <f aca="false">DB65+DC65</f>
        <v>0</v>
      </c>
      <c r="DE65" s="20" t="n">
        <f aca="false">CU65-DC65+CY65*IF(Slot9_SpendLike=1,DA65-DB65,IF(Slot9_PotFree=1,DA65,0))</f>
        <v>0</v>
      </c>
      <c r="DF65" s="20" t="n">
        <f aca="false">CV65+CY65*Slot9_BufPot*DA65</f>
        <v>0</v>
      </c>
      <c r="DG65" s="20" t="n">
        <f aca="false">IF(AND(CY65=1,Slot9_IsMfree=1),IF(DD65&gt;=Slot9_Cost-1,0,MAX(0,CW65-DD65)),CW65)</f>
        <v>0</v>
      </c>
      <c r="DH65" s="20" t="n">
        <f aca="false">CY65*(Slot9_Cost-DD65)</f>
        <v>0</v>
      </c>
      <c r="DI65" s="20" t="n">
        <f aca="false">IF(AND(Slot10_On=1,D65=Slot10_Age),1,0)</f>
        <v>0</v>
      </c>
      <c r="DJ65" s="20" t="n">
        <f aca="false">IF(AND(Slot10_On=1,Slot10_Age&gt;D65),1,0)</f>
        <v>0</v>
      </c>
      <c r="DK65" s="20" t="n">
        <f aca="false">RW64</f>
        <v>0</v>
      </c>
      <c r="DL65" s="20" t="n">
        <f aca="false">DI65*MIN(Slot10_Cost,DK65)</f>
        <v>0</v>
      </c>
      <c r="DM65" s="20" t="n">
        <f aca="false">DI65*Slot10_SpendLike*MIN(Slot10_Cost-DL65,DE65)</f>
        <v>0</v>
      </c>
      <c r="DN65" s="20" t="n">
        <f aca="false">DL65+DM65</f>
        <v>0</v>
      </c>
      <c r="DO65" s="20" t="n">
        <f aca="false">DE65-DM65+DI65*IF(Slot10_SpendLike=1,DK65-DL65,IF(Slot10_PotFree=1,DK65,0))</f>
        <v>0</v>
      </c>
      <c r="DP65" s="20" t="n">
        <f aca="false">DF65+DI65*Slot10_BufPot*DK65</f>
        <v>0</v>
      </c>
      <c r="DQ65" s="20" t="n">
        <f aca="false">IF(AND(DI65=1,Slot10_IsMfree=1),IF(DN65&gt;=Slot10_Cost-1,0,MAX(0,DG65-DN65)),DG65)</f>
        <v>0</v>
      </c>
      <c r="DR65" s="20" t="n">
        <f aca="false">DI65*(Slot10_Cost-DN65)</f>
        <v>0</v>
      </c>
      <c r="DS65" s="20" t="n">
        <f aca="false">IF(AND(Slot11_On=1,D65=Slot11_Age),1,0)</f>
        <v>0</v>
      </c>
      <c r="DT65" s="20" t="n">
        <f aca="false">IF(AND(Slot11_On=1,Slot11_Age&gt;D65),1,0)</f>
        <v>0</v>
      </c>
      <c r="DU65" s="20" t="n">
        <f aca="false">SA64</f>
        <v>0</v>
      </c>
      <c r="DV65" s="20" t="n">
        <f aca="false">DS65*MIN(Slot11_Cost,DU65)</f>
        <v>0</v>
      </c>
      <c r="DW65" s="20" t="n">
        <f aca="false">DS65*Slot11_SpendLike*MIN(Slot11_Cost-DV65,DO65)</f>
        <v>0</v>
      </c>
      <c r="DX65" s="20" t="n">
        <f aca="false">DV65+DW65</f>
        <v>0</v>
      </c>
      <c r="DY65" s="20" t="n">
        <f aca="false">DO65-DW65+DS65*IF(Slot11_SpendLike=1,DU65-DV65,IF(Slot11_PotFree=1,DU65,0))</f>
        <v>0</v>
      </c>
      <c r="DZ65" s="20" t="n">
        <f aca="false">DP65+DS65*Slot11_BufPot*DU65</f>
        <v>0</v>
      </c>
      <c r="EA65" s="20" t="n">
        <f aca="false">IF(AND(DS65=1,Slot11_IsMfree=1),IF(DX65&gt;=Slot11_Cost-1,0,MAX(0,DQ65-DX65)),DQ65)</f>
        <v>0</v>
      </c>
      <c r="EB65" s="20" t="n">
        <f aca="false">DS65*(Slot11_Cost-DX65)</f>
        <v>0</v>
      </c>
      <c r="EC65" s="20" t="n">
        <f aca="false">IF(AND(Slot12_On=1,D65=Slot12_Age),1,0)</f>
        <v>0</v>
      </c>
      <c r="ED65" s="20" t="n">
        <f aca="false">IF(AND(Slot12_On=1,Slot12_Age&gt;D65),1,0)</f>
        <v>0</v>
      </c>
      <c r="EE65" s="20" t="n">
        <f aca="false">SE64</f>
        <v>0</v>
      </c>
      <c r="EF65" s="20" t="n">
        <f aca="false">EC65*MIN(Slot12_Cost,EE65)</f>
        <v>0</v>
      </c>
      <c r="EG65" s="20" t="n">
        <f aca="false">EC65*Slot12_SpendLike*MIN(Slot12_Cost-EF65,DY65)</f>
        <v>0</v>
      </c>
      <c r="EH65" s="20" t="n">
        <f aca="false">EF65+EG65</f>
        <v>0</v>
      </c>
      <c r="EI65" s="20" t="n">
        <f aca="false">DY65-EG65+EC65*IF(Slot12_SpendLike=1,EE65-EF65,IF(Slot12_PotFree=1,EE65,0))</f>
        <v>0</v>
      </c>
      <c r="EJ65" s="20" t="n">
        <f aca="false">DZ65+EC65*Slot12_BufPot*EE65</f>
        <v>0</v>
      </c>
      <c r="EK65" s="20" t="n">
        <f aca="false">IF(AND(EC65=1,Slot12_IsMfree=1),IF(EH65&gt;=Slot12_Cost-1,0,MAX(0,EA65-EH65)),EA65)</f>
        <v>0</v>
      </c>
      <c r="EL65" s="20" t="n">
        <f aca="false">EC65*(Slot12_Cost-EH65)</f>
        <v>0</v>
      </c>
      <c r="EM65" s="20" t="n">
        <f aca="false">IF(AND(Slot13_On=1,D65=Slot13_Age),1,0)</f>
        <v>0</v>
      </c>
      <c r="EN65" s="20" t="n">
        <f aca="false">IF(AND(Slot13_On=1,Slot13_Age&gt;D65),1,0)</f>
        <v>0</v>
      </c>
      <c r="EO65" s="20" t="n">
        <f aca="false">SI64</f>
        <v>0</v>
      </c>
      <c r="EP65" s="20" t="n">
        <f aca="false">EM65*MIN(Slot13_Cost,EO65)</f>
        <v>0</v>
      </c>
      <c r="EQ65" s="20" t="n">
        <f aca="false">EM65*Slot13_SpendLike*MIN(Slot13_Cost-EP65,EI65)</f>
        <v>0</v>
      </c>
      <c r="ER65" s="20" t="n">
        <f aca="false">EP65+EQ65</f>
        <v>0</v>
      </c>
      <c r="ES65" s="20" t="n">
        <f aca="false">EI65-EQ65+EM65*IF(Slot13_SpendLike=1,EO65-EP65,IF(Slot13_PotFree=1,EO65,0))</f>
        <v>0</v>
      </c>
      <c r="ET65" s="20" t="n">
        <f aca="false">EJ65+EM65*Slot13_BufPot*EO65</f>
        <v>0</v>
      </c>
      <c r="EU65" s="20" t="n">
        <f aca="false">IF(AND(EM65=1,Slot13_IsMfree=1),IF(ER65&gt;=Slot13_Cost-1,0,MAX(0,EK65-ER65)),EK65)</f>
        <v>0</v>
      </c>
      <c r="EV65" s="20" t="n">
        <f aca="false">EM65*(Slot13_Cost-ER65)</f>
        <v>0</v>
      </c>
      <c r="EW65" s="20" t="n">
        <f aca="false">IF(AND(Slot14_On=1,D65=Slot14_Age),1,0)</f>
        <v>0</v>
      </c>
      <c r="EX65" s="20" t="n">
        <f aca="false">IF(AND(Slot14_On=1,Slot14_Age&gt;D65),1,0)</f>
        <v>0</v>
      </c>
      <c r="EY65" s="20" t="n">
        <f aca="false">SM64</f>
        <v>0</v>
      </c>
      <c r="EZ65" s="20" t="n">
        <f aca="false">EW65*MIN(Slot14_Cost,EY65)</f>
        <v>0</v>
      </c>
      <c r="FA65" s="20" t="n">
        <f aca="false">EW65*Slot14_SpendLike*MIN(Slot14_Cost-EZ65,ES65)</f>
        <v>0</v>
      </c>
      <c r="FB65" s="20" t="n">
        <f aca="false">EZ65+FA65</f>
        <v>0</v>
      </c>
      <c r="FC65" s="20" t="n">
        <f aca="false">ES65-FA65+EW65*IF(Slot14_SpendLike=1,EY65-EZ65,IF(Slot14_PotFree=1,EY65,0))</f>
        <v>0</v>
      </c>
      <c r="FD65" s="20" t="n">
        <f aca="false">ET65+EW65*Slot14_BufPot*EY65</f>
        <v>0</v>
      </c>
      <c r="FE65" s="20" t="n">
        <f aca="false">IF(AND(EW65=1,Slot14_IsMfree=1),IF(FB65&gt;=Slot14_Cost-1,0,MAX(0,EU65-FB65)),EU65)</f>
        <v>0</v>
      </c>
      <c r="FF65" s="20" t="n">
        <f aca="false">EW65*(Slot14_Cost-FB65)</f>
        <v>0</v>
      </c>
      <c r="FG65" s="20" t="n">
        <f aca="false">IF(AND(Slot15_On=1,D65=Slot15_Age),1,0)</f>
        <v>0</v>
      </c>
      <c r="FH65" s="20" t="n">
        <f aca="false">IF(AND(Slot15_On=1,Slot15_Age&gt;D65),1,0)</f>
        <v>0</v>
      </c>
      <c r="FI65" s="20" t="n">
        <f aca="false">SQ64</f>
        <v>0</v>
      </c>
      <c r="FJ65" s="20" t="n">
        <f aca="false">FG65*MIN(Slot15_Cost,FI65)</f>
        <v>0</v>
      </c>
      <c r="FK65" s="20" t="n">
        <f aca="false">FG65*Slot15_SpendLike*MIN(Slot15_Cost-FJ65,FC65)</f>
        <v>0</v>
      </c>
      <c r="FL65" s="20" t="n">
        <f aca="false">FJ65+FK65</f>
        <v>0</v>
      </c>
      <c r="FM65" s="20" t="n">
        <f aca="false">FC65-FK65+FG65*IF(Slot15_SpendLike=1,FI65-FJ65,IF(Slot15_PotFree=1,FI65,0))</f>
        <v>0</v>
      </c>
      <c r="FN65" s="20" t="n">
        <f aca="false">FD65+FG65*Slot15_BufPot*FI65</f>
        <v>0</v>
      </c>
      <c r="FO65" s="20" t="n">
        <f aca="false">IF(AND(FG65=1,Slot15_IsMfree=1),IF(FL65&gt;=Slot15_Cost-1,0,MAX(0,FE65-FL65)),FE65)</f>
        <v>0</v>
      </c>
      <c r="FP65" s="20" t="n">
        <f aca="false">FG65*(Slot15_Cost-FL65)</f>
        <v>0</v>
      </c>
      <c r="FQ65" s="20" t="n">
        <f aca="false">IF(AND(Slot16_On=1,D65=Slot16_Age),1,0)</f>
        <v>0</v>
      </c>
      <c r="FR65" s="20" t="n">
        <f aca="false">IF(AND(Slot16_On=1,Slot16_Age&gt;D65),1,0)</f>
        <v>0</v>
      </c>
      <c r="FS65" s="20" t="n">
        <f aca="false">SU64</f>
        <v>0</v>
      </c>
      <c r="FT65" s="20" t="n">
        <f aca="false">FQ65*MIN(Slot16_Cost,FS65)</f>
        <v>0</v>
      </c>
      <c r="FU65" s="20" t="n">
        <f aca="false">FQ65*Slot16_SpendLike*MIN(Slot16_Cost-FT65,FM65)</f>
        <v>0</v>
      </c>
      <c r="FV65" s="20" t="n">
        <f aca="false">FT65+FU65</f>
        <v>0</v>
      </c>
      <c r="FW65" s="20" t="n">
        <f aca="false">FM65-FU65+FQ65*IF(Slot16_SpendLike=1,FS65-FT65,IF(Slot16_PotFree=1,FS65,0))</f>
        <v>0</v>
      </c>
      <c r="FX65" s="20" t="n">
        <f aca="false">FN65+FQ65*Slot16_BufPot*FS65</f>
        <v>0</v>
      </c>
      <c r="FY65" s="20" t="n">
        <f aca="false">IF(AND(FQ65=1,Slot16_IsMfree=1),IF(FV65&gt;=Slot16_Cost-1,0,MAX(0,FO65-FV65)),FO65)</f>
        <v>0</v>
      </c>
      <c r="FZ65" s="20" t="n">
        <f aca="false">FQ65*(Slot16_Cost-FV65)</f>
        <v>0</v>
      </c>
      <c r="GA65" s="20" t="n">
        <f aca="false">IF(AND(Slot17_On=1,D65=Slot17_Age),1,0)</f>
        <v>0</v>
      </c>
      <c r="GB65" s="20" t="n">
        <f aca="false">IF(AND(Slot17_On=1,Slot17_Age&gt;D65),1,0)</f>
        <v>0</v>
      </c>
      <c r="GC65" s="20" t="n">
        <f aca="false">SY64</f>
        <v>0</v>
      </c>
      <c r="GD65" s="20" t="n">
        <f aca="false">GA65*MIN(Slot17_Cost,GC65)</f>
        <v>0</v>
      </c>
      <c r="GE65" s="20" t="n">
        <f aca="false">GA65*Slot17_SpendLike*MIN(Slot17_Cost-GD65,FW65)</f>
        <v>0</v>
      </c>
      <c r="GF65" s="20" t="n">
        <f aca="false">GD65+GE65</f>
        <v>0</v>
      </c>
      <c r="GG65" s="20" t="n">
        <f aca="false">FW65-GE65+GA65*IF(Slot17_SpendLike=1,GC65-GD65,IF(Slot17_PotFree=1,GC65,0))</f>
        <v>0</v>
      </c>
      <c r="GH65" s="20" t="n">
        <f aca="false">FX65+GA65*Slot17_BufPot*GC65</f>
        <v>0</v>
      </c>
      <c r="GI65" s="20" t="n">
        <f aca="false">IF(AND(GA65=1,Slot17_IsMfree=1),IF(GF65&gt;=Slot17_Cost-1,0,MAX(0,FY65-GF65)),FY65)</f>
        <v>0</v>
      </c>
      <c r="GJ65" s="20" t="n">
        <f aca="false">GA65*(Slot17_Cost-GF65)</f>
        <v>0</v>
      </c>
      <c r="GK65" s="20" t="n">
        <f aca="false">IF(AND(Slot18_On=1,D65=Slot18_Age),1,0)</f>
        <v>0</v>
      </c>
      <c r="GL65" s="20" t="n">
        <f aca="false">IF(AND(Slot18_On=1,Slot18_Age&gt;D65),1,0)</f>
        <v>0</v>
      </c>
      <c r="GM65" s="20" t="n">
        <f aca="false">TC64</f>
        <v>0</v>
      </c>
      <c r="GN65" s="20" t="n">
        <f aca="false">GK65*MIN(Slot18_Cost,GM65)</f>
        <v>0</v>
      </c>
      <c r="GO65" s="20" t="n">
        <f aca="false">GK65*Slot18_SpendLike*MIN(Slot18_Cost-GN65,GG65)</f>
        <v>0</v>
      </c>
      <c r="GP65" s="20" t="n">
        <f aca="false">GN65+GO65</f>
        <v>0</v>
      </c>
      <c r="GQ65" s="20" t="n">
        <f aca="false">GG65-GO65+GK65*IF(Slot18_SpendLike=1,GM65-GN65,IF(Slot18_PotFree=1,GM65,0))</f>
        <v>0</v>
      </c>
      <c r="GR65" s="20" t="n">
        <f aca="false">GH65+GK65*Slot18_BufPot*GM65</f>
        <v>0</v>
      </c>
      <c r="GS65" s="20" t="n">
        <f aca="false">IF(AND(GK65=1,Slot18_IsMfree=1),IF(GP65&gt;=Slot18_Cost-1,0,MAX(0,GI65-GP65)),GI65)</f>
        <v>0</v>
      </c>
      <c r="GT65" s="20" t="n">
        <f aca="false">GK65*(Slot18_Cost-GP65)</f>
        <v>0</v>
      </c>
      <c r="GU65" s="20" t="n">
        <f aca="false">IF(AND(Slot19_On=1,D65=Slot19_Age),1,0)</f>
        <v>0</v>
      </c>
      <c r="GV65" s="20" t="n">
        <f aca="false">IF(AND(Slot19_On=1,Slot19_Age&gt;D65),1,0)</f>
        <v>0</v>
      </c>
      <c r="GW65" s="20" t="n">
        <f aca="false">TG64</f>
        <v>0</v>
      </c>
      <c r="GX65" s="20" t="n">
        <f aca="false">GU65*MIN(Slot19_Cost,GW65)</f>
        <v>0</v>
      </c>
      <c r="GY65" s="20" t="n">
        <f aca="false">GU65*Slot19_SpendLike*MIN(Slot19_Cost-GX65,GQ65)</f>
        <v>0</v>
      </c>
      <c r="GZ65" s="20" t="n">
        <f aca="false">GX65+GY65</f>
        <v>0</v>
      </c>
      <c r="HA65" s="20" t="n">
        <f aca="false">GQ65-GY65+GU65*IF(Slot19_SpendLike=1,GW65-GX65,IF(Slot19_PotFree=1,GW65,0))</f>
        <v>0</v>
      </c>
      <c r="HB65" s="20" t="n">
        <f aca="false">GR65+GU65*Slot19_BufPot*GW65</f>
        <v>0</v>
      </c>
      <c r="HC65" s="20" t="n">
        <f aca="false">IF(AND(GU65=1,Slot19_IsMfree=1),IF(GZ65&gt;=Slot19_Cost-1,0,MAX(0,GS65-GZ65)),GS65)</f>
        <v>0</v>
      </c>
      <c r="HD65" s="20" t="n">
        <f aca="false">GU65*(Slot19_Cost-GZ65)</f>
        <v>0</v>
      </c>
      <c r="HE65" s="20" t="n">
        <f aca="false">IF(AND(Slot20_On=1,D65=Slot20_Age),1,0)</f>
        <v>0</v>
      </c>
      <c r="HF65" s="20" t="n">
        <f aca="false">IF(AND(Slot20_On=1,Slot20_Age&gt;D65),1,0)</f>
        <v>0</v>
      </c>
      <c r="HG65" s="20" t="n">
        <f aca="false">TK64</f>
        <v>0</v>
      </c>
      <c r="HH65" s="20" t="n">
        <f aca="false">HE65*MIN(Slot20_Cost,HG65)</f>
        <v>0</v>
      </c>
      <c r="HI65" s="20" t="n">
        <f aca="false">HE65*Slot20_SpendLike*MIN(Slot20_Cost-HH65,HA65)</f>
        <v>0</v>
      </c>
      <c r="HJ65" s="20" t="n">
        <f aca="false">HH65+HI65</f>
        <v>0</v>
      </c>
      <c r="HK65" s="20" t="n">
        <f aca="false">HA65-HI65+HE65*IF(Slot20_SpendLike=1,HG65-HH65,IF(Slot20_PotFree=1,HG65,0))</f>
        <v>0</v>
      </c>
      <c r="HL65" s="20" t="n">
        <f aca="false">HB65+HE65*Slot20_BufPot*HG65</f>
        <v>0</v>
      </c>
      <c r="HM65" s="20" t="n">
        <f aca="false">IF(AND(HE65=1,Slot20_IsMfree=1),IF(HJ65&gt;=Slot20_Cost-1,0,MAX(0,HC65-HJ65)),HC65)</f>
        <v>0</v>
      </c>
      <c r="HN65" s="20" t="n">
        <f aca="false">HE65*(Slot20_Cost-HJ65)</f>
        <v>0</v>
      </c>
      <c r="HO65" s="20" t="n">
        <f aca="false">V65*Slot1_SpendLike*AA65+AG65*Slot2_SpendLike*AL65+AQ65*Slot3_SpendLike*AV65+BA65*Slot4_SpendLike*BF65+BK65*Slot5_SpendLike*BP65+BU65*Slot6_SpendLike*BZ65+CE65*Slot7_SpendLike*CJ65+CO65*Slot8_SpendLike*CT65+CY65*Slot9_SpendLike*DD65+DI65*Slot10_SpendLike*DN65+DS65*Slot11_SpendLike*DX65+EC65*Slot12_SpendLike*EH65+EM65*Slot13_SpendLike*ER65+EW65*Slot14_SpendLike*FB65+FG65*Slot15_SpendLike*FL65+FQ65*Slot16_SpendLike*FV65+GA65*Slot17_SpendLike*GF65+GK65*Slot18_SpendLike*GP65+GU65*Slot19_SpendLike*GZ65+HE65*Slot20_SpendLike*HJ65</f>
        <v>0</v>
      </c>
      <c r="HP65" s="20" t="n">
        <f aca="false">AE65+AP65+AZ65+BJ65+BT65+CD65+CN65+CX65+DH65+DR65+EB65+EL65+EV65+FF65+FP65+FZ65+GJ65+GT65+HD65+HN65</f>
        <v>0</v>
      </c>
      <c r="HQ65" s="20" t="n">
        <f aca="false">V65*Slot1_Cost+AG65*Slot2_Cost+AQ65*Slot3_Cost+BA65*Slot4_Cost+BK65*Slot5_Cost+BU65*Slot6_Cost+CE65*Slot7_Cost+CO65*Slot8_Cost+CY65*Slot9_Cost+DI65*Slot10_Cost+DS65*Slot11_Cost+EC65*Slot12_Cost+EM65*Slot13_Cost+EW65*Slot14_Cost+FG65*Slot15_Cost+FQ65*Slot16_Cost+GA65*Slot17_Cost+GK65*Slot18_Cost+GU65*Slot19_Cost+HE65*Slot20_Cost</f>
        <v>0</v>
      </c>
      <c r="HR65" s="20" t="n">
        <f aca="false">HM65</f>
        <v>0</v>
      </c>
      <c r="HS65" s="20" t="n">
        <f aca="false">H65-I65-S65</f>
        <v>-29475.9988264829</v>
      </c>
      <c r="HT65" s="20" t="n">
        <f aca="false">IF(B65=0,IF(AND(Has_q6=1,In_q6=4),PR_ShareVaries*(MAX(0,HS65)/12),MIN(IF(Has_q6=1,CHOOSE(In_q6+1,PR_SaveB1,PR_SaveB2,PR_SaveB3,PR_SaveB4,0),AS_NoAnswer),AS_SaveShare*(MAX(0,HS65)/12))),HT64)</f>
        <v>62.3316893520437</v>
      </c>
      <c r="HU65" s="20" t="n">
        <f aca="false">IF(HS65&gt;=0,1,0)</f>
        <v>0</v>
      </c>
      <c r="HV65" s="20" t="n">
        <f aca="false">MAX(0,HS65/12/F65)</f>
        <v>0</v>
      </c>
      <c r="HW65" s="20" t="n">
        <f aca="false">IF(AND(Has_q6=1,In_q6=4),PR_ShareVaries*(HV65),MIN(IF(Has_q6=1,CHOOSE(In_q6+1,PR_SaveB1,PR_SaveB2,PR_SaveB3,PR_SaveB4,0),AS_NoAnswer),AS_SaveShare*(HV65)))</f>
        <v>0</v>
      </c>
      <c r="HX65" s="20" t="n">
        <f aca="false">IF(Has_saveM=1,IF(In_saveUp="Yes",1,IF(In_saveUp="No",0,IF(In_saveM&gt;=HT65-0.5,1,0))),0)</f>
        <v>0</v>
      </c>
      <c r="HY65" s="20" t="n">
        <f aca="false">IF(Has_saveM=1,MIN(HV65,IF(HX65=1,MAX(In_saveM,HW65),MIN(In_saveM,HW65))),HW65)</f>
        <v>0</v>
      </c>
      <c r="HZ65" s="20" t="n">
        <f aca="false">IF(G65=1,HY65*12*F65,0)</f>
        <v>0</v>
      </c>
      <c r="IA65" s="20" t="n">
        <f aca="false">MAX(0,HZ65+IF(AND(WI_Retire=0,WI_M&lt;0,G65=1),WI_M*12*F65,0))</f>
        <v>0</v>
      </c>
      <c r="IB65" s="20" t="n">
        <f aca="false">Slot1_IsWG*W65+Slot2_IsWG*AH65+Slot3_IsWG*AR65+Slot4_IsWG*BB65+Slot5_IsWG*BL65+Slot6_IsWG*BV65+Slot7_IsWG*CF65+Slot8_IsWG*CP65+Slot9_IsWG*CZ65+Slot10_IsWG*DJ65+Slot11_IsWG*DT65+Slot12_IsWG*ED65+Slot13_IsWG*EN65+Slot14_IsWG*EX65+Slot15_IsWG*FH65+Slot16_IsWG*FR65+Slot17_IsWG*GB65+Slot18_IsWG*GL65+Slot19_IsWG*GV65+Slot20_IsWG*HF65</f>
        <v>0</v>
      </c>
      <c r="IC65" s="20" t="n">
        <f aca="false">IF(AND(WI_Retire=0,WI_M&gt;0,G65=1,IB65&gt;=1),WI_M*12*F65,0)</f>
        <v>0</v>
      </c>
      <c r="ID65" s="20" t="n">
        <f aca="false">IF(HU65=1,MIN(IA65,HS65),0)</f>
        <v>0</v>
      </c>
      <c r="IE65" s="20" t="n">
        <f aca="false">IF(HU65=1,MIN(IC65,HS65-ID65),0)</f>
        <v>0</v>
      </c>
      <c r="IF65" s="20" t="n">
        <f aca="false">IF(W65=1,IF(ABS((1+AS_Wage)/(1+Slot1_Rate)-1)&lt;0.000000000001,(Slot1_Age-D65)*(1+Slot1_Rate)^(Slot1_Age-D65),(1+Slot1_Rate)^(Slot1_Age-D65)*(1-((1+AS_Wage)/(1+Slot1_Rate))^(Slot1_Age-D65))/(1-(1+AS_Wage)/(1+Slot1_Rate))),1)</f>
        <v>1</v>
      </c>
      <c r="IG65" s="20" t="n">
        <f aca="false">IF(AND(HU65=1,IE65&gt;0,Slot1_IsWG=1,W65=1),MAX(0,(Slot1_Cost-X65*(1+Slot1_Rate)^(Slot1_Age-D65))/IF65),0)</f>
        <v>0</v>
      </c>
      <c r="IH65" s="20" t="n">
        <f aca="false">IF(AND(HU65=1,IE65&gt;0,Slot1_IsWG=1,W65=1),MIN(IE65,IG65),0)</f>
        <v>0</v>
      </c>
      <c r="II65" s="20" t="n">
        <f aca="false">X65+IH65</f>
        <v>0</v>
      </c>
      <c r="IJ65" s="20" t="n">
        <f aca="false">IF(W65=1,MAX(0,(Slot1_Cost-II65*(1+Slot1_Rate)^(Slot1_Age-D65))/IF65),0)</f>
        <v>0</v>
      </c>
      <c r="IK65" s="20" t="n">
        <f aca="false">IF(W65=1,MAX(0,(Slot1_Cost-X65*(1+Slot1_Rate)^(Slot1_Age-D65))/IF65),0)</f>
        <v>0</v>
      </c>
      <c r="IL65" s="20" t="n">
        <f aca="false">IF(AND(HU65=1,W65=1),MIN(ID65,IJ65),0)</f>
        <v>0</v>
      </c>
      <c r="IM65" s="20" t="n">
        <f aca="false">ID65-IL65</f>
        <v>0</v>
      </c>
      <c r="IN65" s="20" t="n">
        <f aca="false">IF(AH65=1,IF(ABS((1+AS_Wage)/(1+Slot2_Rate)-1)&lt;0.000000000001,(Slot2_Age-D65)*(1+Slot2_Rate)^(Slot2_Age-D65),(1+Slot2_Rate)^(Slot2_Age-D65)*(1-((1+AS_Wage)/(1+Slot2_Rate))^(Slot2_Age-D65))/(1-(1+AS_Wage)/(1+Slot2_Rate))),1)</f>
        <v>1</v>
      </c>
      <c r="IO65" s="20" t="n">
        <f aca="false">IF(AND(HU65=1,IE65&gt;0,Slot2_IsWG=1,AH65=1),MAX(0,(Slot2_Cost-AI65*(1+Slot2_Rate)^(Slot2_Age-D65))/IN65),0)</f>
        <v>0</v>
      </c>
      <c r="IP65" s="20" t="n">
        <f aca="false">IF(AND(HU65=1,IE65&gt;0,Slot2_IsWG=1,AH65=1),MIN(IE65,IO65),0)</f>
        <v>0</v>
      </c>
      <c r="IQ65" s="20" t="n">
        <f aca="false">AI65+IP65</f>
        <v>0</v>
      </c>
      <c r="IR65" s="20" t="n">
        <f aca="false">IF(AH65=1,MAX(0,(Slot2_Cost-IQ65*(1+Slot2_Rate)^(Slot2_Age-D65))/IN65),0)</f>
        <v>0</v>
      </c>
      <c r="IS65" s="20" t="n">
        <f aca="false">IF(AH65=1,MAX(0,(Slot2_Cost-AI65*(1+Slot2_Rate)^(Slot2_Age-D65))/IN65),0)</f>
        <v>0</v>
      </c>
      <c r="IT65" s="20" t="n">
        <f aca="false">IF(AND(HU65=1,AH65=1),MIN(IM65,IR65),0)</f>
        <v>0</v>
      </c>
      <c r="IU65" s="20" t="n">
        <f aca="false">IM65-IT65</f>
        <v>0</v>
      </c>
      <c r="IV65" s="20" t="n">
        <f aca="false">IF(AR65=1,IF(ABS((1+AS_Wage)/(1+Slot3_Rate)-1)&lt;0.000000000001,(Slot3_Age-D65)*(1+Slot3_Rate)^(Slot3_Age-D65),(1+Slot3_Rate)^(Slot3_Age-D65)*(1-((1+AS_Wage)/(1+Slot3_Rate))^(Slot3_Age-D65))/(1-(1+AS_Wage)/(1+Slot3_Rate))),1)</f>
        <v>1</v>
      </c>
      <c r="IW65" s="20" t="n">
        <f aca="false">IF(AND(HU65=1,IE65&gt;0,Slot3_IsWG=1,AR65=1),MAX(0,(Slot3_Cost-AS65*(1+Slot3_Rate)^(Slot3_Age-D65))/IV65),0)</f>
        <v>0</v>
      </c>
      <c r="IX65" s="20" t="n">
        <f aca="false">IF(AND(HU65=1,IE65&gt;0,Slot3_IsWG=1,AR65=1),MIN(IE65,IW65),0)</f>
        <v>0</v>
      </c>
      <c r="IY65" s="20" t="n">
        <f aca="false">AS65+IX65</f>
        <v>0</v>
      </c>
      <c r="IZ65" s="20" t="n">
        <f aca="false">IF(AR65=1,MAX(0,(Slot3_Cost-IY65*(1+Slot3_Rate)^(Slot3_Age-D65))/IV65),0)</f>
        <v>0</v>
      </c>
      <c r="JA65" s="20" t="n">
        <f aca="false">IF(AR65=1,MAX(0,(Slot3_Cost-AS65*(1+Slot3_Rate)^(Slot3_Age-D65))/IV65),0)</f>
        <v>0</v>
      </c>
      <c r="JB65" s="20" t="n">
        <f aca="false">IF(AND(HU65=1,AR65=1),MIN(IU65,IZ65),0)</f>
        <v>0</v>
      </c>
      <c r="JC65" s="20" t="n">
        <f aca="false">IU65-JB65</f>
        <v>0</v>
      </c>
      <c r="JD65" s="20" t="n">
        <f aca="false">IF(BB65=1,IF(ABS((1+AS_Wage)/(1+Slot4_Rate)-1)&lt;0.000000000001,(Slot4_Age-D65)*(1+Slot4_Rate)^(Slot4_Age-D65),(1+Slot4_Rate)^(Slot4_Age-D65)*(1-((1+AS_Wage)/(1+Slot4_Rate))^(Slot4_Age-D65))/(1-(1+AS_Wage)/(1+Slot4_Rate))),1)</f>
        <v>1</v>
      </c>
      <c r="JE65" s="20" t="n">
        <f aca="false">IF(AND(HU65=1,IE65&gt;0,Slot4_IsWG=1,BB65=1),MAX(0,(Slot4_Cost-BC65*(1+Slot4_Rate)^(Slot4_Age-D65))/JD65),0)</f>
        <v>0</v>
      </c>
      <c r="JF65" s="20" t="n">
        <f aca="false">IF(AND(HU65=1,IE65&gt;0,Slot4_IsWG=1,BB65=1),MIN(IE65,JE65),0)</f>
        <v>0</v>
      </c>
      <c r="JG65" s="20" t="n">
        <f aca="false">BC65+JF65</f>
        <v>0</v>
      </c>
      <c r="JH65" s="20" t="n">
        <f aca="false">IF(BB65=1,MAX(0,(Slot4_Cost-JG65*(1+Slot4_Rate)^(Slot4_Age-D65))/JD65),0)</f>
        <v>0</v>
      </c>
      <c r="JI65" s="20" t="n">
        <f aca="false">IF(BB65=1,MAX(0,(Slot4_Cost-BC65*(1+Slot4_Rate)^(Slot4_Age-D65))/JD65),0)</f>
        <v>0</v>
      </c>
      <c r="JJ65" s="20" t="n">
        <f aca="false">IF(AND(HU65=1,BB65=1),MIN(JC65,JH65),0)</f>
        <v>0</v>
      </c>
      <c r="JK65" s="20" t="n">
        <f aca="false">JC65-JJ65</f>
        <v>0</v>
      </c>
      <c r="JL65" s="20" t="n">
        <f aca="false">IF(BL65=1,IF(ABS((1+AS_Wage)/(1+Slot5_Rate)-1)&lt;0.000000000001,(Slot5_Age-D65)*(1+Slot5_Rate)^(Slot5_Age-D65),(1+Slot5_Rate)^(Slot5_Age-D65)*(1-((1+AS_Wage)/(1+Slot5_Rate))^(Slot5_Age-D65))/(1-(1+AS_Wage)/(1+Slot5_Rate))),1)</f>
        <v>1</v>
      </c>
      <c r="JM65" s="20" t="n">
        <f aca="false">IF(AND(HU65=1,IE65&gt;0,Slot5_IsWG=1,BL65=1),MAX(0,(Slot5_Cost-BM65*(1+Slot5_Rate)^(Slot5_Age-D65))/JL65),0)</f>
        <v>0</v>
      </c>
      <c r="JN65" s="20" t="n">
        <f aca="false">IF(AND(HU65=1,IE65&gt;0,Slot5_IsWG=1,BL65=1),MIN(IE65,JM65),0)</f>
        <v>0</v>
      </c>
      <c r="JO65" s="20" t="n">
        <f aca="false">BM65+JN65</f>
        <v>0</v>
      </c>
      <c r="JP65" s="20" t="n">
        <f aca="false">IF(BL65=1,MAX(0,(Slot5_Cost-JO65*(1+Slot5_Rate)^(Slot5_Age-D65))/JL65),0)</f>
        <v>0</v>
      </c>
      <c r="JQ65" s="20" t="n">
        <f aca="false">IF(BL65=1,MAX(0,(Slot5_Cost-BM65*(1+Slot5_Rate)^(Slot5_Age-D65))/JL65),0)</f>
        <v>0</v>
      </c>
      <c r="JR65" s="20" t="n">
        <f aca="false">IF(AND(HU65=1,BL65=1),MIN(JK65,JP65),0)</f>
        <v>0</v>
      </c>
      <c r="JS65" s="20" t="n">
        <f aca="false">JK65-JR65</f>
        <v>0</v>
      </c>
      <c r="JT65" s="20" t="n">
        <f aca="false">IF(BV65=1,IF(ABS((1+AS_Wage)/(1+Slot6_Rate)-1)&lt;0.000000000001,(Slot6_Age-D65)*(1+Slot6_Rate)^(Slot6_Age-D65),(1+Slot6_Rate)^(Slot6_Age-D65)*(1-((1+AS_Wage)/(1+Slot6_Rate))^(Slot6_Age-D65))/(1-(1+AS_Wage)/(1+Slot6_Rate))),1)</f>
        <v>1</v>
      </c>
      <c r="JU65" s="20" t="n">
        <f aca="false">IF(AND(HU65=1,IE65&gt;0,Slot6_IsWG=1,BV65=1),MAX(0,(Slot6_Cost-BW65*(1+Slot6_Rate)^(Slot6_Age-D65))/JT65),0)</f>
        <v>0</v>
      </c>
      <c r="JV65" s="20" t="n">
        <f aca="false">IF(AND(HU65=1,IE65&gt;0,Slot6_IsWG=1,BV65=1),MIN(IE65,JU65),0)</f>
        <v>0</v>
      </c>
      <c r="JW65" s="20" t="n">
        <f aca="false">BW65+JV65</f>
        <v>0</v>
      </c>
      <c r="JX65" s="20" t="n">
        <f aca="false">IF(BV65=1,MAX(0,(Slot6_Cost-JW65*(1+Slot6_Rate)^(Slot6_Age-D65))/JT65),0)</f>
        <v>0</v>
      </c>
      <c r="JY65" s="20" t="n">
        <f aca="false">IF(BV65=1,MAX(0,(Slot6_Cost-BW65*(1+Slot6_Rate)^(Slot6_Age-D65))/JT65),0)</f>
        <v>0</v>
      </c>
      <c r="JZ65" s="20" t="n">
        <f aca="false">IF(AND(HU65=1,BV65=1),MIN(JS65,JX65),0)</f>
        <v>0</v>
      </c>
      <c r="KA65" s="20" t="n">
        <f aca="false">JS65-JZ65</f>
        <v>0</v>
      </c>
      <c r="KB65" s="20" t="n">
        <f aca="false">IF(CF65=1,IF(ABS((1+AS_Wage)/(1+Slot7_Rate)-1)&lt;0.000000000001,(Slot7_Age-D65)*(1+Slot7_Rate)^(Slot7_Age-D65),(1+Slot7_Rate)^(Slot7_Age-D65)*(1-((1+AS_Wage)/(1+Slot7_Rate))^(Slot7_Age-D65))/(1-(1+AS_Wage)/(1+Slot7_Rate))),1)</f>
        <v>1</v>
      </c>
      <c r="KC65" s="20" t="n">
        <f aca="false">IF(AND(HU65=1,IE65&gt;0,Slot7_IsWG=1,CF65=1),MAX(0,(Slot7_Cost-CG65*(1+Slot7_Rate)^(Slot7_Age-D65))/KB65),0)</f>
        <v>0</v>
      </c>
      <c r="KD65" s="20" t="n">
        <f aca="false">IF(AND(HU65=1,IE65&gt;0,Slot7_IsWG=1,CF65=1),MIN(IE65,KC65),0)</f>
        <v>0</v>
      </c>
      <c r="KE65" s="20" t="n">
        <f aca="false">CG65+KD65</f>
        <v>0</v>
      </c>
      <c r="KF65" s="20" t="n">
        <f aca="false">IF(CF65=1,MAX(0,(Slot7_Cost-KE65*(1+Slot7_Rate)^(Slot7_Age-D65))/KB65),0)</f>
        <v>0</v>
      </c>
      <c r="KG65" s="20" t="n">
        <f aca="false">IF(CF65=1,MAX(0,(Slot7_Cost-CG65*(1+Slot7_Rate)^(Slot7_Age-D65))/KB65),0)</f>
        <v>0</v>
      </c>
      <c r="KH65" s="20" t="n">
        <f aca="false">IF(AND(HU65=1,CF65=1),MIN(KA65,KF65),0)</f>
        <v>0</v>
      </c>
      <c r="KI65" s="20" t="n">
        <f aca="false">KA65-KH65</f>
        <v>0</v>
      </c>
      <c r="KJ65" s="20" t="n">
        <f aca="false">IF(CP65=1,IF(ABS((1+AS_Wage)/(1+Slot8_Rate)-1)&lt;0.000000000001,(Slot8_Age-D65)*(1+Slot8_Rate)^(Slot8_Age-D65),(1+Slot8_Rate)^(Slot8_Age-D65)*(1-((1+AS_Wage)/(1+Slot8_Rate))^(Slot8_Age-D65))/(1-(1+AS_Wage)/(1+Slot8_Rate))),1)</f>
        <v>1</v>
      </c>
      <c r="KK65" s="20" t="n">
        <f aca="false">IF(AND(HU65=1,IE65&gt;0,Slot8_IsWG=1,CP65=1),MAX(0,(Slot8_Cost-CQ65*(1+Slot8_Rate)^(Slot8_Age-D65))/KJ65),0)</f>
        <v>0</v>
      </c>
      <c r="KL65" s="20" t="n">
        <f aca="false">IF(AND(HU65=1,IE65&gt;0,Slot8_IsWG=1,CP65=1),MIN(IE65,KK65),0)</f>
        <v>0</v>
      </c>
      <c r="KM65" s="20" t="n">
        <f aca="false">CQ65+KL65</f>
        <v>0</v>
      </c>
      <c r="KN65" s="20" t="n">
        <f aca="false">IF(CP65=1,MAX(0,(Slot8_Cost-KM65*(1+Slot8_Rate)^(Slot8_Age-D65))/KJ65),0)</f>
        <v>0</v>
      </c>
      <c r="KO65" s="20" t="n">
        <f aca="false">IF(CP65=1,MAX(0,(Slot8_Cost-CQ65*(1+Slot8_Rate)^(Slot8_Age-D65))/KJ65),0)</f>
        <v>0</v>
      </c>
      <c r="KP65" s="20" t="n">
        <f aca="false">IF(AND(HU65=1,CP65=1),MIN(KI65,KN65),0)</f>
        <v>0</v>
      </c>
      <c r="KQ65" s="20" t="n">
        <f aca="false">KI65-KP65</f>
        <v>0</v>
      </c>
      <c r="KR65" s="20" t="n">
        <f aca="false">IF(CZ65=1,IF(ABS((1+AS_Wage)/(1+Slot9_Rate)-1)&lt;0.000000000001,(Slot9_Age-D65)*(1+Slot9_Rate)^(Slot9_Age-D65),(1+Slot9_Rate)^(Slot9_Age-D65)*(1-((1+AS_Wage)/(1+Slot9_Rate))^(Slot9_Age-D65))/(1-(1+AS_Wage)/(1+Slot9_Rate))),1)</f>
        <v>1</v>
      </c>
      <c r="KS65" s="20" t="n">
        <f aca="false">IF(AND(HU65=1,IE65&gt;0,Slot9_IsWG=1,CZ65=1),MAX(0,(Slot9_Cost-DA65*(1+Slot9_Rate)^(Slot9_Age-D65))/KR65),0)</f>
        <v>0</v>
      </c>
      <c r="KT65" s="20" t="n">
        <f aca="false">IF(AND(HU65=1,IE65&gt;0,Slot9_IsWG=1,CZ65=1),MIN(IE65,KS65),0)</f>
        <v>0</v>
      </c>
      <c r="KU65" s="20" t="n">
        <f aca="false">DA65+KT65</f>
        <v>0</v>
      </c>
      <c r="KV65" s="20" t="n">
        <f aca="false">IF(CZ65=1,MAX(0,(Slot9_Cost-KU65*(1+Slot9_Rate)^(Slot9_Age-D65))/KR65),0)</f>
        <v>0</v>
      </c>
      <c r="KW65" s="20" t="n">
        <f aca="false">IF(CZ65=1,MAX(0,(Slot9_Cost-DA65*(1+Slot9_Rate)^(Slot9_Age-D65))/KR65),0)</f>
        <v>0</v>
      </c>
      <c r="KX65" s="20" t="n">
        <f aca="false">IF(AND(HU65=1,CZ65=1),MIN(KQ65,KV65),0)</f>
        <v>0</v>
      </c>
      <c r="KY65" s="20" t="n">
        <f aca="false">KQ65-KX65</f>
        <v>0</v>
      </c>
      <c r="KZ65" s="20" t="n">
        <f aca="false">IF(DJ65=1,IF(ABS((1+AS_Wage)/(1+Slot10_Rate)-1)&lt;0.000000000001,(Slot10_Age-D65)*(1+Slot10_Rate)^(Slot10_Age-D65),(1+Slot10_Rate)^(Slot10_Age-D65)*(1-((1+AS_Wage)/(1+Slot10_Rate))^(Slot10_Age-D65))/(1-(1+AS_Wage)/(1+Slot10_Rate))),1)</f>
        <v>1</v>
      </c>
      <c r="LA65" s="20" t="n">
        <f aca="false">IF(AND(HU65=1,IE65&gt;0,Slot10_IsWG=1,DJ65=1),MAX(0,(Slot10_Cost-DK65*(1+Slot10_Rate)^(Slot10_Age-D65))/KZ65),0)</f>
        <v>0</v>
      </c>
      <c r="LB65" s="20" t="n">
        <f aca="false">IF(AND(HU65=1,IE65&gt;0,Slot10_IsWG=1,DJ65=1),MIN(IE65,LA65),0)</f>
        <v>0</v>
      </c>
      <c r="LC65" s="20" t="n">
        <f aca="false">DK65+LB65</f>
        <v>0</v>
      </c>
      <c r="LD65" s="20" t="n">
        <f aca="false">IF(DJ65=1,MAX(0,(Slot10_Cost-LC65*(1+Slot10_Rate)^(Slot10_Age-D65))/KZ65),0)</f>
        <v>0</v>
      </c>
      <c r="LE65" s="20" t="n">
        <f aca="false">IF(DJ65=1,MAX(0,(Slot10_Cost-DK65*(1+Slot10_Rate)^(Slot10_Age-D65))/KZ65),0)</f>
        <v>0</v>
      </c>
      <c r="LF65" s="20" t="n">
        <f aca="false">IF(AND(HU65=1,DJ65=1),MIN(KY65,LD65),0)</f>
        <v>0</v>
      </c>
      <c r="LG65" s="20" t="n">
        <f aca="false">KY65-LF65</f>
        <v>0</v>
      </c>
      <c r="LH65" s="20" t="n">
        <f aca="false">IF(DT65=1,IF(ABS((1+AS_Wage)/(1+Slot11_Rate)-1)&lt;0.000000000001,(Slot11_Age-D65)*(1+Slot11_Rate)^(Slot11_Age-D65),(1+Slot11_Rate)^(Slot11_Age-D65)*(1-((1+AS_Wage)/(1+Slot11_Rate))^(Slot11_Age-D65))/(1-(1+AS_Wage)/(1+Slot11_Rate))),1)</f>
        <v>1</v>
      </c>
      <c r="LI65" s="20" t="n">
        <f aca="false">IF(AND(HU65=1,IE65&gt;0,Slot11_IsWG=1,DT65=1),MAX(0,(Slot11_Cost-DU65*(1+Slot11_Rate)^(Slot11_Age-D65))/LH65),0)</f>
        <v>0</v>
      </c>
      <c r="LJ65" s="20" t="n">
        <f aca="false">IF(AND(HU65=1,IE65&gt;0,Slot11_IsWG=1,DT65=1),MIN(IE65,LI65),0)</f>
        <v>0</v>
      </c>
      <c r="LK65" s="20" t="n">
        <f aca="false">DU65+LJ65</f>
        <v>0</v>
      </c>
      <c r="LL65" s="20" t="n">
        <f aca="false">IF(DT65=1,MAX(0,(Slot11_Cost-LK65*(1+Slot11_Rate)^(Slot11_Age-D65))/LH65),0)</f>
        <v>0</v>
      </c>
      <c r="LM65" s="20" t="n">
        <f aca="false">IF(DT65=1,MAX(0,(Slot11_Cost-DU65*(1+Slot11_Rate)^(Slot11_Age-D65))/LH65),0)</f>
        <v>0</v>
      </c>
      <c r="LN65" s="20" t="n">
        <f aca="false">IF(AND(HU65=1,DT65=1),MIN(LG65,LL65),0)</f>
        <v>0</v>
      </c>
      <c r="LO65" s="20" t="n">
        <f aca="false">LG65-LN65</f>
        <v>0</v>
      </c>
      <c r="LP65" s="20" t="n">
        <f aca="false">IF(ED65=1,IF(ABS((1+AS_Wage)/(1+Slot12_Rate)-1)&lt;0.000000000001,(Slot12_Age-D65)*(1+Slot12_Rate)^(Slot12_Age-D65),(1+Slot12_Rate)^(Slot12_Age-D65)*(1-((1+AS_Wage)/(1+Slot12_Rate))^(Slot12_Age-D65))/(1-(1+AS_Wage)/(1+Slot12_Rate))),1)</f>
        <v>1</v>
      </c>
      <c r="LQ65" s="20" t="n">
        <f aca="false">IF(AND(HU65=1,IE65&gt;0,Slot12_IsWG=1,ED65=1),MAX(0,(Slot12_Cost-EE65*(1+Slot12_Rate)^(Slot12_Age-D65))/LP65),0)</f>
        <v>0</v>
      </c>
      <c r="LR65" s="20" t="n">
        <f aca="false">IF(AND(HU65=1,IE65&gt;0,Slot12_IsWG=1,ED65=1),MIN(IE65,LQ65),0)</f>
        <v>0</v>
      </c>
      <c r="LS65" s="20" t="n">
        <f aca="false">EE65+LR65</f>
        <v>0</v>
      </c>
      <c r="LT65" s="20" t="n">
        <f aca="false">IF(ED65=1,MAX(0,(Slot12_Cost-LS65*(1+Slot12_Rate)^(Slot12_Age-D65))/LP65),0)</f>
        <v>0</v>
      </c>
      <c r="LU65" s="20" t="n">
        <f aca="false">IF(ED65=1,MAX(0,(Slot12_Cost-EE65*(1+Slot12_Rate)^(Slot12_Age-D65))/LP65),0)</f>
        <v>0</v>
      </c>
      <c r="LV65" s="20" t="n">
        <f aca="false">IF(AND(HU65=1,ED65=1),MIN(LO65,LT65),0)</f>
        <v>0</v>
      </c>
      <c r="LW65" s="20" t="n">
        <f aca="false">LO65-LV65</f>
        <v>0</v>
      </c>
      <c r="LX65" s="20" t="n">
        <f aca="false">IF(EN65=1,IF(ABS((1+AS_Wage)/(1+Slot13_Rate)-1)&lt;0.000000000001,(Slot13_Age-D65)*(1+Slot13_Rate)^(Slot13_Age-D65),(1+Slot13_Rate)^(Slot13_Age-D65)*(1-((1+AS_Wage)/(1+Slot13_Rate))^(Slot13_Age-D65))/(1-(1+AS_Wage)/(1+Slot13_Rate))),1)</f>
        <v>1</v>
      </c>
      <c r="LY65" s="20" t="n">
        <f aca="false">IF(AND(HU65=1,IE65&gt;0,Slot13_IsWG=1,EN65=1),MAX(0,(Slot13_Cost-EO65*(1+Slot13_Rate)^(Slot13_Age-D65))/LX65),0)</f>
        <v>0</v>
      </c>
      <c r="LZ65" s="20" t="n">
        <f aca="false">IF(AND(HU65=1,IE65&gt;0,Slot13_IsWG=1,EN65=1),MIN(IE65,LY65),0)</f>
        <v>0</v>
      </c>
      <c r="MA65" s="20" t="n">
        <f aca="false">EO65+LZ65</f>
        <v>0</v>
      </c>
      <c r="MB65" s="20" t="n">
        <f aca="false">IF(EN65=1,MAX(0,(Slot13_Cost-MA65*(1+Slot13_Rate)^(Slot13_Age-D65))/LX65),0)</f>
        <v>0</v>
      </c>
      <c r="MC65" s="20" t="n">
        <f aca="false">IF(EN65=1,MAX(0,(Slot13_Cost-EO65*(1+Slot13_Rate)^(Slot13_Age-D65))/LX65),0)</f>
        <v>0</v>
      </c>
      <c r="MD65" s="20" t="n">
        <f aca="false">IF(AND(HU65=1,EN65=1),MIN(LW65,MB65),0)</f>
        <v>0</v>
      </c>
      <c r="ME65" s="20" t="n">
        <f aca="false">LW65-MD65</f>
        <v>0</v>
      </c>
      <c r="MF65" s="20" t="n">
        <f aca="false">IF(EX65=1,IF(ABS((1+AS_Wage)/(1+Slot14_Rate)-1)&lt;0.000000000001,(Slot14_Age-D65)*(1+Slot14_Rate)^(Slot14_Age-D65),(1+Slot14_Rate)^(Slot14_Age-D65)*(1-((1+AS_Wage)/(1+Slot14_Rate))^(Slot14_Age-D65))/(1-(1+AS_Wage)/(1+Slot14_Rate))),1)</f>
        <v>1</v>
      </c>
      <c r="MG65" s="20" t="n">
        <f aca="false">IF(AND(HU65=1,IE65&gt;0,Slot14_IsWG=1,EX65=1),MAX(0,(Slot14_Cost-EY65*(1+Slot14_Rate)^(Slot14_Age-D65))/MF65),0)</f>
        <v>0</v>
      </c>
      <c r="MH65" s="20" t="n">
        <f aca="false">IF(AND(HU65=1,IE65&gt;0,Slot14_IsWG=1,EX65=1),MIN(IE65,MG65),0)</f>
        <v>0</v>
      </c>
      <c r="MI65" s="20" t="n">
        <f aca="false">EY65+MH65</f>
        <v>0</v>
      </c>
      <c r="MJ65" s="20" t="n">
        <f aca="false">IF(EX65=1,MAX(0,(Slot14_Cost-MI65*(1+Slot14_Rate)^(Slot14_Age-D65))/MF65),0)</f>
        <v>0</v>
      </c>
      <c r="MK65" s="20" t="n">
        <f aca="false">IF(EX65=1,MAX(0,(Slot14_Cost-EY65*(1+Slot14_Rate)^(Slot14_Age-D65))/MF65),0)</f>
        <v>0</v>
      </c>
      <c r="ML65" s="20" t="n">
        <f aca="false">IF(AND(HU65=1,EX65=1),MIN(ME65,MJ65),0)</f>
        <v>0</v>
      </c>
      <c r="MM65" s="20" t="n">
        <f aca="false">ME65-ML65</f>
        <v>0</v>
      </c>
      <c r="MN65" s="20" t="n">
        <f aca="false">IF(FH65=1,IF(ABS((1+AS_Wage)/(1+Slot15_Rate)-1)&lt;0.000000000001,(Slot15_Age-D65)*(1+Slot15_Rate)^(Slot15_Age-D65),(1+Slot15_Rate)^(Slot15_Age-D65)*(1-((1+AS_Wage)/(1+Slot15_Rate))^(Slot15_Age-D65))/(1-(1+AS_Wage)/(1+Slot15_Rate))),1)</f>
        <v>1</v>
      </c>
      <c r="MO65" s="20" t="n">
        <f aca="false">IF(AND(HU65=1,IE65&gt;0,Slot15_IsWG=1,FH65=1),MAX(0,(Slot15_Cost-FI65*(1+Slot15_Rate)^(Slot15_Age-D65))/MN65),0)</f>
        <v>0</v>
      </c>
      <c r="MP65" s="20" t="n">
        <f aca="false">IF(AND(HU65=1,IE65&gt;0,Slot15_IsWG=1,FH65=1),MIN(IE65,MO65),0)</f>
        <v>0</v>
      </c>
      <c r="MQ65" s="20" t="n">
        <f aca="false">FI65+MP65</f>
        <v>0</v>
      </c>
      <c r="MR65" s="20" t="n">
        <f aca="false">IF(FH65=1,MAX(0,(Slot15_Cost-MQ65*(1+Slot15_Rate)^(Slot15_Age-D65))/MN65),0)</f>
        <v>0</v>
      </c>
      <c r="MS65" s="20" t="n">
        <f aca="false">IF(FH65=1,MAX(0,(Slot15_Cost-FI65*(1+Slot15_Rate)^(Slot15_Age-D65))/MN65),0)</f>
        <v>0</v>
      </c>
      <c r="MT65" s="20" t="n">
        <f aca="false">IF(AND(HU65=1,FH65=1),MIN(MM65,MR65),0)</f>
        <v>0</v>
      </c>
      <c r="MU65" s="20" t="n">
        <f aca="false">MM65-MT65</f>
        <v>0</v>
      </c>
      <c r="MV65" s="20" t="n">
        <f aca="false">IF(FR65=1,IF(ABS((1+AS_Wage)/(1+Slot16_Rate)-1)&lt;0.000000000001,(Slot16_Age-D65)*(1+Slot16_Rate)^(Slot16_Age-D65),(1+Slot16_Rate)^(Slot16_Age-D65)*(1-((1+AS_Wage)/(1+Slot16_Rate))^(Slot16_Age-D65))/(1-(1+AS_Wage)/(1+Slot16_Rate))),1)</f>
        <v>1</v>
      </c>
      <c r="MW65" s="20" t="n">
        <f aca="false">IF(AND(HU65=1,IE65&gt;0,Slot16_IsWG=1,FR65=1),MAX(0,(Slot16_Cost-FS65*(1+Slot16_Rate)^(Slot16_Age-D65))/MV65),0)</f>
        <v>0</v>
      </c>
      <c r="MX65" s="20" t="n">
        <f aca="false">IF(AND(HU65=1,IE65&gt;0,Slot16_IsWG=1,FR65=1),MIN(IE65,MW65),0)</f>
        <v>0</v>
      </c>
      <c r="MY65" s="20" t="n">
        <f aca="false">FS65+MX65</f>
        <v>0</v>
      </c>
      <c r="MZ65" s="20" t="n">
        <f aca="false">IF(FR65=1,MAX(0,(Slot16_Cost-MY65*(1+Slot16_Rate)^(Slot16_Age-D65))/MV65),0)</f>
        <v>0</v>
      </c>
      <c r="NA65" s="20" t="n">
        <f aca="false">IF(FR65=1,MAX(0,(Slot16_Cost-FS65*(1+Slot16_Rate)^(Slot16_Age-D65))/MV65),0)</f>
        <v>0</v>
      </c>
      <c r="NB65" s="20" t="n">
        <f aca="false">IF(AND(HU65=1,FR65=1),MIN(MU65,MZ65),0)</f>
        <v>0</v>
      </c>
      <c r="NC65" s="20" t="n">
        <f aca="false">MU65-NB65</f>
        <v>0</v>
      </c>
      <c r="ND65" s="20" t="n">
        <f aca="false">IF(GB65=1,IF(ABS((1+AS_Wage)/(1+Slot17_Rate)-1)&lt;0.000000000001,(Slot17_Age-D65)*(1+Slot17_Rate)^(Slot17_Age-D65),(1+Slot17_Rate)^(Slot17_Age-D65)*(1-((1+AS_Wage)/(1+Slot17_Rate))^(Slot17_Age-D65))/(1-(1+AS_Wage)/(1+Slot17_Rate))),1)</f>
        <v>1</v>
      </c>
      <c r="NE65" s="20" t="n">
        <f aca="false">IF(AND(HU65=1,IE65&gt;0,Slot17_IsWG=1,GB65=1),MAX(0,(Slot17_Cost-GC65*(1+Slot17_Rate)^(Slot17_Age-D65))/ND65),0)</f>
        <v>0</v>
      </c>
      <c r="NF65" s="20" t="n">
        <f aca="false">IF(AND(HU65=1,IE65&gt;0,Slot17_IsWG=1,GB65=1),MIN(IE65,NE65),0)</f>
        <v>0</v>
      </c>
      <c r="NG65" s="20" t="n">
        <f aca="false">GC65+NF65</f>
        <v>0</v>
      </c>
      <c r="NH65" s="20" t="n">
        <f aca="false">IF(GB65=1,MAX(0,(Slot17_Cost-NG65*(1+Slot17_Rate)^(Slot17_Age-D65))/ND65),0)</f>
        <v>0</v>
      </c>
      <c r="NI65" s="20" t="n">
        <f aca="false">IF(GB65=1,MAX(0,(Slot17_Cost-GC65*(1+Slot17_Rate)^(Slot17_Age-D65))/ND65),0)</f>
        <v>0</v>
      </c>
      <c r="NJ65" s="20" t="n">
        <f aca="false">IF(AND(HU65=1,GB65=1),MIN(NC65,NH65),0)</f>
        <v>0</v>
      </c>
      <c r="NK65" s="20" t="n">
        <f aca="false">NC65-NJ65</f>
        <v>0</v>
      </c>
      <c r="NL65" s="20" t="n">
        <f aca="false">IF(GL65=1,IF(ABS((1+AS_Wage)/(1+Slot18_Rate)-1)&lt;0.000000000001,(Slot18_Age-D65)*(1+Slot18_Rate)^(Slot18_Age-D65),(1+Slot18_Rate)^(Slot18_Age-D65)*(1-((1+AS_Wage)/(1+Slot18_Rate))^(Slot18_Age-D65))/(1-(1+AS_Wage)/(1+Slot18_Rate))),1)</f>
        <v>1</v>
      </c>
      <c r="NM65" s="20" t="n">
        <f aca="false">IF(AND(HU65=1,IE65&gt;0,Slot18_IsWG=1,GL65=1),MAX(0,(Slot18_Cost-GM65*(1+Slot18_Rate)^(Slot18_Age-D65))/NL65),0)</f>
        <v>0</v>
      </c>
      <c r="NN65" s="20" t="n">
        <f aca="false">IF(AND(HU65=1,IE65&gt;0,Slot18_IsWG=1,GL65=1),MIN(IE65,NM65),0)</f>
        <v>0</v>
      </c>
      <c r="NO65" s="20" t="n">
        <f aca="false">GM65+NN65</f>
        <v>0</v>
      </c>
      <c r="NP65" s="20" t="n">
        <f aca="false">IF(GL65=1,MAX(0,(Slot18_Cost-NO65*(1+Slot18_Rate)^(Slot18_Age-D65))/NL65),0)</f>
        <v>0</v>
      </c>
      <c r="NQ65" s="20" t="n">
        <f aca="false">IF(GL65=1,MAX(0,(Slot18_Cost-GM65*(1+Slot18_Rate)^(Slot18_Age-D65))/NL65),0)</f>
        <v>0</v>
      </c>
      <c r="NR65" s="20" t="n">
        <f aca="false">IF(AND(HU65=1,GL65=1),MIN(NK65,NP65),0)</f>
        <v>0</v>
      </c>
      <c r="NS65" s="20" t="n">
        <f aca="false">NK65-NR65</f>
        <v>0</v>
      </c>
      <c r="NT65" s="20" t="n">
        <f aca="false">IF(GV65=1,IF(ABS((1+AS_Wage)/(1+Slot19_Rate)-1)&lt;0.000000000001,(Slot19_Age-D65)*(1+Slot19_Rate)^(Slot19_Age-D65),(1+Slot19_Rate)^(Slot19_Age-D65)*(1-((1+AS_Wage)/(1+Slot19_Rate))^(Slot19_Age-D65))/(1-(1+AS_Wage)/(1+Slot19_Rate))),1)</f>
        <v>1</v>
      </c>
      <c r="NU65" s="20" t="n">
        <f aca="false">IF(AND(HU65=1,IE65&gt;0,Slot19_IsWG=1,GV65=1),MAX(0,(Slot19_Cost-GW65*(1+Slot19_Rate)^(Slot19_Age-D65))/NT65),0)</f>
        <v>0</v>
      </c>
      <c r="NV65" s="20" t="n">
        <f aca="false">IF(AND(HU65=1,IE65&gt;0,Slot19_IsWG=1,GV65=1),MIN(IE65,NU65),0)</f>
        <v>0</v>
      </c>
      <c r="NW65" s="20" t="n">
        <f aca="false">GW65+NV65</f>
        <v>0</v>
      </c>
      <c r="NX65" s="20" t="n">
        <f aca="false">IF(GV65=1,MAX(0,(Slot19_Cost-NW65*(1+Slot19_Rate)^(Slot19_Age-D65))/NT65),0)</f>
        <v>0</v>
      </c>
      <c r="NY65" s="20" t="n">
        <f aca="false">IF(GV65=1,MAX(0,(Slot19_Cost-GW65*(1+Slot19_Rate)^(Slot19_Age-D65))/NT65),0)</f>
        <v>0</v>
      </c>
      <c r="NZ65" s="20" t="n">
        <f aca="false">IF(AND(HU65=1,GV65=1),MIN(NS65,NX65),0)</f>
        <v>0</v>
      </c>
      <c r="OA65" s="20" t="n">
        <f aca="false">NS65-NZ65</f>
        <v>0</v>
      </c>
      <c r="OB65" s="20" t="n">
        <f aca="false">IF(HF65=1,IF(ABS((1+AS_Wage)/(1+Slot20_Rate)-1)&lt;0.000000000001,(Slot20_Age-D65)*(1+Slot20_Rate)^(Slot20_Age-D65),(1+Slot20_Rate)^(Slot20_Age-D65)*(1-((1+AS_Wage)/(1+Slot20_Rate))^(Slot20_Age-D65))/(1-(1+AS_Wage)/(1+Slot20_Rate))),1)</f>
        <v>1</v>
      </c>
      <c r="OC65" s="20" t="n">
        <f aca="false">IF(AND(HU65=1,IE65&gt;0,Slot20_IsWG=1,HF65=1),MAX(0,(Slot20_Cost-HG65*(1+Slot20_Rate)^(Slot20_Age-D65))/OB65),0)</f>
        <v>0</v>
      </c>
      <c r="OD65" s="20" t="n">
        <f aca="false">IF(AND(HU65=1,IE65&gt;0,Slot20_IsWG=1,HF65=1),MIN(IE65,OC65),0)</f>
        <v>0</v>
      </c>
      <c r="OE65" s="20" t="n">
        <f aca="false">HG65+OD65</f>
        <v>0</v>
      </c>
      <c r="OF65" s="20" t="n">
        <f aca="false">IF(HF65=1,MAX(0,(Slot20_Cost-OE65*(1+Slot20_Rate)^(Slot20_Age-D65))/OB65),0)</f>
        <v>0</v>
      </c>
      <c r="OG65" s="20" t="n">
        <f aca="false">IF(HF65=1,MAX(0,(Slot20_Cost-HG65*(1+Slot20_Rate)^(Slot20_Age-D65))/OB65),0)</f>
        <v>0</v>
      </c>
      <c r="OH65" s="20" t="n">
        <f aca="false">IF(AND(HU65=1,HF65=1),MIN(OA65,OF65),0)</f>
        <v>0</v>
      </c>
      <c r="OI65" s="20" t="n">
        <f aca="false">OA65-OH65</f>
        <v>0</v>
      </c>
      <c r="OJ65" s="20" t="n">
        <f aca="false">IE65-(IH65+IP65+IX65+JF65+JN65+JV65+KD65+KL65+KT65+LB65+LJ65+LR65+LZ65+MH65+MP65+MX65+NF65+NN65+NV65+OD65)</f>
        <v>0</v>
      </c>
      <c r="OK65" s="20" t="n">
        <f aca="false">IF(HU65=1,HS65-ID65-IE65,0)</f>
        <v>0</v>
      </c>
      <c r="OL65" s="20" t="n">
        <f aca="false">IF(HU65=0,-HS65,0)</f>
        <v>29475.9988264829</v>
      </c>
      <c r="OM65" s="20" t="n">
        <f aca="false">MIN(OL65,HK65)</f>
        <v>0</v>
      </c>
      <c r="ON65" s="20" t="n">
        <f aca="false">OL65-OM65</f>
        <v>29475.9988264829</v>
      </c>
      <c r="OO65" s="20" t="n">
        <f aca="false">MIN(ON65,HL65)</f>
        <v>0</v>
      </c>
      <c r="OP65" s="20" t="n">
        <f aca="false">ON65-OO65</f>
        <v>29475.9988264829</v>
      </c>
      <c r="OQ65" s="20" t="n">
        <f aca="false">IF(AND(HU65=0,HF65=1,OP65&gt;0),MIN(OP65,HG65),0)</f>
        <v>0</v>
      </c>
      <c r="OR65" s="20" t="n">
        <f aca="false">OP65-OQ65</f>
        <v>29475.9988264829</v>
      </c>
      <c r="OS65" s="20" t="n">
        <f aca="false">IF(AND(HU65=0,GV65=1,OR65&gt;0),MIN(OR65,GW65),0)</f>
        <v>0</v>
      </c>
      <c r="OT65" s="20" t="n">
        <f aca="false">OR65-OS65</f>
        <v>29475.9988264829</v>
      </c>
      <c r="OU65" s="20" t="n">
        <f aca="false">IF(AND(HU65=0,GL65=1,OT65&gt;0),MIN(OT65,GM65),0)</f>
        <v>0</v>
      </c>
      <c r="OV65" s="20" t="n">
        <f aca="false">OT65-OU65</f>
        <v>29475.9988264829</v>
      </c>
      <c r="OW65" s="20" t="n">
        <f aca="false">IF(AND(HU65=0,GB65=1,OV65&gt;0),MIN(OV65,GC65),0)</f>
        <v>0</v>
      </c>
      <c r="OX65" s="20" t="n">
        <f aca="false">OV65-OW65</f>
        <v>29475.9988264829</v>
      </c>
      <c r="OY65" s="20" t="n">
        <f aca="false">IF(AND(HU65=0,FR65=1,OX65&gt;0),MIN(OX65,FS65),0)</f>
        <v>0</v>
      </c>
      <c r="OZ65" s="20" t="n">
        <f aca="false">OX65-OY65</f>
        <v>29475.9988264829</v>
      </c>
      <c r="PA65" s="20" t="n">
        <f aca="false">IF(AND(HU65=0,FH65=1,OZ65&gt;0),MIN(OZ65,FI65),0)</f>
        <v>0</v>
      </c>
      <c r="PB65" s="20" t="n">
        <f aca="false">OZ65-PA65</f>
        <v>29475.9988264829</v>
      </c>
      <c r="PC65" s="20" t="n">
        <f aca="false">IF(AND(HU65=0,EX65=1,PB65&gt;0),MIN(PB65,EY65),0)</f>
        <v>0</v>
      </c>
      <c r="PD65" s="20" t="n">
        <f aca="false">PB65-PC65</f>
        <v>29475.9988264829</v>
      </c>
      <c r="PE65" s="20" t="n">
        <f aca="false">IF(AND(HU65=0,EN65=1,PD65&gt;0),MIN(PD65,EO65),0)</f>
        <v>0</v>
      </c>
      <c r="PF65" s="20" t="n">
        <f aca="false">PD65-PE65</f>
        <v>29475.9988264829</v>
      </c>
      <c r="PG65" s="20" t="n">
        <f aca="false">IF(AND(HU65=0,ED65=1,PF65&gt;0),MIN(PF65,EE65),0)</f>
        <v>0</v>
      </c>
      <c r="PH65" s="20" t="n">
        <f aca="false">PF65-PG65</f>
        <v>29475.9988264829</v>
      </c>
      <c r="PI65" s="20" t="n">
        <f aca="false">IF(AND(HU65=0,DT65=1,PH65&gt;0),MIN(PH65,DU65),0)</f>
        <v>0</v>
      </c>
      <c r="PJ65" s="20" t="n">
        <f aca="false">PH65-PI65</f>
        <v>29475.9988264829</v>
      </c>
      <c r="PK65" s="20" t="n">
        <f aca="false">IF(AND(HU65=0,DJ65=1,PJ65&gt;0),MIN(PJ65,DK65),0)</f>
        <v>0</v>
      </c>
      <c r="PL65" s="20" t="n">
        <f aca="false">PJ65-PK65</f>
        <v>29475.9988264829</v>
      </c>
      <c r="PM65" s="20" t="n">
        <f aca="false">IF(AND(HU65=0,CZ65=1,PL65&gt;0),MIN(PL65,DA65),0)</f>
        <v>0</v>
      </c>
      <c r="PN65" s="20" t="n">
        <f aca="false">PL65-PM65</f>
        <v>29475.9988264829</v>
      </c>
      <c r="PO65" s="20" t="n">
        <f aca="false">IF(AND(HU65=0,CP65=1,PN65&gt;0),MIN(PN65,CQ65),0)</f>
        <v>0</v>
      </c>
      <c r="PP65" s="20" t="n">
        <f aca="false">PN65-PO65</f>
        <v>29475.9988264829</v>
      </c>
      <c r="PQ65" s="20" t="n">
        <f aca="false">IF(AND(HU65=0,CF65=1,PP65&gt;0),MIN(PP65,CG65),0)</f>
        <v>0</v>
      </c>
      <c r="PR65" s="20" t="n">
        <f aca="false">PP65-PQ65</f>
        <v>29475.9988264829</v>
      </c>
      <c r="PS65" s="20" t="n">
        <f aca="false">IF(AND(HU65=0,BV65=1,PR65&gt;0),MIN(PR65,BW65),0)</f>
        <v>0</v>
      </c>
      <c r="PT65" s="20" t="n">
        <f aca="false">PR65-PS65</f>
        <v>29475.9988264829</v>
      </c>
      <c r="PU65" s="20" t="n">
        <f aca="false">IF(AND(HU65=0,BL65=1,PT65&gt;0),MIN(PT65,BM65),0)</f>
        <v>0</v>
      </c>
      <c r="PV65" s="20" t="n">
        <f aca="false">PT65-PU65</f>
        <v>29475.9988264829</v>
      </c>
      <c r="PW65" s="20" t="n">
        <f aca="false">IF(AND(HU65=0,BB65=1,PV65&gt;0),MIN(PV65,BC65),0)</f>
        <v>0</v>
      </c>
      <c r="PX65" s="20" t="n">
        <f aca="false">PV65-PW65</f>
        <v>29475.9988264829</v>
      </c>
      <c r="PY65" s="20" t="n">
        <f aca="false">IF(AND(HU65=0,AR65=1,PX65&gt;0),MIN(PX65,AS65),0)</f>
        <v>0</v>
      </c>
      <c r="PZ65" s="20" t="n">
        <f aca="false">PX65-PY65</f>
        <v>29475.9988264829</v>
      </c>
      <c r="QA65" s="20" t="n">
        <f aca="false">IF(AND(HU65=0,AH65=1,PZ65&gt;0),MIN(PZ65,AI65),0)</f>
        <v>0</v>
      </c>
      <c r="QB65" s="20" t="n">
        <f aca="false">PZ65-QA65</f>
        <v>29475.9988264829</v>
      </c>
      <c r="QC65" s="20" t="n">
        <f aca="false">IF(AND(HU65=0,W65=1,QB65&gt;0),MIN(QB65,X65),0)</f>
        <v>0</v>
      </c>
      <c r="QD65" s="20" t="n">
        <f aca="false">QB65-QC65</f>
        <v>29475.9988264829</v>
      </c>
      <c r="QE65" s="20" t="n">
        <f aca="false">IF(HU65=0,QD65,0)</f>
        <v>29475.9988264829</v>
      </c>
      <c r="QF65" s="20" t="n">
        <f aca="false">OM65+OO65+QC65+QA65+PY65+PW65+PU65+PS65+PQ65+PO65+PM65+PK65+PI65+PG65+PE65+PC65+PA65+OY65+OW65+OU65+OS65+OQ65</f>
        <v>0</v>
      </c>
      <c r="QG65" s="20" t="n">
        <f aca="false">IF(HU65=1,HK65+OJ65+OI65+IF(G65=1,0,OK65),HK65-OM65)</f>
        <v>0</v>
      </c>
      <c r="QH65" s="20" t="n">
        <f aca="false">HL65-OO65</f>
        <v>0</v>
      </c>
      <c r="QI65" s="20" t="n">
        <f aca="false">IF(HU65=1,IF(G65=1,ID65+IE65,HS65),0)</f>
        <v>0</v>
      </c>
      <c r="QJ65" s="20" t="n">
        <f aca="false">IF(HU65=1,IF(G65=1,HS65-ID65-IE65,0),0)</f>
        <v>0</v>
      </c>
      <c r="QK65" s="20" t="n">
        <f aca="false">QG65*(1+GR)</f>
        <v>0</v>
      </c>
      <c r="QL65" s="20" t="n">
        <f aca="false">QH65*(1+AS_Cash)</f>
        <v>0</v>
      </c>
      <c r="QM65" s="20" t="n">
        <f aca="false">IF(W65=1,IF(HU65=1,II65+IL65,X65-QC65)*(1+Slot1_Rate),0)</f>
        <v>0</v>
      </c>
      <c r="QN65" s="20" t="n">
        <f aca="false">IF(AND(HU65=1,W65=1),(IH65+IL65)/F65,0)</f>
        <v>0</v>
      </c>
      <c r="QO65" s="20" t="n">
        <f aca="false">IF(B65=0,IH65+IL65,0)</f>
        <v>0</v>
      </c>
      <c r="QP65" s="20" t="n">
        <f aca="false">IF(B65=0,IF(HU65=1,IJ65,IK65),0)</f>
        <v>0</v>
      </c>
      <c r="QQ65" s="20" t="n">
        <f aca="false">IF(AH65=1,IF(HU65=1,IQ65+IT65,AI65-QA65)*(1+Slot2_Rate),0)</f>
        <v>0</v>
      </c>
      <c r="QR65" s="20" t="n">
        <f aca="false">IF(AND(HU65=1,AH65=1),(IP65+IT65)/F65,0)</f>
        <v>0</v>
      </c>
      <c r="QS65" s="20" t="n">
        <f aca="false">IF(B65=0,IP65+IT65,0)</f>
        <v>0</v>
      </c>
      <c r="QT65" s="20" t="n">
        <f aca="false">IF(B65=0,IF(HU65=1,IR65,IS65),0)</f>
        <v>0</v>
      </c>
      <c r="QU65" s="20" t="n">
        <f aca="false">IF(AR65=1,IF(HU65=1,IY65+JB65,AS65-PY65)*(1+Slot3_Rate),0)</f>
        <v>0</v>
      </c>
      <c r="QV65" s="20" t="n">
        <f aca="false">IF(AND(HU65=1,AR65=1),(IX65+JB65)/F65,0)</f>
        <v>0</v>
      </c>
      <c r="QW65" s="20" t="n">
        <f aca="false">IF(B65=0,IX65+JB65,0)</f>
        <v>0</v>
      </c>
      <c r="QX65" s="20" t="n">
        <f aca="false">IF(B65=0,IF(HU65=1,IZ65,JA65),0)</f>
        <v>0</v>
      </c>
      <c r="QY65" s="20" t="n">
        <f aca="false">IF(BB65=1,IF(HU65=1,JG65+JJ65,BC65-PW65)*(1+Slot4_Rate),0)</f>
        <v>0</v>
      </c>
      <c r="QZ65" s="20" t="n">
        <f aca="false">IF(AND(HU65=1,BB65=1),(JF65+JJ65)/F65,0)</f>
        <v>0</v>
      </c>
      <c r="RA65" s="20" t="n">
        <f aca="false">IF(B65=0,JF65+JJ65,0)</f>
        <v>0</v>
      </c>
      <c r="RB65" s="20" t="n">
        <f aca="false">IF(B65=0,IF(HU65=1,JH65,JI65),0)</f>
        <v>0</v>
      </c>
      <c r="RC65" s="20" t="n">
        <f aca="false">IF(BL65=1,IF(HU65=1,JO65+JR65,BM65-PU65)*(1+Slot5_Rate),0)</f>
        <v>0</v>
      </c>
      <c r="RD65" s="20" t="n">
        <f aca="false">IF(AND(HU65=1,BL65=1),(JN65+JR65)/F65,0)</f>
        <v>0</v>
      </c>
      <c r="RE65" s="20" t="n">
        <f aca="false">IF(B65=0,JN65+JR65,0)</f>
        <v>0</v>
      </c>
      <c r="RF65" s="20" t="n">
        <f aca="false">IF(B65=0,IF(HU65=1,JP65,JQ65),0)</f>
        <v>0</v>
      </c>
      <c r="RG65" s="20" t="n">
        <f aca="false">IF(BV65=1,IF(HU65=1,JW65+JZ65,BW65-PS65)*(1+Slot6_Rate),0)</f>
        <v>0</v>
      </c>
      <c r="RH65" s="20" t="n">
        <f aca="false">IF(AND(HU65=1,BV65=1),(JV65+JZ65)/F65,0)</f>
        <v>0</v>
      </c>
      <c r="RI65" s="20" t="n">
        <f aca="false">IF(B65=0,JV65+JZ65,0)</f>
        <v>0</v>
      </c>
      <c r="RJ65" s="20" t="n">
        <f aca="false">IF(B65=0,IF(HU65=1,JX65,JY65),0)</f>
        <v>0</v>
      </c>
      <c r="RK65" s="20" t="n">
        <f aca="false">IF(CF65=1,IF(HU65=1,KE65+KH65,CG65-PQ65)*(1+Slot7_Rate),0)</f>
        <v>0</v>
      </c>
      <c r="RL65" s="20" t="n">
        <f aca="false">IF(AND(HU65=1,CF65=1),(KD65+KH65)/F65,0)</f>
        <v>0</v>
      </c>
      <c r="RM65" s="20" t="n">
        <f aca="false">IF(B65=0,KD65+KH65,0)</f>
        <v>0</v>
      </c>
      <c r="RN65" s="20" t="n">
        <f aca="false">IF(B65=0,IF(HU65=1,KF65,KG65),0)</f>
        <v>0</v>
      </c>
      <c r="RO65" s="20" t="n">
        <f aca="false">IF(CP65=1,IF(HU65=1,KM65+KP65,CQ65-PO65)*(1+Slot8_Rate),0)</f>
        <v>0</v>
      </c>
      <c r="RP65" s="20" t="n">
        <f aca="false">IF(AND(HU65=1,CP65=1),(KL65+KP65)/F65,0)</f>
        <v>0</v>
      </c>
      <c r="RQ65" s="20" t="n">
        <f aca="false">IF(B65=0,KL65+KP65,0)</f>
        <v>0</v>
      </c>
      <c r="RR65" s="20" t="n">
        <f aca="false">IF(B65=0,IF(HU65=1,KN65,KO65),0)</f>
        <v>0</v>
      </c>
      <c r="RS65" s="20" t="n">
        <f aca="false">IF(CZ65=1,IF(HU65=1,KU65+KX65,DA65-PM65)*(1+Slot9_Rate),0)</f>
        <v>0</v>
      </c>
      <c r="RT65" s="20" t="n">
        <f aca="false">IF(AND(HU65=1,CZ65=1),(KT65+KX65)/F65,0)</f>
        <v>0</v>
      </c>
      <c r="RU65" s="20" t="n">
        <f aca="false">IF(B65=0,KT65+KX65,0)</f>
        <v>0</v>
      </c>
      <c r="RV65" s="20" t="n">
        <f aca="false">IF(B65=0,IF(HU65=1,KV65,KW65),0)</f>
        <v>0</v>
      </c>
      <c r="RW65" s="20" t="n">
        <f aca="false">IF(DJ65=1,IF(HU65=1,LC65+LF65,DK65-PK65)*(1+Slot10_Rate),0)</f>
        <v>0</v>
      </c>
      <c r="RX65" s="20" t="n">
        <f aca="false">IF(AND(HU65=1,DJ65=1),(LB65+LF65)/F65,0)</f>
        <v>0</v>
      </c>
      <c r="RY65" s="20" t="n">
        <f aca="false">IF(B65=0,LB65+LF65,0)</f>
        <v>0</v>
      </c>
      <c r="RZ65" s="20" t="n">
        <f aca="false">IF(B65=0,IF(HU65=1,LD65,LE65),0)</f>
        <v>0</v>
      </c>
      <c r="SA65" s="20" t="n">
        <f aca="false">IF(DT65=1,IF(HU65=1,LK65+LN65,DU65-PI65)*(1+Slot11_Rate),0)</f>
        <v>0</v>
      </c>
      <c r="SB65" s="20" t="n">
        <f aca="false">IF(AND(HU65=1,DT65=1),(LJ65+LN65)/F65,0)</f>
        <v>0</v>
      </c>
      <c r="SC65" s="20" t="n">
        <f aca="false">IF(B65=0,LJ65+LN65,0)</f>
        <v>0</v>
      </c>
      <c r="SD65" s="20" t="n">
        <f aca="false">IF(B65=0,IF(HU65=1,LL65,LM65),0)</f>
        <v>0</v>
      </c>
      <c r="SE65" s="20" t="n">
        <f aca="false">IF(ED65=1,IF(HU65=1,LS65+LV65,EE65-PG65)*(1+Slot12_Rate),0)</f>
        <v>0</v>
      </c>
      <c r="SF65" s="20" t="n">
        <f aca="false">IF(AND(HU65=1,ED65=1),(LR65+LV65)/F65,0)</f>
        <v>0</v>
      </c>
      <c r="SG65" s="20" t="n">
        <f aca="false">IF(B65=0,LR65+LV65,0)</f>
        <v>0</v>
      </c>
      <c r="SH65" s="20" t="n">
        <f aca="false">IF(B65=0,IF(HU65=1,LT65,LU65),0)</f>
        <v>0</v>
      </c>
      <c r="SI65" s="20" t="n">
        <f aca="false">IF(EN65=1,IF(HU65=1,MA65+MD65,EO65-PE65)*(1+Slot13_Rate),0)</f>
        <v>0</v>
      </c>
      <c r="SJ65" s="20" t="n">
        <f aca="false">IF(AND(HU65=1,EN65=1),(LZ65+MD65)/F65,0)</f>
        <v>0</v>
      </c>
      <c r="SK65" s="20" t="n">
        <f aca="false">IF(B65=0,LZ65+MD65,0)</f>
        <v>0</v>
      </c>
      <c r="SL65" s="20" t="n">
        <f aca="false">IF(B65=0,IF(HU65=1,MB65,MC65),0)</f>
        <v>0</v>
      </c>
      <c r="SM65" s="20" t="n">
        <f aca="false">IF(EX65=1,IF(HU65=1,MI65+ML65,EY65-PC65)*(1+Slot14_Rate),0)</f>
        <v>0</v>
      </c>
      <c r="SN65" s="20" t="n">
        <f aca="false">IF(AND(HU65=1,EX65=1),(MH65+ML65)/F65,0)</f>
        <v>0</v>
      </c>
      <c r="SO65" s="20" t="n">
        <f aca="false">IF(B65=0,MH65+ML65,0)</f>
        <v>0</v>
      </c>
      <c r="SP65" s="20" t="n">
        <f aca="false">IF(B65=0,IF(HU65=1,MJ65,MK65),0)</f>
        <v>0</v>
      </c>
      <c r="SQ65" s="20" t="n">
        <f aca="false">IF(FH65=1,IF(HU65=1,MQ65+MT65,FI65-PA65)*(1+Slot15_Rate),0)</f>
        <v>0</v>
      </c>
      <c r="SR65" s="20" t="n">
        <f aca="false">IF(AND(HU65=1,FH65=1),(MP65+MT65)/F65,0)</f>
        <v>0</v>
      </c>
      <c r="SS65" s="20" t="n">
        <f aca="false">IF(B65=0,MP65+MT65,0)</f>
        <v>0</v>
      </c>
      <c r="ST65" s="20" t="n">
        <f aca="false">IF(B65=0,IF(HU65=1,MR65,MS65),0)</f>
        <v>0</v>
      </c>
      <c r="SU65" s="20" t="n">
        <f aca="false">IF(FR65=1,IF(HU65=1,MY65+NB65,FS65-OY65)*(1+Slot16_Rate),0)</f>
        <v>0</v>
      </c>
      <c r="SV65" s="20" t="n">
        <f aca="false">IF(AND(HU65=1,FR65=1),(MX65+NB65)/F65,0)</f>
        <v>0</v>
      </c>
      <c r="SW65" s="20" t="n">
        <f aca="false">IF(B65=0,MX65+NB65,0)</f>
        <v>0</v>
      </c>
      <c r="SX65" s="20" t="n">
        <f aca="false">IF(B65=0,IF(HU65=1,MZ65,NA65),0)</f>
        <v>0</v>
      </c>
      <c r="SY65" s="20" t="n">
        <f aca="false">IF(GB65=1,IF(HU65=1,NG65+NJ65,GC65-OW65)*(1+Slot17_Rate),0)</f>
        <v>0</v>
      </c>
      <c r="SZ65" s="20" t="n">
        <f aca="false">IF(AND(HU65=1,GB65=1),(NF65+NJ65)/F65,0)</f>
        <v>0</v>
      </c>
      <c r="TA65" s="20" t="n">
        <f aca="false">IF(B65=0,NF65+NJ65,0)</f>
        <v>0</v>
      </c>
      <c r="TB65" s="20" t="n">
        <f aca="false">IF(B65=0,IF(HU65=1,NH65,NI65),0)</f>
        <v>0</v>
      </c>
      <c r="TC65" s="20" t="n">
        <f aca="false">IF(GL65=1,IF(HU65=1,NO65+NR65,GM65-OU65)*(1+Slot18_Rate),0)</f>
        <v>0</v>
      </c>
      <c r="TD65" s="20" t="n">
        <f aca="false">IF(AND(HU65=1,GL65=1),(NN65+NR65)/F65,0)</f>
        <v>0</v>
      </c>
      <c r="TE65" s="20" t="n">
        <f aca="false">IF(B65=0,NN65+NR65,0)</f>
        <v>0</v>
      </c>
      <c r="TF65" s="20" t="n">
        <f aca="false">IF(B65=0,IF(HU65=1,NP65,NQ65),0)</f>
        <v>0</v>
      </c>
      <c r="TG65" s="20" t="n">
        <f aca="false">IF(GV65=1,IF(HU65=1,NW65+NZ65,GW65-OS65)*(1+Slot19_Rate),0)</f>
        <v>0</v>
      </c>
      <c r="TH65" s="20" t="n">
        <f aca="false">IF(AND(HU65=1,GV65=1),(NV65+NZ65)/F65,0)</f>
        <v>0</v>
      </c>
      <c r="TI65" s="20" t="n">
        <f aca="false">IF(B65=0,NV65+NZ65,0)</f>
        <v>0</v>
      </c>
      <c r="TJ65" s="20" t="n">
        <f aca="false">IF(B65=0,IF(HU65=1,NX65,NY65),0)</f>
        <v>0</v>
      </c>
      <c r="TK65" s="20" t="n">
        <f aca="false">IF(HF65=1,IF(HU65=1,OE65+OH65,HG65-OQ65)*(1+Slot20_Rate),0)</f>
        <v>0</v>
      </c>
      <c r="TL65" s="20" t="n">
        <f aca="false">IF(AND(HU65=1,HF65=1),(OD65+OH65)/F65,0)</f>
        <v>0</v>
      </c>
      <c r="TM65" s="20" t="n">
        <f aca="false">IF(B65=0,OD65+OH65,0)</f>
        <v>0</v>
      </c>
      <c r="TN65" s="20" t="n">
        <f aca="false">IF(B65=0,IF(HU65=1,OF65,OG65),0)</f>
        <v>0</v>
      </c>
      <c r="TO65" s="20" t="n">
        <f aca="false">QK65+QL65+QM65+QQ65+QU65+QY65+RC65+RG65+RK65+RO65+RS65+RW65+SA65+SE65+SI65+SM65+SQ65+SU65+SY65+TC65+TG65+TK65</f>
        <v>0</v>
      </c>
      <c r="TP65" s="20" t="n">
        <f aca="false">QE65+HP65</f>
        <v>29475.9988264829</v>
      </c>
      <c r="TQ65" s="20" t="n">
        <f aca="false">I65+S65</f>
        <v>147787.494707792</v>
      </c>
      <c r="TR65" s="20" t="n">
        <f aca="false">1-G65</f>
        <v>1</v>
      </c>
      <c r="TS65" s="20" t="n">
        <f aca="false">IF(AND(RG_Exists=1,G65=0,C65=1),I65,0)</f>
        <v>147787.494707792</v>
      </c>
      <c r="TT65" s="20" t="n">
        <f aca="false">IF(AND(RG_Exists=1,G65=0,C65=1),I65-MIN(QE65,I65),0)</f>
        <v>118311.495881309</v>
      </c>
      <c r="TU65" s="20" t="n">
        <f aca="false">'Plan pay &amp; tax'!AD291</f>
        <v>0</v>
      </c>
      <c r="TV65" s="20" t="n">
        <f aca="false">IF(AND(C65=1,QE65&gt;MAX(PR_Short1,TQ65*PR_Short2)),1,0)</f>
        <v>1</v>
      </c>
      <c r="TW65" s="20" t="n">
        <f aca="false">MIN(H65,I65+S65)</f>
        <v>118311.495881309</v>
      </c>
      <c r="TX65" s="20" t="n">
        <f aca="false">QF65+MAX(0,HQ65-HP65)</f>
        <v>0</v>
      </c>
      <c r="TY65" s="20" t="n">
        <f aca="false">QE65+HP65</f>
        <v>29475.9988264829</v>
      </c>
      <c r="TZ65" s="20" t="n">
        <f aca="false">IF(AND(C65=1,TY65&gt;PR_MinShort),1,0)</f>
        <v>1</v>
      </c>
      <c r="UA65" s="20" t="n">
        <f aca="false">IF(AND(C65=1,TZ65=0,TX65&gt;PR_MinShort),1,0)</f>
        <v>0</v>
      </c>
      <c r="UB65" s="20" t="n">
        <f aca="false">IF(AND(C65=1,QE65&gt;PR_MinShort),1,0)</f>
        <v>1</v>
      </c>
      <c r="UC65" s="20" t="n">
        <f aca="false">IF(AND(C65=1,QF65&gt;1,UJ65=0),1,0)</f>
        <v>0</v>
      </c>
      <c r="UD65" s="20" t="str">
        <f aca="false">IF(C65=0,"",IF(UJ65=1,"Gap to plan for: short "&amp;"€"&amp;TEXT(ROUND(TP65,0),"#,##0"),IF(QF65&gt;1,"Using savings","Comfortable")))</f>
        <v>Gap to plan for: short €29,476</v>
      </c>
      <c r="UE65" s="20" t="n">
        <f aca="false">IF(AND(INT(D65/10)*10=90,B65&gt;0),80,INT(D65/10)*10)</f>
        <v>80</v>
      </c>
      <c r="UF65" s="20" t="n">
        <f aca="false">IF(B65=0,1,IF(UE65&lt;&gt;UE64,UF64+1,UF64))</f>
        <v>6</v>
      </c>
      <c r="UG65" s="20" t="n">
        <f aca="false">IF(AND(C65=1,G65=1,QE65&gt;MAX(PR_Short1,TQ65*PR_Short2)),1,0)</f>
        <v>0</v>
      </c>
      <c r="UH65" s="20" t="n">
        <f aca="false">TR65*TV65</f>
        <v>1</v>
      </c>
      <c r="UI65" s="20" t="n">
        <f aca="false">IF(AND(V65=1,Slot1_PctLow=1),1,0)+IF(AND(AG65=1,Slot2_PctLow=1),1,0)+IF(AND(AQ65=1,Slot3_PctLow=1),1,0)+IF(AND(BA65=1,Slot4_PctLow=1),1,0)+IF(AND(BK65=1,Slot5_PctLow=1),1,0)+IF(AND(BU65=1,Slot6_PctLow=1),1,0)+IF(AND(CE65=1,Slot7_PctLow=1),1,0)+IF(AND(CO65=1,Slot8_PctLow=1),1,0)+IF(AND(CY65=1,Slot9_PctLow=1),1,0)+IF(AND(DI65=1,Slot10_PctLow=1),1,0)+IF(AND(DS65=1,Slot11_PctLow=1),1,0)+IF(AND(EC65=1,Slot12_PctLow=1),1,0)+IF(AND(EM65=1,Slot13_PctLow=1),1,0)+IF(AND(EW65=1,Slot14_PctLow=1),1,0)+IF(AND(FG65=1,Slot15_PctLow=1),1,0)+IF(AND(FQ65=1,Slot16_PctLow=1),1,0)+IF(AND(GA65=1,Slot17_PctLow=1),1,0)+IF(AND(GK65=1,Slot18_PctLow=1),1,0)+IF(AND(GU65=1,Slot19_PctLow=1),1,0)+IF(AND(HE65=1,Slot20_PctLow=1),1,0)</f>
        <v>0</v>
      </c>
      <c r="UJ65" s="20" t="n">
        <f aca="false">IF(C65=1,IF(OR(TV65=1,UI65&gt;0),1,0),0)</f>
        <v>1</v>
      </c>
    </row>
    <row r="66" customFormat="false" ht="15" hidden="false" customHeight="true" outlineLevel="0" collapsed="false">
      <c r="B66" s="20" t="n">
        <v>58</v>
      </c>
      <c r="C66" s="20" t="n">
        <f aca="false">IF(B66&lt;=F_N,1,0)</f>
        <v>0</v>
      </c>
      <c r="D66" s="20" t="n">
        <f aca="false">'Plan pay &amp; tax'!C292</f>
        <v>96</v>
      </c>
      <c r="E66" s="20" t="str">
        <f aca="false">IF($C66=1,"Income tax "&amp;TEXT(N('Plan pay &amp; tax'!BK292),"#,##0")&amp;"; USC "&amp;TEXT(N('Plan pay &amp; tax'!BM292)+N('Plan pay &amp; tax'!BO292),"#,##0")&amp;"; PRSI "&amp;TEXT(N('Plan pay &amp; tax'!BP292)+N('Plan pay &amp; tax'!BQ292),"#,##0")&amp;". DIRT and exit tax are inside the growth rates here.","")</f>
        <v/>
      </c>
      <c r="F66" s="44" t="n">
        <f aca="false">'Plan pay &amp; tax'!E292</f>
        <v>3.15362436405749</v>
      </c>
      <c r="G66" s="20" t="n">
        <f aca="false">'Plan pay &amp; tax'!G292</f>
        <v>0</v>
      </c>
      <c r="H66" s="20" t="n">
        <f aca="false">'Plan pay &amp; tax'!BT292-'Plan pay &amp; tax'!BS292-'Plan pay &amp; tax'!R292</f>
        <v>89987.0313437112</v>
      </c>
      <c r="I66" s="20" t="n">
        <f aca="false">IF(G66=1,F_CostsM*12,IF(RG_Exists=1,RG_Amount,F_CostsM*12*AS_RetireSpend))*F66+F_OneOffY*F66</f>
        <v>150743.244601948</v>
      </c>
      <c r="J66" s="20" t="n">
        <f aca="false">HR65</f>
        <v>0</v>
      </c>
      <c r="K66" s="20" t="n">
        <f aca="false">IF(J66&gt;1,'Plan debt months'!AC66,0)</f>
        <v>0</v>
      </c>
      <c r="L66" s="20" t="n">
        <f aca="false">IF(J66&gt;1,'Plan debt months'!AB66,J66)</f>
        <v>0</v>
      </c>
      <c r="M66" s="20" t="n">
        <f aca="false">O65</f>
        <v>0</v>
      </c>
      <c r="N66" s="20" t="n">
        <f aca="false">IF(M66&gt;1,'Plan debt months'!BD66,0)</f>
        <v>0</v>
      </c>
      <c r="O66" s="20" t="n">
        <f aca="false">IF(M66&gt;1,'Plan debt months'!BC66,M66)</f>
        <v>0</v>
      </c>
      <c r="P66" s="20" t="n">
        <f aca="false">R65</f>
        <v>0</v>
      </c>
      <c r="Q66" s="20" t="n">
        <f aca="false">IF(P66&gt;1,'Plan debt months'!CE66,0)</f>
        <v>0</v>
      </c>
      <c r="R66" s="20" t="n">
        <f aca="false">IF(P66&gt;1,'Plan debt months'!CD66,P66)</f>
        <v>0</v>
      </c>
      <c r="S66" s="20" t="n">
        <f aca="false">K66+N66+Q66</f>
        <v>0</v>
      </c>
      <c r="T66" s="20" t="n">
        <f aca="false">QK65+'Plan pay &amp; tax'!Y292</f>
        <v>0</v>
      </c>
      <c r="U66" s="20" t="n">
        <f aca="false">QK65</f>
        <v>0</v>
      </c>
      <c r="V66" s="20" t="n">
        <f aca="false">IF(AND(Slot1_On=1,D66=Slot1_Age),1,0)</f>
        <v>0</v>
      </c>
      <c r="W66" s="20" t="n">
        <f aca="false">IF(AND(Slot1_On=1,Slot1_Age&gt;D66),1,0)</f>
        <v>0</v>
      </c>
      <c r="X66" s="20" t="n">
        <f aca="false">QM65</f>
        <v>0</v>
      </c>
      <c r="Y66" s="20" t="n">
        <f aca="false">V66*MIN(Slot1_Cost,X66)</f>
        <v>0</v>
      </c>
      <c r="Z66" s="20" t="n">
        <f aca="false">V66*Slot1_SpendLike*MIN(Slot1_Cost-Y66,T66)</f>
        <v>0</v>
      </c>
      <c r="AA66" s="20" t="n">
        <f aca="false">Y66+Z66</f>
        <v>0</v>
      </c>
      <c r="AB66" s="20" t="n">
        <f aca="false">T66-Z66+V66*IF(Slot1_SpendLike=1,X66-Y66,IF(Slot1_PotFree=1,X66,0))</f>
        <v>0</v>
      </c>
      <c r="AC66" s="20" t="n">
        <f aca="false">AF66+V66*Slot1_BufPot*X66</f>
        <v>0</v>
      </c>
      <c r="AD66" s="20" t="n">
        <f aca="false">IF(AND(V66=1,Slot1_IsMfree=1),IF(AA66&gt;=Slot1_Cost-1,0,MAX(0,L66-AA66)),L66)</f>
        <v>0</v>
      </c>
      <c r="AE66" s="20" t="n">
        <f aca="false">V66*(Slot1_Cost-AA66)</f>
        <v>0</v>
      </c>
      <c r="AF66" s="20" t="n">
        <f aca="false">QL65</f>
        <v>0</v>
      </c>
      <c r="AG66" s="20" t="n">
        <f aca="false">IF(AND(Slot2_On=1,D66=Slot2_Age),1,0)</f>
        <v>0</v>
      </c>
      <c r="AH66" s="20" t="n">
        <f aca="false">IF(AND(Slot2_On=1,Slot2_Age&gt;D66),1,0)</f>
        <v>0</v>
      </c>
      <c r="AI66" s="20" t="n">
        <f aca="false">QQ65</f>
        <v>0</v>
      </c>
      <c r="AJ66" s="20" t="n">
        <f aca="false">AG66*MIN(Slot2_Cost,AI66)</f>
        <v>0</v>
      </c>
      <c r="AK66" s="20" t="n">
        <f aca="false">AG66*Slot2_SpendLike*MIN(Slot2_Cost-AJ66,AB66)</f>
        <v>0</v>
      </c>
      <c r="AL66" s="20" t="n">
        <f aca="false">AJ66+AK66</f>
        <v>0</v>
      </c>
      <c r="AM66" s="20" t="n">
        <f aca="false">AB66-AK66+AG66*IF(Slot2_SpendLike=1,AI66-AJ66,IF(Slot2_PotFree=1,AI66,0))</f>
        <v>0</v>
      </c>
      <c r="AN66" s="20" t="n">
        <f aca="false">AC66+AG66*Slot2_BufPot*AI66</f>
        <v>0</v>
      </c>
      <c r="AO66" s="20" t="n">
        <f aca="false">IF(AND(AG66=1,Slot2_IsMfree=1),IF(AL66&gt;=Slot2_Cost-1,0,MAX(0,AD66-AL66)),AD66)</f>
        <v>0</v>
      </c>
      <c r="AP66" s="20" t="n">
        <f aca="false">AG66*(Slot2_Cost-AL66)</f>
        <v>0</v>
      </c>
      <c r="AQ66" s="20" t="n">
        <f aca="false">IF(AND(Slot3_On=1,D66=Slot3_Age),1,0)</f>
        <v>0</v>
      </c>
      <c r="AR66" s="20" t="n">
        <f aca="false">IF(AND(Slot3_On=1,Slot3_Age&gt;D66),1,0)</f>
        <v>0</v>
      </c>
      <c r="AS66" s="20" t="n">
        <f aca="false">QU65</f>
        <v>0</v>
      </c>
      <c r="AT66" s="20" t="n">
        <f aca="false">AQ66*MIN(Slot3_Cost,AS66)</f>
        <v>0</v>
      </c>
      <c r="AU66" s="20" t="n">
        <f aca="false">AQ66*Slot3_SpendLike*MIN(Slot3_Cost-AT66,AM66)</f>
        <v>0</v>
      </c>
      <c r="AV66" s="20" t="n">
        <f aca="false">AT66+AU66</f>
        <v>0</v>
      </c>
      <c r="AW66" s="20" t="n">
        <f aca="false">AM66-AU66+AQ66*IF(Slot3_SpendLike=1,AS66-AT66,IF(Slot3_PotFree=1,AS66,0))</f>
        <v>0</v>
      </c>
      <c r="AX66" s="20" t="n">
        <f aca="false">AN66+AQ66*Slot3_BufPot*AS66</f>
        <v>0</v>
      </c>
      <c r="AY66" s="20" t="n">
        <f aca="false">IF(AND(AQ66=1,Slot3_IsMfree=1),IF(AV66&gt;=Slot3_Cost-1,0,MAX(0,AO66-AV66)),AO66)</f>
        <v>0</v>
      </c>
      <c r="AZ66" s="20" t="n">
        <f aca="false">AQ66*(Slot3_Cost-AV66)</f>
        <v>0</v>
      </c>
      <c r="BA66" s="20" t="n">
        <f aca="false">IF(AND(Slot4_On=1,D66=Slot4_Age),1,0)</f>
        <v>0</v>
      </c>
      <c r="BB66" s="20" t="n">
        <f aca="false">IF(AND(Slot4_On=1,Slot4_Age&gt;D66),1,0)</f>
        <v>0</v>
      </c>
      <c r="BC66" s="20" t="n">
        <f aca="false">QY65</f>
        <v>0</v>
      </c>
      <c r="BD66" s="20" t="n">
        <f aca="false">BA66*MIN(Slot4_Cost,BC66)</f>
        <v>0</v>
      </c>
      <c r="BE66" s="20" t="n">
        <f aca="false">BA66*Slot4_SpendLike*MIN(Slot4_Cost-BD66,AW66)</f>
        <v>0</v>
      </c>
      <c r="BF66" s="20" t="n">
        <f aca="false">BD66+BE66</f>
        <v>0</v>
      </c>
      <c r="BG66" s="20" t="n">
        <f aca="false">AW66-BE66+BA66*IF(Slot4_SpendLike=1,BC66-BD66,IF(Slot4_PotFree=1,BC66,0))</f>
        <v>0</v>
      </c>
      <c r="BH66" s="20" t="n">
        <f aca="false">AX66+BA66*Slot4_BufPot*BC66</f>
        <v>0</v>
      </c>
      <c r="BI66" s="20" t="n">
        <f aca="false">IF(AND(BA66=1,Slot4_IsMfree=1),IF(BF66&gt;=Slot4_Cost-1,0,MAX(0,AY66-BF66)),AY66)</f>
        <v>0</v>
      </c>
      <c r="BJ66" s="20" t="n">
        <f aca="false">BA66*(Slot4_Cost-BF66)</f>
        <v>0</v>
      </c>
      <c r="BK66" s="20" t="n">
        <f aca="false">IF(AND(Slot5_On=1,D66=Slot5_Age),1,0)</f>
        <v>0</v>
      </c>
      <c r="BL66" s="20" t="n">
        <f aca="false">IF(AND(Slot5_On=1,Slot5_Age&gt;D66),1,0)</f>
        <v>0</v>
      </c>
      <c r="BM66" s="20" t="n">
        <f aca="false">RC65</f>
        <v>0</v>
      </c>
      <c r="BN66" s="20" t="n">
        <f aca="false">BK66*MIN(Slot5_Cost,BM66)</f>
        <v>0</v>
      </c>
      <c r="BO66" s="20" t="n">
        <f aca="false">BK66*Slot5_SpendLike*MIN(Slot5_Cost-BN66,BG66)</f>
        <v>0</v>
      </c>
      <c r="BP66" s="20" t="n">
        <f aca="false">BN66+BO66</f>
        <v>0</v>
      </c>
      <c r="BQ66" s="20" t="n">
        <f aca="false">BG66-BO66+BK66*IF(Slot5_SpendLike=1,BM66-BN66,IF(Slot5_PotFree=1,BM66,0))</f>
        <v>0</v>
      </c>
      <c r="BR66" s="20" t="n">
        <f aca="false">BH66+BK66*Slot5_BufPot*BM66</f>
        <v>0</v>
      </c>
      <c r="BS66" s="20" t="n">
        <f aca="false">IF(AND(BK66=1,Slot5_IsMfree=1),IF(BP66&gt;=Slot5_Cost-1,0,MAX(0,BI66-BP66)),BI66)</f>
        <v>0</v>
      </c>
      <c r="BT66" s="20" t="n">
        <f aca="false">BK66*(Slot5_Cost-BP66)</f>
        <v>0</v>
      </c>
      <c r="BU66" s="20" t="n">
        <f aca="false">IF(AND(Slot6_On=1,D66=Slot6_Age),1,0)</f>
        <v>0</v>
      </c>
      <c r="BV66" s="20" t="n">
        <f aca="false">IF(AND(Slot6_On=1,Slot6_Age&gt;D66),1,0)</f>
        <v>0</v>
      </c>
      <c r="BW66" s="20" t="n">
        <f aca="false">RG65</f>
        <v>0</v>
      </c>
      <c r="BX66" s="20" t="n">
        <f aca="false">BU66*MIN(Slot6_Cost,BW66)</f>
        <v>0</v>
      </c>
      <c r="BY66" s="20" t="n">
        <f aca="false">BU66*Slot6_SpendLike*MIN(Slot6_Cost-BX66,BQ66)</f>
        <v>0</v>
      </c>
      <c r="BZ66" s="20" t="n">
        <f aca="false">BX66+BY66</f>
        <v>0</v>
      </c>
      <c r="CA66" s="20" t="n">
        <f aca="false">BQ66-BY66+BU66*IF(Slot6_SpendLike=1,BW66-BX66,IF(Slot6_PotFree=1,BW66,0))</f>
        <v>0</v>
      </c>
      <c r="CB66" s="20" t="n">
        <f aca="false">BR66+BU66*Slot6_BufPot*BW66</f>
        <v>0</v>
      </c>
      <c r="CC66" s="20" t="n">
        <f aca="false">IF(AND(BU66=1,Slot6_IsMfree=1),IF(BZ66&gt;=Slot6_Cost-1,0,MAX(0,BS66-BZ66)),BS66)</f>
        <v>0</v>
      </c>
      <c r="CD66" s="20" t="n">
        <f aca="false">BU66*(Slot6_Cost-BZ66)</f>
        <v>0</v>
      </c>
      <c r="CE66" s="20" t="n">
        <f aca="false">IF(AND(Slot7_On=1,D66=Slot7_Age),1,0)</f>
        <v>0</v>
      </c>
      <c r="CF66" s="20" t="n">
        <f aca="false">IF(AND(Slot7_On=1,Slot7_Age&gt;D66),1,0)</f>
        <v>0</v>
      </c>
      <c r="CG66" s="20" t="n">
        <f aca="false">RK65</f>
        <v>0</v>
      </c>
      <c r="CH66" s="20" t="n">
        <f aca="false">CE66*MIN(Slot7_Cost,CG66)</f>
        <v>0</v>
      </c>
      <c r="CI66" s="20" t="n">
        <f aca="false">CE66*Slot7_SpendLike*MIN(Slot7_Cost-CH66,CA66)</f>
        <v>0</v>
      </c>
      <c r="CJ66" s="20" t="n">
        <f aca="false">CH66+CI66</f>
        <v>0</v>
      </c>
      <c r="CK66" s="20" t="n">
        <f aca="false">CA66-CI66+CE66*IF(Slot7_SpendLike=1,CG66-CH66,IF(Slot7_PotFree=1,CG66,0))</f>
        <v>0</v>
      </c>
      <c r="CL66" s="20" t="n">
        <f aca="false">CB66+CE66*Slot7_BufPot*CG66</f>
        <v>0</v>
      </c>
      <c r="CM66" s="20" t="n">
        <f aca="false">IF(AND(CE66=1,Slot7_IsMfree=1),IF(CJ66&gt;=Slot7_Cost-1,0,MAX(0,CC66-CJ66)),CC66)</f>
        <v>0</v>
      </c>
      <c r="CN66" s="20" t="n">
        <f aca="false">CE66*(Slot7_Cost-CJ66)</f>
        <v>0</v>
      </c>
      <c r="CO66" s="20" t="n">
        <f aca="false">IF(AND(Slot8_On=1,D66=Slot8_Age),1,0)</f>
        <v>0</v>
      </c>
      <c r="CP66" s="20" t="n">
        <f aca="false">IF(AND(Slot8_On=1,Slot8_Age&gt;D66),1,0)</f>
        <v>0</v>
      </c>
      <c r="CQ66" s="20" t="n">
        <f aca="false">RO65</f>
        <v>0</v>
      </c>
      <c r="CR66" s="20" t="n">
        <f aca="false">CO66*MIN(Slot8_Cost,CQ66)</f>
        <v>0</v>
      </c>
      <c r="CS66" s="20" t="n">
        <f aca="false">CO66*Slot8_SpendLike*MIN(Slot8_Cost-CR66,CK66)</f>
        <v>0</v>
      </c>
      <c r="CT66" s="20" t="n">
        <f aca="false">CR66+CS66</f>
        <v>0</v>
      </c>
      <c r="CU66" s="20" t="n">
        <f aca="false">CK66-CS66+CO66*IF(Slot8_SpendLike=1,CQ66-CR66,IF(Slot8_PotFree=1,CQ66,0))</f>
        <v>0</v>
      </c>
      <c r="CV66" s="20" t="n">
        <f aca="false">CL66+CO66*Slot8_BufPot*CQ66</f>
        <v>0</v>
      </c>
      <c r="CW66" s="20" t="n">
        <f aca="false">IF(AND(CO66=1,Slot8_IsMfree=1),IF(CT66&gt;=Slot8_Cost-1,0,MAX(0,CM66-CT66)),CM66)</f>
        <v>0</v>
      </c>
      <c r="CX66" s="20" t="n">
        <f aca="false">CO66*(Slot8_Cost-CT66)</f>
        <v>0</v>
      </c>
      <c r="CY66" s="20" t="n">
        <f aca="false">IF(AND(Slot9_On=1,D66=Slot9_Age),1,0)</f>
        <v>0</v>
      </c>
      <c r="CZ66" s="20" t="n">
        <f aca="false">IF(AND(Slot9_On=1,Slot9_Age&gt;D66),1,0)</f>
        <v>0</v>
      </c>
      <c r="DA66" s="20" t="n">
        <f aca="false">RS65</f>
        <v>0</v>
      </c>
      <c r="DB66" s="20" t="n">
        <f aca="false">CY66*MIN(Slot9_Cost,DA66)</f>
        <v>0</v>
      </c>
      <c r="DC66" s="20" t="n">
        <f aca="false">CY66*Slot9_SpendLike*MIN(Slot9_Cost-DB66,CU66)</f>
        <v>0</v>
      </c>
      <c r="DD66" s="20" t="n">
        <f aca="false">DB66+DC66</f>
        <v>0</v>
      </c>
      <c r="DE66" s="20" t="n">
        <f aca="false">CU66-DC66+CY66*IF(Slot9_SpendLike=1,DA66-DB66,IF(Slot9_PotFree=1,DA66,0))</f>
        <v>0</v>
      </c>
      <c r="DF66" s="20" t="n">
        <f aca="false">CV66+CY66*Slot9_BufPot*DA66</f>
        <v>0</v>
      </c>
      <c r="DG66" s="20" t="n">
        <f aca="false">IF(AND(CY66=1,Slot9_IsMfree=1),IF(DD66&gt;=Slot9_Cost-1,0,MAX(0,CW66-DD66)),CW66)</f>
        <v>0</v>
      </c>
      <c r="DH66" s="20" t="n">
        <f aca="false">CY66*(Slot9_Cost-DD66)</f>
        <v>0</v>
      </c>
      <c r="DI66" s="20" t="n">
        <f aca="false">IF(AND(Slot10_On=1,D66=Slot10_Age),1,0)</f>
        <v>0</v>
      </c>
      <c r="DJ66" s="20" t="n">
        <f aca="false">IF(AND(Slot10_On=1,Slot10_Age&gt;D66),1,0)</f>
        <v>0</v>
      </c>
      <c r="DK66" s="20" t="n">
        <f aca="false">RW65</f>
        <v>0</v>
      </c>
      <c r="DL66" s="20" t="n">
        <f aca="false">DI66*MIN(Slot10_Cost,DK66)</f>
        <v>0</v>
      </c>
      <c r="DM66" s="20" t="n">
        <f aca="false">DI66*Slot10_SpendLike*MIN(Slot10_Cost-DL66,DE66)</f>
        <v>0</v>
      </c>
      <c r="DN66" s="20" t="n">
        <f aca="false">DL66+DM66</f>
        <v>0</v>
      </c>
      <c r="DO66" s="20" t="n">
        <f aca="false">DE66-DM66+DI66*IF(Slot10_SpendLike=1,DK66-DL66,IF(Slot10_PotFree=1,DK66,0))</f>
        <v>0</v>
      </c>
      <c r="DP66" s="20" t="n">
        <f aca="false">DF66+DI66*Slot10_BufPot*DK66</f>
        <v>0</v>
      </c>
      <c r="DQ66" s="20" t="n">
        <f aca="false">IF(AND(DI66=1,Slot10_IsMfree=1),IF(DN66&gt;=Slot10_Cost-1,0,MAX(0,DG66-DN66)),DG66)</f>
        <v>0</v>
      </c>
      <c r="DR66" s="20" t="n">
        <f aca="false">DI66*(Slot10_Cost-DN66)</f>
        <v>0</v>
      </c>
      <c r="DS66" s="20" t="n">
        <f aca="false">IF(AND(Slot11_On=1,D66=Slot11_Age),1,0)</f>
        <v>0</v>
      </c>
      <c r="DT66" s="20" t="n">
        <f aca="false">IF(AND(Slot11_On=1,Slot11_Age&gt;D66),1,0)</f>
        <v>0</v>
      </c>
      <c r="DU66" s="20" t="n">
        <f aca="false">SA65</f>
        <v>0</v>
      </c>
      <c r="DV66" s="20" t="n">
        <f aca="false">DS66*MIN(Slot11_Cost,DU66)</f>
        <v>0</v>
      </c>
      <c r="DW66" s="20" t="n">
        <f aca="false">DS66*Slot11_SpendLike*MIN(Slot11_Cost-DV66,DO66)</f>
        <v>0</v>
      </c>
      <c r="DX66" s="20" t="n">
        <f aca="false">DV66+DW66</f>
        <v>0</v>
      </c>
      <c r="DY66" s="20" t="n">
        <f aca="false">DO66-DW66+DS66*IF(Slot11_SpendLike=1,DU66-DV66,IF(Slot11_PotFree=1,DU66,0))</f>
        <v>0</v>
      </c>
      <c r="DZ66" s="20" t="n">
        <f aca="false">DP66+DS66*Slot11_BufPot*DU66</f>
        <v>0</v>
      </c>
      <c r="EA66" s="20" t="n">
        <f aca="false">IF(AND(DS66=1,Slot11_IsMfree=1),IF(DX66&gt;=Slot11_Cost-1,0,MAX(0,DQ66-DX66)),DQ66)</f>
        <v>0</v>
      </c>
      <c r="EB66" s="20" t="n">
        <f aca="false">DS66*(Slot11_Cost-DX66)</f>
        <v>0</v>
      </c>
      <c r="EC66" s="20" t="n">
        <f aca="false">IF(AND(Slot12_On=1,D66=Slot12_Age),1,0)</f>
        <v>0</v>
      </c>
      <c r="ED66" s="20" t="n">
        <f aca="false">IF(AND(Slot12_On=1,Slot12_Age&gt;D66),1,0)</f>
        <v>0</v>
      </c>
      <c r="EE66" s="20" t="n">
        <f aca="false">SE65</f>
        <v>0</v>
      </c>
      <c r="EF66" s="20" t="n">
        <f aca="false">EC66*MIN(Slot12_Cost,EE66)</f>
        <v>0</v>
      </c>
      <c r="EG66" s="20" t="n">
        <f aca="false">EC66*Slot12_SpendLike*MIN(Slot12_Cost-EF66,DY66)</f>
        <v>0</v>
      </c>
      <c r="EH66" s="20" t="n">
        <f aca="false">EF66+EG66</f>
        <v>0</v>
      </c>
      <c r="EI66" s="20" t="n">
        <f aca="false">DY66-EG66+EC66*IF(Slot12_SpendLike=1,EE66-EF66,IF(Slot12_PotFree=1,EE66,0))</f>
        <v>0</v>
      </c>
      <c r="EJ66" s="20" t="n">
        <f aca="false">DZ66+EC66*Slot12_BufPot*EE66</f>
        <v>0</v>
      </c>
      <c r="EK66" s="20" t="n">
        <f aca="false">IF(AND(EC66=1,Slot12_IsMfree=1),IF(EH66&gt;=Slot12_Cost-1,0,MAX(0,EA66-EH66)),EA66)</f>
        <v>0</v>
      </c>
      <c r="EL66" s="20" t="n">
        <f aca="false">EC66*(Slot12_Cost-EH66)</f>
        <v>0</v>
      </c>
      <c r="EM66" s="20" t="n">
        <f aca="false">IF(AND(Slot13_On=1,D66=Slot13_Age),1,0)</f>
        <v>0</v>
      </c>
      <c r="EN66" s="20" t="n">
        <f aca="false">IF(AND(Slot13_On=1,Slot13_Age&gt;D66),1,0)</f>
        <v>0</v>
      </c>
      <c r="EO66" s="20" t="n">
        <f aca="false">SI65</f>
        <v>0</v>
      </c>
      <c r="EP66" s="20" t="n">
        <f aca="false">EM66*MIN(Slot13_Cost,EO66)</f>
        <v>0</v>
      </c>
      <c r="EQ66" s="20" t="n">
        <f aca="false">EM66*Slot13_SpendLike*MIN(Slot13_Cost-EP66,EI66)</f>
        <v>0</v>
      </c>
      <c r="ER66" s="20" t="n">
        <f aca="false">EP66+EQ66</f>
        <v>0</v>
      </c>
      <c r="ES66" s="20" t="n">
        <f aca="false">EI66-EQ66+EM66*IF(Slot13_SpendLike=1,EO66-EP66,IF(Slot13_PotFree=1,EO66,0))</f>
        <v>0</v>
      </c>
      <c r="ET66" s="20" t="n">
        <f aca="false">EJ66+EM66*Slot13_BufPot*EO66</f>
        <v>0</v>
      </c>
      <c r="EU66" s="20" t="n">
        <f aca="false">IF(AND(EM66=1,Slot13_IsMfree=1),IF(ER66&gt;=Slot13_Cost-1,0,MAX(0,EK66-ER66)),EK66)</f>
        <v>0</v>
      </c>
      <c r="EV66" s="20" t="n">
        <f aca="false">EM66*(Slot13_Cost-ER66)</f>
        <v>0</v>
      </c>
      <c r="EW66" s="20" t="n">
        <f aca="false">IF(AND(Slot14_On=1,D66=Slot14_Age),1,0)</f>
        <v>0</v>
      </c>
      <c r="EX66" s="20" t="n">
        <f aca="false">IF(AND(Slot14_On=1,Slot14_Age&gt;D66),1,0)</f>
        <v>0</v>
      </c>
      <c r="EY66" s="20" t="n">
        <f aca="false">SM65</f>
        <v>0</v>
      </c>
      <c r="EZ66" s="20" t="n">
        <f aca="false">EW66*MIN(Slot14_Cost,EY66)</f>
        <v>0</v>
      </c>
      <c r="FA66" s="20" t="n">
        <f aca="false">EW66*Slot14_SpendLike*MIN(Slot14_Cost-EZ66,ES66)</f>
        <v>0</v>
      </c>
      <c r="FB66" s="20" t="n">
        <f aca="false">EZ66+FA66</f>
        <v>0</v>
      </c>
      <c r="FC66" s="20" t="n">
        <f aca="false">ES66-FA66+EW66*IF(Slot14_SpendLike=1,EY66-EZ66,IF(Slot14_PotFree=1,EY66,0))</f>
        <v>0</v>
      </c>
      <c r="FD66" s="20" t="n">
        <f aca="false">ET66+EW66*Slot14_BufPot*EY66</f>
        <v>0</v>
      </c>
      <c r="FE66" s="20" t="n">
        <f aca="false">IF(AND(EW66=1,Slot14_IsMfree=1),IF(FB66&gt;=Slot14_Cost-1,0,MAX(0,EU66-FB66)),EU66)</f>
        <v>0</v>
      </c>
      <c r="FF66" s="20" t="n">
        <f aca="false">EW66*(Slot14_Cost-FB66)</f>
        <v>0</v>
      </c>
      <c r="FG66" s="20" t="n">
        <f aca="false">IF(AND(Slot15_On=1,D66=Slot15_Age),1,0)</f>
        <v>0</v>
      </c>
      <c r="FH66" s="20" t="n">
        <f aca="false">IF(AND(Slot15_On=1,Slot15_Age&gt;D66),1,0)</f>
        <v>0</v>
      </c>
      <c r="FI66" s="20" t="n">
        <f aca="false">SQ65</f>
        <v>0</v>
      </c>
      <c r="FJ66" s="20" t="n">
        <f aca="false">FG66*MIN(Slot15_Cost,FI66)</f>
        <v>0</v>
      </c>
      <c r="FK66" s="20" t="n">
        <f aca="false">FG66*Slot15_SpendLike*MIN(Slot15_Cost-FJ66,FC66)</f>
        <v>0</v>
      </c>
      <c r="FL66" s="20" t="n">
        <f aca="false">FJ66+FK66</f>
        <v>0</v>
      </c>
      <c r="FM66" s="20" t="n">
        <f aca="false">FC66-FK66+FG66*IF(Slot15_SpendLike=1,FI66-FJ66,IF(Slot15_PotFree=1,FI66,0))</f>
        <v>0</v>
      </c>
      <c r="FN66" s="20" t="n">
        <f aca="false">FD66+FG66*Slot15_BufPot*FI66</f>
        <v>0</v>
      </c>
      <c r="FO66" s="20" t="n">
        <f aca="false">IF(AND(FG66=1,Slot15_IsMfree=1),IF(FL66&gt;=Slot15_Cost-1,0,MAX(0,FE66-FL66)),FE66)</f>
        <v>0</v>
      </c>
      <c r="FP66" s="20" t="n">
        <f aca="false">FG66*(Slot15_Cost-FL66)</f>
        <v>0</v>
      </c>
      <c r="FQ66" s="20" t="n">
        <f aca="false">IF(AND(Slot16_On=1,D66=Slot16_Age),1,0)</f>
        <v>0</v>
      </c>
      <c r="FR66" s="20" t="n">
        <f aca="false">IF(AND(Slot16_On=1,Slot16_Age&gt;D66),1,0)</f>
        <v>0</v>
      </c>
      <c r="FS66" s="20" t="n">
        <f aca="false">SU65</f>
        <v>0</v>
      </c>
      <c r="FT66" s="20" t="n">
        <f aca="false">FQ66*MIN(Slot16_Cost,FS66)</f>
        <v>0</v>
      </c>
      <c r="FU66" s="20" t="n">
        <f aca="false">FQ66*Slot16_SpendLike*MIN(Slot16_Cost-FT66,FM66)</f>
        <v>0</v>
      </c>
      <c r="FV66" s="20" t="n">
        <f aca="false">FT66+FU66</f>
        <v>0</v>
      </c>
      <c r="FW66" s="20" t="n">
        <f aca="false">FM66-FU66+FQ66*IF(Slot16_SpendLike=1,FS66-FT66,IF(Slot16_PotFree=1,FS66,0))</f>
        <v>0</v>
      </c>
      <c r="FX66" s="20" t="n">
        <f aca="false">FN66+FQ66*Slot16_BufPot*FS66</f>
        <v>0</v>
      </c>
      <c r="FY66" s="20" t="n">
        <f aca="false">IF(AND(FQ66=1,Slot16_IsMfree=1),IF(FV66&gt;=Slot16_Cost-1,0,MAX(0,FO66-FV66)),FO66)</f>
        <v>0</v>
      </c>
      <c r="FZ66" s="20" t="n">
        <f aca="false">FQ66*(Slot16_Cost-FV66)</f>
        <v>0</v>
      </c>
      <c r="GA66" s="20" t="n">
        <f aca="false">IF(AND(Slot17_On=1,D66=Slot17_Age),1,0)</f>
        <v>0</v>
      </c>
      <c r="GB66" s="20" t="n">
        <f aca="false">IF(AND(Slot17_On=1,Slot17_Age&gt;D66),1,0)</f>
        <v>0</v>
      </c>
      <c r="GC66" s="20" t="n">
        <f aca="false">SY65</f>
        <v>0</v>
      </c>
      <c r="GD66" s="20" t="n">
        <f aca="false">GA66*MIN(Slot17_Cost,GC66)</f>
        <v>0</v>
      </c>
      <c r="GE66" s="20" t="n">
        <f aca="false">GA66*Slot17_SpendLike*MIN(Slot17_Cost-GD66,FW66)</f>
        <v>0</v>
      </c>
      <c r="GF66" s="20" t="n">
        <f aca="false">GD66+GE66</f>
        <v>0</v>
      </c>
      <c r="GG66" s="20" t="n">
        <f aca="false">FW66-GE66+GA66*IF(Slot17_SpendLike=1,GC66-GD66,IF(Slot17_PotFree=1,GC66,0))</f>
        <v>0</v>
      </c>
      <c r="GH66" s="20" t="n">
        <f aca="false">FX66+GA66*Slot17_BufPot*GC66</f>
        <v>0</v>
      </c>
      <c r="GI66" s="20" t="n">
        <f aca="false">IF(AND(GA66=1,Slot17_IsMfree=1),IF(GF66&gt;=Slot17_Cost-1,0,MAX(0,FY66-GF66)),FY66)</f>
        <v>0</v>
      </c>
      <c r="GJ66" s="20" t="n">
        <f aca="false">GA66*(Slot17_Cost-GF66)</f>
        <v>0</v>
      </c>
      <c r="GK66" s="20" t="n">
        <f aca="false">IF(AND(Slot18_On=1,D66=Slot18_Age),1,0)</f>
        <v>0</v>
      </c>
      <c r="GL66" s="20" t="n">
        <f aca="false">IF(AND(Slot18_On=1,Slot18_Age&gt;D66),1,0)</f>
        <v>0</v>
      </c>
      <c r="GM66" s="20" t="n">
        <f aca="false">TC65</f>
        <v>0</v>
      </c>
      <c r="GN66" s="20" t="n">
        <f aca="false">GK66*MIN(Slot18_Cost,GM66)</f>
        <v>0</v>
      </c>
      <c r="GO66" s="20" t="n">
        <f aca="false">GK66*Slot18_SpendLike*MIN(Slot18_Cost-GN66,GG66)</f>
        <v>0</v>
      </c>
      <c r="GP66" s="20" t="n">
        <f aca="false">GN66+GO66</f>
        <v>0</v>
      </c>
      <c r="GQ66" s="20" t="n">
        <f aca="false">GG66-GO66+GK66*IF(Slot18_SpendLike=1,GM66-GN66,IF(Slot18_PotFree=1,GM66,0))</f>
        <v>0</v>
      </c>
      <c r="GR66" s="20" t="n">
        <f aca="false">GH66+GK66*Slot18_BufPot*GM66</f>
        <v>0</v>
      </c>
      <c r="GS66" s="20" t="n">
        <f aca="false">IF(AND(GK66=1,Slot18_IsMfree=1),IF(GP66&gt;=Slot18_Cost-1,0,MAX(0,GI66-GP66)),GI66)</f>
        <v>0</v>
      </c>
      <c r="GT66" s="20" t="n">
        <f aca="false">GK66*(Slot18_Cost-GP66)</f>
        <v>0</v>
      </c>
      <c r="GU66" s="20" t="n">
        <f aca="false">IF(AND(Slot19_On=1,D66=Slot19_Age),1,0)</f>
        <v>0</v>
      </c>
      <c r="GV66" s="20" t="n">
        <f aca="false">IF(AND(Slot19_On=1,Slot19_Age&gt;D66),1,0)</f>
        <v>0</v>
      </c>
      <c r="GW66" s="20" t="n">
        <f aca="false">TG65</f>
        <v>0</v>
      </c>
      <c r="GX66" s="20" t="n">
        <f aca="false">GU66*MIN(Slot19_Cost,GW66)</f>
        <v>0</v>
      </c>
      <c r="GY66" s="20" t="n">
        <f aca="false">GU66*Slot19_SpendLike*MIN(Slot19_Cost-GX66,GQ66)</f>
        <v>0</v>
      </c>
      <c r="GZ66" s="20" t="n">
        <f aca="false">GX66+GY66</f>
        <v>0</v>
      </c>
      <c r="HA66" s="20" t="n">
        <f aca="false">GQ66-GY66+GU66*IF(Slot19_SpendLike=1,GW66-GX66,IF(Slot19_PotFree=1,GW66,0))</f>
        <v>0</v>
      </c>
      <c r="HB66" s="20" t="n">
        <f aca="false">GR66+GU66*Slot19_BufPot*GW66</f>
        <v>0</v>
      </c>
      <c r="HC66" s="20" t="n">
        <f aca="false">IF(AND(GU66=1,Slot19_IsMfree=1),IF(GZ66&gt;=Slot19_Cost-1,0,MAX(0,GS66-GZ66)),GS66)</f>
        <v>0</v>
      </c>
      <c r="HD66" s="20" t="n">
        <f aca="false">GU66*(Slot19_Cost-GZ66)</f>
        <v>0</v>
      </c>
      <c r="HE66" s="20" t="n">
        <f aca="false">IF(AND(Slot20_On=1,D66=Slot20_Age),1,0)</f>
        <v>0</v>
      </c>
      <c r="HF66" s="20" t="n">
        <f aca="false">IF(AND(Slot20_On=1,Slot20_Age&gt;D66),1,0)</f>
        <v>0</v>
      </c>
      <c r="HG66" s="20" t="n">
        <f aca="false">TK65</f>
        <v>0</v>
      </c>
      <c r="HH66" s="20" t="n">
        <f aca="false">HE66*MIN(Slot20_Cost,HG66)</f>
        <v>0</v>
      </c>
      <c r="HI66" s="20" t="n">
        <f aca="false">HE66*Slot20_SpendLike*MIN(Slot20_Cost-HH66,HA66)</f>
        <v>0</v>
      </c>
      <c r="HJ66" s="20" t="n">
        <f aca="false">HH66+HI66</f>
        <v>0</v>
      </c>
      <c r="HK66" s="20" t="n">
        <f aca="false">HA66-HI66+HE66*IF(Slot20_SpendLike=1,HG66-HH66,IF(Slot20_PotFree=1,HG66,0))</f>
        <v>0</v>
      </c>
      <c r="HL66" s="20" t="n">
        <f aca="false">HB66+HE66*Slot20_BufPot*HG66</f>
        <v>0</v>
      </c>
      <c r="HM66" s="20" t="n">
        <f aca="false">IF(AND(HE66=1,Slot20_IsMfree=1),IF(HJ66&gt;=Slot20_Cost-1,0,MAX(0,HC66-HJ66)),HC66)</f>
        <v>0</v>
      </c>
      <c r="HN66" s="20" t="n">
        <f aca="false">HE66*(Slot20_Cost-HJ66)</f>
        <v>0</v>
      </c>
      <c r="HO66" s="20" t="n">
        <f aca="false">V66*Slot1_SpendLike*AA66+AG66*Slot2_SpendLike*AL66+AQ66*Slot3_SpendLike*AV66+BA66*Slot4_SpendLike*BF66+BK66*Slot5_SpendLike*BP66+BU66*Slot6_SpendLike*BZ66+CE66*Slot7_SpendLike*CJ66+CO66*Slot8_SpendLike*CT66+CY66*Slot9_SpendLike*DD66+DI66*Slot10_SpendLike*DN66+DS66*Slot11_SpendLike*DX66+EC66*Slot12_SpendLike*EH66+EM66*Slot13_SpendLike*ER66+EW66*Slot14_SpendLike*FB66+FG66*Slot15_SpendLike*FL66+FQ66*Slot16_SpendLike*FV66+GA66*Slot17_SpendLike*GF66+GK66*Slot18_SpendLike*GP66+GU66*Slot19_SpendLike*GZ66+HE66*Slot20_SpendLike*HJ66</f>
        <v>0</v>
      </c>
      <c r="HP66" s="20" t="n">
        <f aca="false">AE66+AP66+AZ66+BJ66+BT66+CD66+CN66+CX66+DH66+DR66+EB66+EL66+EV66+FF66+FP66+FZ66+GJ66+GT66+HD66+HN66</f>
        <v>0</v>
      </c>
      <c r="HQ66" s="20" t="n">
        <f aca="false">V66*Slot1_Cost+AG66*Slot2_Cost+AQ66*Slot3_Cost+BA66*Slot4_Cost+BK66*Slot5_Cost+BU66*Slot6_Cost+CE66*Slot7_Cost+CO66*Slot8_Cost+CY66*Slot9_Cost+DI66*Slot10_Cost+DS66*Slot11_Cost+EC66*Slot12_Cost+EM66*Slot13_Cost+EW66*Slot14_Cost+FG66*Slot15_Cost+FQ66*Slot16_Cost+GA66*Slot17_Cost+GK66*Slot18_Cost+GU66*Slot19_Cost+HE66*Slot20_Cost</f>
        <v>0</v>
      </c>
      <c r="HR66" s="20" t="n">
        <f aca="false">HM66</f>
        <v>0</v>
      </c>
      <c r="HS66" s="20" t="n">
        <f aca="false">H66-I66-S66</f>
        <v>-60756.2132582369</v>
      </c>
      <c r="HT66" s="20" t="n">
        <f aca="false">IF(B66=0,IF(AND(Has_q6=1,In_q6=4),PR_ShareVaries*(MAX(0,HS66)/12),MIN(IF(Has_q6=1,CHOOSE(In_q6+1,PR_SaveB1,PR_SaveB2,PR_SaveB3,PR_SaveB4,0),AS_NoAnswer),AS_SaveShare*(MAX(0,HS66)/12))),HT65)</f>
        <v>62.3316893520437</v>
      </c>
      <c r="HU66" s="20" t="n">
        <f aca="false">IF(HS66&gt;=0,1,0)</f>
        <v>0</v>
      </c>
      <c r="HV66" s="20" t="n">
        <f aca="false">MAX(0,HS66/12/F66)</f>
        <v>0</v>
      </c>
      <c r="HW66" s="20" t="n">
        <f aca="false">IF(AND(Has_q6=1,In_q6=4),PR_ShareVaries*(HV66),MIN(IF(Has_q6=1,CHOOSE(In_q6+1,PR_SaveB1,PR_SaveB2,PR_SaveB3,PR_SaveB4,0),AS_NoAnswer),AS_SaveShare*(HV66)))</f>
        <v>0</v>
      </c>
      <c r="HX66" s="20" t="n">
        <f aca="false">IF(Has_saveM=1,IF(In_saveUp="Yes",1,IF(In_saveUp="No",0,IF(In_saveM&gt;=HT66-0.5,1,0))),0)</f>
        <v>0</v>
      </c>
      <c r="HY66" s="20" t="n">
        <f aca="false">IF(Has_saveM=1,MIN(HV66,IF(HX66=1,MAX(In_saveM,HW66),MIN(In_saveM,HW66))),HW66)</f>
        <v>0</v>
      </c>
      <c r="HZ66" s="20" t="n">
        <f aca="false">IF(G66=1,HY66*12*F66,0)</f>
        <v>0</v>
      </c>
      <c r="IA66" s="20" t="n">
        <f aca="false">MAX(0,HZ66+IF(AND(WI_Retire=0,WI_M&lt;0,G66=1),WI_M*12*F66,0))</f>
        <v>0</v>
      </c>
      <c r="IB66" s="20" t="n">
        <f aca="false">Slot1_IsWG*W66+Slot2_IsWG*AH66+Slot3_IsWG*AR66+Slot4_IsWG*BB66+Slot5_IsWG*BL66+Slot6_IsWG*BV66+Slot7_IsWG*CF66+Slot8_IsWG*CP66+Slot9_IsWG*CZ66+Slot10_IsWG*DJ66+Slot11_IsWG*DT66+Slot12_IsWG*ED66+Slot13_IsWG*EN66+Slot14_IsWG*EX66+Slot15_IsWG*FH66+Slot16_IsWG*FR66+Slot17_IsWG*GB66+Slot18_IsWG*GL66+Slot19_IsWG*GV66+Slot20_IsWG*HF66</f>
        <v>0</v>
      </c>
      <c r="IC66" s="20" t="n">
        <f aca="false">IF(AND(WI_Retire=0,WI_M&gt;0,G66=1,IB66&gt;=1),WI_M*12*F66,0)</f>
        <v>0</v>
      </c>
      <c r="ID66" s="20" t="n">
        <f aca="false">IF(HU66=1,MIN(IA66,HS66),0)</f>
        <v>0</v>
      </c>
      <c r="IE66" s="20" t="n">
        <f aca="false">IF(HU66=1,MIN(IC66,HS66-ID66),0)</f>
        <v>0</v>
      </c>
      <c r="IF66" s="20" t="n">
        <f aca="false">IF(W66=1,IF(ABS((1+AS_Wage)/(1+Slot1_Rate)-1)&lt;0.000000000001,(Slot1_Age-D66)*(1+Slot1_Rate)^(Slot1_Age-D66),(1+Slot1_Rate)^(Slot1_Age-D66)*(1-((1+AS_Wage)/(1+Slot1_Rate))^(Slot1_Age-D66))/(1-(1+AS_Wage)/(1+Slot1_Rate))),1)</f>
        <v>1</v>
      </c>
      <c r="IG66" s="20" t="n">
        <f aca="false">IF(AND(HU66=1,IE66&gt;0,Slot1_IsWG=1,W66=1),MAX(0,(Slot1_Cost-X66*(1+Slot1_Rate)^(Slot1_Age-D66))/IF66),0)</f>
        <v>0</v>
      </c>
      <c r="IH66" s="20" t="n">
        <f aca="false">IF(AND(HU66=1,IE66&gt;0,Slot1_IsWG=1,W66=1),MIN(IE66,IG66),0)</f>
        <v>0</v>
      </c>
      <c r="II66" s="20" t="n">
        <f aca="false">X66+IH66</f>
        <v>0</v>
      </c>
      <c r="IJ66" s="20" t="n">
        <f aca="false">IF(W66=1,MAX(0,(Slot1_Cost-II66*(1+Slot1_Rate)^(Slot1_Age-D66))/IF66),0)</f>
        <v>0</v>
      </c>
      <c r="IK66" s="20" t="n">
        <f aca="false">IF(W66=1,MAX(0,(Slot1_Cost-X66*(1+Slot1_Rate)^(Slot1_Age-D66))/IF66),0)</f>
        <v>0</v>
      </c>
      <c r="IL66" s="20" t="n">
        <f aca="false">IF(AND(HU66=1,W66=1),MIN(ID66,IJ66),0)</f>
        <v>0</v>
      </c>
      <c r="IM66" s="20" t="n">
        <f aca="false">ID66-IL66</f>
        <v>0</v>
      </c>
      <c r="IN66" s="20" t="n">
        <f aca="false">IF(AH66=1,IF(ABS((1+AS_Wage)/(1+Slot2_Rate)-1)&lt;0.000000000001,(Slot2_Age-D66)*(1+Slot2_Rate)^(Slot2_Age-D66),(1+Slot2_Rate)^(Slot2_Age-D66)*(1-((1+AS_Wage)/(1+Slot2_Rate))^(Slot2_Age-D66))/(1-(1+AS_Wage)/(1+Slot2_Rate))),1)</f>
        <v>1</v>
      </c>
      <c r="IO66" s="20" t="n">
        <f aca="false">IF(AND(HU66=1,IE66&gt;0,Slot2_IsWG=1,AH66=1),MAX(0,(Slot2_Cost-AI66*(1+Slot2_Rate)^(Slot2_Age-D66))/IN66),0)</f>
        <v>0</v>
      </c>
      <c r="IP66" s="20" t="n">
        <f aca="false">IF(AND(HU66=1,IE66&gt;0,Slot2_IsWG=1,AH66=1),MIN(IE66,IO66),0)</f>
        <v>0</v>
      </c>
      <c r="IQ66" s="20" t="n">
        <f aca="false">AI66+IP66</f>
        <v>0</v>
      </c>
      <c r="IR66" s="20" t="n">
        <f aca="false">IF(AH66=1,MAX(0,(Slot2_Cost-IQ66*(1+Slot2_Rate)^(Slot2_Age-D66))/IN66),0)</f>
        <v>0</v>
      </c>
      <c r="IS66" s="20" t="n">
        <f aca="false">IF(AH66=1,MAX(0,(Slot2_Cost-AI66*(1+Slot2_Rate)^(Slot2_Age-D66))/IN66),0)</f>
        <v>0</v>
      </c>
      <c r="IT66" s="20" t="n">
        <f aca="false">IF(AND(HU66=1,AH66=1),MIN(IM66,IR66),0)</f>
        <v>0</v>
      </c>
      <c r="IU66" s="20" t="n">
        <f aca="false">IM66-IT66</f>
        <v>0</v>
      </c>
      <c r="IV66" s="20" t="n">
        <f aca="false">IF(AR66=1,IF(ABS((1+AS_Wage)/(1+Slot3_Rate)-1)&lt;0.000000000001,(Slot3_Age-D66)*(1+Slot3_Rate)^(Slot3_Age-D66),(1+Slot3_Rate)^(Slot3_Age-D66)*(1-((1+AS_Wage)/(1+Slot3_Rate))^(Slot3_Age-D66))/(1-(1+AS_Wage)/(1+Slot3_Rate))),1)</f>
        <v>1</v>
      </c>
      <c r="IW66" s="20" t="n">
        <f aca="false">IF(AND(HU66=1,IE66&gt;0,Slot3_IsWG=1,AR66=1),MAX(0,(Slot3_Cost-AS66*(1+Slot3_Rate)^(Slot3_Age-D66))/IV66),0)</f>
        <v>0</v>
      </c>
      <c r="IX66" s="20" t="n">
        <f aca="false">IF(AND(HU66=1,IE66&gt;0,Slot3_IsWG=1,AR66=1),MIN(IE66,IW66),0)</f>
        <v>0</v>
      </c>
      <c r="IY66" s="20" t="n">
        <f aca="false">AS66+IX66</f>
        <v>0</v>
      </c>
      <c r="IZ66" s="20" t="n">
        <f aca="false">IF(AR66=1,MAX(0,(Slot3_Cost-IY66*(1+Slot3_Rate)^(Slot3_Age-D66))/IV66),0)</f>
        <v>0</v>
      </c>
      <c r="JA66" s="20" t="n">
        <f aca="false">IF(AR66=1,MAX(0,(Slot3_Cost-AS66*(1+Slot3_Rate)^(Slot3_Age-D66))/IV66),0)</f>
        <v>0</v>
      </c>
      <c r="JB66" s="20" t="n">
        <f aca="false">IF(AND(HU66=1,AR66=1),MIN(IU66,IZ66),0)</f>
        <v>0</v>
      </c>
      <c r="JC66" s="20" t="n">
        <f aca="false">IU66-JB66</f>
        <v>0</v>
      </c>
      <c r="JD66" s="20" t="n">
        <f aca="false">IF(BB66=1,IF(ABS((1+AS_Wage)/(1+Slot4_Rate)-1)&lt;0.000000000001,(Slot4_Age-D66)*(1+Slot4_Rate)^(Slot4_Age-D66),(1+Slot4_Rate)^(Slot4_Age-D66)*(1-((1+AS_Wage)/(1+Slot4_Rate))^(Slot4_Age-D66))/(1-(1+AS_Wage)/(1+Slot4_Rate))),1)</f>
        <v>1</v>
      </c>
      <c r="JE66" s="20" t="n">
        <f aca="false">IF(AND(HU66=1,IE66&gt;0,Slot4_IsWG=1,BB66=1),MAX(0,(Slot4_Cost-BC66*(1+Slot4_Rate)^(Slot4_Age-D66))/JD66),0)</f>
        <v>0</v>
      </c>
      <c r="JF66" s="20" t="n">
        <f aca="false">IF(AND(HU66=1,IE66&gt;0,Slot4_IsWG=1,BB66=1),MIN(IE66,JE66),0)</f>
        <v>0</v>
      </c>
      <c r="JG66" s="20" t="n">
        <f aca="false">BC66+JF66</f>
        <v>0</v>
      </c>
      <c r="JH66" s="20" t="n">
        <f aca="false">IF(BB66=1,MAX(0,(Slot4_Cost-JG66*(1+Slot4_Rate)^(Slot4_Age-D66))/JD66),0)</f>
        <v>0</v>
      </c>
      <c r="JI66" s="20" t="n">
        <f aca="false">IF(BB66=1,MAX(0,(Slot4_Cost-BC66*(1+Slot4_Rate)^(Slot4_Age-D66))/JD66),0)</f>
        <v>0</v>
      </c>
      <c r="JJ66" s="20" t="n">
        <f aca="false">IF(AND(HU66=1,BB66=1),MIN(JC66,JH66),0)</f>
        <v>0</v>
      </c>
      <c r="JK66" s="20" t="n">
        <f aca="false">JC66-JJ66</f>
        <v>0</v>
      </c>
      <c r="JL66" s="20" t="n">
        <f aca="false">IF(BL66=1,IF(ABS((1+AS_Wage)/(1+Slot5_Rate)-1)&lt;0.000000000001,(Slot5_Age-D66)*(1+Slot5_Rate)^(Slot5_Age-D66),(1+Slot5_Rate)^(Slot5_Age-D66)*(1-((1+AS_Wage)/(1+Slot5_Rate))^(Slot5_Age-D66))/(1-(1+AS_Wage)/(1+Slot5_Rate))),1)</f>
        <v>1</v>
      </c>
      <c r="JM66" s="20" t="n">
        <f aca="false">IF(AND(HU66=1,IE66&gt;0,Slot5_IsWG=1,BL66=1),MAX(0,(Slot5_Cost-BM66*(1+Slot5_Rate)^(Slot5_Age-D66))/JL66),0)</f>
        <v>0</v>
      </c>
      <c r="JN66" s="20" t="n">
        <f aca="false">IF(AND(HU66=1,IE66&gt;0,Slot5_IsWG=1,BL66=1),MIN(IE66,JM66),0)</f>
        <v>0</v>
      </c>
      <c r="JO66" s="20" t="n">
        <f aca="false">BM66+JN66</f>
        <v>0</v>
      </c>
      <c r="JP66" s="20" t="n">
        <f aca="false">IF(BL66=1,MAX(0,(Slot5_Cost-JO66*(1+Slot5_Rate)^(Slot5_Age-D66))/JL66),0)</f>
        <v>0</v>
      </c>
      <c r="JQ66" s="20" t="n">
        <f aca="false">IF(BL66=1,MAX(0,(Slot5_Cost-BM66*(1+Slot5_Rate)^(Slot5_Age-D66))/JL66),0)</f>
        <v>0</v>
      </c>
      <c r="JR66" s="20" t="n">
        <f aca="false">IF(AND(HU66=1,BL66=1),MIN(JK66,JP66),0)</f>
        <v>0</v>
      </c>
      <c r="JS66" s="20" t="n">
        <f aca="false">JK66-JR66</f>
        <v>0</v>
      </c>
      <c r="JT66" s="20" t="n">
        <f aca="false">IF(BV66=1,IF(ABS((1+AS_Wage)/(1+Slot6_Rate)-1)&lt;0.000000000001,(Slot6_Age-D66)*(1+Slot6_Rate)^(Slot6_Age-D66),(1+Slot6_Rate)^(Slot6_Age-D66)*(1-((1+AS_Wage)/(1+Slot6_Rate))^(Slot6_Age-D66))/(1-(1+AS_Wage)/(1+Slot6_Rate))),1)</f>
        <v>1</v>
      </c>
      <c r="JU66" s="20" t="n">
        <f aca="false">IF(AND(HU66=1,IE66&gt;0,Slot6_IsWG=1,BV66=1),MAX(0,(Slot6_Cost-BW66*(1+Slot6_Rate)^(Slot6_Age-D66))/JT66),0)</f>
        <v>0</v>
      </c>
      <c r="JV66" s="20" t="n">
        <f aca="false">IF(AND(HU66=1,IE66&gt;0,Slot6_IsWG=1,BV66=1),MIN(IE66,JU66),0)</f>
        <v>0</v>
      </c>
      <c r="JW66" s="20" t="n">
        <f aca="false">BW66+JV66</f>
        <v>0</v>
      </c>
      <c r="JX66" s="20" t="n">
        <f aca="false">IF(BV66=1,MAX(0,(Slot6_Cost-JW66*(1+Slot6_Rate)^(Slot6_Age-D66))/JT66),0)</f>
        <v>0</v>
      </c>
      <c r="JY66" s="20" t="n">
        <f aca="false">IF(BV66=1,MAX(0,(Slot6_Cost-BW66*(1+Slot6_Rate)^(Slot6_Age-D66))/JT66),0)</f>
        <v>0</v>
      </c>
      <c r="JZ66" s="20" t="n">
        <f aca="false">IF(AND(HU66=1,BV66=1),MIN(JS66,JX66),0)</f>
        <v>0</v>
      </c>
      <c r="KA66" s="20" t="n">
        <f aca="false">JS66-JZ66</f>
        <v>0</v>
      </c>
      <c r="KB66" s="20" t="n">
        <f aca="false">IF(CF66=1,IF(ABS((1+AS_Wage)/(1+Slot7_Rate)-1)&lt;0.000000000001,(Slot7_Age-D66)*(1+Slot7_Rate)^(Slot7_Age-D66),(1+Slot7_Rate)^(Slot7_Age-D66)*(1-((1+AS_Wage)/(1+Slot7_Rate))^(Slot7_Age-D66))/(1-(1+AS_Wage)/(1+Slot7_Rate))),1)</f>
        <v>1</v>
      </c>
      <c r="KC66" s="20" t="n">
        <f aca="false">IF(AND(HU66=1,IE66&gt;0,Slot7_IsWG=1,CF66=1),MAX(0,(Slot7_Cost-CG66*(1+Slot7_Rate)^(Slot7_Age-D66))/KB66),0)</f>
        <v>0</v>
      </c>
      <c r="KD66" s="20" t="n">
        <f aca="false">IF(AND(HU66=1,IE66&gt;0,Slot7_IsWG=1,CF66=1),MIN(IE66,KC66),0)</f>
        <v>0</v>
      </c>
      <c r="KE66" s="20" t="n">
        <f aca="false">CG66+KD66</f>
        <v>0</v>
      </c>
      <c r="KF66" s="20" t="n">
        <f aca="false">IF(CF66=1,MAX(0,(Slot7_Cost-KE66*(1+Slot7_Rate)^(Slot7_Age-D66))/KB66),0)</f>
        <v>0</v>
      </c>
      <c r="KG66" s="20" t="n">
        <f aca="false">IF(CF66=1,MAX(0,(Slot7_Cost-CG66*(1+Slot7_Rate)^(Slot7_Age-D66))/KB66),0)</f>
        <v>0</v>
      </c>
      <c r="KH66" s="20" t="n">
        <f aca="false">IF(AND(HU66=1,CF66=1),MIN(KA66,KF66),0)</f>
        <v>0</v>
      </c>
      <c r="KI66" s="20" t="n">
        <f aca="false">KA66-KH66</f>
        <v>0</v>
      </c>
      <c r="KJ66" s="20" t="n">
        <f aca="false">IF(CP66=1,IF(ABS((1+AS_Wage)/(1+Slot8_Rate)-1)&lt;0.000000000001,(Slot8_Age-D66)*(1+Slot8_Rate)^(Slot8_Age-D66),(1+Slot8_Rate)^(Slot8_Age-D66)*(1-((1+AS_Wage)/(1+Slot8_Rate))^(Slot8_Age-D66))/(1-(1+AS_Wage)/(1+Slot8_Rate))),1)</f>
        <v>1</v>
      </c>
      <c r="KK66" s="20" t="n">
        <f aca="false">IF(AND(HU66=1,IE66&gt;0,Slot8_IsWG=1,CP66=1),MAX(0,(Slot8_Cost-CQ66*(1+Slot8_Rate)^(Slot8_Age-D66))/KJ66),0)</f>
        <v>0</v>
      </c>
      <c r="KL66" s="20" t="n">
        <f aca="false">IF(AND(HU66=1,IE66&gt;0,Slot8_IsWG=1,CP66=1),MIN(IE66,KK66),0)</f>
        <v>0</v>
      </c>
      <c r="KM66" s="20" t="n">
        <f aca="false">CQ66+KL66</f>
        <v>0</v>
      </c>
      <c r="KN66" s="20" t="n">
        <f aca="false">IF(CP66=1,MAX(0,(Slot8_Cost-KM66*(1+Slot8_Rate)^(Slot8_Age-D66))/KJ66),0)</f>
        <v>0</v>
      </c>
      <c r="KO66" s="20" t="n">
        <f aca="false">IF(CP66=1,MAX(0,(Slot8_Cost-CQ66*(1+Slot8_Rate)^(Slot8_Age-D66))/KJ66),0)</f>
        <v>0</v>
      </c>
      <c r="KP66" s="20" t="n">
        <f aca="false">IF(AND(HU66=1,CP66=1),MIN(KI66,KN66),0)</f>
        <v>0</v>
      </c>
      <c r="KQ66" s="20" t="n">
        <f aca="false">KI66-KP66</f>
        <v>0</v>
      </c>
      <c r="KR66" s="20" t="n">
        <f aca="false">IF(CZ66=1,IF(ABS((1+AS_Wage)/(1+Slot9_Rate)-1)&lt;0.000000000001,(Slot9_Age-D66)*(1+Slot9_Rate)^(Slot9_Age-D66),(1+Slot9_Rate)^(Slot9_Age-D66)*(1-((1+AS_Wage)/(1+Slot9_Rate))^(Slot9_Age-D66))/(1-(1+AS_Wage)/(1+Slot9_Rate))),1)</f>
        <v>1</v>
      </c>
      <c r="KS66" s="20" t="n">
        <f aca="false">IF(AND(HU66=1,IE66&gt;0,Slot9_IsWG=1,CZ66=1),MAX(0,(Slot9_Cost-DA66*(1+Slot9_Rate)^(Slot9_Age-D66))/KR66),0)</f>
        <v>0</v>
      </c>
      <c r="KT66" s="20" t="n">
        <f aca="false">IF(AND(HU66=1,IE66&gt;0,Slot9_IsWG=1,CZ66=1),MIN(IE66,KS66),0)</f>
        <v>0</v>
      </c>
      <c r="KU66" s="20" t="n">
        <f aca="false">DA66+KT66</f>
        <v>0</v>
      </c>
      <c r="KV66" s="20" t="n">
        <f aca="false">IF(CZ66=1,MAX(0,(Slot9_Cost-KU66*(1+Slot9_Rate)^(Slot9_Age-D66))/KR66),0)</f>
        <v>0</v>
      </c>
      <c r="KW66" s="20" t="n">
        <f aca="false">IF(CZ66=1,MAX(0,(Slot9_Cost-DA66*(1+Slot9_Rate)^(Slot9_Age-D66))/KR66),0)</f>
        <v>0</v>
      </c>
      <c r="KX66" s="20" t="n">
        <f aca="false">IF(AND(HU66=1,CZ66=1),MIN(KQ66,KV66),0)</f>
        <v>0</v>
      </c>
      <c r="KY66" s="20" t="n">
        <f aca="false">KQ66-KX66</f>
        <v>0</v>
      </c>
      <c r="KZ66" s="20" t="n">
        <f aca="false">IF(DJ66=1,IF(ABS((1+AS_Wage)/(1+Slot10_Rate)-1)&lt;0.000000000001,(Slot10_Age-D66)*(1+Slot10_Rate)^(Slot10_Age-D66),(1+Slot10_Rate)^(Slot10_Age-D66)*(1-((1+AS_Wage)/(1+Slot10_Rate))^(Slot10_Age-D66))/(1-(1+AS_Wage)/(1+Slot10_Rate))),1)</f>
        <v>1</v>
      </c>
      <c r="LA66" s="20" t="n">
        <f aca="false">IF(AND(HU66=1,IE66&gt;0,Slot10_IsWG=1,DJ66=1),MAX(0,(Slot10_Cost-DK66*(1+Slot10_Rate)^(Slot10_Age-D66))/KZ66),0)</f>
        <v>0</v>
      </c>
      <c r="LB66" s="20" t="n">
        <f aca="false">IF(AND(HU66=1,IE66&gt;0,Slot10_IsWG=1,DJ66=1),MIN(IE66,LA66),0)</f>
        <v>0</v>
      </c>
      <c r="LC66" s="20" t="n">
        <f aca="false">DK66+LB66</f>
        <v>0</v>
      </c>
      <c r="LD66" s="20" t="n">
        <f aca="false">IF(DJ66=1,MAX(0,(Slot10_Cost-LC66*(1+Slot10_Rate)^(Slot10_Age-D66))/KZ66),0)</f>
        <v>0</v>
      </c>
      <c r="LE66" s="20" t="n">
        <f aca="false">IF(DJ66=1,MAX(0,(Slot10_Cost-DK66*(1+Slot10_Rate)^(Slot10_Age-D66))/KZ66),0)</f>
        <v>0</v>
      </c>
      <c r="LF66" s="20" t="n">
        <f aca="false">IF(AND(HU66=1,DJ66=1),MIN(KY66,LD66),0)</f>
        <v>0</v>
      </c>
      <c r="LG66" s="20" t="n">
        <f aca="false">KY66-LF66</f>
        <v>0</v>
      </c>
      <c r="LH66" s="20" t="n">
        <f aca="false">IF(DT66=1,IF(ABS((1+AS_Wage)/(1+Slot11_Rate)-1)&lt;0.000000000001,(Slot11_Age-D66)*(1+Slot11_Rate)^(Slot11_Age-D66),(1+Slot11_Rate)^(Slot11_Age-D66)*(1-((1+AS_Wage)/(1+Slot11_Rate))^(Slot11_Age-D66))/(1-(1+AS_Wage)/(1+Slot11_Rate))),1)</f>
        <v>1</v>
      </c>
      <c r="LI66" s="20" t="n">
        <f aca="false">IF(AND(HU66=1,IE66&gt;0,Slot11_IsWG=1,DT66=1),MAX(0,(Slot11_Cost-DU66*(1+Slot11_Rate)^(Slot11_Age-D66))/LH66),0)</f>
        <v>0</v>
      </c>
      <c r="LJ66" s="20" t="n">
        <f aca="false">IF(AND(HU66=1,IE66&gt;0,Slot11_IsWG=1,DT66=1),MIN(IE66,LI66),0)</f>
        <v>0</v>
      </c>
      <c r="LK66" s="20" t="n">
        <f aca="false">DU66+LJ66</f>
        <v>0</v>
      </c>
      <c r="LL66" s="20" t="n">
        <f aca="false">IF(DT66=1,MAX(0,(Slot11_Cost-LK66*(1+Slot11_Rate)^(Slot11_Age-D66))/LH66),0)</f>
        <v>0</v>
      </c>
      <c r="LM66" s="20" t="n">
        <f aca="false">IF(DT66=1,MAX(0,(Slot11_Cost-DU66*(1+Slot11_Rate)^(Slot11_Age-D66))/LH66),0)</f>
        <v>0</v>
      </c>
      <c r="LN66" s="20" t="n">
        <f aca="false">IF(AND(HU66=1,DT66=1),MIN(LG66,LL66),0)</f>
        <v>0</v>
      </c>
      <c r="LO66" s="20" t="n">
        <f aca="false">LG66-LN66</f>
        <v>0</v>
      </c>
      <c r="LP66" s="20" t="n">
        <f aca="false">IF(ED66=1,IF(ABS((1+AS_Wage)/(1+Slot12_Rate)-1)&lt;0.000000000001,(Slot12_Age-D66)*(1+Slot12_Rate)^(Slot12_Age-D66),(1+Slot12_Rate)^(Slot12_Age-D66)*(1-((1+AS_Wage)/(1+Slot12_Rate))^(Slot12_Age-D66))/(1-(1+AS_Wage)/(1+Slot12_Rate))),1)</f>
        <v>1</v>
      </c>
      <c r="LQ66" s="20" t="n">
        <f aca="false">IF(AND(HU66=1,IE66&gt;0,Slot12_IsWG=1,ED66=1),MAX(0,(Slot12_Cost-EE66*(1+Slot12_Rate)^(Slot12_Age-D66))/LP66),0)</f>
        <v>0</v>
      </c>
      <c r="LR66" s="20" t="n">
        <f aca="false">IF(AND(HU66=1,IE66&gt;0,Slot12_IsWG=1,ED66=1),MIN(IE66,LQ66),0)</f>
        <v>0</v>
      </c>
      <c r="LS66" s="20" t="n">
        <f aca="false">EE66+LR66</f>
        <v>0</v>
      </c>
      <c r="LT66" s="20" t="n">
        <f aca="false">IF(ED66=1,MAX(0,(Slot12_Cost-LS66*(1+Slot12_Rate)^(Slot12_Age-D66))/LP66),0)</f>
        <v>0</v>
      </c>
      <c r="LU66" s="20" t="n">
        <f aca="false">IF(ED66=1,MAX(0,(Slot12_Cost-EE66*(1+Slot12_Rate)^(Slot12_Age-D66))/LP66),0)</f>
        <v>0</v>
      </c>
      <c r="LV66" s="20" t="n">
        <f aca="false">IF(AND(HU66=1,ED66=1),MIN(LO66,LT66),0)</f>
        <v>0</v>
      </c>
      <c r="LW66" s="20" t="n">
        <f aca="false">LO66-LV66</f>
        <v>0</v>
      </c>
      <c r="LX66" s="20" t="n">
        <f aca="false">IF(EN66=1,IF(ABS((1+AS_Wage)/(1+Slot13_Rate)-1)&lt;0.000000000001,(Slot13_Age-D66)*(1+Slot13_Rate)^(Slot13_Age-D66),(1+Slot13_Rate)^(Slot13_Age-D66)*(1-((1+AS_Wage)/(1+Slot13_Rate))^(Slot13_Age-D66))/(1-(1+AS_Wage)/(1+Slot13_Rate))),1)</f>
        <v>1</v>
      </c>
      <c r="LY66" s="20" t="n">
        <f aca="false">IF(AND(HU66=1,IE66&gt;0,Slot13_IsWG=1,EN66=1),MAX(0,(Slot13_Cost-EO66*(1+Slot13_Rate)^(Slot13_Age-D66))/LX66),0)</f>
        <v>0</v>
      </c>
      <c r="LZ66" s="20" t="n">
        <f aca="false">IF(AND(HU66=1,IE66&gt;0,Slot13_IsWG=1,EN66=1),MIN(IE66,LY66),0)</f>
        <v>0</v>
      </c>
      <c r="MA66" s="20" t="n">
        <f aca="false">EO66+LZ66</f>
        <v>0</v>
      </c>
      <c r="MB66" s="20" t="n">
        <f aca="false">IF(EN66=1,MAX(0,(Slot13_Cost-MA66*(1+Slot13_Rate)^(Slot13_Age-D66))/LX66),0)</f>
        <v>0</v>
      </c>
      <c r="MC66" s="20" t="n">
        <f aca="false">IF(EN66=1,MAX(0,(Slot13_Cost-EO66*(1+Slot13_Rate)^(Slot13_Age-D66))/LX66),0)</f>
        <v>0</v>
      </c>
      <c r="MD66" s="20" t="n">
        <f aca="false">IF(AND(HU66=1,EN66=1),MIN(LW66,MB66),0)</f>
        <v>0</v>
      </c>
      <c r="ME66" s="20" t="n">
        <f aca="false">LW66-MD66</f>
        <v>0</v>
      </c>
      <c r="MF66" s="20" t="n">
        <f aca="false">IF(EX66=1,IF(ABS((1+AS_Wage)/(1+Slot14_Rate)-1)&lt;0.000000000001,(Slot14_Age-D66)*(1+Slot14_Rate)^(Slot14_Age-D66),(1+Slot14_Rate)^(Slot14_Age-D66)*(1-((1+AS_Wage)/(1+Slot14_Rate))^(Slot14_Age-D66))/(1-(1+AS_Wage)/(1+Slot14_Rate))),1)</f>
        <v>1</v>
      </c>
      <c r="MG66" s="20" t="n">
        <f aca="false">IF(AND(HU66=1,IE66&gt;0,Slot14_IsWG=1,EX66=1),MAX(0,(Slot14_Cost-EY66*(1+Slot14_Rate)^(Slot14_Age-D66))/MF66),0)</f>
        <v>0</v>
      </c>
      <c r="MH66" s="20" t="n">
        <f aca="false">IF(AND(HU66=1,IE66&gt;0,Slot14_IsWG=1,EX66=1),MIN(IE66,MG66),0)</f>
        <v>0</v>
      </c>
      <c r="MI66" s="20" t="n">
        <f aca="false">EY66+MH66</f>
        <v>0</v>
      </c>
      <c r="MJ66" s="20" t="n">
        <f aca="false">IF(EX66=1,MAX(0,(Slot14_Cost-MI66*(1+Slot14_Rate)^(Slot14_Age-D66))/MF66),0)</f>
        <v>0</v>
      </c>
      <c r="MK66" s="20" t="n">
        <f aca="false">IF(EX66=1,MAX(0,(Slot14_Cost-EY66*(1+Slot14_Rate)^(Slot14_Age-D66))/MF66),0)</f>
        <v>0</v>
      </c>
      <c r="ML66" s="20" t="n">
        <f aca="false">IF(AND(HU66=1,EX66=1),MIN(ME66,MJ66),0)</f>
        <v>0</v>
      </c>
      <c r="MM66" s="20" t="n">
        <f aca="false">ME66-ML66</f>
        <v>0</v>
      </c>
      <c r="MN66" s="20" t="n">
        <f aca="false">IF(FH66=1,IF(ABS((1+AS_Wage)/(1+Slot15_Rate)-1)&lt;0.000000000001,(Slot15_Age-D66)*(1+Slot15_Rate)^(Slot15_Age-D66),(1+Slot15_Rate)^(Slot15_Age-D66)*(1-((1+AS_Wage)/(1+Slot15_Rate))^(Slot15_Age-D66))/(1-(1+AS_Wage)/(1+Slot15_Rate))),1)</f>
        <v>1</v>
      </c>
      <c r="MO66" s="20" t="n">
        <f aca="false">IF(AND(HU66=1,IE66&gt;0,Slot15_IsWG=1,FH66=1),MAX(0,(Slot15_Cost-FI66*(1+Slot15_Rate)^(Slot15_Age-D66))/MN66),0)</f>
        <v>0</v>
      </c>
      <c r="MP66" s="20" t="n">
        <f aca="false">IF(AND(HU66=1,IE66&gt;0,Slot15_IsWG=1,FH66=1),MIN(IE66,MO66),0)</f>
        <v>0</v>
      </c>
      <c r="MQ66" s="20" t="n">
        <f aca="false">FI66+MP66</f>
        <v>0</v>
      </c>
      <c r="MR66" s="20" t="n">
        <f aca="false">IF(FH66=1,MAX(0,(Slot15_Cost-MQ66*(1+Slot15_Rate)^(Slot15_Age-D66))/MN66),0)</f>
        <v>0</v>
      </c>
      <c r="MS66" s="20" t="n">
        <f aca="false">IF(FH66=1,MAX(0,(Slot15_Cost-FI66*(1+Slot15_Rate)^(Slot15_Age-D66))/MN66),0)</f>
        <v>0</v>
      </c>
      <c r="MT66" s="20" t="n">
        <f aca="false">IF(AND(HU66=1,FH66=1),MIN(MM66,MR66),0)</f>
        <v>0</v>
      </c>
      <c r="MU66" s="20" t="n">
        <f aca="false">MM66-MT66</f>
        <v>0</v>
      </c>
      <c r="MV66" s="20" t="n">
        <f aca="false">IF(FR66=1,IF(ABS((1+AS_Wage)/(1+Slot16_Rate)-1)&lt;0.000000000001,(Slot16_Age-D66)*(1+Slot16_Rate)^(Slot16_Age-D66),(1+Slot16_Rate)^(Slot16_Age-D66)*(1-((1+AS_Wage)/(1+Slot16_Rate))^(Slot16_Age-D66))/(1-(1+AS_Wage)/(1+Slot16_Rate))),1)</f>
        <v>1</v>
      </c>
      <c r="MW66" s="20" t="n">
        <f aca="false">IF(AND(HU66=1,IE66&gt;0,Slot16_IsWG=1,FR66=1),MAX(0,(Slot16_Cost-FS66*(1+Slot16_Rate)^(Slot16_Age-D66))/MV66),0)</f>
        <v>0</v>
      </c>
      <c r="MX66" s="20" t="n">
        <f aca="false">IF(AND(HU66=1,IE66&gt;0,Slot16_IsWG=1,FR66=1),MIN(IE66,MW66),0)</f>
        <v>0</v>
      </c>
      <c r="MY66" s="20" t="n">
        <f aca="false">FS66+MX66</f>
        <v>0</v>
      </c>
      <c r="MZ66" s="20" t="n">
        <f aca="false">IF(FR66=1,MAX(0,(Slot16_Cost-MY66*(1+Slot16_Rate)^(Slot16_Age-D66))/MV66),0)</f>
        <v>0</v>
      </c>
      <c r="NA66" s="20" t="n">
        <f aca="false">IF(FR66=1,MAX(0,(Slot16_Cost-FS66*(1+Slot16_Rate)^(Slot16_Age-D66))/MV66),0)</f>
        <v>0</v>
      </c>
      <c r="NB66" s="20" t="n">
        <f aca="false">IF(AND(HU66=1,FR66=1),MIN(MU66,MZ66),0)</f>
        <v>0</v>
      </c>
      <c r="NC66" s="20" t="n">
        <f aca="false">MU66-NB66</f>
        <v>0</v>
      </c>
      <c r="ND66" s="20" t="n">
        <f aca="false">IF(GB66=1,IF(ABS((1+AS_Wage)/(1+Slot17_Rate)-1)&lt;0.000000000001,(Slot17_Age-D66)*(1+Slot17_Rate)^(Slot17_Age-D66),(1+Slot17_Rate)^(Slot17_Age-D66)*(1-((1+AS_Wage)/(1+Slot17_Rate))^(Slot17_Age-D66))/(1-(1+AS_Wage)/(1+Slot17_Rate))),1)</f>
        <v>1</v>
      </c>
      <c r="NE66" s="20" t="n">
        <f aca="false">IF(AND(HU66=1,IE66&gt;0,Slot17_IsWG=1,GB66=1),MAX(0,(Slot17_Cost-GC66*(1+Slot17_Rate)^(Slot17_Age-D66))/ND66),0)</f>
        <v>0</v>
      </c>
      <c r="NF66" s="20" t="n">
        <f aca="false">IF(AND(HU66=1,IE66&gt;0,Slot17_IsWG=1,GB66=1),MIN(IE66,NE66),0)</f>
        <v>0</v>
      </c>
      <c r="NG66" s="20" t="n">
        <f aca="false">GC66+NF66</f>
        <v>0</v>
      </c>
      <c r="NH66" s="20" t="n">
        <f aca="false">IF(GB66=1,MAX(0,(Slot17_Cost-NG66*(1+Slot17_Rate)^(Slot17_Age-D66))/ND66),0)</f>
        <v>0</v>
      </c>
      <c r="NI66" s="20" t="n">
        <f aca="false">IF(GB66=1,MAX(0,(Slot17_Cost-GC66*(1+Slot17_Rate)^(Slot17_Age-D66))/ND66),0)</f>
        <v>0</v>
      </c>
      <c r="NJ66" s="20" t="n">
        <f aca="false">IF(AND(HU66=1,GB66=1),MIN(NC66,NH66),0)</f>
        <v>0</v>
      </c>
      <c r="NK66" s="20" t="n">
        <f aca="false">NC66-NJ66</f>
        <v>0</v>
      </c>
      <c r="NL66" s="20" t="n">
        <f aca="false">IF(GL66=1,IF(ABS((1+AS_Wage)/(1+Slot18_Rate)-1)&lt;0.000000000001,(Slot18_Age-D66)*(1+Slot18_Rate)^(Slot18_Age-D66),(1+Slot18_Rate)^(Slot18_Age-D66)*(1-((1+AS_Wage)/(1+Slot18_Rate))^(Slot18_Age-D66))/(1-(1+AS_Wage)/(1+Slot18_Rate))),1)</f>
        <v>1</v>
      </c>
      <c r="NM66" s="20" t="n">
        <f aca="false">IF(AND(HU66=1,IE66&gt;0,Slot18_IsWG=1,GL66=1),MAX(0,(Slot18_Cost-GM66*(1+Slot18_Rate)^(Slot18_Age-D66))/NL66),0)</f>
        <v>0</v>
      </c>
      <c r="NN66" s="20" t="n">
        <f aca="false">IF(AND(HU66=1,IE66&gt;0,Slot18_IsWG=1,GL66=1),MIN(IE66,NM66),0)</f>
        <v>0</v>
      </c>
      <c r="NO66" s="20" t="n">
        <f aca="false">GM66+NN66</f>
        <v>0</v>
      </c>
      <c r="NP66" s="20" t="n">
        <f aca="false">IF(GL66=1,MAX(0,(Slot18_Cost-NO66*(1+Slot18_Rate)^(Slot18_Age-D66))/NL66),0)</f>
        <v>0</v>
      </c>
      <c r="NQ66" s="20" t="n">
        <f aca="false">IF(GL66=1,MAX(0,(Slot18_Cost-GM66*(1+Slot18_Rate)^(Slot18_Age-D66))/NL66),0)</f>
        <v>0</v>
      </c>
      <c r="NR66" s="20" t="n">
        <f aca="false">IF(AND(HU66=1,GL66=1),MIN(NK66,NP66),0)</f>
        <v>0</v>
      </c>
      <c r="NS66" s="20" t="n">
        <f aca="false">NK66-NR66</f>
        <v>0</v>
      </c>
      <c r="NT66" s="20" t="n">
        <f aca="false">IF(GV66=1,IF(ABS((1+AS_Wage)/(1+Slot19_Rate)-1)&lt;0.000000000001,(Slot19_Age-D66)*(1+Slot19_Rate)^(Slot19_Age-D66),(1+Slot19_Rate)^(Slot19_Age-D66)*(1-((1+AS_Wage)/(1+Slot19_Rate))^(Slot19_Age-D66))/(1-(1+AS_Wage)/(1+Slot19_Rate))),1)</f>
        <v>1</v>
      </c>
      <c r="NU66" s="20" t="n">
        <f aca="false">IF(AND(HU66=1,IE66&gt;0,Slot19_IsWG=1,GV66=1),MAX(0,(Slot19_Cost-GW66*(1+Slot19_Rate)^(Slot19_Age-D66))/NT66),0)</f>
        <v>0</v>
      </c>
      <c r="NV66" s="20" t="n">
        <f aca="false">IF(AND(HU66=1,IE66&gt;0,Slot19_IsWG=1,GV66=1),MIN(IE66,NU66),0)</f>
        <v>0</v>
      </c>
      <c r="NW66" s="20" t="n">
        <f aca="false">GW66+NV66</f>
        <v>0</v>
      </c>
      <c r="NX66" s="20" t="n">
        <f aca="false">IF(GV66=1,MAX(0,(Slot19_Cost-NW66*(1+Slot19_Rate)^(Slot19_Age-D66))/NT66),0)</f>
        <v>0</v>
      </c>
      <c r="NY66" s="20" t="n">
        <f aca="false">IF(GV66=1,MAX(0,(Slot19_Cost-GW66*(1+Slot19_Rate)^(Slot19_Age-D66))/NT66),0)</f>
        <v>0</v>
      </c>
      <c r="NZ66" s="20" t="n">
        <f aca="false">IF(AND(HU66=1,GV66=1),MIN(NS66,NX66),0)</f>
        <v>0</v>
      </c>
      <c r="OA66" s="20" t="n">
        <f aca="false">NS66-NZ66</f>
        <v>0</v>
      </c>
      <c r="OB66" s="20" t="n">
        <f aca="false">IF(HF66=1,IF(ABS((1+AS_Wage)/(1+Slot20_Rate)-1)&lt;0.000000000001,(Slot20_Age-D66)*(1+Slot20_Rate)^(Slot20_Age-D66),(1+Slot20_Rate)^(Slot20_Age-D66)*(1-((1+AS_Wage)/(1+Slot20_Rate))^(Slot20_Age-D66))/(1-(1+AS_Wage)/(1+Slot20_Rate))),1)</f>
        <v>1</v>
      </c>
      <c r="OC66" s="20" t="n">
        <f aca="false">IF(AND(HU66=1,IE66&gt;0,Slot20_IsWG=1,HF66=1),MAX(0,(Slot20_Cost-HG66*(1+Slot20_Rate)^(Slot20_Age-D66))/OB66),0)</f>
        <v>0</v>
      </c>
      <c r="OD66" s="20" t="n">
        <f aca="false">IF(AND(HU66=1,IE66&gt;0,Slot20_IsWG=1,HF66=1),MIN(IE66,OC66),0)</f>
        <v>0</v>
      </c>
      <c r="OE66" s="20" t="n">
        <f aca="false">HG66+OD66</f>
        <v>0</v>
      </c>
      <c r="OF66" s="20" t="n">
        <f aca="false">IF(HF66=1,MAX(0,(Slot20_Cost-OE66*(1+Slot20_Rate)^(Slot20_Age-D66))/OB66),0)</f>
        <v>0</v>
      </c>
      <c r="OG66" s="20" t="n">
        <f aca="false">IF(HF66=1,MAX(0,(Slot20_Cost-HG66*(1+Slot20_Rate)^(Slot20_Age-D66))/OB66),0)</f>
        <v>0</v>
      </c>
      <c r="OH66" s="20" t="n">
        <f aca="false">IF(AND(HU66=1,HF66=1),MIN(OA66,OF66),0)</f>
        <v>0</v>
      </c>
      <c r="OI66" s="20" t="n">
        <f aca="false">OA66-OH66</f>
        <v>0</v>
      </c>
      <c r="OJ66" s="20" t="n">
        <f aca="false">IE66-(IH66+IP66+IX66+JF66+JN66+JV66+KD66+KL66+KT66+LB66+LJ66+LR66+LZ66+MH66+MP66+MX66+NF66+NN66+NV66+OD66)</f>
        <v>0</v>
      </c>
      <c r="OK66" s="20" t="n">
        <f aca="false">IF(HU66=1,HS66-ID66-IE66,0)</f>
        <v>0</v>
      </c>
      <c r="OL66" s="20" t="n">
        <f aca="false">IF(HU66=0,-HS66,0)</f>
        <v>60756.2132582369</v>
      </c>
      <c r="OM66" s="20" t="n">
        <f aca="false">MIN(OL66,HK66)</f>
        <v>0</v>
      </c>
      <c r="ON66" s="20" t="n">
        <f aca="false">OL66-OM66</f>
        <v>60756.2132582369</v>
      </c>
      <c r="OO66" s="20" t="n">
        <f aca="false">MIN(ON66,HL66)</f>
        <v>0</v>
      </c>
      <c r="OP66" s="20" t="n">
        <f aca="false">ON66-OO66</f>
        <v>60756.2132582369</v>
      </c>
      <c r="OQ66" s="20" t="n">
        <f aca="false">IF(AND(HU66=0,HF66=1,OP66&gt;0),MIN(OP66,HG66),0)</f>
        <v>0</v>
      </c>
      <c r="OR66" s="20" t="n">
        <f aca="false">OP66-OQ66</f>
        <v>60756.2132582369</v>
      </c>
      <c r="OS66" s="20" t="n">
        <f aca="false">IF(AND(HU66=0,GV66=1,OR66&gt;0),MIN(OR66,GW66),0)</f>
        <v>0</v>
      </c>
      <c r="OT66" s="20" t="n">
        <f aca="false">OR66-OS66</f>
        <v>60756.2132582369</v>
      </c>
      <c r="OU66" s="20" t="n">
        <f aca="false">IF(AND(HU66=0,GL66=1,OT66&gt;0),MIN(OT66,GM66),0)</f>
        <v>0</v>
      </c>
      <c r="OV66" s="20" t="n">
        <f aca="false">OT66-OU66</f>
        <v>60756.2132582369</v>
      </c>
      <c r="OW66" s="20" t="n">
        <f aca="false">IF(AND(HU66=0,GB66=1,OV66&gt;0),MIN(OV66,GC66),0)</f>
        <v>0</v>
      </c>
      <c r="OX66" s="20" t="n">
        <f aca="false">OV66-OW66</f>
        <v>60756.2132582369</v>
      </c>
      <c r="OY66" s="20" t="n">
        <f aca="false">IF(AND(HU66=0,FR66=1,OX66&gt;0),MIN(OX66,FS66),0)</f>
        <v>0</v>
      </c>
      <c r="OZ66" s="20" t="n">
        <f aca="false">OX66-OY66</f>
        <v>60756.2132582369</v>
      </c>
      <c r="PA66" s="20" t="n">
        <f aca="false">IF(AND(HU66=0,FH66=1,OZ66&gt;0),MIN(OZ66,FI66),0)</f>
        <v>0</v>
      </c>
      <c r="PB66" s="20" t="n">
        <f aca="false">OZ66-PA66</f>
        <v>60756.2132582369</v>
      </c>
      <c r="PC66" s="20" t="n">
        <f aca="false">IF(AND(HU66=0,EX66=1,PB66&gt;0),MIN(PB66,EY66),0)</f>
        <v>0</v>
      </c>
      <c r="PD66" s="20" t="n">
        <f aca="false">PB66-PC66</f>
        <v>60756.2132582369</v>
      </c>
      <c r="PE66" s="20" t="n">
        <f aca="false">IF(AND(HU66=0,EN66=1,PD66&gt;0),MIN(PD66,EO66),0)</f>
        <v>0</v>
      </c>
      <c r="PF66" s="20" t="n">
        <f aca="false">PD66-PE66</f>
        <v>60756.2132582369</v>
      </c>
      <c r="PG66" s="20" t="n">
        <f aca="false">IF(AND(HU66=0,ED66=1,PF66&gt;0),MIN(PF66,EE66),0)</f>
        <v>0</v>
      </c>
      <c r="PH66" s="20" t="n">
        <f aca="false">PF66-PG66</f>
        <v>60756.2132582369</v>
      </c>
      <c r="PI66" s="20" t="n">
        <f aca="false">IF(AND(HU66=0,DT66=1,PH66&gt;0),MIN(PH66,DU66),0)</f>
        <v>0</v>
      </c>
      <c r="PJ66" s="20" t="n">
        <f aca="false">PH66-PI66</f>
        <v>60756.2132582369</v>
      </c>
      <c r="PK66" s="20" t="n">
        <f aca="false">IF(AND(HU66=0,DJ66=1,PJ66&gt;0),MIN(PJ66,DK66),0)</f>
        <v>0</v>
      </c>
      <c r="PL66" s="20" t="n">
        <f aca="false">PJ66-PK66</f>
        <v>60756.2132582369</v>
      </c>
      <c r="PM66" s="20" t="n">
        <f aca="false">IF(AND(HU66=0,CZ66=1,PL66&gt;0),MIN(PL66,DA66),0)</f>
        <v>0</v>
      </c>
      <c r="PN66" s="20" t="n">
        <f aca="false">PL66-PM66</f>
        <v>60756.2132582369</v>
      </c>
      <c r="PO66" s="20" t="n">
        <f aca="false">IF(AND(HU66=0,CP66=1,PN66&gt;0),MIN(PN66,CQ66),0)</f>
        <v>0</v>
      </c>
      <c r="PP66" s="20" t="n">
        <f aca="false">PN66-PO66</f>
        <v>60756.2132582369</v>
      </c>
      <c r="PQ66" s="20" t="n">
        <f aca="false">IF(AND(HU66=0,CF66=1,PP66&gt;0),MIN(PP66,CG66),0)</f>
        <v>0</v>
      </c>
      <c r="PR66" s="20" t="n">
        <f aca="false">PP66-PQ66</f>
        <v>60756.2132582369</v>
      </c>
      <c r="PS66" s="20" t="n">
        <f aca="false">IF(AND(HU66=0,BV66=1,PR66&gt;0),MIN(PR66,BW66),0)</f>
        <v>0</v>
      </c>
      <c r="PT66" s="20" t="n">
        <f aca="false">PR66-PS66</f>
        <v>60756.2132582369</v>
      </c>
      <c r="PU66" s="20" t="n">
        <f aca="false">IF(AND(HU66=0,BL66=1,PT66&gt;0),MIN(PT66,BM66),0)</f>
        <v>0</v>
      </c>
      <c r="PV66" s="20" t="n">
        <f aca="false">PT66-PU66</f>
        <v>60756.2132582369</v>
      </c>
      <c r="PW66" s="20" t="n">
        <f aca="false">IF(AND(HU66=0,BB66=1,PV66&gt;0),MIN(PV66,BC66),0)</f>
        <v>0</v>
      </c>
      <c r="PX66" s="20" t="n">
        <f aca="false">PV66-PW66</f>
        <v>60756.2132582369</v>
      </c>
      <c r="PY66" s="20" t="n">
        <f aca="false">IF(AND(HU66=0,AR66=1,PX66&gt;0),MIN(PX66,AS66),0)</f>
        <v>0</v>
      </c>
      <c r="PZ66" s="20" t="n">
        <f aca="false">PX66-PY66</f>
        <v>60756.2132582369</v>
      </c>
      <c r="QA66" s="20" t="n">
        <f aca="false">IF(AND(HU66=0,AH66=1,PZ66&gt;0),MIN(PZ66,AI66),0)</f>
        <v>0</v>
      </c>
      <c r="QB66" s="20" t="n">
        <f aca="false">PZ66-QA66</f>
        <v>60756.2132582369</v>
      </c>
      <c r="QC66" s="20" t="n">
        <f aca="false">IF(AND(HU66=0,W66=1,QB66&gt;0),MIN(QB66,X66),0)</f>
        <v>0</v>
      </c>
      <c r="QD66" s="20" t="n">
        <f aca="false">QB66-QC66</f>
        <v>60756.2132582369</v>
      </c>
      <c r="QE66" s="20" t="n">
        <f aca="false">IF(HU66=0,QD66,0)</f>
        <v>60756.2132582369</v>
      </c>
      <c r="QF66" s="20" t="n">
        <f aca="false">OM66+OO66+QC66+QA66+PY66+PW66+PU66+PS66+PQ66+PO66+PM66+PK66+PI66+PG66+PE66+PC66+PA66+OY66+OW66+OU66+OS66+OQ66</f>
        <v>0</v>
      </c>
      <c r="QG66" s="20" t="n">
        <f aca="false">IF(HU66=1,HK66+OJ66+OI66+IF(G66=1,0,OK66),HK66-OM66)</f>
        <v>0</v>
      </c>
      <c r="QH66" s="20" t="n">
        <f aca="false">HL66-OO66</f>
        <v>0</v>
      </c>
      <c r="QI66" s="20" t="n">
        <f aca="false">IF(HU66=1,IF(G66=1,ID66+IE66,HS66),0)</f>
        <v>0</v>
      </c>
      <c r="QJ66" s="20" t="n">
        <f aca="false">IF(HU66=1,IF(G66=1,HS66-ID66-IE66,0),0)</f>
        <v>0</v>
      </c>
      <c r="QK66" s="20" t="n">
        <f aca="false">QG66*(1+GR)</f>
        <v>0</v>
      </c>
      <c r="QL66" s="20" t="n">
        <f aca="false">QH66*(1+AS_Cash)</f>
        <v>0</v>
      </c>
      <c r="QM66" s="20" t="n">
        <f aca="false">IF(W66=1,IF(HU66=1,II66+IL66,X66-QC66)*(1+Slot1_Rate),0)</f>
        <v>0</v>
      </c>
      <c r="QN66" s="20" t="n">
        <f aca="false">IF(AND(HU66=1,W66=1),(IH66+IL66)/F66,0)</f>
        <v>0</v>
      </c>
      <c r="QO66" s="20" t="n">
        <f aca="false">IF(B66=0,IH66+IL66,0)</f>
        <v>0</v>
      </c>
      <c r="QP66" s="20" t="n">
        <f aca="false">IF(B66=0,IF(HU66=1,IJ66,IK66),0)</f>
        <v>0</v>
      </c>
      <c r="QQ66" s="20" t="n">
        <f aca="false">IF(AH66=1,IF(HU66=1,IQ66+IT66,AI66-QA66)*(1+Slot2_Rate),0)</f>
        <v>0</v>
      </c>
      <c r="QR66" s="20" t="n">
        <f aca="false">IF(AND(HU66=1,AH66=1),(IP66+IT66)/F66,0)</f>
        <v>0</v>
      </c>
      <c r="QS66" s="20" t="n">
        <f aca="false">IF(B66=0,IP66+IT66,0)</f>
        <v>0</v>
      </c>
      <c r="QT66" s="20" t="n">
        <f aca="false">IF(B66=0,IF(HU66=1,IR66,IS66),0)</f>
        <v>0</v>
      </c>
      <c r="QU66" s="20" t="n">
        <f aca="false">IF(AR66=1,IF(HU66=1,IY66+JB66,AS66-PY66)*(1+Slot3_Rate),0)</f>
        <v>0</v>
      </c>
      <c r="QV66" s="20" t="n">
        <f aca="false">IF(AND(HU66=1,AR66=1),(IX66+JB66)/F66,0)</f>
        <v>0</v>
      </c>
      <c r="QW66" s="20" t="n">
        <f aca="false">IF(B66=0,IX66+JB66,0)</f>
        <v>0</v>
      </c>
      <c r="QX66" s="20" t="n">
        <f aca="false">IF(B66=0,IF(HU66=1,IZ66,JA66),0)</f>
        <v>0</v>
      </c>
      <c r="QY66" s="20" t="n">
        <f aca="false">IF(BB66=1,IF(HU66=1,JG66+JJ66,BC66-PW66)*(1+Slot4_Rate),0)</f>
        <v>0</v>
      </c>
      <c r="QZ66" s="20" t="n">
        <f aca="false">IF(AND(HU66=1,BB66=1),(JF66+JJ66)/F66,0)</f>
        <v>0</v>
      </c>
      <c r="RA66" s="20" t="n">
        <f aca="false">IF(B66=0,JF66+JJ66,0)</f>
        <v>0</v>
      </c>
      <c r="RB66" s="20" t="n">
        <f aca="false">IF(B66=0,IF(HU66=1,JH66,JI66),0)</f>
        <v>0</v>
      </c>
      <c r="RC66" s="20" t="n">
        <f aca="false">IF(BL66=1,IF(HU66=1,JO66+JR66,BM66-PU66)*(1+Slot5_Rate),0)</f>
        <v>0</v>
      </c>
      <c r="RD66" s="20" t="n">
        <f aca="false">IF(AND(HU66=1,BL66=1),(JN66+JR66)/F66,0)</f>
        <v>0</v>
      </c>
      <c r="RE66" s="20" t="n">
        <f aca="false">IF(B66=0,JN66+JR66,0)</f>
        <v>0</v>
      </c>
      <c r="RF66" s="20" t="n">
        <f aca="false">IF(B66=0,IF(HU66=1,JP66,JQ66),0)</f>
        <v>0</v>
      </c>
      <c r="RG66" s="20" t="n">
        <f aca="false">IF(BV66=1,IF(HU66=1,JW66+JZ66,BW66-PS66)*(1+Slot6_Rate),0)</f>
        <v>0</v>
      </c>
      <c r="RH66" s="20" t="n">
        <f aca="false">IF(AND(HU66=1,BV66=1),(JV66+JZ66)/F66,0)</f>
        <v>0</v>
      </c>
      <c r="RI66" s="20" t="n">
        <f aca="false">IF(B66=0,JV66+JZ66,0)</f>
        <v>0</v>
      </c>
      <c r="RJ66" s="20" t="n">
        <f aca="false">IF(B66=0,IF(HU66=1,JX66,JY66),0)</f>
        <v>0</v>
      </c>
      <c r="RK66" s="20" t="n">
        <f aca="false">IF(CF66=1,IF(HU66=1,KE66+KH66,CG66-PQ66)*(1+Slot7_Rate),0)</f>
        <v>0</v>
      </c>
      <c r="RL66" s="20" t="n">
        <f aca="false">IF(AND(HU66=1,CF66=1),(KD66+KH66)/F66,0)</f>
        <v>0</v>
      </c>
      <c r="RM66" s="20" t="n">
        <f aca="false">IF(B66=0,KD66+KH66,0)</f>
        <v>0</v>
      </c>
      <c r="RN66" s="20" t="n">
        <f aca="false">IF(B66=0,IF(HU66=1,KF66,KG66),0)</f>
        <v>0</v>
      </c>
      <c r="RO66" s="20" t="n">
        <f aca="false">IF(CP66=1,IF(HU66=1,KM66+KP66,CQ66-PO66)*(1+Slot8_Rate),0)</f>
        <v>0</v>
      </c>
      <c r="RP66" s="20" t="n">
        <f aca="false">IF(AND(HU66=1,CP66=1),(KL66+KP66)/F66,0)</f>
        <v>0</v>
      </c>
      <c r="RQ66" s="20" t="n">
        <f aca="false">IF(B66=0,KL66+KP66,0)</f>
        <v>0</v>
      </c>
      <c r="RR66" s="20" t="n">
        <f aca="false">IF(B66=0,IF(HU66=1,KN66,KO66),0)</f>
        <v>0</v>
      </c>
      <c r="RS66" s="20" t="n">
        <f aca="false">IF(CZ66=1,IF(HU66=1,KU66+KX66,DA66-PM66)*(1+Slot9_Rate),0)</f>
        <v>0</v>
      </c>
      <c r="RT66" s="20" t="n">
        <f aca="false">IF(AND(HU66=1,CZ66=1),(KT66+KX66)/F66,0)</f>
        <v>0</v>
      </c>
      <c r="RU66" s="20" t="n">
        <f aca="false">IF(B66=0,KT66+KX66,0)</f>
        <v>0</v>
      </c>
      <c r="RV66" s="20" t="n">
        <f aca="false">IF(B66=0,IF(HU66=1,KV66,KW66),0)</f>
        <v>0</v>
      </c>
      <c r="RW66" s="20" t="n">
        <f aca="false">IF(DJ66=1,IF(HU66=1,LC66+LF66,DK66-PK66)*(1+Slot10_Rate),0)</f>
        <v>0</v>
      </c>
      <c r="RX66" s="20" t="n">
        <f aca="false">IF(AND(HU66=1,DJ66=1),(LB66+LF66)/F66,0)</f>
        <v>0</v>
      </c>
      <c r="RY66" s="20" t="n">
        <f aca="false">IF(B66=0,LB66+LF66,0)</f>
        <v>0</v>
      </c>
      <c r="RZ66" s="20" t="n">
        <f aca="false">IF(B66=0,IF(HU66=1,LD66,LE66),0)</f>
        <v>0</v>
      </c>
      <c r="SA66" s="20" t="n">
        <f aca="false">IF(DT66=1,IF(HU66=1,LK66+LN66,DU66-PI66)*(1+Slot11_Rate),0)</f>
        <v>0</v>
      </c>
      <c r="SB66" s="20" t="n">
        <f aca="false">IF(AND(HU66=1,DT66=1),(LJ66+LN66)/F66,0)</f>
        <v>0</v>
      </c>
      <c r="SC66" s="20" t="n">
        <f aca="false">IF(B66=0,LJ66+LN66,0)</f>
        <v>0</v>
      </c>
      <c r="SD66" s="20" t="n">
        <f aca="false">IF(B66=0,IF(HU66=1,LL66,LM66),0)</f>
        <v>0</v>
      </c>
      <c r="SE66" s="20" t="n">
        <f aca="false">IF(ED66=1,IF(HU66=1,LS66+LV66,EE66-PG66)*(1+Slot12_Rate),0)</f>
        <v>0</v>
      </c>
      <c r="SF66" s="20" t="n">
        <f aca="false">IF(AND(HU66=1,ED66=1),(LR66+LV66)/F66,0)</f>
        <v>0</v>
      </c>
      <c r="SG66" s="20" t="n">
        <f aca="false">IF(B66=0,LR66+LV66,0)</f>
        <v>0</v>
      </c>
      <c r="SH66" s="20" t="n">
        <f aca="false">IF(B66=0,IF(HU66=1,LT66,LU66),0)</f>
        <v>0</v>
      </c>
      <c r="SI66" s="20" t="n">
        <f aca="false">IF(EN66=1,IF(HU66=1,MA66+MD66,EO66-PE66)*(1+Slot13_Rate),0)</f>
        <v>0</v>
      </c>
      <c r="SJ66" s="20" t="n">
        <f aca="false">IF(AND(HU66=1,EN66=1),(LZ66+MD66)/F66,0)</f>
        <v>0</v>
      </c>
      <c r="SK66" s="20" t="n">
        <f aca="false">IF(B66=0,LZ66+MD66,0)</f>
        <v>0</v>
      </c>
      <c r="SL66" s="20" t="n">
        <f aca="false">IF(B66=0,IF(HU66=1,MB66,MC66),0)</f>
        <v>0</v>
      </c>
      <c r="SM66" s="20" t="n">
        <f aca="false">IF(EX66=1,IF(HU66=1,MI66+ML66,EY66-PC66)*(1+Slot14_Rate),0)</f>
        <v>0</v>
      </c>
      <c r="SN66" s="20" t="n">
        <f aca="false">IF(AND(HU66=1,EX66=1),(MH66+ML66)/F66,0)</f>
        <v>0</v>
      </c>
      <c r="SO66" s="20" t="n">
        <f aca="false">IF(B66=0,MH66+ML66,0)</f>
        <v>0</v>
      </c>
      <c r="SP66" s="20" t="n">
        <f aca="false">IF(B66=0,IF(HU66=1,MJ66,MK66),0)</f>
        <v>0</v>
      </c>
      <c r="SQ66" s="20" t="n">
        <f aca="false">IF(FH66=1,IF(HU66=1,MQ66+MT66,FI66-PA66)*(1+Slot15_Rate),0)</f>
        <v>0</v>
      </c>
      <c r="SR66" s="20" t="n">
        <f aca="false">IF(AND(HU66=1,FH66=1),(MP66+MT66)/F66,0)</f>
        <v>0</v>
      </c>
      <c r="SS66" s="20" t="n">
        <f aca="false">IF(B66=0,MP66+MT66,0)</f>
        <v>0</v>
      </c>
      <c r="ST66" s="20" t="n">
        <f aca="false">IF(B66=0,IF(HU66=1,MR66,MS66),0)</f>
        <v>0</v>
      </c>
      <c r="SU66" s="20" t="n">
        <f aca="false">IF(FR66=1,IF(HU66=1,MY66+NB66,FS66-OY66)*(1+Slot16_Rate),0)</f>
        <v>0</v>
      </c>
      <c r="SV66" s="20" t="n">
        <f aca="false">IF(AND(HU66=1,FR66=1),(MX66+NB66)/F66,0)</f>
        <v>0</v>
      </c>
      <c r="SW66" s="20" t="n">
        <f aca="false">IF(B66=0,MX66+NB66,0)</f>
        <v>0</v>
      </c>
      <c r="SX66" s="20" t="n">
        <f aca="false">IF(B66=0,IF(HU66=1,MZ66,NA66),0)</f>
        <v>0</v>
      </c>
      <c r="SY66" s="20" t="n">
        <f aca="false">IF(GB66=1,IF(HU66=1,NG66+NJ66,GC66-OW66)*(1+Slot17_Rate),0)</f>
        <v>0</v>
      </c>
      <c r="SZ66" s="20" t="n">
        <f aca="false">IF(AND(HU66=1,GB66=1),(NF66+NJ66)/F66,0)</f>
        <v>0</v>
      </c>
      <c r="TA66" s="20" t="n">
        <f aca="false">IF(B66=0,NF66+NJ66,0)</f>
        <v>0</v>
      </c>
      <c r="TB66" s="20" t="n">
        <f aca="false">IF(B66=0,IF(HU66=1,NH66,NI66),0)</f>
        <v>0</v>
      </c>
      <c r="TC66" s="20" t="n">
        <f aca="false">IF(GL66=1,IF(HU66=1,NO66+NR66,GM66-OU66)*(1+Slot18_Rate),0)</f>
        <v>0</v>
      </c>
      <c r="TD66" s="20" t="n">
        <f aca="false">IF(AND(HU66=1,GL66=1),(NN66+NR66)/F66,0)</f>
        <v>0</v>
      </c>
      <c r="TE66" s="20" t="n">
        <f aca="false">IF(B66=0,NN66+NR66,0)</f>
        <v>0</v>
      </c>
      <c r="TF66" s="20" t="n">
        <f aca="false">IF(B66=0,IF(HU66=1,NP66,NQ66),0)</f>
        <v>0</v>
      </c>
      <c r="TG66" s="20" t="n">
        <f aca="false">IF(GV66=1,IF(HU66=1,NW66+NZ66,GW66-OS66)*(1+Slot19_Rate),0)</f>
        <v>0</v>
      </c>
      <c r="TH66" s="20" t="n">
        <f aca="false">IF(AND(HU66=1,GV66=1),(NV66+NZ66)/F66,0)</f>
        <v>0</v>
      </c>
      <c r="TI66" s="20" t="n">
        <f aca="false">IF(B66=0,NV66+NZ66,0)</f>
        <v>0</v>
      </c>
      <c r="TJ66" s="20" t="n">
        <f aca="false">IF(B66=0,IF(HU66=1,NX66,NY66),0)</f>
        <v>0</v>
      </c>
      <c r="TK66" s="20" t="n">
        <f aca="false">IF(HF66=1,IF(HU66=1,OE66+OH66,HG66-OQ66)*(1+Slot20_Rate),0)</f>
        <v>0</v>
      </c>
      <c r="TL66" s="20" t="n">
        <f aca="false">IF(AND(HU66=1,HF66=1),(OD66+OH66)/F66,0)</f>
        <v>0</v>
      </c>
      <c r="TM66" s="20" t="n">
        <f aca="false">IF(B66=0,OD66+OH66,0)</f>
        <v>0</v>
      </c>
      <c r="TN66" s="20" t="n">
        <f aca="false">IF(B66=0,IF(HU66=1,OF66,OG66),0)</f>
        <v>0</v>
      </c>
      <c r="TO66" s="20" t="n">
        <f aca="false">QK66+QL66+QM66+QQ66+QU66+QY66+RC66+RG66+RK66+RO66+RS66+RW66+SA66+SE66+SI66+SM66+SQ66+SU66+SY66+TC66+TG66+TK66</f>
        <v>0</v>
      </c>
      <c r="TP66" s="20" t="n">
        <f aca="false">QE66+HP66</f>
        <v>60756.2132582369</v>
      </c>
      <c r="TQ66" s="20" t="n">
        <f aca="false">I66+S66</f>
        <v>150743.244601948</v>
      </c>
      <c r="TR66" s="20" t="n">
        <f aca="false">1-G66</f>
        <v>1</v>
      </c>
      <c r="TS66" s="20" t="n">
        <f aca="false">IF(AND(RG_Exists=1,G66=0,C66=1),I66,0)</f>
        <v>0</v>
      </c>
      <c r="TT66" s="20" t="n">
        <f aca="false">IF(AND(RG_Exists=1,G66=0,C66=1),I66-MIN(QE66,I66),0)</f>
        <v>0</v>
      </c>
      <c r="TU66" s="20" t="n">
        <f aca="false">'Plan pay &amp; tax'!AD292</f>
        <v>0</v>
      </c>
      <c r="TV66" s="20" t="n">
        <f aca="false">IF(AND(C66=1,QE66&gt;MAX(PR_Short1,TQ66*PR_Short2)),1,0)</f>
        <v>0</v>
      </c>
      <c r="TW66" s="20" t="n">
        <f aca="false">MIN(H66,I66+S66)</f>
        <v>89987.0313437112</v>
      </c>
      <c r="TX66" s="20" t="n">
        <f aca="false">QF66+MAX(0,HQ66-HP66)</f>
        <v>0</v>
      </c>
      <c r="TY66" s="20" t="n">
        <f aca="false">QE66+HP66</f>
        <v>60756.2132582369</v>
      </c>
      <c r="TZ66" s="20" t="n">
        <f aca="false">IF(AND(C66=1,TY66&gt;PR_MinShort),1,0)</f>
        <v>0</v>
      </c>
      <c r="UA66" s="20" t="n">
        <f aca="false">IF(AND(C66=1,TZ66=0,TX66&gt;PR_MinShort),1,0)</f>
        <v>0</v>
      </c>
      <c r="UB66" s="20" t="n">
        <f aca="false">IF(AND(C66=1,QE66&gt;PR_MinShort),1,0)</f>
        <v>0</v>
      </c>
      <c r="UC66" s="20" t="n">
        <f aca="false">IF(AND(C66=1,QF66&gt;1,UJ66=0),1,0)</f>
        <v>0</v>
      </c>
      <c r="UD66" s="20" t="str">
        <f aca="false">IF(C66=0,"",IF(UJ66=1,"Gap to plan for: short "&amp;"€"&amp;TEXT(ROUND(TP66,0),"#,##0"),IF(QF66&gt;1,"Using savings","Comfortable")))</f>
        <v/>
      </c>
      <c r="UE66" s="20" t="n">
        <f aca="false">IF(AND(INT(D66/10)*10=90,B66&gt;0),80,INT(D66/10)*10)</f>
        <v>80</v>
      </c>
      <c r="UF66" s="20" t="n">
        <f aca="false">IF(B66=0,1,IF(UE66&lt;&gt;UE65,UF65+1,UF65))</f>
        <v>6</v>
      </c>
      <c r="UG66" s="20" t="n">
        <f aca="false">IF(AND(C66=1,G66=1,QE66&gt;MAX(PR_Short1,TQ66*PR_Short2)),1,0)</f>
        <v>0</v>
      </c>
      <c r="UH66" s="20" t="n">
        <f aca="false">TR66*TV66</f>
        <v>0</v>
      </c>
      <c r="UI66" s="20" t="n">
        <f aca="false">IF(AND(V66=1,Slot1_PctLow=1),1,0)+IF(AND(AG66=1,Slot2_PctLow=1),1,0)+IF(AND(AQ66=1,Slot3_PctLow=1),1,0)+IF(AND(BA66=1,Slot4_PctLow=1),1,0)+IF(AND(BK66=1,Slot5_PctLow=1),1,0)+IF(AND(BU66=1,Slot6_PctLow=1),1,0)+IF(AND(CE66=1,Slot7_PctLow=1),1,0)+IF(AND(CO66=1,Slot8_PctLow=1),1,0)+IF(AND(CY66=1,Slot9_PctLow=1),1,0)+IF(AND(DI66=1,Slot10_PctLow=1),1,0)+IF(AND(DS66=1,Slot11_PctLow=1),1,0)+IF(AND(EC66=1,Slot12_PctLow=1),1,0)+IF(AND(EM66=1,Slot13_PctLow=1),1,0)+IF(AND(EW66=1,Slot14_PctLow=1),1,0)+IF(AND(FG66=1,Slot15_PctLow=1),1,0)+IF(AND(FQ66=1,Slot16_PctLow=1),1,0)+IF(AND(GA66=1,Slot17_PctLow=1),1,0)+IF(AND(GK66=1,Slot18_PctLow=1),1,0)+IF(AND(GU66=1,Slot19_PctLow=1),1,0)+IF(AND(HE66=1,Slot20_PctLow=1),1,0)</f>
        <v>0</v>
      </c>
      <c r="UJ66" s="20" t="n">
        <f aca="false">IF(C66=1,IF(OR(TV66=1,UI66&gt;0),1,0),0)</f>
        <v>0</v>
      </c>
    </row>
    <row r="67" customFormat="false" ht="15" hidden="false" customHeight="true" outlineLevel="0" collapsed="false">
      <c r="B67" s="20" t="n">
        <v>59</v>
      </c>
      <c r="C67" s="20" t="n">
        <f aca="false">IF(B67&lt;=F_N,1,0)</f>
        <v>0</v>
      </c>
      <c r="D67" s="20" t="n">
        <f aca="false">'Plan pay &amp; tax'!C293</f>
        <v>97</v>
      </c>
      <c r="E67" s="20" t="str">
        <f aca="false">IF($C67=1,"Income tax "&amp;TEXT(N('Plan pay &amp; tax'!BK293),"#,##0")&amp;"; USC "&amp;TEXT(N('Plan pay &amp; tax'!BM293)+N('Plan pay &amp; tax'!BO293),"#,##0")&amp;"; PRSI "&amp;TEXT(N('Plan pay &amp; tax'!BP293)+N('Plan pay &amp; tax'!BQ293),"#,##0")&amp;". DIRT and exit tax are inside the growth rates here.","")</f>
        <v/>
      </c>
      <c r="F67" s="44" t="n">
        <f aca="false">'Plan pay &amp; tax'!E293</f>
        <v>3.21669685133864</v>
      </c>
      <c r="G67" s="20" t="n">
        <f aca="false">'Plan pay &amp; tax'!G293</f>
        <v>0</v>
      </c>
      <c r="H67" s="20" t="n">
        <f aca="false">'Plan pay &amp; tax'!BT293-'Plan pay &amp; tax'!BS293-'Plan pay &amp; tax'!R293</f>
        <v>91786.7719705854</v>
      </c>
      <c r="I67" s="20" t="n">
        <f aca="false">IF(G67=1,F_CostsM*12,IF(RG_Exists=1,RG_Amount,F_CostsM*12*AS_RetireSpend))*F67+F_OneOffY*F67</f>
        <v>153758.109493987</v>
      </c>
      <c r="J67" s="20" t="n">
        <f aca="false">HR66</f>
        <v>0</v>
      </c>
      <c r="K67" s="20" t="n">
        <f aca="false">IF(J67&gt;1,'Plan debt months'!AC67,0)</f>
        <v>0</v>
      </c>
      <c r="L67" s="20" t="n">
        <f aca="false">IF(J67&gt;1,'Plan debt months'!AB67,J67)</f>
        <v>0</v>
      </c>
      <c r="M67" s="20" t="n">
        <f aca="false">O66</f>
        <v>0</v>
      </c>
      <c r="N67" s="20" t="n">
        <f aca="false">IF(M67&gt;1,'Plan debt months'!BD67,0)</f>
        <v>0</v>
      </c>
      <c r="O67" s="20" t="n">
        <f aca="false">IF(M67&gt;1,'Plan debt months'!BC67,M67)</f>
        <v>0</v>
      </c>
      <c r="P67" s="20" t="n">
        <f aca="false">R66</f>
        <v>0</v>
      </c>
      <c r="Q67" s="20" t="n">
        <f aca="false">IF(P67&gt;1,'Plan debt months'!CE67,0)</f>
        <v>0</v>
      </c>
      <c r="R67" s="20" t="n">
        <f aca="false">IF(P67&gt;1,'Plan debt months'!CD67,P67)</f>
        <v>0</v>
      </c>
      <c r="S67" s="20" t="n">
        <f aca="false">K67+N67+Q67</f>
        <v>0</v>
      </c>
      <c r="T67" s="20" t="n">
        <f aca="false">QK66+'Plan pay &amp; tax'!Y293</f>
        <v>0</v>
      </c>
      <c r="U67" s="20" t="n">
        <f aca="false">QK66</f>
        <v>0</v>
      </c>
      <c r="V67" s="20" t="n">
        <f aca="false">IF(AND(Slot1_On=1,D67=Slot1_Age),1,0)</f>
        <v>0</v>
      </c>
      <c r="W67" s="20" t="n">
        <f aca="false">IF(AND(Slot1_On=1,Slot1_Age&gt;D67),1,0)</f>
        <v>0</v>
      </c>
      <c r="X67" s="20" t="n">
        <f aca="false">QM66</f>
        <v>0</v>
      </c>
      <c r="Y67" s="20" t="n">
        <f aca="false">V67*MIN(Slot1_Cost,X67)</f>
        <v>0</v>
      </c>
      <c r="Z67" s="20" t="n">
        <f aca="false">V67*Slot1_SpendLike*MIN(Slot1_Cost-Y67,T67)</f>
        <v>0</v>
      </c>
      <c r="AA67" s="20" t="n">
        <f aca="false">Y67+Z67</f>
        <v>0</v>
      </c>
      <c r="AB67" s="20" t="n">
        <f aca="false">T67-Z67+V67*IF(Slot1_SpendLike=1,X67-Y67,IF(Slot1_PotFree=1,X67,0))</f>
        <v>0</v>
      </c>
      <c r="AC67" s="20" t="n">
        <f aca="false">AF67+V67*Slot1_BufPot*X67</f>
        <v>0</v>
      </c>
      <c r="AD67" s="20" t="n">
        <f aca="false">IF(AND(V67=1,Slot1_IsMfree=1),IF(AA67&gt;=Slot1_Cost-1,0,MAX(0,L67-AA67)),L67)</f>
        <v>0</v>
      </c>
      <c r="AE67" s="20" t="n">
        <f aca="false">V67*(Slot1_Cost-AA67)</f>
        <v>0</v>
      </c>
      <c r="AF67" s="20" t="n">
        <f aca="false">QL66</f>
        <v>0</v>
      </c>
      <c r="AG67" s="20" t="n">
        <f aca="false">IF(AND(Slot2_On=1,D67=Slot2_Age),1,0)</f>
        <v>0</v>
      </c>
      <c r="AH67" s="20" t="n">
        <f aca="false">IF(AND(Slot2_On=1,Slot2_Age&gt;D67),1,0)</f>
        <v>0</v>
      </c>
      <c r="AI67" s="20" t="n">
        <f aca="false">QQ66</f>
        <v>0</v>
      </c>
      <c r="AJ67" s="20" t="n">
        <f aca="false">AG67*MIN(Slot2_Cost,AI67)</f>
        <v>0</v>
      </c>
      <c r="AK67" s="20" t="n">
        <f aca="false">AG67*Slot2_SpendLike*MIN(Slot2_Cost-AJ67,AB67)</f>
        <v>0</v>
      </c>
      <c r="AL67" s="20" t="n">
        <f aca="false">AJ67+AK67</f>
        <v>0</v>
      </c>
      <c r="AM67" s="20" t="n">
        <f aca="false">AB67-AK67+AG67*IF(Slot2_SpendLike=1,AI67-AJ67,IF(Slot2_PotFree=1,AI67,0))</f>
        <v>0</v>
      </c>
      <c r="AN67" s="20" t="n">
        <f aca="false">AC67+AG67*Slot2_BufPot*AI67</f>
        <v>0</v>
      </c>
      <c r="AO67" s="20" t="n">
        <f aca="false">IF(AND(AG67=1,Slot2_IsMfree=1),IF(AL67&gt;=Slot2_Cost-1,0,MAX(0,AD67-AL67)),AD67)</f>
        <v>0</v>
      </c>
      <c r="AP67" s="20" t="n">
        <f aca="false">AG67*(Slot2_Cost-AL67)</f>
        <v>0</v>
      </c>
      <c r="AQ67" s="20" t="n">
        <f aca="false">IF(AND(Slot3_On=1,D67=Slot3_Age),1,0)</f>
        <v>0</v>
      </c>
      <c r="AR67" s="20" t="n">
        <f aca="false">IF(AND(Slot3_On=1,Slot3_Age&gt;D67),1,0)</f>
        <v>0</v>
      </c>
      <c r="AS67" s="20" t="n">
        <f aca="false">QU66</f>
        <v>0</v>
      </c>
      <c r="AT67" s="20" t="n">
        <f aca="false">AQ67*MIN(Slot3_Cost,AS67)</f>
        <v>0</v>
      </c>
      <c r="AU67" s="20" t="n">
        <f aca="false">AQ67*Slot3_SpendLike*MIN(Slot3_Cost-AT67,AM67)</f>
        <v>0</v>
      </c>
      <c r="AV67" s="20" t="n">
        <f aca="false">AT67+AU67</f>
        <v>0</v>
      </c>
      <c r="AW67" s="20" t="n">
        <f aca="false">AM67-AU67+AQ67*IF(Slot3_SpendLike=1,AS67-AT67,IF(Slot3_PotFree=1,AS67,0))</f>
        <v>0</v>
      </c>
      <c r="AX67" s="20" t="n">
        <f aca="false">AN67+AQ67*Slot3_BufPot*AS67</f>
        <v>0</v>
      </c>
      <c r="AY67" s="20" t="n">
        <f aca="false">IF(AND(AQ67=1,Slot3_IsMfree=1),IF(AV67&gt;=Slot3_Cost-1,0,MAX(0,AO67-AV67)),AO67)</f>
        <v>0</v>
      </c>
      <c r="AZ67" s="20" t="n">
        <f aca="false">AQ67*(Slot3_Cost-AV67)</f>
        <v>0</v>
      </c>
      <c r="BA67" s="20" t="n">
        <f aca="false">IF(AND(Slot4_On=1,D67=Slot4_Age),1,0)</f>
        <v>0</v>
      </c>
      <c r="BB67" s="20" t="n">
        <f aca="false">IF(AND(Slot4_On=1,Slot4_Age&gt;D67),1,0)</f>
        <v>0</v>
      </c>
      <c r="BC67" s="20" t="n">
        <f aca="false">QY66</f>
        <v>0</v>
      </c>
      <c r="BD67" s="20" t="n">
        <f aca="false">BA67*MIN(Slot4_Cost,BC67)</f>
        <v>0</v>
      </c>
      <c r="BE67" s="20" t="n">
        <f aca="false">BA67*Slot4_SpendLike*MIN(Slot4_Cost-BD67,AW67)</f>
        <v>0</v>
      </c>
      <c r="BF67" s="20" t="n">
        <f aca="false">BD67+BE67</f>
        <v>0</v>
      </c>
      <c r="BG67" s="20" t="n">
        <f aca="false">AW67-BE67+BA67*IF(Slot4_SpendLike=1,BC67-BD67,IF(Slot4_PotFree=1,BC67,0))</f>
        <v>0</v>
      </c>
      <c r="BH67" s="20" t="n">
        <f aca="false">AX67+BA67*Slot4_BufPot*BC67</f>
        <v>0</v>
      </c>
      <c r="BI67" s="20" t="n">
        <f aca="false">IF(AND(BA67=1,Slot4_IsMfree=1),IF(BF67&gt;=Slot4_Cost-1,0,MAX(0,AY67-BF67)),AY67)</f>
        <v>0</v>
      </c>
      <c r="BJ67" s="20" t="n">
        <f aca="false">BA67*(Slot4_Cost-BF67)</f>
        <v>0</v>
      </c>
      <c r="BK67" s="20" t="n">
        <f aca="false">IF(AND(Slot5_On=1,D67=Slot5_Age),1,0)</f>
        <v>0</v>
      </c>
      <c r="BL67" s="20" t="n">
        <f aca="false">IF(AND(Slot5_On=1,Slot5_Age&gt;D67),1,0)</f>
        <v>0</v>
      </c>
      <c r="BM67" s="20" t="n">
        <f aca="false">RC66</f>
        <v>0</v>
      </c>
      <c r="BN67" s="20" t="n">
        <f aca="false">BK67*MIN(Slot5_Cost,BM67)</f>
        <v>0</v>
      </c>
      <c r="BO67" s="20" t="n">
        <f aca="false">BK67*Slot5_SpendLike*MIN(Slot5_Cost-BN67,BG67)</f>
        <v>0</v>
      </c>
      <c r="BP67" s="20" t="n">
        <f aca="false">BN67+BO67</f>
        <v>0</v>
      </c>
      <c r="BQ67" s="20" t="n">
        <f aca="false">BG67-BO67+BK67*IF(Slot5_SpendLike=1,BM67-BN67,IF(Slot5_PotFree=1,BM67,0))</f>
        <v>0</v>
      </c>
      <c r="BR67" s="20" t="n">
        <f aca="false">BH67+BK67*Slot5_BufPot*BM67</f>
        <v>0</v>
      </c>
      <c r="BS67" s="20" t="n">
        <f aca="false">IF(AND(BK67=1,Slot5_IsMfree=1),IF(BP67&gt;=Slot5_Cost-1,0,MAX(0,BI67-BP67)),BI67)</f>
        <v>0</v>
      </c>
      <c r="BT67" s="20" t="n">
        <f aca="false">BK67*(Slot5_Cost-BP67)</f>
        <v>0</v>
      </c>
      <c r="BU67" s="20" t="n">
        <f aca="false">IF(AND(Slot6_On=1,D67=Slot6_Age),1,0)</f>
        <v>0</v>
      </c>
      <c r="BV67" s="20" t="n">
        <f aca="false">IF(AND(Slot6_On=1,Slot6_Age&gt;D67),1,0)</f>
        <v>0</v>
      </c>
      <c r="BW67" s="20" t="n">
        <f aca="false">RG66</f>
        <v>0</v>
      </c>
      <c r="BX67" s="20" t="n">
        <f aca="false">BU67*MIN(Slot6_Cost,BW67)</f>
        <v>0</v>
      </c>
      <c r="BY67" s="20" t="n">
        <f aca="false">BU67*Slot6_SpendLike*MIN(Slot6_Cost-BX67,BQ67)</f>
        <v>0</v>
      </c>
      <c r="BZ67" s="20" t="n">
        <f aca="false">BX67+BY67</f>
        <v>0</v>
      </c>
      <c r="CA67" s="20" t="n">
        <f aca="false">BQ67-BY67+BU67*IF(Slot6_SpendLike=1,BW67-BX67,IF(Slot6_PotFree=1,BW67,0))</f>
        <v>0</v>
      </c>
      <c r="CB67" s="20" t="n">
        <f aca="false">BR67+BU67*Slot6_BufPot*BW67</f>
        <v>0</v>
      </c>
      <c r="CC67" s="20" t="n">
        <f aca="false">IF(AND(BU67=1,Slot6_IsMfree=1),IF(BZ67&gt;=Slot6_Cost-1,0,MAX(0,BS67-BZ67)),BS67)</f>
        <v>0</v>
      </c>
      <c r="CD67" s="20" t="n">
        <f aca="false">BU67*(Slot6_Cost-BZ67)</f>
        <v>0</v>
      </c>
      <c r="CE67" s="20" t="n">
        <f aca="false">IF(AND(Slot7_On=1,D67=Slot7_Age),1,0)</f>
        <v>0</v>
      </c>
      <c r="CF67" s="20" t="n">
        <f aca="false">IF(AND(Slot7_On=1,Slot7_Age&gt;D67),1,0)</f>
        <v>0</v>
      </c>
      <c r="CG67" s="20" t="n">
        <f aca="false">RK66</f>
        <v>0</v>
      </c>
      <c r="CH67" s="20" t="n">
        <f aca="false">CE67*MIN(Slot7_Cost,CG67)</f>
        <v>0</v>
      </c>
      <c r="CI67" s="20" t="n">
        <f aca="false">CE67*Slot7_SpendLike*MIN(Slot7_Cost-CH67,CA67)</f>
        <v>0</v>
      </c>
      <c r="CJ67" s="20" t="n">
        <f aca="false">CH67+CI67</f>
        <v>0</v>
      </c>
      <c r="CK67" s="20" t="n">
        <f aca="false">CA67-CI67+CE67*IF(Slot7_SpendLike=1,CG67-CH67,IF(Slot7_PotFree=1,CG67,0))</f>
        <v>0</v>
      </c>
      <c r="CL67" s="20" t="n">
        <f aca="false">CB67+CE67*Slot7_BufPot*CG67</f>
        <v>0</v>
      </c>
      <c r="CM67" s="20" t="n">
        <f aca="false">IF(AND(CE67=1,Slot7_IsMfree=1),IF(CJ67&gt;=Slot7_Cost-1,0,MAX(0,CC67-CJ67)),CC67)</f>
        <v>0</v>
      </c>
      <c r="CN67" s="20" t="n">
        <f aca="false">CE67*(Slot7_Cost-CJ67)</f>
        <v>0</v>
      </c>
      <c r="CO67" s="20" t="n">
        <f aca="false">IF(AND(Slot8_On=1,D67=Slot8_Age),1,0)</f>
        <v>0</v>
      </c>
      <c r="CP67" s="20" t="n">
        <f aca="false">IF(AND(Slot8_On=1,Slot8_Age&gt;D67),1,0)</f>
        <v>0</v>
      </c>
      <c r="CQ67" s="20" t="n">
        <f aca="false">RO66</f>
        <v>0</v>
      </c>
      <c r="CR67" s="20" t="n">
        <f aca="false">CO67*MIN(Slot8_Cost,CQ67)</f>
        <v>0</v>
      </c>
      <c r="CS67" s="20" t="n">
        <f aca="false">CO67*Slot8_SpendLike*MIN(Slot8_Cost-CR67,CK67)</f>
        <v>0</v>
      </c>
      <c r="CT67" s="20" t="n">
        <f aca="false">CR67+CS67</f>
        <v>0</v>
      </c>
      <c r="CU67" s="20" t="n">
        <f aca="false">CK67-CS67+CO67*IF(Slot8_SpendLike=1,CQ67-CR67,IF(Slot8_PotFree=1,CQ67,0))</f>
        <v>0</v>
      </c>
      <c r="CV67" s="20" t="n">
        <f aca="false">CL67+CO67*Slot8_BufPot*CQ67</f>
        <v>0</v>
      </c>
      <c r="CW67" s="20" t="n">
        <f aca="false">IF(AND(CO67=1,Slot8_IsMfree=1),IF(CT67&gt;=Slot8_Cost-1,0,MAX(0,CM67-CT67)),CM67)</f>
        <v>0</v>
      </c>
      <c r="CX67" s="20" t="n">
        <f aca="false">CO67*(Slot8_Cost-CT67)</f>
        <v>0</v>
      </c>
      <c r="CY67" s="20" t="n">
        <f aca="false">IF(AND(Slot9_On=1,D67=Slot9_Age),1,0)</f>
        <v>0</v>
      </c>
      <c r="CZ67" s="20" t="n">
        <f aca="false">IF(AND(Slot9_On=1,Slot9_Age&gt;D67),1,0)</f>
        <v>0</v>
      </c>
      <c r="DA67" s="20" t="n">
        <f aca="false">RS66</f>
        <v>0</v>
      </c>
      <c r="DB67" s="20" t="n">
        <f aca="false">CY67*MIN(Slot9_Cost,DA67)</f>
        <v>0</v>
      </c>
      <c r="DC67" s="20" t="n">
        <f aca="false">CY67*Slot9_SpendLike*MIN(Slot9_Cost-DB67,CU67)</f>
        <v>0</v>
      </c>
      <c r="DD67" s="20" t="n">
        <f aca="false">DB67+DC67</f>
        <v>0</v>
      </c>
      <c r="DE67" s="20" t="n">
        <f aca="false">CU67-DC67+CY67*IF(Slot9_SpendLike=1,DA67-DB67,IF(Slot9_PotFree=1,DA67,0))</f>
        <v>0</v>
      </c>
      <c r="DF67" s="20" t="n">
        <f aca="false">CV67+CY67*Slot9_BufPot*DA67</f>
        <v>0</v>
      </c>
      <c r="DG67" s="20" t="n">
        <f aca="false">IF(AND(CY67=1,Slot9_IsMfree=1),IF(DD67&gt;=Slot9_Cost-1,0,MAX(0,CW67-DD67)),CW67)</f>
        <v>0</v>
      </c>
      <c r="DH67" s="20" t="n">
        <f aca="false">CY67*(Slot9_Cost-DD67)</f>
        <v>0</v>
      </c>
      <c r="DI67" s="20" t="n">
        <f aca="false">IF(AND(Slot10_On=1,D67=Slot10_Age),1,0)</f>
        <v>0</v>
      </c>
      <c r="DJ67" s="20" t="n">
        <f aca="false">IF(AND(Slot10_On=1,Slot10_Age&gt;D67),1,0)</f>
        <v>0</v>
      </c>
      <c r="DK67" s="20" t="n">
        <f aca="false">RW66</f>
        <v>0</v>
      </c>
      <c r="DL67" s="20" t="n">
        <f aca="false">DI67*MIN(Slot10_Cost,DK67)</f>
        <v>0</v>
      </c>
      <c r="DM67" s="20" t="n">
        <f aca="false">DI67*Slot10_SpendLike*MIN(Slot10_Cost-DL67,DE67)</f>
        <v>0</v>
      </c>
      <c r="DN67" s="20" t="n">
        <f aca="false">DL67+DM67</f>
        <v>0</v>
      </c>
      <c r="DO67" s="20" t="n">
        <f aca="false">DE67-DM67+DI67*IF(Slot10_SpendLike=1,DK67-DL67,IF(Slot10_PotFree=1,DK67,0))</f>
        <v>0</v>
      </c>
      <c r="DP67" s="20" t="n">
        <f aca="false">DF67+DI67*Slot10_BufPot*DK67</f>
        <v>0</v>
      </c>
      <c r="DQ67" s="20" t="n">
        <f aca="false">IF(AND(DI67=1,Slot10_IsMfree=1),IF(DN67&gt;=Slot10_Cost-1,0,MAX(0,DG67-DN67)),DG67)</f>
        <v>0</v>
      </c>
      <c r="DR67" s="20" t="n">
        <f aca="false">DI67*(Slot10_Cost-DN67)</f>
        <v>0</v>
      </c>
      <c r="DS67" s="20" t="n">
        <f aca="false">IF(AND(Slot11_On=1,D67=Slot11_Age),1,0)</f>
        <v>0</v>
      </c>
      <c r="DT67" s="20" t="n">
        <f aca="false">IF(AND(Slot11_On=1,Slot11_Age&gt;D67),1,0)</f>
        <v>0</v>
      </c>
      <c r="DU67" s="20" t="n">
        <f aca="false">SA66</f>
        <v>0</v>
      </c>
      <c r="DV67" s="20" t="n">
        <f aca="false">DS67*MIN(Slot11_Cost,DU67)</f>
        <v>0</v>
      </c>
      <c r="DW67" s="20" t="n">
        <f aca="false">DS67*Slot11_SpendLike*MIN(Slot11_Cost-DV67,DO67)</f>
        <v>0</v>
      </c>
      <c r="DX67" s="20" t="n">
        <f aca="false">DV67+DW67</f>
        <v>0</v>
      </c>
      <c r="DY67" s="20" t="n">
        <f aca="false">DO67-DW67+DS67*IF(Slot11_SpendLike=1,DU67-DV67,IF(Slot11_PotFree=1,DU67,0))</f>
        <v>0</v>
      </c>
      <c r="DZ67" s="20" t="n">
        <f aca="false">DP67+DS67*Slot11_BufPot*DU67</f>
        <v>0</v>
      </c>
      <c r="EA67" s="20" t="n">
        <f aca="false">IF(AND(DS67=1,Slot11_IsMfree=1),IF(DX67&gt;=Slot11_Cost-1,0,MAX(0,DQ67-DX67)),DQ67)</f>
        <v>0</v>
      </c>
      <c r="EB67" s="20" t="n">
        <f aca="false">DS67*(Slot11_Cost-DX67)</f>
        <v>0</v>
      </c>
      <c r="EC67" s="20" t="n">
        <f aca="false">IF(AND(Slot12_On=1,D67=Slot12_Age),1,0)</f>
        <v>0</v>
      </c>
      <c r="ED67" s="20" t="n">
        <f aca="false">IF(AND(Slot12_On=1,Slot12_Age&gt;D67),1,0)</f>
        <v>0</v>
      </c>
      <c r="EE67" s="20" t="n">
        <f aca="false">SE66</f>
        <v>0</v>
      </c>
      <c r="EF67" s="20" t="n">
        <f aca="false">EC67*MIN(Slot12_Cost,EE67)</f>
        <v>0</v>
      </c>
      <c r="EG67" s="20" t="n">
        <f aca="false">EC67*Slot12_SpendLike*MIN(Slot12_Cost-EF67,DY67)</f>
        <v>0</v>
      </c>
      <c r="EH67" s="20" t="n">
        <f aca="false">EF67+EG67</f>
        <v>0</v>
      </c>
      <c r="EI67" s="20" t="n">
        <f aca="false">DY67-EG67+EC67*IF(Slot12_SpendLike=1,EE67-EF67,IF(Slot12_PotFree=1,EE67,0))</f>
        <v>0</v>
      </c>
      <c r="EJ67" s="20" t="n">
        <f aca="false">DZ67+EC67*Slot12_BufPot*EE67</f>
        <v>0</v>
      </c>
      <c r="EK67" s="20" t="n">
        <f aca="false">IF(AND(EC67=1,Slot12_IsMfree=1),IF(EH67&gt;=Slot12_Cost-1,0,MAX(0,EA67-EH67)),EA67)</f>
        <v>0</v>
      </c>
      <c r="EL67" s="20" t="n">
        <f aca="false">EC67*(Slot12_Cost-EH67)</f>
        <v>0</v>
      </c>
      <c r="EM67" s="20" t="n">
        <f aca="false">IF(AND(Slot13_On=1,D67=Slot13_Age),1,0)</f>
        <v>0</v>
      </c>
      <c r="EN67" s="20" t="n">
        <f aca="false">IF(AND(Slot13_On=1,Slot13_Age&gt;D67),1,0)</f>
        <v>0</v>
      </c>
      <c r="EO67" s="20" t="n">
        <f aca="false">SI66</f>
        <v>0</v>
      </c>
      <c r="EP67" s="20" t="n">
        <f aca="false">EM67*MIN(Slot13_Cost,EO67)</f>
        <v>0</v>
      </c>
      <c r="EQ67" s="20" t="n">
        <f aca="false">EM67*Slot13_SpendLike*MIN(Slot13_Cost-EP67,EI67)</f>
        <v>0</v>
      </c>
      <c r="ER67" s="20" t="n">
        <f aca="false">EP67+EQ67</f>
        <v>0</v>
      </c>
      <c r="ES67" s="20" t="n">
        <f aca="false">EI67-EQ67+EM67*IF(Slot13_SpendLike=1,EO67-EP67,IF(Slot13_PotFree=1,EO67,0))</f>
        <v>0</v>
      </c>
      <c r="ET67" s="20" t="n">
        <f aca="false">EJ67+EM67*Slot13_BufPot*EO67</f>
        <v>0</v>
      </c>
      <c r="EU67" s="20" t="n">
        <f aca="false">IF(AND(EM67=1,Slot13_IsMfree=1),IF(ER67&gt;=Slot13_Cost-1,0,MAX(0,EK67-ER67)),EK67)</f>
        <v>0</v>
      </c>
      <c r="EV67" s="20" t="n">
        <f aca="false">EM67*(Slot13_Cost-ER67)</f>
        <v>0</v>
      </c>
      <c r="EW67" s="20" t="n">
        <f aca="false">IF(AND(Slot14_On=1,D67=Slot14_Age),1,0)</f>
        <v>0</v>
      </c>
      <c r="EX67" s="20" t="n">
        <f aca="false">IF(AND(Slot14_On=1,Slot14_Age&gt;D67),1,0)</f>
        <v>0</v>
      </c>
      <c r="EY67" s="20" t="n">
        <f aca="false">SM66</f>
        <v>0</v>
      </c>
      <c r="EZ67" s="20" t="n">
        <f aca="false">EW67*MIN(Slot14_Cost,EY67)</f>
        <v>0</v>
      </c>
      <c r="FA67" s="20" t="n">
        <f aca="false">EW67*Slot14_SpendLike*MIN(Slot14_Cost-EZ67,ES67)</f>
        <v>0</v>
      </c>
      <c r="FB67" s="20" t="n">
        <f aca="false">EZ67+FA67</f>
        <v>0</v>
      </c>
      <c r="FC67" s="20" t="n">
        <f aca="false">ES67-FA67+EW67*IF(Slot14_SpendLike=1,EY67-EZ67,IF(Slot14_PotFree=1,EY67,0))</f>
        <v>0</v>
      </c>
      <c r="FD67" s="20" t="n">
        <f aca="false">ET67+EW67*Slot14_BufPot*EY67</f>
        <v>0</v>
      </c>
      <c r="FE67" s="20" t="n">
        <f aca="false">IF(AND(EW67=1,Slot14_IsMfree=1),IF(FB67&gt;=Slot14_Cost-1,0,MAX(0,EU67-FB67)),EU67)</f>
        <v>0</v>
      </c>
      <c r="FF67" s="20" t="n">
        <f aca="false">EW67*(Slot14_Cost-FB67)</f>
        <v>0</v>
      </c>
      <c r="FG67" s="20" t="n">
        <f aca="false">IF(AND(Slot15_On=1,D67=Slot15_Age),1,0)</f>
        <v>0</v>
      </c>
      <c r="FH67" s="20" t="n">
        <f aca="false">IF(AND(Slot15_On=1,Slot15_Age&gt;D67),1,0)</f>
        <v>0</v>
      </c>
      <c r="FI67" s="20" t="n">
        <f aca="false">SQ66</f>
        <v>0</v>
      </c>
      <c r="FJ67" s="20" t="n">
        <f aca="false">FG67*MIN(Slot15_Cost,FI67)</f>
        <v>0</v>
      </c>
      <c r="FK67" s="20" t="n">
        <f aca="false">FG67*Slot15_SpendLike*MIN(Slot15_Cost-FJ67,FC67)</f>
        <v>0</v>
      </c>
      <c r="FL67" s="20" t="n">
        <f aca="false">FJ67+FK67</f>
        <v>0</v>
      </c>
      <c r="FM67" s="20" t="n">
        <f aca="false">FC67-FK67+FG67*IF(Slot15_SpendLike=1,FI67-FJ67,IF(Slot15_PotFree=1,FI67,0))</f>
        <v>0</v>
      </c>
      <c r="FN67" s="20" t="n">
        <f aca="false">FD67+FG67*Slot15_BufPot*FI67</f>
        <v>0</v>
      </c>
      <c r="FO67" s="20" t="n">
        <f aca="false">IF(AND(FG67=1,Slot15_IsMfree=1),IF(FL67&gt;=Slot15_Cost-1,0,MAX(0,FE67-FL67)),FE67)</f>
        <v>0</v>
      </c>
      <c r="FP67" s="20" t="n">
        <f aca="false">FG67*(Slot15_Cost-FL67)</f>
        <v>0</v>
      </c>
      <c r="FQ67" s="20" t="n">
        <f aca="false">IF(AND(Slot16_On=1,D67=Slot16_Age),1,0)</f>
        <v>0</v>
      </c>
      <c r="FR67" s="20" t="n">
        <f aca="false">IF(AND(Slot16_On=1,Slot16_Age&gt;D67),1,0)</f>
        <v>0</v>
      </c>
      <c r="FS67" s="20" t="n">
        <f aca="false">SU66</f>
        <v>0</v>
      </c>
      <c r="FT67" s="20" t="n">
        <f aca="false">FQ67*MIN(Slot16_Cost,FS67)</f>
        <v>0</v>
      </c>
      <c r="FU67" s="20" t="n">
        <f aca="false">FQ67*Slot16_SpendLike*MIN(Slot16_Cost-FT67,FM67)</f>
        <v>0</v>
      </c>
      <c r="FV67" s="20" t="n">
        <f aca="false">FT67+FU67</f>
        <v>0</v>
      </c>
      <c r="FW67" s="20" t="n">
        <f aca="false">FM67-FU67+FQ67*IF(Slot16_SpendLike=1,FS67-FT67,IF(Slot16_PotFree=1,FS67,0))</f>
        <v>0</v>
      </c>
      <c r="FX67" s="20" t="n">
        <f aca="false">FN67+FQ67*Slot16_BufPot*FS67</f>
        <v>0</v>
      </c>
      <c r="FY67" s="20" t="n">
        <f aca="false">IF(AND(FQ67=1,Slot16_IsMfree=1),IF(FV67&gt;=Slot16_Cost-1,0,MAX(0,FO67-FV67)),FO67)</f>
        <v>0</v>
      </c>
      <c r="FZ67" s="20" t="n">
        <f aca="false">FQ67*(Slot16_Cost-FV67)</f>
        <v>0</v>
      </c>
      <c r="GA67" s="20" t="n">
        <f aca="false">IF(AND(Slot17_On=1,D67=Slot17_Age),1,0)</f>
        <v>0</v>
      </c>
      <c r="GB67" s="20" t="n">
        <f aca="false">IF(AND(Slot17_On=1,Slot17_Age&gt;D67),1,0)</f>
        <v>0</v>
      </c>
      <c r="GC67" s="20" t="n">
        <f aca="false">SY66</f>
        <v>0</v>
      </c>
      <c r="GD67" s="20" t="n">
        <f aca="false">GA67*MIN(Slot17_Cost,GC67)</f>
        <v>0</v>
      </c>
      <c r="GE67" s="20" t="n">
        <f aca="false">GA67*Slot17_SpendLike*MIN(Slot17_Cost-GD67,FW67)</f>
        <v>0</v>
      </c>
      <c r="GF67" s="20" t="n">
        <f aca="false">GD67+GE67</f>
        <v>0</v>
      </c>
      <c r="GG67" s="20" t="n">
        <f aca="false">FW67-GE67+GA67*IF(Slot17_SpendLike=1,GC67-GD67,IF(Slot17_PotFree=1,GC67,0))</f>
        <v>0</v>
      </c>
      <c r="GH67" s="20" t="n">
        <f aca="false">FX67+GA67*Slot17_BufPot*GC67</f>
        <v>0</v>
      </c>
      <c r="GI67" s="20" t="n">
        <f aca="false">IF(AND(GA67=1,Slot17_IsMfree=1),IF(GF67&gt;=Slot17_Cost-1,0,MAX(0,FY67-GF67)),FY67)</f>
        <v>0</v>
      </c>
      <c r="GJ67" s="20" t="n">
        <f aca="false">GA67*(Slot17_Cost-GF67)</f>
        <v>0</v>
      </c>
      <c r="GK67" s="20" t="n">
        <f aca="false">IF(AND(Slot18_On=1,D67=Slot18_Age),1,0)</f>
        <v>0</v>
      </c>
      <c r="GL67" s="20" t="n">
        <f aca="false">IF(AND(Slot18_On=1,Slot18_Age&gt;D67),1,0)</f>
        <v>0</v>
      </c>
      <c r="GM67" s="20" t="n">
        <f aca="false">TC66</f>
        <v>0</v>
      </c>
      <c r="GN67" s="20" t="n">
        <f aca="false">GK67*MIN(Slot18_Cost,GM67)</f>
        <v>0</v>
      </c>
      <c r="GO67" s="20" t="n">
        <f aca="false">GK67*Slot18_SpendLike*MIN(Slot18_Cost-GN67,GG67)</f>
        <v>0</v>
      </c>
      <c r="GP67" s="20" t="n">
        <f aca="false">GN67+GO67</f>
        <v>0</v>
      </c>
      <c r="GQ67" s="20" t="n">
        <f aca="false">GG67-GO67+GK67*IF(Slot18_SpendLike=1,GM67-GN67,IF(Slot18_PotFree=1,GM67,0))</f>
        <v>0</v>
      </c>
      <c r="GR67" s="20" t="n">
        <f aca="false">GH67+GK67*Slot18_BufPot*GM67</f>
        <v>0</v>
      </c>
      <c r="GS67" s="20" t="n">
        <f aca="false">IF(AND(GK67=1,Slot18_IsMfree=1),IF(GP67&gt;=Slot18_Cost-1,0,MAX(0,GI67-GP67)),GI67)</f>
        <v>0</v>
      </c>
      <c r="GT67" s="20" t="n">
        <f aca="false">GK67*(Slot18_Cost-GP67)</f>
        <v>0</v>
      </c>
      <c r="GU67" s="20" t="n">
        <f aca="false">IF(AND(Slot19_On=1,D67=Slot19_Age),1,0)</f>
        <v>0</v>
      </c>
      <c r="GV67" s="20" t="n">
        <f aca="false">IF(AND(Slot19_On=1,Slot19_Age&gt;D67),1,0)</f>
        <v>0</v>
      </c>
      <c r="GW67" s="20" t="n">
        <f aca="false">TG66</f>
        <v>0</v>
      </c>
      <c r="GX67" s="20" t="n">
        <f aca="false">GU67*MIN(Slot19_Cost,GW67)</f>
        <v>0</v>
      </c>
      <c r="GY67" s="20" t="n">
        <f aca="false">GU67*Slot19_SpendLike*MIN(Slot19_Cost-GX67,GQ67)</f>
        <v>0</v>
      </c>
      <c r="GZ67" s="20" t="n">
        <f aca="false">GX67+GY67</f>
        <v>0</v>
      </c>
      <c r="HA67" s="20" t="n">
        <f aca="false">GQ67-GY67+GU67*IF(Slot19_SpendLike=1,GW67-GX67,IF(Slot19_PotFree=1,GW67,0))</f>
        <v>0</v>
      </c>
      <c r="HB67" s="20" t="n">
        <f aca="false">GR67+GU67*Slot19_BufPot*GW67</f>
        <v>0</v>
      </c>
      <c r="HC67" s="20" t="n">
        <f aca="false">IF(AND(GU67=1,Slot19_IsMfree=1),IF(GZ67&gt;=Slot19_Cost-1,0,MAX(0,GS67-GZ67)),GS67)</f>
        <v>0</v>
      </c>
      <c r="HD67" s="20" t="n">
        <f aca="false">GU67*(Slot19_Cost-GZ67)</f>
        <v>0</v>
      </c>
      <c r="HE67" s="20" t="n">
        <f aca="false">IF(AND(Slot20_On=1,D67=Slot20_Age),1,0)</f>
        <v>0</v>
      </c>
      <c r="HF67" s="20" t="n">
        <f aca="false">IF(AND(Slot20_On=1,Slot20_Age&gt;D67),1,0)</f>
        <v>0</v>
      </c>
      <c r="HG67" s="20" t="n">
        <f aca="false">TK66</f>
        <v>0</v>
      </c>
      <c r="HH67" s="20" t="n">
        <f aca="false">HE67*MIN(Slot20_Cost,HG67)</f>
        <v>0</v>
      </c>
      <c r="HI67" s="20" t="n">
        <f aca="false">HE67*Slot20_SpendLike*MIN(Slot20_Cost-HH67,HA67)</f>
        <v>0</v>
      </c>
      <c r="HJ67" s="20" t="n">
        <f aca="false">HH67+HI67</f>
        <v>0</v>
      </c>
      <c r="HK67" s="20" t="n">
        <f aca="false">HA67-HI67+HE67*IF(Slot20_SpendLike=1,HG67-HH67,IF(Slot20_PotFree=1,HG67,0))</f>
        <v>0</v>
      </c>
      <c r="HL67" s="20" t="n">
        <f aca="false">HB67+HE67*Slot20_BufPot*HG67</f>
        <v>0</v>
      </c>
      <c r="HM67" s="20" t="n">
        <f aca="false">IF(AND(HE67=1,Slot20_IsMfree=1),IF(HJ67&gt;=Slot20_Cost-1,0,MAX(0,HC67-HJ67)),HC67)</f>
        <v>0</v>
      </c>
      <c r="HN67" s="20" t="n">
        <f aca="false">HE67*(Slot20_Cost-HJ67)</f>
        <v>0</v>
      </c>
      <c r="HO67" s="20" t="n">
        <f aca="false">V67*Slot1_SpendLike*AA67+AG67*Slot2_SpendLike*AL67+AQ67*Slot3_SpendLike*AV67+BA67*Slot4_SpendLike*BF67+BK67*Slot5_SpendLike*BP67+BU67*Slot6_SpendLike*BZ67+CE67*Slot7_SpendLike*CJ67+CO67*Slot8_SpendLike*CT67+CY67*Slot9_SpendLike*DD67+DI67*Slot10_SpendLike*DN67+DS67*Slot11_SpendLike*DX67+EC67*Slot12_SpendLike*EH67+EM67*Slot13_SpendLike*ER67+EW67*Slot14_SpendLike*FB67+FG67*Slot15_SpendLike*FL67+FQ67*Slot16_SpendLike*FV67+GA67*Slot17_SpendLike*GF67+GK67*Slot18_SpendLike*GP67+GU67*Slot19_SpendLike*GZ67+HE67*Slot20_SpendLike*HJ67</f>
        <v>0</v>
      </c>
      <c r="HP67" s="20" t="n">
        <f aca="false">AE67+AP67+AZ67+BJ67+BT67+CD67+CN67+CX67+DH67+DR67+EB67+EL67+EV67+FF67+FP67+FZ67+GJ67+GT67+HD67+HN67</f>
        <v>0</v>
      </c>
      <c r="HQ67" s="20" t="n">
        <f aca="false">V67*Slot1_Cost+AG67*Slot2_Cost+AQ67*Slot3_Cost+BA67*Slot4_Cost+BK67*Slot5_Cost+BU67*Slot6_Cost+CE67*Slot7_Cost+CO67*Slot8_Cost+CY67*Slot9_Cost+DI67*Slot10_Cost+DS67*Slot11_Cost+EC67*Slot12_Cost+EM67*Slot13_Cost+EW67*Slot14_Cost+FG67*Slot15_Cost+FQ67*Slot16_Cost+GA67*Slot17_Cost+GK67*Slot18_Cost+GU67*Slot19_Cost+HE67*Slot20_Cost</f>
        <v>0</v>
      </c>
      <c r="HR67" s="20" t="n">
        <f aca="false">HM67</f>
        <v>0</v>
      </c>
      <c r="HS67" s="20" t="n">
        <f aca="false">H67-I67-S67</f>
        <v>-61971.3375234016</v>
      </c>
      <c r="HT67" s="20" t="n">
        <f aca="false">IF(B67=0,IF(AND(Has_q6=1,In_q6=4),PR_ShareVaries*(MAX(0,HS67)/12),MIN(IF(Has_q6=1,CHOOSE(In_q6+1,PR_SaveB1,PR_SaveB2,PR_SaveB3,PR_SaveB4,0),AS_NoAnswer),AS_SaveShare*(MAX(0,HS67)/12))),HT66)</f>
        <v>62.3316893520437</v>
      </c>
      <c r="HU67" s="20" t="n">
        <f aca="false">IF(HS67&gt;=0,1,0)</f>
        <v>0</v>
      </c>
      <c r="HV67" s="20" t="n">
        <f aca="false">MAX(0,HS67/12/F67)</f>
        <v>0</v>
      </c>
      <c r="HW67" s="20" t="n">
        <f aca="false">IF(AND(Has_q6=1,In_q6=4),PR_ShareVaries*(HV67),MIN(IF(Has_q6=1,CHOOSE(In_q6+1,PR_SaveB1,PR_SaveB2,PR_SaveB3,PR_SaveB4,0),AS_NoAnswer),AS_SaveShare*(HV67)))</f>
        <v>0</v>
      </c>
      <c r="HX67" s="20" t="n">
        <f aca="false">IF(Has_saveM=1,IF(In_saveUp="Yes",1,IF(In_saveUp="No",0,IF(In_saveM&gt;=HT67-0.5,1,0))),0)</f>
        <v>0</v>
      </c>
      <c r="HY67" s="20" t="n">
        <f aca="false">IF(Has_saveM=1,MIN(HV67,IF(HX67=1,MAX(In_saveM,HW67),MIN(In_saveM,HW67))),HW67)</f>
        <v>0</v>
      </c>
      <c r="HZ67" s="20" t="n">
        <f aca="false">IF(G67=1,HY67*12*F67,0)</f>
        <v>0</v>
      </c>
      <c r="IA67" s="20" t="n">
        <f aca="false">MAX(0,HZ67+IF(AND(WI_Retire=0,WI_M&lt;0,G67=1),WI_M*12*F67,0))</f>
        <v>0</v>
      </c>
      <c r="IB67" s="20" t="n">
        <f aca="false">Slot1_IsWG*W67+Slot2_IsWG*AH67+Slot3_IsWG*AR67+Slot4_IsWG*BB67+Slot5_IsWG*BL67+Slot6_IsWG*BV67+Slot7_IsWG*CF67+Slot8_IsWG*CP67+Slot9_IsWG*CZ67+Slot10_IsWG*DJ67+Slot11_IsWG*DT67+Slot12_IsWG*ED67+Slot13_IsWG*EN67+Slot14_IsWG*EX67+Slot15_IsWG*FH67+Slot16_IsWG*FR67+Slot17_IsWG*GB67+Slot18_IsWG*GL67+Slot19_IsWG*GV67+Slot20_IsWG*HF67</f>
        <v>0</v>
      </c>
      <c r="IC67" s="20" t="n">
        <f aca="false">IF(AND(WI_Retire=0,WI_M&gt;0,G67=1,IB67&gt;=1),WI_M*12*F67,0)</f>
        <v>0</v>
      </c>
      <c r="ID67" s="20" t="n">
        <f aca="false">IF(HU67=1,MIN(IA67,HS67),0)</f>
        <v>0</v>
      </c>
      <c r="IE67" s="20" t="n">
        <f aca="false">IF(HU67=1,MIN(IC67,HS67-ID67),0)</f>
        <v>0</v>
      </c>
      <c r="IF67" s="20" t="n">
        <f aca="false">IF(W67=1,IF(ABS((1+AS_Wage)/(1+Slot1_Rate)-1)&lt;0.000000000001,(Slot1_Age-D67)*(1+Slot1_Rate)^(Slot1_Age-D67),(1+Slot1_Rate)^(Slot1_Age-D67)*(1-((1+AS_Wage)/(1+Slot1_Rate))^(Slot1_Age-D67))/(1-(1+AS_Wage)/(1+Slot1_Rate))),1)</f>
        <v>1</v>
      </c>
      <c r="IG67" s="20" t="n">
        <f aca="false">IF(AND(HU67=1,IE67&gt;0,Slot1_IsWG=1,W67=1),MAX(0,(Slot1_Cost-X67*(1+Slot1_Rate)^(Slot1_Age-D67))/IF67),0)</f>
        <v>0</v>
      </c>
      <c r="IH67" s="20" t="n">
        <f aca="false">IF(AND(HU67=1,IE67&gt;0,Slot1_IsWG=1,W67=1),MIN(IE67,IG67),0)</f>
        <v>0</v>
      </c>
      <c r="II67" s="20" t="n">
        <f aca="false">X67+IH67</f>
        <v>0</v>
      </c>
      <c r="IJ67" s="20" t="n">
        <f aca="false">IF(W67=1,MAX(0,(Slot1_Cost-II67*(1+Slot1_Rate)^(Slot1_Age-D67))/IF67),0)</f>
        <v>0</v>
      </c>
      <c r="IK67" s="20" t="n">
        <f aca="false">IF(W67=1,MAX(0,(Slot1_Cost-X67*(1+Slot1_Rate)^(Slot1_Age-D67))/IF67),0)</f>
        <v>0</v>
      </c>
      <c r="IL67" s="20" t="n">
        <f aca="false">IF(AND(HU67=1,W67=1),MIN(ID67,IJ67),0)</f>
        <v>0</v>
      </c>
      <c r="IM67" s="20" t="n">
        <f aca="false">ID67-IL67</f>
        <v>0</v>
      </c>
      <c r="IN67" s="20" t="n">
        <f aca="false">IF(AH67=1,IF(ABS((1+AS_Wage)/(1+Slot2_Rate)-1)&lt;0.000000000001,(Slot2_Age-D67)*(1+Slot2_Rate)^(Slot2_Age-D67),(1+Slot2_Rate)^(Slot2_Age-D67)*(1-((1+AS_Wage)/(1+Slot2_Rate))^(Slot2_Age-D67))/(1-(1+AS_Wage)/(1+Slot2_Rate))),1)</f>
        <v>1</v>
      </c>
      <c r="IO67" s="20" t="n">
        <f aca="false">IF(AND(HU67=1,IE67&gt;0,Slot2_IsWG=1,AH67=1),MAX(0,(Slot2_Cost-AI67*(1+Slot2_Rate)^(Slot2_Age-D67))/IN67),0)</f>
        <v>0</v>
      </c>
      <c r="IP67" s="20" t="n">
        <f aca="false">IF(AND(HU67=1,IE67&gt;0,Slot2_IsWG=1,AH67=1),MIN(IE67,IO67),0)</f>
        <v>0</v>
      </c>
      <c r="IQ67" s="20" t="n">
        <f aca="false">AI67+IP67</f>
        <v>0</v>
      </c>
      <c r="IR67" s="20" t="n">
        <f aca="false">IF(AH67=1,MAX(0,(Slot2_Cost-IQ67*(1+Slot2_Rate)^(Slot2_Age-D67))/IN67),0)</f>
        <v>0</v>
      </c>
      <c r="IS67" s="20" t="n">
        <f aca="false">IF(AH67=1,MAX(0,(Slot2_Cost-AI67*(1+Slot2_Rate)^(Slot2_Age-D67))/IN67),0)</f>
        <v>0</v>
      </c>
      <c r="IT67" s="20" t="n">
        <f aca="false">IF(AND(HU67=1,AH67=1),MIN(IM67,IR67),0)</f>
        <v>0</v>
      </c>
      <c r="IU67" s="20" t="n">
        <f aca="false">IM67-IT67</f>
        <v>0</v>
      </c>
      <c r="IV67" s="20" t="n">
        <f aca="false">IF(AR67=1,IF(ABS((1+AS_Wage)/(1+Slot3_Rate)-1)&lt;0.000000000001,(Slot3_Age-D67)*(1+Slot3_Rate)^(Slot3_Age-D67),(1+Slot3_Rate)^(Slot3_Age-D67)*(1-((1+AS_Wage)/(1+Slot3_Rate))^(Slot3_Age-D67))/(1-(1+AS_Wage)/(1+Slot3_Rate))),1)</f>
        <v>1</v>
      </c>
      <c r="IW67" s="20" t="n">
        <f aca="false">IF(AND(HU67=1,IE67&gt;0,Slot3_IsWG=1,AR67=1),MAX(0,(Slot3_Cost-AS67*(1+Slot3_Rate)^(Slot3_Age-D67))/IV67),0)</f>
        <v>0</v>
      </c>
      <c r="IX67" s="20" t="n">
        <f aca="false">IF(AND(HU67=1,IE67&gt;0,Slot3_IsWG=1,AR67=1),MIN(IE67,IW67),0)</f>
        <v>0</v>
      </c>
      <c r="IY67" s="20" t="n">
        <f aca="false">AS67+IX67</f>
        <v>0</v>
      </c>
      <c r="IZ67" s="20" t="n">
        <f aca="false">IF(AR67=1,MAX(0,(Slot3_Cost-IY67*(1+Slot3_Rate)^(Slot3_Age-D67))/IV67),0)</f>
        <v>0</v>
      </c>
      <c r="JA67" s="20" t="n">
        <f aca="false">IF(AR67=1,MAX(0,(Slot3_Cost-AS67*(1+Slot3_Rate)^(Slot3_Age-D67))/IV67),0)</f>
        <v>0</v>
      </c>
      <c r="JB67" s="20" t="n">
        <f aca="false">IF(AND(HU67=1,AR67=1),MIN(IU67,IZ67),0)</f>
        <v>0</v>
      </c>
      <c r="JC67" s="20" t="n">
        <f aca="false">IU67-JB67</f>
        <v>0</v>
      </c>
      <c r="JD67" s="20" t="n">
        <f aca="false">IF(BB67=1,IF(ABS((1+AS_Wage)/(1+Slot4_Rate)-1)&lt;0.000000000001,(Slot4_Age-D67)*(1+Slot4_Rate)^(Slot4_Age-D67),(1+Slot4_Rate)^(Slot4_Age-D67)*(1-((1+AS_Wage)/(1+Slot4_Rate))^(Slot4_Age-D67))/(1-(1+AS_Wage)/(1+Slot4_Rate))),1)</f>
        <v>1</v>
      </c>
      <c r="JE67" s="20" t="n">
        <f aca="false">IF(AND(HU67=1,IE67&gt;0,Slot4_IsWG=1,BB67=1),MAX(0,(Slot4_Cost-BC67*(1+Slot4_Rate)^(Slot4_Age-D67))/JD67),0)</f>
        <v>0</v>
      </c>
      <c r="JF67" s="20" t="n">
        <f aca="false">IF(AND(HU67=1,IE67&gt;0,Slot4_IsWG=1,BB67=1),MIN(IE67,JE67),0)</f>
        <v>0</v>
      </c>
      <c r="JG67" s="20" t="n">
        <f aca="false">BC67+JF67</f>
        <v>0</v>
      </c>
      <c r="JH67" s="20" t="n">
        <f aca="false">IF(BB67=1,MAX(0,(Slot4_Cost-JG67*(1+Slot4_Rate)^(Slot4_Age-D67))/JD67),0)</f>
        <v>0</v>
      </c>
      <c r="JI67" s="20" t="n">
        <f aca="false">IF(BB67=1,MAX(0,(Slot4_Cost-BC67*(1+Slot4_Rate)^(Slot4_Age-D67))/JD67),0)</f>
        <v>0</v>
      </c>
      <c r="JJ67" s="20" t="n">
        <f aca="false">IF(AND(HU67=1,BB67=1),MIN(JC67,JH67),0)</f>
        <v>0</v>
      </c>
      <c r="JK67" s="20" t="n">
        <f aca="false">JC67-JJ67</f>
        <v>0</v>
      </c>
      <c r="JL67" s="20" t="n">
        <f aca="false">IF(BL67=1,IF(ABS((1+AS_Wage)/(1+Slot5_Rate)-1)&lt;0.000000000001,(Slot5_Age-D67)*(1+Slot5_Rate)^(Slot5_Age-D67),(1+Slot5_Rate)^(Slot5_Age-D67)*(1-((1+AS_Wage)/(1+Slot5_Rate))^(Slot5_Age-D67))/(1-(1+AS_Wage)/(1+Slot5_Rate))),1)</f>
        <v>1</v>
      </c>
      <c r="JM67" s="20" t="n">
        <f aca="false">IF(AND(HU67=1,IE67&gt;0,Slot5_IsWG=1,BL67=1),MAX(0,(Slot5_Cost-BM67*(1+Slot5_Rate)^(Slot5_Age-D67))/JL67),0)</f>
        <v>0</v>
      </c>
      <c r="JN67" s="20" t="n">
        <f aca="false">IF(AND(HU67=1,IE67&gt;0,Slot5_IsWG=1,BL67=1),MIN(IE67,JM67),0)</f>
        <v>0</v>
      </c>
      <c r="JO67" s="20" t="n">
        <f aca="false">BM67+JN67</f>
        <v>0</v>
      </c>
      <c r="JP67" s="20" t="n">
        <f aca="false">IF(BL67=1,MAX(0,(Slot5_Cost-JO67*(1+Slot5_Rate)^(Slot5_Age-D67))/JL67),0)</f>
        <v>0</v>
      </c>
      <c r="JQ67" s="20" t="n">
        <f aca="false">IF(BL67=1,MAX(0,(Slot5_Cost-BM67*(1+Slot5_Rate)^(Slot5_Age-D67))/JL67),0)</f>
        <v>0</v>
      </c>
      <c r="JR67" s="20" t="n">
        <f aca="false">IF(AND(HU67=1,BL67=1),MIN(JK67,JP67),0)</f>
        <v>0</v>
      </c>
      <c r="JS67" s="20" t="n">
        <f aca="false">JK67-JR67</f>
        <v>0</v>
      </c>
      <c r="JT67" s="20" t="n">
        <f aca="false">IF(BV67=1,IF(ABS((1+AS_Wage)/(1+Slot6_Rate)-1)&lt;0.000000000001,(Slot6_Age-D67)*(1+Slot6_Rate)^(Slot6_Age-D67),(1+Slot6_Rate)^(Slot6_Age-D67)*(1-((1+AS_Wage)/(1+Slot6_Rate))^(Slot6_Age-D67))/(1-(1+AS_Wage)/(1+Slot6_Rate))),1)</f>
        <v>1</v>
      </c>
      <c r="JU67" s="20" t="n">
        <f aca="false">IF(AND(HU67=1,IE67&gt;0,Slot6_IsWG=1,BV67=1),MAX(0,(Slot6_Cost-BW67*(1+Slot6_Rate)^(Slot6_Age-D67))/JT67),0)</f>
        <v>0</v>
      </c>
      <c r="JV67" s="20" t="n">
        <f aca="false">IF(AND(HU67=1,IE67&gt;0,Slot6_IsWG=1,BV67=1),MIN(IE67,JU67),0)</f>
        <v>0</v>
      </c>
      <c r="JW67" s="20" t="n">
        <f aca="false">BW67+JV67</f>
        <v>0</v>
      </c>
      <c r="JX67" s="20" t="n">
        <f aca="false">IF(BV67=1,MAX(0,(Slot6_Cost-JW67*(1+Slot6_Rate)^(Slot6_Age-D67))/JT67),0)</f>
        <v>0</v>
      </c>
      <c r="JY67" s="20" t="n">
        <f aca="false">IF(BV67=1,MAX(0,(Slot6_Cost-BW67*(1+Slot6_Rate)^(Slot6_Age-D67))/JT67),0)</f>
        <v>0</v>
      </c>
      <c r="JZ67" s="20" t="n">
        <f aca="false">IF(AND(HU67=1,BV67=1),MIN(JS67,JX67),0)</f>
        <v>0</v>
      </c>
      <c r="KA67" s="20" t="n">
        <f aca="false">JS67-JZ67</f>
        <v>0</v>
      </c>
      <c r="KB67" s="20" t="n">
        <f aca="false">IF(CF67=1,IF(ABS((1+AS_Wage)/(1+Slot7_Rate)-1)&lt;0.000000000001,(Slot7_Age-D67)*(1+Slot7_Rate)^(Slot7_Age-D67),(1+Slot7_Rate)^(Slot7_Age-D67)*(1-((1+AS_Wage)/(1+Slot7_Rate))^(Slot7_Age-D67))/(1-(1+AS_Wage)/(1+Slot7_Rate))),1)</f>
        <v>1</v>
      </c>
      <c r="KC67" s="20" t="n">
        <f aca="false">IF(AND(HU67=1,IE67&gt;0,Slot7_IsWG=1,CF67=1),MAX(0,(Slot7_Cost-CG67*(1+Slot7_Rate)^(Slot7_Age-D67))/KB67),0)</f>
        <v>0</v>
      </c>
      <c r="KD67" s="20" t="n">
        <f aca="false">IF(AND(HU67=1,IE67&gt;0,Slot7_IsWG=1,CF67=1),MIN(IE67,KC67),0)</f>
        <v>0</v>
      </c>
      <c r="KE67" s="20" t="n">
        <f aca="false">CG67+KD67</f>
        <v>0</v>
      </c>
      <c r="KF67" s="20" t="n">
        <f aca="false">IF(CF67=1,MAX(0,(Slot7_Cost-KE67*(1+Slot7_Rate)^(Slot7_Age-D67))/KB67),0)</f>
        <v>0</v>
      </c>
      <c r="KG67" s="20" t="n">
        <f aca="false">IF(CF67=1,MAX(0,(Slot7_Cost-CG67*(1+Slot7_Rate)^(Slot7_Age-D67))/KB67),0)</f>
        <v>0</v>
      </c>
      <c r="KH67" s="20" t="n">
        <f aca="false">IF(AND(HU67=1,CF67=1),MIN(KA67,KF67),0)</f>
        <v>0</v>
      </c>
      <c r="KI67" s="20" t="n">
        <f aca="false">KA67-KH67</f>
        <v>0</v>
      </c>
      <c r="KJ67" s="20" t="n">
        <f aca="false">IF(CP67=1,IF(ABS((1+AS_Wage)/(1+Slot8_Rate)-1)&lt;0.000000000001,(Slot8_Age-D67)*(1+Slot8_Rate)^(Slot8_Age-D67),(1+Slot8_Rate)^(Slot8_Age-D67)*(1-((1+AS_Wage)/(1+Slot8_Rate))^(Slot8_Age-D67))/(1-(1+AS_Wage)/(1+Slot8_Rate))),1)</f>
        <v>1</v>
      </c>
      <c r="KK67" s="20" t="n">
        <f aca="false">IF(AND(HU67=1,IE67&gt;0,Slot8_IsWG=1,CP67=1),MAX(0,(Slot8_Cost-CQ67*(1+Slot8_Rate)^(Slot8_Age-D67))/KJ67),0)</f>
        <v>0</v>
      </c>
      <c r="KL67" s="20" t="n">
        <f aca="false">IF(AND(HU67=1,IE67&gt;0,Slot8_IsWG=1,CP67=1),MIN(IE67,KK67),0)</f>
        <v>0</v>
      </c>
      <c r="KM67" s="20" t="n">
        <f aca="false">CQ67+KL67</f>
        <v>0</v>
      </c>
      <c r="KN67" s="20" t="n">
        <f aca="false">IF(CP67=1,MAX(0,(Slot8_Cost-KM67*(1+Slot8_Rate)^(Slot8_Age-D67))/KJ67),0)</f>
        <v>0</v>
      </c>
      <c r="KO67" s="20" t="n">
        <f aca="false">IF(CP67=1,MAX(0,(Slot8_Cost-CQ67*(1+Slot8_Rate)^(Slot8_Age-D67))/KJ67),0)</f>
        <v>0</v>
      </c>
      <c r="KP67" s="20" t="n">
        <f aca="false">IF(AND(HU67=1,CP67=1),MIN(KI67,KN67),0)</f>
        <v>0</v>
      </c>
      <c r="KQ67" s="20" t="n">
        <f aca="false">KI67-KP67</f>
        <v>0</v>
      </c>
      <c r="KR67" s="20" t="n">
        <f aca="false">IF(CZ67=1,IF(ABS((1+AS_Wage)/(1+Slot9_Rate)-1)&lt;0.000000000001,(Slot9_Age-D67)*(1+Slot9_Rate)^(Slot9_Age-D67),(1+Slot9_Rate)^(Slot9_Age-D67)*(1-((1+AS_Wage)/(1+Slot9_Rate))^(Slot9_Age-D67))/(1-(1+AS_Wage)/(1+Slot9_Rate))),1)</f>
        <v>1</v>
      </c>
      <c r="KS67" s="20" t="n">
        <f aca="false">IF(AND(HU67=1,IE67&gt;0,Slot9_IsWG=1,CZ67=1),MAX(0,(Slot9_Cost-DA67*(1+Slot9_Rate)^(Slot9_Age-D67))/KR67),0)</f>
        <v>0</v>
      </c>
      <c r="KT67" s="20" t="n">
        <f aca="false">IF(AND(HU67=1,IE67&gt;0,Slot9_IsWG=1,CZ67=1),MIN(IE67,KS67),0)</f>
        <v>0</v>
      </c>
      <c r="KU67" s="20" t="n">
        <f aca="false">DA67+KT67</f>
        <v>0</v>
      </c>
      <c r="KV67" s="20" t="n">
        <f aca="false">IF(CZ67=1,MAX(0,(Slot9_Cost-KU67*(1+Slot9_Rate)^(Slot9_Age-D67))/KR67),0)</f>
        <v>0</v>
      </c>
      <c r="KW67" s="20" t="n">
        <f aca="false">IF(CZ67=1,MAX(0,(Slot9_Cost-DA67*(1+Slot9_Rate)^(Slot9_Age-D67))/KR67),0)</f>
        <v>0</v>
      </c>
      <c r="KX67" s="20" t="n">
        <f aca="false">IF(AND(HU67=1,CZ67=1),MIN(KQ67,KV67),0)</f>
        <v>0</v>
      </c>
      <c r="KY67" s="20" t="n">
        <f aca="false">KQ67-KX67</f>
        <v>0</v>
      </c>
      <c r="KZ67" s="20" t="n">
        <f aca="false">IF(DJ67=1,IF(ABS((1+AS_Wage)/(1+Slot10_Rate)-1)&lt;0.000000000001,(Slot10_Age-D67)*(1+Slot10_Rate)^(Slot10_Age-D67),(1+Slot10_Rate)^(Slot10_Age-D67)*(1-((1+AS_Wage)/(1+Slot10_Rate))^(Slot10_Age-D67))/(1-(1+AS_Wage)/(1+Slot10_Rate))),1)</f>
        <v>1</v>
      </c>
      <c r="LA67" s="20" t="n">
        <f aca="false">IF(AND(HU67=1,IE67&gt;0,Slot10_IsWG=1,DJ67=1),MAX(0,(Slot10_Cost-DK67*(1+Slot10_Rate)^(Slot10_Age-D67))/KZ67),0)</f>
        <v>0</v>
      </c>
      <c r="LB67" s="20" t="n">
        <f aca="false">IF(AND(HU67=1,IE67&gt;0,Slot10_IsWG=1,DJ67=1),MIN(IE67,LA67),0)</f>
        <v>0</v>
      </c>
      <c r="LC67" s="20" t="n">
        <f aca="false">DK67+LB67</f>
        <v>0</v>
      </c>
      <c r="LD67" s="20" t="n">
        <f aca="false">IF(DJ67=1,MAX(0,(Slot10_Cost-LC67*(1+Slot10_Rate)^(Slot10_Age-D67))/KZ67),0)</f>
        <v>0</v>
      </c>
      <c r="LE67" s="20" t="n">
        <f aca="false">IF(DJ67=1,MAX(0,(Slot10_Cost-DK67*(1+Slot10_Rate)^(Slot10_Age-D67))/KZ67),0)</f>
        <v>0</v>
      </c>
      <c r="LF67" s="20" t="n">
        <f aca="false">IF(AND(HU67=1,DJ67=1),MIN(KY67,LD67),0)</f>
        <v>0</v>
      </c>
      <c r="LG67" s="20" t="n">
        <f aca="false">KY67-LF67</f>
        <v>0</v>
      </c>
      <c r="LH67" s="20" t="n">
        <f aca="false">IF(DT67=1,IF(ABS((1+AS_Wage)/(1+Slot11_Rate)-1)&lt;0.000000000001,(Slot11_Age-D67)*(1+Slot11_Rate)^(Slot11_Age-D67),(1+Slot11_Rate)^(Slot11_Age-D67)*(1-((1+AS_Wage)/(1+Slot11_Rate))^(Slot11_Age-D67))/(1-(1+AS_Wage)/(1+Slot11_Rate))),1)</f>
        <v>1</v>
      </c>
      <c r="LI67" s="20" t="n">
        <f aca="false">IF(AND(HU67=1,IE67&gt;0,Slot11_IsWG=1,DT67=1),MAX(0,(Slot11_Cost-DU67*(1+Slot11_Rate)^(Slot11_Age-D67))/LH67),0)</f>
        <v>0</v>
      </c>
      <c r="LJ67" s="20" t="n">
        <f aca="false">IF(AND(HU67=1,IE67&gt;0,Slot11_IsWG=1,DT67=1),MIN(IE67,LI67),0)</f>
        <v>0</v>
      </c>
      <c r="LK67" s="20" t="n">
        <f aca="false">DU67+LJ67</f>
        <v>0</v>
      </c>
      <c r="LL67" s="20" t="n">
        <f aca="false">IF(DT67=1,MAX(0,(Slot11_Cost-LK67*(1+Slot11_Rate)^(Slot11_Age-D67))/LH67),0)</f>
        <v>0</v>
      </c>
      <c r="LM67" s="20" t="n">
        <f aca="false">IF(DT67=1,MAX(0,(Slot11_Cost-DU67*(1+Slot11_Rate)^(Slot11_Age-D67))/LH67),0)</f>
        <v>0</v>
      </c>
      <c r="LN67" s="20" t="n">
        <f aca="false">IF(AND(HU67=1,DT67=1),MIN(LG67,LL67),0)</f>
        <v>0</v>
      </c>
      <c r="LO67" s="20" t="n">
        <f aca="false">LG67-LN67</f>
        <v>0</v>
      </c>
      <c r="LP67" s="20" t="n">
        <f aca="false">IF(ED67=1,IF(ABS((1+AS_Wage)/(1+Slot12_Rate)-1)&lt;0.000000000001,(Slot12_Age-D67)*(1+Slot12_Rate)^(Slot12_Age-D67),(1+Slot12_Rate)^(Slot12_Age-D67)*(1-((1+AS_Wage)/(1+Slot12_Rate))^(Slot12_Age-D67))/(1-(1+AS_Wage)/(1+Slot12_Rate))),1)</f>
        <v>1</v>
      </c>
      <c r="LQ67" s="20" t="n">
        <f aca="false">IF(AND(HU67=1,IE67&gt;0,Slot12_IsWG=1,ED67=1),MAX(0,(Slot12_Cost-EE67*(1+Slot12_Rate)^(Slot12_Age-D67))/LP67),0)</f>
        <v>0</v>
      </c>
      <c r="LR67" s="20" t="n">
        <f aca="false">IF(AND(HU67=1,IE67&gt;0,Slot12_IsWG=1,ED67=1),MIN(IE67,LQ67),0)</f>
        <v>0</v>
      </c>
      <c r="LS67" s="20" t="n">
        <f aca="false">EE67+LR67</f>
        <v>0</v>
      </c>
      <c r="LT67" s="20" t="n">
        <f aca="false">IF(ED67=1,MAX(0,(Slot12_Cost-LS67*(1+Slot12_Rate)^(Slot12_Age-D67))/LP67),0)</f>
        <v>0</v>
      </c>
      <c r="LU67" s="20" t="n">
        <f aca="false">IF(ED67=1,MAX(0,(Slot12_Cost-EE67*(1+Slot12_Rate)^(Slot12_Age-D67))/LP67),0)</f>
        <v>0</v>
      </c>
      <c r="LV67" s="20" t="n">
        <f aca="false">IF(AND(HU67=1,ED67=1),MIN(LO67,LT67),0)</f>
        <v>0</v>
      </c>
      <c r="LW67" s="20" t="n">
        <f aca="false">LO67-LV67</f>
        <v>0</v>
      </c>
      <c r="LX67" s="20" t="n">
        <f aca="false">IF(EN67=1,IF(ABS((1+AS_Wage)/(1+Slot13_Rate)-1)&lt;0.000000000001,(Slot13_Age-D67)*(1+Slot13_Rate)^(Slot13_Age-D67),(1+Slot13_Rate)^(Slot13_Age-D67)*(1-((1+AS_Wage)/(1+Slot13_Rate))^(Slot13_Age-D67))/(1-(1+AS_Wage)/(1+Slot13_Rate))),1)</f>
        <v>1</v>
      </c>
      <c r="LY67" s="20" t="n">
        <f aca="false">IF(AND(HU67=1,IE67&gt;0,Slot13_IsWG=1,EN67=1),MAX(0,(Slot13_Cost-EO67*(1+Slot13_Rate)^(Slot13_Age-D67))/LX67),0)</f>
        <v>0</v>
      </c>
      <c r="LZ67" s="20" t="n">
        <f aca="false">IF(AND(HU67=1,IE67&gt;0,Slot13_IsWG=1,EN67=1),MIN(IE67,LY67),0)</f>
        <v>0</v>
      </c>
      <c r="MA67" s="20" t="n">
        <f aca="false">EO67+LZ67</f>
        <v>0</v>
      </c>
      <c r="MB67" s="20" t="n">
        <f aca="false">IF(EN67=1,MAX(0,(Slot13_Cost-MA67*(1+Slot13_Rate)^(Slot13_Age-D67))/LX67),0)</f>
        <v>0</v>
      </c>
      <c r="MC67" s="20" t="n">
        <f aca="false">IF(EN67=1,MAX(0,(Slot13_Cost-EO67*(1+Slot13_Rate)^(Slot13_Age-D67))/LX67),0)</f>
        <v>0</v>
      </c>
      <c r="MD67" s="20" t="n">
        <f aca="false">IF(AND(HU67=1,EN67=1),MIN(LW67,MB67),0)</f>
        <v>0</v>
      </c>
      <c r="ME67" s="20" t="n">
        <f aca="false">LW67-MD67</f>
        <v>0</v>
      </c>
      <c r="MF67" s="20" t="n">
        <f aca="false">IF(EX67=1,IF(ABS((1+AS_Wage)/(1+Slot14_Rate)-1)&lt;0.000000000001,(Slot14_Age-D67)*(1+Slot14_Rate)^(Slot14_Age-D67),(1+Slot14_Rate)^(Slot14_Age-D67)*(1-((1+AS_Wage)/(1+Slot14_Rate))^(Slot14_Age-D67))/(1-(1+AS_Wage)/(1+Slot14_Rate))),1)</f>
        <v>1</v>
      </c>
      <c r="MG67" s="20" t="n">
        <f aca="false">IF(AND(HU67=1,IE67&gt;0,Slot14_IsWG=1,EX67=1),MAX(0,(Slot14_Cost-EY67*(1+Slot14_Rate)^(Slot14_Age-D67))/MF67),0)</f>
        <v>0</v>
      </c>
      <c r="MH67" s="20" t="n">
        <f aca="false">IF(AND(HU67=1,IE67&gt;0,Slot14_IsWG=1,EX67=1),MIN(IE67,MG67),0)</f>
        <v>0</v>
      </c>
      <c r="MI67" s="20" t="n">
        <f aca="false">EY67+MH67</f>
        <v>0</v>
      </c>
      <c r="MJ67" s="20" t="n">
        <f aca="false">IF(EX67=1,MAX(0,(Slot14_Cost-MI67*(1+Slot14_Rate)^(Slot14_Age-D67))/MF67),0)</f>
        <v>0</v>
      </c>
      <c r="MK67" s="20" t="n">
        <f aca="false">IF(EX67=1,MAX(0,(Slot14_Cost-EY67*(1+Slot14_Rate)^(Slot14_Age-D67))/MF67),0)</f>
        <v>0</v>
      </c>
      <c r="ML67" s="20" t="n">
        <f aca="false">IF(AND(HU67=1,EX67=1),MIN(ME67,MJ67),0)</f>
        <v>0</v>
      </c>
      <c r="MM67" s="20" t="n">
        <f aca="false">ME67-ML67</f>
        <v>0</v>
      </c>
      <c r="MN67" s="20" t="n">
        <f aca="false">IF(FH67=1,IF(ABS((1+AS_Wage)/(1+Slot15_Rate)-1)&lt;0.000000000001,(Slot15_Age-D67)*(1+Slot15_Rate)^(Slot15_Age-D67),(1+Slot15_Rate)^(Slot15_Age-D67)*(1-((1+AS_Wage)/(1+Slot15_Rate))^(Slot15_Age-D67))/(1-(1+AS_Wage)/(1+Slot15_Rate))),1)</f>
        <v>1</v>
      </c>
      <c r="MO67" s="20" t="n">
        <f aca="false">IF(AND(HU67=1,IE67&gt;0,Slot15_IsWG=1,FH67=1),MAX(0,(Slot15_Cost-FI67*(1+Slot15_Rate)^(Slot15_Age-D67))/MN67),0)</f>
        <v>0</v>
      </c>
      <c r="MP67" s="20" t="n">
        <f aca="false">IF(AND(HU67=1,IE67&gt;0,Slot15_IsWG=1,FH67=1),MIN(IE67,MO67),0)</f>
        <v>0</v>
      </c>
      <c r="MQ67" s="20" t="n">
        <f aca="false">FI67+MP67</f>
        <v>0</v>
      </c>
      <c r="MR67" s="20" t="n">
        <f aca="false">IF(FH67=1,MAX(0,(Slot15_Cost-MQ67*(1+Slot15_Rate)^(Slot15_Age-D67))/MN67),0)</f>
        <v>0</v>
      </c>
      <c r="MS67" s="20" t="n">
        <f aca="false">IF(FH67=1,MAX(0,(Slot15_Cost-FI67*(1+Slot15_Rate)^(Slot15_Age-D67))/MN67),0)</f>
        <v>0</v>
      </c>
      <c r="MT67" s="20" t="n">
        <f aca="false">IF(AND(HU67=1,FH67=1),MIN(MM67,MR67),0)</f>
        <v>0</v>
      </c>
      <c r="MU67" s="20" t="n">
        <f aca="false">MM67-MT67</f>
        <v>0</v>
      </c>
      <c r="MV67" s="20" t="n">
        <f aca="false">IF(FR67=1,IF(ABS((1+AS_Wage)/(1+Slot16_Rate)-1)&lt;0.000000000001,(Slot16_Age-D67)*(1+Slot16_Rate)^(Slot16_Age-D67),(1+Slot16_Rate)^(Slot16_Age-D67)*(1-((1+AS_Wage)/(1+Slot16_Rate))^(Slot16_Age-D67))/(1-(1+AS_Wage)/(1+Slot16_Rate))),1)</f>
        <v>1</v>
      </c>
      <c r="MW67" s="20" t="n">
        <f aca="false">IF(AND(HU67=1,IE67&gt;0,Slot16_IsWG=1,FR67=1),MAX(0,(Slot16_Cost-FS67*(1+Slot16_Rate)^(Slot16_Age-D67))/MV67),0)</f>
        <v>0</v>
      </c>
      <c r="MX67" s="20" t="n">
        <f aca="false">IF(AND(HU67=1,IE67&gt;0,Slot16_IsWG=1,FR67=1),MIN(IE67,MW67),0)</f>
        <v>0</v>
      </c>
      <c r="MY67" s="20" t="n">
        <f aca="false">FS67+MX67</f>
        <v>0</v>
      </c>
      <c r="MZ67" s="20" t="n">
        <f aca="false">IF(FR67=1,MAX(0,(Slot16_Cost-MY67*(1+Slot16_Rate)^(Slot16_Age-D67))/MV67),0)</f>
        <v>0</v>
      </c>
      <c r="NA67" s="20" t="n">
        <f aca="false">IF(FR67=1,MAX(0,(Slot16_Cost-FS67*(1+Slot16_Rate)^(Slot16_Age-D67))/MV67),0)</f>
        <v>0</v>
      </c>
      <c r="NB67" s="20" t="n">
        <f aca="false">IF(AND(HU67=1,FR67=1),MIN(MU67,MZ67),0)</f>
        <v>0</v>
      </c>
      <c r="NC67" s="20" t="n">
        <f aca="false">MU67-NB67</f>
        <v>0</v>
      </c>
      <c r="ND67" s="20" t="n">
        <f aca="false">IF(GB67=1,IF(ABS((1+AS_Wage)/(1+Slot17_Rate)-1)&lt;0.000000000001,(Slot17_Age-D67)*(1+Slot17_Rate)^(Slot17_Age-D67),(1+Slot17_Rate)^(Slot17_Age-D67)*(1-((1+AS_Wage)/(1+Slot17_Rate))^(Slot17_Age-D67))/(1-(1+AS_Wage)/(1+Slot17_Rate))),1)</f>
        <v>1</v>
      </c>
      <c r="NE67" s="20" t="n">
        <f aca="false">IF(AND(HU67=1,IE67&gt;0,Slot17_IsWG=1,GB67=1),MAX(0,(Slot17_Cost-GC67*(1+Slot17_Rate)^(Slot17_Age-D67))/ND67),0)</f>
        <v>0</v>
      </c>
      <c r="NF67" s="20" t="n">
        <f aca="false">IF(AND(HU67=1,IE67&gt;0,Slot17_IsWG=1,GB67=1),MIN(IE67,NE67),0)</f>
        <v>0</v>
      </c>
      <c r="NG67" s="20" t="n">
        <f aca="false">GC67+NF67</f>
        <v>0</v>
      </c>
      <c r="NH67" s="20" t="n">
        <f aca="false">IF(GB67=1,MAX(0,(Slot17_Cost-NG67*(1+Slot17_Rate)^(Slot17_Age-D67))/ND67),0)</f>
        <v>0</v>
      </c>
      <c r="NI67" s="20" t="n">
        <f aca="false">IF(GB67=1,MAX(0,(Slot17_Cost-GC67*(1+Slot17_Rate)^(Slot17_Age-D67))/ND67),0)</f>
        <v>0</v>
      </c>
      <c r="NJ67" s="20" t="n">
        <f aca="false">IF(AND(HU67=1,GB67=1),MIN(NC67,NH67),0)</f>
        <v>0</v>
      </c>
      <c r="NK67" s="20" t="n">
        <f aca="false">NC67-NJ67</f>
        <v>0</v>
      </c>
      <c r="NL67" s="20" t="n">
        <f aca="false">IF(GL67=1,IF(ABS((1+AS_Wage)/(1+Slot18_Rate)-1)&lt;0.000000000001,(Slot18_Age-D67)*(1+Slot18_Rate)^(Slot18_Age-D67),(1+Slot18_Rate)^(Slot18_Age-D67)*(1-((1+AS_Wage)/(1+Slot18_Rate))^(Slot18_Age-D67))/(1-(1+AS_Wage)/(1+Slot18_Rate))),1)</f>
        <v>1</v>
      </c>
      <c r="NM67" s="20" t="n">
        <f aca="false">IF(AND(HU67=1,IE67&gt;0,Slot18_IsWG=1,GL67=1),MAX(0,(Slot18_Cost-GM67*(1+Slot18_Rate)^(Slot18_Age-D67))/NL67),0)</f>
        <v>0</v>
      </c>
      <c r="NN67" s="20" t="n">
        <f aca="false">IF(AND(HU67=1,IE67&gt;0,Slot18_IsWG=1,GL67=1),MIN(IE67,NM67),0)</f>
        <v>0</v>
      </c>
      <c r="NO67" s="20" t="n">
        <f aca="false">GM67+NN67</f>
        <v>0</v>
      </c>
      <c r="NP67" s="20" t="n">
        <f aca="false">IF(GL67=1,MAX(0,(Slot18_Cost-NO67*(1+Slot18_Rate)^(Slot18_Age-D67))/NL67),0)</f>
        <v>0</v>
      </c>
      <c r="NQ67" s="20" t="n">
        <f aca="false">IF(GL67=1,MAX(0,(Slot18_Cost-GM67*(1+Slot18_Rate)^(Slot18_Age-D67))/NL67),0)</f>
        <v>0</v>
      </c>
      <c r="NR67" s="20" t="n">
        <f aca="false">IF(AND(HU67=1,GL67=1),MIN(NK67,NP67),0)</f>
        <v>0</v>
      </c>
      <c r="NS67" s="20" t="n">
        <f aca="false">NK67-NR67</f>
        <v>0</v>
      </c>
      <c r="NT67" s="20" t="n">
        <f aca="false">IF(GV67=1,IF(ABS((1+AS_Wage)/(1+Slot19_Rate)-1)&lt;0.000000000001,(Slot19_Age-D67)*(1+Slot19_Rate)^(Slot19_Age-D67),(1+Slot19_Rate)^(Slot19_Age-D67)*(1-((1+AS_Wage)/(1+Slot19_Rate))^(Slot19_Age-D67))/(1-(1+AS_Wage)/(1+Slot19_Rate))),1)</f>
        <v>1</v>
      </c>
      <c r="NU67" s="20" t="n">
        <f aca="false">IF(AND(HU67=1,IE67&gt;0,Slot19_IsWG=1,GV67=1),MAX(0,(Slot19_Cost-GW67*(1+Slot19_Rate)^(Slot19_Age-D67))/NT67),0)</f>
        <v>0</v>
      </c>
      <c r="NV67" s="20" t="n">
        <f aca="false">IF(AND(HU67=1,IE67&gt;0,Slot19_IsWG=1,GV67=1),MIN(IE67,NU67),0)</f>
        <v>0</v>
      </c>
      <c r="NW67" s="20" t="n">
        <f aca="false">GW67+NV67</f>
        <v>0</v>
      </c>
      <c r="NX67" s="20" t="n">
        <f aca="false">IF(GV67=1,MAX(0,(Slot19_Cost-NW67*(1+Slot19_Rate)^(Slot19_Age-D67))/NT67),0)</f>
        <v>0</v>
      </c>
      <c r="NY67" s="20" t="n">
        <f aca="false">IF(GV67=1,MAX(0,(Slot19_Cost-GW67*(1+Slot19_Rate)^(Slot19_Age-D67))/NT67),0)</f>
        <v>0</v>
      </c>
      <c r="NZ67" s="20" t="n">
        <f aca="false">IF(AND(HU67=1,GV67=1),MIN(NS67,NX67),0)</f>
        <v>0</v>
      </c>
      <c r="OA67" s="20" t="n">
        <f aca="false">NS67-NZ67</f>
        <v>0</v>
      </c>
      <c r="OB67" s="20" t="n">
        <f aca="false">IF(HF67=1,IF(ABS((1+AS_Wage)/(1+Slot20_Rate)-1)&lt;0.000000000001,(Slot20_Age-D67)*(1+Slot20_Rate)^(Slot20_Age-D67),(1+Slot20_Rate)^(Slot20_Age-D67)*(1-((1+AS_Wage)/(1+Slot20_Rate))^(Slot20_Age-D67))/(1-(1+AS_Wage)/(1+Slot20_Rate))),1)</f>
        <v>1</v>
      </c>
      <c r="OC67" s="20" t="n">
        <f aca="false">IF(AND(HU67=1,IE67&gt;0,Slot20_IsWG=1,HF67=1),MAX(0,(Slot20_Cost-HG67*(1+Slot20_Rate)^(Slot20_Age-D67))/OB67),0)</f>
        <v>0</v>
      </c>
      <c r="OD67" s="20" t="n">
        <f aca="false">IF(AND(HU67=1,IE67&gt;0,Slot20_IsWG=1,HF67=1),MIN(IE67,OC67),0)</f>
        <v>0</v>
      </c>
      <c r="OE67" s="20" t="n">
        <f aca="false">HG67+OD67</f>
        <v>0</v>
      </c>
      <c r="OF67" s="20" t="n">
        <f aca="false">IF(HF67=1,MAX(0,(Slot20_Cost-OE67*(1+Slot20_Rate)^(Slot20_Age-D67))/OB67),0)</f>
        <v>0</v>
      </c>
      <c r="OG67" s="20" t="n">
        <f aca="false">IF(HF67=1,MAX(0,(Slot20_Cost-HG67*(1+Slot20_Rate)^(Slot20_Age-D67))/OB67),0)</f>
        <v>0</v>
      </c>
      <c r="OH67" s="20" t="n">
        <f aca="false">IF(AND(HU67=1,HF67=1),MIN(OA67,OF67),0)</f>
        <v>0</v>
      </c>
      <c r="OI67" s="20" t="n">
        <f aca="false">OA67-OH67</f>
        <v>0</v>
      </c>
      <c r="OJ67" s="20" t="n">
        <f aca="false">IE67-(IH67+IP67+IX67+JF67+JN67+JV67+KD67+KL67+KT67+LB67+LJ67+LR67+LZ67+MH67+MP67+MX67+NF67+NN67+NV67+OD67)</f>
        <v>0</v>
      </c>
      <c r="OK67" s="20" t="n">
        <f aca="false">IF(HU67=1,HS67-ID67-IE67,0)</f>
        <v>0</v>
      </c>
      <c r="OL67" s="20" t="n">
        <f aca="false">IF(HU67=0,-HS67,0)</f>
        <v>61971.3375234016</v>
      </c>
      <c r="OM67" s="20" t="n">
        <f aca="false">MIN(OL67,HK67)</f>
        <v>0</v>
      </c>
      <c r="ON67" s="20" t="n">
        <f aca="false">OL67-OM67</f>
        <v>61971.3375234016</v>
      </c>
      <c r="OO67" s="20" t="n">
        <f aca="false">MIN(ON67,HL67)</f>
        <v>0</v>
      </c>
      <c r="OP67" s="20" t="n">
        <f aca="false">ON67-OO67</f>
        <v>61971.3375234016</v>
      </c>
      <c r="OQ67" s="20" t="n">
        <f aca="false">IF(AND(HU67=0,HF67=1,OP67&gt;0),MIN(OP67,HG67),0)</f>
        <v>0</v>
      </c>
      <c r="OR67" s="20" t="n">
        <f aca="false">OP67-OQ67</f>
        <v>61971.3375234016</v>
      </c>
      <c r="OS67" s="20" t="n">
        <f aca="false">IF(AND(HU67=0,GV67=1,OR67&gt;0),MIN(OR67,GW67),0)</f>
        <v>0</v>
      </c>
      <c r="OT67" s="20" t="n">
        <f aca="false">OR67-OS67</f>
        <v>61971.3375234016</v>
      </c>
      <c r="OU67" s="20" t="n">
        <f aca="false">IF(AND(HU67=0,GL67=1,OT67&gt;0),MIN(OT67,GM67),0)</f>
        <v>0</v>
      </c>
      <c r="OV67" s="20" t="n">
        <f aca="false">OT67-OU67</f>
        <v>61971.3375234016</v>
      </c>
      <c r="OW67" s="20" t="n">
        <f aca="false">IF(AND(HU67=0,GB67=1,OV67&gt;0),MIN(OV67,GC67),0)</f>
        <v>0</v>
      </c>
      <c r="OX67" s="20" t="n">
        <f aca="false">OV67-OW67</f>
        <v>61971.3375234016</v>
      </c>
      <c r="OY67" s="20" t="n">
        <f aca="false">IF(AND(HU67=0,FR67=1,OX67&gt;0),MIN(OX67,FS67),0)</f>
        <v>0</v>
      </c>
      <c r="OZ67" s="20" t="n">
        <f aca="false">OX67-OY67</f>
        <v>61971.3375234016</v>
      </c>
      <c r="PA67" s="20" t="n">
        <f aca="false">IF(AND(HU67=0,FH67=1,OZ67&gt;0),MIN(OZ67,FI67),0)</f>
        <v>0</v>
      </c>
      <c r="PB67" s="20" t="n">
        <f aca="false">OZ67-PA67</f>
        <v>61971.3375234016</v>
      </c>
      <c r="PC67" s="20" t="n">
        <f aca="false">IF(AND(HU67=0,EX67=1,PB67&gt;0),MIN(PB67,EY67),0)</f>
        <v>0</v>
      </c>
      <c r="PD67" s="20" t="n">
        <f aca="false">PB67-PC67</f>
        <v>61971.3375234016</v>
      </c>
      <c r="PE67" s="20" t="n">
        <f aca="false">IF(AND(HU67=0,EN67=1,PD67&gt;0),MIN(PD67,EO67),0)</f>
        <v>0</v>
      </c>
      <c r="PF67" s="20" t="n">
        <f aca="false">PD67-PE67</f>
        <v>61971.3375234016</v>
      </c>
      <c r="PG67" s="20" t="n">
        <f aca="false">IF(AND(HU67=0,ED67=1,PF67&gt;0),MIN(PF67,EE67),0)</f>
        <v>0</v>
      </c>
      <c r="PH67" s="20" t="n">
        <f aca="false">PF67-PG67</f>
        <v>61971.3375234016</v>
      </c>
      <c r="PI67" s="20" t="n">
        <f aca="false">IF(AND(HU67=0,DT67=1,PH67&gt;0),MIN(PH67,DU67),0)</f>
        <v>0</v>
      </c>
      <c r="PJ67" s="20" t="n">
        <f aca="false">PH67-PI67</f>
        <v>61971.3375234016</v>
      </c>
      <c r="PK67" s="20" t="n">
        <f aca="false">IF(AND(HU67=0,DJ67=1,PJ67&gt;0),MIN(PJ67,DK67),0)</f>
        <v>0</v>
      </c>
      <c r="PL67" s="20" t="n">
        <f aca="false">PJ67-PK67</f>
        <v>61971.3375234016</v>
      </c>
      <c r="PM67" s="20" t="n">
        <f aca="false">IF(AND(HU67=0,CZ67=1,PL67&gt;0),MIN(PL67,DA67),0)</f>
        <v>0</v>
      </c>
      <c r="PN67" s="20" t="n">
        <f aca="false">PL67-PM67</f>
        <v>61971.3375234016</v>
      </c>
      <c r="PO67" s="20" t="n">
        <f aca="false">IF(AND(HU67=0,CP67=1,PN67&gt;0),MIN(PN67,CQ67),0)</f>
        <v>0</v>
      </c>
      <c r="PP67" s="20" t="n">
        <f aca="false">PN67-PO67</f>
        <v>61971.3375234016</v>
      </c>
      <c r="PQ67" s="20" t="n">
        <f aca="false">IF(AND(HU67=0,CF67=1,PP67&gt;0),MIN(PP67,CG67),0)</f>
        <v>0</v>
      </c>
      <c r="PR67" s="20" t="n">
        <f aca="false">PP67-PQ67</f>
        <v>61971.3375234016</v>
      </c>
      <c r="PS67" s="20" t="n">
        <f aca="false">IF(AND(HU67=0,BV67=1,PR67&gt;0),MIN(PR67,BW67),0)</f>
        <v>0</v>
      </c>
      <c r="PT67" s="20" t="n">
        <f aca="false">PR67-PS67</f>
        <v>61971.3375234016</v>
      </c>
      <c r="PU67" s="20" t="n">
        <f aca="false">IF(AND(HU67=0,BL67=1,PT67&gt;0),MIN(PT67,BM67),0)</f>
        <v>0</v>
      </c>
      <c r="PV67" s="20" t="n">
        <f aca="false">PT67-PU67</f>
        <v>61971.3375234016</v>
      </c>
      <c r="PW67" s="20" t="n">
        <f aca="false">IF(AND(HU67=0,BB67=1,PV67&gt;0),MIN(PV67,BC67),0)</f>
        <v>0</v>
      </c>
      <c r="PX67" s="20" t="n">
        <f aca="false">PV67-PW67</f>
        <v>61971.3375234016</v>
      </c>
      <c r="PY67" s="20" t="n">
        <f aca="false">IF(AND(HU67=0,AR67=1,PX67&gt;0),MIN(PX67,AS67),0)</f>
        <v>0</v>
      </c>
      <c r="PZ67" s="20" t="n">
        <f aca="false">PX67-PY67</f>
        <v>61971.3375234016</v>
      </c>
      <c r="QA67" s="20" t="n">
        <f aca="false">IF(AND(HU67=0,AH67=1,PZ67&gt;0),MIN(PZ67,AI67),0)</f>
        <v>0</v>
      </c>
      <c r="QB67" s="20" t="n">
        <f aca="false">PZ67-QA67</f>
        <v>61971.3375234016</v>
      </c>
      <c r="QC67" s="20" t="n">
        <f aca="false">IF(AND(HU67=0,W67=1,QB67&gt;0),MIN(QB67,X67),0)</f>
        <v>0</v>
      </c>
      <c r="QD67" s="20" t="n">
        <f aca="false">QB67-QC67</f>
        <v>61971.3375234016</v>
      </c>
      <c r="QE67" s="20" t="n">
        <f aca="false">IF(HU67=0,QD67,0)</f>
        <v>61971.3375234016</v>
      </c>
      <c r="QF67" s="20" t="n">
        <f aca="false">OM67+OO67+QC67+QA67+PY67+PW67+PU67+PS67+PQ67+PO67+PM67+PK67+PI67+PG67+PE67+PC67+PA67+OY67+OW67+OU67+OS67+OQ67</f>
        <v>0</v>
      </c>
      <c r="QG67" s="20" t="n">
        <f aca="false">IF(HU67=1,HK67+OJ67+OI67+IF(G67=1,0,OK67),HK67-OM67)</f>
        <v>0</v>
      </c>
      <c r="QH67" s="20" t="n">
        <f aca="false">HL67-OO67</f>
        <v>0</v>
      </c>
      <c r="QI67" s="20" t="n">
        <f aca="false">IF(HU67=1,IF(G67=1,ID67+IE67,HS67),0)</f>
        <v>0</v>
      </c>
      <c r="QJ67" s="20" t="n">
        <f aca="false">IF(HU67=1,IF(G67=1,HS67-ID67-IE67,0),0)</f>
        <v>0</v>
      </c>
      <c r="QK67" s="20" t="n">
        <f aca="false">QG67*(1+GR)</f>
        <v>0</v>
      </c>
      <c r="QL67" s="20" t="n">
        <f aca="false">QH67*(1+AS_Cash)</f>
        <v>0</v>
      </c>
      <c r="QM67" s="20" t="n">
        <f aca="false">IF(W67=1,IF(HU67=1,II67+IL67,X67-QC67)*(1+Slot1_Rate),0)</f>
        <v>0</v>
      </c>
      <c r="QN67" s="20" t="n">
        <f aca="false">IF(AND(HU67=1,W67=1),(IH67+IL67)/F67,0)</f>
        <v>0</v>
      </c>
      <c r="QO67" s="20" t="n">
        <f aca="false">IF(B67=0,IH67+IL67,0)</f>
        <v>0</v>
      </c>
      <c r="QP67" s="20" t="n">
        <f aca="false">IF(B67=0,IF(HU67=1,IJ67,IK67),0)</f>
        <v>0</v>
      </c>
      <c r="QQ67" s="20" t="n">
        <f aca="false">IF(AH67=1,IF(HU67=1,IQ67+IT67,AI67-QA67)*(1+Slot2_Rate),0)</f>
        <v>0</v>
      </c>
      <c r="QR67" s="20" t="n">
        <f aca="false">IF(AND(HU67=1,AH67=1),(IP67+IT67)/F67,0)</f>
        <v>0</v>
      </c>
      <c r="QS67" s="20" t="n">
        <f aca="false">IF(B67=0,IP67+IT67,0)</f>
        <v>0</v>
      </c>
      <c r="QT67" s="20" t="n">
        <f aca="false">IF(B67=0,IF(HU67=1,IR67,IS67),0)</f>
        <v>0</v>
      </c>
      <c r="QU67" s="20" t="n">
        <f aca="false">IF(AR67=1,IF(HU67=1,IY67+JB67,AS67-PY67)*(1+Slot3_Rate),0)</f>
        <v>0</v>
      </c>
      <c r="QV67" s="20" t="n">
        <f aca="false">IF(AND(HU67=1,AR67=1),(IX67+JB67)/F67,0)</f>
        <v>0</v>
      </c>
      <c r="QW67" s="20" t="n">
        <f aca="false">IF(B67=0,IX67+JB67,0)</f>
        <v>0</v>
      </c>
      <c r="QX67" s="20" t="n">
        <f aca="false">IF(B67=0,IF(HU67=1,IZ67,JA67),0)</f>
        <v>0</v>
      </c>
      <c r="QY67" s="20" t="n">
        <f aca="false">IF(BB67=1,IF(HU67=1,JG67+JJ67,BC67-PW67)*(1+Slot4_Rate),0)</f>
        <v>0</v>
      </c>
      <c r="QZ67" s="20" t="n">
        <f aca="false">IF(AND(HU67=1,BB67=1),(JF67+JJ67)/F67,0)</f>
        <v>0</v>
      </c>
      <c r="RA67" s="20" t="n">
        <f aca="false">IF(B67=0,JF67+JJ67,0)</f>
        <v>0</v>
      </c>
      <c r="RB67" s="20" t="n">
        <f aca="false">IF(B67=0,IF(HU67=1,JH67,JI67),0)</f>
        <v>0</v>
      </c>
      <c r="RC67" s="20" t="n">
        <f aca="false">IF(BL67=1,IF(HU67=1,JO67+JR67,BM67-PU67)*(1+Slot5_Rate),0)</f>
        <v>0</v>
      </c>
      <c r="RD67" s="20" t="n">
        <f aca="false">IF(AND(HU67=1,BL67=1),(JN67+JR67)/F67,0)</f>
        <v>0</v>
      </c>
      <c r="RE67" s="20" t="n">
        <f aca="false">IF(B67=0,JN67+JR67,0)</f>
        <v>0</v>
      </c>
      <c r="RF67" s="20" t="n">
        <f aca="false">IF(B67=0,IF(HU67=1,JP67,JQ67),0)</f>
        <v>0</v>
      </c>
      <c r="RG67" s="20" t="n">
        <f aca="false">IF(BV67=1,IF(HU67=1,JW67+JZ67,BW67-PS67)*(1+Slot6_Rate),0)</f>
        <v>0</v>
      </c>
      <c r="RH67" s="20" t="n">
        <f aca="false">IF(AND(HU67=1,BV67=1),(JV67+JZ67)/F67,0)</f>
        <v>0</v>
      </c>
      <c r="RI67" s="20" t="n">
        <f aca="false">IF(B67=0,JV67+JZ67,0)</f>
        <v>0</v>
      </c>
      <c r="RJ67" s="20" t="n">
        <f aca="false">IF(B67=0,IF(HU67=1,JX67,JY67),0)</f>
        <v>0</v>
      </c>
      <c r="RK67" s="20" t="n">
        <f aca="false">IF(CF67=1,IF(HU67=1,KE67+KH67,CG67-PQ67)*(1+Slot7_Rate),0)</f>
        <v>0</v>
      </c>
      <c r="RL67" s="20" t="n">
        <f aca="false">IF(AND(HU67=1,CF67=1),(KD67+KH67)/F67,0)</f>
        <v>0</v>
      </c>
      <c r="RM67" s="20" t="n">
        <f aca="false">IF(B67=0,KD67+KH67,0)</f>
        <v>0</v>
      </c>
      <c r="RN67" s="20" t="n">
        <f aca="false">IF(B67=0,IF(HU67=1,KF67,KG67),0)</f>
        <v>0</v>
      </c>
      <c r="RO67" s="20" t="n">
        <f aca="false">IF(CP67=1,IF(HU67=1,KM67+KP67,CQ67-PO67)*(1+Slot8_Rate),0)</f>
        <v>0</v>
      </c>
      <c r="RP67" s="20" t="n">
        <f aca="false">IF(AND(HU67=1,CP67=1),(KL67+KP67)/F67,0)</f>
        <v>0</v>
      </c>
      <c r="RQ67" s="20" t="n">
        <f aca="false">IF(B67=0,KL67+KP67,0)</f>
        <v>0</v>
      </c>
      <c r="RR67" s="20" t="n">
        <f aca="false">IF(B67=0,IF(HU67=1,KN67,KO67),0)</f>
        <v>0</v>
      </c>
      <c r="RS67" s="20" t="n">
        <f aca="false">IF(CZ67=1,IF(HU67=1,KU67+KX67,DA67-PM67)*(1+Slot9_Rate),0)</f>
        <v>0</v>
      </c>
      <c r="RT67" s="20" t="n">
        <f aca="false">IF(AND(HU67=1,CZ67=1),(KT67+KX67)/F67,0)</f>
        <v>0</v>
      </c>
      <c r="RU67" s="20" t="n">
        <f aca="false">IF(B67=0,KT67+KX67,0)</f>
        <v>0</v>
      </c>
      <c r="RV67" s="20" t="n">
        <f aca="false">IF(B67=0,IF(HU67=1,KV67,KW67),0)</f>
        <v>0</v>
      </c>
      <c r="RW67" s="20" t="n">
        <f aca="false">IF(DJ67=1,IF(HU67=1,LC67+LF67,DK67-PK67)*(1+Slot10_Rate),0)</f>
        <v>0</v>
      </c>
      <c r="RX67" s="20" t="n">
        <f aca="false">IF(AND(HU67=1,DJ67=1),(LB67+LF67)/F67,0)</f>
        <v>0</v>
      </c>
      <c r="RY67" s="20" t="n">
        <f aca="false">IF(B67=0,LB67+LF67,0)</f>
        <v>0</v>
      </c>
      <c r="RZ67" s="20" t="n">
        <f aca="false">IF(B67=0,IF(HU67=1,LD67,LE67),0)</f>
        <v>0</v>
      </c>
      <c r="SA67" s="20" t="n">
        <f aca="false">IF(DT67=1,IF(HU67=1,LK67+LN67,DU67-PI67)*(1+Slot11_Rate),0)</f>
        <v>0</v>
      </c>
      <c r="SB67" s="20" t="n">
        <f aca="false">IF(AND(HU67=1,DT67=1),(LJ67+LN67)/F67,0)</f>
        <v>0</v>
      </c>
      <c r="SC67" s="20" t="n">
        <f aca="false">IF(B67=0,LJ67+LN67,0)</f>
        <v>0</v>
      </c>
      <c r="SD67" s="20" t="n">
        <f aca="false">IF(B67=0,IF(HU67=1,LL67,LM67),0)</f>
        <v>0</v>
      </c>
      <c r="SE67" s="20" t="n">
        <f aca="false">IF(ED67=1,IF(HU67=1,LS67+LV67,EE67-PG67)*(1+Slot12_Rate),0)</f>
        <v>0</v>
      </c>
      <c r="SF67" s="20" t="n">
        <f aca="false">IF(AND(HU67=1,ED67=1),(LR67+LV67)/F67,0)</f>
        <v>0</v>
      </c>
      <c r="SG67" s="20" t="n">
        <f aca="false">IF(B67=0,LR67+LV67,0)</f>
        <v>0</v>
      </c>
      <c r="SH67" s="20" t="n">
        <f aca="false">IF(B67=0,IF(HU67=1,LT67,LU67),0)</f>
        <v>0</v>
      </c>
      <c r="SI67" s="20" t="n">
        <f aca="false">IF(EN67=1,IF(HU67=1,MA67+MD67,EO67-PE67)*(1+Slot13_Rate),0)</f>
        <v>0</v>
      </c>
      <c r="SJ67" s="20" t="n">
        <f aca="false">IF(AND(HU67=1,EN67=1),(LZ67+MD67)/F67,0)</f>
        <v>0</v>
      </c>
      <c r="SK67" s="20" t="n">
        <f aca="false">IF(B67=0,LZ67+MD67,0)</f>
        <v>0</v>
      </c>
      <c r="SL67" s="20" t="n">
        <f aca="false">IF(B67=0,IF(HU67=1,MB67,MC67),0)</f>
        <v>0</v>
      </c>
      <c r="SM67" s="20" t="n">
        <f aca="false">IF(EX67=1,IF(HU67=1,MI67+ML67,EY67-PC67)*(1+Slot14_Rate),0)</f>
        <v>0</v>
      </c>
      <c r="SN67" s="20" t="n">
        <f aca="false">IF(AND(HU67=1,EX67=1),(MH67+ML67)/F67,0)</f>
        <v>0</v>
      </c>
      <c r="SO67" s="20" t="n">
        <f aca="false">IF(B67=0,MH67+ML67,0)</f>
        <v>0</v>
      </c>
      <c r="SP67" s="20" t="n">
        <f aca="false">IF(B67=0,IF(HU67=1,MJ67,MK67),0)</f>
        <v>0</v>
      </c>
      <c r="SQ67" s="20" t="n">
        <f aca="false">IF(FH67=1,IF(HU67=1,MQ67+MT67,FI67-PA67)*(1+Slot15_Rate),0)</f>
        <v>0</v>
      </c>
      <c r="SR67" s="20" t="n">
        <f aca="false">IF(AND(HU67=1,FH67=1),(MP67+MT67)/F67,0)</f>
        <v>0</v>
      </c>
      <c r="SS67" s="20" t="n">
        <f aca="false">IF(B67=0,MP67+MT67,0)</f>
        <v>0</v>
      </c>
      <c r="ST67" s="20" t="n">
        <f aca="false">IF(B67=0,IF(HU67=1,MR67,MS67),0)</f>
        <v>0</v>
      </c>
      <c r="SU67" s="20" t="n">
        <f aca="false">IF(FR67=1,IF(HU67=1,MY67+NB67,FS67-OY67)*(1+Slot16_Rate),0)</f>
        <v>0</v>
      </c>
      <c r="SV67" s="20" t="n">
        <f aca="false">IF(AND(HU67=1,FR67=1),(MX67+NB67)/F67,0)</f>
        <v>0</v>
      </c>
      <c r="SW67" s="20" t="n">
        <f aca="false">IF(B67=0,MX67+NB67,0)</f>
        <v>0</v>
      </c>
      <c r="SX67" s="20" t="n">
        <f aca="false">IF(B67=0,IF(HU67=1,MZ67,NA67),0)</f>
        <v>0</v>
      </c>
      <c r="SY67" s="20" t="n">
        <f aca="false">IF(GB67=1,IF(HU67=1,NG67+NJ67,GC67-OW67)*(1+Slot17_Rate),0)</f>
        <v>0</v>
      </c>
      <c r="SZ67" s="20" t="n">
        <f aca="false">IF(AND(HU67=1,GB67=1),(NF67+NJ67)/F67,0)</f>
        <v>0</v>
      </c>
      <c r="TA67" s="20" t="n">
        <f aca="false">IF(B67=0,NF67+NJ67,0)</f>
        <v>0</v>
      </c>
      <c r="TB67" s="20" t="n">
        <f aca="false">IF(B67=0,IF(HU67=1,NH67,NI67),0)</f>
        <v>0</v>
      </c>
      <c r="TC67" s="20" t="n">
        <f aca="false">IF(GL67=1,IF(HU67=1,NO67+NR67,GM67-OU67)*(1+Slot18_Rate),0)</f>
        <v>0</v>
      </c>
      <c r="TD67" s="20" t="n">
        <f aca="false">IF(AND(HU67=1,GL67=1),(NN67+NR67)/F67,0)</f>
        <v>0</v>
      </c>
      <c r="TE67" s="20" t="n">
        <f aca="false">IF(B67=0,NN67+NR67,0)</f>
        <v>0</v>
      </c>
      <c r="TF67" s="20" t="n">
        <f aca="false">IF(B67=0,IF(HU67=1,NP67,NQ67),0)</f>
        <v>0</v>
      </c>
      <c r="TG67" s="20" t="n">
        <f aca="false">IF(GV67=1,IF(HU67=1,NW67+NZ67,GW67-OS67)*(1+Slot19_Rate),0)</f>
        <v>0</v>
      </c>
      <c r="TH67" s="20" t="n">
        <f aca="false">IF(AND(HU67=1,GV67=1),(NV67+NZ67)/F67,0)</f>
        <v>0</v>
      </c>
      <c r="TI67" s="20" t="n">
        <f aca="false">IF(B67=0,NV67+NZ67,0)</f>
        <v>0</v>
      </c>
      <c r="TJ67" s="20" t="n">
        <f aca="false">IF(B67=0,IF(HU67=1,NX67,NY67),0)</f>
        <v>0</v>
      </c>
      <c r="TK67" s="20" t="n">
        <f aca="false">IF(HF67=1,IF(HU67=1,OE67+OH67,HG67-OQ67)*(1+Slot20_Rate),0)</f>
        <v>0</v>
      </c>
      <c r="TL67" s="20" t="n">
        <f aca="false">IF(AND(HU67=1,HF67=1),(OD67+OH67)/F67,0)</f>
        <v>0</v>
      </c>
      <c r="TM67" s="20" t="n">
        <f aca="false">IF(B67=0,OD67+OH67,0)</f>
        <v>0</v>
      </c>
      <c r="TN67" s="20" t="n">
        <f aca="false">IF(B67=0,IF(HU67=1,OF67,OG67),0)</f>
        <v>0</v>
      </c>
      <c r="TO67" s="20" t="n">
        <f aca="false">QK67+QL67+QM67+QQ67+QU67+QY67+RC67+RG67+RK67+RO67+RS67+RW67+SA67+SE67+SI67+SM67+SQ67+SU67+SY67+TC67+TG67+TK67</f>
        <v>0</v>
      </c>
      <c r="TP67" s="20" t="n">
        <f aca="false">QE67+HP67</f>
        <v>61971.3375234016</v>
      </c>
      <c r="TQ67" s="20" t="n">
        <f aca="false">I67+S67</f>
        <v>153758.109493987</v>
      </c>
      <c r="TR67" s="20" t="n">
        <f aca="false">1-G67</f>
        <v>1</v>
      </c>
      <c r="TS67" s="20" t="n">
        <f aca="false">IF(AND(RG_Exists=1,G67=0,C67=1),I67,0)</f>
        <v>0</v>
      </c>
      <c r="TT67" s="20" t="n">
        <f aca="false">IF(AND(RG_Exists=1,G67=0,C67=1),I67-MIN(QE67,I67),0)</f>
        <v>0</v>
      </c>
      <c r="TU67" s="20" t="n">
        <f aca="false">'Plan pay &amp; tax'!AD293</f>
        <v>0</v>
      </c>
      <c r="TV67" s="20" t="n">
        <f aca="false">IF(AND(C67=1,QE67&gt;MAX(PR_Short1,TQ67*PR_Short2)),1,0)</f>
        <v>0</v>
      </c>
      <c r="TW67" s="20" t="n">
        <f aca="false">MIN(H67,I67+S67)</f>
        <v>91786.7719705854</v>
      </c>
      <c r="TX67" s="20" t="n">
        <f aca="false">QF67+MAX(0,HQ67-HP67)</f>
        <v>0</v>
      </c>
      <c r="TY67" s="20" t="n">
        <f aca="false">QE67+HP67</f>
        <v>61971.3375234016</v>
      </c>
      <c r="TZ67" s="20" t="n">
        <f aca="false">IF(AND(C67=1,TY67&gt;PR_MinShort),1,0)</f>
        <v>0</v>
      </c>
      <c r="UA67" s="20" t="n">
        <f aca="false">IF(AND(C67=1,TZ67=0,TX67&gt;PR_MinShort),1,0)</f>
        <v>0</v>
      </c>
      <c r="UB67" s="20" t="n">
        <f aca="false">IF(AND(C67=1,QE67&gt;PR_MinShort),1,0)</f>
        <v>0</v>
      </c>
      <c r="UC67" s="20" t="n">
        <f aca="false">IF(AND(C67=1,QF67&gt;1,UJ67=0),1,0)</f>
        <v>0</v>
      </c>
      <c r="UD67" s="20" t="str">
        <f aca="false">IF(C67=0,"",IF(UJ67=1,"Gap to plan for: short "&amp;"€"&amp;TEXT(ROUND(TP67,0),"#,##0"),IF(QF67&gt;1,"Using savings","Comfortable")))</f>
        <v/>
      </c>
      <c r="UE67" s="20" t="n">
        <f aca="false">IF(AND(INT(D67/10)*10=90,B67&gt;0),80,INT(D67/10)*10)</f>
        <v>80</v>
      </c>
      <c r="UF67" s="20" t="n">
        <f aca="false">IF(B67=0,1,IF(UE67&lt;&gt;UE66,UF66+1,UF66))</f>
        <v>6</v>
      </c>
      <c r="UG67" s="20" t="n">
        <f aca="false">IF(AND(C67=1,G67=1,QE67&gt;MAX(PR_Short1,TQ67*PR_Short2)),1,0)</f>
        <v>0</v>
      </c>
      <c r="UH67" s="20" t="n">
        <f aca="false">TR67*TV67</f>
        <v>0</v>
      </c>
      <c r="UI67" s="20" t="n">
        <f aca="false">IF(AND(V67=1,Slot1_PctLow=1),1,0)+IF(AND(AG67=1,Slot2_PctLow=1),1,0)+IF(AND(AQ67=1,Slot3_PctLow=1),1,0)+IF(AND(BA67=1,Slot4_PctLow=1),1,0)+IF(AND(BK67=1,Slot5_PctLow=1),1,0)+IF(AND(BU67=1,Slot6_PctLow=1),1,0)+IF(AND(CE67=1,Slot7_PctLow=1),1,0)+IF(AND(CO67=1,Slot8_PctLow=1),1,0)+IF(AND(CY67=1,Slot9_PctLow=1),1,0)+IF(AND(DI67=1,Slot10_PctLow=1),1,0)+IF(AND(DS67=1,Slot11_PctLow=1),1,0)+IF(AND(EC67=1,Slot12_PctLow=1),1,0)+IF(AND(EM67=1,Slot13_PctLow=1),1,0)+IF(AND(EW67=1,Slot14_PctLow=1),1,0)+IF(AND(FG67=1,Slot15_PctLow=1),1,0)+IF(AND(FQ67=1,Slot16_PctLow=1),1,0)+IF(AND(GA67=1,Slot17_PctLow=1),1,0)+IF(AND(GK67=1,Slot18_PctLow=1),1,0)+IF(AND(GU67=1,Slot19_PctLow=1),1,0)+IF(AND(HE67=1,Slot20_PctLow=1),1,0)</f>
        <v>0</v>
      </c>
      <c r="UJ67" s="20" t="n">
        <f aca="false">IF(C67=1,IF(OR(TV67=1,UI67&gt;0),1,0),0)</f>
        <v>0</v>
      </c>
    </row>
    <row r="68" customFormat="false" ht="15" hidden="false" customHeight="true" outlineLevel="0" collapsed="false">
      <c r="B68" s="20" t="n">
        <v>60</v>
      </c>
      <c r="C68" s="20" t="n">
        <f aca="false">IF(B68&lt;=F_N,1,0)</f>
        <v>0</v>
      </c>
      <c r="D68" s="20" t="n">
        <f aca="false">'Plan pay &amp; tax'!C294</f>
        <v>98</v>
      </c>
      <c r="E68" s="20" t="str">
        <f aca="false">IF($C68=1,"Income tax "&amp;TEXT(N('Plan pay &amp; tax'!BK294),"#,##0")&amp;"; USC "&amp;TEXT(N('Plan pay &amp; tax'!BM294)+N('Plan pay &amp; tax'!BO294),"#,##0")&amp;"; PRSI "&amp;TEXT(N('Plan pay &amp; tax'!BP294)+N('Plan pay &amp; tax'!BQ294),"#,##0")&amp;". DIRT and exit tax are inside the growth rates here.","")</f>
        <v/>
      </c>
      <c r="F68" s="44" t="n">
        <f aca="false">'Plan pay &amp; tax'!E294</f>
        <v>3.28103078836541</v>
      </c>
      <c r="G68" s="20" t="n">
        <f aca="false">'Plan pay &amp; tax'!G294</f>
        <v>0</v>
      </c>
      <c r="H68" s="20" t="n">
        <f aca="false">'Plan pay &amp; tax'!BT294-'Plan pay &amp; tax'!BS294-'Plan pay &amp; tax'!R294</f>
        <v>93622.5074099972</v>
      </c>
      <c r="I68" s="20" t="n">
        <f aca="false">IF(G68=1,F_CostsM*12,IF(RG_Exists=1,RG_Amount,F_CostsM*12*AS_RetireSpend))*F68+F_OneOffY*F68</f>
        <v>156833.271683867</v>
      </c>
      <c r="J68" s="20" t="n">
        <f aca="false">HR67</f>
        <v>0</v>
      </c>
      <c r="K68" s="20" t="n">
        <f aca="false">IF(J68&gt;1,'Plan debt months'!AC68,0)</f>
        <v>0</v>
      </c>
      <c r="L68" s="20" t="n">
        <f aca="false">IF(J68&gt;1,'Plan debt months'!AB68,J68)</f>
        <v>0</v>
      </c>
      <c r="M68" s="20" t="n">
        <f aca="false">O67</f>
        <v>0</v>
      </c>
      <c r="N68" s="20" t="n">
        <f aca="false">IF(M68&gt;1,'Plan debt months'!BD68,0)</f>
        <v>0</v>
      </c>
      <c r="O68" s="20" t="n">
        <f aca="false">IF(M68&gt;1,'Plan debt months'!BC68,M68)</f>
        <v>0</v>
      </c>
      <c r="P68" s="20" t="n">
        <f aca="false">R67</f>
        <v>0</v>
      </c>
      <c r="Q68" s="20" t="n">
        <f aca="false">IF(P68&gt;1,'Plan debt months'!CE68,0)</f>
        <v>0</v>
      </c>
      <c r="R68" s="20" t="n">
        <f aca="false">IF(P68&gt;1,'Plan debt months'!CD68,P68)</f>
        <v>0</v>
      </c>
      <c r="S68" s="20" t="n">
        <f aca="false">K68+N68+Q68</f>
        <v>0</v>
      </c>
      <c r="T68" s="20" t="n">
        <f aca="false">QK67+'Plan pay &amp; tax'!Y294</f>
        <v>0</v>
      </c>
      <c r="U68" s="20" t="n">
        <f aca="false">QK67</f>
        <v>0</v>
      </c>
      <c r="V68" s="20" t="n">
        <f aca="false">IF(AND(Slot1_On=1,D68=Slot1_Age),1,0)</f>
        <v>0</v>
      </c>
      <c r="W68" s="20" t="n">
        <f aca="false">IF(AND(Slot1_On=1,Slot1_Age&gt;D68),1,0)</f>
        <v>0</v>
      </c>
      <c r="X68" s="20" t="n">
        <f aca="false">QM67</f>
        <v>0</v>
      </c>
      <c r="Y68" s="20" t="n">
        <f aca="false">V68*MIN(Slot1_Cost,X68)</f>
        <v>0</v>
      </c>
      <c r="Z68" s="20" t="n">
        <f aca="false">V68*Slot1_SpendLike*MIN(Slot1_Cost-Y68,T68)</f>
        <v>0</v>
      </c>
      <c r="AA68" s="20" t="n">
        <f aca="false">Y68+Z68</f>
        <v>0</v>
      </c>
      <c r="AB68" s="20" t="n">
        <f aca="false">T68-Z68+V68*IF(Slot1_SpendLike=1,X68-Y68,IF(Slot1_PotFree=1,X68,0))</f>
        <v>0</v>
      </c>
      <c r="AC68" s="20" t="n">
        <f aca="false">AF68+V68*Slot1_BufPot*X68</f>
        <v>0</v>
      </c>
      <c r="AD68" s="20" t="n">
        <f aca="false">IF(AND(V68=1,Slot1_IsMfree=1),IF(AA68&gt;=Slot1_Cost-1,0,MAX(0,L68-AA68)),L68)</f>
        <v>0</v>
      </c>
      <c r="AE68" s="20" t="n">
        <f aca="false">V68*(Slot1_Cost-AA68)</f>
        <v>0</v>
      </c>
      <c r="AF68" s="20" t="n">
        <f aca="false">QL67</f>
        <v>0</v>
      </c>
      <c r="AG68" s="20" t="n">
        <f aca="false">IF(AND(Slot2_On=1,D68=Slot2_Age),1,0)</f>
        <v>0</v>
      </c>
      <c r="AH68" s="20" t="n">
        <f aca="false">IF(AND(Slot2_On=1,Slot2_Age&gt;D68),1,0)</f>
        <v>0</v>
      </c>
      <c r="AI68" s="20" t="n">
        <f aca="false">QQ67</f>
        <v>0</v>
      </c>
      <c r="AJ68" s="20" t="n">
        <f aca="false">AG68*MIN(Slot2_Cost,AI68)</f>
        <v>0</v>
      </c>
      <c r="AK68" s="20" t="n">
        <f aca="false">AG68*Slot2_SpendLike*MIN(Slot2_Cost-AJ68,AB68)</f>
        <v>0</v>
      </c>
      <c r="AL68" s="20" t="n">
        <f aca="false">AJ68+AK68</f>
        <v>0</v>
      </c>
      <c r="AM68" s="20" t="n">
        <f aca="false">AB68-AK68+AG68*IF(Slot2_SpendLike=1,AI68-AJ68,IF(Slot2_PotFree=1,AI68,0))</f>
        <v>0</v>
      </c>
      <c r="AN68" s="20" t="n">
        <f aca="false">AC68+AG68*Slot2_BufPot*AI68</f>
        <v>0</v>
      </c>
      <c r="AO68" s="20" t="n">
        <f aca="false">IF(AND(AG68=1,Slot2_IsMfree=1),IF(AL68&gt;=Slot2_Cost-1,0,MAX(0,AD68-AL68)),AD68)</f>
        <v>0</v>
      </c>
      <c r="AP68" s="20" t="n">
        <f aca="false">AG68*(Slot2_Cost-AL68)</f>
        <v>0</v>
      </c>
      <c r="AQ68" s="20" t="n">
        <f aca="false">IF(AND(Slot3_On=1,D68=Slot3_Age),1,0)</f>
        <v>0</v>
      </c>
      <c r="AR68" s="20" t="n">
        <f aca="false">IF(AND(Slot3_On=1,Slot3_Age&gt;D68),1,0)</f>
        <v>0</v>
      </c>
      <c r="AS68" s="20" t="n">
        <f aca="false">QU67</f>
        <v>0</v>
      </c>
      <c r="AT68" s="20" t="n">
        <f aca="false">AQ68*MIN(Slot3_Cost,AS68)</f>
        <v>0</v>
      </c>
      <c r="AU68" s="20" t="n">
        <f aca="false">AQ68*Slot3_SpendLike*MIN(Slot3_Cost-AT68,AM68)</f>
        <v>0</v>
      </c>
      <c r="AV68" s="20" t="n">
        <f aca="false">AT68+AU68</f>
        <v>0</v>
      </c>
      <c r="AW68" s="20" t="n">
        <f aca="false">AM68-AU68+AQ68*IF(Slot3_SpendLike=1,AS68-AT68,IF(Slot3_PotFree=1,AS68,0))</f>
        <v>0</v>
      </c>
      <c r="AX68" s="20" t="n">
        <f aca="false">AN68+AQ68*Slot3_BufPot*AS68</f>
        <v>0</v>
      </c>
      <c r="AY68" s="20" t="n">
        <f aca="false">IF(AND(AQ68=1,Slot3_IsMfree=1),IF(AV68&gt;=Slot3_Cost-1,0,MAX(0,AO68-AV68)),AO68)</f>
        <v>0</v>
      </c>
      <c r="AZ68" s="20" t="n">
        <f aca="false">AQ68*(Slot3_Cost-AV68)</f>
        <v>0</v>
      </c>
      <c r="BA68" s="20" t="n">
        <f aca="false">IF(AND(Slot4_On=1,D68=Slot4_Age),1,0)</f>
        <v>0</v>
      </c>
      <c r="BB68" s="20" t="n">
        <f aca="false">IF(AND(Slot4_On=1,Slot4_Age&gt;D68),1,0)</f>
        <v>0</v>
      </c>
      <c r="BC68" s="20" t="n">
        <f aca="false">QY67</f>
        <v>0</v>
      </c>
      <c r="BD68" s="20" t="n">
        <f aca="false">BA68*MIN(Slot4_Cost,BC68)</f>
        <v>0</v>
      </c>
      <c r="BE68" s="20" t="n">
        <f aca="false">BA68*Slot4_SpendLike*MIN(Slot4_Cost-BD68,AW68)</f>
        <v>0</v>
      </c>
      <c r="BF68" s="20" t="n">
        <f aca="false">BD68+BE68</f>
        <v>0</v>
      </c>
      <c r="BG68" s="20" t="n">
        <f aca="false">AW68-BE68+BA68*IF(Slot4_SpendLike=1,BC68-BD68,IF(Slot4_PotFree=1,BC68,0))</f>
        <v>0</v>
      </c>
      <c r="BH68" s="20" t="n">
        <f aca="false">AX68+BA68*Slot4_BufPot*BC68</f>
        <v>0</v>
      </c>
      <c r="BI68" s="20" t="n">
        <f aca="false">IF(AND(BA68=1,Slot4_IsMfree=1),IF(BF68&gt;=Slot4_Cost-1,0,MAX(0,AY68-BF68)),AY68)</f>
        <v>0</v>
      </c>
      <c r="BJ68" s="20" t="n">
        <f aca="false">BA68*(Slot4_Cost-BF68)</f>
        <v>0</v>
      </c>
      <c r="BK68" s="20" t="n">
        <f aca="false">IF(AND(Slot5_On=1,D68=Slot5_Age),1,0)</f>
        <v>0</v>
      </c>
      <c r="BL68" s="20" t="n">
        <f aca="false">IF(AND(Slot5_On=1,Slot5_Age&gt;D68),1,0)</f>
        <v>0</v>
      </c>
      <c r="BM68" s="20" t="n">
        <f aca="false">RC67</f>
        <v>0</v>
      </c>
      <c r="BN68" s="20" t="n">
        <f aca="false">BK68*MIN(Slot5_Cost,BM68)</f>
        <v>0</v>
      </c>
      <c r="BO68" s="20" t="n">
        <f aca="false">BK68*Slot5_SpendLike*MIN(Slot5_Cost-BN68,BG68)</f>
        <v>0</v>
      </c>
      <c r="BP68" s="20" t="n">
        <f aca="false">BN68+BO68</f>
        <v>0</v>
      </c>
      <c r="BQ68" s="20" t="n">
        <f aca="false">BG68-BO68+BK68*IF(Slot5_SpendLike=1,BM68-BN68,IF(Slot5_PotFree=1,BM68,0))</f>
        <v>0</v>
      </c>
      <c r="BR68" s="20" t="n">
        <f aca="false">BH68+BK68*Slot5_BufPot*BM68</f>
        <v>0</v>
      </c>
      <c r="BS68" s="20" t="n">
        <f aca="false">IF(AND(BK68=1,Slot5_IsMfree=1),IF(BP68&gt;=Slot5_Cost-1,0,MAX(0,BI68-BP68)),BI68)</f>
        <v>0</v>
      </c>
      <c r="BT68" s="20" t="n">
        <f aca="false">BK68*(Slot5_Cost-BP68)</f>
        <v>0</v>
      </c>
      <c r="BU68" s="20" t="n">
        <f aca="false">IF(AND(Slot6_On=1,D68=Slot6_Age),1,0)</f>
        <v>0</v>
      </c>
      <c r="BV68" s="20" t="n">
        <f aca="false">IF(AND(Slot6_On=1,Slot6_Age&gt;D68),1,0)</f>
        <v>0</v>
      </c>
      <c r="BW68" s="20" t="n">
        <f aca="false">RG67</f>
        <v>0</v>
      </c>
      <c r="BX68" s="20" t="n">
        <f aca="false">BU68*MIN(Slot6_Cost,BW68)</f>
        <v>0</v>
      </c>
      <c r="BY68" s="20" t="n">
        <f aca="false">BU68*Slot6_SpendLike*MIN(Slot6_Cost-BX68,BQ68)</f>
        <v>0</v>
      </c>
      <c r="BZ68" s="20" t="n">
        <f aca="false">BX68+BY68</f>
        <v>0</v>
      </c>
      <c r="CA68" s="20" t="n">
        <f aca="false">BQ68-BY68+BU68*IF(Slot6_SpendLike=1,BW68-BX68,IF(Slot6_PotFree=1,BW68,0))</f>
        <v>0</v>
      </c>
      <c r="CB68" s="20" t="n">
        <f aca="false">BR68+BU68*Slot6_BufPot*BW68</f>
        <v>0</v>
      </c>
      <c r="CC68" s="20" t="n">
        <f aca="false">IF(AND(BU68=1,Slot6_IsMfree=1),IF(BZ68&gt;=Slot6_Cost-1,0,MAX(0,BS68-BZ68)),BS68)</f>
        <v>0</v>
      </c>
      <c r="CD68" s="20" t="n">
        <f aca="false">BU68*(Slot6_Cost-BZ68)</f>
        <v>0</v>
      </c>
      <c r="CE68" s="20" t="n">
        <f aca="false">IF(AND(Slot7_On=1,D68=Slot7_Age),1,0)</f>
        <v>0</v>
      </c>
      <c r="CF68" s="20" t="n">
        <f aca="false">IF(AND(Slot7_On=1,Slot7_Age&gt;D68),1,0)</f>
        <v>0</v>
      </c>
      <c r="CG68" s="20" t="n">
        <f aca="false">RK67</f>
        <v>0</v>
      </c>
      <c r="CH68" s="20" t="n">
        <f aca="false">CE68*MIN(Slot7_Cost,CG68)</f>
        <v>0</v>
      </c>
      <c r="CI68" s="20" t="n">
        <f aca="false">CE68*Slot7_SpendLike*MIN(Slot7_Cost-CH68,CA68)</f>
        <v>0</v>
      </c>
      <c r="CJ68" s="20" t="n">
        <f aca="false">CH68+CI68</f>
        <v>0</v>
      </c>
      <c r="CK68" s="20" t="n">
        <f aca="false">CA68-CI68+CE68*IF(Slot7_SpendLike=1,CG68-CH68,IF(Slot7_PotFree=1,CG68,0))</f>
        <v>0</v>
      </c>
      <c r="CL68" s="20" t="n">
        <f aca="false">CB68+CE68*Slot7_BufPot*CG68</f>
        <v>0</v>
      </c>
      <c r="CM68" s="20" t="n">
        <f aca="false">IF(AND(CE68=1,Slot7_IsMfree=1),IF(CJ68&gt;=Slot7_Cost-1,0,MAX(0,CC68-CJ68)),CC68)</f>
        <v>0</v>
      </c>
      <c r="CN68" s="20" t="n">
        <f aca="false">CE68*(Slot7_Cost-CJ68)</f>
        <v>0</v>
      </c>
      <c r="CO68" s="20" t="n">
        <f aca="false">IF(AND(Slot8_On=1,D68=Slot8_Age),1,0)</f>
        <v>0</v>
      </c>
      <c r="CP68" s="20" t="n">
        <f aca="false">IF(AND(Slot8_On=1,Slot8_Age&gt;D68),1,0)</f>
        <v>0</v>
      </c>
      <c r="CQ68" s="20" t="n">
        <f aca="false">RO67</f>
        <v>0</v>
      </c>
      <c r="CR68" s="20" t="n">
        <f aca="false">CO68*MIN(Slot8_Cost,CQ68)</f>
        <v>0</v>
      </c>
      <c r="CS68" s="20" t="n">
        <f aca="false">CO68*Slot8_SpendLike*MIN(Slot8_Cost-CR68,CK68)</f>
        <v>0</v>
      </c>
      <c r="CT68" s="20" t="n">
        <f aca="false">CR68+CS68</f>
        <v>0</v>
      </c>
      <c r="CU68" s="20" t="n">
        <f aca="false">CK68-CS68+CO68*IF(Slot8_SpendLike=1,CQ68-CR68,IF(Slot8_PotFree=1,CQ68,0))</f>
        <v>0</v>
      </c>
      <c r="CV68" s="20" t="n">
        <f aca="false">CL68+CO68*Slot8_BufPot*CQ68</f>
        <v>0</v>
      </c>
      <c r="CW68" s="20" t="n">
        <f aca="false">IF(AND(CO68=1,Slot8_IsMfree=1),IF(CT68&gt;=Slot8_Cost-1,0,MAX(0,CM68-CT68)),CM68)</f>
        <v>0</v>
      </c>
      <c r="CX68" s="20" t="n">
        <f aca="false">CO68*(Slot8_Cost-CT68)</f>
        <v>0</v>
      </c>
      <c r="CY68" s="20" t="n">
        <f aca="false">IF(AND(Slot9_On=1,D68=Slot9_Age),1,0)</f>
        <v>0</v>
      </c>
      <c r="CZ68" s="20" t="n">
        <f aca="false">IF(AND(Slot9_On=1,Slot9_Age&gt;D68),1,0)</f>
        <v>0</v>
      </c>
      <c r="DA68" s="20" t="n">
        <f aca="false">RS67</f>
        <v>0</v>
      </c>
      <c r="DB68" s="20" t="n">
        <f aca="false">CY68*MIN(Slot9_Cost,DA68)</f>
        <v>0</v>
      </c>
      <c r="DC68" s="20" t="n">
        <f aca="false">CY68*Slot9_SpendLike*MIN(Slot9_Cost-DB68,CU68)</f>
        <v>0</v>
      </c>
      <c r="DD68" s="20" t="n">
        <f aca="false">DB68+DC68</f>
        <v>0</v>
      </c>
      <c r="DE68" s="20" t="n">
        <f aca="false">CU68-DC68+CY68*IF(Slot9_SpendLike=1,DA68-DB68,IF(Slot9_PotFree=1,DA68,0))</f>
        <v>0</v>
      </c>
      <c r="DF68" s="20" t="n">
        <f aca="false">CV68+CY68*Slot9_BufPot*DA68</f>
        <v>0</v>
      </c>
      <c r="DG68" s="20" t="n">
        <f aca="false">IF(AND(CY68=1,Slot9_IsMfree=1),IF(DD68&gt;=Slot9_Cost-1,0,MAX(0,CW68-DD68)),CW68)</f>
        <v>0</v>
      </c>
      <c r="DH68" s="20" t="n">
        <f aca="false">CY68*(Slot9_Cost-DD68)</f>
        <v>0</v>
      </c>
      <c r="DI68" s="20" t="n">
        <f aca="false">IF(AND(Slot10_On=1,D68=Slot10_Age),1,0)</f>
        <v>0</v>
      </c>
      <c r="DJ68" s="20" t="n">
        <f aca="false">IF(AND(Slot10_On=1,Slot10_Age&gt;D68),1,0)</f>
        <v>0</v>
      </c>
      <c r="DK68" s="20" t="n">
        <f aca="false">RW67</f>
        <v>0</v>
      </c>
      <c r="DL68" s="20" t="n">
        <f aca="false">DI68*MIN(Slot10_Cost,DK68)</f>
        <v>0</v>
      </c>
      <c r="DM68" s="20" t="n">
        <f aca="false">DI68*Slot10_SpendLike*MIN(Slot10_Cost-DL68,DE68)</f>
        <v>0</v>
      </c>
      <c r="DN68" s="20" t="n">
        <f aca="false">DL68+DM68</f>
        <v>0</v>
      </c>
      <c r="DO68" s="20" t="n">
        <f aca="false">DE68-DM68+DI68*IF(Slot10_SpendLike=1,DK68-DL68,IF(Slot10_PotFree=1,DK68,0))</f>
        <v>0</v>
      </c>
      <c r="DP68" s="20" t="n">
        <f aca="false">DF68+DI68*Slot10_BufPot*DK68</f>
        <v>0</v>
      </c>
      <c r="DQ68" s="20" t="n">
        <f aca="false">IF(AND(DI68=1,Slot10_IsMfree=1),IF(DN68&gt;=Slot10_Cost-1,0,MAX(0,DG68-DN68)),DG68)</f>
        <v>0</v>
      </c>
      <c r="DR68" s="20" t="n">
        <f aca="false">DI68*(Slot10_Cost-DN68)</f>
        <v>0</v>
      </c>
      <c r="DS68" s="20" t="n">
        <f aca="false">IF(AND(Slot11_On=1,D68=Slot11_Age),1,0)</f>
        <v>0</v>
      </c>
      <c r="DT68" s="20" t="n">
        <f aca="false">IF(AND(Slot11_On=1,Slot11_Age&gt;D68),1,0)</f>
        <v>0</v>
      </c>
      <c r="DU68" s="20" t="n">
        <f aca="false">SA67</f>
        <v>0</v>
      </c>
      <c r="DV68" s="20" t="n">
        <f aca="false">DS68*MIN(Slot11_Cost,DU68)</f>
        <v>0</v>
      </c>
      <c r="DW68" s="20" t="n">
        <f aca="false">DS68*Slot11_SpendLike*MIN(Slot11_Cost-DV68,DO68)</f>
        <v>0</v>
      </c>
      <c r="DX68" s="20" t="n">
        <f aca="false">DV68+DW68</f>
        <v>0</v>
      </c>
      <c r="DY68" s="20" t="n">
        <f aca="false">DO68-DW68+DS68*IF(Slot11_SpendLike=1,DU68-DV68,IF(Slot11_PotFree=1,DU68,0))</f>
        <v>0</v>
      </c>
      <c r="DZ68" s="20" t="n">
        <f aca="false">DP68+DS68*Slot11_BufPot*DU68</f>
        <v>0</v>
      </c>
      <c r="EA68" s="20" t="n">
        <f aca="false">IF(AND(DS68=1,Slot11_IsMfree=1),IF(DX68&gt;=Slot11_Cost-1,0,MAX(0,DQ68-DX68)),DQ68)</f>
        <v>0</v>
      </c>
      <c r="EB68" s="20" t="n">
        <f aca="false">DS68*(Slot11_Cost-DX68)</f>
        <v>0</v>
      </c>
      <c r="EC68" s="20" t="n">
        <f aca="false">IF(AND(Slot12_On=1,D68=Slot12_Age),1,0)</f>
        <v>0</v>
      </c>
      <c r="ED68" s="20" t="n">
        <f aca="false">IF(AND(Slot12_On=1,Slot12_Age&gt;D68),1,0)</f>
        <v>0</v>
      </c>
      <c r="EE68" s="20" t="n">
        <f aca="false">SE67</f>
        <v>0</v>
      </c>
      <c r="EF68" s="20" t="n">
        <f aca="false">EC68*MIN(Slot12_Cost,EE68)</f>
        <v>0</v>
      </c>
      <c r="EG68" s="20" t="n">
        <f aca="false">EC68*Slot12_SpendLike*MIN(Slot12_Cost-EF68,DY68)</f>
        <v>0</v>
      </c>
      <c r="EH68" s="20" t="n">
        <f aca="false">EF68+EG68</f>
        <v>0</v>
      </c>
      <c r="EI68" s="20" t="n">
        <f aca="false">DY68-EG68+EC68*IF(Slot12_SpendLike=1,EE68-EF68,IF(Slot12_PotFree=1,EE68,0))</f>
        <v>0</v>
      </c>
      <c r="EJ68" s="20" t="n">
        <f aca="false">DZ68+EC68*Slot12_BufPot*EE68</f>
        <v>0</v>
      </c>
      <c r="EK68" s="20" t="n">
        <f aca="false">IF(AND(EC68=1,Slot12_IsMfree=1),IF(EH68&gt;=Slot12_Cost-1,0,MAX(0,EA68-EH68)),EA68)</f>
        <v>0</v>
      </c>
      <c r="EL68" s="20" t="n">
        <f aca="false">EC68*(Slot12_Cost-EH68)</f>
        <v>0</v>
      </c>
      <c r="EM68" s="20" t="n">
        <f aca="false">IF(AND(Slot13_On=1,D68=Slot13_Age),1,0)</f>
        <v>0</v>
      </c>
      <c r="EN68" s="20" t="n">
        <f aca="false">IF(AND(Slot13_On=1,Slot13_Age&gt;D68),1,0)</f>
        <v>0</v>
      </c>
      <c r="EO68" s="20" t="n">
        <f aca="false">SI67</f>
        <v>0</v>
      </c>
      <c r="EP68" s="20" t="n">
        <f aca="false">EM68*MIN(Slot13_Cost,EO68)</f>
        <v>0</v>
      </c>
      <c r="EQ68" s="20" t="n">
        <f aca="false">EM68*Slot13_SpendLike*MIN(Slot13_Cost-EP68,EI68)</f>
        <v>0</v>
      </c>
      <c r="ER68" s="20" t="n">
        <f aca="false">EP68+EQ68</f>
        <v>0</v>
      </c>
      <c r="ES68" s="20" t="n">
        <f aca="false">EI68-EQ68+EM68*IF(Slot13_SpendLike=1,EO68-EP68,IF(Slot13_PotFree=1,EO68,0))</f>
        <v>0</v>
      </c>
      <c r="ET68" s="20" t="n">
        <f aca="false">EJ68+EM68*Slot13_BufPot*EO68</f>
        <v>0</v>
      </c>
      <c r="EU68" s="20" t="n">
        <f aca="false">IF(AND(EM68=1,Slot13_IsMfree=1),IF(ER68&gt;=Slot13_Cost-1,0,MAX(0,EK68-ER68)),EK68)</f>
        <v>0</v>
      </c>
      <c r="EV68" s="20" t="n">
        <f aca="false">EM68*(Slot13_Cost-ER68)</f>
        <v>0</v>
      </c>
      <c r="EW68" s="20" t="n">
        <f aca="false">IF(AND(Slot14_On=1,D68=Slot14_Age),1,0)</f>
        <v>0</v>
      </c>
      <c r="EX68" s="20" t="n">
        <f aca="false">IF(AND(Slot14_On=1,Slot14_Age&gt;D68),1,0)</f>
        <v>0</v>
      </c>
      <c r="EY68" s="20" t="n">
        <f aca="false">SM67</f>
        <v>0</v>
      </c>
      <c r="EZ68" s="20" t="n">
        <f aca="false">EW68*MIN(Slot14_Cost,EY68)</f>
        <v>0</v>
      </c>
      <c r="FA68" s="20" t="n">
        <f aca="false">EW68*Slot14_SpendLike*MIN(Slot14_Cost-EZ68,ES68)</f>
        <v>0</v>
      </c>
      <c r="FB68" s="20" t="n">
        <f aca="false">EZ68+FA68</f>
        <v>0</v>
      </c>
      <c r="FC68" s="20" t="n">
        <f aca="false">ES68-FA68+EW68*IF(Slot14_SpendLike=1,EY68-EZ68,IF(Slot14_PotFree=1,EY68,0))</f>
        <v>0</v>
      </c>
      <c r="FD68" s="20" t="n">
        <f aca="false">ET68+EW68*Slot14_BufPot*EY68</f>
        <v>0</v>
      </c>
      <c r="FE68" s="20" t="n">
        <f aca="false">IF(AND(EW68=1,Slot14_IsMfree=1),IF(FB68&gt;=Slot14_Cost-1,0,MAX(0,EU68-FB68)),EU68)</f>
        <v>0</v>
      </c>
      <c r="FF68" s="20" t="n">
        <f aca="false">EW68*(Slot14_Cost-FB68)</f>
        <v>0</v>
      </c>
      <c r="FG68" s="20" t="n">
        <f aca="false">IF(AND(Slot15_On=1,D68=Slot15_Age),1,0)</f>
        <v>0</v>
      </c>
      <c r="FH68" s="20" t="n">
        <f aca="false">IF(AND(Slot15_On=1,Slot15_Age&gt;D68),1,0)</f>
        <v>0</v>
      </c>
      <c r="FI68" s="20" t="n">
        <f aca="false">SQ67</f>
        <v>0</v>
      </c>
      <c r="FJ68" s="20" t="n">
        <f aca="false">FG68*MIN(Slot15_Cost,FI68)</f>
        <v>0</v>
      </c>
      <c r="FK68" s="20" t="n">
        <f aca="false">FG68*Slot15_SpendLike*MIN(Slot15_Cost-FJ68,FC68)</f>
        <v>0</v>
      </c>
      <c r="FL68" s="20" t="n">
        <f aca="false">FJ68+FK68</f>
        <v>0</v>
      </c>
      <c r="FM68" s="20" t="n">
        <f aca="false">FC68-FK68+FG68*IF(Slot15_SpendLike=1,FI68-FJ68,IF(Slot15_PotFree=1,FI68,0))</f>
        <v>0</v>
      </c>
      <c r="FN68" s="20" t="n">
        <f aca="false">FD68+FG68*Slot15_BufPot*FI68</f>
        <v>0</v>
      </c>
      <c r="FO68" s="20" t="n">
        <f aca="false">IF(AND(FG68=1,Slot15_IsMfree=1),IF(FL68&gt;=Slot15_Cost-1,0,MAX(0,FE68-FL68)),FE68)</f>
        <v>0</v>
      </c>
      <c r="FP68" s="20" t="n">
        <f aca="false">FG68*(Slot15_Cost-FL68)</f>
        <v>0</v>
      </c>
      <c r="FQ68" s="20" t="n">
        <f aca="false">IF(AND(Slot16_On=1,D68=Slot16_Age),1,0)</f>
        <v>0</v>
      </c>
      <c r="FR68" s="20" t="n">
        <f aca="false">IF(AND(Slot16_On=1,Slot16_Age&gt;D68),1,0)</f>
        <v>0</v>
      </c>
      <c r="FS68" s="20" t="n">
        <f aca="false">SU67</f>
        <v>0</v>
      </c>
      <c r="FT68" s="20" t="n">
        <f aca="false">FQ68*MIN(Slot16_Cost,FS68)</f>
        <v>0</v>
      </c>
      <c r="FU68" s="20" t="n">
        <f aca="false">FQ68*Slot16_SpendLike*MIN(Slot16_Cost-FT68,FM68)</f>
        <v>0</v>
      </c>
      <c r="FV68" s="20" t="n">
        <f aca="false">FT68+FU68</f>
        <v>0</v>
      </c>
      <c r="FW68" s="20" t="n">
        <f aca="false">FM68-FU68+FQ68*IF(Slot16_SpendLike=1,FS68-FT68,IF(Slot16_PotFree=1,FS68,0))</f>
        <v>0</v>
      </c>
      <c r="FX68" s="20" t="n">
        <f aca="false">FN68+FQ68*Slot16_BufPot*FS68</f>
        <v>0</v>
      </c>
      <c r="FY68" s="20" t="n">
        <f aca="false">IF(AND(FQ68=1,Slot16_IsMfree=1),IF(FV68&gt;=Slot16_Cost-1,0,MAX(0,FO68-FV68)),FO68)</f>
        <v>0</v>
      </c>
      <c r="FZ68" s="20" t="n">
        <f aca="false">FQ68*(Slot16_Cost-FV68)</f>
        <v>0</v>
      </c>
      <c r="GA68" s="20" t="n">
        <f aca="false">IF(AND(Slot17_On=1,D68=Slot17_Age),1,0)</f>
        <v>0</v>
      </c>
      <c r="GB68" s="20" t="n">
        <f aca="false">IF(AND(Slot17_On=1,Slot17_Age&gt;D68),1,0)</f>
        <v>0</v>
      </c>
      <c r="GC68" s="20" t="n">
        <f aca="false">SY67</f>
        <v>0</v>
      </c>
      <c r="GD68" s="20" t="n">
        <f aca="false">GA68*MIN(Slot17_Cost,GC68)</f>
        <v>0</v>
      </c>
      <c r="GE68" s="20" t="n">
        <f aca="false">GA68*Slot17_SpendLike*MIN(Slot17_Cost-GD68,FW68)</f>
        <v>0</v>
      </c>
      <c r="GF68" s="20" t="n">
        <f aca="false">GD68+GE68</f>
        <v>0</v>
      </c>
      <c r="GG68" s="20" t="n">
        <f aca="false">FW68-GE68+GA68*IF(Slot17_SpendLike=1,GC68-GD68,IF(Slot17_PotFree=1,GC68,0))</f>
        <v>0</v>
      </c>
      <c r="GH68" s="20" t="n">
        <f aca="false">FX68+GA68*Slot17_BufPot*GC68</f>
        <v>0</v>
      </c>
      <c r="GI68" s="20" t="n">
        <f aca="false">IF(AND(GA68=1,Slot17_IsMfree=1),IF(GF68&gt;=Slot17_Cost-1,0,MAX(0,FY68-GF68)),FY68)</f>
        <v>0</v>
      </c>
      <c r="GJ68" s="20" t="n">
        <f aca="false">GA68*(Slot17_Cost-GF68)</f>
        <v>0</v>
      </c>
      <c r="GK68" s="20" t="n">
        <f aca="false">IF(AND(Slot18_On=1,D68=Slot18_Age),1,0)</f>
        <v>0</v>
      </c>
      <c r="GL68" s="20" t="n">
        <f aca="false">IF(AND(Slot18_On=1,Slot18_Age&gt;D68),1,0)</f>
        <v>0</v>
      </c>
      <c r="GM68" s="20" t="n">
        <f aca="false">TC67</f>
        <v>0</v>
      </c>
      <c r="GN68" s="20" t="n">
        <f aca="false">GK68*MIN(Slot18_Cost,GM68)</f>
        <v>0</v>
      </c>
      <c r="GO68" s="20" t="n">
        <f aca="false">GK68*Slot18_SpendLike*MIN(Slot18_Cost-GN68,GG68)</f>
        <v>0</v>
      </c>
      <c r="GP68" s="20" t="n">
        <f aca="false">GN68+GO68</f>
        <v>0</v>
      </c>
      <c r="GQ68" s="20" t="n">
        <f aca="false">GG68-GO68+GK68*IF(Slot18_SpendLike=1,GM68-GN68,IF(Slot18_PotFree=1,GM68,0))</f>
        <v>0</v>
      </c>
      <c r="GR68" s="20" t="n">
        <f aca="false">GH68+GK68*Slot18_BufPot*GM68</f>
        <v>0</v>
      </c>
      <c r="GS68" s="20" t="n">
        <f aca="false">IF(AND(GK68=1,Slot18_IsMfree=1),IF(GP68&gt;=Slot18_Cost-1,0,MAX(0,GI68-GP68)),GI68)</f>
        <v>0</v>
      </c>
      <c r="GT68" s="20" t="n">
        <f aca="false">GK68*(Slot18_Cost-GP68)</f>
        <v>0</v>
      </c>
      <c r="GU68" s="20" t="n">
        <f aca="false">IF(AND(Slot19_On=1,D68=Slot19_Age),1,0)</f>
        <v>0</v>
      </c>
      <c r="GV68" s="20" t="n">
        <f aca="false">IF(AND(Slot19_On=1,Slot19_Age&gt;D68),1,0)</f>
        <v>0</v>
      </c>
      <c r="GW68" s="20" t="n">
        <f aca="false">TG67</f>
        <v>0</v>
      </c>
      <c r="GX68" s="20" t="n">
        <f aca="false">GU68*MIN(Slot19_Cost,GW68)</f>
        <v>0</v>
      </c>
      <c r="GY68" s="20" t="n">
        <f aca="false">GU68*Slot19_SpendLike*MIN(Slot19_Cost-GX68,GQ68)</f>
        <v>0</v>
      </c>
      <c r="GZ68" s="20" t="n">
        <f aca="false">GX68+GY68</f>
        <v>0</v>
      </c>
      <c r="HA68" s="20" t="n">
        <f aca="false">GQ68-GY68+GU68*IF(Slot19_SpendLike=1,GW68-GX68,IF(Slot19_PotFree=1,GW68,0))</f>
        <v>0</v>
      </c>
      <c r="HB68" s="20" t="n">
        <f aca="false">GR68+GU68*Slot19_BufPot*GW68</f>
        <v>0</v>
      </c>
      <c r="HC68" s="20" t="n">
        <f aca="false">IF(AND(GU68=1,Slot19_IsMfree=1),IF(GZ68&gt;=Slot19_Cost-1,0,MAX(0,GS68-GZ68)),GS68)</f>
        <v>0</v>
      </c>
      <c r="HD68" s="20" t="n">
        <f aca="false">GU68*(Slot19_Cost-GZ68)</f>
        <v>0</v>
      </c>
      <c r="HE68" s="20" t="n">
        <f aca="false">IF(AND(Slot20_On=1,D68=Slot20_Age),1,0)</f>
        <v>0</v>
      </c>
      <c r="HF68" s="20" t="n">
        <f aca="false">IF(AND(Slot20_On=1,Slot20_Age&gt;D68),1,0)</f>
        <v>0</v>
      </c>
      <c r="HG68" s="20" t="n">
        <f aca="false">TK67</f>
        <v>0</v>
      </c>
      <c r="HH68" s="20" t="n">
        <f aca="false">HE68*MIN(Slot20_Cost,HG68)</f>
        <v>0</v>
      </c>
      <c r="HI68" s="20" t="n">
        <f aca="false">HE68*Slot20_SpendLike*MIN(Slot20_Cost-HH68,HA68)</f>
        <v>0</v>
      </c>
      <c r="HJ68" s="20" t="n">
        <f aca="false">HH68+HI68</f>
        <v>0</v>
      </c>
      <c r="HK68" s="20" t="n">
        <f aca="false">HA68-HI68+HE68*IF(Slot20_SpendLike=1,HG68-HH68,IF(Slot20_PotFree=1,HG68,0))</f>
        <v>0</v>
      </c>
      <c r="HL68" s="20" t="n">
        <f aca="false">HB68+HE68*Slot20_BufPot*HG68</f>
        <v>0</v>
      </c>
      <c r="HM68" s="20" t="n">
        <f aca="false">IF(AND(HE68=1,Slot20_IsMfree=1),IF(HJ68&gt;=Slot20_Cost-1,0,MAX(0,HC68-HJ68)),HC68)</f>
        <v>0</v>
      </c>
      <c r="HN68" s="20" t="n">
        <f aca="false">HE68*(Slot20_Cost-HJ68)</f>
        <v>0</v>
      </c>
      <c r="HO68" s="20" t="n">
        <f aca="false">V68*Slot1_SpendLike*AA68+AG68*Slot2_SpendLike*AL68+AQ68*Slot3_SpendLike*AV68+BA68*Slot4_SpendLike*BF68+BK68*Slot5_SpendLike*BP68+BU68*Slot6_SpendLike*BZ68+CE68*Slot7_SpendLike*CJ68+CO68*Slot8_SpendLike*CT68+CY68*Slot9_SpendLike*DD68+DI68*Slot10_SpendLike*DN68+DS68*Slot11_SpendLike*DX68+EC68*Slot12_SpendLike*EH68+EM68*Slot13_SpendLike*ER68+EW68*Slot14_SpendLike*FB68+FG68*Slot15_SpendLike*FL68+FQ68*Slot16_SpendLike*FV68+GA68*Slot17_SpendLike*GF68+GK68*Slot18_SpendLike*GP68+GU68*Slot19_SpendLike*GZ68+HE68*Slot20_SpendLike*HJ68</f>
        <v>0</v>
      </c>
      <c r="HP68" s="20" t="n">
        <f aca="false">AE68+AP68+AZ68+BJ68+BT68+CD68+CN68+CX68+DH68+DR68+EB68+EL68+EV68+FF68+FP68+FZ68+GJ68+GT68+HD68+HN68</f>
        <v>0</v>
      </c>
      <c r="HQ68" s="20" t="n">
        <f aca="false">V68*Slot1_Cost+AG68*Slot2_Cost+AQ68*Slot3_Cost+BA68*Slot4_Cost+BK68*Slot5_Cost+BU68*Slot6_Cost+CE68*Slot7_Cost+CO68*Slot8_Cost+CY68*Slot9_Cost+DI68*Slot10_Cost+DS68*Slot11_Cost+EC68*Slot12_Cost+EM68*Slot13_Cost+EW68*Slot14_Cost+FG68*Slot15_Cost+FQ68*Slot16_Cost+GA68*Slot17_Cost+GK68*Slot18_Cost+GU68*Slot19_Cost+HE68*Slot20_Cost</f>
        <v>0</v>
      </c>
      <c r="HR68" s="20" t="n">
        <f aca="false">HM68</f>
        <v>0</v>
      </c>
      <c r="HS68" s="20" t="n">
        <f aca="false">H68-I68-S68</f>
        <v>-63210.7642738697</v>
      </c>
      <c r="HT68" s="20" t="n">
        <f aca="false">IF(B68=0,IF(AND(Has_q6=1,In_q6=4),PR_ShareVaries*(MAX(0,HS68)/12),MIN(IF(Has_q6=1,CHOOSE(In_q6+1,PR_SaveB1,PR_SaveB2,PR_SaveB3,PR_SaveB4,0),AS_NoAnswer),AS_SaveShare*(MAX(0,HS68)/12))),HT67)</f>
        <v>62.3316893520437</v>
      </c>
      <c r="HU68" s="20" t="n">
        <f aca="false">IF(HS68&gt;=0,1,0)</f>
        <v>0</v>
      </c>
      <c r="HV68" s="20" t="n">
        <f aca="false">MAX(0,HS68/12/F68)</f>
        <v>0</v>
      </c>
      <c r="HW68" s="20" t="n">
        <f aca="false">IF(AND(Has_q6=1,In_q6=4),PR_ShareVaries*(HV68),MIN(IF(Has_q6=1,CHOOSE(In_q6+1,PR_SaveB1,PR_SaveB2,PR_SaveB3,PR_SaveB4,0),AS_NoAnswer),AS_SaveShare*(HV68)))</f>
        <v>0</v>
      </c>
      <c r="HX68" s="20" t="n">
        <f aca="false">IF(Has_saveM=1,IF(In_saveUp="Yes",1,IF(In_saveUp="No",0,IF(In_saveM&gt;=HT68-0.5,1,0))),0)</f>
        <v>0</v>
      </c>
      <c r="HY68" s="20" t="n">
        <f aca="false">IF(Has_saveM=1,MIN(HV68,IF(HX68=1,MAX(In_saveM,HW68),MIN(In_saveM,HW68))),HW68)</f>
        <v>0</v>
      </c>
      <c r="HZ68" s="20" t="n">
        <f aca="false">IF(G68=1,HY68*12*F68,0)</f>
        <v>0</v>
      </c>
      <c r="IA68" s="20" t="n">
        <f aca="false">MAX(0,HZ68+IF(AND(WI_Retire=0,WI_M&lt;0,G68=1),WI_M*12*F68,0))</f>
        <v>0</v>
      </c>
      <c r="IB68" s="20" t="n">
        <f aca="false">Slot1_IsWG*W68+Slot2_IsWG*AH68+Slot3_IsWG*AR68+Slot4_IsWG*BB68+Slot5_IsWG*BL68+Slot6_IsWG*BV68+Slot7_IsWG*CF68+Slot8_IsWG*CP68+Slot9_IsWG*CZ68+Slot10_IsWG*DJ68+Slot11_IsWG*DT68+Slot12_IsWG*ED68+Slot13_IsWG*EN68+Slot14_IsWG*EX68+Slot15_IsWG*FH68+Slot16_IsWG*FR68+Slot17_IsWG*GB68+Slot18_IsWG*GL68+Slot19_IsWG*GV68+Slot20_IsWG*HF68</f>
        <v>0</v>
      </c>
      <c r="IC68" s="20" t="n">
        <f aca="false">IF(AND(WI_Retire=0,WI_M&gt;0,G68=1,IB68&gt;=1),WI_M*12*F68,0)</f>
        <v>0</v>
      </c>
      <c r="ID68" s="20" t="n">
        <f aca="false">IF(HU68=1,MIN(IA68,HS68),0)</f>
        <v>0</v>
      </c>
      <c r="IE68" s="20" t="n">
        <f aca="false">IF(HU68=1,MIN(IC68,HS68-ID68),0)</f>
        <v>0</v>
      </c>
      <c r="IF68" s="20" t="n">
        <f aca="false">IF(W68=1,IF(ABS((1+AS_Wage)/(1+Slot1_Rate)-1)&lt;0.000000000001,(Slot1_Age-D68)*(1+Slot1_Rate)^(Slot1_Age-D68),(1+Slot1_Rate)^(Slot1_Age-D68)*(1-((1+AS_Wage)/(1+Slot1_Rate))^(Slot1_Age-D68))/(1-(1+AS_Wage)/(1+Slot1_Rate))),1)</f>
        <v>1</v>
      </c>
      <c r="IG68" s="20" t="n">
        <f aca="false">IF(AND(HU68=1,IE68&gt;0,Slot1_IsWG=1,W68=1),MAX(0,(Slot1_Cost-X68*(1+Slot1_Rate)^(Slot1_Age-D68))/IF68),0)</f>
        <v>0</v>
      </c>
      <c r="IH68" s="20" t="n">
        <f aca="false">IF(AND(HU68=1,IE68&gt;0,Slot1_IsWG=1,W68=1),MIN(IE68,IG68),0)</f>
        <v>0</v>
      </c>
      <c r="II68" s="20" t="n">
        <f aca="false">X68+IH68</f>
        <v>0</v>
      </c>
      <c r="IJ68" s="20" t="n">
        <f aca="false">IF(W68=1,MAX(0,(Slot1_Cost-II68*(1+Slot1_Rate)^(Slot1_Age-D68))/IF68),0)</f>
        <v>0</v>
      </c>
      <c r="IK68" s="20" t="n">
        <f aca="false">IF(W68=1,MAX(0,(Slot1_Cost-X68*(1+Slot1_Rate)^(Slot1_Age-D68))/IF68),0)</f>
        <v>0</v>
      </c>
      <c r="IL68" s="20" t="n">
        <f aca="false">IF(AND(HU68=1,W68=1),MIN(ID68,IJ68),0)</f>
        <v>0</v>
      </c>
      <c r="IM68" s="20" t="n">
        <f aca="false">ID68-IL68</f>
        <v>0</v>
      </c>
      <c r="IN68" s="20" t="n">
        <f aca="false">IF(AH68=1,IF(ABS((1+AS_Wage)/(1+Slot2_Rate)-1)&lt;0.000000000001,(Slot2_Age-D68)*(1+Slot2_Rate)^(Slot2_Age-D68),(1+Slot2_Rate)^(Slot2_Age-D68)*(1-((1+AS_Wage)/(1+Slot2_Rate))^(Slot2_Age-D68))/(1-(1+AS_Wage)/(1+Slot2_Rate))),1)</f>
        <v>1</v>
      </c>
      <c r="IO68" s="20" t="n">
        <f aca="false">IF(AND(HU68=1,IE68&gt;0,Slot2_IsWG=1,AH68=1),MAX(0,(Slot2_Cost-AI68*(1+Slot2_Rate)^(Slot2_Age-D68))/IN68),0)</f>
        <v>0</v>
      </c>
      <c r="IP68" s="20" t="n">
        <f aca="false">IF(AND(HU68=1,IE68&gt;0,Slot2_IsWG=1,AH68=1),MIN(IE68,IO68),0)</f>
        <v>0</v>
      </c>
      <c r="IQ68" s="20" t="n">
        <f aca="false">AI68+IP68</f>
        <v>0</v>
      </c>
      <c r="IR68" s="20" t="n">
        <f aca="false">IF(AH68=1,MAX(0,(Slot2_Cost-IQ68*(1+Slot2_Rate)^(Slot2_Age-D68))/IN68),0)</f>
        <v>0</v>
      </c>
      <c r="IS68" s="20" t="n">
        <f aca="false">IF(AH68=1,MAX(0,(Slot2_Cost-AI68*(1+Slot2_Rate)^(Slot2_Age-D68))/IN68),0)</f>
        <v>0</v>
      </c>
      <c r="IT68" s="20" t="n">
        <f aca="false">IF(AND(HU68=1,AH68=1),MIN(IM68,IR68),0)</f>
        <v>0</v>
      </c>
      <c r="IU68" s="20" t="n">
        <f aca="false">IM68-IT68</f>
        <v>0</v>
      </c>
      <c r="IV68" s="20" t="n">
        <f aca="false">IF(AR68=1,IF(ABS((1+AS_Wage)/(1+Slot3_Rate)-1)&lt;0.000000000001,(Slot3_Age-D68)*(1+Slot3_Rate)^(Slot3_Age-D68),(1+Slot3_Rate)^(Slot3_Age-D68)*(1-((1+AS_Wage)/(1+Slot3_Rate))^(Slot3_Age-D68))/(1-(1+AS_Wage)/(1+Slot3_Rate))),1)</f>
        <v>1</v>
      </c>
      <c r="IW68" s="20" t="n">
        <f aca="false">IF(AND(HU68=1,IE68&gt;0,Slot3_IsWG=1,AR68=1),MAX(0,(Slot3_Cost-AS68*(1+Slot3_Rate)^(Slot3_Age-D68))/IV68),0)</f>
        <v>0</v>
      </c>
      <c r="IX68" s="20" t="n">
        <f aca="false">IF(AND(HU68=1,IE68&gt;0,Slot3_IsWG=1,AR68=1),MIN(IE68,IW68),0)</f>
        <v>0</v>
      </c>
      <c r="IY68" s="20" t="n">
        <f aca="false">AS68+IX68</f>
        <v>0</v>
      </c>
      <c r="IZ68" s="20" t="n">
        <f aca="false">IF(AR68=1,MAX(0,(Slot3_Cost-IY68*(1+Slot3_Rate)^(Slot3_Age-D68))/IV68),0)</f>
        <v>0</v>
      </c>
      <c r="JA68" s="20" t="n">
        <f aca="false">IF(AR68=1,MAX(0,(Slot3_Cost-AS68*(1+Slot3_Rate)^(Slot3_Age-D68))/IV68),0)</f>
        <v>0</v>
      </c>
      <c r="JB68" s="20" t="n">
        <f aca="false">IF(AND(HU68=1,AR68=1),MIN(IU68,IZ68),0)</f>
        <v>0</v>
      </c>
      <c r="JC68" s="20" t="n">
        <f aca="false">IU68-JB68</f>
        <v>0</v>
      </c>
      <c r="JD68" s="20" t="n">
        <f aca="false">IF(BB68=1,IF(ABS((1+AS_Wage)/(1+Slot4_Rate)-1)&lt;0.000000000001,(Slot4_Age-D68)*(1+Slot4_Rate)^(Slot4_Age-D68),(1+Slot4_Rate)^(Slot4_Age-D68)*(1-((1+AS_Wage)/(1+Slot4_Rate))^(Slot4_Age-D68))/(1-(1+AS_Wage)/(1+Slot4_Rate))),1)</f>
        <v>1</v>
      </c>
      <c r="JE68" s="20" t="n">
        <f aca="false">IF(AND(HU68=1,IE68&gt;0,Slot4_IsWG=1,BB68=1),MAX(0,(Slot4_Cost-BC68*(1+Slot4_Rate)^(Slot4_Age-D68))/JD68),0)</f>
        <v>0</v>
      </c>
      <c r="JF68" s="20" t="n">
        <f aca="false">IF(AND(HU68=1,IE68&gt;0,Slot4_IsWG=1,BB68=1),MIN(IE68,JE68),0)</f>
        <v>0</v>
      </c>
      <c r="JG68" s="20" t="n">
        <f aca="false">BC68+JF68</f>
        <v>0</v>
      </c>
      <c r="JH68" s="20" t="n">
        <f aca="false">IF(BB68=1,MAX(0,(Slot4_Cost-JG68*(1+Slot4_Rate)^(Slot4_Age-D68))/JD68),0)</f>
        <v>0</v>
      </c>
      <c r="JI68" s="20" t="n">
        <f aca="false">IF(BB68=1,MAX(0,(Slot4_Cost-BC68*(1+Slot4_Rate)^(Slot4_Age-D68))/JD68),0)</f>
        <v>0</v>
      </c>
      <c r="JJ68" s="20" t="n">
        <f aca="false">IF(AND(HU68=1,BB68=1),MIN(JC68,JH68),0)</f>
        <v>0</v>
      </c>
      <c r="JK68" s="20" t="n">
        <f aca="false">JC68-JJ68</f>
        <v>0</v>
      </c>
      <c r="JL68" s="20" t="n">
        <f aca="false">IF(BL68=1,IF(ABS((1+AS_Wage)/(1+Slot5_Rate)-1)&lt;0.000000000001,(Slot5_Age-D68)*(1+Slot5_Rate)^(Slot5_Age-D68),(1+Slot5_Rate)^(Slot5_Age-D68)*(1-((1+AS_Wage)/(1+Slot5_Rate))^(Slot5_Age-D68))/(1-(1+AS_Wage)/(1+Slot5_Rate))),1)</f>
        <v>1</v>
      </c>
      <c r="JM68" s="20" t="n">
        <f aca="false">IF(AND(HU68=1,IE68&gt;0,Slot5_IsWG=1,BL68=1),MAX(0,(Slot5_Cost-BM68*(1+Slot5_Rate)^(Slot5_Age-D68))/JL68),0)</f>
        <v>0</v>
      </c>
      <c r="JN68" s="20" t="n">
        <f aca="false">IF(AND(HU68=1,IE68&gt;0,Slot5_IsWG=1,BL68=1),MIN(IE68,JM68),0)</f>
        <v>0</v>
      </c>
      <c r="JO68" s="20" t="n">
        <f aca="false">BM68+JN68</f>
        <v>0</v>
      </c>
      <c r="JP68" s="20" t="n">
        <f aca="false">IF(BL68=1,MAX(0,(Slot5_Cost-JO68*(1+Slot5_Rate)^(Slot5_Age-D68))/JL68),0)</f>
        <v>0</v>
      </c>
      <c r="JQ68" s="20" t="n">
        <f aca="false">IF(BL68=1,MAX(0,(Slot5_Cost-BM68*(1+Slot5_Rate)^(Slot5_Age-D68))/JL68),0)</f>
        <v>0</v>
      </c>
      <c r="JR68" s="20" t="n">
        <f aca="false">IF(AND(HU68=1,BL68=1),MIN(JK68,JP68),0)</f>
        <v>0</v>
      </c>
      <c r="JS68" s="20" t="n">
        <f aca="false">JK68-JR68</f>
        <v>0</v>
      </c>
      <c r="JT68" s="20" t="n">
        <f aca="false">IF(BV68=1,IF(ABS((1+AS_Wage)/(1+Slot6_Rate)-1)&lt;0.000000000001,(Slot6_Age-D68)*(1+Slot6_Rate)^(Slot6_Age-D68),(1+Slot6_Rate)^(Slot6_Age-D68)*(1-((1+AS_Wage)/(1+Slot6_Rate))^(Slot6_Age-D68))/(1-(1+AS_Wage)/(1+Slot6_Rate))),1)</f>
        <v>1</v>
      </c>
      <c r="JU68" s="20" t="n">
        <f aca="false">IF(AND(HU68=1,IE68&gt;0,Slot6_IsWG=1,BV68=1),MAX(0,(Slot6_Cost-BW68*(1+Slot6_Rate)^(Slot6_Age-D68))/JT68),0)</f>
        <v>0</v>
      </c>
      <c r="JV68" s="20" t="n">
        <f aca="false">IF(AND(HU68=1,IE68&gt;0,Slot6_IsWG=1,BV68=1),MIN(IE68,JU68),0)</f>
        <v>0</v>
      </c>
      <c r="JW68" s="20" t="n">
        <f aca="false">BW68+JV68</f>
        <v>0</v>
      </c>
      <c r="JX68" s="20" t="n">
        <f aca="false">IF(BV68=1,MAX(0,(Slot6_Cost-JW68*(1+Slot6_Rate)^(Slot6_Age-D68))/JT68),0)</f>
        <v>0</v>
      </c>
      <c r="JY68" s="20" t="n">
        <f aca="false">IF(BV68=1,MAX(0,(Slot6_Cost-BW68*(1+Slot6_Rate)^(Slot6_Age-D68))/JT68),0)</f>
        <v>0</v>
      </c>
      <c r="JZ68" s="20" t="n">
        <f aca="false">IF(AND(HU68=1,BV68=1),MIN(JS68,JX68),0)</f>
        <v>0</v>
      </c>
      <c r="KA68" s="20" t="n">
        <f aca="false">JS68-JZ68</f>
        <v>0</v>
      </c>
      <c r="KB68" s="20" t="n">
        <f aca="false">IF(CF68=1,IF(ABS((1+AS_Wage)/(1+Slot7_Rate)-1)&lt;0.000000000001,(Slot7_Age-D68)*(1+Slot7_Rate)^(Slot7_Age-D68),(1+Slot7_Rate)^(Slot7_Age-D68)*(1-((1+AS_Wage)/(1+Slot7_Rate))^(Slot7_Age-D68))/(1-(1+AS_Wage)/(1+Slot7_Rate))),1)</f>
        <v>1</v>
      </c>
      <c r="KC68" s="20" t="n">
        <f aca="false">IF(AND(HU68=1,IE68&gt;0,Slot7_IsWG=1,CF68=1),MAX(0,(Slot7_Cost-CG68*(1+Slot7_Rate)^(Slot7_Age-D68))/KB68),0)</f>
        <v>0</v>
      </c>
      <c r="KD68" s="20" t="n">
        <f aca="false">IF(AND(HU68=1,IE68&gt;0,Slot7_IsWG=1,CF68=1),MIN(IE68,KC68),0)</f>
        <v>0</v>
      </c>
      <c r="KE68" s="20" t="n">
        <f aca="false">CG68+KD68</f>
        <v>0</v>
      </c>
      <c r="KF68" s="20" t="n">
        <f aca="false">IF(CF68=1,MAX(0,(Slot7_Cost-KE68*(1+Slot7_Rate)^(Slot7_Age-D68))/KB68),0)</f>
        <v>0</v>
      </c>
      <c r="KG68" s="20" t="n">
        <f aca="false">IF(CF68=1,MAX(0,(Slot7_Cost-CG68*(1+Slot7_Rate)^(Slot7_Age-D68))/KB68),0)</f>
        <v>0</v>
      </c>
      <c r="KH68" s="20" t="n">
        <f aca="false">IF(AND(HU68=1,CF68=1),MIN(KA68,KF68),0)</f>
        <v>0</v>
      </c>
      <c r="KI68" s="20" t="n">
        <f aca="false">KA68-KH68</f>
        <v>0</v>
      </c>
      <c r="KJ68" s="20" t="n">
        <f aca="false">IF(CP68=1,IF(ABS((1+AS_Wage)/(1+Slot8_Rate)-1)&lt;0.000000000001,(Slot8_Age-D68)*(1+Slot8_Rate)^(Slot8_Age-D68),(1+Slot8_Rate)^(Slot8_Age-D68)*(1-((1+AS_Wage)/(1+Slot8_Rate))^(Slot8_Age-D68))/(1-(1+AS_Wage)/(1+Slot8_Rate))),1)</f>
        <v>1</v>
      </c>
      <c r="KK68" s="20" t="n">
        <f aca="false">IF(AND(HU68=1,IE68&gt;0,Slot8_IsWG=1,CP68=1),MAX(0,(Slot8_Cost-CQ68*(1+Slot8_Rate)^(Slot8_Age-D68))/KJ68),0)</f>
        <v>0</v>
      </c>
      <c r="KL68" s="20" t="n">
        <f aca="false">IF(AND(HU68=1,IE68&gt;0,Slot8_IsWG=1,CP68=1),MIN(IE68,KK68),0)</f>
        <v>0</v>
      </c>
      <c r="KM68" s="20" t="n">
        <f aca="false">CQ68+KL68</f>
        <v>0</v>
      </c>
      <c r="KN68" s="20" t="n">
        <f aca="false">IF(CP68=1,MAX(0,(Slot8_Cost-KM68*(1+Slot8_Rate)^(Slot8_Age-D68))/KJ68),0)</f>
        <v>0</v>
      </c>
      <c r="KO68" s="20" t="n">
        <f aca="false">IF(CP68=1,MAX(0,(Slot8_Cost-CQ68*(1+Slot8_Rate)^(Slot8_Age-D68))/KJ68),0)</f>
        <v>0</v>
      </c>
      <c r="KP68" s="20" t="n">
        <f aca="false">IF(AND(HU68=1,CP68=1),MIN(KI68,KN68),0)</f>
        <v>0</v>
      </c>
      <c r="KQ68" s="20" t="n">
        <f aca="false">KI68-KP68</f>
        <v>0</v>
      </c>
      <c r="KR68" s="20" t="n">
        <f aca="false">IF(CZ68=1,IF(ABS((1+AS_Wage)/(1+Slot9_Rate)-1)&lt;0.000000000001,(Slot9_Age-D68)*(1+Slot9_Rate)^(Slot9_Age-D68),(1+Slot9_Rate)^(Slot9_Age-D68)*(1-((1+AS_Wage)/(1+Slot9_Rate))^(Slot9_Age-D68))/(1-(1+AS_Wage)/(1+Slot9_Rate))),1)</f>
        <v>1</v>
      </c>
      <c r="KS68" s="20" t="n">
        <f aca="false">IF(AND(HU68=1,IE68&gt;0,Slot9_IsWG=1,CZ68=1),MAX(0,(Slot9_Cost-DA68*(1+Slot9_Rate)^(Slot9_Age-D68))/KR68),0)</f>
        <v>0</v>
      </c>
      <c r="KT68" s="20" t="n">
        <f aca="false">IF(AND(HU68=1,IE68&gt;0,Slot9_IsWG=1,CZ68=1),MIN(IE68,KS68),0)</f>
        <v>0</v>
      </c>
      <c r="KU68" s="20" t="n">
        <f aca="false">DA68+KT68</f>
        <v>0</v>
      </c>
      <c r="KV68" s="20" t="n">
        <f aca="false">IF(CZ68=1,MAX(0,(Slot9_Cost-KU68*(1+Slot9_Rate)^(Slot9_Age-D68))/KR68),0)</f>
        <v>0</v>
      </c>
      <c r="KW68" s="20" t="n">
        <f aca="false">IF(CZ68=1,MAX(0,(Slot9_Cost-DA68*(1+Slot9_Rate)^(Slot9_Age-D68))/KR68),0)</f>
        <v>0</v>
      </c>
      <c r="KX68" s="20" t="n">
        <f aca="false">IF(AND(HU68=1,CZ68=1),MIN(KQ68,KV68),0)</f>
        <v>0</v>
      </c>
      <c r="KY68" s="20" t="n">
        <f aca="false">KQ68-KX68</f>
        <v>0</v>
      </c>
      <c r="KZ68" s="20" t="n">
        <f aca="false">IF(DJ68=1,IF(ABS((1+AS_Wage)/(1+Slot10_Rate)-1)&lt;0.000000000001,(Slot10_Age-D68)*(1+Slot10_Rate)^(Slot10_Age-D68),(1+Slot10_Rate)^(Slot10_Age-D68)*(1-((1+AS_Wage)/(1+Slot10_Rate))^(Slot10_Age-D68))/(1-(1+AS_Wage)/(1+Slot10_Rate))),1)</f>
        <v>1</v>
      </c>
      <c r="LA68" s="20" t="n">
        <f aca="false">IF(AND(HU68=1,IE68&gt;0,Slot10_IsWG=1,DJ68=1),MAX(0,(Slot10_Cost-DK68*(1+Slot10_Rate)^(Slot10_Age-D68))/KZ68),0)</f>
        <v>0</v>
      </c>
      <c r="LB68" s="20" t="n">
        <f aca="false">IF(AND(HU68=1,IE68&gt;0,Slot10_IsWG=1,DJ68=1),MIN(IE68,LA68),0)</f>
        <v>0</v>
      </c>
      <c r="LC68" s="20" t="n">
        <f aca="false">DK68+LB68</f>
        <v>0</v>
      </c>
      <c r="LD68" s="20" t="n">
        <f aca="false">IF(DJ68=1,MAX(0,(Slot10_Cost-LC68*(1+Slot10_Rate)^(Slot10_Age-D68))/KZ68),0)</f>
        <v>0</v>
      </c>
      <c r="LE68" s="20" t="n">
        <f aca="false">IF(DJ68=1,MAX(0,(Slot10_Cost-DK68*(1+Slot10_Rate)^(Slot10_Age-D68))/KZ68),0)</f>
        <v>0</v>
      </c>
      <c r="LF68" s="20" t="n">
        <f aca="false">IF(AND(HU68=1,DJ68=1),MIN(KY68,LD68),0)</f>
        <v>0</v>
      </c>
      <c r="LG68" s="20" t="n">
        <f aca="false">KY68-LF68</f>
        <v>0</v>
      </c>
      <c r="LH68" s="20" t="n">
        <f aca="false">IF(DT68=1,IF(ABS((1+AS_Wage)/(1+Slot11_Rate)-1)&lt;0.000000000001,(Slot11_Age-D68)*(1+Slot11_Rate)^(Slot11_Age-D68),(1+Slot11_Rate)^(Slot11_Age-D68)*(1-((1+AS_Wage)/(1+Slot11_Rate))^(Slot11_Age-D68))/(1-(1+AS_Wage)/(1+Slot11_Rate))),1)</f>
        <v>1</v>
      </c>
      <c r="LI68" s="20" t="n">
        <f aca="false">IF(AND(HU68=1,IE68&gt;0,Slot11_IsWG=1,DT68=1),MAX(0,(Slot11_Cost-DU68*(1+Slot11_Rate)^(Slot11_Age-D68))/LH68),0)</f>
        <v>0</v>
      </c>
      <c r="LJ68" s="20" t="n">
        <f aca="false">IF(AND(HU68=1,IE68&gt;0,Slot11_IsWG=1,DT68=1),MIN(IE68,LI68),0)</f>
        <v>0</v>
      </c>
      <c r="LK68" s="20" t="n">
        <f aca="false">DU68+LJ68</f>
        <v>0</v>
      </c>
      <c r="LL68" s="20" t="n">
        <f aca="false">IF(DT68=1,MAX(0,(Slot11_Cost-LK68*(1+Slot11_Rate)^(Slot11_Age-D68))/LH68),0)</f>
        <v>0</v>
      </c>
      <c r="LM68" s="20" t="n">
        <f aca="false">IF(DT68=1,MAX(0,(Slot11_Cost-DU68*(1+Slot11_Rate)^(Slot11_Age-D68))/LH68),0)</f>
        <v>0</v>
      </c>
      <c r="LN68" s="20" t="n">
        <f aca="false">IF(AND(HU68=1,DT68=1),MIN(LG68,LL68),0)</f>
        <v>0</v>
      </c>
      <c r="LO68" s="20" t="n">
        <f aca="false">LG68-LN68</f>
        <v>0</v>
      </c>
      <c r="LP68" s="20" t="n">
        <f aca="false">IF(ED68=1,IF(ABS((1+AS_Wage)/(1+Slot12_Rate)-1)&lt;0.000000000001,(Slot12_Age-D68)*(1+Slot12_Rate)^(Slot12_Age-D68),(1+Slot12_Rate)^(Slot12_Age-D68)*(1-((1+AS_Wage)/(1+Slot12_Rate))^(Slot12_Age-D68))/(1-(1+AS_Wage)/(1+Slot12_Rate))),1)</f>
        <v>1</v>
      </c>
      <c r="LQ68" s="20" t="n">
        <f aca="false">IF(AND(HU68=1,IE68&gt;0,Slot12_IsWG=1,ED68=1),MAX(0,(Slot12_Cost-EE68*(1+Slot12_Rate)^(Slot12_Age-D68))/LP68),0)</f>
        <v>0</v>
      </c>
      <c r="LR68" s="20" t="n">
        <f aca="false">IF(AND(HU68=1,IE68&gt;0,Slot12_IsWG=1,ED68=1),MIN(IE68,LQ68),0)</f>
        <v>0</v>
      </c>
      <c r="LS68" s="20" t="n">
        <f aca="false">EE68+LR68</f>
        <v>0</v>
      </c>
      <c r="LT68" s="20" t="n">
        <f aca="false">IF(ED68=1,MAX(0,(Slot12_Cost-LS68*(1+Slot12_Rate)^(Slot12_Age-D68))/LP68),0)</f>
        <v>0</v>
      </c>
      <c r="LU68" s="20" t="n">
        <f aca="false">IF(ED68=1,MAX(0,(Slot12_Cost-EE68*(1+Slot12_Rate)^(Slot12_Age-D68))/LP68),0)</f>
        <v>0</v>
      </c>
      <c r="LV68" s="20" t="n">
        <f aca="false">IF(AND(HU68=1,ED68=1),MIN(LO68,LT68),0)</f>
        <v>0</v>
      </c>
      <c r="LW68" s="20" t="n">
        <f aca="false">LO68-LV68</f>
        <v>0</v>
      </c>
      <c r="LX68" s="20" t="n">
        <f aca="false">IF(EN68=1,IF(ABS((1+AS_Wage)/(1+Slot13_Rate)-1)&lt;0.000000000001,(Slot13_Age-D68)*(1+Slot13_Rate)^(Slot13_Age-D68),(1+Slot13_Rate)^(Slot13_Age-D68)*(1-((1+AS_Wage)/(1+Slot13_Rate))^(Slot13_Age-D68))/(1-(1+AS_Wage)/(1+Slot13_Rate))),1)</f>
        <v>1</v>
      </c>
      <c r="LY68" s="20" t="n">
        <f aca="false">IF(AND(HU68=1,IE68&gt;0,Slot13_IsWG=1,EN68=1),MAX(0,(Slot13_Cost-EO68*(1+Slot13_Rate)^(Slot13_Age-D68))/LX68),0)</f>
        <v>0</v>
      </c>
      <c r="LZ68" s="20" t="n">
        <f aca="false">IF(AND(HU68=1,IE68&gt;0,Slot13_IsWG=1,EN68=1),MIN(IE68,LY68),0)</f>
        <v>0</v>
      </c>
      <c r="MA68" s="20" t="n">
        <f aca="false">EO68+LZ68</f>
        <v>0</v>
      </c>
      <c r="MB68" s="20" t="n">
        <f aca="false">IF(EN68=1,MAX(0,(Slot13_Cost-MA68*(1+Slot13_Rate)^(Slot13_Age-D68))/LX68),0)</f>
        <v>0</v>
      </c>
      <c r="MC68" s="20" t="n">
        <f aca="false">IF(EN68=1,MAX(0,(Slot13_Cost-EO68*(1+Slot13_Rate)^(Slot13_Age-D68))/LX68),0)</f>
        <v>0</v>
      </c>
      <c r="MD68" s="20" t="n">
        <f aca="false">IF(AND(HU68=1,EN68=1),MIN(LW68,MB68),0)</f>
        <v>0</v>
      </c>
      <c r="ME68" s="20" t="n">
        <f aca="false">LW68-MD68</f>
        <v>0</v>
      </c>
      <c r="MF68" s="20" t="n">
        <f aca="false">IF(EX68=1,IF(ABS((1+AS_Wage)/(1+Slot14_Rate)-1)&lt;0.000000000001,(Slot14_Age-D68)*(1+Slot14_Rate)^(Slot14_Age-D68),(1+Slot14_Rate)^(Slot14_Age-D68)*(1-((1+AS_Wage)/(1+Slot14_Rate))^(Slot14_Age-D68))/(1-(1+AS_Wage)/(1+Slot14_Rate))),1)</f>
        <v>1</v>
      </c>
      <c r="MG68" s="20" t="n">
        <f aca="false">IF(AND(HU68=1,IE68&gt;0,Slot14_IsWG=1,EX68=1),MAX(0,(Slot14_Cost-EY68*(1+Slot14_Rate)^(Slot14_Age-D68))/MF68),0)</f>
        <v>0</v>
      </c>
      <c r="MH68" s="20" t="n">
        <f aca="false">IF(AND(HU68=1,IE68&gt;0,Slot14_IsWG=1,EX68=1),MIN(IE68,MG68),0)</f>
        <v>0</v>
      </c>
      <c r="MI68" s="20" t="n">
        <f aca="false">EY68+MH68</f>
        <v>0</v>
      </c>
      <c r="MJ68" s="20" t="n">
        <f aca="false">IF(EX68=1,MAX(0,(Slot14_Cost-MI68*(1+Slot14_Rate)^(Slot14_Age-D68))/MF68),0)</f>
        <v>0</v>
      </c>
      <c r="MK68" s="20" t="n">
        <f aca="false">IF(EX68=1,MAX(0,(Slot14_Cost-EY68*(1+Slot14_Rate)^(Slot14_Age-D68))/MF68),0)</f>
        <v>0</v>
      </c>
      <c r="ML68" s="20" t="n">
        <f aca="false">IF(AND(HU68=1,EX68=1),MIN(ME68,MJ68),0)</f>
        <v>0</v>
      </c>
      <c r="MM68" s="20" t="n">
        <f aca="false">ME68-ML68</f>
        <v>0</v>
      </c>
      <c r="MN68" s="20" t="n">
        <f aca="false">IF(FH68=1,IF(ABS((1+AS_Wage)/(1+Slot15_Rate)-1)&lt;0.000000000001,(Slot15_Age-D68)*(1+Slot15_Rate)^(Slot15_Age-D68),(1+Slot15_Rate)^(Slot15_Age-D68)*(1-((1+AS_Wage)/(1+Slot15_Rate))^(Slot15_Age-D68))/(1-(1+AS_Wage)/(1+Slot15_Rate))),1)</f>
        <v>1</v>
      </c>
      <c r="MO68" s="20" t="n">
        <f aca="false">IF(AND(HU68=1,IE68&gt;0,Slot15_IsWG=1,FH68=1),MAX(0,(Slot15_Cost-FI68*(1+Slot15_Rate)^(Slot15_Age-D68))/MN68),0)</f>
        <v>0</v>
      </c>
      <c r="MP68" s="20" t="n">
        <f aca="false">IF(AND(HU68=1,IE68&gt;0,Slot15_IsWG=1,FH68=1),MIN(IE68,MO68),0)</f>
        <v>0</v>
      </c>
      <c r="MQ68" s="20" t="n">
        <f aca="false">FI68+MP68</f>
        <v>0</v>
      </c>
      <c r="MR68" s="20" t="n">
        <f aca="false">IF(FH68=1,MAX(0,(Slot15_Cost-MQ68*(1+Slot15_Rate)^(Slot15_Age-D68))/MN68),0)</f>
        <v>0</v>
      </c>
      <c r="MS68" s="20" t="n">
        <f aca="false">IF(FH68=1,MAX(0,(Slot15_Cost-FI68*(1+Slot15_Rate)^(Slot15_Age-D68))/MN68),0)</f>
        <v>0</v>
      </c>
      <c r="MT68" s="20" t="n">
        <f aca="false">IF(AND(HU68=1,FH68=1),MIN(MM68,MR68),0)</f>
        <v>0</v>
      </c>
      <c r="MU68" s="20" t="n">
        <f aca="false">MM68-MT68</f>
        <v>0</v>
      </c>
      <c r="MV68" s="20" t="n">
        <f aca="false">IF(FR68=1,IF(ABS((1+AS_Wage)/(1+Slot16_Rate)-1)&lt;0.000000000001,(Slot16_Age-D68)*(1+Slot16_Rate)^(Slot16_Age-D68),(1+Slot16_Rate)^(Slot16_Age-D68)*(1-((1+AS_Wage)/(1+Slot16_Rate))^(Slot16_Age-D68))/(1-(1+AS_Wage)/(1+Slot16_Rate))),1)</f>
        <v>1</v>
      </c>
      <c r="MW68" s="20" t="n">
        <f aca="false">IF(AND(HU68=1,IE68&gt;0,Slot16_IsWG=1,FR68=1),MAX(0,(Slot16_Cost-FS68*(1+Slot16_Rate)^(Slot16_Age-D68))/MV68),0)</f>
        <v>0</v>
      </c>
      <c r="MX68" s="20" t="n">
        <f aca="false">IF(AND(HU68=1,IE68&gt;0,Slot16_IsWG=1,FR68=1),MIN(IE68,MW68),0)</f>
        <v>0</v>
      </c>
      <c r="MY68" s="20" t="n">
        <f aca="false">FS68+MX68</f>
        <v>0</v>
      </c>
      <c r="MZ68" s="20" t="n">
        <f aca="false">IF(FR68=1,MAX(0,(Slot16_Cost-MY68*(1+Slot16_Rate)^(Slot16_Age-D68))/MV68),0)</f>
        <v>0</v>
      </c>
      <c r="NA68" s="20" t="n">
        <f aca="false">IF(FR68=1,MAX(0,(Slot16_Cost-FS68*(1+Slot16_Rate)^(Slot16_Age-D68))/MV68),0)</f>
        <v>0</v>
      </c>
      <c r="NB68" s="20" t="n">
        <f aca="false">IF(AND(HU68=1,FR68=1),MIN(MU68,MZ68),0)</f>
        <v>0</v>
      </c>
      <c r="NC68" s="20" t="n">
        <f aca="false">MU68-NB68</f>
        <v>0</v>
      </c>
      <c r="ND68" s="20" t="n">
        <f aca="false">IF(GB68=1,IF(ABS((1+AS_Wage)/(1+Slot17_Rate)-1)&lt;0.000000000001,(Slot17_Age-D68)*(1+Slot17_Rate)^(Slot17_Age-D68),(1+Slot17_Rate)^(Slot17_Age-D68)*(1-((1+AS_Wage)/(1+Slot17_Rate))^(Slot17_Age-D68))/(1-(1+AS_Wage)/(1+Slot17_Rate))),1)</f>
        <v>1</v>
      </c>
      <c r="NE68" s="20" t="n">
        <f aca="false">IF(AND(HU68=1,IE68&gt;0,Slot17_IsWG=1,GB68=1),MAX(0,(Slot17_Cost-GC68*(1+Slot17_Rate)^(Slot17_Age-D68))/ND68),0)</f>
        <v>0</v>
      </c>
      <c r="NF68" s="20" t="n">
        <f aca="false">IF(AND(HU68=1,IE68&gt;0,Slot17_IsWG=1,GB68=1),MIN(IE68,NE68),0)</f>
        <v>0</v>
      </c>
      <c r="NG68" s="20" t="n">
        <f aca="false">GC68+NF68</f>
        <v>0</v>
      </c>
      <c r="NH68" s="20" t="n">
        <f aca="false">IF(GB68=1,MAX(0,(Slot17_Cost-NG68*(1+Slot17_Rate)^(Slot17_Age-D68))/ND68),0)</f>
        <v>0</v>
      </c>
      <c r="NI68" s="20" t="n">
        <f aca="false">IF(GB68=1,MAX(0,(Slot17_Cost-GC68*(1+Slot17_Rate)^(Slot17_Age-D68))/ND68),0)</f>
        <v>0</v>
      </c>
      <c r="NJ68" s="20" t="n">
        <f aca="false">IF(AND(HU68=1,GB68=1),MIN(NC68,NH68),0)</f>
        <v>0</v>
      </c>
      <c r="NK68" s="20" t="n">
        <f aca="false">NC68-NJ68</f>
        <v>0</v>
      </c>
      <c r="NL68" s="20" t="n">
        <f aca="false">IF(GL68=1,IF(ABS((1+AS_Wage)/(1+Slot18_Rate)-1)&lt;0.000000000001,(Slot18_Age-D68)*(1+Slot18_Rate)^(Slot18_Age-D68),(1+Slot18_Rate)^(Slot18_Age-D68)*(1-((1+AS_Wage)/(1+Slot18_Rate))^(Slot18_Age-D68))/(1-(1+AS_Wage)/(1+Slot18_Rate))),1)</f>
        <v>1</v>
      </c>
      <c r="NM68" s="20" t="n">
        <f aca="false">IF(AND(HU68=1,IE68&gt;0,Slot18_IsWG=1,GL68=1),MAX(0,(Slot18_Cost-GM68*(1+Slot18_Rate)^(Slot18_Age-D68))/NL68),0)</f>
        <v>0</v>
      </c>
      <c r="NN68" s="20" t="n">
        <f aca="false">IF(AND(HU68=1,IE68&gt;0,Slot18_IsWG=1,GL68=1),MIN(IE68,NM68),0)</f>
        <v>0</v>
      </c>
      <c r="NO68" s="20" t="n">
        <f aca="false">GM68+NN68</f>
        <v>0</v>
      </c>
      <c r="NP68" s="20" t="n">
        <f aca="false">IF(GL68=1,MAX(0,(Slot18_Cost-NO68*(1+Slot18_Rate)^(Slot18_Age-D68))/NL68),0)</f>
        <v>0</v>
      </c>
      <c r="NQ68" s="20" t="n">
        <f aca="false">IF(GL68=1,MAX(0,(Slot18_Cost-GM68*(1+Slot18_Rate)^(Slot18_Age-D68))/NL68),0)</f>
        <v>0</v>
      </c>
      <c r="NR68" s="20" t="n">
        <f aca="false">IF(AND(HU68=1,GL68=1),MIN(NK68,NP68),0)</f>
        <v>0</v>
      </c>
      <c r="NS68" s="20" t="n">
        <f aca="false">NK68-NR68</f>
        <v>0</v>
      </c>
      <c r="NT68" s="20" t="n">
        <f aca="false">IF(GV68=1,IF(ABS((1+AS_Wage)/(1+Slot19_Rate)-1)&lt;0.000000000001,(Slot19_Age-D68)*(1+Slot19_Rate)^(Slot19_Age-D68),(1+Slot19_Rate)^(Slot19_Age-D68)*(1-((1+AS_Wage)/(1+Slot19_Rate))^(Slot19_Age-D68))/(1-(1+AS_Wage)/(1+Slot19_Rate))),1)</f>
        <v>1</v>
      </c>
      <c r="NU68" s="20" t="n">
        <f aca="false">IF(AND(HU68=1,IE68&gt;0,Slot19_IsWG=1,GV68=1),MAX(0,(Slot19_Cost-GW68*(1+Slot19_Rate)^(Slot19_Age-D68))/NT68),0)</f>
        <v>0</v>
      </c>
      <c r="NV68" s="20" t="n">
        <f aca="false">IF(AND(HU68=1,IE68&gt;0,Slot19_IsWG=1,GV68=1),MIN(IE68,NU68),0)</f>
        <v>0</v>
      </c>
      <c r="NW68" s="20" t="n">
        <f aca="false">GW68+NV68</f>
        <v>0</v>
      </c>
      <c r="NX68" s="20" t="n">
        <f aca="false">IF(GV68=1,MAX(0,(Slot19_Cost-NW68*(1+Slot19_Rate)^(Slot19_Age-D68))/NT68),0)</f>
        <v>0</v>
      </c>
      <c r="NY68" s="20" t="n">
        <f aca="false">IF(GV68=1,MAX(0,(Slot19_Cost-GW68*(1+Slot19_Rate)^(Slot19_Age-D68))/NT68),0)</f>
        <v>0</v>
      </c>
      <c r="NZ68" s="20" t="n">
        <f aca="false">IF(AND(HU68=1,GV68=1),MIN(NS68,NX68),0)</f>
        <v>0</v>
      </c>
      <c r="OA68" s="20" t="n">
        <f aca="false">NS68-NZ68</f>
        <v>0</v>
      </c>
      <c r="OB68" s="20" t="n">
        <f aca="false">IF(HF68=1,IF(ABS((1+AS_Wage)/(1+Slot20_Rate)-1)&lt;0.000000000001,(Slot20_Age-D68)*(1+Slot20_Rate)^(Slot20_Age-D68),(1+Slot20_Rate)^(Slot20_Age-D68)*(1-((1+AS_Wage)/(1+Slot20_Rate))^(Slot20_Age-D68))/(1-(1+AS_Wage)/(1+Slot20_Rate))),1)</f>
        <v>1</v>
      </c>
      <c r="OC68" s="20" t="n">
        <f aca="false">IF(AND(HU68=1,IE68&gt;0,Slot20_IsWG=1,HF68=1),MAX(0,(Slot20_Cost-HG68*(1+Slot20_Rate)^(Slot20_Age-D68))/OB68),0)</f>
        <v>0</v>
      </c>
      <c r="OD68" s="20" t="n">
        <f aca="false">IF(AND(HU68=1,IE68&gt;0,Slot20_IsWG=1,HF68=1),MIN(IE68,OC68),0)</f>
        <v>0</v>
      </c>
      <c r="OE68" s="20" t="n">
        <f aca="false">HG68+OD68</f>
        <v>0</v>
      </c>
      <c r="OF68" s="20" t="n">
        <f aca="false">IF(HF68=1,MAX(0,(Slot20_Cost-OE68*(1+Slot20_Rate)^(Slot20_Age-D68))/OB68),0)</f>
        <v>0</v>
      </c>
      <c r="OG68" s="20" t="n">
        <f aca="false">IF(HF68=1,MAX(0,(Slot20_Cost-HG68*(1+Slot20_Rate)^(Slot20_Age-D68))/OB68),0)</f>
        <v>0</v>
      </c>
      <c r="OH68" s="20" t="n">
        <f aca="false">IF(AND(HU68=1,HF68=1),MIN(OA68,OF68),0)</f>
        <v>0</v>
      </c>
      <c r="OI68" s="20" t="n">
        <f aca="false">OA68-OH68</f>
        <v>0</v>
      </c>
      <c r="OJ68" s="20" t="n">
        <f aca="false">IE68-(IH68+IP68+IX68+JF68+JN68+JV68+KD68+KL68+KT68+LB68+LJ68+LR68+LZ68+MH68+MP68+MX68+NF68+NN68+NV68+OD68)</f>
        <v>0</v>
      </c>
      <c r="OK68" s="20" t="n">
        <f aca="false">IF(HU68=1,HS68-ID68-IE68,0)</f>
        <v>0</v>
      </c>
      <c r="OL68" s="20" t="n">
        <f aca="false">IF(HU68=0,-HS68,0)</f>
        <v>63210.7642738697</v>
      </c>
      <c r="OM68" s="20" t="n">
        <f aca="false">MIN(OL68,HK68)</f>
        <v>0</v>
      </c>
      <c r="ON68" s="20" t="n">
        <f aca="false">OL68-OM68</f>
        <v>63210.7642738697</v>
      </c>
      <c r="OO68" s="20" t="n">
        <f aca="false">MIN(ON68,HL68)</f>
        <v>0</v>
      </c>
      <c r="OP68" s="20" t="n">
        <f aca="false">ON68-OO68</f>
        <v>63210.7642738697</v>
      </c>
      <c r="OQ68" s="20" t="n">
        <f aca="false">IF(AND(HU68=0,HF68=1,OP68&gt;0),MIN(OP68,HG68),0)</f>
        <v>0</v>
      </c>
      <c r="OR68" s="20" t="n">
        <f aca="false">OP68-OQ68</f>
        <v>63210.7642738697</v>
      </c>
      <c r="OS68" s="20" t="n">
        <f aca="false">IF(AND(HU68=0,GV68=1,OR68&gt;0),MIN(OR68,GW68),0)</f>
        <v>0</v>
      </c>
      <c r="OT68" s="20" t="n">
        <f aca="false">OR68-OS68</f>
        <v>63210.7642738697</v>
      </c>
      <c r="OU68" s="20" t="n">
        <f aca="false">IF(AND(HU68=0,GL68=1,OT68&gt;0),MIN(OT68,GM68),0)</f>
        <v>0</v>
      </c>
      <c r="OV68" s="20" t="n">
        <f aca="false">OT68-OU68</f>
        <v>63210.7642738697</v>
      </c>
      <c r="OW68" s="20" t="n">
        <f aca="false">IF(AND(HU68=0,GB68=1,OV68&gt;0),MIN(OV68,GC68),0)</f>
        <v>0</v>
      </c>
      <c r="OX68" s="20" t="n">
        <f aca="false">OV68-OW68</f>
        <v>63210.7642738697</v>
      </c>
      <c r="OY68" s="20" t="n">
        <f aca="false">IF(AND(HU68=0,FR68=1,OX68&gt;0),MIN(OX68,FS68),0)</f>
        <v>0</v>
      </c>
      <c r="OZ68" s="20" t="n">
        <f aca="false">OX68-OY68</f>
        <v>63210.7642738697</v>
      </c>
      <c r="PA68" s="20" t="n">
        <f aca="false">IF(AND(HU68=0,FH68=1,OZ68&gt;0),MIN(OZ68,FI68),0)</f>
        <v>0</v>
      </c>
      <c r="PB68" s="20" t="n">
        <f aca="false">OZ68-PA68</f>
        <v>63210.7642738697</v>
      </c>
      <c r="PC68" s="20" t="n">
        <f aca="false">IF(AND(HU68=0,EX68=1,PB68&gt;0),MIN(PB68,EY68),0)</f>
        <v>0</v>
      </c>
      <c r="PD68" s="20" t="n">
        <f aca="false">PB68-PC68</f>
        <v>63210.7642738697</v>
      </c>
      <c r="PE68" s="20" t="n">
        <f aca="false">IF(AND(HU68=0,EN68=1,PD68&gt;0),MIN(PD68,EO68),0)</f>
        <v>0</v>
      </c>
      <c r="PF68" s="20" t="n">
        <f aca="false">PD68-PE68</f>
        <v>63210.7642738697</v>
      </c>
      <c r="PG68" s="20" t="n">
        <f aca="false">IF(AND(HU68=0,ED68=1,PF68&gt;0),MIN(PF68,EE68),0)</f>
        <v>0</v>
      </c>
      <c r="PH68" s="20" t="n">
        <f aca="false">PF68-PG68</f>
        <v>63210.7642738697</v>
      </c>
      <c r="PI68" s="20" t="n">
        <f aca="false">IF(AND(HU68=0,DT68=1,PH68&gt;0),MIN(PH68,DU68),0)</f>
        <v>0</v>
      </c>
      <c r="PJ68" s="20" t="n">
        <f aca="false">PH68-PI68</f>
        <v>63210.7642738697</v>
      </c>
      <c r="PK68" s="20" t="n">
        <f aca="false">IF(AND(HU68=0,DJ68=1,PJ68&gt;0),MIN(PJ68,DK68),0)</f>
        <v>0</v>
      </c>
      <c r="PL68" s="20" t="n">
        <f aca="false">PJ68-PK68</f>
        <v>63210.7642738697</v>
      </c>
      <c r="PM68" s="20" t="n">
        <f aca="false">IF(AND(HU68=0,CZ68=1,PL68&gt;0),MIN(PL68,DA68),0)</f>
        <v>0</v>
      </c>
      <c r="PN68" s="20" t="n">
        <f aca="false">PL68-PM68</f>
        <v>63210.7642738697</v>
      </c>
      <c r="PO68" s="20" t="n">
        <f aca="false">IF(AND(HU68=0,CP68=1,PN68&gt;0),MIN(PN68,CQ68),0)</f>
        <v>0</v>
      </c>
      <c r="PP68" s="20" t="n">
        <f aca="false">PN68-PO68</f>
        <v>63210.7642738697</v>
      </c>
      <c r="PQ68" s="20" t="n">
        <f aca="false">IF(AND(HU68=0,CF68=1,PP68&gt;0),MIN(PP68,CG68),0)</f>
        <v>0</v>
      </c>
      <c r="PR68" s="20" t="n">
        <f aca="false">PP68-PQ68</f>
        <v>63210.7642738697</v>
      </c>
      <c r="PS68" s="20" t="n">
        <f aca="false">IF(AND(HU68=0,BV68=1,PR68&gt;0),MIN(PR68,BW68),0)</f>
        <v>0</v>
      </c>
      <c r="PT68" s="20" t="n">
        <f aca="false">PR68-PS68</f>
        <v>63210.7642738697</v>
      </c>
      <c r="PU68" s="20" t="n">
        <f aca="false">IF(AND(HU68=0,BL68=1,PT68&gt;0),MIN(PT68,BM68),0)</f>
        <v>0</v>
      </c>
      <c r="PV68" s="20" t="n">
        <f aca="false">PT68-PU68</f>
        <v>63210.7642738697</v>
      </c>
      <c r="PW68" s="20" t="n">
        <f aca="false">IF(AND(HU68=0,BB68=1,PV68&gt;0),MIN(PV68,BC68),0)</f>
        <v>0</v>
      </c>
      <c r="PX68" s="20" t="n">
        <f aca="false">PV68-PW68</f>
        <v>63210.7642738697</v>
      </c>
      <c r="PY68" s="20" t="n">
        <f aca="false">IF(AND(HU68=0,AR68=1,PX68&gt;0),MIN(PX68,AS68),0)</f>
        <v>0</v>
      </c>
      <c r="PZ68" s="20" t="n">
        <f aca="false">PX68-PY68</f>
        <v>63210.7642738697</v>
      </c>
      <c r="QA68" s="20" t="n">
        <f aca="false">IF(AND(HU68=0,AH68=1,PZ68&gt;0),MIN(PZ68,AI68),0)</f>
        <v>0</v>
      </c>
      <c r="QB68" s="20" t="n">
        <f aca="false">PZ68-QA68</f>
        <v>63210.7642738697</v>
      </c>
      <c r="QC68" s="20" t="n">
        <f aca="false">IF(AND(HU68=0,W68=1,QB68&gt;0),MIN(QB68,X68),0)</f>
        <v>0</v>
      </c>
      <c r="QD68" s="20" t="n">
        <f aca="false">QB68-QC68</f>
        <v>63210.7642738697</v>
      </c>
      <c r="QE68" s="20" t="n">
        <f aca="false">IF(HU68=0,QD68,0)</f>
        <v>63210.7642738697</v>
      </c>
      <c r="QF68" s="20" t="n">
        <f aca="false">OM68+OO68+QC68+QA68+PY68+PW68+PU68+PS68+PQ68+PO68+PM68+PK68+PI68+PG68+PE68+PC68+PA68+OY68+OW68+OU68+OS68+OQ68</f>
        <v>0</v>
      </c>
      <c r="QG68" s="20" t="n">
        <f aca="false">IF(HU68=1,HK68+OJ68+OI68+IF(G68=1,0,OK68),HK68-OM68)</f>
        <v>0</v>
      </c>
      <c r="QH68" s="20" t="n">
        <f aca="false">HL68-OO68</f>
        <v>0</v>
      </c>
      <c r="QI68" s="20" t="n">
        <f aca="false">IF(HU68=1,IF(G68=1,ID68+IE68,HS68),0)</f>
        <v>0</v>
      </c>
      <c r="QJ68" s="20" t="n">
        <f aca="false">IF(HU68=1,IF(G68=1,HS68-ID68-IE68,0),0)</f>
        <v>0</v>
      </c>
      <c r="QK68" s="20" t="n">
        <f aca="false">QG68*(1+GR)</f>
        <v>0</v>
      </c>
      <c r="QL68" s="20" t="n">
        <f aca="false">QH68*(1+AS_Cash)</f>
        <v>0</v>
      </c>
      <c r="QM68" s="20" t="n">
        <f aca="false">IF(W68=1,IF(HU68=1,II68+IL68,X68-QC68)*(1+Slot1_Rate),0)</f>
        <v>0</v>
      </c>
      <c r="QN68" s="20" t="n">
        <f aca="false">IF(AND(HU68=1,W68=1),(IH68+IL68)/F68,0)</f>
        <v>0</v>
      </c>
      <c r="QO68" s="20" t="n">
        <f aca="false">IF(B68=0,IH68+IL68,0)</f>
        <v>0</v>
      </c>
      <c r="QP68" s="20" t="n">
        <f aca="false">IF(B68=0,IF(HU68=1,IJ68,IK68),0)</f>
        <v>0</v>
      </c>
      <c r="QQ68" s="20" t="n">
        <f aca="false">IF(AH68=1,IF(HU68=1,IQ68+IT68,AI68-QA68)*(1+Slot2_Rate),0)</f>
        <v>0</v>
      </c>
      <c r="QR68" s="20" t="n">
        <f aca="false">IF(AND(HU68=1,AH68=1),(IP68+IT68)/F68,0)</f>
        <v>0</v>
      </c>
      <c r="QS68" s="20" t="n">
        <f aca="false">IF(B68=0,IP68+IT68,0)</f>
        <v>0</v>
      </c>
      <c r="QT68" s="20" t="n">
        <f aca="false">IF(B68=0,IF(HU68=1,IR68,IS68),0)</f>
        <v>0</v>
      </c>
      <c r="QU68" s="20" t="n">
        <f aca="false">IF(AR68=1,IF(HU68=1,IY68+JB68,AS68-PY68)*(1+Slot3_Rate),0)</f>
        <v>0</v>
      </c>
      <c r="QV68" s="20" t="n">
        <f aca="false">IF(AND(HU68=1,AR68=1),(IX68+JB68)/F68,0)</f>
        <v>0</v>
      </c>
      <c r="QW68" s="20" t="n">
        <f aca="false">IF(B68=0,IX68+JB68,0)</f>
        <v>0</v>
      </c>
      <c r="QX68" s="20" t="n">
        <f aca="false">IF(B68=0,IF(HU68=1,IZ68,JA68),0)</f>
        <v>0</v>
      </c>
      <c r="QY68" s="20" t="n">
        <f aca="false">IF(BB68=1,IF(HU68=1,JG68+JJ68,BC68-PW68)*(1+Slot4_Rate),0)</f>
        <v>0</v>
      </c>
      <c r="QZ68" s="20" t="n">
        <f aca="false">IF(AND(HU68=1,BB68=1),(JF68+JJ68)/F68,0)</f>
        <v>0</v>
      </c>
      <c r="RA68" s="20" t="n">
        <f aca="false">IF(B68=0,JF68+JJ68,0)</f>
        <v>0</v>
      </c>
      <c r="RB68" s="20" t="n">
        <f aca="false">IF(B68=0,IF(HU68=1,JH68,JI68),0)</f>
        <v>0</v>
      </c>
      <c r="RC68" s="20" t="n">
        <f aca="false">IF(BL68=1,IF(HU68=1,JO68+JR68,BM68-PU68)*(1+Slot5_Rate),0)</f>
        <v>0</v>
      </c>
      <c r="RD68" s="20" t="n">
        <f aca="false">IF(AND(HU68=1,BL68=1),(JN68+JR68)/F68,0)</f>
        <v>0</v>
      </c>
      <c r="RE68" s="20" t="n">
        <f aca="false">IF(B68=0,JN68+JR68,0)</f>
        <v>0</v>
      </c>
      <c r="RF68" s="20" t="n">
        <f aca="false">IF(B68=0,IF(HU68=1,JP68,JQ68),0)</f>
        <v>0</v>
      </c>
      <c r="RG68" s="20" t="n">
        <f aca="false">IF(BV68=1,IF(HU68=1,JW68+JZ68,BW68-PS68)*(1+Slot6_Rate),0)</f>
        <v>0</v>
      </c>
      <c r="RH68" s="20" t="n">
        <f aca="false">IF(AND(HU68=1,BV68=1),(JV68+JZ68)/F68,0)</f>
        <v>0</v>
      </c>
      <c r="RI68" s="20" t="n">
        <f aca="false">IF(B68=0,JV68+JZ68,0)</f>
        <v>0</v>
      </c>
      <c r="RJ68" s="20" t="n">
        <f aca="false">IF(B68=0,IF(HU68=1,JX68,JY68),0)</f>
        <v>0</v>
      </c>
      <c r="RK68" s="20" t="n">
        <f aca="false">IF(CF68=1,IF(HU68=1,KE68+KH68,CG68-PQ68)*(1+Slot7_Rate),0)</f>
        <v>0</v>
      </c>
      <c r="RL68" s="20" t="n">
        <f aca="false">IF(AND(HU68=1,CF68=1),(KD68+KH68)/F68,0)</f>
        <v>0</v>
      </c>
      <c r="RM68" s="20" t="n">
        <f aca="false">IF(B68=0,KD68+KH68,0)</f>
        <v>0</v>
      </c>
      <c r="RN68" s="20" t="n">
        <f aca="false">IF(B68=0,IF(HU68=1,KF68,KG68),0)</f>
        <v>0</v>
      </c>
      <c r="RO68" s="20" t="n">
        <f aca="false">IF(CP68=1,IF(HU68=1,KM68+KP68,CQ68-PO68)*(1+Slot8_Rate),0)</f>
        <v>0</v>
      </c>
      <c r="RP68" s="20" t="n">
        <f aca="false">IF(AND(HU68=1,CP68=1),(KL68+KP68)/F68,0)</f>
        <v>0</v>
      </c>
      <c r="RQ68" s="20" t="n">
        <f aca="false">IF(B68=0,KL68+KP68,0)</f>
        <v>0</v>
      </c>
      <c r="RR68" s="20" t="n">
        <f aca="false">IF(B68=0,IF(HU68=1,KN68,KO68),0)</f>
        <v>0</v>
      </c>
      <c r="RS68" s="20" t="n">
        <f aca="false">IF(CZ68=1,IF(HU68=1,KU68+KX68,DA68-PM68)*(1+Slot9_Rate),0)</f>
        <v>0</v>
      </c>
      <c r="RT68" s="20" t="n">
        <f aca="false">IF(AND(HU68=1,CZ68=1),(KT68+KX68)/F68,0)</f>
        <v>0</v>
      </c>
      <c r="RU68" s="20" t="n">
        <f aca="false">IF(B68=0,KT68+KX68,0)</f>
        <v>0</v>
      </c>
      <c r="RV68" s="20" t="n">
        <f aca="false">IF(B68=0,IF(HU68=1,KV68,KW68),0)</f>
        <v>0</v>
      </c>
      <c r="RW68" s="20" t="n">
        <f aca="false">IF(DJ68=1,IF(HU68=1,LC68+LF68,DK68-PK68)*(1+Slot10_Rate),0)</f>
        <v>0</v>
      </c>
      <c r="RX68" s="20" t="n">
        <f aca="false">IF(AND(HU68=1,DJ68=1),(LB68+LF68)/F68,0)</f>
        <v>0</v>
      </c>
      <c r="RY68" s="20" t="n">
        <f aca="false">IF(B68=0,LB68+LF68,0)</f>
        <v>0</v>
      </c>
      <c r="RZ68" s="20" t="n">
        <f aca="false">IF(B68=0,IF(HU68=1,LD68,LE68),0)</f>
        <v>0</v>
      </c>
      <c r="SA68" s="20" t="n">
        <f aca="false">IF(DT68=1,IF(HU68=1,LK68+LN68,DU68-PI68)*(1+Slot11_Rate),0)</f>
        <v>0</v>
      </c>
      <c r="SB68" s="20" t="n">
        <f aca="false">IF(AND(HU68=1,DT68=1),(LJ68+LN68)/F68,0)</f>
        <v>0</v>
      </c>
      <c r="SC68" s="20" t="n">
        <f aca="false">IF(B68=0,LJ68+LN68,0)</f>
        <v>0</v>
      </c>
      <c r="SD68" s="20" t="n">
        <f aca="false">IF(B68=0,IF(HU68=1,LL68,LM68),0)</f>
        <v>0</v>
      </c>
      <c r="SE68" s="20" t="n">
        <f aca="false">IF(ED68=1,IF(HU68=1,LS68+LV68,EE68-PG68)*(1+Slot12_Rate),0)</f>
        <v>0</v>
      </c>
      <c r="SF68" s="20" t="n">
        <f aca="false">IF(AND(HU68=1,ED68=1),(LR68+LV68)/F68,0)</f>
        <v>0</v>
      </c>
      <c r="SG68" s="20" t="n">
        <f aca="false">IF(B68=0,LR68+LV68,0)</f>
        <v>0</v>
      </c>
      <c r="SH68" s="20" t="n">
        <f aca="false">IF(B68=0,IF(HU68=1,LT68,LU68),0)</f>
        <v>0</v>
      </c>
      <c r="SI68" s="20" t="n">
        <f aca="false">IF(EN68=1,IF(HU68=1,MA68+MD68,EO68-PE68)*(1+Slot13_Rate),0)</f>
        <v>0</v>
      </c>
      <c r="SJ68" s="20" t="n">
        <f aca="false">IF(AND(HU68=1,EN68=1),(LZ68+MD68)/F68,0)</f>
        <v>0</v>
      </c>
      <c r="SK68" s="20" t="n">
        <f aca="false">IF(B68=0,LZ68+MD68,0)</f>
        <v>0</v>
      </c>
      <c r="SL68" s="20" t="n">
        <f aca="false">IF(B68=0,IF(HU68=1,MB68,MC68),0)</f>
        <v>0</v>
      </c>
      <c r="SM68" s="20" t="n">
        <f aca="false">IF(EX68=1,IF(HU68=1,MI68+ML68,EY68-PC68)*(1+Slot14_Rate),0)</f>
        <v>0</v>
      </c>
      <c r="SN68" s="20" t="n">
        <f aca="false">IF(AND(HU68=1,EX68=1),(MH68+ML68)/F68,0)</f>
        <v>0</v>
      </c>
      <c r="SO68" s="20" t="n">
        <f aca="false">IF(B68=0,MH68+ML68,0)</f>
        <v>0</v>
      </c>
      <c r="SP68" s="20" t="n">
        <f aca="false">IF(B68=0,IF(HU68=1,MJ68,MK68),0)</f>
        <v>0</v>
      </c>
      <c r="SQ68" s="20" t="n">
        <f aca="false">IF(FH68=1,IF(HU68=1,MQ68+MT68,FI68-PA68)*(1+Slot15_Rate),0)</f>
        <v>0</v>
      </c>
      <c r="SR68" s="20" t="n">
        <f aca="false">IF(AND(HU68=1,FH68=1),(MP68+MT68)/F68,0)</f>
        <v>0</v>
      </c>
      <c r="SS68" s="20" t="n">
        <f aca="false">IF(B68=0,MP68+MT68,0)</f>
        <v>0</v>
      </c>
      <c r="ST68" s="20" t="n">
        <f aca="false">IF(B68=0,IF(HU68=1,MR68,MS68),0)</f>
        <v>0</v>
      </c>
      <c r="SU68" s="20" t="n">
        <f aca="false">IF(FR68=1,IF(HU68=1,MY68+NB68,FS68-OY68)*(1+Slot16_Rate),0)</f>
        <v>0</v>
      </c>
      <c r="SV68" s="20" t="n">
        <f aca="false">IF(AND(HU68=1,FR68=1),(MX68+NB68)/F68,0)</f>
        <v>0</v>
      </c>
      <c r="SW68" s="20" t="n">
        <f aca="false">IF(B68=0,MX68+NB68,0)</f>
        <v>0</v>
      </c>
      <c r="SX68" s="20" t="n">
        <f aca="false">IF(B68=0,IF(HU68=1,MZ68,NA68),0)</f>
        <v>0</v>
      </c>
      <c r="SY68" s="20" t="n">
        <f aca="false">IF(GB68=1,IF(HU68=1,NG68+NJ68,GC68-OW68)*(1+Slot17_Rate),0)</f>
        <v>0</v>
      </c>
      <c r="SZ68" s="20" t="n">
        <f aca="false">IF(AND(HU68=1,GB68=1),(NF68+NJ68)/F68,0)</f>
        <v>0</v>
      </c>
      <c r="TA68" s="20" t="n">
        <f aca="false">IF(B68=0,NF68+NJ68,0)</f>
        <v>0</v>
      </c>
      <c r="TB68" s="20" t="n">
        <f aca="false">IF(B68=0,IF(HU68=1,NH68,NI68),0)</f>
        <v>0</v>
      </c>
      <c r="TC68" s="20" t="n">
        <f aca="false">IF(GL68=1,IF(HU68=1,NO68+NR68,GM68-OU68)*(1+Slot18_Rate),0)</f>
        <v>0</v>
      </c>
      <c r="TD68" s="20" t="n">
        <f aca="false">IF(AND(HU68=1,GL68=1),(NN68+NR68)/F68,0)</f>
        <v>0</v>
      </c>
      <c r="TE68" s="20" t="n">
        <f aca="false">IF(B68=0,NN68+NR68,0)</f>
        <v>0</v>
      </c>
      <c r="TF68" s="20" t="n">
        <f aca="false">IF(B68=0,IF(HU68=1,NP68,NQ68),0)</f>
        <v>0</v>
      </c>
      <c r="TG68" s="20" t="n">
        <f aca="false">IF(GV68=1,IF(HU68=1,NW68+NZ68,GW68-OS68)*(1+Slot19_Rate),0)</f>
        <v>0</v>
      </c>
      <c r="TH68" s="20" t="n">
        <f aca="false">IF(AND(HU68=1,GV68=1),(NV68+NZ68)/F68,0)</f>
        <v>0</v>
      </c>
      <c r="TI68" s="20" t="n">
        <f aca="false">IF(B68=0,NV68+NZ68,0)</f>
        <v>0</v>
      </c>
      <c r="TJ68" s="20" t="n">
        <f aca="false">IF(B68=0,IF(HU68=1,NX68,NY68),0)</f>
        <v>0</v>
      </c>
      <c r="TK68" s="20" t="n">
        <f aca="false">IF(HF68=1,IF(HU68=1,OE68+OH68,HG68-OQ68)*(1+Slot20_Rate),0)</f>
        <v>0</v>
      </c>
      <c r="TL68" s="20" t="n">
        <f aca="false">IF(AND(HU68=1,HF68=1),(OD68+OH68)/F68,0)</f>
        <v>0</v>
      </c>
      <c r="TM68" s="20" t="n">
        <f aca="false">IF(B68=0,OD68+OH68,0)</f>
        <v>0</v>
      </c>
      <c r="TN68" s="20" t="n">
        <f aca="false">IF(B68=0,IF(HU68=1,OF68,OG68),0)</f>
        <v>0</v>
      </c>
      <c r="TO68" s="20" t="n">
        <f aca="false">QK68+QL68+QM68+QQ68+QU68+QY68+RC68+RG68+RK68+RO68+RS68+RW68+SA68+SE68+SI68+SM68+SQ68+SU68+SY68+TC68+TG68+TK68</f>
        <v>0</v>
      </c>
      <c r="TP68" s="20" t="n">
        <f aca="false">QE68+HP68</f>
        <v>63210.7642738697</v>
      </c>
      <c r="TQ68" s="20" t="n">
        <f aca="false">I68+S68</f>
        <v>156833.271683867</v>
      </c>
      <c r="TR68" s="20" t="n">
        <f aca="false">1-G68</f>
        <v>1</v>
      </c>
      <c r="TS68" s="20" t="n">
        <f aca="false">IF(AND(RG_Exists=1,G68=0,C68=1),I68,0)</f>
        <v>0</v>
      </c>
      <c r="TT68" s="20" t="n">
        <f aca="false">IF(AND(RG_Exists=1,G68=0,C68=1),I68-MIN(QE68,I68),0)</f>
        <v>0</v>
      </c>
      <c r="TU68" s="20" t="n">
        <f aca="false">'Plan pay &amp; tax'!AD294</f>
        <v>0</v>
      </c>
      <c r="TV68" s="20" t="n">
        <f aca="false">IF(AND(C68=1,QE68&gt;MAX(PR_Short1,TQ68*PR_Short2)),1,0)</f>
        <v>0</v>
      </c>
      <c r="TW68" s="20" t="n">
        <f aca="false">MIN(H68,I68+S68)</f>
        <v>93622.5074099972</v>
      </c>
      <c r="TX68" s="20" t="n">
        <f aca="false">QF68+MAX(0,HQ68-HP68)</f>
        <v>0</v>
      </c>
      <c r="TY68" s="20" t="n">
        <f aca="false">QE68+HP68</f>
        <v>63210.7642738697</v>
      </c>
      <c r="TZ68" s="20" t="n">
        <f aca="false">IF(AND(C68=1,TY68&gt;PR_MinShort),1,0)</f>
        <v>0</v>
      </c>
      <c r="UA68" s="20" t="n">
        <f aca="false">IF(AND(C68=1,TZ68=0,TX68&gt;PR_MinShort),1,0)</f>
        <v>0</v>
      </c>
      <c r="UB68" s="20" t="n">
        <f aca="false">IF(AND(C68=1,QE68&gt;PR_MinShort),1,0)</f>
        <v>0</v>
      </c>
      <c r="UC68" s="20" t="n">
        <f aca="false">IF(AND(C68=1,QF68&gt;1,UJ68=0),1,0)</f>
        <v>0</v>
      </c>
      <c r="UD68" s="20" t="str">
        <f aca="false">IF(C68=0,"",IF(UJ68=1,"Gap to plan for: short "&amp;"€"&amp;TEXT(ROUND(TP68,0),"#,##0"),IF(QF68&gt;1,"Using savings","Comfortable")))</f>
        <v/>
      </c>
      <c r="UE68" s="20" t="n">
        <f aca="false">IF(AND(INT(D68/10)*10=90,B68&gt;0),80,INT(D68/10)*10)</f>
        <v>80</v>
      </c>
      <c r="UF68" s="20" t="n">
        <f aca="false">IF(B68=0,1,IF(UE68&lt;&gt;UE67,UF67+1,UF67))</f>
        <v>6</v>
      </c>
      <c r="UG68" s="20" t="n">
        <f aca="false">IF(AND(C68=1,G68=1,QE68&gt;MAX(PR_Short1,TQ68*PR_Short2)),1,0)</f>
        <v>0</v>
      </c>
      <c r="UH68" s="20" t="n">
        <f aca="false">TR68*TV68</f>
        <v>0</v>
      </c>
      <c r="UI68" s="20" t="n">
        <f aca="false">IF(AND(V68=1,Slot1_PctLow=1),1,0)+IF(AND(AG68=1,Slot2_PctLow=1),1,0)+IF(AND(AQ68=1,Slot3_PctLow=1),1,0)+IF(AND(BA68=1,Slot4_PctLow=1),1,0)+IF(AND(BK68=1,Slot5_PctLow=1),1,0)+IF(AND(BU68=1,Slot6_PctLow=1),1,0)+IF(AND(CE68=1,Slot7_PctLow=1),1,0)+IF(AND(CO68=1,Slot8_PctLow=1),1,0)+IF(AND(CY68=1,Slot9_PctLow=1),1,0)+IF(AND(DI68=1,Slot10_PctLow=1),1,0)+IF(AND(DS68=1,Slot11_PctLow=1),1,0)+IF(AND(EC68=1,Slot12_PctLow=1),1,0)+IF(AND(EM68=1,Slot13_PctLow=1),1,0)+IF(AND(EW68=1,Slot14_PctLow=1),1,0)+IF(AND(FG68=1,Slot15_PctLow=1),1,0)+IF(AND(FQ68=1,Slot16_PctLow=1),1,0)+IF(AND(GA68=1,Slot17_PctLow=1),1,0)+IF(AND(GK68=1,Slot18_PctLow=1),1,0)+IF(AND(GU68=1,Slot19_PctLow=1),1,0)+IF(AND(HE68=1,Slot20_PctLow=1),1,0)</f>
        <v>0</v>
      </c>
      <c r="UJ68" s="20" t="n">
        <f aca="false">IF(C68=1,IF(OR(TV68=1,UI68&gt;0),1,0),0)</f>
        <v>0</v>
      </c>
    </row>
    <row r="69" customFormat="false" ht="15" hidden="false" customHeight="true" outlineLevel="0" collapsed="false">
      <c r="B69" s="20" t="n">
        <v>61</v>
      </c>
      <c r="C69" s="20" t="n">
        <f aca="false">IF(B69&lt;=F_N,1,0)</f>
        <v>0</v>
      </c>
      <c r="D69" s="20" t="n">
        <f aca="false">'Plan pay &amp; tax'!C295</f>
        <v>99</v>
      </c>
      <c r="E69" s="20" t="str">
        <f aca="false">IF($C69=1,"Income tax "&amp;TEXT(N('Plan pay &amp; tax'!BK295),"#,##0")&amp;"; USC "&amp;TEXT(N('Plan pay &amp; tax'!BM295)+N('Plan pay &amp; tax'!BO295),"#,##0")&amp;"; PRSI "&amp;TEXT(N('Plan pay &amp; tax'!BP295)+N('Plan pay &amp; tax'!BQ295),"#,##0")&amp;". DIRT and exit tax are inside the growth rates here.","")</f>
        <v/>
      </c>
      <c r="F69" s="44" t="n">
        <f aca="false">'Plan pay &amp; tax'!E295</f>
        <v>3.34665140413272</v>
      </c>
      <c r="G69" s="20" t="n">
        <f aca="false">'Plan pay &amp; tax'!G295</f>
        <v>0</v>
      </c>
      <c r="H69" s="20" t="n">
        <f aca="false">'Plan pay &amp; tax'!BT295-'Plan pay &amp; tax'!BS295-'Plan pay &amp; tax'!R295</f>
        <v>95494.9575581971</v>
      </c>
      <c r="I69" s="20" t="n">
        <f aca="false">IF(G69=1,F_CostsM*12,IF(RG_Exists=1,RG_Amount,F_CostsM*12*AS_RetireSpend))*F69+F_OneOffY*F69</f>
        <v>159969.937117544</v>
      </c>
      <c r="J69" s="20" t="n">
        <f aca="false">HR68</f>
        <v>0</v>
      </c>
      <c r="K69" s="20" t="n">
        <f aca="false">IF(J69&gt;1,'Plan debt months'!AC69,0)</f>
        <v>0</v>
      </c>
      <c r="L69" s="20" t="n">
        <f aca="false">IF(J69&gt;1,'Plan debt months'!AB69,J69)</f>
        <v>0</v>
      </c>
      <c r="M69" s="20" t="n">
        <f aca="false">O68</f>
        <v>0</v>
      </c>
      <c r="N69" s="20" t="n">
        <f aca="false">IF(M69&gt;1,'Plan debt months'!BD69,0)</f>
        <v>0</v>
      </c>
      <c r="O69" s="20" t="n">
        <f aca="false">IF(M69&gt;1,'Plan debt months'!BC69,M69)</f>
        <v>0</v>
      </c>
      <c r="P69" s="20" t="n">
        <f aca="false">R68</f>
        <v>0</v>
      </c>
      <c r="Q69" s="20" t="n">
        <f aca="false">IF(P69&gt;1,'Plan debt months'!CE69,0)</f>
        <v>0</v>
      </c>
      <c r="R69" s="20" t="n">
        <f aca="false">IF(P69&gt;1,'Plan debt months'!CD69,P69)</f>
        <v>0</v>
      </c>
      <c r="S69" s="20" t="n">
        <f aca="false">K69+N69+Q69</f>
        <v>0</v>
      </c>
      <c r="T69" s="20" t="n">
        <f aca="false">QK68+'Plan pay &amp; tax'!Y295</f>
        <v>0</v>
      </c>
      <c r="U69" s="20" t="n">
        <f aca="false">QK68</f>
        <v>0</v>
      </c>
      <c r="V69" s="20" t="n">
        <f aca="false">IF(AND(Slot1_On=1,D69=Slot1_Age),1,0)</f>
        <v>0</v>
      </c>
      <c r="W69" s="20" t="n">
        <f aca="false">IF(AND(Slot1_On=1,Slot1_Age&gt;D69),1,0)</f>
        <v>0</v>
      </c>
      <c r="X69" s="20" t="n">
        <f aca="false">QM68</f>
        <v>0</v>
      </c>
      <c r="Y69" s="20" t="n">
        <f aca="false">V69*MIN(Slot1_Cost,X69)</f>
        <v>0</v>
      </c>
      <c r="Z69" s="20" t="n">
        <f aca="false">V69*Slot1_SpendLike*MIN(Slot1_Cost-Y69,T69)</f>
        <v>0</v>
      </c>
      <c r="AA69" s="20" t="n">
        <f aca="false">Y69+Z69</f>
        <v>0</v>
      </c>
      <c r="AB69" s="20" t="n">
        <f aca="false">T69-Z69+V69*IF(Slot1_SpendLike=1,X69-Y69,IF(Slot1_PotFree=1,X69,0))</f>
        <v>0</v>
      </c>
      <c r="AC69" s="20" t="n">
        <f aca="false">AF69+V69*Slot1_BufPot*X69</f>
        <v>0</v>
      </c>
      <c r="AD69" s="20" t="n">
        <f aca="false">IF(AND(V69=1,Slot1_IsMfree=1),IF(AA69&gt;=Slot1_Cost-1,0,MAX(0,L69-AA69)),L69)</f>
        <v>0</v>
      </c>
      <c r="AE69" s="20" t="n">
        <f aca="false">V69*(Slot1_Cost-AA69)</f>
        <v>0</v>
      </c>
      <c r="AF69" s="20" t="n">
        <f aca="false">QL68</f>
        <v>0</v>
      </c>
      <c r="AG69" s="20" t="n">
        <f aca="false">IF(AND(Slot2_On=1,D69=Slot2_Age),1,0)</f>
        <v>0</v>
      </c>
      <c r="AH69" s="20" t="n">
        <f aca="false">IF(AND(Slot2_On=1,Slot2_Age&gt;D69),1,0)</f>
        <v>0</v>
      </c>
      <c r="AI69" s="20" t="n">
        <f aca="false">QQ68</f>
        <v>0</v>
      </c>
      <c r="AJ69" s="20" t="n">
        <f aca="false">AG69*MIN(Slot2_Cost,AI69)</f>
        <v>0</v>
      </c>
      <c r="AK69" s="20" t="n">
        <f aca="false">AG69*Slot2_SpendLike*MIN(Slot2_Cost-AJ69,AB69)</f>
        <v>0</v>
      </c>
      <c r="AL69" s="20" t="n">
        <f aca="false">AJ69+AK69</f>
        <v>0</v>
      </c>
      <c r="AM69" s="20" t="n">
        <f aca="false">AB69-AK69+AG69*IF(Slot2_SpendLike=1,AI69-AJ69,IF(Slot2_PotFree=1,AI69,0))</f>
        <v>0</v>
      </c>
      <c r="AN69" s="20" t="n">
        <f aca="false">AC69+AG69*Slot2_BufPot*AI69</f>
        <v>0</v>
      </c>
      <c r="AO69" s="20" t="n">
        <f aca="false">IF(AND(AG69=1,Slot2_IsMfree=1),IF(AL69&gt;=Slot2_Cost-1,0,MAX(0,AD69-AL69)),AD69)</f>
        <v>0</v>
      </c>
      <c r="AP69" s="20" t="n">
        <f aca="false">AG69*(Slot2_Cost-AL69)</f>
        <v>0</v>
      </c>
      <c r="AQ69" s="20" t="n">
        <f aca="false">IF(AND(Slot3_On=1,D69=Slot3_Age),1,0)</f>
        <v>0</v>
      </c>
      <c r="AR69" s="20" t="n">
        <f aca="false">IF(AND(Slot3_On=1,Slot3_Age&gt;D69),1,0)</f>
        <v>0</v>
      </c>
      <c r="AS69" s="20" t="n">
        <f aca="false">QU68</f>
        <v>0</v>
      </c>
      <c r="AT69" s="20" t="n">
        <f aca="false">AQ69*MIN(Slot3_Cost,AS69)</f>
        <v>0</v>
      </c>
      <c r="AU69" s="20" t="n">
        <f aca="false">AQ69*Slot3_SpendLike*MIN(Slot3_Cost-AT69,AM69)</f>
        <v>0</v>
      </c>
      <c r="AV69" s="20" t="n">
        <f aca="false">AT69+AU69</f>
        <v>0</v>
      </c>
      <c r="AW69" s="20" t="n">
        <f aca="false">AM69-AU69+AQ69*IF(Slot3_SpendLike=1,AS69-AT69,IF(Slot3_PotFree=1,AS69,0))</f>
        <v>0</v>
      </c>
      <c r="AX69" s="20" t="n">
        <f aca="false">AN69+AQ69*Slot3_BufPot*AS69</f>
        <v>0</v>
      </c>
      <c r="AY69" s="20" t="n">
        <f aca="false">IF(AND(AQ69=1,Slot3_IsMfree=1),IF(AV69&gt;=Slot3_Cost-1,0,MAX(0,AO69-AV69)),AO69)</f>
        <v>0</v>
      </c>
      <c r="AZ69" s="20" t="n">
        <f aca="false">AQ69*(Slot3_Cost-AV69)</f>
        <v>0</v>
      </c>
      <c r="BA69" s="20" t="n">
        <f aca="false">IF(AND(Slot4_On=1,D69=Slot4_Age),1,0)</f>
        <v>0</v>
      </c>
      <c r="BB69" s="20" t="n">
        <f aca="false">IF(AND(Slot4_On=1,Slot4_Age&gt;D69),1,0)</f>
        <v>0</v>
      </c>
      <c r="BC69" s="20" t="n">
        <f aca="false">QY68</f>
        <v>0</v>
      </c>
      <c r="BD69" s="20" t="n">
        <f aca="false">BA69*MIN(Slot4_Cost,BC69)</f>
        <v>0</v>
      </c>
      <c r="BE69" s="20" t="n">
        <f aca="false">BA69*Slot4_SpendLike*MIN(Slot4_Cost-BD69,AW69)</f>
        <v>0</v>
      </c>
      <c r="BF69" s="20" t="n">
        <f aca="false">BD69+BE69</f>
        <v>0</v>
      </c>
      <c r="BG69" s="20" t="n">
        <f aca="false">AW69-BE69+BA69*IF(Slot4_SpendLike=1,BC69-BD69,IF(Slot4_PotFree=1,BC69,0))</f>
        <v>0</v>
      </c>
      <c r="BH69" s="20" t="n">
        <f aca="false">AX69+BA69*Slot4_BufPot*BC69</f>
        <v>0</v>
      </c>
      <c r="BI69" s="20" t="n">
        <f aca="false">IF(AND(BA69=1,Slot4_IsMfree=1),IF(BF69&gt;=Slot4_Cost-1,0,MAX(0,AY69-BF69)),AY69)</f>
        <v>0</v>
      </c>
      <c r="BJ69" s="20" t="n">
        <f aca="false">BA69*(Slot4_Cost-BF69)</f>
        <v>0</v>
      </c>
      <c r="BK69" s="20" t="n">
        <f aca="false">IF(AND(Slot5_On=1,D69=Slot5_Age),1,0)</f>
        <v>0</v>
      </c>
      <c r="BL69" s="20" t="n">
        <f aca="false">IF(AND(Slot5_On=1,Slot5_Age&gt;D69),1,0)</f>
        <v>0</v>
      </c>
      <c r="BM69" s="20" t="n">
        <f aca="false">RC68</f>
        <v>0</v>
      </c>
      <c r="BN69" s="20" t="n">
        <f aca="false">BK69*MIN(Slot5_Cost,BM69)</f>
        <v>0</v>
      </c>
      <c r="BO69" s="20" t="n">
        <f aca="false">BK69*Slot5_SpendLike*MIN(Slot5_Cost-BN69,BG69)</f>
        <v>0</v>
      </c>
      <c r="BP69" s="20" t="n">
        <f aca="false">BN69+BO69</f>
        <v>0</v>
      </c>
      <c r="BQ69" s="20" t="n">
        <f aca="false">BG69-BO69+BK69*IF(Slot5_SpendLike=1,BM69-BN69,IF(Slot5_PotFree=1,BM69,0))</f>
        <v>0</v>
      </c>
      <c r="BR69" s="20" t="n">
        <f aca="false">BH69+BK69*Slot5_BufPot*BM69</f>
        <v>0</v>
      </c>
      <c r="BS69" s="20" t="n">
        <f aca="false">IF(AND(BK69=1,Slot5_IsMfree=1),IF(BP69&gt;=Slot5_Cost-1,0,MAX(0,BI69-BP69)),BI69)</f>
        <v>0</v>
      </c>
      <c r="BT69" s="20" t="n">
        <f aca="false">BK69*(Slot5_Cost-BP69)</f>
        <v>0</v>
      </c>
      <c r="BU69" s="20" t="n">
        <f aca="false">IF(AND(Slot6_On=1,D69=Slot6_Age),1,0)</f>
        <v>0</v>
      </c>
      <c r="BV69" s="20" t="n">
        <f aca="false">IF(AND(Slot6_On=1,Slot6_Age&gt;D69),1,0)</f>
        <v>0</v>
      </c>
      <c r="BW69" s="20" t="n">
        <f aca="false">RG68</f>
        <v>0</v>
      </c>
      <c r="BX69" s="20" t="n">
        <f aca="false">BU69*MIN(Slot6_Cost,BW69)</f>
        <v>0</v>
      </c>
      <c r="BY69" s="20" t="n">
        <f aca="false">BU69*Slot6_SpendLike*MIN(Slot6_Cost-BX69,BQ69)</f>
        <v>0</v>
      </c>
      <c r="BZ69" s="20" t="n">
        <f aca="false">BX69+BY69</f>
        <v>0</v>
      </c>
      <c r="CA69" s="20" t="n">
        <f aca="false">BQ69-BY69+BU69*IF(Slot6_SpendLike=1,BW69-BX69,IF(Slot6_PotFree=1,BW69,0))</f>
        <v>0</v>
      </c>
      <c r="CB69" s="20" t="n">
        <f aca="false">BR69+BU69*Slot6_BufPot*BW69</f>
        <v>0</v>
      </c>
      <c r="CC69" s="20" t="n">
        <f aca="false">IF(AND(BU69=1,Slot6_IsMfree=1),IF(BZ69&gt;=Slot6_Cost-1,0,MAX(0,BS69-BZ69)),BS69)</f>
        <v>0</v>
      </c>
      <c r="CD69" s="20" t="n">
        <f aca="false">BU69*(Slot6_Cost-BZ69)</f>
        <v>0</v>
      </c>
      <c r="CE69" s="20" t="n">
        <f aca="false">IF(AND(Slot7_On=1,D69=Slot7_Age),1,0)</f>
        <v>0</v>
      </c>
      <c r="CF69" s="20" t="n">
        <f aca="false">IF(AND(Slot7_On=1,Slot7_Age&gt;D69),1,0)</f>
        <v>0</v>
      </c>
      <c r="CG69" s="20" t="n">
        <f aca="false">RK68</f>
        <v>0</v>
      </c>
      <c r="CH69" s="20" t="n">
        <f aca="false">CE69*MIN(Slot7_Cost,CG69)</f>
        <v>0</v>
      </c>
      <c r="CI69" s="20" t="n">
        <f aca="false">CE69*Slot7_SpendLike*MIN(Slot7_Cost-CH69,CA69)</f>
        <v>0</v>
      </c>
      <c r="CJ69" s="20" t="n">
        <f aca="false">CH69+CI69</f>
        <v>0</v>
      </c>
      <c r="CK69" s="20" t="n">
        <f aca="false">CA69-CI69+CE69*IF(Slot7_SpendLike=1,CG69-CH69,IF(Slot7_PotFree=1,CG69,0))</f>
        <v>0</v>
      </c>
      <c r="CL69" s="20" t="n">
        <f aca="false">CB69+CE69*Slot7_BufPot*CG69</f>
        <v>0</v>
      </c>
      <c r="CM69" s="20" t="n">
        <f aca="false">IF(AND(CE69=1,Slot7_IsMfree=1),IF(CJ69&gt;=Slot7_Cost-1,0,MAX(0,CC69-CJ69)),CC69)</f>
        <v>0</v>
      </c>
      <c r="CN69" s="20" t="n">
        <f aca="false">CE69*(Slot7_Cost-CJ69)</f>
        <v>0</v>
      </c>
      <c r="CO69" s="20" t="n">
        <f aca="false">IF(AND(Slot8_On=1,D69=Slot8_Age),1,0)</f>
        <v>0</v>
      </c>
      <c r="CP69" s="20" t="n">
        <f aca="false">IF(AND(Slot8_On=1,Slot8_Age&gt;D69),1,0)</f>
        <v>0</v>
      </c>
      <c r="CQ69" s="20" t="n">
        <f aca="false">RO68</f>
        <v>0</v>
      </c>
      <c r="CR69" s="20" t="n">
        <f aca="false">CO69*MIN(Slot8_Cost,CQ69)</f>
        <v>0</v>
      </c>
      <c r="CS69" s="20" t="n">
        <f aca="false">CO69*Slot8_SpendLike*MIN(Slot8_Cost-CR69,CK69)</f>
        <v>0</v>
      </c>
      <c r="CT69" s="20" t="n">
        <f aca="false">CR69+CS69</f>
        <v>0</v>
      </c>
      <c r="CU69" s="20" t="n">
        <f aca="false">CK69-CS69+CO69*IF(Slot8_SpendLike=1,CQ69-CR69,IF(Slot8_PotFree=1,CQ69,0))</f>
        <v>0</v>
      </c>
      <c r="CV69" s="20" t="n">
        <f aca="false">CL69+CO69*Slot8_BufPot*CQ69</f>
        <v>0</v>
      </c>
      <c r="CW69" s="20" t="n">
        <f aca="false">IF(AND(CO69=1,Slot8_IsMfree=1),IF(CT69&gt;=Slot8_Cost-1,0,MAX(0,CM69-CT69)),CM69)</f>
        <v>0</v>
      </c>
      <c r="CX69" s="20" t="n">
        <f aca="false">CO69*(Slot8_Cost-CT69)</f>
        <v>0</v>
      </c>
      <c r="CY69" s="20" t="n">
        <f aca="false">IF(AND(Slot9_On=1,D69=Slot9_Age),1,0)</f>
        <v>0</v>
      </c>
      <c r="CZ69" s="20" t="n">
        <f aca="false">IF(AND(Slot9_On=1,Slot9_Age&gt;D69),1,0)</f>
        <v>0</v>
      </c>
      <c r="DA69" s="20" t="n">
        <f aca="false">RS68</f>
        <v>0</v>
      </c>
      <c r="DB69" s="20" t="n">
        <f aca="false">CY69*MIN(Slot9_Cost,DA69)</f>
        <v>0</v>
      </c>
      <c r="DC69" s="20" t="n">
        <f aca="false">CY69*Slot9_SpendLike*MIN(Slot9_Cost-DB69,CU69)</f>
        <v>0</v>
      </c>
      <c r="DD69" s="20" t="n">
        <f aca="false">DB69+DC69</f>
        <v>0</v>
      </c>
      <c r="DE69" s="20" t="n">
        <f aca="false">CU69-DC69+CY69*IF(Slot9_SpendLike=1,DA69-DB69,IF(Slot9_PotFree=1,DA69,0))</f>
        <v>0</v>
      </c>
      <c r="DF69" s="20" t="n">
        <f aca="false">CV69+CY69*Slot9_BufPot*DA69</f>
        <v>0</v>
      </c>
      <c r="DG69" s="20" t="n">
        <f aca="false">IF(AND(CY69=1,Slot9_IsMfree=1),IF(DD69&gt;=Slot9_Cost-1,0,MAX(0,CW69-DD69)),CW69)</f>
        <v>0</v>
      </c>
      <c r="DH69" s="20" t="n">
        <f aca="false">CY69*(Slot9_Cost-DD69)</f>
        <v>0</v>
      </c>
      <c r="DI69" s="20" t="n">
        <f aca="false">IF(AND(Slot10_On=1,D69=Slot10_Age),1,0)</f>
        <v>0</v>
      </c>
      <c r="DJ69" s="20" t="n">
        <f aca="false">IF(AND(Slot10_On=1,Slot10_Age&gt;D69),1,0)</f>
        <v>0</v>
      </c>
      <c r="DK69" s="20" t="n">
        <f aca="false">RW68</f>
        <v>0</v>
      </c>
      <c r="DL69" s="20" t="n">
        <f aca="false">DI69*MIN(Slot10_Cost,DK69)</f>
        <v>0</v>
      </c>
      <c r="DM69" s="20" t="n">
        <f aca="false">DI69*Slot10_SpendLike*MIN(Slot10_Cost-DL69,DE69)</f>
        <v>0</v>
      </c>
      <c r="DN69" s="20" t="n">
        <f aca="false">DL69+DM69</f>
        <v>0</v>
      </c>
      <c r="DO69" s="20" t="n">
        <f aca="false">DE69-DM69+DI69*IF(Slot10_SpendLike=1,DK69-DL69,IF(Slot10_PotFree=1,DK69,0))</f>
        <v>0</v>
      </c>
      <c r="DP69" s="20" t="n">
        <f aca="false">DF69+DI69*Slot10_BufPot*DK69</f>
        <v>0</v>
      </c>
      <c r="DQ69" s="20" t="n">
        <f aca="false">IF(AND(DI69=1,Slot10_IsMfree=1),IF(DN69&gt;=Slot10_Cost-1,0,MAX(0,DG69-DN69)),DG69)</f>
        <v>0</v>
      </c>
      <c r="DR69" s="20" t="n">
        <f aca="false">DI69*(Slot10_Cost-DN69)</f>
        <v>0</v>
      </c>
      <c r="DS69" s="20" t="n">
        <f aca="false">IF(AND(Slot11_On=1,D69=Slot11_Age),1,0)</f>
        <v>0</v>
      </c>
      <c r="DT69" s="20" t="n">
        <f aca="false">IF(AND(Slot11_On=1,Slot11_Age&gt;D69),1,0)</f>
        <v>0</v>
      </c>
      <c r="DU69" s="20" t="n">
        <f aca="false">SA68</f>
        <v>0</v>
      </c>
      <c r="DV69" s="20" t="n">
        <f aca="false">DS69*MIN(Slot11_Cost,DU69)</f>
        <v>0</v>
      </c>
      <c r="DW69" s="20" t="n">
        <f aca="false">DS69*Slot11_SpendLike*MIN(Slot11_Cost-DV69,DO69)</f>
        <v>0</v>
      </c>
      <c r="DX69" s="20" t="n">
        <f aca="false">DV69+DW69</f>
        <v>0</v>
      </c>
      <c r="DY69" s="20" t="n">
        <f aca="false">DO69-DW69+DS69*IF(Slot11_SpendLike=1,DU69-DV69,IF(Slot11_PotFree=1,DU69,0))</f>
        <v>0</v>
      </c>
      <c r="DZ69" s="20" t="n">
        <f aca="false">DP69+DS69*Slot11_BufPot*DU69</f>
        <v>0</v>
      </c>
      <c r="EA69" s="20" t="n">
        <f aca="false">IF(AND(DS69=1,Slot11_IsMfree=1),IF(DX69&gt;=Slot11_Cost-1,0,MAX(0,DQ69-DX69)),DQ69)</f>
        <v>0</v>
      </c>
      <c r="EB69" s="20" t="n">
        <f aca="false">DS69*(Slot11_Cost-DX69)</f>
        <v>0</v>
      </c>
      <c r="EC69" s="20" t="n">
        <f aca="false">IF(AND(Slot12_On=1,D69=Slot12_Age),1,0)</f>
        <v>0</v>
      </c>
      <c r="ED69" s="20" t="n">
        <f aca="false">IF(AND(Slot12_On=1,Slot12_Age&gt;D69),1,0)</f>
        <v>0</v>
      </c>
      <c r="EE69" s="20" t="n">
        <f aca="false">SE68</f>
        <v>0</v>
      </c>
      <c r="EF69" s="20" t="n">
        <f aca="false">EC69*MIN(Slot12_Cost,EE69)</f>
        <v>0</v>
      </c>
      <c r="EG69" s="20" t="n">
        <f aca="false">EC69*Slot12_SpendLike*MIN(Slot12_Cost-EF69,DY69)</f>
        <v>0</v>
      </c>
      <c r="EH69" s="20" t="n">
        <f aca="false">EF69+EG69</f>
        <v>0</v>
      </c>
      <c r="EI69" s="20" t="n">
        <f aca="false">DY69-EG69+EC69*IF(Slot12_SpendLike=1,EE69-EF69,IF(Slot12_PotFree=1,EE69,0))</f>
        <v>0</v>
      </c>
      <c r="EJ69" s="20" t="n">
        <f aca="false">DZ69+EC69*Slot12_BufPot*EE69</f>
        <v>0</v>
      </c>
      <c r="EK69" s="20" t="n">
        <f aca="false">IF(AND(EC69=1,Slot12_IsMfree=1),IF(EH69&gt;=Slot12_Cost-1,0,MAX(0,EA69-EH69)),EA69)</f>
        <v>0</v>
      </c>
      <c r="EL69" s="20" t="n">
        <f aca="false">EC69*(Slot12_Cost-EH69)</f>
        <v>0</v>
      </c>
      <c r="EM69" s="20" t="n">
        <f aca="false">IF(AND(Slot13_On=1,D69=Slot13_Age),1,0)</f>
        <v>0</v>
      </c>
      <c r="EN69" s="20" t="n">
        <f aca="false">IF(AND(Slot13_On=1,Slot13_Age&gt;D69),1,0)</f>
        <v>0</v>
      </c>
      <c r="EO69" s="20" t="n">
        <f aca="false">SI68</f>
        <v>0</v>
      </c>
      <c r="EP69" s="20" t="n">
        <f aca="false">EM69*MIN(Slot13_Cost,EO69)</f>
        <v>0</v>
      </c>
      <c r="EQ69" s="20" t="n">
        <f aca="false">EM69*Slot13_SpendLike*MIN(Slot13_Cost-EP69,EI69)</f>
        <v>0</v>
      </c>
      <c r="ER69" s="20" t="n">
        <f aca="false">EP69+EQ69</f>
        <v>0</v>
      </c>
      <c r="ES69" s="20" t="n">
        <f aca="false">EI69-EQ69+EM69*IF(Slot13_SpendLike=1,EO69-EP69,IF(Slot13_PotFree=1,EO69,0))</f>
        <v>0</v>
      </c>
      <c r="ET69" s="20" t="n">
        <f aca="false">EJ69+EM69*Slot13_BufPot*EO69</f>
        <v>0</v>
      </c>
      <c r="EU69" s="20" t="n">
        <f aca="false">IF(AND(EM69=1,Slot13_IsMfree=1),IF(ER69&gt;=Slot13_Cost-1,0,MAX(0,EK69-ER69)),EK69)</f>
        <v>0</v>
      </c>
      <c r="EV69" s="20" t="n">
        <f aca="false">EM69*(Slot13_Cost-ER69)</f>
        <v>0</v>
      </c>
      <c r="EW69" s="20" t="n">
        <f aca="false">IF(AND(Slot14_On=1,D69=Slot14_Age),1,0)</f>
        <v>0</v>
      </c>
      <c r="EX69" s="20" t="n">
        <f aca="false">IF(AND(Slot14_On=1,Slot14_Age&gt;D69),1,0)</f>
        <v>0</v>
      </c>
      <c r="EY69" s="20" t="n">
        <f aca="false">SM68</f>
        <v>0</v>
      </c>
      <c r="EZ69" s="20" t="n">
        <f aca="false">EW69*MIN(Slot14_Cost,EY69)</f>
        <v>0</v>
      </c>
      <c r="FA69" s="20" t="n">
        <f aca="false">EW69*Slot14_SpendLike*MIN(Slot14_Cost-EZ69,ES69)</f>
        <v>0</v>
      </c>
      <c r="FB69" s="20" t="n">
        <f aca="false">EZ69+FA69</f>
        <v>0</v>
      </c>
      <c r="FC69" s="20" t="n">
        <f aca="false">ES69-FA69+EW69*IF(Slot14_SpendLike=1,EY69-EZ69,IF(Slot14_PotFree=1,EY69,0))</f>
        <v>0</v>
      </c>
      <c r="FD69" s="20" t="n">
        <f aca="false">ET69+EW69*Slot14_BufPot*EY69</f>
        <v>0</v>
      </c>
      <c r="FE69" s="20" t="n">
        <f aca="false">IF(AND(EW69=1,Slot14_IsMfree=1),IF(FB69&gt;=Slot14_Cost-1,0,MAX(0,EU69-FB69)),EU69)</f>
        <v>0</v>
      </c>
      <c r="FF69" s="20" t="n">
        <f aca="false">EW69*(Slot14_Cost-FB69)</f>
        <v>0</v>
      </c>
      <c r="FG69" s="20" t="n">
        <f aca="false">IF(AND(Slot15_On=1,D69=Slot15_Age),1,0)</f>
        <v>0</v>
      </c>
      <c r="FH69" s="20" t="n">
        <f aca="false">IF(AND(Slot15_On=1,Slot15_Age&gt;D69),1,0)</f>
        <v>0</v>
      </c>
      <c r="FI69" s="20" t="n">
        <f aca="false">SQ68</f>
        <v>0</v>
      </c>
      <c r="FJ69" s="20" t="n">
        <f aca="false">FG69*MIN(Slot15_Cost,FI69)</f>
        <v>0</v>
      </c>
      <c r="FK69" s="20" t="n">
        <f aca="false">FG69*Slot15_SpendLike*MIN(Slot15_Cost-FJ69,FC69)</f>
        <v>0</v>
      </c>
      <c r="FL69" s="20" t="n">
        <f aca="false">FJ69+FK69</f>
        <v>0</v>
      </c>
      <c r="FM69" s="20" t="n">
        <f aca="false">FC69-FK69+FG69*IF(Slot15_SpendLike=1,FI69-FJ69,IF(Slot15_PotFree=1,FI69,0))</f>
        <v>0</v>
      </c>
      <c r="FN69" s="20" t="n">
        <f aca="false">FD69+FG69*Slot15_BufPot*FI69</f>
        <v>0</v>
      </c>
      <c r="FO69" s="20" t="n">
        <f aca="false">IF(AND(FG69=1,Slot15_IsMfree=1),IF(FL69&gt;=Slot15_Cost-1,0,MAX(0,FE69-FL69)),FE69)</f>
        <v>0</v>
      </c>
      <c r="FP69" s="20" t="n">
        <f aca="false">FG69*(Slot15_Cost-FL69)</f>
        <v>0</v>
      </c>
      <c r="FQ69" s="20" t="n">
        <f aca="false">IF(AND(Slot16_On=1,D69=Slot16_Age),1,0)</f>
        <v>0</v>
      </c>
      <c r="FR69" s="20" t="n">
        <f aca="false">IF(AND(Slot16_On=1,Slot16_Age&gt;D69),1,0)</f>
        <v>0</v>
      </c>
      <c r="FS69" s="20" t="n">
        <f aca="false">SU68</f>
        <v>0</v>
      </c>
      <c r="FT69" s="20" t="n">
        <f aca="false">FQ69*MIN(Slot16_Cost,FS69)</f>
        <v>0</v>
      </c>
      <c r="FU69" s="20" t="n">
        <f aca="false">FQ69*Slot16_SpendLike*MIN(Slot16_Cost-FT69,FM69)</f>
        <v>0</v>
      </c>
      <c r="FV69" s="20" t="n">
        <f aca="false">FT69+FU69</f>
        <v>0</v>
      </c>
      <c r="FW69" s="20" t="n">
        <f aca="false">FM69-FU69+FQ69*IF(Slot16_SpendLike=1,FS69-FT69,IF(Slot16_PotFree=1,FS69,0))</f>
        <v>0</v>
      </c>
      <c r="FX69" s="20" t="n">
        <f aca="false">FN69+FQ69*Slot16_BufPot*FS69</f>
        <v>0</v>
      </c>
      <c r="FY69" s="20" t="n">
        <f aca="false">IF(AND(FQ69=1,Slot16_IsMfree=1),IF(FV69&gt;=Slot16_Cost-1,0,MAX(0,FO69-FV69)),FO69)</f>
        <v>0</v>
      </c>
      <c r="FZ69" s="20" t="n">
        <f aca="false">FQ69*(Slot16_Cost-FV69)</f>
        <v>0</v>
      </c>
      <c r="GA69" s="20" t="n">
        <f aca="false">IF(AND(Slot17_On=1,D69=Slot17_Age),1,0)</f>
        <v>0</v>
      </c>
      <c r="GB69" s="20" t="n">
        <f aca="false">IF(AND(Slot17_On=1,Slot17_Age&gt;D69),1,0)</f>
        <v>0</v>
      </c>
      <c r="GC69" s="20" t="n">
        <f aca="false">SY68</f>
        <v>0</v>
      </c>
      <c r="GD69" s="20" t="n">
        <f aca="false">GA69*MIN(Slot17_Cost,GC69)</f>
        <v>0</v>
      </c>
      <c r="GE69" s="20" t="n">
        <f aca="false">GA69*Slot17_SpendLike*MIN(Slot17_Cost-GD69,FW69)</f>
        <v>0</v>
      </c>
      <c r="GF69" s="20" t="n">
        <f aca="false">GD69+GE69</f>
        <v>0</v>
      </c>
      <c r="GG69" s="20" t="n">
        <f aca="false">FW69-GE69+GA69*IF(Slot17_SpendLike=1,GC69-GD69,IF(Slot17_PotFree=1,GC69,0))</f>
        <v>0</v>
      </c>
      <c r="GH69" s="20" t="n">
        <f aca="false">FX69+GA69*Slot17_BufPot*GC69</f>
        <v>0</v>
      </c>
      <c r="GI69" s="20" t="n">
        <f aca="false">IF(AND(GA69=1,Slot17_IsMfree=1),IF(GF69&gt;=Slot17_Cost-1,0,MAX(0,FY69-GF69)),FY69)</f>
        <v>0</v>
      </c>
      <c r="GJ69" s="20" t="n">
        <f aca="false">GA69*(Slot17_Cost-GF69)</f>
        <v>0</v>
      </c>
      <c r="GK69" s="20" t="n">
        <f aca="false">IF(AND(Slot18_On=1,D69=Slot18_Age),1,0)</f>
        <v>0</v>
      </c>
      <c r="GL69" s="20" t="n">
        <f aca="false">IF(AND(Slot18_On=1,Slot18_Age&gt;D69),1,0)</f>
        <v>0</v>
      </c>
      <c r="GM69" s="20" t="n">
        <f aca="false">TC68</f>
        <v>0</v>
      </c>
      <c r="GN69" s="20" t="n">
        <f aca="false">GK69*MIN(Slot18_Cost,GM69)</f>
        <v>0</v>
      </c>
      <c r="GO69" s="20" t="n">
        <f aca="false">GK69*Slot18_SpendLike*MIN(Slot18_Cost-GN69,GG69)</f>
        <v>0</v>
      </c>
      <c r="GP69" s="20" t="n">
        <f aca="false">GN69+GO69</f>
        <v>0</v>
      </c>
      <c r="GQ69" s="20" t="n">
        <f aca="false">GG69-GO69+GK69*IF(Slot18_SpendLike=1,GM69-GN69,IF(Slot18_PotFree=1,GM69,0))</f>
        <v>0</v>
      </c>
      <c r="GR69" s="20" t="n">
        <f aca="false">GH69+GK69*Slot18_BufPot*GM69</f>
        <v>0</v>
      </c>
      <c r="GS69" s="20" t="n">
        <f aca="false">IF(AND(GK69=1,Slot18_IsMfree=1),IF(GP69&gt;=Slot18_Cost-1,0,MAX(0,GI69-GP69)),GI69)</f>
        <v>0</v>
      </c>
      <c r="GT69" s="20" t="n">
        <f aca="false">GK69*(Slot18_Cost-GP69)</f>
        <v>0</v>
      </c>
      <c r="GU69" s="20" t="n">
        <f aca="false">IF(AND(Slot19_On=1,D69=Slot19_Age),1,0)</f>
        <v>0</v>
      </c>
      <c r="GV69" s="20" t="n">
        <f aca="false">IF(AND(Slot19_On=1,Slot19_Age&gt;D69),1,0)</f>
        <v>0</v>
      </c>
      <c r="GW69" s="20" t="n">
        <f aca="false">TG68</f>
        <v>0</v>
      </c>
      <c r="GX69" s="20" t="n">
        <f aca="false">GU69*MIN(Slot19_Cost,GW69)</f>
        <v>0</v>
      </c>
      <c r="GY69" s="20" t="n">
        <f aca="false">GU69*Slot19_SpendLike*MIN(Slot19_Cost-GX69,GQ69)</f>
        <v>0</v>
      </c>
      <c r="GZ69" s="20" t="n">
        <f aca="false">GX69+GY69</f>
        <v>0</v>
      </c>
      <c r="HA69" s="20" t="n">
        <f aca="false">GQ69-GY69+GU69*IF(Slot19_SpendLike=1,GW69-GX69,IF(Slot19_PotFree=1,GW69,0))</f>
        <v>0</v>
      </c>
      <c r="HB69" s="20" t="n">
        <f aca="false">GR69+GU69*Slot19_BufPot*GW69</f>
        <v>0</v>
      </c>
      <c r="HC69" s="20" t="n">
        <f aca="false">IF(AND(GU69=1,Slot19_IsMfree=1),IF(GZ69&gt;=Slot19_Cost-1,0,MAX(0,GS69-GZ69)),GS69)</f>
        <v>0</v>
      </c>
      <c r="HD69" s="20" t="n">
        <f aca="false">GU69*(Slot19_Cost-GZ69)</f>
        <v>0</v>
      </c>
      <c r="HE69" s="20" t="n">
        <f aca="false">IF(AND(Slot20_On=1,D69=Slot20_Age),1,0)</f>
        <v>0</v>
      </c>
      <c r="HF69" s="20" t="n">
        <f aca="false">IF(AND(Slot20_On=1,Slot20_Age&gt;D69),1,0)</f>
        <v>0</v>
      </c>
      <c r="HG69" s="20" t="n">
        <f aca="false">TK68</f>
        <v>0</v>
      </c>
      <c r="HH69" s="20" t="n">
        <f aca="false">HE69*MIN(Slot20_Cost,HG69)</f>
        <v>0</v>
      </c>
      <c r="HI69" s="20" t="n">
        <f aca="false">HE69*Slot20_SpendLike*MIN(Slot20_Cost-HH69,HA69)</f>
        <v>0</v>
      </c>
      <c r="HJ69" s="20" t="n">
        <f aca="false">HH69+HI69</f>
        <v>0</v>
      </c>
      <c r="HK69" s="20" t="n">
        <f aca="false">HA69-HI69+HE69*IF(Slot20_SpendLike=1,HG69-HH69,IF(Slot20_PotFree=1,HG69,0))</f>
        <v>0</v>
      </c>
      <c r="HL69" s="20" t="n">
        <f aca="false">HB69+HE69*Slot20_BufPot*HG69</f>
        <v>0</v>
      </c>
      <c r="HM69" s="20" t="n">
        <f aca="false">IF(AND(HE69=1,Slot20_IsMfree=1),IF(HJ69&gt;=Slot20_Cost-1,0,MAX(0,HC69-HJ69)),HC69)</f>
        <v>0</v>
      </c>
      <c r="HN69" s="20" t="n">
        <f aca="false">HE69*(Slot20_Cost-HJ69)</f>
        <v>0</v>
      </c>
      <c r="HO69" s="20" t="n">
        <f aca="false">V69*Slot1_SpendLike*AA69+AG69*Slot2_SpendLike*AL69+AQ69*Slot3_SpendLike*AV69+BA69*Slot4_SpendLike*BF69+BK69*Slot5_SpendLike*BP69+BU69*Slot6_SpendLike*BZ69+CE69*Slot7_SpendLike*CJ69+CO69*Slot8_SpendLike*CT69+CY69*Slot9_SpendLike*DD69+DI69*Slot10_SpendLike*DN69+DS69*Slot11_SpendLike*DX69+EC69*Slot12_SpendLike*EH69+EM69*Slot13_SpendLike*ER69+EW69*Slot14_SpendLike*FB69+FG69*Slot15_SpendLike*FL69+FQ69*Slot16_SpendLike*FV69+GA69*Slot17_SpendLike*GF69+GK69*Slot18_SpendLike*GP69+GU69*Slot19_SpendLike*GZ69+HE69*Slot20_SpendLike*HJ69</f>
        <v>0</v>
      </c>
      <c r="HP69" s="20" t="n">
        <f aca="false">AE69+AP69+AZ69+BJ69+BT69+CD69+CN69+CX69+DH69+DR69+EB69+EL69+EV69+FF69+FP69+FZ69+GJ69+GT69+HD69+HN69</f>
        <v>0</v>
      </c>
      <c r="HQ69" s="20" t="n">
        <f aca="false">V69*Slot1_Cost+AG69*Slot2_Cost+AQ69*Slot3_Cost+BA69*Slot4_Cost+BK69*Slot5_Cost+BU69*Slot6_Cost+CE69*Slot7_Cost+CO69*Slot8_Cost+CY69*Slot9_Cost+DI69*Slot10_Cost+DS69*Slot11_Cost+EC69*Slot12_Cost+EM69*Slot13_Cost+EW69*Slot14_Cost+FG69*Slot15_Cost+FQ69*Slot16_Cost+GA69*Slot17_Cost+GK69*Slot18_Cost+GU69*Slot19_Cost+HE69*Slot20_Cost</f>
        <v>0</v>
      </c>
      <c r="HR69" s="20" t="n">
        <f aca="false">HM69</f>
        <v>0</v>
      </c>
      <c r="HS69" s="20" t="n">
        <f aca="false">H69-I69-S69</f>
        <v>-64474.9795593471</v>
      </c>
      <c r="HT69" s="20" t="n">
        <f aca="false">IF(B69=0,IF(AND(Has_q6=1,In_q6=4),PR_ShareVaries*(MAX(0,HS69)/12),MIN(IF(Has_q6=1,CHOOSE(In_q6+1,PR_SaveB1,PR_SaveB2,PR_SaveB3,PR_SaveB4,0),AS_NoAnswer),AS_SaveShare*(MAX(0,HS69)/12))),HT68)</f>
        <v>62.3316893520437</v>
      </c>
      <c r="HU69" s="20" t="n">
        <f aca="false">IF(HS69&gt;=0,1,0)</f>
        <v>0</v>
      </c>
      <c r="HV69" s="20" t="n">
        <f aca="false">MAX(0,HS69/12/F69)</f>
        <v>0</v>
      </c>
      <c r="HW69" s="20" t="n">
        <f aca="false">IF(AND(Has_q6=1,In_q6=4),PR_ShareVaries*(HV69),MIN(IF(Has_q6=1,CHOOSE(In_q6+1,PR_SaveB1,PR_SaveB2,PR_SaveB3,PR_SaveB4,0),AS_NoAnswer),AS_SaveShare*(HV69)))</f>
        <v>0</v>
      </c>
      <c r="HX69" s="20" t="n">
        <f aca="false">IF(Has_saveM=1,IF(In_saveUp="Yes",1,IF(In_saveUp="No",0,IF(In_saveM&gt;=HT69-0.5,1,0))),0)</f>
        <v>0</v>
      </c>
      <c r="HY69" s="20" t="n">
        <f aca="false">IF(Has_saveM=1,MIN(HV69,IF(HX69=1,MAX(In_saveM,HW69),MIN(In_saveM,HW69))),HW69)</f>
        <v>0</v>
      </c>
      <c r="HZ69" s="20" t="n">
        <f aca="false">IF(G69=1,HY69*12*F69,0)</f>
        <v>0</v>
      </c>
      <c r="IA69" s="20" t="n">
        <f aca="false">MAX(0,HZ69+IF(AND(WI_Retire=0,WI_M&lt;0,G69=1),WI_M*12*F69,0))</f>
        <v>0</v>
      </c>
      <c r="IB69" s="20" t="n">
        <f aca="false">Slot1_IsWG*W69+Slot2_IsWG*AH69+Slot3_IsWG*AR69+Slot4_IsWG*BB69+Slot5_IsWG*BL69+Slot6_IsWG*BV69+Slot7_IsWG*CF69+Slot8_IsWG*CP69+Slot9_IsWG*CZ69+Slot10_IsWG*DJ69+Slot11_IsWG*DT69+Slot12_IsWG*ED69+Slot13_IsWG*EN69+Slot14_IsWG*EX69+Slot15_IsWG*FH69+Slot16_IsWG*FR69+Slot17_IsWG*GB69+Slot18_IsWG*GL69+Slot19_IsWG*GV69+Slot20_IsWG*HF69</f>
        <v>0</v>
      </c>
      <c r="IC69" s="20" t="n">
        <f aca="false">IF(AND(WI_Retire=0,WI_M&gt;0,G69=1,IB69&gt;=1),WI_M*12*F69,0)</f>
        <v>0</v>
      </c>
      <c r="ID69" s="20" t="n">
        <f aca="false">IF(HU69=1,MIN(IA69,HS69),0)</f>
        <v>0</v>
      </c>
      <c r="IE69" s="20" t="n">
        <f aca="false">IF(HU69=1,MIN(IC69,HS69-ID69),0)</f>
        <v>0</v>
      </c>
      <c r="IF69" s="20" t="n">
        <f aca="false">IF(W69=1,IF(ABS((1+AS_Wage)/(1+Slot1_Rate)-1)&lt;0.000000000001,(Slot1_Age-D69)*(1+Slot1_Rate)^(Slot1_Age-D69),(1+Slot1_Rate)^(Slot1_Age-D69)*(1-((1+AS_Wage)/(1+Slot1_Rate))^(Slot1_Age-D69))/(1-(1+AS_Wage)/(1+Slot1_Rate))),1)</f>
        <v>1</v>
      </c>
      <c r="IG69" s="20" t="n">
        <f aca="false">IF(AND(HU69=1,IE69&gt;0,Slot1_IsWG=1,W69=1),MAX(0,(Slot1_Cost-X69*(1+Slot1_Rate)^(Slot1_Age-D69))/IF69),0)</f>
        <v>0</v>
      </c>
      <c r="IH69" s="20" t="n">
        <f aca="false">IF(AND(HU69=1,IE69&gt;0,Slot1_IsWG=1,W69=1),MIN(IE69,IG69),0)</f>
        <v>0</v>
      </c>
      <c r="II69" s="20" t="n">
        <f aca="false">X69+IH69</f>
        <v>0</v>
      </c>
      <c r="IJ69" s="20" t="n">
        <f aca="false">IF(W69=1,MAX(0,(Slot1_Cost-II69*(1+Slot1_Rate)^(Slot1_Age-D69))/IF69),0)</f>
        <v>0</v>
      </c>
      <c r="IK69" s="20" t="n">
        <f aca="false">IF(W69=1,MAX(0,(Slot1_Cost-X69*(1+Slot1_Rate)^(Slot1_Age-D69))/IF69),0)</f>
        <v>0</v>
      </c>
      <c r="IL69" s="20" t="n">
        <f aca="false">IF(AND(HU69=1,W69=1),MIN(ID69,IJ69),0)</f>
        <v>0</v>
      </c>
      <c r="IM69" s="20" t="n">
        <f aca="false">ID69-IL69</f>
        <v>0</v>
      </c>
      <c r="IN69" s="20" t="n">
        <f aca="false">IF(AH69=1,IF(ABS((1+AS_Wage)/(1+Slot2_Rate)-1)&lt;0.000000000001,(Slot2_Age-D69)*(1+Slot2_Rate)^(Slot2_Age-D69),(1+Slot2_Rate)^(Slot2_Age-D69)*(1-((1+AS_Wage)/(1+Slot2_Rate))^(Slot2_Age-D69))/(1-(1+AS_Wage)/(1+Slot2_Rate))),1)</f>
        <v>1</v>
      </c>
      <c r="IO69" s="20" t="n">
        <f aca="false">IF(AND(HU69=1,IE69&gt;0,Slot2_IsWG=1,AH69=1),MAX(0,(Slot2_Cost-AI69*(1+Slot2_Rate)^(Slot2_Age-D69))/IN69),0)</f>
        <v>0</v>
      </c>
      <c r="IP69" s="20" t="n">
        <f aca="false">IF(AND(HU69=1,IE69&gt;0,Slot2_IsWG=1,AH69=1),MIN(IE69,IO69),0)</f>
        <v>0</v>
      </c>
      <c r="IQ69" s="20" t="n">
        <f aca="false">AI69+IP69</f>
        <v>0</v>
      </c>
      <c r="IR69" s="20" t="n">
        <f aca="false">IF(AH69=1,MAX(0,(Slot2_Cost-IQ69*(1+Slot2_Rate)^(Slot2_Age-D69))/IN69),0)</f>
        <v>0</v>
      </c>
      <c r="IS69" s="20" t="n">
        <f aca="false">IF(AH69=1,MAX(0,(Slot2_Cost-AI69*(1+Slot2_Rate)^(Slot2_Age-D69))/IN69),0)</f>
        <v>0</v>
      </c>
      <c r="IT69" s="20" t="n">
        <f aca="false">IF(AND(HU69=1,AH69=1),MIN(IM69,IR69),0)</f>
        <v>0</v>
      </c>
      <c r="IU69" s="20" t="n">
        <f aca="false">IM69-IT69</f>
        <v>0</v>
      </c>
      <c r="IV69" s="20" t="n">
        <f aca="false">IF(AR69=1,IF(ABS((1+AS_Wage)/(1+Slot3_Rate)-1)&lt;0.000000000001,(Slot3_Age-D69)*(1+Slot3_Rate)^(Slot3_Age-D69),(1+Slot3_Rate)^(Slot3_Age-D69)*(1-((1+AS_Wage)/(1+Slot3_Rate))^(Slot3_Age-D69))/(1-(1+AS_Wage)/(1+Slot3_Rate))),1)</f>
        <v>1</v>
      </c>
      <c r="IW69" s="20" t="n">
        <f aca="false">IF(AND(HU69=1,IE69&gt;0,Slot3_IsWG=1,AR69=1),MAX(0,(Slot3_Cost-AS69*(1+Slot3_Rate)^(Slot3_Age-D69))/IV69),0)</f>
        <v>0</v>
      </c>
      <c r="IX69" s="20" t="n">
        <f aca="false">IF(AND(HU69=1,IE69&gt;0,Slot3_IsWG=1,AR69=1),MIN(IE69,IW69),0)</f>
        <v>0</v>
      </c>
      <c r="IY69" s="20" t="n">
        <f aca="false">AS69+IX69</f>
        <v>0</v>
      </c>
      <c r="IZ69" s="20" t="n">
        <f aca="false">IF(AR69=1,MAX(0,(Slot3_Cost-IY69*(1+Slot3_Rate)^(Slot3_Age-D69))/IV69),0)</f>
        <v>0</v>
      </c>
      <c r="JA69" s="20" t="n">
        <f aca="false">IF(AR69=1,MAX(0,(Slot3_Cost-AS69*(1+Slot3_Rate)^(Slot3_Age-D69))/IV69),0)</f>
        <v>0</v>
      </c>
      <c r="JB69" s="20" t="n">
        <f aca="false">IF(AND(HU69=1,AR69=1),MIN(IU69,IZ69),0)</f>
        <v>0</v>
      </c>
      <c r="JC69" s="20" t="n">
        <f aca="false">IU69-JB69</f>
        <v>0</v>
      </c>
      <c r="JD69" s="20" t="n">
        <f aca="false">IF(BB69=1,IF(ABS((1+AS_Wage)/(1+Slot4_Rate)-1)&lt;0.000000000001,(Slot4_Age-D69)*(1+Slot4_Rate)^(Slot4_Age-D69),(1+Slot4_Rate)^(Slot4_Age-D69)*(1-((1+AS_Wage)/(1+Slot4_Rate))^(Slot4_Age-D69))/(1-(1+AS_Wage)/(1+Slot4_Rate))),1)</f>
        <v>1</v>
      </c>
      <c r="JE69" s="20" t="n">
        <f aca="false">IF(AND(HU69=1,IE69&gt;0,Slot4_IsWG=1,BB69=1),MAX(0,(Slot4_Cost-BC69*(1+Slot4_Rate)^(Slot4_Age-D69))/JD69),0)</f>
        <v>0</v>
      </c>
      <c r="JF69" s="20" t="n">
        <f aca="false">IF(AND(HU69=1,IE69&gt;0,Slot4_IsWG=1,BB69=1),MIN(IE69,JE69),0)</f>
        <v>0</v>
      </c>
      <c r="JG69" s="20" t="n">
        <f aca="false">BC69+JF69</f>
        <v>0</v>
      </c>
      <c r="JH69" s="20" t="n">
        <f aca="false">IF(BB69=1,MAX(0,(Slot4_Cost-JG69*(1+Slot4_Rate)^(Slot4_Age-D69))/JD69),0)</f>
        <v>0</v>
      </c>
      <c r="JI69" s="20" t="n">
        <f aca="false">IF(BB69=1,MAX(0,(Slot4_Cost-BC69*(1+Slot4_Rate)^(Slot4_Age-D69))/JD69),0)</f>
        <v>0</v>
      </c>
      <c r="JJ69" s="20" t="n">
        <f aca="false">IF(AND(HU69=1,BB69=1),MIN(JC69,JH69),0)</f>
        <v>0</v>
      </c>
      <c r="JK69" s="20" t="n">
        <f aca="false">JC69-JJ69</f>
        <v>0</v>
      </c>
      <c r="JL69" s="20" t="n">
        <f aca="false">IF(BL69=1,IF(ABS((1+AS_Wage)/(1+Slot5_Rate)-1)&lt;0.000000000001,(Slot5_Age-D69)*(1+Slot5_Rate)^(Slot5_Age-D69),(1+Slot5_Rate)^(Slot5_Age-D69)*(1-((1+AS_Wage)/(1+Slot5_Rate))^(Slot5_Age-D69))/(1-(1+AS_Wage)/(1+Slot5_Rate))),1)</f>
        <v>1</v>
      </c>
      <c r="JM69" s="20" t="n">
        <f aca="false">IF(AND(HU69=1,IE69&gt;0,Slot5_IsWG=1,BL69=1),MAX(0,(Slot5_Cost-BM69*(1+Slot5_Rate)^(Slot5_Age-D69))/JL69),0)</f>
        <v>0</v>
      </c>
      <c r="JN69" s="20" t="n">
        <f aca="false">IF(AND(HU69=1,IE69&gt;0,Slot5_IsWG=1,BL69=1),MIN(IE69,JM69),0)</f>
        <v>0</v>
      </c>
      <c r="JO69" s="20" t="n">
        <f aca="false">BM69+JN69</f>
        <v>0</v>
      </c>
      <c r="JP69" s="20" t="n">
        <f aca="false">IF(BL69=1,MAX(0,(Slot5_Cost-JO69*(1+Slot5_Rate)^(Slot5_Age-D69))/JL69),0)</f>
        <v>0</v>
      </c>
      <c r="JQ69" s="20" t="n">
        <f aca="false">IF(BL69=1,MAX(0,(Slot5_Cost-BM69*(1+Slot5_Rate)^(Slot5_Age-D69))/JL69),0)</f>
        <v>0</v>
      </c>
      <c r="JR69" s="20" t="n">
        <f aca="false">IF(AND(HU69=1,BL69=1),MIN(JK69,JP69),0)</f>
        <v>0</v>
      </c>
      <c r="JS69" s="20" t="n">
        <f aca="false">JK69-JR69</f>
        <v>0</v>
      </c>
      <c r="JT69" s="20" t="n">
        <f aca="false">IF(BV69=1,IF(ABS((1+AS_Wage)/(1+Slot6_Rate)-1)&lt;0.000000000001,(Slot6_Age-D69)*(1+Slot6_Rate)^(Slot6_Age-D69),(1+Slot6_Rate)^(Slot6_Age-D69)*(1-((1+AS_Wage)/(1+Slot6_Rate))^(Slot6_Age-D69))/(1-(1+AS_Wage)/(1+Slot6_Rate))),1)</f>
        <v>1</v>
      </c>
      <c r="JU69" s="20" t="n">
        <f aca="false">IF(AND(HU69=1,IE69&gt;0,Slot6_IsWG=1,BV69=1),MAX(0,(Slot6_Cost-BW69*(1+Slot6_Rate)^(Slot6_Age-D69))/JT69),0)</f>
        <v>0</v>
      </c>
      <c r="JV69" s="20" t="n">
        <f aca="false">IF(AND(HU69=1,IE69&gt;0,Slot6_IsWG=1,BV69=1),MIN(IE69,JU69),0)</f>
        <v>0</v>
      </c>
      <c r="JW69" s="20" t="n">
        <f aca="false">BW69+JV69</f>
        <v>0</v>
      </c>
      <c r="JX69" s="20" t="n">
        <f aca="false">IF(BV69=1,MAX(0,(Slot6_Cost-JW69*(1+Slot6_Rate)^(Slot6_Age-D69))/JT69),0)</f>
        <v>0</v>
      </c>
      <c r="JY69" s="20" t="n">
        <f aca="false">IF(BV69=1,MAX(0,(Slot6_Cost-BW69*(1+Slot6_Rate)^(Slot6_Age-D69))/JT69),0)</f>
        <v>0</v>
      </c>
      <c r="JZ69" s="20" t="n">
        <f aca="false">IF(AND(HU69=1,BV69=1),MIN(JS69,JX69),0)</f>
        <v>0</v>
      </c>
      <c r="KA69" s="20" t="n">
        <f aca="false">JS69-JZ69</f>
        <v>0</v>
      </c>
      <c r="KB69" s="20" t="n">
        <f aca="false">IF(CF69=1,IF(ABS((1+AS_Wage)/(1+Slot7_Rate)-1)&lt;0.000000000001,(Slot7_Age-D69)*(1+Slot7_Rate)^(Slot7_Age-D69),(1+Slot7_Rate)^(Slot7_Age-D69)*(1-((1+AS_Wage)/(1+Slot7_Rate))^(Slot7_Age-D69))/(1-(1+AS_Wage)/(1+Slot7_Rate))),1)</f>
        <v>1</v>
      </c>
      <c r="KC69" s="20" t="n">
        <f aca="false">IF(AND(HU69=1,IE69&gt;0,Slot7_IsWG=1,CF69=1),MAX(0,(Slot7_Cost-CG69*(1+Slot7_Rate)^(Slot7_Age-D69))/KB69),0)</f>
        <v>0</v>
      </c>
      <c r="KD69" s="20" t="n">
        <f aca="false">IF(AND(HU69=1,IE69&gt;0,Slot7_IsWG=1,CF69=1),MIN(IE69,KC69),0)</f>
        <v>0</v>
      </c>
      <c r="KE69" s="20" t="n">
        <f aca="false">CG69+KD69</f>
        <v>0</v>
      </c>
      <c r="KF69" s="20" t="n">
        <f aca="false">IF(CF69=1,MAX(0,(Slot7_Cost-KE69*(1+Slot7_Rate)^(Slot7_Age-D69))/KB69),0)</f>
        <v>0</v>
      </c>
      <c r="KG69" s="20" t="n">
        <f aca="false">IF(CF69=1,MAX(0,(Slot7_Cost-CG69*(1+Slot7_Rate)^(Slot7_Age-D69))/KB69),0)</f>
        <v>0</v>
      </c>
      <c r="KH69" s="20" t="n">
        <f aca="false">IF(AND(HU69=1,CF69=1),MIN(KA69,KF69),0)</f>
        <v>0</v>
      </c>
      <c r="KI69" s="20" t="n">
        <f aca="false">KA69-KH69</f>
        <v>0</v>
      </c>
      <c r="KJ69" s="20" t="n">
        <f aca="false">IF(CP69=1,IF(ABS((1+AS_Wage)/(1+Slot8_Rate)-1)&lt;0.000000000001,(Slot8_Age-D69)*(1+Slot8_Rate)^(Slot8_Age-D69),(1+Slot8_Rate)^(Slot8_Age-D69)*(1-((1+AS_Wage)/(1+Slot8_Rate))^(Slot8_Age-D69))/(1-(1+AS_Wage)/(1+Slot8_Rate))),1)</f>
        <v>1</v>
      </c>
      <c r="KK69" s="20" t="n">
        <f aca="false">IF(AND(HU69=1,IE69&gt;0,Slot8_IsWG=1,CP69=1),MAX(0,(Slot8_Cost-CQ69*(1+Slot8_Rate)^(Slot8_Age-D69))/KJ69),0)</f>
        <v>0</v>
      </c>
      <c r="KL69" s="20" t="n">
        <f aca="false">IF(AND(HU69=1,IE69&gt;0,Slot8_IsWG=1,CP69=1),MIN(IE69,KK69),0)</f>
        <v>0</v>
      </c>
      <c r="KM69" s="20" t="n">
        <f aca="false">CQ69+KL69</f>
        <v>0</v>
      </c>
      <c r="KN69" s="20" t="n">
        <f aca="false">IF(CP69=1,MAX(0,(Slot8_Cost-KM69*(1+Slot8_Rate)^(Slot8_Age-D69))/KJ69),0)</f>
        <v>0</v>
      </c>
      <c r="KO69" s="20" t="n">
        <f aca="false">IF(CP69=1,MAX(0,(Slot8_Cost-CQ69*(1+Slot8_Rate)^(Slot8_Age-D69))/KJ69),0)</f>
        <v>0</v>
      </c>
      <c r="KP69" s="20" t="n">
        <f aca="false">IF(AND(HU69=1,CP69=1),MIN(KI69,KN69),0)</f>
        <v>0</v>
      </c>
      <c r="KQ69" s="20" t="n">
        <f aca="false">KI69-KP69</f>
        <v>0</v>
      </c>
      <c r="KR69" s="20" t="n">
        <f aca="false">IF(CZ69=1,IF(ABS((1+AS_Wage)/(1+Slot9_Rate)-1)&lt;0.000000000001,(Slot9_Age-D69)*(1+Slot9_Rate)^(Slot9_Age-D69),(1+Slot9_Rate)^(Slot9_Age-D69)*(1-((1+AS_Wage)/(1+Slot9_Rate))^(Slot9_Age-D69))/(1-(1+AS_Wage)/(1+Slot9_Rate))),1)</f>
        <v>1</v>
      </c>
      <c r="KS69" s="20" t="n">
        <f aca="false">IF(AND(HU69=1,IE69&gt;0,Slot9_IsWG=1,CZ69=1),MAX(0,(Slot9_Cost-DA69*(1+Slot9_Rate)^(Slot9_Age-D69))/KR69),0)</f>
        <v>0</v>
      </c>
      <c r="KT69" s="20" t="n">
        <f aca="false">IF(AND(HU69=1,IE69&gt;0,Slot9_IsWG=1,CZ69=1),MIN(IE69,KS69),0)</f>
        <v>0</v>
      </c>
      <c r="KU69" s="20" t="n">
        <f aca="false">DA69+KT69</f>
        <v>0</v>
      </c>
      <c r="KV69" s="20" t="n">
        <f aca="false">IF(CZ69=1,MAX(0,(Slot9_Cost-KU69*(1+Slot9_Rate)^(Slot9_Age-D69))/KR69),0)</f>
        <v>0</v>
      </c>
      <c r="KW69" s="20" t="n">
        <f aca="false">IF(CZ69=1,MAX(0,(Slot9_Cost-DA69*(1+Slot9_Rate)^(Slot9_Age-D69))/KR69),0)</f>
        <v>0</v>
      </c>
      <c r="KX69" s="20" t="n">
        <f aca="false">IF(AND(HU69=1,CZ69=1),MIN(KQ69,KV69),0)</f>
        <v>0</v>
      </c>
      <c r="KY69" s="20" t="n">
        <f aca="false">KQ69-KX69</f>
        <v>0</v>
      </c>
      <c r="KZ69" s="20" t="n">
        <f aca="false">IF(DJ69=1,IF(ABS((1+AS_Wage)/(1+Slot10_Rate)-1)&lt;0.000000000001,(Slot10_Age-D69)*(1+Slot10_Rate)^(Slot10_Age-D69),(1+Slot10_Rate)^(Slot10_Age-D69)*(1-((1+AS_Wage)/(1+Slot10_Rate))^(Slot10_Age-D69))/(1-(1+AS_Wage)/(1+Slot10_Rate))),1)</f>
        <v>1</v>
      </c>
      <c r="LA69" s="20" t="n">
        <f aca="false">IF(AND(HU69=1,IE69&gt;0,Slot10_IsWG=1,DJ69=1),MAX(0,(Slot10_Cost-DK69*(1+Slot10_Rate)^(Slot10_Age-D69))/KZ69),0)</f>
        <v>0</v>
      </c>
      <c r="LB69" s="20" t="n">
        <f aca="false">IF(AND(HU69=1,IE69&gt;0,Slot10_IsWG=1,DJ69=1),MIN(IE69,LA69),0)</f>
        <v>0</v>
      </c>
      <c r="LC69" s="20" t="n">
        <f aca="false">DK69+LB69</f>
        <v>0</v>
      </c>
      <c r="LD69" s="20" t="n">
        <f aca="false">IF(DJ69=1,MAX(0,(Slot10_Cost-LC69*(1+Slot10_Rate)^(Slot10_Age-D69))/KZ69),0)</f>
        <v>0</v>
      </c>
      <c r="LE69" s="20" t="n">
        <f aca="false">IF(DJ69=1,MAX(0,(Slot10_Cost-DK69*(1+Slot10_Rate)^(Slot10_Age-D69))/KZ69),0)</f>
        <v>0</v>
      </c>
      <c r="LF69" s="20" t="n">
        <f aca="false">IF(AND(HU69=1,DJ69=1),MIN(KY69,LD69),0)</f>
        <v>0</v>
      </c>
      <c r="LG69" s="20" t="n">
        <f aca="false">KY69-LF69</f>
        <v>0</v>
      </c>
      <c r="LH69" s="20" t="n">
        <f aca="false">IF(DT69=1,IF(ABS((1+AS_Wage)/(1+Slot11_Rate)-1)&lt;0.000000000001,(Slot11_Age-D69)*(1+Slot11_Rate)^(Slot11_Age-D69),(1+Slot11_Rate)^(Slot11_Age-D69)*(1-((1+AS_Wage)/(1+Slot11_Rate))^(Slot11_Age-D69))/(1-(1+AS_Wage)/(1+Slot11_Rate))),1)</f>
        <v>1</v>
      </c>
      <c r="LI69" s="20" t="n">
        <f aca="false">IF(AND(HU69=1,IE69&gt;0,Slot11_IsWG=1,DT69=1),MAX(0,(Slot11_Cost-DU69*(1+Slot11_Rate)^(Slot11_Age-D69))/LH69),0)</f>
        <v>0</v>
      </c>
      <c r="LJ69" s="20" t="n">
        <f aca="false">IF(AND(HU69=1,IE69&gt;0,Slot11_IsWG=1,DT69=1),MIN(IE69,LI69),0)</f>
        <v>0</v>
      </c>
      <c r="LK69" s="20" t="n">
        <f aca="false">DU69+LJ69</f>
        <v>0</v>
      </c>
      <c r="LL69" s="20" t="n">
        <f aca="false">IF(DT69=1,MAX(0,(Slot11_Cost-LK69*(1+Slot11_Rate)^(Slot11_Age-D69))/LH69),0)</f>
        <v>0</v>
      </c>
      <c r="LM69" s="20" t="n">
        <f aca="false">IF(DT69=1,MAX(0,(Slot11_Cost-DU69*(1+Slot11_Rate)^(Slot11_Age-D69))/LH69),0)</f>
        <v>0</v>
      </c>
      <c r="LN69" s="20" t="n">
        <f aca="false">IF(AND(HU69=1,DT69=1),MIN(LG69,LL69),0)</f>
        <v>0</v>
      </c>
      <c r="LO69" s="20" t="n">
        <f aca="false">LG69-LN69</f>
        <v>0</v>
      </c>
      <c r="LP69" s="20" t="n">
        <f aca="false">IF(ED69=1,IF(ABS((1+AS_Wage)/(1+Slot12_Rate)-1)&lt;0.000000000001,(Slot12_Age-D69)*(1+Slot12_Rate)^(Slot12_Age-D69),(1+Slot12_Rate)^(Slot12_Age-D69)*(1-((1+AS_Wage)/(1+Slot12_Rate))^(Slot12_Age-D69))/(1-(1+AS_Wage)/(1+Slot12_Rate))),1)</f>
        <v>1</v>
      </c>
      <c r="LQ69" s="20" t="n">
        <f aca="false">IF(AND(HU69=1,IE69&gt;0,Slot12_IsWG=1,ED69=1),MAX(0,(Slot12_Cost-EE69*(1+Slot12_Rate)^(Slot12_Age-D69))/LP69),0)</f>
        <v>0</v>
      </c>
      <c r="LR69" s="20" t="n">
        <f aca="false">IF(AND(HU69=1,IE69&gt;0,Slot12_IsWG=1,ED69=1),MIN(IE69,LQ69),0)</f>
        <v>0</v>
      </c>
      <c r="LS69" s="20" t="n">
        <f aca="false">EE69+LR69</f>
        <v>0</v>
      </c>
      <c r="LT69" s="20" t="n">
        <f aca="false">IF(ED69=1,MAX(0,(Slot12_Cost-LS69*(1+Slot12_Rate)^(Slot12_Age-D69))/LP69),0)</f>
        <v>0</v>
      </c>
      <c r="LU69" s="20" t="n">
        <f aca="false">IF(ED69=1,MAX(0,(Slot12_Cost-EE69*(1+Slot12_Rate)^(Slot12_Age-D69))/LP69),0)</f>
        <v>0</v>
      </c>
      <c r="LV69" s="20" t="n">
        <f aca="false">IF(AND(HU69=1,ED69=1),MIN(LO69,LT69),0)</f>
        <v>0</v>
      </c>
      <c r="LW69" s="20" t="n">
        <f aca="false">LO69-LV69</f>
        <v>0</v>
      </c>
      <c r="LX69" s="20" t="n">
        <f aca="false">IF(EN69=1,IF(ABS((1+AS_Wage)/(1+Slot13_Rate)-1)&lt;0.000000000001,(Slot13_Age-D69)*(1+Slot13_Rate)^(Slot13_Age-D69),(1+Slot13_Rate)^(Slot13_Age-D69)*(1-((1+AS_Wage)/(1+Slot13_Rate))^(Slot13_Age-D69))/(1-(1+AS_Wage)/(1+Slot13_Rate))),1)</f>
        <v>1</v>
      </c>
      <c r="LY69" s="20" t="n">
        <f aca="false">IF(AND(HU69=1,IE69&gt;0,Slot13_IsWG=1,EN69=1),MAX(0,(Slot13_Cost-EO69*(1+Slot13_Rate)^(Slot13_Age-D69))/LX69),0)</f>
        <v>0</v>
      </c>
      <c r="LZ69" s="20" t="n">
        <f aca="false">IF(AND(HU69=1,IE69&gt;0,Slot13_IsWG=1,EN69=1),MIN(IE69,LY69),0)</f>
        <v>0</v>
      </c>
      <c r="MA69" s="20" t="n">
        <f aca="false">EO69+LZ69</f>
        <v>0</v>
      </c>
      <c r="MB69" s="20" t="n">
        <f aca="false">IF(EN69=1,MAX(0,(Slot13_Cost-MA69*(1+Slot13_Rate)^(Slot13_Age-D69))/LX69),0)</f>
        <v>0</v>
      </c>
      <c r="MC69" s="20" t="n">
        <f aca="false">IF(EN69=1,MAX(0,(Slot13_Cost-EO69*(1+Slot13_Rate)^(Slot13_Age-D69))/LX69),0)</f>
        <v>0</v>
      </c>
      <c r="MD69" s="20" t="n">
        <f aca="false">IF(AND(HU69=1,EN69=1),MIN(LW69,MB69),0)</f>
        <v>0</v>
      </c>
      <c r="ME69" s="20" t="n">
        <f aca="false">LW69-MD69</f>
        <v>0</v>
      </c>
      <c r="MF69" s="20" t="n">
        <f aca="false">IF(EX69=1,IF(ABS((1+AS_Wage)/(1+Slot14_Rate)-1)&lt;0.000000000001,(Slot14_Age-D69)*(1+Slot14_Rate)^(Slot14_Age-D69),(1+Slot14_Rate)^(Slot14_Age-D69)*(1-((1+AS_Wage)/(1+Slot14_Rate))^(Slot14_Age-D69))/(1-(1+AS_Wage)/(1+Slot14_Rate))),1)</f>
        <v>1</v>
      </c>
      <c r="MG69" s="20" t="n">
        <f aca="false">IF(AND(HU69=1,IE69&gt;0,Slot14_IsWG=1,EX69=1),MAX(0,(Slot14_Cost-EY69*(1+Slot14_Rate)^(Slot14_Age-D69))/MF69),0)</f>
        <v>0</v>
      </c>
      <c r="MH69" s="20" t="n">
        <f aca="false">IF(AND(HU69=1,IE69&gt;0,Slot14_IsWG=1,EX69=1),MIN(IE69,MG69),0)</f>
        <v>0</v>
      </c>
      <c r="MI69" s="20" t="n">
        <f aca="false">EY69+MH69</f>
        <v>0</v>
      </c>
      <c r="MJ69" s="20" t="n">
        <f aca="false">IF(EX69=1,MAX(0,(Slot14_Cost-MI69*(1+Slot14_Rate)^(Slot14_Age-D69))/MF69),0)</f>
        <v>0</v>
      </c>
      <c r="MK69" s="20" t="n">
        <f aca="false">IF(EX69=1,MAX(0,(Slot14_Cost-EY69*(1+Slot14_Rate)^(Slot14_Age-D69))/MF69),0)</f>
        <v>0</v>
      </c>
      <c r="ML69" s="20" t="n">
        <f aca="false">IF(AND(HU69=1,EX69=1),MIN(ME69,MJ69),0)</f>
        <v>0</v>
      </c>
      <c r="MM69" s="20" t="n">
        <f aca="false">ME69-ML69</f>
        <v>0</v>
      </c>
      <c r="MN69" s="20" t="n">
        <f aca="false">IF(FH69=1,IF(ABS((1+AS_Wage)/(1+Slot15_Rate)-1)&lt;0.000000000001,(Slot15_Age-D69)*(1+Slot15_Rate)^(Slot15_Age-D69),(1+Slot15_Rate)^(Slot15_Age-D69)*(1-((1+AS_Wage)/(1+Slot15_Rate))^(Slot15_Age-D69))/(1-(1+AS_Wage)/(1+Slot15_Rate))),1)</f>
        <v>1</v>
      </c>
      <c r="MO69" s="20" t="n">
        <f aca="false">IF(AND(HU69=1,IE69&gt;0,Slot15_IsWG=1,FH69=1),MAX(0,(Slot15_Cost-FI69*(1+Slot15_Rate)^(Slot15_Age-D69))/MN69),0)</f>
        <v>0</v>
      </c>
      <c r="MP69" s="20" t="n">
        <f aca="false">IF(AND(HU69=1,IE69&gt;0,Slot15_IsWG=1,FH69=1),MIN(IE69,MO69),0)</f>
        <v>0</v>
      </c>
      <c r="MQ69" s="20" t="n">
        <f aca="false">FI69+MP69</f>
        <v>0</v>
      </c>
      <c r="MR69" s="20" t="n">
        <f aca="false">IF(FH69=1,MAX(0,(Slot15_Cost-MQ69*(1+Slot15_Rate)^(Slot15_Age-D69))/MN69),0)</f>
        <v>0</v>
      </c>
      <c r="MS69" s="20" t="n">
        <f aca="false">IF(FH69=1,MAX(0,(Slot15_Cost-FI69*(1+Slot15_Rate)^(Slot15_Age-D69))/MN69),0)</f>
        <v>0</v>
      </c>
      <c r="MT69" s="20" t="n">
        <f aca="false">IF(AND(HU69=1,FH69=1),MIN(MM69,MR69),0)</f>
        <v>0</v>
      </c>
      <c r="MU69" s="20" t="n">
        <f aca="false">MM69-MT69</f>
        <v>0</v>
      </c>
      <c r="MV69" s="20" t="n">
        <f aca="false">IF(FR69=1,IF(ABS((1+AS_Wage)/(1+Slot16_Rate)-1)&lt;0.000000000001,(Slot16_Age-D69)*(1+Slot16_Rate)^(Slot16_Age-D69),(1+Slot16_Rate)^(Slot16_Age-D69)*(1-((1+AS_Wage)/(1+Slot16_Rate))^(Slot16_Age-D69))/(1-(1+AS_Wage)/(1+Slot16_Rate))),1)</f>
        <v>1</v>
      </c>
      <c r="MW69" s="20" t="n">
        <f aca="false">IF(AND(HU69=1,IE69&gt;0,Slot16_IsWG=1,FR69=1),MAX(0,(Slot16_Cost-FS69*(1+Slot16_Rate)^(Slot16_Age-D69))/MV69),0)</f>
        <v>0</v>
      </c>
      <c r="MX69" s="20" t="n">
        <f aca="false">IF(AND(HU69=1,IE69&gt;0,Slot16_IsWG=1,FR69=1),MIN(IE69,MW69),0)</f>
        <v>0</v>
      </c>
      <c r="MY69" s="20" t="n">
        <f aca="false">FS69+MX69</f>
        <v>0</v>
      </c>
      <c r="MZ69" s="20" t="n">
        <f aca="false">IF(FR69=1,MAX(0,(Slot16_Cost-MY69*(1+Slot16_Rate)^(Slot16_Age-D69))/MV69),0)</f>
        <v>0</v>
      </c>
      <c r="NA69" s="20" t="n">
        <f aca="false">IF(FR69=1,MAX(0,(Slot16_Cost-FS69*(1+Slot16_Rate)^(Slot16_Age-D69))/MV69),0)</f>
        <v>0</v>
      </c>
      <c r="NB69" s="20" t="n">
        <f aca="false">IF(AND(HU69=1,FR69=1),MIN(MU69,MZ69),0)</f>
        <v>0</v>
      </c>
      <c r="NC69" s="20" t="n">
        <f aca="false">MU69-NB69</f>
        <v>0</v>
      </c>
      <c r="ND69" s="20" t="n">
        <f aca="false">IF(GB69=1,IF(ABS((1+AS_Wage)/(1+Slot17_Rate)-1)&lt;0.000000000001,(Slot17_Age-D69)*(1+Slot17_Rate)^(Slot17_Age-D69),(1+Slot17_Rate)^(Slot17_Age-D69)*(1-((1+AS_Wage)/(1+Slot17_Rate))^(Slot17_Age-D69))/(1-(1+AS_Wage)/(1+Slot17_Rate))),1)</f>
        <v>1</v>
      </c>
      <c r="NE69" s="20" t="n">
        <f aca="false">IF(AND(HU69=1,IE69&gt;0,Slot17_IsWG=1,GB69=1),MAX(0,(Slot17_Cost-GC69*(1+Slot17_Rate)^(Slot17_Age-D69))/ND69),0)</f>
        <v>0</v>
      </c>
      <c r="NF69" s="20" t="n">
        <f aca="false">IF(AND(HU69=1,IE69&gt;0,Slot17_IsWG=1,GB69=1),MIN(IE69,NE69),0)</f>
        <v>0</v>
      </c>
      <c r="NG69" s="20" t="n">
        <f aca="false">GC69+NF69</f>
        <v>0</v>
      </c>
      <c r="NH69" s="20" t="n">
        <f aca="false">IF(GB69=1,MAX(0,(Slot17_Cost-NG69*(1+Slot17_Rate)^(Slot17_Age-D69))/ND69),0)</f>
        <v>0</v>
      </c>
      <c r="NI69" s="20" t="n">
        <f aca="false">IF(GB69=1,MAX(0,(Slot17_Cost-GC69*(1+Slot17_Rate)^(Slot17_Age-D69))/ND69),0)</f>
        <v>0</v>
      </c>
      <c r="NJ69" s="20" t="n">
        <f aca="false">IF(AND(HU69=1,GB69=1),MIN(NC69,NH69),0)</f>
        <v>0</v>
      </c>
      <c r="NK69" s="20" t="n">
        <f aca="false">NC69-NJ69</f>
        <v>0</v>
      </c>
      <c r="NL69" s="20" t="n">
        <f aca="false">IF(GL69=1,IF(ABS((1+AS_Wage)/(1+Slot18_Rate)-1)&lt;0.000000000001,(Slot18_Age-D69)*(1+Slot18_Rate)^(Slot18_Age-D69),(1+Slot18_Rate)^(Slot18_Age-D69)*(1-((1+AS_Wage)/(1+Slot18_Rate))^(Slot18_Age-D69))/(1-(1+AS_Wage)/(1+Slot18_Rate))),1)</f>
        <v>1</v>
      </c>
      <c r="NM69" s="20" t="n">
        <f aca="false">IF(AND(HU69=1,IE69&gt;0,Slot18_IsWG=1,GL69=1),MAX(0,(Slot18_Cost-GM69*(1+Slot18_Rate)^(Slot18_Age-D69))/NL69),0)</f>
        <v>0</v>
      </c>
      <c r="NN69" s="20" t="n">
        <f aca="false">IF(AND(HU69=1,IE69&gt;0,Slot18_IsWG=1,GL69=1),MIN(IE69,NM69),0)</f>
        <v>0</v>
      </c>
      <c r="NO69" s="20" t="n">
        <f aca="false">GM69+NN69</f>
        <v>0</v>
      </c>
      <c r="NP69" s="20" t="n">
        <f aca="false">IF(GL69=1,MAX(0,(Slot18_Cost-NO69*(1+Slot18_Rate)^(Slot18_Age-D69))/NL69),0)</f>
        <v>0</v>
      </c>
      <c r="NQ69" s="20" t="n">
        <f aca="false">IF(GL69=1,MAX(0,(Slot18_Cost-GM69*(1+Slot18_Rate)^(Slot18_Age-D69))/NL69),0)</f>
        <v>0</v>
      </c>
      <c r="NR69" s="20" t="n">
        <f aca="false">IF(AND(HU69=1,GL69=1),MIN(NK69,NP69),0)</f>
        <v>0</v>
      </c>
      <c r="NS69" s="20" t="n">
        <f aca="false">NK69-NR69</f>
        <v>0</v>
      </c>
      <c r="NT69" s="20" t="n">
        <f aca="false">IF(GV69=1,IF(ABS((1+AS_Wage)/(1+Slot19_Rate)-1)&lt;0.000000000001,(Slot19_Age-D69)*(1+Slot19_Rate)^(Slot19_Age-D69),(1+Slot19_Rate)^(Slot19_Age-D69)*(1-((1+AS_Wage)/(1+Slot19_Rate))^(Slot19_Age-D69))/(1-(1+AS_Wage)/(1+Slot19_Rate))),1)</f>
        <v>1</v>
      </c>
      <c r="NU69" s="20" t="n">
        <f aca="false">IF(AND(HU69=1,IE69&gt;0,Slot19_IsWG=1,GV69=1),MAX(0,(Slot19_Cost-GW69*(1+Slot19_Rate)^(Slot19_Age-D69))/NT69),0)</f>
        <v>0</v>
      </c>
      <c r="NV69" s="20" t="n">
        <f aca="false">IF(AND(HU69=1,IE69&gt;0,Slot19_IsWG=1,GV69=1),MIN(IE69,NU69),0)</f>
        <v>0</v>
      </c>
      <c r="NW69" s="20" t="n">
        <f aca="false">GW69+NV69</f>
        <v>0</v>
      </c>
      <c r="NX69" s="20" t="n">
        <f aca="false">IF(GV69=1,MAX(0,(Slot19_Cost-NW69*(1+Slot19_Rate)^(Slot19_Age-D69))/NT69),0)</f>
        <v>0</v>
      </c>
      <c r="NY69" s="20" t="n">
        <f aca="false">IF(GV69=1,MAX(0,(Slot19_Cost-GW69*(1+Slot19_Rate)^(Slot19_Age-D69))/NT69),0)</f>
        <v>0</v>
      </c>
      <c r="NZ69" s="20" t="n">
        <f aca="false">IF(AND(HU69=1,GV69=1),MIN(NS69,NX69),0)</f>
        <v>0</v>
      </c>
      <c r="OA69" s="20" t="n">
        <f aca="false">NS69-NZ69</f>
        <v>0</v>
      </c>
      <c r="OB69" s="20" t="n">
        <f aca="false">IF(HF69=1,IF(ABS((1+AS_Wage)/(1+Slot20_Rate)-1)&lt;0.000000000001,(Slot20_Age-D69)*(1+Slot20_Rate)^(Slot20_Age-D69),(1+Slot20_Rate)^(Slot20_Age-D69)*(1-((1+AS_Wage)/(1+Slot20_Rate))^(Slot20_Age-D69))/(1-(1+AS_Wage)/(1+Slot20_Rate))),1)</f>
        <v>1</v>
      </c>
      <c r="OC69" s="20" t="n">
        <f aca="false">IF(AND(HU69=1,IE69&gt;0,Slot20_IsWG=1,HF69=1),MAX(0,(Slot20_Cost-HG69*(1+Slot20_Rate)^(Slot20_Age-D69))/OB69),0)</f>
        <v>0</v>
      </c>
      <c r="OD69" s="20" t="n">
        <f aca="false">IF(AND(HU69=1,IE69&gt;0,Slot20_IsWG=1,HF69=1),MIN(IE69,OC69),0)</f>
        <v>0</v>
      </c>
      <c r="OE69" s="20" t="n">
        <f aca="false">HG69+OD69</f>
        <v>0</v>
      </c>
      <c r="OF69" s="20" t="n">
        <f aca="false">IF(HF69=1,MAX(0,(Slot20_Cost-OE69*(1+Slot20_Rate)^(Slot20_Age-D69))/OB69),0)</f>
        <v>0</v>
      </c>
      <c r="OG69" s="20" t="n">
        <f aca="false">IF(HF69=1,MAX(0,(Slot20_Cost-HG69*(1+Slot20_Rate)^(Slot20_Age-D69))/OB69),0)</f>
        <v>0</v>
      </c>
      <c r="OH69" s="20" t="n">
        <f aca="false">IF(AND(HU69=1,HF69=1),MIN(OA69,OF69),0)</f>
        <v>0</v>
      </c>
      <c r="OI69" s="20" t="n">
        <f aca="false">OA69-OH69</f>
        <v>0</v>
      </c>
      <c r="OJ69" s="20" t="n">
        <f aca="false">IE69-(IH69+IP69+IX69+JF69+JN69+JV69+KD69+KL69+KT69+LB69+LJ69+LR69+LZ69+MH69+MP69+MX69+NF69+NN69+NV69+OD69)</f>
        <v>0</v>
      </c>
      <c r="OK69" s="20" t="n">
        <f aca="false">IF(HU69=1,HS69-ID69-IE69,0)</f>
        <v>0</v>
      </c>
      <c r="OL69" s="20" t="n">
        <f aca="false">IF(HU69=0,-HS69,0)</f>
        <v>64474.9795593471</v>
      </c>
      <c r="OM69" s="20" t="n">
        <f aca="false">MIN(OL69,HK69)</f>
        <v>0</v>
      </c>
      <c r="ON69" s="20" t="n">
        <f aca="false">OL69-OM69</f>
        <v>64474.9795593471</v>
      </c>
      <c r="OO69" s="20" t="n">
        <f aca="false">MIN(ON69,HL69)</f>
        <v>0</v>
      </c>
      <c r="OP69" s="20" t="n">
        <f aca="false">ON69-OO69</f>
        <v>64474.9795593471</v>
      </c>
      <c r="OQ69" s="20" t="n">
        <f aca="false">IF(AND(HU69=0,HF69=1,OP69&gt;0),MIN(OP69,HG69),0)</f>
        <v>0</v>
      </c>
      <c r="OR69" s="20" t="n">
        <f aca="false">OP69-OQ69</f>
        <v>64474.9795593471</v>
      </c>
      <c r="OS69" s="20" t="n">
        <f aca="false">IF(AND(HU69=0,GV69=1,OR69&gt;0),MIN(OR69,GW69),0)</f>
        <v>0</v>
      </c>
      <c r="OT69" s="20" t="n">
        <f aca="false">OR69-OS69</f>
        <v>64474.9795593471</v>
      </c>
      <c r="OU69" s="20" t="n">
        <f aca="false">IF(AND(HU69=0,GL69=1,OT69&gt;0),MIN(OT69,GM69),0)</f>
        <v>0</v>
      </c>
      <c r="OV69" s="20" t="n">
        <f aca="false">OT69-OU69</f>
        <v>64474.9795593471</v>
      </c>
      <c r="OW69" s="20" t="n">
        <f aca="false">IF(AND(HU69=0,GB69=1,OV69&gt;0),MIN(OV69,GC69),0)</f>
        <v>0</v>
      </c>
      <c r="OX69" s="20" t="n">
        <f aca="false">OV69-OW69</f>
        <v>64474.9795593471</v>
      </c>
      <c r="OY69" s="20" t="n">
        <f aca="false">IF(AND(HU69=0,FR69=1,OX69&gt;0),MIN(OX69,FS69),0)</f>
        <v>0</v>
      </c>
      <c r="OZ69" s="20" t="n">
        <f aca="false">OX69-OY69</f>
        <v>64474.9795593471</v>
      </c>
      <c r="PA69" s="20" t="n">
        <f aca="false">IF(AND(HU69=0,FH69=1,OZ69&gt;0),MIN(OZ69,FI69),0)</f>
        <v>0</v>
      </c>
      <c r="PB69" s="20" t="n">
        <f aca="false">OZ69-PA69</f>
        <v>64474.9795593471</v>
      </c>
      <c r="PC69" s="20" t="n">
        <f aca="false">IF(AND(HU69=0,EX69=1,PB69&gt;0),MIN(PB69,EY69),0)</f>
        <v>0</v>
      </c>
      <c r="PD69" s="20" t="n">
        <f aca="false">PB69-PC69</f>
        <v>64474.9795593471</v>
      </c>
      <c r="PE69" s="20" t="n">
        <f aca="false">IF(AND(HU69=0,EN69=1,PD69&gt;0),MIN(PD69,EO69),0)</f>
        <v>0</v>
      </c>
      <c r="PF69" s="20" t="n">
        <f aca="false">PD69-PE69</f>
        <v>64474.9795593471</v>
      </c>
      <c r="PG69" s="20" t="n">
        <f aca="false">IF(AND(HU69=0,ED69=1,PF69&gt;0),MIN(PF69,EE69),0)</f>
        <v>0</v>
      </c>
      <c r="PH69" s="20" t="n">
        <f aca="false">PF69-PG69</f>
        <v>64474.9795593471</v>
      </c>
      <c r="PI69" s="20" t="n">
        <f aca="false">IF(AND(HU69=0,DT69=1,PH69&gt;0),MIN(PH69,DU69),0)</f>
        <v>0</v>
      </c>
      <c r="PJ69" s="20" t="n">
        <f aca="false">PH69-PI69</f>
        <v>64474.9795593471</v>
      </c>
      <c r="PK69" s="20" t="n">
        <f aca="false">IF(AND(HU69=0,DJ69=1,PJ69&gt;0),MIN(PJ69,DK69),0)</f>
        <v>0</v>
      </c>
      <c r="PL69" s="20" t="n">
        <f aca="false">PJ69-PK69</f>
        <v>64474.9795593471</v>
      </c>
      <c r="PM69" s="20" t="n">
        <f aca="false">IF(AND(HU69=0,CZ69=1,PL69&gt;0),MIN(PL69,DA69),0)</f>
        <v>0</v>
      </c>
      <c r="PN69" s="20" t="n">
        <f aca="false">PL69-PM69</f>
        <v>64474.9795593471</v>
      </c>
      <c r="PO69" s="20" t="n">
        <f aca="false">IF(AND(HU69=0,CP69=1,PN69&gt;0),MIN(PN69,CQ69),0)</f>
        <v>0</v>
      </c>
      <c r="PP69" s="20" t="n">
        <f aca="false">PN69-PO69</f>
        <v>64474.9795593471</v>
      </c>
      <c r="PQ69" s="20" t="n">
        <f aca="false">IF(AND(HU69=0,CF69=1,PP69&gt;0),MIN(PP69,CG69),0)</f>
        <v>0</v>
      </c>
      <c r="PR69" s="20" t="n">
        <f aca="false">PP69-PQ69</f>
        <v>64474.9795593471</v>
      </c>
      <c r="PS69" s="20" t="n">
        <f aca="false">IF(AND(HU69=0,BV69=1,PR69&gt;0),MIN(PR69,BW69),0)</f>
        <v>0</v>
      </c>
      <c r="PT69" s="20" t="n">
        <f aca="false">PR69-PS69</f>
        <v>64474.9795593471</v>
      </c>
      <c r="PU69" s="20" t="n">
        <f aca="false">IF(AND(HU69=0,BL69=1,PT69&gt;0),MIN(PT69,BM69),0)</f>
        <v>0</v>
      </c>
      <c r="PV69" s="20" t="n">
        <f aca="false">PT69-PU69</f>
        <v>64474.9795593471</v>
      </c>
      <c r="PW69" s="20" t="n">
        <f aca="false">IF(AND(HU69=0,BB69=1,PV69&gt;0),MIN(PV69,BC69),0)</f>
        <v>0</v>
      </c>
      <c r="PX69" s="20" t="n">
        <f aca="false">PV69-PW69</f>
        <v>64474.9795593471</v>
      </c>
      <c r="PY69" s="20" t="n">
        <f aca="false">IF(AND(HU69=0,AR69=1,PX69&gt;0),MIN(PX69,AS69),0)</f>
        <v>0</v>
      </c>
      <c r="PZ69" s="20" t="n">
        <f aca="false">PX69-PY69</f>
        <v>64474.9795593471</v>
      </c>
      <c r="QA69" s="20" t="n">
        <f aca="false">IF(AND(HU69=0,AH69=1,PZ69&gt;0),MIN(PZ69,AI69),0)</f>
        <v>0</v>
      </c>
      <c r="QB69" s="20" t="n">
        <f aca="false">PZ69-QA69</f>
        <v>64474.9795593471</v>
      </c>
      <c r="QC69" s="20" t="n">
        <f aca="false">IF(AND(HU69=0,W69=1,QB69&gt;0),MIN(QB69,X69),0)</f>
        <v>0</v>
      </c>
      <c r="QD69" s="20" t="n">
        <f aca="false">QB69-QC69</f>
        <v>64474.9795593471</v>
      </c>
      <c r="QE69" s="20" t="n">
        <f aca="false">IF(HU69=0,QD69,0)</f>
        <v>64474.9795593471</v>
      </c>
      <c r="QF69" s="20" t="n">
        <f aca="false">OM69+OO69+QC69+QA69+PY69+PW69+PU69+PS69+PQ69+PO69+PM69+PK69+PI69+PG69+PE69+PC69+PA69+OY69+OW69+OU69+OS69+OQ69</f>
        <v>0</v>
      </c>
      <c r="QG69" s="20" t="n">
        <f aca="false">IF(HU69=1,HK69+OJ69+OI69+IF(G69=1,0,OK69),HK69-OM69)</f>
        <v>0</v>
      </c>
      <c r="QH69" s="20" t="n">
        <f aca="false">HL69-OO69</f>
        <v>0</v>
      </c>
      <c r="QI69" s="20" t="n">
        <f aca="false">IF(HU69=1,IF(G69=1,ID69+IE69,HS69),0)</f>
        <v>0</v>
      </c>
      <c r="QJ69" s="20" t="n">
        <f aca="false">IF(HU69=1,IF(G69=1,HS69-ID69-IE69,0),0)</f>
        <v>0</v>
      </c>
      <c r="QK69" s="20" t="n">
        <f aca="false">QG69*(1+GR)</f>
        <v>0</v>
      </c>
      <c r="QL69" s="20" t="n">
        <f aca="false">QH69*(1+AS_Cash)</f>
        <v>0</v>
      </c>
      <c r="QM69" s="20" t="n">
        <f aca="false">IF(W69=1,IF(HU69=1,II69+IL69,X69-QC69)*(1+Slot1_Rate),0)</f>
        <v>0</v>
      </c>
      <c r="QN69" s="20" t="n">
        <f aca="false">IF(AND(HU69=1,W69=1),(IH69+IL69)/F69,0)</f>
        <v>0</v>
      </c>
      <c r="QO69" s="20" t="n">
        <f aca="false">IF(B69=0,IH69+IL69,0)</f>
        <v>0</v>
      </c>
      <c r="QP69" s="20" t="n">
        <f aca="false">IF(B69=0,IF(HU69=1,IJ69,IK69),0)</f>
        <v>0</v>
      </c>
      <c r="QQ69" s="20" t="n">
        <f aca="false">IF(AH69=1,IF(HU69=1,IQ69+IT69,AI69-QA69)*(1+Slot2_Rate),0)</f>
        <v>0</v>
      </c>
      <c r="QR69" s="20" t="n">
        <f aca="false">IF(AND(HU69=1,AH69=1),(IP69+IT69)/F69,0)</f>
        <v>0</v>
      </c>
      <c r="QS69" s="20" t="n">
        <f aca="false">IF(B69=0,IP69+IT69,0)</f>
        <v>0</v>
      </c>
      <c r="QT69" s="20" t="n">
        <f aca="false">IF(B69=0,IF(HU69=1,IR69,IS69),0)</f>
        <v>0</v>
      </c>
      <c r="QU69" s="20" t="n">
        <f aca="false">IF(AR69=1,IF(HU69=1,IY69+JB69,AS69-PY69)*(1+Slot3_Rate),0)</f>
        <v>0</v>
      </c>
      <c r="QV69" s="20" t="n">
        <f aca="false">IF(AND(HU69=1,AR69=1),(IX69+JB69)/F69,0)</f>
        <v>0</v>
      </c>
      <c r="QW69" s="20" t="n">
        <f aca="false">IF(B69=0,IX69+JB69,0)</f>
        <v>0</v>
      </c>
      <c r="QX69" s="20" t="n">
        <f aca="false">IF(B69=0,IF(HU69=1,IZ69,JA69),0)</f>
        <v>0</v>
      </c>
      <c r="QY69" s="20" t="n">
        <f aca="false">IF(BB69=1,IF(HU69=1,JG69+JJ69,BC69-PW69)*(1+Slot4_Rate),0)</f>
        <v>0</v>
      </c>
      <c r="QZ69" s="20" t="n">
        <f aca="false">IF(AND(HU69=1,BB69=1),(JF69+JJ69)/F69,0)</f>
        <v>0</v>
      </c>
      <c r="RA69" s="20" t="n">
        <f aca="false">IF(B69=0,JF69+JJ69,0)</f>
        <v>0</v>
      </c>
      <c r="RB69" s="20" t="n">
        <f aca="false">IF(B69=0,IF(HU69=1,JH69,JI69),0)</f>
        <v>0</v>
      </c>
      <c r="RC69" s="20" t="n">
        <f aca="false">IF(BL69=1,IF(HU69=1,JO69+JR69,BM69-PU69)*(1+Slot5_Rate),0)</f>
        <v>0</v>
      </c>
      <c r="RD69" s="20" t="n">
        <f aca="false">IF(AND(HU69=1,BL69=1),(JN69+JR69)/F69,0)</f>
        <v>0</v>
      </c>
      <c r="RE69" s="20" t="n">
        <f aca="false">IF(B69=0,JN69+JR69,0)</f>
        <v>0</v>
      </c>
      <c r="RF69" s="20" t="n">
        <f aca="false">IF(B69=0,IF(HU69=1,JP69,JQ69),0)</f>
        <v>0</v>
      </c>
      <c r="RG69" s="20" t="n">
        <f aca="false">IF(BV69=1,IF(HU69=1,JW69+JZ69,BW69-PS69)*(1+Slot6_Rate),0)</f>
        <v>0</v>
      </c>
      <c r="RH69" s="20" t="n">
        <f aca="false">IF(AND(HU69=1,BV69=1),(JV69+JZ69)/F69,0)</f>
        <v>0</v>
      </c>
      <c r="RI69" s="20" t="n">
        <f aca="false">IF(B69=0,JV69+JZ69,0)</f>
        <v>0</v>
      </c>
      <c r="RJ69" s="20" t="n">
        <f aca="false">IF(B69=0,IF(HU69=1,JX69,JY69),0)</f>
        <v>0</v>
      </c>
      <c r="RK69" s="20" t="n">
        <f aca="false">IF(CF69=1,IF(HU69=1,KE69+KH69,CG69-PQ69)*(1+Slot7_Rate),0)</f>
        <v>0</v>
      </c>
      <c r="RL69" s="20" t="n">
        <f aca="false">IF(AND(HU69=1,CF69=1),(KD69+KH69)/F69,0)</f>
        <v>0</v>
      </c>
      <c r="RM69" s="20" t="n">
        <f aca="false">IF(B69=0,KD69+KH69,0)</f>
        <v>0</v>
      </c>
      <c r="RN69" s="20" t="n">
        <f aca="false">IF(B69=0,IF(HU69=1,KF69,KG69),0)</f>
        <v>0</v>
      </c>
      <c r="RO69" s="20" t="n">
        <f aca="false">IF(CP69=1,IF(HU69=1,KM69+KP69,CQ69-PO69)*(1+Slot8_Rate),0)</f>
        <v>0</v>
      </c>
      <c r="RP69" s="20" t="n">
        <f aca="false">IF(AND(HU69=1,CP69=1),(KL69+KP69)/F69,0)</f>
        <v>0</v>
      </c>
      <c r="RQ69" s="20" t="n">
        <f aca="false">IF(B69=0,KL69+KP69,0)</f>
        <v>0</v>
      </c>
      <c r="RR69" s="20" t="n">
        <f aca="false">IF(B69=0,IF(HU69=1,KN69,KO69),0)</f>
        <v>0</v>
      </c>
      <c r="RS69" s="20" t="n">
        <f aca="false">IF(CZ69=1,IF(HU69=1,KU69+KX69,DA69-PM69)*(1+Slot9_Rate),0)</f>
        <v>0</v>
      </c>
      <c r="RT69" s="20" t="n">
        <f aca="false">IF(AND(HU69=1,CZ69=1),(KT69+KX69)/F69,0)</f>
        <v>0</v>
      </c>
      <c r="RU69" s="20" t="n">
        <f aca="false">IF(B69=0,KT69+KX69,0)</f>
        <v>0</v>
      </c>
      <c r="RV69" s="20" t="n">
        <f aca="false">IF(B69=0,IF(HU69=1,KV69,KW69),0)</f>
        <v>0</v>
      </c>
      <c r="RW69" s="20" t="n">
        <f aca="false">IF(DJ69=1,IF(HU69=1,LC69+LF69,DK69-PK69)*(1+Slot10_Rate),0)</f>
        <v>0</v>
      </c>
      <c r="RX69" s="20" t="n">
        <f aca="false">IF(AND(HU69=1,DJ69=1),(LB69+LF69)/F69,0)</f>
        <v>0</v>
      </c>
      <c r="RY69" s="20" t="n">
        <f aca="false">IF(B69=0,LB69+LF69,0)</f>
        <v>0</v>
      </c>
      <c r="RZ69" s="20" t="n">
        <f aca="false">IF(B69=0,IF(HU69=1,LD69,LE69),0)</f>
        <v>0</v>
      </c>
      <c r="SA69" s="20" t="n">
        <f aca="false">IF(DT69=1,IF(HU69=1,LK69+LN69,DU69-PI69)*(1+Slot11_Rate),0)</f>
        <v>0</v>
      </c>
      <c r="SB69" s="20" t="n">
        <f aca="false">IF(AND(HU69=1,DT69=1),(LJ69+LN69)/F69,0)</f>
        <v>0</v>
      </c>
      <c r="SC69" s="20" t="n">
        <f aca="false">IF(B69=0,LJ69+LN69,0)</f>
        <v>0</v>
      </c>
      <c r="SD69" s="20" t="n">
        <f aca="false">IF(B69=0,IF(HU69=1,LL69,LM69),0)</f>
        <v>0</v>
      </c>
      <c r="SE69" s="20" t="n">
        <f aca="false">IF(ED69=1,IF(HU69=1,LS69+LV69,EE69-PG69)*(1+Slot12_Rate),0)</f>
        <v>0</v>
      </c>
      <c r="SF69" s="20" t="n">
        <f aca="false">IF(AND(HU69=1,ED69=1),(LR69+LV69)/F69,0)</f>
        <v>0</v>
      </c>
      <c r="SG69" s="20" t="n">
        <f aca="false">IF(B69=0,LR69+LV69,0)</f>
        <v>0</v>
      </c>
      <c r="SH69" s="20" t="n">
        <f aca="false">IF(B69=0,IF(HU69=1,LT69,LU69),0)</f>
        <v>0</v>
      </c>
      <c r="SI69" s="20" t="n">
        <f aca="false">IF(EN69=1,IF(HU69=1,MA69+MD69,EO69-PE69)*(1+Slot13_Rate),0)</f>
        <v>0</v>
      </c>
      <c r="SJ69" s="20" t="n">
        <f aca="false">IF(AND(HU69=1,EN69=1),(LZ69+MD69)/F69,0)</f>
        <v>0</v>
      </c>
      <c r="SK69" s="20" t="n">
        <f aca="false">IF(B69=0,LZ69+MD69,0)</f>
        <v>0</v>
      </c>
      <c r="SL69" s="20" t="n">
        <f aca="false">IF(B69=0,IF(HU69=1,MB69,MC69),0)</f>
        <v>0</v>
      </c>
      <c r="SM69" s="20" t="n">
        <f aca="false">IF(EX69=1,IF(HU69=1,MI69+ML69,EY69-PC69)*(1+Slot14_Rate),0)</f>
        <v>0</v>
      </c>
      <c r="SN69" s="20" t="n">
        <f aca="false">IF(AND(HU69=1,EX69=1),(MH69+ML69)/F69,0)</f>
        <v>0</v>
      </c>
      <c r="SO69" s="20" t="n">
        <f aca="false">IF(B69=0,MH69+ML69,0)</f>
        <v>0</v>
      </c>
      <c r="SP69" s="20" t="n">
        <f aca="false">IF(B69=0,IF(HU69=1,MJ69,MK69),0)</f>
        <v>0</v>
      </c>
      <c r="SQ69" s="20" t="n">
        <f aca="false">IF(FH69=1,IF(HU69=1,MQ69+MT69,FI69-PA69)*(1+Slot15_Rate),0)</f>
        <v>0</v>
      </c>
      <c r="SR69" s="20" t="n">
        <f aca="false">IF(AND(HU69=1,FH69=1),(MP69+MT69)/F69,0)</f>
        <v>0</v>
      </c>
      <c r="SS69" s="20" t="n">
        <f aca="false">IF(B69=0,MP69+MT69,0)</f>
        <v>0</v>
      </c>
      <c r="ST69" s="20" t="n">
        <f aca="false">IF(B69=0,IF(HU69=1,MR69,MS69),0)</f>
        <v>0</v>
      </c>
      <c r="SU69" s="20" t="n">
        <f aca="false">IF(FR69=1,IF(HU69=1,MY69+NB69,FS69-OY69)*(1+Slot16_Rate),0)</f>
        <v>0</v>
      </c>
      <c r="SV69" s="20" t="n">
        <f aca="false">IF(AND(HU69=1,FR69=1),(MX69+NB69)/F69,0)</f>
        <v>0</v>
      </c>
      <c r="SW69" s="20" t="n">
        <f aca="false">IF(B69=0,MX69+NB69,0)</f>
        <v>0</v>
      </c>
      <c r="SX69" s="20" t="n">
        <f aca="false">IF(B69=0,IF(HU69=1,MZ69,NA69),0)</f>
        <v>0</v>
      </c>
      <c r="SY69" s="20" t="n">
        <f aca="false">IF(GB69=1,IF(HU69=1,NG69+NJ69,GC69-OW69)*(1+Slot17_Rate),0)</f>
        <v>0</v>
      </c>
      <c r="SZ69" s="20" t="n">
        <f aca="false">IF(AND(HU69=1,GB69=1),(NF69+NJ69)/F69,0)</f>
        <v>0</v>
      </c>
      <c r="TA69" s="20" t="n">
        <f aca="false">IF(B69=0,NF69+NJ69,0)</f>
        <v>0</v>
      </c>
      <c r="TB69" s="20" t="n">
        <f aca="false">IF(B69=0,IF(HU69=1,NH69,NI69),0)</f>
        <v>0</v>
      </c>
      <c r="TC69" s="20" t="n">
        <f aca="false">IF(GL69=1,IF(HU69=1,NO69+NR69,GM69-OU69)*(1+Slot18_Rate),0)</f>
        <v>0</v>
      </c>
      <c r="TD69" s="20" t="n">
        <f aca="false">IF(AND(HU69=1,GL69=1),(NN69+NR69)/F69,0)</f>
        <v>0</v>
      </c>
      <c r="TE69" s="20" t="n">
        <f aca="false">IF(B69=0,NN69+NR69,0)</f>
        <v>0</v>
      </c>
      <c r="TF69" s="20" t="n">
        <f aca="false">IF(B69=0,IF(HU69=1,NP69,NQ69),0)</f>
        <v>0</v>
      </c>
      <c r="TG69" s="20" t="n">
        <f aca="false">IF(GV69=1,IF(HU69=1,NW69+NZ69,GW69-OS69)*(1+Slot19_Rate),0)</f>
        <v>0</v>
      </c>
      <c r="TH69" s="20" t="n">
        <f aca="false">IF(AND(HU69=1,GV69=1),(NV69+NZ69)/F69,0)</f>
        <v>0</v>
      </c>
      <c r="TI69" s="20" t="n">
        <f aca="false">IF(B69=0,NV69+NZ69,0)</f>
        <v>0</v>
      </c>
      <c r="TJ69" s="20" t="n">
        <f aca="false">IF(B69=0,IF(HU69=1,NX69,NY69),0)</f>
        <v>0</v>
      </c>
      <c r="TK69" s="20" t="n">
        <f aca="false">IF(HF69=1,IF(HU69=1,OE69+OH69,HG69-OQ69)*(1+Slot20_Rate),0)</f>
        <v>0</v>
      </c>
      <c r="TL69" s="20" t="n">
        <f aca="false">IF(AND(HU69=1,HF69=1),(OD69+OH69)/F69,0)</f>
        <v>0</v>
      </c>
      <c r="TM69" s="20" t="n">
        <f aca="false">IF(B69=0,OD69+OH69,0)</f>
        <v>0</v>
      </c>
      <c r="TN69" s="20" t="n">
        <f aca="false">IF(B69=0,IF(HU69=1,OF69,OG69),0)</f>
        <v>0</v>
      </c>
      <c r="TO69" s="20" t="n">
        <f aca="false">QK69+QL69+QM69+QQ69+QU69+QY69+RC69+RG69+RK69+RO69+RS69+RW69+SA69+SE69+SI69+SM69+SQ69+SU69+SY69+TC69+TG69+TK69</f>
        <v>0</v>
      </c>
      <c r="TP69" s="20" t="n">
        <f aca="false">QE69+HP69</f>
        <v>64474.9795593471</v>
      </c>
      <c r="TQ69" s="20" t="n">
        <f aca="false">I69+S69</f>
        <v>159969.937117544</v>
      </c>
      <c r="TR69" s="20" t="n">
        <f aca="false">1-G69</f>
        <v>1</v>
      </c>
      <c r="TS69" s="20" t="n">
        <f aca="false">IF(AND(RG_Exists=1,G69=0,C69=1),I69,0)</f>
        <v>0</v>
      </c>
      <c r="TT69" s="20" t="n">
        <f aca="false">IF(AND(RG_Exists=1,G69=0,C69=1),I69-MIN(QE69,I69),0)</f>
        <v>0</v>
      </c>
      <c r="TU69" s="20" t="n">
        <f aca="false">'Plan pay &amp; tax'!AD295</f>
        <v>0</v>
      </c>
      <c r="TV69" s="20" t="n">
        <f aca="false">IF(AND(C69=1,QE69&gt;MAX(PR_Short1,TQ69*PR_Short2)),1,0)</f>
        <v>0</v>
      </c>
      <c r="TW69" s="20" t="n">
        <f aca="false">MIN(H69,I69+S69)</f>
        <v>95494.9575581971</v>
      </c>
      <c r="TX69" s="20" t="n">
        <f aca="false">QF69+MAX(0,HQ69-HP69)</f>
        <v>0</v>
      </c>
      <c r="TY69" s="20" t="n">
        <f aca="false">QE69+HP69</f>
        <v>64474.9795593471</v>
      </c>
      <c r="TZ69" s="20" t="n">
        <f aca="false">IF(AND(C69=1,TY69&gt;PR_MinShort),1,0)</f>
        <v>0</v>
      </c>
      <c r="UA69" s="20" t="n">
        <f aca="false">IF(AND(C69=1,TZ69=0,TX69&gt;PR_MinShort),1,0)</f>
        <v>0</v>
      </c>
      <c r="UB69" s="20" t="n">
        <f aca="false">IF(AND(C69=1,QE69&gt;PR_MinShort),1,0)</f>
        <v>0</v>
      </c>
      <c r="UC69" s="20" t="n">
        <f aca="false">IF(AND(C69=1,QF69&gt;1,UJ69=0),1,0)</f>
        <v>0</v>
      </c>
      <c r="UD69" s="20" t="str">
        <f aca="false">IF(C69=0,"",IF(UJ69=1,"Gap to plan for: short "&amp;"€"&amp;TEXT(ROUND(TP69,0),"#,##0"),IF(QF69&gt;1,"Using savings","Comfortable")))</f>
        <v/>
      </c>
      <c r="UE69" s="20" t="n">
        <f aca="false">IF(AND(INT(D69/10)*10=90,B69&gt;0),80,INT(D69/10)*10)</f>
        <v>80</v>
      </c>
      <c r="UF69" s="20" t="n">
        <f aca="false">IF(B69=0,1,IF(UE69&lt;&gt;UE68,UF68+1,UF68))</f>
        <v>6</v>
      </c>
      <c r="UG69" s="20" t="n">
        <f aca="false">IF(AND(C69=1,G69=1,QE69&gt;MAX(PR_Short1,TQ69*PR_Short2)),1,0)</f>
        <v>0</v>
      </c>
      <c r="UH69" s="20" t="n">
        <f aca="false">TR69*TV69</f>
        <v>0</v>
      </c>
      <c r="UI69" s="20" t="n">
        <f aca="false">IF(AND(V69=1,Slot1_PctLow=1),1,0)+IF(AND(AG69=1,Slot2_PctLow=1),1,0)+IF(AND(AQ69=1,Slot3_PctLow=1),1,0)+IF(AND(BA69=1,Slot4_PctLow=1),1,0)+IF(AND(BK69=1,Slot5_PctLow=1),1,0)+IF(AND(BU69=1,Slot6_PctLow=1),1,0)+IF(AND(CE69=1,Slot7_PctLow=1),1,0)+IF(AND(CO69=1,Slot8_PctLow=1),1,0)+IF(AND(CY69=1,Slot9_PctLow=1),1,0)+IF(AND(DI69=1,Slot10_PctLow=1),1,0)+IF(AND(DS69=1,Slot11_PctLow=1),1,0)+IF(AND(EC69=1,Slot12_PctLow=1),1,0)+IF(AND(EM69=1,Slot13_PctLow=1),1,0)+IF(AND(EW69=1,Slot14_PctLow=1),1,0)+IF(AND(FG69=1,Slot15_PctLow=1),1,0)+IF(AND(FQ69=1,Slot16_PctLow=1),1,0)+IF(AND(GA69=1,Slot17_PctLow=1),1,0)+IF(AND(GK69=1,Slot18_PctLow=1),1,0)+IF(AND(GU69=1,Slot19_PctLow=1),1,0)+IF(AND(HE69=1,Slot20_PctLow=1),1,0)</f>
        <v>0</v>
      </c>
      <c r="UJ69" s="20" t="n">
        <f aca="false">IF(C69=1,IF(OR(TV69=1,UI69&gt;0),1,0),0)</f>
        <v>0</v>
      </c>
    </row>
    <row r="70" customFormat="false" ht="15" hidden="false" customHeight="true" outlineLevel="0" collapsed="false">
      <c r="B70" s="20" t="n">
        <v>62</v>
      </c>
      <c r="C70" s="20" t="n">
        <f aca="false">IF(B70&lt;=F_N,1,0)</f>
        <v>0</v>
      </c>
      <c r="D70" s="20" t="n">
        <f aca="false">'Plan pay &amp; tax'!C296</f>
        <v>100</v>
      </c>
      <c r="E70" s="20" t="str">
        <f aca="false">IF($C70=1,"Income tax "&amp;TEXT(N('Plan pay &amp; tax'!BK296),"#,##0")&amp;"; USC "&amp;TEXT(N('Plan pay &amp; tax'!BM296)+N('Plan pay &amp; tax'!BO296),"#,##0")&amp;"; PRSI "&amp;TEXT(N('Plan pay &amp; tax'!BP296)+N('Plan pay &amp; tax'!BQ296),"#,##0")&amp;". DIRT and exit tax are inside the growth rates here.","")</f>
        <v/>
      </c>
      <c r="F70" s="44" t="n">
        <f aca="false">'Plan pay &amp; tax'!E296</f>
        <v>3.41358443221538</v>
      </c>
      <c r="G70" s="20" t="n">
        <f aca="false">'Plan pay &amp; tax'!G296</f>
        <v>0</v>
      </c>
      <c r="H70" s="20" t="n">
        <f aca="false">'Plan pay &amp; tax'!BT296-'Plan pay &amp; tax'!BS296-'Plan pay &amp; tax'!R296</f>
        <v>97404.8567093611</v>
      </c>
      <c r="I70" s="20" t="n">
        <f aca="false">IF(G70=1,F_CostsM*12,IF(RG_Exists=1,RG_Amount,F_CostsM*12*AS_RetireSpend))*F70+F_OneOffY*F70</f>
        <v>163169.335859895</v>
      </c>
      <c r="J70" s="20" t="n">
        <f aca="false">HR69</f>
        <v>0</v>
      </c>
      <c r="K70" s="20" t="n">
        <f aca="false">IF(J70&gt;1,'Plan debt months'!AC70,0)</f>
        <v>0</v>
      </c>
      <c r="L70" s="20" t="n">
        <f aca="false">IF(J70&gt;1,'Plan debt months'!AB70,J70)</f>
        <v>0</v>
      </c>
      <c r="M70" s="20" t="n">
        <f aca="false">O69</f>
        <v>0</v>
      </c>
      <c r="N70" s="20" t="n">
        <f aca="false">IF(M70&gt;1,'Plan debt months'!BD70,0)</f>
        <v>0</v>
      </c>
      <c r="O70" s="20" t="n">
        <f aca="false">IF(M70&gt;1,'Plan debt months'!BC70,M70)</f>
        <v>0</v>
      </c>
      <c r="P70" s="20" t="n">
        <f aca="false">R69</f>
        <v>0</v>
      </c>
      <c r="Q70" s="20" t="n">
        <f aca="false">IF(P70&gt;1,'Plan debt months'!CE70,0)</f>
        <v>0</v>
      </c>
      <c r="R70" s="20" t="n">
        <f aca="false">IF(P70&gt;1,'Plan debt months'!CD70,P70)</f>
        <v>0</v>
      </c>
      <c r="S70" s="20" t="n">
        <f aca="false">K70+N70+Q70</f>
        <v>0</v>
      </c>
      <c r="T70" s="20" t="n">
        <f aca="false">QK69+'Plan pay &amp; tax'!Y296</f>
        <v>0</v>
      </c>
      <c r="U70" s="20" t="n">
        <f aca="false">QK69</f>
        <v>0</v>
      </c>
      <c r="V70" s="20" t="n">
        <f aca="false">IF(AND(Slot1_On=1,D70=Slot1_Age),1,0)</f>
        <v>0</v>
      </c>
      <c r="W70" s="20" t="n">
        <f aca="false">IF(AND(Slot1_On=1,Slot1_Age&gt;D70),1,0)</f>
        <v>0</v>
      </c>
      <c r="X70" s="20" t="n">
        <f aca="false">QM69</f>
        <v>0</v>
      </c>
      <c r="Y70" s="20" t="n">
        <f aca="false">V70*MIN(Slot1_Cost,X70)</f>
        <v>0</v>
      </c>
      <c r="Z70" s="20" t="n">
        <f aca="false">V70*Slot1_SpendLike*MIN(Slot1_Cost-Y70,T70)</f>
        <v>0</v>
      </c>
      <c r="AA70" s="20" t="n">
        <f aca="false">Y70+Z70</f>
        <v>0</v>
      </c>
      <c r="AB70" s="20" t="n">
        <f aca="false">T70-Z70+V70*IF(Slot1_SpendLike=1,X70-Y70,IF(Slot1_PotFree=1,X70,0))</f>
        <v>0</v>
      </c>
      <c r="AC70" s="20" t="n">
        <f aca="false">AF70+V70*Slot1_BufPot*X70</f>
        <v>0</v>
      </c>
      <c r="AD70" s="20" t="n">
        <f aca="false">IF(AND(V70=1,Slot1_IsMfree=1),IF(AA70&gt;=Slot1_Cost-1,0,MAX(0,L70-AA70)),L70)</f>
        <v>0</v>
      </c>
      <c r="AE70" s="20" t="n">
        <f aca="false">V70*(Slot1_Cost-AA70)</f>
        <v>0</v>
      </c>
      <c r="AF70" s="20" t="n">
        <f aca="false">QL69</f>
        <v>0</v>
      </c>
      <c r="AG70" s="20" t="n">
        <f aca="false">IF(AND(Slot2_On=1,D70=Slot2_Age),1,0)</f>
        <v>0</v>
      </c>
      <c r="AH70" s="20" t="n">
        <f aca="false">IF(AND(Slot2_On=1,Slot2_Age&gt;D70),1,0)</f>
        <v>0</v>
      </c>
      <c r="AI70" s="20" t="n">
        <f aca="false">QQ69</f>
        <v>0</v>
      </c>
      <c r="AJ70" s="20" t="n">
        <f aca="false">AG70*MIN(Slot2_Cost,AI70)</f>
        <v>0</v>
      </c>
      <c r="AK70" s="20" t="n">
        <f aca="false">AG70*Slot2_SpendLike*MIN(Slot2_Cost-AJ70,AB70)</f>
        <v>0</v>
      </c>
      <c r="AL70" s="20" t="n">
        <f aca="false">AJ70+AK70</f>
        <v>0</v>
      </c>
      <c r="AM70" s="20" t="n">
        <f aca="false">AB70-AK70+AG70*IF(Slot2_SpendLike=1,AI70-AJ70,IF(Slot2_PotFree=1,AI70,0))</f>
        <v>0</v>
      </c>
      <c r="AN70" s="20" t="n">
        <f aca="false">AC70+AG70*Slot2_BufPot*AI70</f>
        <v>0</v>
      </c>
      <c r="AO70" s="20" t="n">
        <f aca="false">IF(AND(AG70=1,Slot2_IsMfree=1),IF(AL70&gt;=Slot2_Cost-1,0,MAX(0,AD70-AL70)),AD70)</f>
        <v>0</v>
      </c>
      <c r="AP70" s="20" t="n">
        <f aca="false">AG70*(Slot2_Cost-AL70)</f>
        <v>0</v>
      </c>
      <c r="AQ70" s="20" t="n">
        <f aca="false">IF(AND(Slot3_On=1,D70=Slot3_Age),1,0)</f>
        <v>0</v>
      </c>
      <c r="AR70" s="20" t="n">
        <f aca="false">IF(AND(Slot3_On=1,Slot3_Age&gt;D70),1,0)</f>
        <v>0</v>
      </c>
      <c r="AS70" s="20" t="n">
        <f aca="false">QU69</f>
        <v>0</v>
      </c>
      <c r="AT70" s="20" t="n">
        <f aca="false">AQ70*MIN(Slot3_Cost,AS70)</f>
        <v>0</v>
      </c>
      <c r="AU70" s="20" t="n">
        <f aca="false">AQ70*Slot3_SpendLike*MIN(Slot3_Cost-AT70,AM70)</f>
        <v>0</v>
      </c>
      <c r="AV70" s="20" t="n">
        <f aca="false">AT70+AU70</f>
        <v>0</v>
      </c>
      <c r="AW70" s="20" t="n">
        <f aca="false">AM70-AU70+AQ70*IF(Slot3_SpendLike=1,AS70-AT70,IF(Slot3_PotFree=1,AS70,0))</f>
        <v>0</v>
      </c>
      <c r="AX70" s="20" t="n">
        <f aca="false">AN70+AQ70*Slot3_BufPot*AS70</f>
        <v>0</v>
      </c>
      <c r="AY70" s="20" t="n">
        <f aca="false">IF(AND(AQ70=1,Slot3_IsMfree=1),IF(AV70&gt;=Slot3_Cost-1,0,MAX(0,AO70-AV70)),AO70)</f>
        <v>0</v>
      </c>
      <c r="AZ70" s="20" t="n">
        <f aca="false">AQ70*(Slot3_Cost-AV70)</f>
        <v>0</v>
      </c>
      <c r="BA70" s="20" t="n">
        <f aca="false">IF(AND(Slot4_On=1,D70=Slot4_Age),1,0)</f>
        <v>0</v>
      </c>
      <c r="BB70" s="20" t="n">
        <f aca="false">IF(AND(Slot4_On=1,Slot4_Age&gt;D70),1,0)</f>
        <v>0</v>
      </c>
      <c r="BC70" s="20" t="n">
        <f aca="false">QY69</f>
        <v>0</v>
      </c>
      <c r="BD70" s="20" t="n">
        <f aca="false">BA70*MIN(Slot4_Cost,BC70)</f>
        <v>0</v>
      </c>
      <c r="BE70" s="20" t="n">
        <f aca="false">BA70*Slot4_SpendLike*MIN(Slot4_Cost-BD70,AW70)</f>
        <v>0</v>
      </c>
      <c r="BF70" s="20" t="n">
        <f aca="false">BD70+BE70</f>
        <v>0</v>
      </c>
      <c r="BG70" s="20" t="n">
        <f aca="false">AW70-BE70+BA70*IF(Slot4_SpendLike=1,BC70-BD70,IF(Slot4_PotFree=1,BC70,0))</f>
        <v>0</v>
      </c>
      <c r="BH70" s="20" t="n">
        <f aca="false">AX70+BA70*Slot4_BufPot*BC70</f>
        <v>0</v>
      </c>
      <c r="BI70" s="20" t="n">
        <f aca="false">IF(AND(BA70=1,Slot4_IsMfree=1),IF(BF70&gt;=Slot4_Cost-1,0,MAX(0,AY70-BF70)),AY70)</f>
        <v>0</v>
      </c>
      <c r="BJ70" s="20" t="n">
        <f aca="false">BA70*(Slot4_Cost-BF70)</f>
        <v>0</v>
      </c>
      <c r="BK70" s="20" t="n">
        <f aca="false">IF(AND(Slot5_On=1,D70=Slot5_Age),1,0)</f>
        <v>0</v>
      </c>
      <c r="BL70" s="20" t="n">
        <f aca="false">IF(AND(Slot5_On=1,Slot5_Age&gt;D70),1,0)</f>
        <v>0</v>
      </c>
      <c r="BM70" s="20" t="n">
        <f aca="false">RC69</f>
        <v>0</v>
      </c>
      <c r="BN70" s="20" t="n">
        <f aca="false">BK70*MIN(Slot5_Cost,BM70)</f>
        <v>0</v>
      </c>
      <c r="BO70" s="20" t="n">
        <f aca="false">BK70*Slot5_SpendLike*MIN(Slot5_Cost-BN70,BG70)</f>
        <v>0</v>
      </c>
      <c r="BP70" s="20" t="n">
        <f aca="false">BN70+BO70</f>
        <v>0</v>
      </c>
      <c r="BQ70" s="20" t="n">
        <f aca="false">BG70-BO70+BK70*IF(Slot5_SpendLike=1,BM70-BN70,IF(Slot5_PotFree=1,BM70,0))</f>
        <v>0</v>
      </c>
      <c r="BR70" s="20" t="n">
        <f aca="false">BH70+BK70*Slot5_BufPot*BM70</f>
        <v>0</v>
      </c>
      <c r="BS70" s="20" t="n">
        <f aca="false">IF(AND(BK70=1,Slot5_IsMfree=1),IF(BP70&gt;=Slot5_Cost-1,0,MAX(0,BI70-BP70)),BI70)</f>
        <v>0</v>
      </c>
      <c r="BT70" s="20" t="n">
        <f aca="false">BK70*(Slot5_Cost-BP70)</f>
        <v>0</v>
      </c>
      <c r="BU70" s="20" t="n">
        <f aca="false">IF(AND(Slot6_On=1,D70=Slot6_Age),1,0)</f>
        <v>0</v>
      </c>
      <c r="BV70" s="20" t="n">
        <f aca="false">IF(AND(Slot6_On=1,Slot6_Age&gt;D70),1,0)</f>
        <v>0</v>
      </c>
      <c r="BW70" s="20" t="n">
        <f aca="false">RG69</f>
        <v>0</v>
      </c>
      <c r="BX70" s="20" t="n">
        <f aca="false">BU70*MIN(Slot6_Cost,BW70)</f>
        <v>0</v>
      </c>
      <c r="BY70" s="20" t="n">
        <f aca="false">BU70*Slot6_SpendLike*MIN(Slot6_Cost-BX70,BQ70)</f>
        <v>0</v>
      </c>
      <c r="BZ70" s="20" t="n">
        <f aca="false">BX70+BY70</f>
        <v>0</v>
      </c>
      <c r="CA70" s="20" t="n">
        <f aca="false">BQ70-BY70+BU70*IF(Slot6_SpendLike=1,BW70-BX70,IF(Slot6_PotFree=1,BW70,0))</f>
        <v>0</v>
      </c>
      <c r="CB70" s="20" t="n">
        <f aca="false">BR70+BU70*Slot6_BufPot*BW70</f>
        <v>0</v>
      </c>
      <c r="CC70" s="20" t="n">
        <f aca="false">IF(AND(BU70=1,Slot6_IsMfree=1),IF(BZ70&gt;=Slot6_Cost-1,0,MAX(0,BS70-BZ70)),BS70)</f>
        <v>0</v>
      </c>
      <c r="CD70" s="20" t="n">
        <f aca="false">BU70*(Slot6_Cost-BZ70)</f>
        <v>0</v>
      </c>
      <c r="CE70" s="20" t="n">
        <f aca="false">IF(AND(Slot7_On=1,D70=Slot7_Age),1,0)</f>
        <v>0</v>
      </c>
      <c r="CF70" s="20" t="n">
        <f aca="false">IF(AND(Slot7_On=1,Slot7_Age&gt;D70),1,0)</f>
        <v>0</v>
      </c>
      <c r="CG70" s="20" t="n">
        <f aca="false">RK69</f>
        <v>0</v>
      </c>
      <c r="CH70" s="20" t="n">
        <f aca="false">CE70*MIN(Slot7_Cost,CG70)</f>
        <v>0</v>
      </c>
      <c r="CI70" s="20" t="n">
        <f aca="false">CE70*Slot7_SpendLike*MIN(Slot7_Cost-CH70,CA70)</f>
        <v>0</v>
      </c>
      <c r="CJ70" s="20" t="n">
        <f aca="false">CH70+CI70</f>
        <v>0</v>
      </c>
      <c r="CK70" s="20" t="n">
        <f aca="false">CA70-CI70+CE70*IF(Slot7_SpendLike=1,CG70-CH70,IF(Slot7_PotFree=1,CG70,0))</f>
        <v>0</v>
      </c>
      <c r="CL70" s="20" t="n">
        <f aca="false">CB70+CE70*Slot7_BufPot*CG70</f>
        <v>0</v>
      </c>
      <c r="CM70" s="20" t="n">
        <f aca="false">IF(AND(CE70=1,Slot7_IsMfree=1),IF(CJ70&gt;=Slot7_Cost-1,0,MAX(0,CC70-CJ70)),CC70)</f>
        <v>0</v>
      </c>
      <c r="CN70" s="20" t="n">
        <f aca="false">CE70*(Slot7_Cost-CJ70)</f>
        <v>0</v>
      </c>
      <c r="CO70" s="20" t="n">
        <f aca="false">IF(AND(Slot8_On=1,D70=Slot8_Age),1,0)</f>
        <v>0</v>
      </c>
      <c r="CP70" s="20" t="n">
        <f aca="false">IF(AND(Slot8_On=1,Slot8_Age&gt;D70),1,0)</f>
        <v>0</v>
      </c>
      <c r="CQ70" s="20" t="n">
        <f aca="false">RO69</f>
        <v>0</v>
      </c>
      <c r="CR70" s="20" t="n">
        <f aca="false">CO70*MIN(Slot8_Cost,CQ70)</f>
        <v>0</v>
      </c>
      <c r="CS70" s="20" t="n">
        <f aca="false">CO70*Slot8_SpendLike*MIN(Slot8_Cost-CR70,CK70)</f>
        <v>0</v>
      </c>
      <c r="CT70" s="20" t="n">
        <f aca="false">CR70+CS70</f>
        <v>0</v>
      </c>
      <c r="CU70" s="20" t="n">
        <f aca="false">CK70-CS70+CO70*IF(Slot8_SpendLike=1,CQ70-CR70,IF(Slot8_PotFree=1,CQ70,0))</f>
        <v>0</v>
      </c>
      <c r="CV70" s="20" t="n">
        <f aca="false">CL70+CO70*Slot8_BufPot*CQ70</f>
        <v>0</v>
      </c>
      <c r="CW70" s="20" t="n">
        <f aca="false">IF(AND(CO70=1,Slot8_IsMfree=1),IF(CT70&gt;=Slot8_Cost-1,0,MAX(0,CM70-CT70)),CM70)</f>
        <v>0</v>
      </c>
      <c r="CX70" s="20" t="n">
        <f aca="false">CO70*(Slot8_Cost-CT70)</f>
        <v>0</v>
      </c>
      <c r="CY70" s="20" t="n">
        <f aca="false">IF(AND(Slot9_On=1,D70=Slot9_Age),1,0)</f>
        <v>0</v>
      </c>
      <c r="CZ70" s="20" t="n">
        <f aca="false">IF(AND(Slot9_On=1,Slot9_Age&gt;D70),1,0)</f>
        <v>0</v>
      </c>
      <c r="DA70" s="20" t="n">
        <f aca="false">RS69</f>
        <v>0</v>
      </c>
      <c r="DB70" s="20" t="n">
        <f aca="false">CY70*MIN(Slot9_Cost,DA70)</f>
        <v>0</v>
      </c>
      <c r="DC70" s="20" t="n">
        <f aca="false">CY70*Slot9_SpendLike*MIN(Slot9_Cost-DB70,CU70)</f>
        <v>0</v>
      </c>
      <c r="DD70" s="20" t="n">
        <f aca="false">DB70+DC70</f>
        <v>0</v>
      </c>
      <c r="DE70" s="20" t="n">
        <f aca="false">CU70-DC70+CY70*IF(Slot9_SpendLike=1,DA70-DB70,IF(Slot9_PotFree=1,DA70,0))</f>
        <v>0</v>
      </c>
      <c r="DF70" s="20" t="n">
        <f aca="false">CV70+CY70*Slot9_BufPot*DA70</f>
        <v>0</v>
      </c>
      <c r="DG70" s="20" t="n">
        <f aca="false">IF(AND(CY70=1,Slot9_IsMfree=1),IF(DD70&gt;=Slot9_Cost-1,0,MAX(0,CW70-DD70)),CW70)</f>
        <v>0</v>
      </c>
      <c r="DH70" s="20" t="n">
        <f aca="false">CY70*(Slot9_Cost-DD70)</f>
        <v>0</v>
      </c>
      <c r="DI70" s="20" t="n">
        <f aca="false">IF(AND(Slot10_On=1,D70=Slot10_Age),1,0)</f>
        <v>0</v>
      </c>
      <c r="DJ70" s="20" t="n">
        <f aca="false">IF(AND(Slot10_On=1,Slot10_Age&gt;D70),1,0)</f>
        <v>0</v>
      </c>
      <c r="DK70" s="20" t="n">
        <f aca="false">RW69</f>
        <v>0</v>
      </c>
      <c r="DL70" s="20" t="n">
        <f aca="false">DI70*MIN(Slot10_Cost,DK70)</f>
        <v>0</v>
      </c>
      <c r="DM70" s="20" t="n">
        <f aca="false">DI70*Slot10_SpendLike*MIN(Slot10_Cost-DL70,DE70)</f>
        <v>0</v>
      </c>
      <c r="DN70" s="20" t="n">
        <f aca="false">DL70+DM70</f>
        <v>0</v>
      </c>
      <c r="DO70" s="20" t="n">
        <f aca="false">DE70-DM70+DI70*IF(Slot10_SpendLike=1,DK70-DL70,IF(Slot10_PotFree=1,DK70,0))</f>
        <v>0</v>
      </c>
      <c r="DP70" s="20" t="n">
        <f aca="false">DF70+DI70*Slot10_BufPot*DK70</f>
        <v>0</v>
      </c>
      <c r="DQ70" s="20" t="n">
        <f aca="false">IF(AND(DI70=1,Slot10_IsMfree=1),IF(DN70&gt;=Slot10_Cost-1,0,MAX(0,DG70-DN70)),DG70)</f>
        <v>0</v>
      </c>
      <c r="DR70" s="20" t="n">
        <f aca="false">DI70*(Slot10_Cost-DN70)</f>
        <v>0</v>
      </c>
      <c r="DS70" s="20" t="n">
        <f aca="false">IF(AND(Slot11_On=1,D70=Slot11_Age),1,0)</f>
        <v>0</v>
      </c>
      <c r="DT70" s="20" t="n">
        <f aca="false">IF(AND(Slot11_On=1,Slot11_Age&gt;D70),1,0)</f>
        <v>0</v>
      </c>
      <c r="DU70" s="20" t="n">
        <f aca="false">SA69</f>
        <v>0</v>
      </c>
      <c r="DV70" s="20" t="n">
        <f aca="false">DS70*MIN(Slot11_Cost,DU70)</f>
        <v>0</v>
      </c>
      <c r="DW70" s="20" t="n">
        <f aca="false">DS70*Slot11_SpendLike*MIN(Slot11_Cost-DV70,DO70)</f>
        <v>0</v>
      </c>
      <c r="DX70" s="20" t="n">
        <f aca="false">DV70+DW70</f>
        <v>0</v>
      </c>
      <c r="DY70" s="20" t="n">
        <f aca="false">DO70-DW70+DS70*IF(Slot11_SpendLike=1,DU70-DV70,IF(Slot11_PotFree=1,DU70,0))</f>
        <v>0</v>
      </c>
      <c r="DZ70" s="20" t="n">
        <f aca="false">DP70+DS70*Slot11_BufPot*DU70</f>
        <v>0</v>
      </c>
      <c r="EA70" s="20" t="n">
        <f aca="false">IF(AND(DS70=1,Slot11_IsMfree=1),IF(DX70&gt;=Slot11_Cost-1,0,MAX(0,DQ70-DX70)),DQ70)</f>
        <v>0</v>
      </c>
      <c r="EB70" s="20" t="n">
        <f aca="false">DS70*(Slot11_Cost-DX70)</f>
        <v>0</v>
      </c>
      <c r="EC70" s="20" t="n">
        <f aca="false">IF(AND(Slot12_On=1,D70=Slot12_Age),1,0)</f>
        <v>0</v>
      </c>
      <c r="ED70" s="20" t="n">
        <f aca="false">IF(AND(Slot12_On=1,Slot12_Age&gt;D70),1,0)</f>
        <v>0</v>
      </c>
      <c r="EE70" s="20" t="n">
        <f aca="false">SE69</f>
        <v>0</v>
      </c>
      <c r="EF70" s="20" t="n">
        <f aca="false">EC70*MIN(Slot12_Cost,EE70)</f>
        <v>0</v>
      </c>
      <c r="EG70" s="20" t="n">
        <f aca="false">EC70*Slot12_SpendLike*MIN(Slot12_Cost-EF70,DY70)</f>
        <v>0</v>
      </c>
      <c r="EH70" s="20" t="n">
        <f aca="false">EF70+EG70</f>
        <v>0</v>
      </c>
      <c r="EI70" s="20" t="n">
        <f aca="false">DY70-EG70+EC70*IF(Slot12_SpendLike=1,EE70-EF70,IF(Slot12_PotFree=1,EE70,0))</f>
        <v>0</v>
      </c>
      <c r="EJ70" s="20" t="n">
        <f aca="false">DZ70+EC70*Slot12_BufPot*EE70</f>
        <v>0</v>
      </c>
      <c r="EK70" s="20" t="n">
        <f aca="false">IF(AND(EC70=1,Slot12_IsMfree=1),IF(EH70&gt;=Slot12_Cost-1,0,MAX(0,EA70-EH70)),EA70)</f>
        <v>0</v>
      </c>
      <c r="EL70" s="20" t="n">
        <f aca="false">EC70*(Slot12_Cost-EH70)</f>
        <v>0</v>
      </c>
      <c r="EM70" s="20" t="n">
        <f aca="false">IF(AND(Slot13_On=1,D70=Slot13_Age),1,0)</f>
        <v>0</v>
      </c>
      <c r="EN70" s="20" t="n">
        <f aca="false">IF(AND(Slot13_On=1,Slot13_Age&gt;D70),1,0)</f>
        <v>0</v>
      </c>
      <c r="EO70" s="20" t="n">
        <f aca="false">SI69</f>
        <v>0</v>
      </c>
      <c r="EP70" s="20" t="n">
        <f aca="false">EM70*MIN(Slot13_Cost,EO70)</f>
        <v>0</v>
      </c>
      <c r="EQ70" s="20" t="n">
        <f aca="false">EM70*Slot13_SpendLike*MIN(Slot13_Cost-EP70,EI70)</f>
        <v>0</v>
      </c>
      <c r="ER70" s="20" t="n">
        <f aca="false">EP70+EQ70</f>
        <v>0</v>
      </c>
      <c r="ES70" s="20" t="n">
        <f aca="false">EI70-EQ70+EM70*IF(Slot13_SpendLike=1,EO70-EP70,IF(Slot13_PotFree=1,EO70,0))</f>
        <v>0</v>
      </c>
      <c r="ET70" s="20" t="n">
        <f aca="false">EJ70+EM70*Slot13_BufPot*EO70</f>
        <v>0</v>
      </c>
      <c r="EU70" s="20" t="n">
        <f aca="false">IF(AND(EM70=1,Slot13_IsMfree=1),IF(ER70&gt;=Slot13_Cost-1,0,MAX(0,EK70-ER70)),EK70)</f>
        <v>0</v>
      </c>
      <c r="EV70" s="20" t="n">
        <f aca="false">EM70*(Slot13_Cost-ER70)</f>
        <v>0</v>
      </c>
      <c r="EW70" s="20" t="n">
        <f aca="false">IF(AND(Slot14_On=1,D70=Slot14_Age),1,0)</f>
        <v>0</v>
      </c>
      <c r="EX70" s="20" t="n">
        <f aca="false">IF(AND(Slot14_On=1,Slot14_Age&gt;D70),1,0)</f>
        <v>0</v>
      </c>
      <c r="EY70" s="20" t="n">
        <f aca="false">SM69</f>
        <v>0</v>
      </c>
      <c r="EZ70" s="20" t="n">
        <f aca="false">EW70*MIN(Slot14_Cost,EY70)</f>
        <v>0</v>
      </c>
      <c r="FA70" s="20" t="n">
        <f aca="false">EW70*Slot14_SpendLike*MIN(Slot14_Cost-EZ70,ES70)</f>
        <v>0</v>
      </c>
      <c r="FB70" s="20" t="n">
        <f aca="false">EZ70+FA70</f>
        <v>0</v>
      </c>
      <c r="FC70" s="20" t="n">
        <f aca="false">ES70-FA70+EW70*IF(Slot14_SpendLike=1,EY70-EZ70,IF(Slot14_PotFree=1,EY70,0))</f>
        <v>0</v>
      </c>
      <c r="FD70" s="20" t="n">
        <f aca="false">ET70+EW70*Slot14_BufPot*EY70</f>
        <v>0</v>
      </c>
      <c r="FE70" s="20" t="n">
        <f aca="false">IF(AND(EW70=1,Slot14_IsMfree=1),IF(FB70&gt;=Slot14_Cost-1,0,MAX(0,EU70-FB70)),EU70)</f>
        <v>0</v>
      </c>
      <c r="FF70" s="20" t="n">
        <f aca="false">EW70*(Slot14_Cost-FB70)</f>
        <v>0</v>
      </c>
      <c r="FG70" s="20" t="n">
        <f aca="false">IF(AND(Slot15_On=1,D70=Slot15_Age),1,0)</f>
        <v>0</v>
      </c>
      <c r="FH70" s="20" t="n">
        <f aca="false">IF(AND(Slot15_On=1,Slot15_Age&gt;D70),1,0)</f>
        <v>0</v>
      </c>
      <c r="FI70" s="20" t="n">
        <f aca="false">SQ69</f>
        <v>0</v>
      </c>
      <c r="FJ70" s="20" t="n">
        <f aca="false">FG70*MIN(Slot15_Cost,FI70)</f>
        <v>0</v>
      </c>
      <c r="FK70" s="20" t="n">
        <f aca="false">FG70*Slot15_SpendLike*MIN(Slot15_Cost-FJ70,FC70)</f>
        <v>0</v>
      </c>
      <c r="FL70" s="20" t="n">
        <f aca="false">FJ70+FK70</f>
        <v>0</v>
      </c>
      <c r="FM70" s="20" t="n">
        <f aca="false">FC70-FK70+FG70*IF(Slot15_SpendLike=1,FI70-FJ70,IF(Slot15_PotFree=1,FI70,0))</f>
        <v>0</v>
      </c>
      <c r="FN70" s="20" t="n">
        <f aca="false">FD70+FG70*Slot15_BufPot*FI70</f>
        <v>0</v>
      </c>
      <c r="FO70" s="20" t="n">
        <f aca="false">IF(AND(FG70=1,Slot15_IsMfree=1),IF(FL70&gt;=Slot15_Cost-1,0,MAX(0,FE70-FL70)),FE70)</f>
        <v>0</v>
      </c>
      <c r="FP70" s="20" t="n">
        <f aca="false">FG70*(Slot15_Cost-FL70)</f>
        <v>0</v>
      </c>
      <c r="FQ70" s="20" t="n">
        <f aca="false">IF(AND(Slot16_On=1,D70=Slot16_Age),1,0)</f>
        <v>0</v>
      </c>
      <c r="FR70" s="20" t="n">
        <f aca="false">IF(AND(Slot16_On=1,Slot16_Age&gt;D70),1,0)</f>
        <v>0</v>
      </c>
      <c r="FS70" s="20" t="n">
        <f aca="false">SU69</f>
        <v>0</v>
      </c>
      <c r="FT70" s="20" t="n">
        <f aca="false">FQ70*MIN(Slot16_Cost,FS70)</f>
        <v>0</v>
      </c>
      <c r="FU70" s="20" t="n">
        <f aca="false">FQ70*Slot16_SpendLike*MIN(Slot16_Cost-FT70,FM70)</f>
        <v>0</v>
      </c>
      <c r="FV70" s="20" t="n">
        <f aca="false">FT70+FU70</f>
        <v>0</v>
      </c>
      <c r="FW70" s="20" t="n">
        <f aca="false">FM70-FU70+FQ70*IF(Slot16_SpendLike=1,FS70-FT70,IF(Slot16_PotFree=1,FS70,0))</f>
        <v>0</v>
      </c>
      <c r="FX70" s="20" t="n">
        <f aca="false">FN70+FQ70*Slot16_BufPot*FS70</f>
        <v>0</v>
      </c>
      <c r="FY70" s="20" t="n">
        <f aca="false">IF(AND(FQ70=1,Slot16_IsMfree=1),IF(FV70&gt;=Slot16_Cost-1,0,MAX(0,FO70-FV70)),FO70)</f>
        <v>0</v>
      </c>
      <c r="FZ70" s="20" t="n">
        <f aca="false">FQ70*(Slot16_Cost-FV70)</f>
        <v>0</v>
      </c>
      <c r="GA70" s="20" t="n">
        <f aca="false">IF(AND(Slot17_On=1,D70=Slot17_Age),1,0)</f>
        <v>0</v>
      </c>
      <c r="GB70" s="20" t="n">
        <f aca="false">IF(AND(Slot17_On=1,Slot17_Age&gt;D70),1,0)</f>
        <v>0</v>
      </c>
      <c r="GC70" s="20" t="n">
        <f aca="false">SY69</f>
        <v>0</v>
      </c>
      <c r="GD70" s="20" t="n">
        <f aca="false">GA70*MIN(Slot17_Cost,GC70)</f>
        <v>0</v>
      </c>
      <c r="GE70" s="20" t="n">
        <f aca="false">GA70*Slot17_SpendLike*MIN(Slot17_Cost-GD70,FW70)</f>
        <v>0</v>
      </c>
      <c r="GF70" s="20" t="n">
        <f aca="false">GD70+GE70</f>
        <v>0</v>
      </c>
      <c r="GG70" s="20" t="n">
        <f aca="false">FW70-GE70+GA70*IF(Slot17_SpendLike=1,GC70-GD70,IF(Slot17_PotFree=1,GC70,0))</f>
        <v>0</v>
      </c>
      <c r="GH70" s="20" t="n">
        <f aca="false">FX70+GA70*Slot17_BufPot*GC70</f>
        <v>0</v>
      </c>
      <c r="GI70" s="20" t="n">
        <f aca="false">IF(AND(GA70=1,Slot17_IsMfree=1),IF(GF70&gt;=Slot17_Cost-1,0,MAX(0,FY70-GF70)),FY70)</f>
        <v>0</v>
      </c>
      <c r="GJ70" s="20" t="n">
        <f aca="false">GA70*(Slot17_Cost-GF70)</f>
        <v>0</v>
      </c>
      <c r="GK70" s="20" t="n">
        <f aca="false">IF(AND(Slot18_On=1,D70=Slot18_Age),1,0)</f>
        <v>0</v>
      </c>
      <c r="GL70" s="20" t="n">
        <f aca="false">IF(AND(Slot18_On=1,Slot18_Age&gt;D70),1,0)</f>
        <v>0</v>
      </c>
      <c r="GM70" s="20" t="n">
        <f aca="false">TC69</f>
        <v>0</v>
      </c>
      <c r="GN70" s="20" t="n">
        <f aca="false">GK70*MIN(Slot18_Cost,GM70)</f>
        <v>0</v>
      </c>
      <c r="GO70" s="20" t="n">
        <f aca="false">GK70*Slot18_SpendLike*MIN(Slot18_Cost-GN70,GG70)</f>
        <v>0</v>
      </c>
      <c r="GP70" s="20" t="n">
        <f aca="false">GN70+GO70</f>
        <v>0</v>
      </c>
      <c r="GQ70" s="20" t="n">
        <f aca="false">GG70-GO70+GK70*IF(Slot18_SpendLike=1,GM70-GN70,IF(Slot18_PotFree=1,GM70,0))</f>
        <v>0</v>
      </c>
      <c r="GR70" s="20" t="n">
        <f aca="false">GH70+GK70*Slot18_BufPot*GM70</f>
        <v>0</v>
      </c>
      <c r="GS70" s="20" t="n">
        <f aca="false">IF(AND(GK70=1,Slot18_IsMfree=1),IF(GP70&gt;=Slot18_Cost-1,0,MAX(0,GI70-GP70)),GI70)</f>
        <v>0</v>
      </c>
      <c r="GT70" s="20" t="n">
        <f aca="false">GK70*(Slot18_Cost-GP70)</f>
        <v>0</v>
      </c>
      <c r="GU70" s="20" t="n">
        <f aca="false">IF(AND(Slot19_On=1,D70=Slot19_Age),1,0)</f>
        <v>0</v>
      </c>
      <c r="GV70" s="20" t="n">
        <f aca="false">IF(AND(Slot19_On=1,Slot19_Age&gt;D70),1,0)</f>
        <v>0</v>
      </c>
      <c r="GW70" s="20" t="n">
        <f aca="false">TG69</f>
        <v>0</v>
      </c>
      <c r="GX70" s="20" t="n">
        <f aca="false">GU70*MIN(Slot19_Cost,GW70)</f>
        <v>0</v>
      </c>
      <c r="GY70" s="20" t="n">
        <f aca="false">GU70*Slot19_SpendLike*MIN(Slot19_Cost-GX70,GQ70)</f>
        <v>0</v>
      </c>
      <c r="GZ70" s="20" t="n">
        <f aca="false">GX70+GY70</f>
        <v>0</v>
      </c>
      <c r="HA70" s="20" t="n">
        <f aca="false">GQ70-GY70+GU70*IF(Slot19_SpendLike=1,GW70-GX70,IF(Slot19_PotFree=1,GW70,0))</f>
        <v>0</v>
      </c>
      <c r="HB70" s="20" t="n">
        <f aca="false">GR70+GU70*Slot19_BufPot*GW70</f>
        <v>0</v>
      </c>
      <c r="HC70" s="20" t="n">
        <f aca="false">IF(AND(GU70=1,Slot19_IsMfree=1),IF(GZ70&gt;=Slot19_Cost-1,0,MAX(0,GS70-GZ70)),GS70)</f>
        <v>0</v>
      </c>
      <c r="HD70" s="20" t="n">
        <f aca="false">GU70*(Slot19_Cost-GZ70)</f>
        <v>0</v>
      </c>
      <c r="HE70" s="20" t="n">
        <f aca="false">IF(AND(Slot20_On=1,D70=Slot20_Age),1,0)</f>
        <v>0</v>
      </c>
      <c r="HF70" s="20" t="n">
        <f aca="false">IF(AND(Slot20_On=1,Slot20_Age&gt;D70),1,0)</f>
        <v>0</v>
      </c>
      <c r="HG70" s="20" t="n">
        <f aca="false">TK69</f>
        <v>0</v>
      </c>
      <c r="HH70" s="20" t="n">
        <f aca="false">HE70*MIN(Slot20_Cost,HG70)</f>
        <v>0</v>
      </c>
      <c r="HI70" s="20" t="n">
        <f aca="false">HE70*Slot20_SpendLike*MIN(Slot20_Cost-HH70,HA70)</f>
        <v>0</v>
      </c>
      <c r="HJ70" s="20" t="n">
        <f aca="false">HH70+HI70</f>
        <v>0</v>
      </c>
      <c r="HK70" s="20" t="n">
        <f aca="false">HA70-HI70+HE70*IF(Slot20_SpendLike=1,HG70-HH70,IF(Slot20_PotFree=1,HG70,0))</f>
        <v>0</v>
      </c>
      <c r="HL70" s="20" t="n">
        <f aca="false">HB70+HE70*Slot20_BufPot*HG70</f>
        <v>0</v>
      </c>
      <c r="HM70" s="20" t="n">
        <f aca="false">IF(AND(HE70=1,Slot20_IsMfree=1),IF(HJ70&gt;=Slot20_Cost-1,0,MAX(0,HC70-HJ70)),HC70)</f>
        <v>0</v>
      </c>
      <c r="HN70" s="20" t="n">
        <f aca="false">HE70*(Slot20_Cost-HJ70)</f>
        <v>0</v>
      </c>
      <c r="HO70" s="20" t="n">
        <f aca="false">V70*Slot1_SpendLike*AA70+AG70*Slot2_SpendLike*AL70+AQ70*Slot3_SpendLike*AV70+BA70*Slot4_SpendLike*BF70+BK70*Slot5_SpendLike*BP70+BU70*Slot6_SpendLike*BZ70+CE70*Slot7_SpendLike*CJ70+CO70*Slot8_SpendLike*CT70+CY70*Slot9_SpendLike*DD70+DI70*Slot10_SpendLike*DN70+DS70*Slot11_SpendLike*DX70+EC70*Slot12_SpendLike*EH70+EM70*Slot13_SpendLike*ER70+EW70*Slot14_SpendLike*FB70+FG70*Slot15_SpendLike*FL70+FQ70*Slot16_SpendLike*FV70+GA70*Slot17_SpendLike*GF70+GK70*Slot18_SpendLike*GP70+GU70*Slot19_SpendLike*GZ70+HE70*Slot20_SpendLike*HJ70</f>
        <v>0</v>
      </c>
      <c r="HP70" s="20" t="n">
        <f aca="false">AE70+AP70+AZ70+BJ70+BT70+CD70+CN70+CX70+DH70+DR70+EB70+EL70+EV70+FF70+FP70+FZ70+GJ70+GT70+HD70+HN70</f>
        <v>0</v>
      </c>
      <c r="HQ70" s="20" t="n">
        <f aca="false">V70*Slot1_Cost+AG70*Slot2_Cost+AQ70*Slot3_Cost+BA70*Slot4_Cost+BK70*Slot5_Cost+BU70*Slot6_Cost+CE70*Slot7_Cost+CO70*Slot8_Cost+CY70*Slot9_Cost+DI70*Slot10_Cost+DS70*Slot11_Cost+EC70*Slot12_Cost+EM70*Slot13_Cost+EW70*Slot14_Cost+FG70*Slot15_Cost+FQ70*Slot16_Cost+GA70*Slot17_Cost+GK70*Slot18_Cost+GU70*Slot19_Cost+HE70*Slot20_Cost</f>
        <v>0</v>
      </c>
      <c r="HR70" s="20" t="n">
        <f aca="false">HM70</f>
        <v>0</v>
      </c>
      <c r="HS70" s="20" t="n">
        <f aca="false">H70-I70-S70</f>
        <v>-65764.479150534</v>
      </c>
      <c r="HT70" s="20" t="n">
        <f aca="false">IF(B70=0,IF(AND(Has_q6=1,In_q6=4),PR_ShareVaries*(MAX(0,HS70)/12),MIN(IF(Has_q6=1,CHOOSE(In_q6+1,PR_SaveB1,PR_SaveB2,PR_SaveB3,PR_SaveB4,0),AS_NoAnswer),AS_SaveShare*(MAX(0,HS70)/12))),HT69)</f>
        <v>62.3316893520437</v>
      </c>
      <c r="HU70" s="20" t="n">
        <f aca="false">IF(HS70&gt;=0,1,0)</f>
        <v>0</v>
      </c>
      <c r="HV70" s="20" t="n">
        <f aca="false">MAX(0,HS70/12/F70)</f>
        <v>0</v>
      </c>
      <c r="HW70" s="20" t="n">
        <f aca="false">IF(AND(Has_q6=1,In_q6=4),PR_ShareVaries*(HV70),MIN(IF(Has_q6=1,CHOOSE(In_q6+1,PR_SaveB1,PR_SaveB2,PR_SaveB3,PR_SaveB4,0),AS_NoAnswer),AS_SaveShare*(HV70)))</f>
        <v>0</v>
      </c>
      <c r="HX70" s="20" t="n">
        <f aca="false">IF(Has_saveM=1,IF(In_saveUp="Yes",1,IF(In_saveUp="No",0,IF(In_saveM&gt;=HT70-0.5,1,0))),0)</f>
        <v>0</v>
      </c>
      <c r="HY70" s="20" t="n">
        <f aca="false">IF(Has_saveM=1,MIN(HV70,IF(HX70=1,MAX(In_saveM,HW70),MIN(In_saveM,HW70))),HW70)</f>
        <v>0</v>
      </c>
      <c r="HZ70" s="20" t="n">
        <f aca="false">IF(G70=1,HY70*12*F70,0)</f>
        <v>0</v>
      </c>
      <c r="IA70" s="20" t="n">
        <f aca="false">MAX(0,HZ70+IF(AND(WI_Retire=0,WI_M&lt;0,G70=1),WI_M*12*F70,0))</f>
        <v>0</v>
      </c>
      <c r="IB70" s="20" t="n">
        <f aca="false">Slot1_IsWG*W70+Slot2_IsWG*AH70+Slot3_IsWG*AR70+Slot4_IsWG*BB70+Slot5_IsWG*BL70+Slot6_IsWG*BV70+Slot7_IsWG*CF70+Slot8_IsWG*CP70+Slot9_IsWG*CZ70+Slot10_IsWG*DJ70+Slot11_IsWG*DT70+Slot12_IsWG*ED70+Slot13_IsWG*EN70+Slot14_IsWG*EX70+Slot15_IsWG*FH70+Slot16_IsWG*FR70+Slot17_IsWG*GB70+Slot18_IsWG*GL70+Slot19_IsWG*GV70+Slot20_IsWG*HF70</f>
        <v>0</v>
      </c>
      <c r="IC70" s="20" t="n">
        <f aca="false">IF(AND(WI_Retire=0,WI_M&gt;0,G70=1,IB70&gt;=1),WI_M*12*F70,0)</f>
        <v>0</v>
      </c>
      <c r="ID70" s="20" t="n">
        <f aca="false">IF(HU70=1,MIN(IA70,HS70),0)</f>
        <v>0</v>
      </c>
      <c r="IE70" s="20" t="n">
        <f aca="false">IF(HU70=1,MIN(IC70,HS70-ID70),0)</f>
        <v>0</v>
      </c>
      <c r="IF70" s="20" t="n">
        <f aca="false">IF(W70=1,IF(ABS((1+AS_Wage)/(1+Slot1_Rate)-1)&lt;0.000000000001,(Slot1_Age-D70)*(1+Slot1_Rate)^(Slot1_Age-D70),(1+Slot1_Rate)^(Slot1_Age-D70)*(1-((1+AS_Wage)/(1+Slot1_Rate))^(Slot1_Age-D70))/(1-(1+AS_Wage)/(1+Slot1_Rate))),1)</f>
        <v>1</v>
      </c>
      <c r="IG70" s="20" t="n">
        <f aca="false">IF(AND(HU70=1,IE70&gt;0,Slot1_IsWG=1,W70=1),MAX(0,(Slot1_Cost-X70*(1+Slot1_Rate)^(Slot1_Age-D70))/IF70),0)</f>
        <v>0</v>
      </c>
      <c r="IH70" s="20" t="n">
        <f aca="false">IF(AND(HU70=1,IE70&gt;0,Slot1_IsWG=1,W70=1),MIN(IE70,IG70),0)</f>
        <v>0</v>
      </c>
      <c r="II70" s="20" t="n">
        <f aca="false">X70+IH70</f>
        <v>0</v>
      </c>
      <c r="IJ70" s="20" t="n">
        <f aca="false">IF(W70=1,MAX(0,(Slot1_Cost-II70*(1+Slot1_Rate)^(Slot1_Age-D70))/IF70),0)</f>
        <v>0</v>
      </c>
      <c r="IK70" s="20" t="n">
        <f aca="false">IF(W70=1,MAX(0,(Slot1_Cost-X70*(1+Slot1_Rate)^(Slot1_Age-D70))/IF70),0)</f>
        <v>0</v>
      </c>
      <c r="IL70" s="20" t="n">
        <f aca="false">IF(AND(HU70=1,W70=1),MIN(ID70,IJ70),0)</f>
        <v>0</v>
      </c>
      <c r="IM70" s="20" t="n">
        <f aca="false">ID70-IL70</f>
        <v>0</v>
      </c>
      <c r="IN70" s="20" t="n">
        <f aca="false">IF(AH70=1,IF(ABS((1+AS_Wage)/(1+Slot2_Rate)-1)&lt;0.000000000001,(Slot2_Age-D70)*(1+Slot2_Rate)^(Slot2_Age-D70),(1+Slot2_Rate)^(Slot2_Age-D70)*(1-((1+AS_Wage)/(1+Slot2_Rate))^(Slot2_Age-D70))/(1-(1+AS_Wage)/(1+Slot2_Rate))),1)</f>
        <v>1</v>
      </c>
      <c r="IO70" s="20" t="n">
        <f aca="false">IF(AND(HU70=1,IE70&gt;0,Slot2_IsWG=1,AH70=1),MAX(0,(Slot2_Cost-AI70*(1+Slot2_Rate)^(Slot2_Age-D70))/IN70),0)</f>
        <v>0</v>
      </c>
      <c r="IP70" s="20" t="n">
        <f aca="false">IF(AND(HU70=1,IE70&gt;0,Slot2_IsWG=1,AH70=1),MIN(IE70,IO70),0)</f>
        <v>0</v>
      </c>
      <c r="IQ70" s="20" t="n">
        <f aca="false">AI70+IP70</f>
        <v>0</v>
      </c>
      <c r="IR70" s="20" t="n">
        <f aca="false">IF(AH70=1,MAX(0,(Slot2_Cost-IQ70*(1+Slot2_Rate)^(Slot2_Age-D70))/IN70),0)</f>
        <v>0</v>
      </c>
      <c r="IS70" s="20" t="n">
        <f aca="false">IF(AH70=1,MAX(0,(Slot2_Cost-AI70*(1+Slot2_Rate)^(Slot2_Age-D70))/IN70),0)</f>
        <v>0</v>
      </c>
      <c r="IT70" s="20" t="n">
        <f aca="false">IF(AND(HU70=1,AH70=1),MIN(IM70,IR70),0)</f>
        <v>0</v>
      </c>
      <c r="IU70" s="20" t="n">
        <f aca="false">IM70-IT70</f>
        <v>0</v>
      </c>
      <c r="IV70" s="20" t="n">
        <f aca="false">IF(AR70=1,IF(ABS((1+AS_Wage)/(1+Slot3_Rate)-1)&lt;0.000000000001,(Slot3_Age-D70)*(1+Slot3_Rate)^(Slot3_Age-D70),(1+Slot3_Rate)^(Slot3_Age-D70)*(1-((1+AS_Wage)/(1+Slot3_Rate))^(Slot3_Age-D70))/(1-(1+AS_Wage)/(1+Slot3_Rate))),1)</f>
        <v>1</v>
      </c>
      <c r="IW70" s="20" t="n">
        <f aca="false">IF(AND(HU70=1,IE70&gt;0,Slot3_IsWG=1,AR70=1),MAX(0,(Slot3_Cost-AS70*(1+Slot3_Rate)^(Slot3_Age-D70))/IV70),0)</f>
        <v>0</v>
      </c>
      <c r="IX70" s="20" t="n">
        <f aca="false">IF(AND(HU70=1,IE70&gt;0,Slot3_IsWG=1,AR70=1),MIN(IE70,IW70),0)</f>
        <v>0</v>
      </c>
      <c r="IY70" s="20" t="n">
        <f aca="false">AS70+IX70</f>
        <v>0</v>
      </c>
      <c r="IZ70" s="20" t="n">
        <f aca="false">IF(AR70=1,MAX(0,(Slot3_Cost-IY70*(1+Slot3_Rate)^(Slot3_Age-D70))/IV70),0)</f>
        <v>0</v>
      </c>
      <c r="JA70" s="20" t="n">
        <f aca="false">IF(AR70=1,MAX(0,(Slot3_Cost-AS70*(1+Slot3_Rate)^(Slot3_Age-D70))/IV70),0)</f>
        <v>0</v>
      </c>
      <c r="JB70" s="20" t="n">
        <f aca="false">IF(AND(HU70=1,AR70=1),MIN(IU70,IZ70),0)</f>
        <v>0</v>
      </c>
      <c r="JC70" s="20" t="n">
        <f aca="false">IU70-JB70</f>
        <v>0</v>
      </c>
      <c r="JD70" s="20" t="n">
        <f aca="false">IF(BB70=1,IF(ABS((1+AS_Wage)/(1+Slot4_Rate)-1)&lt;0.000000000001,(Slot4_Age-D70)*(1+Slot4_Rate)^(Slot4_Age-D70),(1+Slot4_Rate)^(Slot4_Age-D70)*(1-((1+AS_Wage)/(1+Slot4_Rate))^(Slot4_Age-D70))/(1-(1+AS_Wage)/(1+Slot4_Rate))),1)</f>
        <v>1</v>
      </c>
      <c r="JE70" s="20" t="n">
        <f aca="false">IF(AND(HU70=1,IE70&gt;0,Slot4_IsWG=1,BB70=1),MAX(0,(Slot4_Cost-BC70*(1+Slot4_Rate)^(Slot4_Age-D70))/JD70),0)</f>
        <v>0</v>
      </c>
      <c r="JF70" s="20" t="n">
        <f aca="false">IF(AND(HU70=1,IE70&gt;0,Slot4_IsWG=1,BB70=1),MIN(IE70,JE70),0)</f>
        <v>0</v>
      </c>
      <c r="JG70" s="20" t="n">
        <f aca="false">BC70+JF70</f>
        <v>0</v>
      </c>
      <c r="JH70" s="20" t="n">
        <f aca="false">IF(BB70=1,MAX(0,(Slot4_Cost-JG70*(1+Slot4_Rate)^(Slot4_Age-D70))/JD70),0)</f>
        <v>0</v>
      </c>
      <c r="JI70" s="20" t="n">
        <f aca="false">IF(BB70=1,MAX(0,(Slot4_Cost-BC70*(1+Slot4_Rate)^(Slot4_Age-D70))/JD70),0)</f>
        <v>0</v>
      </c>
      <c r="JJ70" s="20" t="n">
        <f aca="false">IF(AND(HU70=1,BB70=1),MIN(JC70,JH70),0)</f>
        <v>0</v>
      </c>
      <c r="JK70" s="20" t="n">
        <f aca="false">JC70-JJ70</f>
        <v>0</v>
      </c>
      <c r="JL70" s="20" t="n">
        <f aca="false">IF(BL70=1,IF(ABS((1+AS_Wage)/(1+Slot5_Rate)-1)&lt;0.000000000001,(Slot5_Age-D70)*(1+Slot5_Rate)^(Slot5_Age-D70),(1+Slot5_Rate)^(Slot5_Age-D70)*(1-((1+AS_Wage)/(1+Slot5_Rate))^(Slot5_Age-D70))/(1-(1+AS_Wage)/(1+Slot5_Rate))),1)</f>
        <v>1</v>
      </c>
      <c r="JM70" s="20" t="n">
        <f aca="false">IF(AND(HU70=1,IE70&gt;0,Slot5_IsWG=1,BL70=1),MAX(0,(Slot5_Cost-BM70*(1+Slot5_Rate)^(Slot5_Age-D70))/JL70),0)</f>
        <v>0</v>
      </c>
      <c r="JN70" s="20" t="n">
        <f aca="false">IF(AND(HU70=1,IE70&gt;0,Slot5_IsWG=1,BL70=1),MIN(IE70,JM70),0)</f>
        <v>0</v>
      </c>
      <c r="JO70" s="20" t="n">
        <f aca="false">BM70+JN70</f>
        <v>0</v>
      </c>
      <c r="JP70" s="20" t="n">
        <f aca="false">IF(BL70=1,MAX(0,(Slot5_Cost-JO70*(1+Slot5_Rate)^(Slot5_Age-D70))/JL70),0)</f>
        <v>0</v>
      </c>
      <c r="JQ70" s="20" t="n">
        <f aca="false">IF(BL70=1,MAX(0,(Slot5_Cost-BM70*(1+Slot5_Rate)^(Slot5_Age-D70))/JL70),0)</f>
        <v>0</v>
      </c>
      <c r="JR70" s="20" t="n">
        <f aca="false">IF(AND(HU70=1,BL70=1),MIN(JK70,JP70),0)</f>
        <v>0</v>
      </c>
      <c r="JS70" s="20" t="n">
        <f aca="false">JK70-JR70</f>
        <v>0</v>
      </c>
      <c r="JT70" s="20" t="n">
        <f aca="false">IF(BV70=1,IF(ABS((1+AS_Wage)/(1+Slot6_Rate)-1)&lt;0.000000000001,(Slot6_Age-D70)*(1+Slot6_Rate)^(Slot6_Age-D70),(1+Slot6_Rate)^(Slot6_Age-D70)*(1-((1+AS_Wage)/(1+Slot6_Rate))^(Slot6_Age-D70))/(1-(1+AS_Wage)/(1+Slot6_Rate))),1)</f>
        <v>1</v>
      </c>
      <c r="JU70" s="20" t="n">
        <f aca="false">IF(AND(HU70=1,IE70&gt;0,Slot6_IsWG=1,BV70=1),MAX(0,(Slot6_Cost-BW70*(1+Slot6_Rate)^(Slot6_Age-D70))/JT70),0)</f>
        <v>0</v>
      </c>
      <c r="JV70" s="20" t="n">
        <f aca="false">IF(AND(HU70=1,IE70&gt;0,Slot6_IsWG=1,BV70=1),MIN(IE70,JU70),0)</f>
        <v>0</v>
      </c>
      <c r="JW70" s="20" t="n">
        <f aca="false">BW70+JV70</f>
        <v>0</v>
      </c>
      <c r="JX70" s="20" t="n">
        <f aca="false">IF(BV70=1,MAX(0,(Slot6_Cost-JW70*(1+Slot6_Rate)^(Slot6_Age-D70))/JT70),0)</f>
        <v>0</v>
      </c>
      <c r="JY70" s="20" t="n">
        <f aca="false">IF(BV70=1,MAX(0,(Slot6_Cost-BW70*(1+Slot6_Rate)^(Slot6_Age-D70))/JT70),0)</f>
        <v>0</v>
      </c>
      <c r="JZ70" s="20" t="n">
        <f aca="false">IF(AND(HU70=1,BV70=1),MIN(JS70,JX70),0)</f>
        <v>0</v>
      </c>
      <c r="KA70" s="20" t="n">
        <f aca="false">JS70-JZ70</f>
        <v>0</v>
      </c>
      <c r="KB70" s="20" t="n">
        <f aca="false">IF(CF70=1,IF(ABS((1+AS_Wage)/(1+Slot7_Rate)-1)&lt;0.000000000001,(Slot7_Age-D70)*(1+Slot7_Rate)^(Slot7_Age-D70),(1+Slot7_Rate)^(Slot7_Age-D70)*(1-((1+AS_Wage)/(1+Slot7_Rate))^(Slot7_Age-D70))/(1-(1+AS_Wage)/(1+Slot7_Rate))),1)</f>
        <v>1</v>
      </c>
      <c r="KC70" s="20" t="n">
        <f aca="false">IF(AND(HU70=1,IE70&gt;0,Slot7_IsWG=1,CF70=1),MAX(0,(Slot7_Cost-CG70*(1+Slot7_Rate)^(Slot7_Age-D70))/KB70),0)</f>
        <v>0</v>
      </c>
      <c r="KD70" s="20" t="n">
        <f aca="false">IF(AND(HU70=1,IE70&gt;0,Slot7_IsWG=1,CF70=1),MIN(IE70,KC70),0)</f>
        <v>0</v>
      </c>
      <c r="KE70" s="20" t="n">
        <f aca="false">CG70+KD70</f>
        <v>0</v>
      </c>
      <c r="KF70" s="20" t="n">
        <f aca="false">IF(CF70=1,MAX(0,(Slot7_Cost-KE70*(1+Slot7_Rate)^(Slot7_Age-D70))/KB70),0)</f>
        <v>0</v>
      </c>
      <c r="KG70" s="20" t="n">
        <f aca="false">IF(CF70=1,MAX(0,(Slot7_Cost-CG70*(1+Slot7_Rate)^(Slot7_Age-D70))/KB70),0)</f>
        <v>0</v>
      </c>
      <c r="KH70" s="20" t="n">
        <f aca="false">IF(AND(HU70=1,CF70=1),MIN(KA70,KF70),0)</f>
        <v>0</v>
      </c>
      <c r="KI70" s="20" t="n">
        <f aca="false">KA70-KH70</f>
        <v>0</v>
      </c>
      <c r="KJ70" s="20" t="n">
        <f aca="false">IF(CP70=1,IF(ABS((1+AS_Wage)/(1+Slot8_Rate)-1)&lt;0.000000000001,(Slot8_Age-D70)*(1+Slot8_Rate)^(Slot8_Age-D70),(1+Slot8_Rate)^(Slot8_Age-D70)*(1-((1+AS_Wage)/(1+Slot8_Rate))^(Slot8_Age-D70))/(1-(1+AS_Wage)/(1+Slot8_Rate))),1)</f>
        <v>1</v>
      </c>
      <c r="KK70" s="20" t="n">
        <f aca="false">IF(AND(HU70=1,IE70&gt;0,Slot8_IsWG=1,CP70=1),MAX(0,(Slot8_Cost-CQ70*(1+Slot8_Rate)^(Slot8_Age-D70))/KJ70),0)</f>
        <v>0</v>
      </c>
      <c r="KL70" s="20" t="n">
        <f aca="false">IF(AND(HU70=1,IE70&gt;0,Slot8_IsWG=1,CP70=1),MIN(IE70,KK70),0)</f>
        <v>0</v>
      </c>
      <c r="KM70" s="20" t="n">
        <f aca="false">CQ70+KL70</f>
        <v>0</v>
      </c>
      <c r="KN70" s="20" t="n">
        <f aca="false">IF(CP70=1,MAX(0,(Slot8_Cost-KM70*(1+Slot8_Rate)^(Slot8_Age-D70))/KJ70),0)</f>
        <v>0</v>
      </c>
      <c r="KO70" s="20" t="n">
        <f aca="false">IF(CP70=1,MAX(0,(Slot8_Cost-CQ70*(1+Slot8_Rate)^(Slot8_Age-D70))/KJ70),0)</f>
        <v>0</v>
      </c>
      <c r="KP70" s="20" t="n">
        <f aca="false">IF(AND(HU70=1,CP70=1),MIN(KI70,KN70),0)</f>
        <v>0</v>
      </c>
      <c r="KQ70" s="20" t="n">
        <f aca="false">KI70-KP70</f>
        <v>0</v>
      </c>
      <c r="KR70" s="20" t="n">
        <f aca="false">IF(CZ70=1,IF(ABS((1+AS_Wage)/(1+Slot9_Rate)-1)&lt;0.000000000001,(Slot9_Age-D70)*(1+Slot9_Rate)^(Slot9_Age-D70),(1+Slot9_Rate)^(Slot9_Age-D70)*(1-((1+AS_Wage)/(1+Slot9_Rate))^(Slot9_Age-D70))/(1-(1+AS_Wage)/(1+Slot9_Rate))),1)</f>
        <v>1</v>
      </c>
      <c r="KS70" s="20" t="n">
        <f aca="false">IF(AND(HU70=1,IE70&gt;0,Slot9_IsWG=1,CZ70=1),MAX(0,(Slot9_Cost-DA70*(1+Slot9_Rate)^(Slot9_Age-D70))/KR70),0)</f>
        <v>0</v>
      </c>
      <c r="KT70" s="20" t="n">
        <f aca="false">IF(AND(HU70=1,IE70&gt;0,Slot9_IsWG=1,CZ70=1),MIN(IE70,KS70),0)</f>
        <v>0</v>
      </c>
      <c r="KU70" s="20" t="n">
        <f aca="false">DA70+KT70</f>
        <v>0</v>
      </c>
      <c r="KV70" s="20" t="n">
        <f aca="false">IF(CZ70=1,MAX(0,(Slot9_Cost-KU70*(1+Slot9_Rate)^(Slot9_Age-D70))/KR70),0)</f>
        <v>0</v>
      </c>
      <c r="KW70" s="20" t="n">
        <f aca="false">IF(CZ70=1,MAX(0,(Slot9_Cost-DA70*(1+Slot9_Rate)^(Slot9_Age-D70))/KR70),0)</f>
        <v>0</v>
      </c>
      <c r="KX70" s="20" t="n">
        <f aca="false">IF(AND(HU70=1,CZ70=1),MIN(KQ70,KV70),0)</f>
        <v>0</v>
      </c>
      <c r="KY70" s="20" t="n">
        <f aca="false">KQ70-KX70</f>
        <v>0</v>
      </c>
      <c r="KZ70" s="20" t="n">
        <f aca="false">IF(DJ70=1,IF(ABS((1+AS_Wage)/(1+Slot10_Rate)-1)&lt;0.000000000001,(Slot10_Age-D70)*(1+Slot10_Rate)^(Slot10_Age-D70),(1+Slot10_Rate)^(Slot10_Age-D70)*(1-((1+AS_Wage)/(1+Slot10_Rate))^(Slot10_Age-D70))/(1-(1+AS_Wage)/(1+Slot10_Rate))),1)</f>
        <v>1</v>
      </c>
      <c r="LA70" s="20" t="n">
        <f aca="false">IF(AND(HU70=1,IE70&gt;0,Slot10_IsWG=1,DJ70=1),MAX(0,(Slot10_Cost-DK70*(1+Slot10_Rate)^(Slot10_Age-D70))/KZ70),0)</f>
        <v>0</v>
      </c>
      <c r="LB70" s="20" t="n">
        <f aca="false">IF(AND(HU70=1,IE70&gt;0,Slot10_IsWG=1,DJ70=1),MIN(IE70,LA70),0)</f>
        <v>0</v>
      </c>
      <c r="LC70" s="20" t="n">
        <f aca="false">DK70+LB70</f>
        <v>0</v>
      </c>
      <c r="LD70" s="20" t="n">
        <f aca="false">IF(DJ70=1,MAX(0,(Slot10_Cost-LC70*(1+Slot10_Rate)^(Slot10_Age-D70))/KZ70),0)</f>
        <v>0</v>
      </c>
      <c r="LE70" s="20" t="n">
        <f aca="false">IF(DJ70=1,MAX(0,(Slot10_Cost-DK70*(1+Slot10_Rate)^(Slot10_Age-D70))/KZ70),0)</f>
        <v>0</v>
      </c>
      <c r="LF70" s="20" t="n">
        <f aca="false">IF(AND(HU70=1,DJ70=1),MIN(KY70,LD70),0)</f>
        <v>0</v>
      </c>
      <c r="LG70" s="20" t="n">
        <f aca="false">KY70-LF70</f>
        <v>0</v>
      </c>
      <c r="LH70" s="20" t="n">
        <f aca="false">IF(DT70=1,IF(ABS((1+AS_Wage)/(1+Slot11_Rate)-1)&lt;0.000000000001,(Slot11_Age-D70)*(1+Slot11_Rate)^(Slot11_Age-D70),(1+Slot11_Rate)^(Slot11_Age-D70)*(1-((1+AS_Wage)/(1+Slot11_Rate))^(Slot11_Age-D70))/(1-(1+AS_Wage)/(1+Slot11_Rate))),1)</f>
        <v>1</v>
      </c>
      <c r="LI70" s="20" t="n">
        <f aca="false">IF(AND(HU70=1,IE70&gt;0,Slot11_IsWG=1,DT70=1),MAX(0,(Slot11_Cost-DU70*(1+Slot11_Rate)^(Slot11_Age-D70))/LH70),0)</f>
        <v>0</v>
      </c>
      <c r="LJ70" s="20" t="n">
        <f aca="false">IF(AND(HU70=1,IE70&gt;0,Slot11_IsWG=1,DT70=1),MIN(IE70,LI70),0)</f>
        <v>0</v>
      </c>
      <c r="LK70" s="20" t="n">
        <f aca="false">DU70+LJ70</f>
        <v>0</v>
      </c>
      <c r="LL70" s="20" t="n">
        <f aca="false">IF(DT70=1,MAX(0,(Slot11_Cost-LK70*(1+Slot11_Rate)^(Slot11_Age-D70))/LH70),0)</f>
        <v>0</v>
      </c>
      <c r="LM70" s="20" t="n">
        <f aca="false">IF(DT70=1,MAX(0,(Slot11_Cost-DU70*(1+Slot11_Rate)^(Slot11_Age-D70))/LH70),0)</f>
        <v>0</v>
      </c>
      <c r="LN70" s="20" t="n">
        <f aca="false">IF(AND(HU70=1,DT70=1),MIN(LG70,LL70),0)</f>
        <v>0</v>
      </c>
      <c r="LO70" s="20" t="n">
        <f aca="false">LG70-LN70</f>
        <v>0</v>
      </c>
      <c r="LP70" s="20" t="n">
        <f aca="false">IF(ED70=1,IF(ABS((1+AS_Wage)/(1+Slot12_Rate)-1)&lt;0.000000000001,(Slot12_Age-D70)*(1+Slot12_Rate)^(Slot12_Age-D70),(1+Slot12_Rate)^(Slot12_Age-D70)*(1-((1+AS_Wage)/(1+Slot12_Rate))^(Slot12_Age-D70))/(1-(1+AS_Wage)/(1+Slot12_Rate))),1)</f>
        <v>1</v>
      </c>
      <c r="LQ70" s="20" t="n">
        <f aca="false">IF(AND(HU70=1,IE70&gt;0,Slot12_IsWG=1,ED70=1),MAX(0,(Slot12_Cost-EE70*(1+Slot12_Rate)^(Slot12_Age-D70))/LP70),0)</f>
        <v>0</v>
      </c>
      <c r="LR70" s="20" t="n">
        <f aca="false">IF(AND(HU70=1,IE70&gt;0,Slot12_IsWG=1,ED70=1),MIN(IE70,LQ70),0)</f>
        <v>0</v>
      </c>
      <c r="LS70" s="20" t="n">
        <f aca="false">EE70+LR70</f>
        <v>0</v>
      </c>
      <c r="LT70" s="20" t="n">
        <f aca="false">IF(ED70=1,MAX(0,(Slot12_Cost-LS70*(1+Slot12_Rate)^(Slot12_Age-D70))/LP70),0)</f>
        <v>0</v>
      </c>
      <c r="LU70" s="20" t="n">
        <f aca="false">IF(ED70=1,MAX(0,(Slot12_Cost-EE70*(1+Slot12_Rate)^(Slot12_Age-D70))/LP70),0)</f>
        <v>0</v>
      </c>
      <c r="LV70" s="20" t="n">
        <f aca="false">IF(AND(HU70=1,ED70=1),MIN(LO70,LT70),0)</f>
        <v>0</v>
      </c>
      <c r="LW70" s="20" t="n">
        <f aca="false">LO70-LV70</f>
        <v>0</v>
      </c>
      <c r="LX70" s="20" t="n">
        <f aca="false">IF(EN70=1,IF(ABS((1+AS_Wage)/(1+Slot13_Rate)-1)&lt;0.000000000001,(Slot13_Age-D70)*(1+Slot13_Rate)^(Slot13_Age-D70),(1+Slot13_Rate)^(Slot13_Age-D70)*(1-((1+AS_Wage)/(1+Slot13_Rate))^(Slot13_Age-D70))/(1-(1+AS_Wage)/(1+Slot13_Rate))),1)</f>
        <v>1</v>
      </c>
      <c r="LY70" s="20" t="n">
        <f aca="false">IF(AND(HU70=1,IE70&gt;0,Slot13_IsWG=1,EN70=1),MAX(0,(Slot13_Cost-EO70*(1+Slot13_Rate)^(Slot13_Age-D70))/LX70),0)</f>
        <v>0</v>
      </c>
      <c r="LZ70" s="20" t="n">
        <f aca="false">IF(AND(HU70=1,IE70&gt;0,Slot13_IsWG=1,EN70=1),MIN(IE70,LY70),0)</f>
        <v>0</v>
      </c>
      <c r="MA70" s="20" t="n">
        <f aca="false">EO70+LZ70</f>
        <v>0</v>
      </c>
      <c r="MB70" s="20" t="n">
        <f aca="false">IF(EN70=1,MAX(0,(Slot13_Cost-MA70*(1+Slot13_Rate)^(Slot13_Age-D70))/LX70),0)</f>
        <v>0</v>
      </c>
      <c r="MC70" s="20" t="n">
        <f aca="false">IF(EN70=1,MAX(0,(Slot13_Cost-EO70*(1+Slot13_Rate)^(Slot13_Age-D70))/LX70),0)</f>
        <v>0</v>
      </c>
      <c r="MD70" s="20" t="n">
        <f aca="false">IF(AND(HU70=1,EN70=1),MIN(LW70,MB70),0)</f>
        <v>0</v>
      </c>
      <c r="ME70" s="20" t="n">
        <f aca="false">LW70-MD70</f>
        <v>0</v>
      </c>
      <c r="MF70" s="20" t="n">
        <f aca="false">IF(EX70=1,IF(ABS((1+AS_Wage)/(1+Slot14_Rate)-1)&lt;0.000000000001,(Slot14_Age-D70)*(1+Slot14_Rate)^(Slot14_Age-D70),(1+Slot14_Rate)^(Slot14_Age-D70)*(1-((1+AS_Wage)/(1+Slot14_Rate))^(Slot14_Age-D70))/(1-(1+AS_Wage)/(1+Slot14_Rate))),1)</f>
        <v>1</v>
      </c>
      <c r="MG70" s="20" t="n">
        <f aca="false">IF(AND(HU70=1,IE70&gt;0,Slot14_IsWG=1,EX70=1),MAX(0,(Slot14_Cost-EY70*(1+Slot14_Rate)^(Slot14_Age-D70))/MF70),0)</f>
        <v>0</v>
      </c>
      <c r="MH70" s="20" t="n">
        <f aca="false">IF(AND(HU70=1,IE70&gt;0,Slot14_IsWG=1,EX70=1),MIN(IE70,MG70),0)</f>
        <v>0</v>
      </c>
      <c r="MI70" s="20" t="n">
        <f aca="false">EY70+MH70</f>
        <v>0</v>
      </c>
      <c r="MJ70" s="20" t="n">
        <f aca="false">IF(EX70=1,MAX(0,(Slot14_Cost-MI70*(1+Slot14_Rate)^(Slot14_Age-D70))/MF70),0)</f>
        <v>0</v>
      </c>
      <c r="MK70" s="20" t="n">
        <f aca="false">IF(EX70=1,MAX(0,(Slot14_Cost-EY70*(1+Slot14_Rate)^(Slot14_Age-D70))/MF70),0)</f>
        <v>0</v>
      </c>
      <c r="ML70" s="20" t="n">
        <f aca="false">IF(AND(HU70=1,EX70=1),MIN(ME70,MJ70),0)</f>
        <v>0</v>
      </c>
      <c r="MM70" s="20" t="n">
        <f aca="false">ME70-ML70</f>
        <v>0</v>
      </c>
      <c r="MN70" s="20" t="n">
        <f aca="false">IF(FH70=1,IF(ABS((1+AS_Wage)/(1+Slot15_Rate)-1)&lt;0.000000000001,(Slot15_Age-D70)*(1+Slot15_Rate)^(Slot15_Age-D70),(1+Slot15_Rate)^(Slot15_Age-D70)*(1-((1+AS_Wage)/(1+Slot15_Rate))^(Slot15_Age-D70))/(1-(1+AS_Wage)/(1+Slot15_Rate))),1)</f>
        <v>1</v>
      </c>
      <c r="MO70" s="20" t="n">
        <f aca="false">IF(AND(HU70=1,IE70&gt;0,Slot15_IsWG=1,FH70=1),MAX(0,(Slot15_Cost-FI70*(1+Slot15_Rate)^(Slot15_Age-D70))/MN70),0)</f>
        <v>0</v>
      </c>
      <c r="MP70" s="20" t="n">
        <f aca="false">IF(AND(HU70=1,IE70&gt;0,Slot15_IsWG=1,FH70=1),MIN(IE70,MO70),0)</f>
        <v>0</v>
      </c>
      <c r="MQ70" s="20" t="n">
        <f aca="false">FI70+MP70</f>
        <v>0</v>
      </c>
      <c r="MR70" s="20" t="n">
        <f aca="false">IF(FH70=1,MAX(0,(Slot15_Cost-MQ70*(1+Slot15_Rate)^(Slot15_Age-D70))/MN70),0)</f>
        <v>0</v>
      </c>
      <c r="MS70" s="20" t="n">
        <f aca="false">IF(FH70=1,MAX(0,(Slot15_Cost-FI70*(1+Slot15_Rate)^(Slot15_Age-D70))/MN70),0)</f>
        <v>0</v>
      </c>
      <c r="MT70" s="20" t="n">
        <f aca="false">IF(AND(HU70=1,FH70=1),MIN(MM70,MR70),0)</f>
        <v>0</v>
      </c>
      <c r="MU70" s="20" t="n">
        <f aca="false">MM70-MT70</f>
        <v>0</v>
      </c>
      <c r="MV70" s="20" t="n">
        <f aca="false">IF(FR70=1,IF(ABS((1+AS_Wage)/(1+Slot16_Rate)-1)&lt;0.000000000001,(Slot16_Age-D70)*(1+Slot16_Rate)^(Slot16_Age-D70),(1+Slot16_Rate)^(Slot16_Age-D70)*(1-((1+AS_Wage)/(1+Slot16_Rate))^(Slot16_Age-D70))/(1-(1+AS_Wage)/(1+Slot16_Rate))),1)</f>
        <v>1</v>
      </c>
      <c r="MW70" s="20" t="n">
        <f aca="false">IF(AND(HU70=1,IE70&gt;0,Slot16_IsWG=1,FR70=1),MAX(0,(Slot16_Cost-FS70*(1+Slot16_Rate)^(Slot16_Age-D70))/MV70),0)</f>
        <v>0</v>
      </c>
      <c r="MX70" s="20" t="n">
        <f aca="false">IF(AND(HU70=1,IE70&gt;0,Slot16_IsWG=1,FR70=1),MIN(IE70,MW70),0)</f>
        <v>0</v>
      </c>
      <c r="MY70" s="20" t="n">
        <f aca="false">FS70+MX70</f>
        <v>0</v>
      </c>
      <c r="MZ70" s="20" t="n">
        <f aca="false">IF(FR70=1,MAX(0,(Slot16_Cost-MY70*(1+Slot16_Rate)^(Slot16_Age-D70))/MV70),0)</f>
        <v>0</v>
      </c>
      <c r="NA70" s="20" t="n">
        <f aca="false">IF(FR70=1,MAX(0,(Slot16_Cost-FS70*(1+Slot16_Rate)^(Slot16_Age-D70))/MV70),0)</f>
        <v>0</v>
      </c>
      <c r="NB70" s="20" t="n">
        <f aca="false">IF(AND(HU70=1,FR70=1),MIN(MU70,MZ70),0)</f>
        <v>0</v>
      </c>
      <c r="NC70" s="20" t="n">
        <f aca="false">MU70-NB70</f>
        <v>0</v>
      </c>
      <c r="ND70" s="20" t="n">
        <f aca="false">IF(GB70=1,IF(ABS((1+AS_Wage)/(1+Slot17_Rate)-1)&lt;0.000000000001,(Slot17_Age-D70)*(1+Slot17_Rate)^(Slot17_Age-D70),(1+Slot17_Rate)^(Slot17_Age-D70)*(1-((1+AS_Wage)/(1+Slot17_Rate))^(Slot17_Age-D70))/(1-(1+AS_Wage)/(1+Slot17_Rate))),1)</f>
        <v>1</v>
      </c>
      <c r="NE70" s="20" t="n">
        <f aca="false">IF(AND(HU70=1,IE70&gt;0,Slot17_IsWG=1,GB70=1),MAX(0,(Slot17_Cost-GC70*(1+Slot17_Rate)^(Slot17_Age-D70))/ND70),0)</f>
        <v>0</v>
      </c>
      <c r="NF70" s="20" t="n">
        <f aca="false">IF(AND(HU70=1,IE70&gt;0,Slot17_IsWG=1,GB70=1),MIN(IE70,NE70),0)</f>
        <v>0</v>
      </c>
      <c r="NG70" s="20" t="n">
        <f aca="false">GC70+NF70</f>
        <v>0</v>
      </c>
      <c r="NH70" s="20" t="n">
        <f aca="false">IF(GB70=1,MAX(0,(Slot17_Cost-NG70*(1+Slot17_Rate)^(Slot17_Age-D70))/ND70),0)</f>
        <v>0</v>
      </c>
      <c r="NI70" s="20" t="n">
        <f aca="false">IF(GB70=1,MAX(0,(Slot17_Cost-GC70*(1+Slot17_Rate)^(Slot17_Age-D70))/ND70),0)</f>
        <v>0</v>
      </c>
      <c r="NJ70" s="20" t="n">
        <f aca="false">IF(AND(HU70=1,GB70=1),MIN(NC70,NH70),0)</f>
        <v>0</v>
      </c>
      <c r="NK70" s="20" t="n">
        <f aca="false">NC70-NJ70</f>
        <v>0</v>
      </c>
      <c r="NL70" s="20" t="n">
        <f aca="false">IF(GL70=1,IF(ABS((1+AS_Wage)/(1+Slot18_Rate)-1)&lt;0.000000000001,(Slot18_Age-D70)*(1+Slot18_Rate)^(Slot18_Age-D70),(1+Slot18_Rate)^(Slot18_Age-D70)*(1-((1+AS_Wage)/(1+Slot18_Rate))^(Slot18_Age-D70))/(1-(1+AS_Wage)/(1+Slot18_Rate))),1)</f>
        <v>1</v>
      </c>
      <c r="NM70" s="20" t="n">
        <f aca="false">IF(AND(HU70=1,IE70&gt;0,Slot18_IsWG=1,GL70=1),MAX(0,(Slot18_Cost-GM70*(1+Slot18_Rate)^(Slot18_Age-D70))/NL70),0)</f>
        <v>0</v>
      </c>
      <c r="NN70" s="20" t="n">
        <f aca="false">IF(AND(HU70=1,IE70&gt;0,Slot18_IsWG=1,GL70=1),MIN(IE70,NM70),0)</f>
        <v>0</v>
      </c>
      <c r="NO70" s="20" t="n">
        <f aca="false">GM70+NN70</f>
        <v>0</v>
      </c>
      <c r="NP70" s="20" t="n">
        <f aca="false">IF(GL70=1,MAX(0,(Slot18_Cost-NO70*(1+Slot18_Rate)^(Slot18_Age-D70))/NL70),0)</f>
        <v>0</v>
      </c>
      <c r="NQ70" s="20" t="n">
        <f aca="false">IF(GL70=1,MAX(0,(Slot18_Cost-GM70*(1+Slot18_Rate)^(Slot18_Age-D70))/NL70),0)</f>
        <v>0</v>
      </c>
      <c r="NR70" s="20" t="n">
        <f aca="false">IF(AND(HU70=1,GL70=1),MIN(NK70,NP70),0)</f>
        <v>0</v>
      </c>
      <c r="NS70" s="20" t="n">
        <f aca="false">NK70-NR70</f>
        <v>0</v>
      </c>
      <c r="NT70" s="20" t="n">
        <f aca="false">IF(GV70=1,IF(ABS((1+AS_Wage)/(1+Slot19_Rate)-1)&lt;0.000000000001,(Slot19_Age-D70)*(1+Slot19_Rate)^(Slot19_Age-D70),(1+Slot19_Rate)^(Slot19_Age-D70)*(1-((1+AS_Wage)/(1+Slot19_Rate))^(Slot19_Age-D70))/(1-(1+AS_Wage)/(1+Slot19_Rate))),1)</f>
        <v>1</v>
      </c>
      <c r="NU70" s="20" t="n">
        <f aca="false">IF(AND(HU70=1,IE70&gt;0,Slot19_IsWG=1,GV70=1),MAX(0,(Slot19_Cost-GW70*(1+Slot19_Rate)^(Slot19_Age-D70))/NT70),0)</f>
        <v>0</v>
      </c>
      <c r="NV70" s="20" t="n">
        <f aca="false">IF(AND(HU70=1,IE70&gt;0,Slot19_IsWG=1,GV70=1),MIN(IE70,NU70),0)</f>
        <v>0</v>
      </c>
      <c r="NW70" s="20" t="n">
        <f aca="false">GW70+NV70</f>
        <v>0</v>
      </c>
      <c r="NX70" s="20" t="n">
        <f aca="false">IF(GV70=1,MAX(0,(Slot19_Cost-NW70*(1+Slot19_Rate)^(Slot19_Age-D70))/NT70),0)</f>
        <v>0</v>
      </c>
      <c r="NY70" s="20" t="n">
        <f aca="false">IF(GV70=1,MAX(0,(Slot19_Cost-GW70*(1+Slot19_Rate)^(Slot19_Age-D70))/NT70),0)</f>
        <v>0</v>
      </c>
      <c r="NZ70" s="20" t="n">
        <f aca="false">IF(AND(HU70=1,GV70=1),MIN(NS70,NX70),0)</f>
        <v>0</v>
      </c>
      <c r="OA70" s="20" t="n">
        <f aca="false">NS70-NZ70</f>
        <v>0</v>
      </c>
      <c r="OB70" s="20" t="n">
        <f aca="false">IF(HF70=1,IF(ABS((1+AS_Wage)/(1+Slot20_Rate)-1)&lt;0.000000000001,(Slot20_Age-D70)*(1+Slot20_Rate)^(Slot20_Age-D70),(1+Slot20_Rate)^(Slot20_Age-D70)*(1-((1+AS_Wage)/(1+Slot20_Rate))^(Slot20_Age-D70))/(1-(1+AS_Wage)/(1+Slot20_Rate))),1)</f>
        <v>1</v>
      </c>
      <c r="OC70" s="20" t="n">
        <f aca="false">IF(AND(HU70=1,IE70&gt;0,Slot20_IsWG=1,HF70=1),MAX(0,(Slot20_Cost-HG70*(1+Slot20_Rate)^(Slot20_Age-D70))/OB70),0)</f>
        <v>0</v>
      </c>
      <c r="OD70" s="20" t="n">
        <f aca="false">IF(AND(HU70=1,IE70&gt;0,Slot20_IsWG=1,HF70=1),MIN(IE70,OC70),0)</f>
        <v>0</v>
      </c>
      <c r="OE70" s="20" t="n">
        <f aca="false">HG70+OD70</f>
        <v>0</v>
      </c>
      <c r="OF70" s="20" t="n">
        <f aca="false">IF(HF70=1,MAX(0,(Slot20_Cost-OE70*(1+Slot20_Rate)^(Slot20_Age-D70))/OB70),0)</f>
        <v>0</v>
      </c>
      <c r="OG70" s="20" t="n">
        <f aca="false">IF(HF70=1,MAX(0,(Slot20_Cost-HG70*(1+Slot20_Rate)^(Slot20_Age-D70))/OB70),0)</f>
        <v>0</v>
      </c>
      <c r="OH70" s="20" t="n">
        <f aca="false">IF(AND(HU70=1,HF70=1),MIN(OA70,OF70),0)</f>
        <v>0</v>
      </c>
      <c r="OI70" s="20" t="n">
        <f aca="false">OA70-OH70</f>
        <v>0</v>
      </c>
      <c r="OJ70" s="20" t="n">
        <f aca="false">IE70-(IH70+IP70+IX70+JF70+JN70+JV70+KD70+KL70+KT70+LB70+LJ70+LR70+LZ70+MH70+MP70+MX70+NF70+NN70+NV70+OD70)</f>
        <v>0</v>
      </c>
      <c r="OK70" s="20" t="n">
        <f aca="false">IF(HU70=1,HS70-ID70-IE70,0)</f>
        <v>0</v>
      </c>
      <c r="OL70" s="20" t="n">
        <f aca="false">IF(HU70=0,-HS70,0)</f>
        <v>65764.479150534</v>
      </c>
      <c r="OM70" s="20" t="n">
        <f aca="false">MIN(OL70,HK70)</f>
        <v>0</v>
      </c>
      <c r="ON70" s="20" t="n">
        <f aca="false">OL70-OM70</f>
        <v>65764.479150534</v>
      </c>
      <c r="OO70" s="20" t="n">
        <f aca="false">MIN(ON70,HL70)</f>
        <v>0</v>
      </c>
      <c r="OP70" s="20" t="n">
        <f aca="false">ON70-OO70</f>
        <v>65764.479150534</v>
      </c>
      <c r="OQ70" s="20" t="n">
        <f aca="false">IF(AND(HU70=0,HF70=1,OP70&gt;0),MIN(OP70,HG70),0)</f>
        <v>0</v>
      </c>
      <c r="OR70" s="20" t="n">
        <f aca="false">OP70-OQ70</f>
        <v>65764.479150534</v>
      </c>
      <c r="OS70" s="20" t="n">
        <f aca="false">IF(AND(HU70=0,GV70=1,OR70&gt;0),MIN(OR70,GW70),0)</f>
        <v>0</v>
      </c>
      <c r="OT70" s="20" t="n">
        <f aca="false">OR70-OS70</f>
        <v>65764.479150534</v>
      </c>
      <c r="OU70" s="20" t="n">
        <f aca="false">IF(AND(HU70=0,GL70=1,OT70&gt;0),MIN(OT70,GM70),0)</f>
        <v>0</v>
      </c>
      <c r="OV70" s="20" t="n">
        <f aca="false">OT70-OU70</f>
        <v>65764.479150534</v>
      </c>
      <c r="OW70" s="20" t="n">
        <f aca="false">IF(AND(HU70=0,GB70=1,OV70&gt;0),MIN(OV70,GC70),0)</f>
        <v>0</v>
      </c>
      <c r="OX70" s="20" t="n">
        <f aca="false">OV70-OW70</f>
        <v>65764.479150534</v>
      </c>
      <c r="OY70" s="20" t="n">
        <f aca="false">IF(AND(HU70=0,FR70=1,OX70&gt;0),MIN(OX70,FS70),0)</f>
        <v>0</v>
      </c>
      <c r="OZ70" s="20" t="n">
        <f aca="false">OX70-OY70</f>
        <v>65764.479150534</v>
      </c>
      <c r="PA70" s="20" t="n">
        <f aca="false">IF(AND(HU70=0,FH70=1,OZ70&gt;0),MIN(OZ70,FI70),0)</f>
        <v>0</v>
      </c>
      <c r="PB70" s="20" t="n">
        <f aca="false">OZ70-PA70</f>
        <v>65764.479150534</v>
      </c>
      <c r="PC70" s="20" t="n">
        <f aca="false">IF(AND(HU70=0,EX70=1,PB70&gt;0),MIN(PB70,EY70),0)</f>
        <v>0</v>
      </c>
      <c r="PD70" s="20" t="n">
        <f aca="false">PB70-PC70</f>
        <v>65764.479150534</v>
      </c>
      <c r="PE70" s="20" t="n">
        <f aca="false">IF(AND(HU70=0,EN70=1,PD70&gt;0),MIN(PD70,EO70),0)</f>
        <v>0</v>
      </c>
      <c r="PF70" s="20" t="n">
        <f aca="false">PD70-PE70</f>
        <v>65764.479150534</v>
      </c>
      <c r="PG70" s="20" t="n">
        <f aca="false">IF(AND(HU70=0,ED70=1,PF70&gt;0),MIN(PF70,EE70),0)</f>
        <v>0</v>
      </c>
      <c r="PH70" s="20" t="n">
        <f aca="false">PF70-PG70</f>
        <v>65764.479150534</v>
      </c>
      <c r="PI70" s="20" t="n">
        <f aca="false">IF(AND(HU70=0,DT70=1,PH70&gt;0),MIN(PH70,DU70),0)</f>
        <v>0</v>
      </c>
      <c r="PJ70" s="20" t="n">
        <f aca="false">PH70-PI70</f>
        <v>65764.479150534</v>
      </c>
      <c r="PK70" s="20" t="n">
        <f aca="false">IF(AND(HU70=0,DJ70=1,PJ70&gt;0),MIN(PJ70,DK70),0)</f>
        <v>0</v>
      </c>
      <c r="PL70" s="20" t="n">
        <f aca="false">PJ70-PK70</f>
        <v>65764.479150534</v>
      </c>
      <c r="PM70" s="20" t="n">
        <f aca="false">IF(AND(HU70=0,CZ70=1,PL70&gt;0),MIN(PL70,DA70),0)</f>
        <v>0</v>
      </c>
      <c r="PN70" s="20" t="n">
        <f aca="false">PL70-PM70</f>
        <v>65764.479150534</v>
      </c>
      <c r="PO70" s="20" t="n">
        <f aca="false">IF(AND(HU70=0,CP70=1,PN70&gt;0),MIN(PN70,CQ70),0)</f>
        <v>0</v>
      </c>
      <c r="PP70" s="20" t="n">
        <f aca="false">PN70-PO70</f>
        <v>65764.479150534</v>
      </c>
      <c r="PQ70" s="20" t="n">
        <f aca="false">IF(AND(HU70=0,CF70=1,PP70&gt;0),MIN(PP70,CG70),0)</f>
        <v>0</v>
      </c>
      <c r="PR70" s="20" t="n">
        <f aca="false">PP70-PQ70</f>
        <v>65764.479150534</v>
      </c>
      <c r="PS70" s="20" t="n">
        <f aca="false">IF(AND(HU70=0,BV70=1,PR70&gt;0),MIN(PR70,BW70),0)</f>
        <v>0</v>
      </c>
      <c r="PT70" s="20" t="n">
        <f aca="false">PR70-PS70</f>
        <v>65764.479150534</v>
      </c>
      <c r="PU70" s="20" t="n">
        <f aca="false">IF(AND(HU70=0,BL70=1,PT70&gt;0),MIN(PT70,BM70),0)</f>
        <v>0</v>
      </c>
      <c r="PV70" s="20" t="n">
        <f aca="false">PT70-PU70</f>
        <v>65764.479150534</v>
      </c>
      <c r="PW70" s="20" t="n">
        <f aca="false">IF(AND(HU70=0,BB70=1,PV70&gt;0),MIN(PV70,BC70),0)</f>
        <v>0</v>
      </c>
      <c r="PX70" s="20" t="n">
        <f aca="false">PV70-PW70</f>
        <v>65764.479150534</v>
      </c>
      <c r="PY70" s="20" t="n">
        <f aca="false">IF(AND(HU70=0,AR70=1,PX70&gt;0),MIN(PX70,AS70),0)</f>
        <v>0</v>
      </c>
      <c r="PZ70" s="20" t="n">
        <f aca="false">PX70-PY70</f>
        <v>65764.479150534</v>
      </c>
      <c r="QA70" s="20" t="n">
        <f aca="false">IF(AND(HU70=0,AH70=1,PZ70&gt;0),MIN(PZ70,AI70),0)</f>
        <v>0</v>
      </c>
      <c r="QB70" s="20" t="n">
        <f aca="false">PZ70-QA70</f>
        <v>65764.479150534</v>
      </c>
      <c r="QC70" s="20" t="n">
        <f aca="false">IF(AND(HU70=0,W70=1,QB70&gt;0),MIN(QB70,X70),0)</f>
        <v>0</v>
      </c>
      <c r="QD70" s="20" t="n">
        <f aca="false">QB70-QC70</f>
        <v>65764.479150534</v>
      </c>
      <c r="QE70" s="20" t="n">
        <f aca="false">IF(HU70=0,QD70,0)</f>
        <v>65764.479150534</v>
      </c>
      <c r="QF70" s="20" t="n">
        <f aca="false">OM70+OO70+QC70+QA70+PY70+PW70+PU70+PS70+PQ70+PO70+PM70+PK70+PI70+PG70+PE70+PC70+PA70+OY70+OW70+OU70+OS70+OQ70</f>
        <v>0</v>
      </c>
      <c r="QG70" s="20" t="n">
        <f aca="false">IF(HU70=1,HK70+OJ70+OI70+IF(G70=1,0,OK70),HK70-OM70)</f>
        <v>0</v>
      </c>
      <c r="QH70" s="20" t="n">
        <f aca="false">HL70-OO70</f>
        <v>0</v>
      </c>
      <c r="QI70" s="20" t="n">
        <f aca="false">IF(HU70=1,IF(G70=1,ID70+IE70,HS70),0)</f>
        <v>0</v>
      </c>
      <c r="QJ70" s="20" t="n">
        <f aca="false">IF(HU70=1,IF(G70=1,HS70-ID70-IE70,0),0)</f>
        <v>0</v>
      </c>
      <c r="QK70" s="20" t="n">
        <f aca="false">QG70*(1+GR)</f>
        <v>0</v>
      </c>
      <c r="QL70" s="20" t="n">
        <f aca="false">QH70*(1+AS_Cash)</f>
        <v>0</v>
      </c>
      <c r="QM70" s="20" t="n">
        <f aca="false">IF(W70=1,IF(HU70=1,II70+IL70,X70-QC70)*(1+Slot1_Rate),0)</f>
        <v>0</v>
      </c>
      <c r="QN70" s="20" t="n">
        <f aca="false">IF(AND(HU70=1,W70=1),(IH70+IL70)/F70,0)</f>
        <v>0</v>
      </c>
      <c r="QO70" s="20" t="n">
        <f aca="false">IF(B70=0,IH70+IL70,0)</f>
        <v>0</v>
      </c>
      <c r="QP70" s="20" t="n">
        <f aca="false">IF(B70=0,IF(HU70=1,IJ70,IK70),0)</f>
        <v>0</v>
      </c>
      <c r="QQ70" s="20" t="n">
        <f aca="false">IF(AH70=1,IF(HU70=1,IQ70+IT70,AI70-QA70)*(1+Slot2_Rate),0)</f>
        <v>0</v>
      </c>
      <c r="QR70" s="20" t="n">
        <f aca="false">IF(AND(HU70=1,AH70=1),(IP70+IT70)/F70,0)</f>
        <v>0</v>
      </c>
      <c r="QS70" s="20" t="n">
        <f aca="false">IF(B70=0,IP70+IT70,0)</f>
        <v>0</v>
      </c>
      <c r="QT70" s="20" t="n">
        <f aca="false">IF(B70=0,IF(HU70=1,IR70,IS70),0)</f>
        <v>0</v>
      </c>
      <c r="QU70" s="20" t="n">
        <f aca="false">IF(AR70=1,IF(HU70=1,IY70+JB70,AS70-PY70)*(1+Slot3_Rate),0)</f>
        <v>0</v>
      </c>
      <c r="QV70" s="20" t="n">
        <f aca="false">IF(AND(HU70=1,AR70=1),(IX70+JB70)/F70,0)</f>
        <v>0</v>
      </c>
      <c r="QW70" s="20" t="n">
        <f aca="false">IF(B70=0,IX70+JB70,0)</f>
        <v>0</v>
      </c>
      <c r="QX70" s="20" t="n">
        <f aca="false">IF(B70=0,IF(HU70=1,IZ70,JA70),0)</f>
        <v>0</v>
      </c>
      <c r="QY70" s="20" t="n">
        <f aca="false">IF(BB70=1,IF(HU70=1,JG70+JJ70,BC70-PW70)*(1+Slot4_Rate),0)</f>
        <v>0</v>
      </c>
      <c r="QZ70" s="20" t="n">
        <f aca="false">IF(AND(HU70=1,BB70=1),(JF70+JJ70)/F70,0)</f>
        <v>0</v>
      </c>
      <c r="RA70" s="20" t="n">
        <f aca="false">IF(B70=0,JF70+JJ70,0)</f>
        <v>0</v>
      </c>
      <c r="RB70" s="20" t="n">
        <f aca="false">IF(B70=0,IF(HU70=1,JH70,JI70),0)</f>
        <v>0</v>
      </c>
      <c r="RC70" s="20" t="n">
        <f aca="false">IF(BL70=1,IF(HU70=1,JO70+JR70,BM70-PU70)*(1+Slot5_Rate),0)</f>
        <v>0</v>
      </c>
      <c r="RD70" s="20" t="n">
        <f aca="false">IF(AND(HU70=1,BL70=1),(JN70+JR70)/F70,0)</f>
        <v>0</v>
      </c>
      <c r="RE70" s="20" t="n">
        <f aca="false">IF(B70=0,JN70+JR70,0)</f>
        <v>0</v>
      </c>
      <c r="RF70" s="20" t="n">
        <f aca="false">IF(B70=0,IF(HU70=1,JP70,JQ70),0)</f>
        <v>0</v>
      </c>
      <c r="RG70" s="20" t="n">
        <f aca="false">IF(BV70=1,IF(HU70=1,JW70+JZ70,BW70-PS70)*(1+Slot6_Rate),0)</f>
        <v>0</v>
      </c>
      <c r="RH70" s="20" t="n">
        <f aca="false">IF(AND(HU70=1,BV70=1),(JV70+JZ70)/F70,0)</f>
        <v>0</v>
      </c>
      <c r="RI70" s="20" t="n">
        <f aca="false">IF(B70=0,JV70+JZ70,0)</f>
        <v>0</v>
      </c>
      <c r="RJ70" s="20" t="n">
        <f aca="false">IF(B70=0,IF(HU70=1,JX70,JY70),0)</f>
        <v>0</v>
      </c>
      <c r="RK70" s="20" t="n">
        <f aca="false">IF(CF70=1,IF(HU70=1,KE70+KH70,CG70-PQ70)*(1+Slot7_Rate),0)</f>
        <v>0</v>
      </c>
      <c r="RL70" s="20" t="n">
        <f aca="false">IF(AND(HU70=1,CF70=1),(KD70+KH70)/F70,0)</f>
        <v>0</v>
      </c>
      <c r="RM70" s="20" t="n">
        <f aca="false">IF(B70=0,KD70+KH70,0)</f>
        <v>0</v>
      </c>
      <c r="RN70" s="20" t="n">
        <f aca="false">IF(B70=0,IF(HU70=1,KF70,KG70),0)</f>
        <v>0</v>
      </c>
      <c r="RO70" s="20" t="n">
        <f aca="false">IF(CP70=1,IF(HU70=1,KM70+KP70,CQ70-PO70)*(1+Slot8_Rate),0)</f>
        <v>0</v>
      </c>
      <c r="RP70" s="20" t="n">
        <f aca="false">IF(AND(HU70=1,CP70=1),(KL70+KP70)/F70,0)</f>
        <v>0</v>
      </c>
      <c r="RQ70" s="20" t="n">
        <f aca="false">IF(B70=0,KL70+KP70,0)</f>
        <v>0</v>
      </c>
      <c r="RR70" s="20" t="n">
        <f aca="false">IF(B70=0,IF(HU70=1,KN70,KO70),0)</f>
        <v>0</v>
      </c>
      <c r="RS70" s="20" t="n">
        <f aca="false">IF(CZ70=1,IF(HU70=1,KU70+KX70,DA70-PM70)*(1+Slot9_Rate),0)</f>
        <v>0</v>
      </c>
      <c r="RT70" s="20" t="n">
        <f aca="false">IF(AND(HU70=1,CZ70=1),(KT70+KX70)/F70,0)</f>
        <v>0</v>
      </c>
      <c r="RU70" s="20" t="n">
        <f aca="false">IF(B70=0,KT70+KX70,0)</f>
        <v>0</v>
      </c>
      <c r="RV70" s="20" t="n">
        <f aca="false">IF(B70=0,IF(HU70=1,KV70,KW70),0)</f>
        <v>0</v>
      </c>
      <c r="RW70" s="20" t="n">
        <f aca="false">IF(DJ70=1,IF(HU70=1,LC70+LF70,DK70-PK70)*(1+Slot10_Rate),0)</f>
        <v>0</v>
      </c>
      <c r="RX70" s="20" t="n">
        <f aca="false">IF(AND(HU70=1,DJ70=1),(LB70+LF70)/F70,0)</f>
        <v>0</v>
      </c>
      <c r="RY70" s="20" t="n">
        <f aca="false">IF(B70=0,LB70+LF70,0)</f>
        <v>0</v>
      </c>
      <c r="RZ70" s="20" t="n">
        <f aca="false">IF(B70=0,IF(HU70=1,LD70,LE70),0)</f>
        <v>0</v>
      </c>
      <c r="SA70" s="20" t="n">
        <f aca="false">IF(DT70=1,IF(HU70=1,LK70+LN70,DU70-PI70)*(1+Slot11_Rate),0)</f>
        <v>0</v>
      </c>
      <c r="SB70" s="20" t="n">
        <f aca="false">IF(AND(HU70=1,DT70=1),(LJ70+LN70)/F70,0)</f>
        <v>0</v>
      </c>
      <c r="SC70" s="20" t="n">
        <f aca="false">IF(B70=0,LJ70+LN70,0)</f>
        <v>0</v>
      </c>
      <c r="SD70" s="20" t="n">
        <f aca="false">IF(B70=0,IF(HU70=1,LL70,LM70),0)</f>
        <v>0</v>
      </c>
      <c r="SE70" s="20" t="n">
        <f aca="false">IF(ED70=1,IF(HU70=1,LS70+LV70,EE70-PG70)*(1+Slot12_Rate),0)</f>
        <v>0</v>
      </c>
      <c r="SF70" s="20" t="n">
        <f aca="false">IF(AND(HU70=1,ED70=1),(LR70+LV70)/F70,0)</f>
        <v>0</v>
      </c>
      <c r="SG70" s="20" t="n">
        <f aca="false">IF(B70=0,LR70+LV70,0)</f>
        <v>0</v>
      </c>
      <c r="SH70" s="20" t="n">
        <f aca="false">IF(B70=0,IF(HU70=1,LT70,LU70),0)</f>
        <v>0</v>
      </c>
      <c r="SI70" s="20" t="n">
        <f aca="false">IF(EN70=1,IF(HU70=1,MA70+MD70,EO70-PE70)*(1+Slot13_Rate),0)</f>
        <v>0</v>
      </c>
      <c r="SJ70" s="20" t="n">
        <f aca="false">IF(AND(HU70=1,EN70=1),(LZ70+MD70)/F70,0)</f>
        <v>0</v>
      </c>
      <c r="SK70" s="20" t="n">
        <f aca="false">IF(B70=0,LZ70+MD70,0)</f>
        <v>0</v>
      </c>
      <c r="SL70" s="20" t="n">
        <f aca="false">IF(B70=0,IF(HU70=1,MB70,MC70),0)</f>
        <v>0</v>
      </c>
      <c r="SM70" s="20" t="n">
        <f aca="false">IF(EX70=1,IF(HU70=1,MI70+ML70,EY70-PC70)*(1+Slot14_Rate),0)</f>
        <v>0</v>
      </c>
      <c r="SN70" s="20" t="n">
        <f aca="false">IF(AND(HU70=1,EX70=1),(MH70+ML70)/F70,0)</f>
        <v>0</v>
      </c>
      <c r="SO70" s="20" t="n">
        <f aca="false">IF(B70=0,MH70+ML70,0)</f>
        <v>0</v>
      </c>
      <c r="SP70" s="20" t="n">
        <f aca="false">IF(B70=0,IF(HU70=1,MJ70,MK70),0)</f>
        <v>0</v>
      </c>
      <c r="SQ70" s="20" t="n">
        <f aca="false">IF(FH70=1,IF(HU70=1,MQ70+MT70,FI70-PA70)*(1+Slot15_Rate),0)</f>
        <v>0</v>
      </c>
      <c r="SR70" s="20" t="n">
        <f aca="false">IF(AND(HU70=1,FH70=1),(MP70+MT70)/F70,0)</f>
        <v>0</v>
      </c>
      <c r="SS70" s="20" t="n">
        <f aca="false">IF(B70=0,MP70+MT70,0)</f>
        <v>0</v>
      </c>
      <c r="ST70" s="20" t="n">
        <f aca="false">IF(B70=0,IF(HU70=1,MR70,MS70),0)</f>
        <v>0</v>
      </c>
      <c r="SU70" s="20" t="n">
        <f aca="false">IF(FR70=1,IF(HU70=1,MY70+NB70,FS70-OY70)*(1+Slot16_Rate),0)</f>
        <v>0</v>
      </c>
      <c r="SV70" s="20" t="n">
        <f aca="false">IF(AND(HU70=1,FR70=1),(MX70+NB70)/F70,0)</f>
        <v>0</v>
      </c>
      <c r="SW70" s="20" t="n">
        <f aca="false">IF(B70=0,MX70+NB70,0)</f>
        <v>0</v>
      </c>
      <c r="SX70" s="20" t="n">
        <f aca="false">IF(B70=0,IF(HU70=1,MZ70,NA70),0)</f>
        <v>0</v>
      </c>
      <c r="SY70" s="20" t="n">
        <f aca="false">IF(GB70=1,IF(HU70=1,NG70+NJ70,GC70-OW70)*(1+Slot17_Rate),0)</f>
        <v>0</v>
      </c>
      <c r="SZ70" s="20" t="n">
        <f aca="false">IF(AND(HU70=1,GB70=1),(NF70+NJ70)/F70,0)</f>
        <v>0</v>
      </c>
      <c r="TA70" s="20" t="n">
        <f aca="false">IF(B70=0,NF70+NJ70,0)</f>
        <v>0</v>
      </c>
      <c r="TB70" s="20" t="n">
        <f aca="false">IF(B70=0,IF(HU70=1,NH70,NI70),0)</f>
        <v>0</v>
      </c>
      <c r="TC70" s="20" t="n">
        <f aca="false">IF(GL70=1,IF(HU70=1,NO70+NR70,GM70-OU70)*(1+Slot18_Rate),0)</f>
        <v>0</v>
      </c>
      <c r="TD70" s="20" t="n">
        <f aca="false">IF(AND(HU70=1,GL70=1),(NN70+NR70)/F70,0)</f>
        <v>0</v>
      </c>
      <c r="TE70" s="20" t="n">
        <f aca="false">IF(B70=0,NN70+NR70,0)</f>
        <v>0</v>
      </c>
      <c r="TF70" s="20" t="n">
        <f aca="false">IF(B70=0,IF(HU70=1,NP70,NQ70),0)</f>
        <v>0</v>
      </c>
      <c r="TG70" s="20" t="n">
        <f aca="false">IF(GV70=1,IF(HU70=1,NW70+NZ70,GW70-OS70)*(1+Slot19_Rate),0)</f>
        <v>0</v>
      </c>
      <c r="TH70" s="20" t="n">
        <f aca="false">IF(AND(HU70=1,GV70=1),(NV70+NZ70)/F70,0)</f>
        <v>0</v>
      </c>
      <c r="TI70" s="20" t="n">
        <f aca="false">IF(B70=0,NV70+NZ70,0)</f>
        <v>0</v>
      </c>
      <c r="TJ70" s="20" t="n">
        <f aca="false">IF(B70=0,IF(HU70=1,NX70,NY70),0)</f>
        <v>0</v>
      </c>
      <c r="TK70" s="20" t="n">
        <f aca="false">IF(HF70=1,IF(HU70=1,OE70+OH70,HG70-OQ70)*(1+Slot20_Rate),0)</f>
        <v>0</v>
      </c>
      <c r="TL70" s="20" t="n">
        <f aca="false">IF(AND(HU70=1,HF70=1),(OD70+OH70)/F70,0)</f>
        <v>0</v>
      </c>
      <c r="TM70" s="20" t="n">
        <f aca="false">IF(B70=0,OD70+OH70,0)</f>
        <v>0</v>
      </c>
      <c r="TN70" s="20" t="n">
        <f aca="false">IF(B70=0,IF(HU70=1,OF70,OG70),0)</f>
        <v>0</v>
      </c>
      <c r="TO70" s="20" t="n">
        <f aca="false">QK70+QL70+QM70+QQ70+QU70+QY70+RC70+RG70+RK70+RO70+RS70+RW70+SA70+SE70+SI70+SM70+SQ70+SU70+SY70+TC70+TG70+TK70</f>
        <v>0</v>
      </c>
      <c r="TP70" s="20" t="n">
        <f aca="false">QE70+HP70</f>
        <v>65764.479150534</v>
      </c>
      <c r="TQ70" s="20" t="n">
        <f aca="false">I70+S70</f>
        <v>163169.335859895</v>
      </c>
      <c r="TR70" s="20" t="n">
        <f aca="false">1-G70</f>
        <v>1</v>
      </c>
      <c r="TS70" s="20" t="n">
        <f aca="false">IF(AND(RG_Exists=1,G70=0,C70=1),I70,0)</f>
        <v>0</v>
      </c>
      <c r="TT70" s="20" t="n">
        <f aca="false">IF(AND(RG_Exists=1,G70=0,C70=1),I70-MIN(QE70,I70),0)</f>
        <v>0</v>
      </c>
      <c r="TU70" s="20" t="n">
        <f aca="false">'Plan pay &amp; tax'!AD296</f>
        <v>0</v>
      </c>
      <c r="TV70" s="20" t="n">
        <f aca="false">IF(AND(C70=1,QE70&gt;MAX(PR_Short1,TQ70*PR_Short2)),1,0)</f>
        <v>0</v>
      </c>
      <c r="TW70" s="20" t="n">
        <f aca="false">MIN(H70,I70+S70)</f>
        <v>97404.8567093611</v>
      </c>
      <c r="TX70" s="20" t="n">
        <f aca="false">QF70+MAX(0,HQ70-HP70)</f>
        <v>0</v>
      </c>
      <c r="TY70" s="20" t="n">
        <f aca="false">QE70+HP70</f>
        <v>65764.479150534</v>
      </c>
      <c r="TZ70" s="20" t="n">
        <f aca="false">IF(AND(C70=1,TY70&gt;PR_MinShort),1,0)</f>
        <v>0</v>
      </c>
      <c r="UA70" s="20" t="n">
        <f aca="false">IF(AND(C70=1,TZ70=0,TX70&gt;PR_MinShort),1,0)</f>
        <v>0</v>
      </c>
      <c r="UB70" s="20" t="n">
        <f aca="false">IF(AND(C70=1,QE70&gt;PR_MinShort),1,0)</f>
        <v>0</v>
      </c>
      <c r="UC70" s="20" t="n">
        <f aca="false">IF(AND(C70=1,QF70&gt;1,UJ70=0),1,0)</f>
        <v>0</v>
      </c>
      <c r="UD70" s="20" t="str">
        <f aca="false">IF(C70=0,"",IF(UJ70=1,"Gap to plan for: short "&amp;"€"&amp;TEXT(ROUND(TP70,0),"#,##0"),IF(QF70&gt;1,"Using savings","Comfortable")))</f>
        <v/>
      </c>
      <c r="UE70" s="20" t="n">
        <f aca="false">IF(AND(INT(D70/10)*10=90,B70&gt;0),80,INT(D70/10)*10)</f>
        <v>100</v>
      </c>
      <c r="UF70" s="20" t="n">
        <f aca="false">IF(B70=0,1,IF(UE70&lt;&gt;UE69,UF69+1,UF69))</f>
        <v>7</v>
      </c>
      <c r="UG70" s="20" t="n">
        <f aca="false">IF(AND(C70=1,G70=1,QE70&gt;MAX(PR_Short1,TQ70*PR_Short2)),1,0)</f>
        <v>0</v>
      </c>
      <c r="UH70" s="20" t="n">
        <f aca="false">TR70*TV70</f>
        <v>0</v>
      </c>
      <c r="UI70" s="20" t="n">
        <f aca="false">IF(AND(V70=1,Slot1_PctLow=1),1,0)+IF(AND(AG70=1,Slot2_PctLow=1),1,0)+IF(AND(AQ70=1,Slot3_PctLow=1),1,0)+IF(AND(BA70=1,Slot4_PctLow=1),1,0)+IF(AND(BK70=1,Slot5_PctLow=1),1,0)+IF(AND(BU70=1,Slot6_PctLow=1),1,0)+IF(AND(CE70=1,Slot7_PctLow=1),1,0)+IF(AND(CO70=1,Slot8_PctLow=1),1,0)+IF(AND(CY70=1,Slot9_PctLow=1),1,0)+IF(AND(DI70=1,Slot10_PctLow=1),1,0)+IF(AND(DS70=1,Slot11_PctLow=1),1,0)+IF(AND(EC70=1,Slot12_PctLow=1),1,0)+IF(AND(EM70=1,Slot13_PctLow=1),1,0)+IF(AND(EW70=1,Slot14_PctLow=1),1,0)+IF(AND(FG70=1,Slot15_PctLow=1),1,0)+IF(AND(FQ70=1,Slot16_PctLow=1),1,0)+IF(AND(GA70=1,Slot17_PctLow=1),1,0)+IF(AND(GK70=1,Slot18_PctLow=1),1,0)+IF(AND(GU70=1,Slot19_PctLow=1),1,0)+IF(AND(HE70=1,Slot20_PctLow=1),1,0)</f>
        <v>0</v>
      </c>
      <c r="UJ70" s="20" t="n">
        <f aca="false">IF(C70=1,IF(OR(TV70=1,UI70&gt;0),1,0),0)</f>
        <v>0</v>
      </c>
    </row>
    <row r="71" customFormat="false" ht="15" hidden="false" customHeight="true" outlineLevel="0" collapsed="false">
      <c r="B71" s="20" t="n">
        <v>63</v>
      </c>
      <c r="C71" s="20" t="n">
        <f aca="false">IF(B71&lt;=F_N,1,0)</f>
        <v>0</v>
      </c>
      <c r="D71" s="20" t="n">
        <f aca="false">'Plan pay &amp; tax'!C297</f>
        <v>101</v>
      </c>
      <c r="E71" s="20" t="str">
        <f aca="false">IF($C71=1,"Income tax "&amp;TEXT(N('Plan pay &amp; tax'!BK297),"#,##0")&amp;"; USC "&amp;TEXT(N('Plan pay &amp; tax'!BM297)+N('Plan pay &amp; tax'!BO297),"#,##0")&amp;"; PRSI "&amp;TEXT(N('Plan pay &amp; tax'!BP297)+N('Plan pay &amp; tax'!BQ297),"#,##0")&amp;". DIRT and exit tax are inside the growth rates here.","")</f>
        <v/>
      </c>
      <c r="F71" s="44" t="n">
        <f aca="false">'Plan pay &amp; tax'!E297</f>
        <v>3.48185612085969</v>
      </c>
      <c r="G71" s="20" t="n">
        <f aca="false">'Plan pay &amp; tax'!G297</f>
        <v>0</v>
      </c>
      <c r="H71" s="20" t="n">
        <f aca="false">'Plan pay &amp; tax'!BT297-'Plan pay &amp; tax'!BS297-'Plan pay &amp; tax'!R297</f>
        <v>99352.9538435483</v>
      </c>
      <c r="I71" s="20" t="n">
        <f aca="false">IF(G71=1,F_CostsM*12,IF(RG_Exists=1,RG_Amount,F_CostsM*12*AS_RetireSpend))*F71+F_OneOffY*F71</f>
        <v>166432.722577093</v>
      </c>
      <c r="J71" s="20" t="n">
        <f aca="false">HR70</f>
        <v>0</v>
      </c>
      <c r="K71" s="20" t="n">
        <f aca="false">IF(J71&gt;1,'Plan debt months'!AC71,0)</f>
        <v>0</v>
      </c>
      <c r="L71" s="20" t="n">
        <f aca="false">IF(J71&gt;1,'Plan debt months'!AB71,J71)</f>
        <v>0</v>
      </c>
      <c r="M71" s="20" t="n">
        <f aca="false">O70</f>
        <v>0</v>
      </c>
      <c r="N71" s="20" t="n">
        <f aca="false">IF(M71&gt;1,'Plan debt months'!BD71,0)</f>
        <v>0</v>
      </c>
      <c r="O71" s="20" t="n">
        <f aca="false">IF(M71&gt;1,'Plan debt months'!BC71,M71)</f>
        <v>0</v>
      </c>
      <c r="P71" s="20" t="n">
        <f aca="false">R70</f>
        <v>0</v>
      </c>
      <c r="Q71" s="20" t="n">
        <f aca="false">IF(P71&gt;1,'Plan debt months'!CE71,0)</f>
        <v>0</v>
      </c>
      <c r="R71" s="20" t="n">
        <f aca="false">IF(P71&gt;1,'Plan debt months'!CD71,P71)</f>
        <v>0</v>
      </c>
      <c r="S71" s="20" t="n">
        <f aca="false">K71+N71+Q71</f>
        <v>0</v>
      </c>
      <c r="T71" s="20" t="n">
        <f aca="false">QK70+'Plan pay &amp; tax'!Y297</f>
        <v>0</v>
      </c>
      <c r="U71" s="20" t="n">
        <f aca="false">QK70</f>
        <v>0</v>
      </c>
      <c r="V71" s="20" t="n">
        <f aca="false">IF(AND(Slot1_On=1,D71=Slot1_Age),1,0)</f>
        <v>0</v>
      </c>
      <c r="W71" s="20" t="n">
        <f aca="false">IF(AND(Slot1_On=1,Slot1_Age&gt;D71),1,0)</f>
        <v>0</v>
      </c>
      <c r="X71" s="20" t="n">
        <f aca="false">QM70</f>
        <v>0</v>
      </c>
      <c r="Y71" s="20" t="n">
        <f aca="false">V71*MIN(Slot1_Cost,X71)</f>
        <v>0</v>
      </c>
      <c r="Z71" s="20" t="n">
        <f aca="false">V71*Slot1_SpendLike*MIN(Slot1_Cost-Y71,T71)</f>
        <v>0</v>
      </c>
      <c r="AA71" s="20" t="n">
        <f aca="false">Y71+Z71</f>
        <v>0</v>
      </c>
      <c r="AB71" s="20" t="n">
        <f aca="false">T71-Z71+V71*IF(Slot1_SpendLike=1,X71-Y71,IF(Slot1_PotFree=1,X71,0))</f>
        <v>0</v>
      </c>
      <c r="AC71" s="20" t="n">
        <f aca="false">AF71+V71*Slot1_BufPot*X71</f>
        <v>0</v>
      </c>
      <c r="AD71" s="20" t="n">
        <f aca="false">IF(AND(V71=1,Slot1_IsMfree=1),IF(AA71&gt;=Slot1_Cost-1,0,MAX(0,L71-AA71)),L71)</f>
        <v>0</v>
      </c>
      <c r="AE71" s="20" t="n">
        <f aca="false">V71*(Slot1_Cost-AA71)</f>
        <v>0</v>
      </c>
      <c r="AF71" s="20" t="n">
        <f aca="false">QL70</f>
        <v>0</v>
      </c>
      <c r="AG71" s="20" t="n">
        <f aca="false">IF(AND(Slot2_On=1,D71=Slot2_Age),1,0)</f>
        <v>0</v>
      </c>
      <c r="AH71" s="20" t="n">
        <f aca="false">IF(AND(Slot2_On=1,Slot2_Age&gt;D71),1,0)</f>
        <v>0</v>
      </c>
      <c r="AI71" s="20" t="n">
        <f aca="false">QQ70</f>
        <v>0</v>
      </c>
      <c r="AJ71" s="20" t="n">
        <f aca="false">AG71*MIN(Slot2_Cost,AI71)</f>
        <v>0</v>
      </c>
      <c r="AK71" s="20" t="n">
        <f aca="false">AG71*Slot2_SpendLike*MIN(Slot2_Cost-AJ71,AB71)</f>
        <v>0</v>
      </c>
      <c r="AL71" s="20" t="n">
        <f aca="false">AJ71+AK71</f>
        <v>0</v>
      </c>
      <c r="AM71" s="20" t="n">
        <f aca="false">AB71-AK71+AG71*IF(Slot2_SpendLike=1,AI71-AJ71,IF(Slot2_PotFree=1,AI71,0))</f>
        <v>0</v>
      </c>
      <c r="AN71" s="20" t="n">
        <f aca="false">AC71+AG71*Slot2_BufPot*AI71</f>
        <v>0</v>
      </c>
      <c r="AO71" s="20" t="n">
        <f aca="false">IF(AND(AG71=1,Slot2_IsMfree=1),IF(AL71&gt;=Slot2_Cost-1,0,MAX(0,AD71-AL71)),AD71)</f>
        <v>0</v>
      </c>
      <c r="AP71" s="20" t="n">
        <f aca="false">AG71*(Slot2_Cost-AL71)</f>
        <v>0</v>
      </c>
      <c r="AQ71" s="20" t="n">
        <f aca="false">IF(AND(Slot3_On=1,D71=Slot3_Age),1,0)</f>
        <v>0</v>
      </c>
      <c r="AR71" s="20" t="n">
        <f aca="false">IF(AND(Slot3_On=1,Slot3_Age&gt;D71),1,0)</f>
        <v>0</v>
      </c>
      <c r="AS71" s="20" t="n">
        <f aca="false">QU70</f>
        <v>0</v>
      </c>
      <c r="AT71" s="20" t="n">
        <f aca="false">AQ71*MIN(Slot3_Cost,AS71)</f>
        <v>0</v>
      </c>
      <c r="AU71" s="20" t="n">
        <f aca="false">AQ71*Slot3_SpendLike*MIN(Slot3_Cost-AT71,AM71)</f>
        <v>0</v>
      </c>
      <c r="AV71" s="20" t="n">
        <f aca="false">AT71+AU71</f>
        <v>0</v>
      </c>
      <c r="AW71" s="20" t="n">
        <f aca="false">AM71-AU71+AQ71*IF(Slot3_SpendLike=1,AS71-AT71,IF(Slot3_PotFree=1,AS71,0))</f>
        <v>0</v>
      </c>
      <c r="AX71" s="20" t="n">
        <f aca="false">AN71+AQ71*Slot3_BufPot*AS71</f>
        <v>0</v>
      </c>
      <c r="AY71" s="20" t="n">
        <f aca="false">IF(AND(AQ71=1,Slot3_IsMfree=1),IF(AV71&gt;=Slot3_Cost-1,0,MAX(0,AO71-AV71)),AO71)</f>
        <v>0</v>
      </c>
      <c r="AZ71" s="20" t="n">
        <f aca="false">AQ71*(Slot3_Cost-AV71)</f>
        <v>0</v>
      </c>
      <c r="BA71" s="20" t="n">
        <f aca="false">IF(AND(Slot4_On=1,D71=Slot4_Age),1,0)</f>
        <v>0</v>
      </c>
      <c r="BB71" s="20" t="n">
        <f aca="false">IF(AND(Slot4_On=1,Slot4_Age&gt;D71),1,0)</f>
        <v>0</v>
      </c>
      <c r="BC71" s="20" t="n">
        <f aca="false">QY70</f>
        <v>0</v>
      </c>
      <c r="BD71" s="20" t="n">
        <f aca="false">BA71*MIN(Slot4_Cost,BC71)</f>
        <v>0</v>
      </c>
      <c r="BE71" s="20" t="n">
        <f aca="false">BA71*Slot4_SpendLike*MIN(Slot4_Cost-BD71,AW71)</f>
        <v>0</v>
      </c>
      <c r="BF71" s="20" t="n">
        <f aca="false">BD71+BE71</f>
        <v>0</v>
      </c>
      <c r="BG71" s="20" t="n">
        <f aca="false">AW71-BE71+BA71*IF(Slot4_SpendLike=1,BC71-BD71,IF(Slot4_PotFree=1,BC71,0))</f>
        <v>0</v>
      </c>
      <c r="BH71" s="20" t="n">
        <f aca="false">AX71+BA71*Slot4_BufPot*BC71</f>
        <v>0</v>
      </c>
      <c r="BI71" s="20" t="n">
        <f aca="false">IF(AND(BA71=1,Slot4_IsMfree=1),IF(BF71&gt;=Slot4_Cost-1,0,MAX(0,AY71-BF71)),AY71)</f>
        <v>0</v>
      </c>
      <c r="BJ71" s="20" t="n">
        <f aca="false">BA71*(Slot4_Cost-BF71)</f>
        <v>0</v>
      </c>
      <c r="BK71" s="20" t="n">
        <f aca="false">IF(AND(Slot5_On=1,D71=Slot5_Age),1,0)</f>
        <v>0</v>
      </c>
      <c r="BL71" s="20" t="n">
        <f aca="false">IF(AND(Slot5_On=1,Slot5_Age&gt;D71),1,0)</f>
        <v>0</v>
      </c>
      <c r="BM71" s="20" t="n">
        <f aca="false">RC70</f>
        <v>0</v>
      </c>
      <c r="BN71" s="20" t="n">
        <f aca="false">BK71*MIN(Slot5_Cost,BM71)</f>
        <v>0</v>
      </c>
      <c r="BO71" s="20" t="n">
        <f aca="false">BK71*Slot5_SpendLike*MIN(Slot5_Cost-BN71,BG71)</f>
        <v>0</v>
      </c>
      <c r="BP71" s="20" t="n">
        <f aca="false">BN71+BO71</f>
        <v>0</v>
      </c>
      <c r="BQ71" s="20" t="n">
        <f aca="false">BG71-BO71+BK71*IF(Slot5_SpendLike=1,BM71-BN71,IF(Slot5_PotFree=1,BM71,0))</f>
        <v>0</v>
      </c>
      <c r="BR71" s="20" t="n">
        <f aca="false">BH71+BK71*Slot5_BufPot*BM71</f>
        <v>0</v>
      </c>
      <c r="BS71" s="20" t="n">
        <f aca="false">IF(AND(BK71=1,Slot5_IsMfree=1),IF(BP71&gt;=Slot5_Cost-1,0,MAX(0,BI71-BP71)),BI71)</f>
        <v>0</v>
      </c>
      <c r="BT71" s="20" t="n">
        <f aca="false">BK71*(Slot5_Cost-BP71)</f>
        <v>0</v>
      </c>
      <c r="BU71" s="20" t="n">
        <f aca="false">IF(AND(Slot6_On=1,D71=Slot6_Age),1,0)</f>
        <v>0</v>
      </c>
      <c r="BV71" s="20" t="n">
        <f aca="false">IF(AND(Slot6_On=1,Slot6_Age&gt;D71),1,0)</f>
        <v>0</v>
      </c>
      <c r="BW71" s="20" t="n">
        <f aca="false">RG70</f>
        <v>0</v>
      </c>
      <c r="BX71" s="20" t="n">
        <f aca="false">BU71*MIN(Slot6_Cost,BW71)</f>
        <v>0</v>
      </c>
      <c r="BY71" s="20" t="n">
        <f aca="false">BU71*Slot6_SpendLike*MIN(Slot6_Cost-BX71,BQ71)</f>
        <v>0</v>
      </c>
      <c r="BZ71" s="20" t="n">
        <f aca="false">BX71+BY71</f>
        <v>0</v>
      </c>
      <c r="CA71" s="20" t="n">
        <f aca="false">BQ71-BY71+BU71*IF(Slot6_SpendLike=1,BW71-BX71,IF(Slot6_PotFree=1,BW71,0))</f>
        <v>0</v>
      </c>
      <c r="CB71" s="20" t="n">
        <f aca="false">BR71+BU71*Slot6_BufPot*BW71</f>
        <v>0</v>
      </c>
      <c r="CC71" s="20" t="n">
        <f aca="false">IF(AND(BU71=1,Slot6_IsMfree=1),IF(BZ71&gt;=Slot6_Cost-1,0,MAX(0,BS71-BZ71)),BS71)</f>
        <v>0</v>
      </c>
      <c r="CD71" s="20" t="n">
        <f aca="false">BU71*(Slot6_Cost-BZ71)</f>
        <v>0</v>
      </c>
      <c r="CE71" s="20" t="n">
        <f aca="false">IF(AND(Slot7_On=1,D71=Slot7_Age),1,0)</f>
        <v>0</v>
      </c>
      <c r="CF71" s="20" t="n">
        <f aca="false">IF(AND(Slot7_On=1,Slot7_Age&gt;D71),1,0)</f>
        <v>0</v>
      </c>
      <c r="CG71" s="20" t="n">
        <f aca="false">RK70</f>
        <v>0</v>
      </c>
      <c r="CH71" s="20" t="n">
        <f aca="false">CE71*MIN(Slot7_Cost,CG71)</f>
        <v>0</v>
      </c>
      <c r="CI71" s="20" t="n">
        <f aca="false">CE71*Slot7_SpendLike*MIN(Slot7_Cost-CH71,CA71)</f>
        <v>0</v>
      </c>
      <c r="CJ71" s="20" t="n">
        <f aca="false">CH71+CI71</f>
        <v>0</v>
      </c>
      <c r="CK71" s="20" t="n">
        <f aca="false">CA71-CI71+CE71*IF(Slot7_SpendLike=1,CG71-CH71,IF(Slot7_PotFree=1,CG71,0))</f>
        <v>0</v>
      </c>
      <c r="CL71" s="20" t="n">
        <f aca="false">CB71+CE71*Slot7_BufPot*CG71</f>
        <v>0</v>
      </c>
      <c r="CM71" s="20" t="n">
        <f aca="false">IF(AND(CE71=1,Slot7_IsMfree=1),IF(CJ71&gt;=Slot7_Cost-1,0,MAX(0,CC71-CJ71)),CC71)</f>
        <v>0</v>
      </c>
      <c r="CN71" s="20" t="n">
        <f aca="false">CE71*(Slot7_Cost-CJ71)</f>
        <v>0</v>
      </c>
      <c r="CO71" s="20" t="n">
        <f aca="false">IF(AND(Slot8_On=1,D71=Slot8_Age),1,0)</f>
        <v>0</v>
      </c>
      <c r="CP71" s="20" t="n">
        <f aca="false">IF(AND(Slot8_On=1,Slot8_Age&gt;D71),1,0)</f>
        <v>0</v>
      </c>
      <c r="CQ71" s="20" t="n">
        <f aca="false">RO70</f>
        <v>0</v>
      </c>
      <c r="CR71" s="20" t="n">
        <f aca="false">CO71*MIN(Slot8_Cost,CQ71)</f>
        <v>0</v>
      </c>
      <c r="CS71" s="20" t="n">
        <f aca="false">CO71*Slot8_SpendLike*MIN(Slot8_Cost-CR71,CK71)</f>
        <v>0</v>
      </c>
      <c r="CT71" s="20" t="n">
        <f aca="false">CR71+CS71</f>
        <v>0</v>
      </c>
      <c r="CU71" s="20" t="n">
        <f aca="false">CK71-CS71+CO71*IF(Slot8_SpendLike=1,CQ71-CR71,IF(Slot8_PotFree=1,CQ71,0))</f>
        <v>0</v>
      </c>
      <c r="CV71" s="20" t="n">
        <f aca="false">CL71+CO71*Slot8_BufPot*CQ71</f>
        <v>0</v>
      </c>
      <c r="CW71" s="20" t="n">
        <f aca="false">IF(AND(CO71=1,Slot8_IsMfree=1),IF(CT71&gt;=Slot8_Cost-1,0,MAX(0,CM71-CT71)),CM71)</f>
        <v>0</v>
      </c>
      <c r="CX71" s="20" t="n">
        <f aca="false">CO71*(Slot8_Cost-CT71)</f>
        <v>0</v>
      </c>
      <c r="CY71" s="20" t="n">
        <f aca="false">IF(AND(Slot9_On=1,D71=Slot9_Age),1,0)</f>
        <v>0</v>
      </c>
      <c r="CZ71" s="20" t="n">
        <f aca="false">IF(AND(Slot9_On=1,Slot9_Age&gt;D71),1,0)</f>
        <v>0</v>
      </c>
      <c r="DA71" s="20" t="n">
        <f aca="false">RS70</f>
        <v>0</v>
      </c>
      <c r="DB71" s="20" t="n">
        <f aca="false">CY71*MIN(Slot9_Cost,DA71)</f>
        <v>0</v>
      </c>
      <c r="DC71" s="20" t="n">
        <f aca="false">CY71*Slot9_SpendLike*MIN(Slot9_Cost-DB71,CU71)</f>
        <v>0</v>
      </c>
      <c r="DD71" s="20" t="n">
        <f aca="false">DB71+DC71</f>
        <v>0</v>
      </c>
      <c r="DE71" s="20" t="n">
        <f aca="false">CU71-DC71+CY71*IF(Slot9_SpendLike=1,DA71-DB71,IF(Slot9_PotFree=1,DA71,0))</f>
        <v>0</v>
      </c>
      <c r="DF71" s="20" t="n">
        <f aca="false">CV71+CY71*Slot9_BufPot*DA71</f>
        <v>0</v>
      </c>
      <c r="DG71" s="20" t="n">
        <f aca="false">IF(AND(CY71=1,Slot9_IsMfree=1),IF(DD71&gt;=Slot9_Cost-1,0,MAX(0,CW71-DD71)),CW71)</f>
        <v>0</v>
      </c>
      <c r="DH71" s="20" t="n">
        <f aca="false">CY71*(Slot9_Cost-DD71)</f>
        <v>0</v>
      </c>
      <c r="DI71" s="20" t="n">
        <f aca="false">IF(AND(Slot10_On=1,D71=Slot10_Age),1,0)</f>
        <v>0</v>
      </c>
      <c r="DJ71" s="20" t="n">
        <f aca="false">IF(AND(Slot10_On=1,Slot10_Age&gt;D71),1,0)</f>
        <v>0</v>
      </c>
      <c r="DK71" s="20" t="n">
        <f aca="false">RW70</f>
        <v>0</v>
      </c>
      <c r="DL71" s="20" t="n">
        <f aca="false">DI71*MIN(Slot10_Cost,DK71)</f>
        <v>0</v>
      </c>
      <c r="DM71" s="20" t="n">
        <f aca="false">DI71*Slot10_SpendLike*MIN(Slot10_Cost-DL71,DE71)</f>
        <v>0</v>
      </c>
      <c r="DN71" s="20" t="n">
        <f aca="false">DL71+DM71</f>
        <v>0</v>
      </c>
      <c r="DO71" s="20" t="n">
        <f aca="false">DE71-DM71+DI71*IF(Slot10_SpendLike=1,DK71-DL71,IF(Slot10_PotFree=1,DK71,0))</f>
        <v>0</v>
      </c>
      <c r="DP71" s="20" t="n">
        <f aca="false">DF71+DI71*Slot10_BufPot*DK71</f>
        <v>0</v>
      </c>
      <c r="DQ71" s="20" t="n">
        <f aca="false">IF(AND(DI71=1,Slot10_IsMfree=1),IF(DN71&gt;=Slot10_Cost-1,0,MAX(0,DG71-DN71)),DG71)</f>
        <v>0</v>
      </c>
      <c r="DR71" s="20" t="n">
        <f aca="false">DI71*(Slot10_Cost-DN71)</f>
        <v>0</v>
      </c>
      <c r="DS71" s="20" t="n">
        <f aca="false">IF(AND(Slot11_On=1,D71=Slot11_Age),1,0)</f>
        <v>0</v>
      </c>
      <c r="DT71" s="20" t="n">
        <f aca="false">IF(AND(Slot11_On=1,Slot11_Age&gt;D71),1,0)</f>
        <v>0</v>
      </c>
      <c r="DU71" s="20" t="n">
        <f aca="false">SA70</f>
        <v>0</v>
      </c>
      <c r="DV71" s="20" t="n">
        <f aca="false">DS71*MIN(Slot11_Cost,DU71)</f>
        <v>0</v>
      </c>
      <c r="DW71" s="20" t="n">
        <f aca="false">DS71*Slot11_SpendLike*MIN(Slot11_Cost-DV71,DO71)</f>
        <v>0</v>
      </c>
      <c r="DX71" s="20" t="n">
        <f aca="false">DV71+DW71</f>
        <v>0</v>
      </c>
      <c r="DY71" s="20" t="n">
        <f aca="false">DO71-DW71+DS71*IF(Slot11_SpendLike=1,DU71-DV71,IF(Slot11_PotFree=1,DU71,0))</f>
        <v>0</v>
      </c>
      <c r="DZ71" s="20" t="n">
        <f aca="false">DP71+DS71*Slot11_BufPot*DU71</f>
        <v>0</v>
      </c>
      <c r="EA71" s="20" t="n">
        <f aca="false">IF(AND(DS71=1,Slot11_IsMfree=1),IF(DX71&gt;=Slot11_Cost-1,0,MAX(0,DQ71-DX71)),DQ71)</f>
        <v>0</v>
      </c>
      <c r="EB71" s="20" t="n">
        <f aca="false">DS71*(Slot11_Cost-DX71)</f>
        <v>0</v>
      </c>
      <c r="EC71" s="20" t="n">
        <f aca="false">IF(AND(Slot12_On=1,D71=Slot12_Age),1,0)</f>
        <v>0</v>
      </c>
      <c r="ED71" s="20" t="n">
        <f aca="false">IF(AND(Slot12_On=1,Slot12_Age&gt;D71),1,0)</f>
        <v>0</v>
      </c>
      <c r="EE71" s="20" t="n">
        <f aca="false">SE70</f>
        <v>0</v>
      </c>
      <c r="EF71" s="20" t="n">
        <f aca="false">EC71*MIN(Slot12_Cost,EE71)</f>
        <v>0</v>
      </c>
      <c r="EG71" s="20" t="n">
        <f aca="false">EC71*Slot12_SpendLike*MIN(Slot12_Cost-EF71,DY71)</f>
        <v>0</v>
      </c>
      <c r="EH71" s="20" t="n">
        <f aca="false">EF71+EG71</f>
        <v>0</v>
      </c>
      <c r="EI71" s="20" t="n">
        <f aca="false">DY71-EG71+EC71*IF(Slot12_SpendLike=1,EE71-EF71,IF(Slot12_PotFree=1,EE71,0))</f>
        <v>0</v>
      </c>
      <c r="EJ71" s="20" t="n">
        <f aca="false">DZ71+EC71*Slot12_BufPot*EE71</f>
        <v>0</v>
      </c>
      <c r="EK71" s="20" t="n">
        <f aca="false">IF(AND(EC71=1,Slot12_IsMfree=1),IF(EH71&gt;=Slot12_Cost-1,0,MAX(0,EA71-EH71)),EA71)</f>
        <v>0</v>
      </c>
      <c r="EL71" s="20" t="n">
        <f aca="false">EC71*(Slot12_Cost-EH71)</f>
        <v>0</v>
      </c>
      <c r="EM71" s="20" t="n">
        <f aca="false">IF(AND(Slot13_On=1,D71=Slot13_Age),1,0)</f>
        <v>0</v>
      </c>
      <c r="EN71" s="20" t="n">
        <f aca="false">IF(AND(Slot13_On=1,Slot13_Age&gt;D71),1,0)</f>
        <v>0</v>
      </c>
      <c r="EO71" s="20" t="n">
        <f aca="false">SI70</f>
        <v>0</v>
      </c>
      <c r="EP71" s="20" t="n">
        <f aca="false">EM71*MIN(Slot13_Cost,EO71)</f>
        <v>0</v>
      </c>
      <c r="EQ71" s="20" t="n">
        <f aca="false">EM71*Slot13_SpendLike*MIN(Slot13_Cost-EP71,EI71)</f>
        <v>0</v>
      </c>
      <c r="ER71" s="20" t="n">
        <f aca="false">EP71+EQ71</f>
        <v>0</v>
      </c>
      <c r="ES71" s="20" t="n">
        <f aca="false">EI71-EQ71+EM71*IF(Slot13_SpendLike=1,EO71-EP71,IF(Slot13_PotFree=1,EO71,0))</f>
        <v>0</v>
      </c>
      <c r="ET71" s="20" t="n">
        <f aca="false">EJ71+EM71*Slot13_BufPot*EO71</f>
        <v>0</v>
      </c>
      <c r="EU71" s="20" t="n">
        <f aca="false">IF(AND(EM71=1,Slot13_IsMfree=1),IF(ER71&gt;=Slot13_Cost-1,0,MAX(0,EK71-ER71)),EK71)</f>
        <v>0</v>
      </c>
      <c r="EV71" s="20" t="n">
        <f aca="false">EM71*(Slot13_Cost-ER71)</f>
        <v>0</v>
      </c>
      <c r="EW71" s="20" t="n">
        <f aca="false">IF(AND(Slot14_On=1,D71=Slot14_Age),1,0)</f>
        <v>0</v>
      </c>
      <c r="EX71" s="20" t="n">
        <f aca="false">IF(AND(Slot14_On=1,Slot14_Age&gt;D71),1,0)</f>
        <v>0</v>
      </c>
      <c r="EY71" s="20" t="n">
        <f aca="false">SM70</f>
        <v>0</v>
      </c>
      <c r="EZ71" s="20" t="n">
        <f aca="false">EW71*MIN(Slot14_Cost,EY71)</f>
        <v>0</v>
      </c>
      <c r="FA71" s="20" t="n">
        <f aca="false">EW71*Slot14_SpendLike*MIN(Slot14_Cost-EZ71,ES71)</f>
        <v>0</v>
      </c>
      <c r="FB71" s="20" t="n">
        <f aca="false">EZ71+FA71</f>
        <v>0</v>
      </c>
      <c r="FC71" s="20" t="n">
        <f aca="false">ES71-FA71+EW71*IF(Slot14_SpendLike=1,EY71-EZ71,IF(Slot14_PotFree=1,EY71,0))</f>
        <v>0</v>
      </c>
      <c r="FD71" s="20" t="n">
        <f aca="false">ET71+EW71*Slot14_BufPot*EY71</f>
        <v>0</v>
      </c>
      <c r="FE71" s="20" t="n">
        <f aca="false">IF(AND(EW71=1,Slot14_IsMfree=1),IF(FB71&gt;=Slot14_Cost-1,0,MAX(0,EU71-FB71)),EU71)</f>
        <v>0</v>
      </c>
      <c r="FF71" s="20" t="n">
        <f aca="false">EW71*(Slot14_Cost-FB71)</f>
        <v>0</v>
      </c>
      <c r="FG71" s="20" t="n">
        <f aca="false">IF(AND(Slot15_On=1,D71=Slot15_Age),1,0)</f>
        <v>0</v>
      </c>
      <c r="FH71" s="20" t="n">
        <f aca="false">IF(AND(Slot15_On=1,Slot15_Age&gt;D71),1,0)</f>
        <v>0</v>
      </c>
      <c r="FI71" s="20" t="n">
        <f aca="false">SQ70</f>
        <v>0</v>
      </c>
      <c r="FJ71" s="20" t="n">
        <f aca="false">FG71*MIN(Slot15_Cost,FI71)</f>
        <v>0</v>
      </c>
      <c r="FK71" s="20" t="n">
        <f aca="false">FG71*Slot15_SpendLike*MIN(Slot15_Cost-FJ71,FC71)</f>
        <v>0</v>
      </c>
      <c r="FL71" s="20" t="n">
        <f aca="false">FJ71+FK71</f>
        <v>0</v>
      </c>
      <c r="FM71" s="20" t="n">
        <f aca="false">FC71-FK71+FG71*IF(Slot15_SpendLike=1,FI71-FJ71,IF(Slot15_PotFree=1,FI71,0))</f>
        <v>0</v>
      </c>
      <c r="FN71" s="20" t="n">
        <f aca="false">FD71+FG71*Slot15_BufPot*FI71</f>
        <v>0</v>
      </c>
      <c r="FO71" s="20" t="n">
        <f aca="false">IF(AND(FG71=1,Slot15_IsMfree=1),IF(FL71&gt;=Slot15_Cost-1,0,MAX(0,FE71-FL71)),FE71)</f>
        <v>0</v>
      </c>
      <c r="FP71" s="20" t="n">
        <f aca="false">FG71*(Slot15_Cost-FL71)</f>
        <v>0</v>
      </c>
      <c r="FQ71" s="20" t="n">
        <f aca="false">IF(AND(Slot16_On=1,D71=Slot16_Age),1,0)</f>
        <v>0</v>
      </c>
      <c r="FR71" s="20" t="n">
        <f aca="false">IF(AND(Slot16_On=1,Slot16_Age&gt;D71),1,0)</f>
        <v>0</v>
      </c>
      <c r="FS71" s="20" t="n">
        <f aca="false">SU70</f>
        <v>0</v>
      </c>
      <c r="FT71" s="20" t="n">
        <f aca="false">FQ71*MIN(Slot16_Cost,FS71)</f>
        <v>0</v>
      </c>
      <c r="FU71" s="20" t="n">
        <f aca="false">FQ71*Slot16_SpendLike*MIN(Slot16_Cost-FT71,FM71)</f>
        <v>0</v>
      </c>
      <c r="FV71" s="20" t="n">
        <f aca="false">FT71+FU71</f>
        <v>0</v>
      </c>
      <c r="FW71" s="20" t="n">
        <f aca="false">FM71-FU71+FQ71*IF(Slot16_SpendLike=1,FS71-FT71,IF(Slot16_PotFree=1,FS71,0))</f>
        <v>0</v>
      </c>
      <c r="FX71" s="20" t="n">
        <f aca="false">FN71+FQ71*Slot16_BufPot*FS71</f>
        <v>0</v>
      </c>
      <c r="FY71" s="20" t="n">
        <f aca="false">IF(AND(FQ71=1,Slot16_IsMfree=1),IF(FV71&gt;=Slot16_Cost-1,0,MAX(0,FO71-FV71)),FO71)</f>
        <v>0</v>
      </c>
      <c r="FZ71" s="20" t="n">
        <f aca="false">FQ71*(Slot16_Cost-FV71)</f>
        <v>0</v>
      </c>
      <c r="GA71" s="20" t="n">
        <f aca="false">IF(AND(Slot17_On=1,D71=Slot17_Age),1,0)</f>
        <v>0</v>
      </c>
      <c r="GB71" s="20" t="n">
        <f aca="false">IF(AND(Slot17_On=1,Slot17_Age&gt;D71),1,0)</f>
        <v>0</v>
      </c>
      <c r="GC71" s="20" t="n">
        <f aca="false">SY70</f>
        <v>0</v>
      </c>
      <c r="GD71" s="20" t="n">
        <f aca="false">GA71*MIN(Slot17_Cost,GC71)</f>
        <v>0</v>
      </c>
      <c r="GE71" s="20" t="n">
        <f aca="false">GA71*Slot17_SpendLike*MIN(Slot17_Cost-GD71,FW71)</f>
        <v>0</v>
      </c>
      <c r="GF71" s="20" t="n">
        <f aca="false">GD71+GE71</f>
        <v>0</v>
      </c>
      <c r="GG71" s="20" t="n">
        <f aca="false">FW71-GE71+GA71*IF(Slot17_SpendLike=1,GC71-GD71,IF(Slot17_PotFree=1,GC71,0))</f>
        <v>0</v>
      </c>
      <c r="GH71" s="20" t="n">
        <f aca="false">FX71+GA71*Slot17_BufPot*GC71</f>
        <v>0</v>
      </c>
      <c r="GI71" s="20" t="n">
        <f aca="false">IF(AND(GA71=1,Slot17_IsMfree=1),IF(GF71&gt;=Slot17_Cost-1,0,MAX(0,FY71-GF71)),FY71)</f>
        <v>0</v>
      </c>
      <c r="GJ71" s="20" t="n">
        <f aca="false">GA71*(Slot17_Cost-GF71)</f>
        <v>0</v>
      </c>
      <c r="GK71" s="20" t="n">
        <f aca="false">IF(AND(Slot18_On=1,D71=Slot18_Age),1,0)</f>
        <v>0</v>
      </c>
      <c r="GL71" s="20" t="n">
        <f aca="false">IF(AND(Slot18_On=1,Slot18_Age&gt;D71),1,0)</f>
        <v>0</v>
      </c>
      <c r="GM71" s="20" t="n">
        <f aca="false">TC70</f>
        <v>0</v>
      </c>
      <c r="GN71" s="20" t="n">
        <f aca="false">GK71*MIN(Slot18_Cost,GM71)</f>
        <v>0</v>
      </c>
      <c r="GO71" s="20" t="n">
        <f aca="false">GK71*Slot18_SpendLike*MIN(Slot18_Cost-GN71,GG71)</f>
        <v>0</v>
      </c>
      <c r="GP71" s="20" t="n">
        <f aca="false">GN71+GO71</f>
        <v>0</v>
      </c>
      <c r="GQ71" s="20" t="n">
        <f aca="false">GG71-GO71+GK71*IF(Slot18_SpendLike=1,GM71-GN71,IF(Slot18_PotFree=1,GM71,0))</f>
        <v>0</v>
      </c>
      <c r="GR71" s="20" t="n">
        <f aca="false">GH71+GK71*Slot18_BufPot*GM71</f>
        <v>0</v>
      </c>
      <c r="GS71" s="20" t="n">
        <f aca="false">IF(AND(GK71=1,Slot18_IsMfree=1),IF(GP71&gt;=Slot18_Cost-1,0,MAX(0,GI71-GP71)),GI71)</f>
        <v>0</v>
      </c>
      <c r="GT71" s="20" t="n">
        <f aca="false">GK71*(Slot18_Cost-GP71)</f>
        <v>0</v>
      </c>
      <c r="GU71" s="20" t="n">
        <f aca="false">IF(AND(Slot19_On=1,D71=Slot19_Age),1,0)</f>
        <v>0</v>
      </c>
      <c r="GV71" s="20" t="n">
        <f aca="false">IF(AND(Slot19_On=1,Slot19_Age&gt;D71),1,0)</f>
        <v>0</v>
      </c>
      <c r="GW71" s="20" t="n">
        <f aca="false">TG70</f>
        <v>0</v>
      </c>
      <c r="GX71" s="20" t="n">
        <f aca="false">GU71*MIN(Slot19_Cost,GW71)</f>
        <v>0</v>
      </c>
      <c r="GY71" s="20" t="n">
        <f aca="false">GU71*Slot19_SpendLike*MIN(Slot19_Cost-GX71,GQ71)</f>
        <v>0</v>
      </c>
      <c r="GZ71" s="20" t="n">
        <f aca="false">GX71+GY71</f>
        <v>0</v>
      </c>
      <c r="HA71" s="20" t="n">
        <f aca="false">GQ71-GY71+GU71*IF(Slot19_SpendLike=1,GW71-GX71,IF(Slot19_PotFree=1,GW71,0))</f>
        <v>0</v>
      </c>
      <c r="HB71" s="20" t="n">
        <f aca="false">GR71+GU71*Slot19_BufPot*GW71</f>
        <v>0</v>
      </c>
      <c r="HC71" s="20" t="n">
        <f aca="false">IF(AND(GU71=1,Slot19_IsMfree=1),IF(GZ71&gt;=Slot19_Cost-1,0,MAX(0,GS71-GZ71)),GS71)</f>
        <v>0</v>
      </c>
      <c r="HD71" s="20" t="n">
        <f aca="false">GU71*(Slot19_Cost-GZ71)</f>
        <v>0</v>
      </c>
      <c r="HE71" s="20" t="n">
        <f aca="false">IF(AND(Slot20_On=1,D71=Slot20_Age),1,0)</f>
        <v>0</v>
      </c>
      <c r="HF71" s="20" t="n">
        <f aca="false">IF(AND(Slot20_On=1,Slot20_Age&gt;D71),1,0)</f>
        <v>0</v>
      </c>
      <c r="HG71" s="20" t="n">
        <f aca="false">TK70</f>
        <v>0</v>
      </c>
      <c r="HH71" s="20" t="n">
        <f aca="false">HE71*MIN(Slot20_Cost,HG71)</f>
        <v>0</v>
      </c>
      <c r="HI71" s="20" t="n">
        <f aca="false">HE71*Slot20_SpendLike*MIN(Slot20_Cost-HH71,HA71)</f>
        <v>0</v>
      </c>
      <c r="HJ71" s="20" t="n">
        <f aca="false">HH71+HI71</f>
        <v>0</v>
      </c>
      <c r="HK71" s="20" t="n">
        <f aca="false">HA71-HI71+HE71*IF(Slot20_SpendLike=1,HG71-HH71,IF(Slot20_PotFree=1,HG71,0))</f>
        <v>0</v>
      </c>
      <c r="HL71" s="20" t="n">
        <f aca="false">HB71+HE71*Slot20_BufPot*HG71</f>
        <v>0</v>
      </c>
      <c r="HM71" s="20" t="n">
        <f aca="false">IF(AND(HE71=1,Slot20_IsMfree=1),IF(HJ71&gt;=Slot20_Cost-1,0,MAX(0,HC71-HJ71)),HC71)</f>
        <v>0</v>
      </c>
      <c r="HN71" s="20" t="n">
        <f aca="false">HE71*(Slot20_Cost-HJ71)</f>
        <v>0</v>
      </c>
      <c r="HO71" s="20" t="n">
        <f aca="false">V71*Slot1_SpendLike*AA71+AG71*Slot2_SpendLike*AL71+AQ71*Slot3_SpendLike*AV71+BA71*Slot4_SpendLike*BF71+BK71*Slot5_SpendLike*BP71+BU71*Slot6_SpendLike*BZ71+CE71*Slot7_SpendLike*CJ71+CO71*Slot8_SpendLike*CT71+CY71*Slot9_SpendLike*DD71+DI71*Slot10_SpendLike*DN71+DS71*Slot11_SpendLike*DX71+EC71*Slot12_SpendLike*EH71+EM71*Slot13_SpendLike*ER71+EW71*Slot14_SpendLike*FB71+FG71*Slot15_SpendLike*FL71+FQ71*Slot16_SpendLike*FV71+GA71*Slot17_SpendLike*GF71+GK71*Slot18_SpendLike*GP71+GU71*Slot19_SpendLike*GZ71+HE71*Slot20_SpendLike*HJ71</f>
        <v>0</v>
      </c>
      <c r="HP71" s="20" t="n">
        <f aca="false">AE71+AP71+AZ71+BJ71+BT71+CD71+CN71+CX71+DH71+DR71+EB71+EL71+EV71+FF71+FP71+FZ71+GJ71+GT71+HD71+HN71</f>
        <v>0</v>
      </c>
      <c r="HQ71" s="20" t="n">
        <f aca="false">V71*Slot1_Cost+AG71*Slot2_Cost+AQ71*Slot3_Cost+BA71*Slot4_Cost+BK71*Slot5_Cost+BU71*Slot6_Cost+CE71*Slot7_Cost+CO71*Slot8_Cost+CY71*Slot9_Cost+DI71*Slot10_Cost+DS71*Slot11_Cost+EC71*Slot12_Cost+EM71*Slot13_Cost+EW71*Slot14_Cost+FG71*Slot15_Cost+FQ71*Slot16_Cost+GA71*Slot17_Cost+GK71*Slot18_Cost+GU71*Slot19_Cost+HE71*Slot20_Cost</f>
        <v>0</v>
      </c>
      <c r="HR71" s="20" t="n">
        <f aca="false">HM71</f>
        <v>0</v>
      </c>
      <c r="HS71" s="20" t="n">
        <f aca="false">H71-I71-S71</f>
        <v>-67079.7687335447</v>
      </c>
      <c r="HT71" s="20" t="n">
        <f aca="false">IF(B71=0,IF(AND(Has_q6=1,In_q6=4),PR_ShareVaries*(MAX(0,HS71)/12),MIN(IF(Has_q6=1,CHOOSE(In_q6+1,PR_SaveB1,PR_SaveB2,PR_SaveB3,PR_SaveB4,0),AS_NoAnswer),AS_SaveShare*(MAX(0,HS71)/12))),HT70)</f>
        <v>62.3316893520437</v>
      </c>
      <c r="HU71" s="20" t="n">
        <f aca="false">IF(HS71&gt;=0,1,0)</f>
        <v>0</v>
      </c>
      <c r="HV71" s="20" t="n">
        <f aca="false">MAX(0,HS71/12/F71)</f>
        <v>0</v>
      </c>
      <c r="HW71" s="20" t="n">
        <f aca="false">IF(AND(Has_q6=1,In_q6=4),PR_ShareVaries*(HV71),MIN(IF(Has_q6=1,CHOOSE(In_q6+1,PR_SaveB1,PR_SaveB2,PR_SaveB3,PR_SaveB4,0),AS_NoAnswer),AS_SaveShare*(HV71)))</f>
        <v>0</v>
      </c>
      <c r="HX71" s="20" t="n">
        <f aca="false">IF(Has_saveM=1,IF(In_saveUp="Yes",1,IF(In_saveUp="No",0,IF(In_saveM&gt;=HT71-0.5,1,0))),0)</f>
        <v>0</v>
      </c>
      <c r="HY71" s="20" t="n">
        <f aca="false">IF(Has_saveM=1,MIN(HV71,IF(HX71=1,MAX(In_saveM,HW71),MIN(In_saveM,HW71))),HW71)</f>
        <v>0</v>
      </c>
      <c r="HZ71" s="20" t="n">
        <f aca="false">IF(G71=1,HY71*12*F71,0)</f>
        <v>0</v>
      </c>
      <c r="IA71" s="20" t="n">
        <f aca="false">MAX(0,HZ71+IF(AND(WI_Retire=0,WI_M&lt;0,G71=1),WI_M*12*F71,0))</f>
        <v>0</v>
      </c>
      <c r="IB71" s="20" t="n">
        <f aca="false">Slot1_IsWG*W71+Slot2_IsWG*AH71+Slot3_IsWG*AR71+Slot4_IsWG*BB71+Slot5_IsWG*BL71+Slot6_IsWG*BV71+Slot7_IsWG*CF71+Slot8_IsWG*CP71+Slot9_IsWG*CZ71+Slot10_IsWG*DJ71+Slot11_IsWG*DT71+Slot12_IsWG*ED71+Slot13_IsWG*EN71+Slot14_IsWG*EX71+Slot15_IsWG*FH71+Slot16_IsWG*FR71+Slot17_IsWG*GB71+Slot18_IsWG*GL71+Slot19_IsWG*GV71+Slot20_IsWG*HF71</f>
        <v>0</v>
      </c>
      <c r="IC71" s="20" t="n">
        <f aca="false">IF(AND(WI_Retire=0,WI_M&gt;0,G71=1,IB71&gt;=1),WI_M*12*F71,0)</f>
        <v>0</v>
      </c>
      <c r="ID71" s="20" t="n">
        <f aca="false">IF(HU71=1,MIN(IA71,HS71),0)</f>
        <v>0</v>
      </c>
      <c r="IE71" s="20" t="n">
        <f aca="false">IF(HU71=1,MIN(IC71,HS71-ID71),0)</f>
        <v>0</v>
      </c>
      <c r="IF71" s="20" t="n">
        <f aca="false">IF(W71=1,IF(ABS((1+AS_Wage)/(1+Slot1_Rate)-1)&lt;0.000000000001,(Slot1_Age-D71)*(1+Slot1_Rate)^(Slot1_Age-D71),(1+Slot1_Rate)^(Slot1_Age-D71)*(1-((1+AS_Wage)/(1+Slot1_Rate))^(Slot1_Age-D71))/(1-(1+AS_Wage)/(1+Slot1_Rate))),1)</f>
        <v>1</v>
      </c>
      <c r="IG71" s="20" t="n">
        <f aca="false">IF(AND(HU71=1,IE71&gt;0,Slot1_IsWG=1,W71=1),MAX(0,(Slot1_Cost-X71*(1+Slot1_Rate)^(Slot1_Age-D71))/IF71),0)</f>
        <v>0</v>
      </c>
      <c r="IH71" s="20" t="n">
        <f aca="false">IF(AND(HU71=1,IE71&gt;0,Slot1_IsWG=1,W71=1),MIN(IE71,IG71),0)</f>
        <v>0</v>
      </c>
      <c r="II71" s="20" t="n">
        <f aca="false">X71+IH71</f>
        <v>0</v>
      </c>
      <c r="IJ71" s="20" t="n">
        <f aca="false">IF(W71=1,MAX(0,(Slot1_Cost-II71*(1+Slot1_Rate)^(Slot1_Age-D71))/IF71),0)</f>
        <v>0</v>
      </c>
      <c r="IK71" s="20" t="n">
        <f aca="false">IF(W71=1,MAX(0,(Slot1_Cost-X71*(1+Slot1_Rate)^(Slot1_Age-D71))/IF71),0)</f>
        <v>0</v>
      </c>
      <c r="IL71" s="20" t="n">
        <f aca="false">IF(AND(HU71=1,W71=1),MIN(ID71,IJ71),0)</f>
        <v>0</v>
      </c>
      <c r="IM71" s="20" t="n">
        <f aca="false">ID71-IL71</f>
        <v>0</v>
      </c>
      <c r="IN71" s="20" t="n">
        <f aca="false">IF(AH71=1,IF(ABS((1+AS_Wage)/(1+Slot2_Rate)-1)&lt;0.000000000001,(Slot2_Age-D71)*(1+Slot2_Rate)^(Slot2_Age-D71),(1+Slot2_Rate)^(Slot2_Age-D71)*(1-((1+AS_Wage)/(1+Slot2_Rate))^(Slot2_Age-D71))/(1-(1+AS_Wage)/(1+Slot2_Rate))),1)</f>
        <v>1</v>
      </c>
      <c r="IO71" s="20" t="n">
        <f aca="false">IF(AND(HU71=1,IE71&gt;0,Slot2_IsWG=1,AH71=1),MAX(0,(Slot2_Cost-AI71*(1+Slot2_Rate)^(Slot2_Age-D71))/IN71),0)</f>
        <v>0</v>
      </c>
      <c r="IP71" s="20" t="n">
        <f aca="false">IF(AND(HU71=1,IE71&gt;0,Slot2_IsWG=1,AH71=1),MIN(IE71,IO71),0)</f>
        <v>0</v>
      </c>
      <c r="IQ71" s="20" t="n">
        <f aca="false">AI71+IP71</f>
        <v>0</v>
      </c>
      <c r="IR71" s="20" t="n">
        <f aca="false">IF(AH71=1,MAX(0,(Slot2_Cost-IQ71*(1+Slot2_Rate)^(Slot2_Age-D71))/IN71),0)</f>
        <v>0</v>
      </c>
      <c r="IS71" s="20" t="n">
        <f aca="false">IF(AH71=1,MAX(0,(Slot2_Cost-AI71*(1+Slot2_Rate)^(Slot2_Age-D71))/IN71),0)</f>
        <v>0</v>
      </c>
      <c r="IT71" s="20" t="n">
        <f aca="false">IF(AND(HU71=1,AH71=1),MIN(IM71,IR71),0)</f>
        <v>0</v>
      </c>
      <c r="IU71" s="20" t="n">
        <f aca="false">IM71-IT71</f>
        <v>0</v>
      </c>
      <c r="IV71" s="20" t="n">
        <f aca="false">IF(AR71=1,IF(ABS((1+AS_Wage)/(1+Slot3_Rate)-1)&lt;0.000000000001,(Slot3_Age-D71)*(1+Slot3_Rate)^(Slot3_Age-D71),(1+Slot3_Rate)^(Slot3_Age-D71)*(1-((1+AS_Wage)/(1+Slot3_Rate))^(Slot3_Age-D71))/(1-(1+AS_Wage)/(1+Slot3_Rate))),1)</f>
        <v>1</v>
      </c>
      <c r="IW71" s="20" t="n">
        <f aca="false">IF(AND(HU71=1,IE71&gt;0,Slot3_IsWG=1,AR71=1),MAX(0,(Slot3_Cost-AS71*(1+Slot3_Rate)^(Slot3_Age-D71))/IV71),0)</f>
        <v>0</v>
      </c>
      <c r="IX71" s="20" t="n">
        <f aca="false">IF(AND(HU71=1,IE71&gt;0,Slot3_IsWG=1,AR71=1),MIN(IE71,IW71),0)</f>
        <v>0</v>
      </c>
      <c r="IY71" s="20" t="n">
        <f aca="false">AS71+IX71</f>
        <v>0</v>
      </c>
      <c r="IZ71" s="20" t="n">
        <f aca="false">IF(AR71=1,MAX(0,(Slot3_Cost-IY71*(1+Slot3_Rate)^(Slot3_Age-D71))/IV71),0)</f>
        <v>0</v>
      </c>
      <c r="JA71" s="20" t="n">
        <f aca="false">IF(AR71=1,MAX(0,(Slot3_Cost-AS71*(1+Slot3_Rate)^(Slot3_Age-D71))/IV71),0)</f>
        <v>0</v>
      </c>
      <c r="JB71" s="20" t="n">
        <f aca="false">IF(AND(HU71=1,AR71=1),MIN(IU71,IZ71),0)</f>
        <v>0</v>
      </c>
      <c r="JC71" s="20" t="n">
        <f aca="false">IU71-JB71</f>
        <v>0</v>
      </c>
      <c r="JD71" s="20" t="n">
        <f aca="false">IF(BB71=1,IF(ABS((1+AS_Wage)/(1+Slot4_Rate)-1)&lt;0.000000000001,(Slot4_Age-D71)*(1+Slot4_Rate)^(Slot4_Age-D71),(1+Slot4_Rate)^(Slot4_Age-D71)*(1-((1+AS_Wage)/(1+Slot4_Rate))^(Slot4_Age-D71))/(1-(1+AS_Wage)/(1+Slot4_Rate))),1)</f>
        <v>1</v>
      </c>
      <c r="JE71" s="20" t="n">
        <f aca="false">IF(AND(HU71=1,IE71&gt;0,Slot4_IsWG=1,BB71=1),MAX(0,(Slot4_Cost-BC71*(1+Slot4_Rate)^(Slot4_Age-D71))/JD71),0)</f>
        <v>0</v>
      </c>
      <c r="JF71" s="20" t="n">
        <f aca="false">IF(AND(HU71=1,IE71&gt;0,Slot4_IsWG=1,BB71=1),MIN(IE71,JE71),0)</f>
        <v>0</v>
      </c>
      <c r="JG71" s="20" t="n">
        <f aca="false">BC71+JF71</f>
        <v>0</v>
      </c>
      <c r="JH71" s="20" t="n">
        <f aca="false">IF(BB71=1,MAX(0,(Slot4_Cost-JG71*(1+Slot4_Rate)^(Slot4_Age-D71))/JD71),0)</f>
        <v>0</v>
      </c>
      <c r="JI71" s="20" t="n">
        <f aca="false">IF(BB71=1,MAX(0,(Slot4_Cost-BC71*(1+Slot4_Rate)^(Slot4_Age-D71))/JD71),0)</f>
        <v>0</v>
      </c>
      <c r="JJ71" s="20" t="n">
        <f aca="false">IF(AND(HU71=1,BB71=1),MIN(JC71,JH71),0)</f>
        <v>0</v>
      </c>
      <c r="JK71" s="20" t="n">
        <f aca="false">JC71-JJ71</f>
        <v>0</v>
      </c>
      <c r="JL71" s="20" t="n">
        <f aca="false">IF(BL71=1,IF(ABS((1+AS_Wage)/(1+Slot5_Rate)-1)&lt;0.000000000001,(Slot5_Age-D71)*(1+Slot5_Rate)^(Slot5_Age-D71),(1+Slot5_Rate)^(Slot5_Age-D71)*(1-((1+AS_Wage)/(1+Slot5_Rate))^(Slot5_Age-D71))/(1-(1+AS_Wage)/(1+Slot5_Rate))),1)</f>
        <v>1</v>
      </c>
      <c r="JM71" s="20" t="n">
        <f aca="false">IF(AND(HU71=1,IE71&gt;0,Slot5_IsWG=1,BL71=1),MAX(0,(Slot5_Cost-BM71*(1+Slot5_Rate)^(Slot5_Age-D71))/JL71),0)</f>
        <v>0</v>
      </c>
      <c r="JN71" s="20" t="n">
        <f aca="false">IF(AND(HU71=1,IE71&gt;0,Slot5_IsWG=1,BL71=1),MIN(IE71,JM71),0)</f>
        <v>0</v>
      </c>
      <c r="JO71" s="20" t="n">
        <f aca="false">BM71+JN71</f>
        <v>0</v>
      </c>
      <c r="JP71" s="20" t="n">
        <f aca="false">IF(BL71=1,MAX(0,(Slot5_Cost-JO71*(1+Slot5_Rate)^(Slot5_Age-D71))/JL71),0)</f>
        <v>0</v>
      </c>
      <c r="JQ71" s="20" t="n">
        <f aca="false">IF(BL71=1,MAX(0,(Slot5_Cost-BM71*(1+Slot5_Rate)^(Slot5_Age-D71))/JL71),0)</f>
        <v>0</v>
      </c>
      <c r="JR71" s="20" t="n">
        <f aca="false">IF(AND(HU71=1,BL71=1),MIN(JK71,JP71),0)</f>
        <v>0</v>
      </c>
      <c r="JS71" s="20" t="n">
        <f aca="false">JK71-JR71</f>
        <v>0</v>
      </c>
      <c r="JT71" s="20" t="n">
        <f aca="false">IF(BV71=1,IF(ABS((1+AS_Wage)/(1+Slot6_Rate)-1)&lt;0.000000000001,(Slot6_Age-D71)*(1+Slot6_Rate)^(Slot6_Age-D71),(1+Slot6_Rate)^(Slot6_Age-D71)*(1-((1+AS_Wage)/(1+Slot6_Rate))^(Slot6_Age-D71))/(1-(1+AS_Wage)/(1+Slot6_Rate))),1)</f>
        <v>1</v>
      </c>
      <c r="JU71" s="20" t="n">
        <f aca="false">IF(AND(HU71=1,IE71&gt;0,Slot6_IsWG=1,BV71=1),MAX(0,(Slot6_Cost-BW71*(1+Slot6_Rate)^(Slot6_Age-D71))/JT71),0)</f>
        <v>0</v>
      </c>
      <c r="JV71" s="20" t="n">
        <f aca="false">IF(AND(HU71=1,IE71&gt;0,Slot6_IsWG=1,BV71=1),MIN(IE71,JU71),0)</f>
        <v>0</v>
      </c>
      <c r="JW71" s="20" t="n">
        <f aca="false">BW71+JV71</f>
        <v>0</v>
      </c>
      <c r="JX71" s="20" t="n">
        <f aca="false">IF(BV71=1,MAX(0,(Slot6_Cost-JW71*(1+Slot6_Rate)^(Slot6_Age-D71))/JT71),0)</f>
        <v>0</v>
      </c>
      <c r="JY71" s="20" t="n">
        <f aca="false">IF(BV71=1,MAX(0,(Slot6_Cost-BW71*(1+Slot6_Rate)^(Slot6_Age-D71))/JT71),0)</f>
        <v>0</v>
      </c>
      <c r="JZ71" s="20" t="n">
        <f aca="false">IF(AND(HU71=1,BV71=1),MIN(JS71,JX71),0)</f>
        <v>0</v>
      </c>
      <c r="KA71" s="20" t="n">
        <f aca="false">JS71-JZ71</f>
        <v>0</v>
      </c>
      <c r="KB71" s="20" t="n">
        <f aca="false">IF(CF71=1,IF(ABS((1+AS_Wage)/(1+Slot7_Rate)-1)&lt;0.000000000001,(Slot7_Age-D71)*(1+Slot7_Rate)^(Slot7_Age-D71),(1+Slot7_Rate)^(Slot7_Age-D71)*(1-((1+AS_Wage)/(1+Slot7_Rate))^(Slot7_Age-D71))/(1-(1+AS_Wage)/(1+Slot7_Rate))),1)</f>
        <v>1</v>
      </c>
      <c r="KC71" s="20" t="n">
        <f aca="false">IF(AND(HU71=1,IE71&gt;0,Slot7_IsWG=1,CF71=1),MAX(0,(Slot7_Cost-CG71*(1+Slot7_Rate)^(Slot7_Age-D71))/KB71),0)</f>
        <v>0</v>
      </c>
      <c r="KD71" s="20" t="n">
        <f aca="false">IF(AND(HU71=1,IE71&gt;0,Slot7_IsWG=1,CF71=1),MIN(IE71,KC71),0)</f>
        <v>0</v>
      </c>
      <c r="KE71" s="20" t="n">
        <f aca="false">CG71+KD71</f>
        <v>0</v>
      </c>
      <c r="KF71" s="20" t="n">
        <f aca="false">IF(CF71=1,MAX(0,(Slot7_Cost-KE71*(1+Slot7_Rate)^(Slot7_Age-D71))/KB71),0)</f>
        <v>0</v>
      </c>
      <c r="KG71" s="20" t="n">
        <f aca="false">IF(CF71=1,MAX(0,(Slot7_Cost-CG71*(1+Slot7_Rate)^(Slot7_Age-D71))/KB71),0)</f>
        <v>0</v>
      </c>
      <c r="KH71" s="20" t="n">
        <f aca="false">IF(AND(HU71=1,CF71=1),MIN(KA71,KF71),0)</f>
        <v>0</v>
      </c>
      <c r="KI71" s="20" t="n">
        <f aca="false">KA71-KH71</f>
        <v>0</v>
      </c>
      <c r="KJ71" s="20" t="n">
        <f aca="false">IF(CP71=1,IF(ABS((1+AS_Wage)/(1+Slot8_Rate)-1)&lt;0.000000000001,(Slot8_Age-D71)*(1+Slot8_Rate)^(Slot8_Age-D71),(1+Slot8_Rate)^(Slot8_Age-D71)*(1-((1+AS_Wage)/(1+Slot8_Rate))^(Slot8_Age-D71))/(1-(1+AS_Wage)/(1+Slot8_Rate))),1)</f>
        <v>1</v>
      </c>
      <c r="KK71" s="20" t="n">
        <f aca="false">IF(AND(HU71=1,IE71&gt;0,Slot8_IsWG=1,CP71=1),MAX(0,(Slot8_Cost-CQ71*(1+Slot8_Rate)^(Slot8_Age-D71))/KJ71),0)</f>
        <v>0</v>
      </c>
      <c r="KL71" s="20" t="n">
        <f aca="false">IF(AND(HU71=1,IE71&gt;0,Slot8_IsWG=1,CP71=1),MIN(IE71,KK71),0)</f>
        <v>0</v>
      </c>
      <c r="KM71" s="20" t="n">
        <f aca="false">CQ71+KL71</f>
        <v>0</v>
      </c>
      <c r="KN71" s="20" t="n">
        <f aca="false">IF(CP71=1,MAX(0,(Slot8_Cost-KM71*(1+Slot8_Rate)^(Slot8_Age-D71))/KJ71),0)</f>
        <v>0</v>
      </c>
      <c r="KO71" s="20" t="n">
        <f aca="false">IF(CP71=1,MAX(0,(Slot8_Cost-CQ71*(1+Slot8_Rate)^(Slot8_Age-D71))/KJ71),0)</f>
        <v>0</v>
      </c>
      <c r="KP71" s="20" t="n">
        <f aca="false">IF(AND(HU71=1,CP71=1),MIN(KI71,KN71),0)</f>
        <v>0</v>
      </c>
      <c r="KQ71" s="20" t="n">
        <f aca="false">KI71-KP71</f>
        <v>0</v>
      </c>
      <c r="KR71" s="20" t="n">
        <f aca="false">IF(CZ71=1,IF(ABS((1+AS_Wage)/(1+Slot9_Rate)-1)&lt;0.000000000001,(Slot9_Age-D71)*(1+Slot9_Rate)^(Slot9_Age-D71),(1+Slot9_Rate)^(Slot9_Age-D71)*(1-((1+AS_Wage)/(1+Slot9_Rate))^(Slot9_Age-D71))/(1-(1+AS_Wage)/(1+Slot9_Rate))),1)</f>
        <v>1</v>
      </c>
      <c r="KS71" s="20" t="n">
        <f aca="false">IF(AND(HU71=1,IE71&gt;0,Slot9_IsWG=1,CZ71=1),MAX(0,(Slot9_Cost-DA71*(1+Slot9_Rate)^(Slot9_Age-D71))/KR71),0)</f>
        <v>0</v>
      </c>
      <c r="KT71" s="20" t="n">
        <f aca="false">IF(AND(HU71=1,IE71&gt;0,Slot9_IsWG=1,CZ71=1),MIN(IE71,KS71),0)</f>
        <v>0</v>
      </c>
      <c r="KU71" s="20" t="n">
        <f aca="false">DA71+KT71</f>
        <v>0</v>
      </c>
      <c r="KV71" s="20" t="n">
        <f aca="false">IF(CZ71=1,MAX(0,(Slot9_Cost-KU71*(1+Slot9_Rate)^(Slot9_Age-D71))/KR71),0)</f>
        <v>0</v>
      </c>
      <c r="KW71" s="20" t="n">
        <f aca="false">IF(CZ71=1,MAX(0,(Slot9_Cost-DA71*(1+Slot9_Rate)^(Slot9_Age-D71))/KR71),0)</f>
        <v>0</v>
      </c>
      <c r="KX71" s="20" t="n">
        <f aca="false">IF(AND(HU71=1,CZ71=1),MIN(KQ71,KV71),0)</f>
        <v>0</v>
      </c>
      <c r="KY71" s="20" t="n">
        <f aca="false">KQ71-KX71</f>
        <v>0</v>
      </c>
      <c r="KZ71" s="20" t="n">
        <f aca="false">IF(DJ71=1,IF(ABS((1+AS_Wage)/(1+Slot10_Rate)-1)&lt;0.000000000001,(Slot10_Age-D71)*(1+Slot10_Rate)^(Slot10_Age-D71),(1+Slot10_Rate)^(Slot10_Age-D71)*(1-((1+AS_Wage)/(1+Slot10_Rate))^(Slot10_Age-D71))/(1-(1+AS_Wage)/(1+Slot10_Rate))),1)</f>
        <v>1</v>
      </c>
      <c r="LA71" s="20" t="n">
        <f aca="false">IF(AND(HU71=1,IE71&gt;0,Slot10_IsWG=1,DJ71=1),MAX(0,(Slot10_Cost-DK71*(1+Slot10_Rate)^(Slot10_Age-D71))/KZ71),0)</f>
        <v>0</v>
      </c>
      <c r="LB71" s="20" t="n">
        <f aca="false">IF(AND(HU71=1,IE71&gt;0,Slot10_IsWG=1,DJ71=1),MIN(IE71,LA71),0)</f>
        <v>0</v>
      </c>
      <c r="LC71" s="20" t="n">
        <f aca="false">DK71+LB71</f>
        <v>0</v>
      </c>
      <c r="LD71" s="20" t="n">
        <f aca="false">IF(DJ71=1,MAX(0,(Slot10_Cost-LC71*(1+Slot10_Rate)^(Slot10_Age-D71))/KZ71),0)</f>
        <v>0</v>
      </c>
      <c r="LE71" s="20" t="n">
        <f aca="false">IF(DJ71=1,MAX(0,(Slot10_Cost-DK71*(1+Slot10_Rate)^(Slot10_Age-D71))/KZ71),0)</f>
        <v>0</v>
      </c>
      <c r="LF71" s="20" t="n">
        <f aca="false">IF(AND(HU71=1,DJ71=1),MIN(KY71,LD71),0)</f>
        <v>0</v>
      </c>
      <c r="LG71" s="20" t="n">
        <f aca="false">KY71-LF71</f>
        <v>0</v>
      </c>
      <c r="LH71" s="20" t="n">
        <f aca="false">IF(DT71=1,IF(ABS((1+AS_Wage)/(1+Slot11_Rate)-1)&lt;0.000000000001,(Slot11_Age-D71)*(1+Slot11_Rate)^(Slot11_Age-D71),(1+Slot11_Rate)^(Slot11_Age-D71)*(1-((1+AS_Wage)/(1+Slot11_Rate))^(Slot11_Age-D71))/(1-(1+AS_Wage)/(1+Slot11_Rate))),1)</f>
        <v>1</v>
      </c>
      <c r="LI71" s="20" t="n">
        <f aca="false">IF(AND(HU71=1,IE71&gt;0,Slot11_IsWG=1,DT71=1),MAX(0,(Slot11_Cost-DU71*(1+Slot11_Rate)^(Slot11_Age-D71))/LH71),0)</f>
        <v>0</v>
      </c>
      <c r="LJ71" s="20" t="n">
        <f aca="false">IF(AND(HU71=1,IE71&gt;0,Slot11_IsWG=1,DT71=1),MIN(IE71,LI71),0)</f>
        <v>0</v>
      </c>
      <c r="LK71" s="20" t="n">
        <f aca="false">DU71+LJ71</f>
        <v>0</v>
      </c>
      <c r="LL71" s="20" t="n">
        <f aca="false">IF(DT71=1,MAX(0,(Slot11_Cost-LK71*(1+Slot11_Rate)^(Slot11_Age-D71))/LH71),0)</f>
        <v>0</v>
      </c>
      <c r="LM71" s="20" t="n">
        <f aca="false">IF(DT71=1,MAX(0,(Slot11_Cost-DU71*(1+Slot11_Rate)^(Slot11_Age-D71))/LH71),0)</f>
        <v>0</v>
      </c>
      <c r="LN71" s="20" t="n">
        <f aca="false">IF(AND(HU71=1,DT71=1),MIN(LG71,LL71),0)</f>
        <v>0</v>
      </c>
      <c r="LO71" s="20" t="n">
        <f aca="false">LG71-LN71</f>
        <v>0</v>
      </c>
      <c r="LP71" s="20" t="n">
        <f aca="false">IF(ED71=1,IF(ABS((1+AS_Wage)/(1+Slot12_Rate)-1)&lt;0.000000000001,(Slot12_Age-D71)*(1+Slot12_Rate)^(Slot12_Age-D71),(1+Slot12_Rate)^(Slot12_Age-D71)*(1-((1+AS_Wage)/(1+Slot12_Rate))^(Slot12_Age-D71))/(1-(1+AS_Wage)/(1+Slot12_Rate))),1)</f>
        <v>1</v>
      </c>
      <c r="LQ71" s="20" t="n">
        <f aca="false">IF(AND(HU71=1,IE71&gt;0,Slot12_IsWG=1,ED71=1),MAX(0,(Slot12_Cost-EE71*(1+Slot12_Rate)^(Slot12_Age-D71))/LP71),0)</f>
        <v>0</v>
      </c>
      <c r="LR71" s="20" t="n">
        <f aca="false">IF(AND(HU71=1,IE71&gt;0,Slot12_IsWG=1,ED71=1),MIN(IE71,LQ71),0)</f>
        <v>0</v>
      </c>
      <c r="LS71" s="20" t="n">
        <f aca="false">EE71+LR71</f>
        <v>0</v>
      </c>
      <c r="LT71" s="20" t="n">
        <f aca="false">IF(ED71=1,MAX(0,(Slot12_Cost-LS71*(1+Slot12_Rate)^(Slot12_Age-D71))/LP71),0)</f>
        <v>0</v>
      </c>
      <c r="LU71" s="20" t="n">
        <f aca="false">IF(ED71=1,MAX(0,(Slot12_Cost-EE71*(1+Slot12_Rate)^(Slot12_Age-D71))/LP71),0)</f>
        <v>0</v>
      </c>
      <c r="LV71" s="20" t="n">
        <f aca="false">IF(AND(HU71=1,ED71=1),MIN(LO71,LT71),0)</f>
        <v>0</v>
      </c>
      <c r="LW71" s="20" t="n">
        <f aca="false">LO71-LV71</f>
        <v>0</v>
      </c>
      <c r="LX71" s="20" t="n">
        <f aca="false">IF(EN71=1,IF(ABS((1+AS_Wage)/(1+Slot13_Rate)-1)&lt;0.000000000001,(Slot13_Age-D71)*(1+Slot13_Rate)^(Slot13_Age-D71),(1+Slot13_Rate)^(Slot13_Age-D71)*(1-((1+AS_Wage)/(1+Slot13_Rate))^(Slot13_Age-D71))/(1-(1+AS_Wage)/(1+Slot13_Rate))),1)</f>
        <v>1</v>
      </c>
      <c r="LY71" s="20" t="n">
        <f aca="false">IF(AND(HU71=1,IE71&gt;0,Slot13_IsWG=1,EN71=1),MAX(0,(Slot13_Cost-EO71*(1+Slot13_Rate)^(Slot13_Age-D71))/LX71),0)</f>
        <v>0</v>
      </c>
      <c r="LZ71" s="20" t="n">
        <f aca="false">IF(AND(HU71=1,IE71&gt;0,Slot13_IsWG=1,EN71=1),MIN(IE71,LY71),0)</f>
        <v>0</v>
      </c>
      <c r="MA71" s="20" t="n">
        <f aca="false">EO71+LZ71</f>
        <v>0</v>
      </c>
      <c r="MB71" s="20" t="n">
        <f aca="false">IF(EN71=1,MAX(0,(Slot13_Cost-MA71*(1+Slot13_Rate)^(Slot13_Age-D71))/LX71),0)</f>
        <v>0</v>
      </c>
      <c r="MC71" s="20" t="n">
        <f aca="false">IF(EN71=1,MAX(0,(Slot13_Cost-EO71*(1+Slot13_Rate)^(Slot13_Age-D71))/LX71),0)</f>
        <v>0</v>
      </c>
      <c r="MD71" s="20" t="n">
        <f aca="false">IF(AND(HU71=1,EN71=1),MIN(LW71,MB71),0)</f>
        <v>0</v>
      </c>
      <c r="ME71" s="20" t="n">
        <f aca="false">LW71-MD71</f>
        <v>0</v>
      </c>
      <c r="MF71" s="20" t="n">
        <f aca="false">IF(EX71=1,IF(ABS((1+AS_Wage)/(1+Slot14_Rate)-1)&lt;0.000000000001,(Slot14_Age-D71)*(1+Slot14_Rate)^(Slot14_Age-D71),(1+Slot14_Rate)^(Slot14_Age-D71)*(1-((1+AS_Wage)/(1+Slot14_Rate))^(Slot14_Age-D71))/(1-(1+AS_Wage)/(1+Slot14_Rate))),1)</f>
        <v>1</v>
      </c>
      <c r="MG71" s="20" t="n">
        <f aca="false">IF(AND(HU71=1,IE71&gt;0,Slot14_IsWG=1,EX71=1),MAX(0,(Slot14_Cost-EY71*(1+Slot14_Rate)^(Slot14_Age-D71))/MF71),0)</f>
        <v>0</v>
      </c>
      <c r="MH71" s="20" t="n">
        <f aca="false">IF(AND(HU71=1,IE71&gt;0,Slot14_IsWG=1,EX71=1),MIN(IE71,MG71),0)</f>
        <v>0</v>
      </c>
      <c r="MI71" s="20" t="n">
        <f aca="false">EY71+MH71</f>
        <v>0</v>
      </c>
      <c r="MJ71" s="20" t="n">
        <f aca="false">IF(EX71=1,MAX(0,(Slot14_Cost-MI71*(1+Slot14_Rate)^(Slot14_Age-D71))/MF71),0)</f>
        <v>0</v>
      </c>
      <c r="MK71" s="20" t="n">
        <f aca="false">IF(EX71=1,MAX(0,(Slot14_Cost-EY71*(1+Slot14_Rate)^(Slot14_Age-D71))/MF71),0)</f>
        <v>0</v>
      </c>
      <c r="ML71" s="20" t="n">
        <f aca="false">IF(AND(HU71=1,EX71=1),MIN(ME71,MJ71),0)</f>
        <v>0</v>
      </c>
      <c r="MM71" s="20" t="n">
        <f aca="false">ME71-ML71</f>
        <v>0</v>
      </c>
      <c r="MN71" s="20" t="n">
        <f aca="false">IF(FH71=1,IF(ABS((1+AS_Wage)/(1+Slot15_Rate)-1)&lt;0.000000000001,(Slot15_Age-D71)*(1+Slot15_Rate)^(Slot15_Age-D71),(1+Slot15_Rate)^(Slot15_Age-D71)*(1-((1+AS_Wage)/(1+Slot15_Rate))^(Slot15_Age-D71))/(1-(1+AS_Wage)/(1+Slot15_Rate))),1)</f>
        <v>1</v>
      </c>
      <c r="MO71" s="20" t="n">
        <f aca="false">IF(AND(HU71=1,IE71&gt;0,Slot15_IsWG=1,FH71=1),MAX(0,(Slot15_Cost-FI71*(1+Slot15_Rate)^(Slot15_Age-D71))/MN71),0)</f>
        <v>0</v>
      </c>
      <c r="MP71" s="20" t="n">
        <f aca="false">IF(AND(HU71=1,IE71&gt;0,Slot15_IsWG=1,FH71=1),MIN(IE71,MO71),0)</f>
        <v>0</v>
      </c>
      <c r="MQ71" s="20" t="n">
        <f aca="false">FI71+MP71</f>
        <v>0</v>
      </c>
      <c r="MR71" s="20" t="n">
        <f aca="false">IF(FH71=1,MAX(0,(Slot15_Cost-MQ71*(1+Slot15_Rate)^(Slot15_Age-D71))/MN71),0)</f>
        <v>0</v>
      </c>
      <c r="MS71" s="20" t="n">
        <f aca="false">IF(FH71=1,MAX(0,(Slot15_Cost-FI71*(1+Slot15_Rate)^(Slot15_Age-D71))/MN71),0)</f>
        <v>0</v>
      </c>
      <c r="MT71" s="20" t="n">
        <f aca="false">IF(AND(HU71=1,FH71=1),MIN(MM71,MR71),0)</f>
        <v>0</v>
      </c>
      <c r="MU71" s="20" t="n">
        <f aca="false">MM71-MT71</f>
        <v>0</v>
      </c>
      <c r="MV71" s="20" t="n">
        <f aca="false">IF(FR71=1,IF(ABS((1+AS_Wage)/(1+Slot16_Rate)-1)&lt;0.000000000001,(Slot16_Age-D71)*(1+Slot16_Rate)^(Slot16_Age-D71),(1+Slot16_Rate)^(Slot16_Age-D71)*(1-((1+AS_Wage)/(1+Slot16_Rate))^(Slot16_Age-D71))/(1-(1+AS_Wage)/(1+Slot16_Rate))),1)</f>
        <v>1</v>
      </c>
      <c r="MW71" s="20" t="n">
        <f aca="false">IF(AND(HU71=1,IE71&gt;0,Slot16_IsWG=1,FR71=1),MAX(0,(Slot16_Cost-FS71*(1+Slot16_Rate)^(Slot16_Age-D71))/MV71),0)</f>
        <v>0</v>
      </c>
      <c r="MX71" s="20" t="n">
        <f aca="false">IF(AND(HU71=1,IE71&gt;0,Slot16_IsWG=1,FR71=1),MIN(IE71,MW71),0)</f>
        <v>0</v>
      </c>
      <c r="MY71" s="20" t="n">
        <f aca="false">FS71+MX71</f>
        <v>0</v>
      </c>
      <c r="MZ71" s="20" t="n">
        <f aca="false">IF(FR71=1,MAX(0,(Slot16_Cost-MY71*(1+Slot16_Rate)^(Slot16_Age-D71))/MV71),0)</f>
        <v>0</v>
      </c>
      <c r="NA71" s="20" t="n">
        <f aca="false">IF(FR71=1,MAX(0,(Slot16_Cost-FS71*(1+Slot16_Rate)^(Slot16_Age-D71))/MV71),0)</f>
        <v>0</v>
      </c>
      <c r="NB71" s="20" t="n">
        <f aca="false">IF(AND(HU71=1,FR71=1),MIN(MU71,MZ71),0)</f>
        <v>0</v>
      </c>
      <c r="NC71" s="20" t="n">
        <f aca="false">MU71-NB71</f>
        <v>0</v>
      </c>
      <c r="ND71" s="20" t="n">
        <f aca="false">IF(GB71=1,IF(ABS((1+AS_Wage)/(1+Slot17_Rate)-1)&lt;0.000000000001,(Slot17_Age-D71)*(1+Slot17_Rate)^(Slot17_Age-D71),(1+Slot17_Rate)^(Slot17_Age-D71)*(1-((1+AS_Wage)/(1+Slot17_Rate))^(Slot17_Age-D71))/(1-(1+AS_Wage)/(1+Slot17_Rate))),1)</f>
        <v>1</v>
      </c>
      <c r="NE71" s="20" t="n">
        <f aca="false">IF(AND(HU71=1,IE71&gt;0,Slot17_IsWG=1,GB71=1),MAX(0,(Slot17_Cost-GC71*(1+Slot17_Rate)^(Slot17_Age-D71))/ND71),0)</f>
        <v>0</v>
      </c>
      <c r="NF71" s="20" t="n">
        <f aca="false">IF(AND(HU71=1,IE71&gt;0,Slot17_IsWG=1,GB71=1),MIN(IE71,NE71),0)</f>
        <v>0</v>
      </c>
      <c r="NG71" s="20" t="n">
        <f aca="false">GC71+NF71</f>
        <v>0</v>
      </c>
      <c r="NH71" s="20" t="n">
        <f aca="false">IF(GB71=1,MAX(0,(Slot17_Cost-NG71*(1+Slot17_Rate)^(Slot17_Age-D71))/ND71),0)</f>
        <v>0</v>
      </c>
      <c r="NI71" s="20" t="n">
        <f aca="false">IF(GB71=1,MAX(0,(Slot17_Cost-GC71*(1+Slot17_Rate)^(Slot17_Age-D71))/ND71),0)</f>
        <v>0</v>
      </c>
      <c r="NJ71" s="20" t="n">
        <f aca="false">IF(AND(HU71=1,GB71=1),MIN(NC71,NH71),0)</f>
        <v>0</v>
      </c>
      <c r="NK71" s="20" t="n">
        <f aca="false">NC71-NJ71</f>
        <v>0</v>
      </c>
      <c r="NL71" s="20" t="n">
        <f aca="false">IF(GL71=1,IF(ABS((1+AS_Wage)/(1+Slot18_Rate)-1)&lt;0.000000000001,(Slot18_Age-D71)*(1+Slot18_Rate)^(Slot18_Age-D71),(1+Slot18_Rate)^(Slot18_Age-D71)*(1-((1+AS_Wage)/(1+Slot18_Rate))^(Slot18_Age-D71))/(1-(1+AS_Wage)/(1+Slot18_Rate))),1)</f>
        <v>1</v>
      </c>
      <c r="NM71" s="20" t="n">
        <f aca="false">IF(AND(HU71=1,IE71&gt;0,Slot18_IsWG=1,GL71=1),MAX(0,(Slot18_Cost-GM71*(1+Slot18_Rate)^(Slot18_Age-D71))/NL71),0)</f>
        <v>0</v>
      </c>
      <c r="NN71" s="20" t="n">
        <f aca="false">IF(AND(HU71=1,IE71&gt;0,Slot18_IsWG=1,GL71=1),MIN(IE71,NM71),0)</f>
        <v>0</v>
      </c>
      <c r="NO71" s="20" t="n">
        <f aca="false">GM71+NN71</f>
        <v>0</v>
      </c>
      <c r="NP71" s="20" t="n">
        <f aca="false">IF(GL71=1,MAX(0,(Slot18_Cost-NO71*(1+Slot18_Rate)^(Slot18_Age-D71))/NL71),0)</f>
        <v>0</v>
      </c>
      <c r="NQ71" s="20" t="n">
        <f aca="false">IF(GL71=1,MAX(0,(Slot18_Cost-GM71*(1+Slot18_Rate)^(Slot18_Age-D71))/NL71),0)</f>
        <v>0</v>
      </c>
      <c r="NR71" s="20" t="n">
        <f aca="false">IF(AND(HU71=1,GL71=1),MIN(NK71,NP71),0)</f>
        <v>0</v>
      </c>
      <c r="NS71" s="20" t="n">
        <f aca="false">NK71-NR71</f>
        <v>0</v>
      </c>
      <c r="NT71" s="20" t="n">
        <f aca="false">IF(GV71=1,IF(ABS((1+AS_Wage)/(1+Slot19_Rate)-1)&lt;0.000000000001,(Slot19_Age-D71)*(1+Slot19_Rate)^(Slot19_Age-D71),(1+Slot19_Rate)^(Slot19_Age-D71)*(1-((1+AS_Wage)/(1+Slot19_Rate))^(Slot19_Age-D71))/(1-(1+AS_Wage)/(1+Slot19_Rate))),1)</f>
        <v>1</v>
      </c>
      <c r="NU71" s="20" t="n">
        <f aca="false">IF(AND(HU71=1,IE71&gt;0,Slot19_IsWG=1,GV71=1),MAX(0,(Slot19_Cost-GW71*(1+Slot19_Rate)^(Slot19_Age-D71))/NT71),0)</f>
        <v>0</v>
      </c>
      <c r="NV71" s="20" t="n">
        <f aca="false">IF(AND(HU71=1,IE71&gt;0,Slot19_IsWG=1,GV71=1),MIN(IE71,NU71),0)</f>
        <v>0</v>
      </c>
      <c r="NW71" s="20" t="n">
        <f aca="false">GW71+NV71</f>
        <v>0</v>
      </c>
      <c r="NX71" s="20" t="n">
        <f aca="false">IF(GV71=1,MAX(0,(Slot19_Cost-NW71*(1+Slot19_Rate)^(Slot19_Age-D71))/NT71),0)</f>
        <v>0</v>
      </c>
      <c r="NY71" s="20" t="n">
        <f aca="false">IF(GV71=1,MAX(0,(Slot19_Cost-GW71*(1+Slot19_Rate)^(Slot19_Age-D71))/NT71),0)</f>
        <v>0</v>
      </c>
      <c r="NZ71" s="20" t="n">
        <f aca="false">IF(AND(HU71=1,GV71=1),MIN(NS71,NX71),0)</f>
        <v>0</v>
      </c>
      <c r="OA71" s="20" t="n">
        <f aca="false">NS71-NZ71</f>
        <v>0</v>
      </c>
      <c r="OB71" s="20" t="n">
        <f aca="false">IF(HF71=1,IF(ABS((1+AS_Wage)/(1+Slot20_Rate)-1)&lt;0.000000000001,(Slot20_Age-D71)*(1+Slot20_Rate)^(Slot20_Age-D71),(1+Slot20_Rate)^(Slot20_Age-D71)*(1-((1+AS_Wage)/(1+Slot20_Rate))^(Slot20_Age-D71))/(1-(1+AS_Wage)/(1+Slot20_Rate))),1)</f>
        <v>1</v>
      </c>
      <c r="OC71" s="20" t="n">
        <f aca="false">IF(AND(HU71=1,IE71&gt;0,Slot20_IsWG=1,HF71=1),MAX(0,(Slot20_Cost-HG71*(1+Slot20_Rate)^(Slot20_Age-D71))/OB71),0)</f>
        <v>0</v>
      </c>
      <c r="OD71" s="20" t="n">
        <f aca="false">IF(AND(HU71=1,IE71&gt;0,Slot20_IsWG=1,HF71=1),MIN(IE71,OC71),0)</f>
        <v>0</v>
      </c>
      <c r="OE71" s="20" t="n">
        <f aca="false">HG71+OD71</f>
        <v>0</v>
      </c>
      <c r="OF71" s="20" t="n">
        <f aca="false">IF(HF71=1,MAX(0,(Slot20_Cost-OE71*(1+Slot20_Rate)^(Slot20_Age-D71))/OB71),0)</f>
        <v>0</v>
      </c>
      <c r="OG71" s="20" t="n">
        <f aca="false">IF(HF71=1,MAX(0,(Slot20_Cost-HG71*(1+Slot20_Rate)^(Slot20_Age-D71))/OB71),0)</f>
        <v>0</v>
      </c>
      <c r="OH71" s="20" t="n">
        <f aca="false">IF(AND(HU71=1,HF71=1),MIN(OA71,OF71),0)</f>
        <v>0</v>
      </c>
      <c r="OI71" s="20" t="n">
        <f aca="false">OA71-OH71</f>
        <v>0</v>
      </c>
      <c r="OJ71" s="20" t="n">
        <f aca="false">IE71-(IH71+IP71+IX71+JF71+JN71+JV71+KD71+KL71+KT71+LB71+LJ71+LR71+LZ71+MH71+MP71+MX71+NF71+NN71+NV71+OD71)</f>
        <v>0</v>
      </c>
      <c r="OK71" s="20" t="n">
        <f aca="false">IF(HU71=1,HS71-ID71-IE71,0)</f>
        <v>0</v>
      </c>
      <c r="OL71" s="20" t="n">
        <f aca="false">IF(HU71=0,-HS71,0)</f>
        <v>67079.7687335447</v>
      </c>
      <c r="OM71" s="20" t="n">
        <f aca="false">MIN(OL71,HK71)</f>
        <v>0</v>
      </c>
      <c r="ON71" s="20" t="n">
        <f aca="false">OL71-OM71</f>
        <v>67079.7687335447</v>
      </c>
      <c r="OO71" s="20" t="n">
        <f aca="false">MIN(ON71,HL71)</f>
        <v>0</v>
      </c>
      <c r="OP71" s="20" t="n">
        <f aca="false">ON71-OO71</f>
        <v>67079.7687335447</v>
      </c>
      <c r="OQ71" s="20" t="n">
        <f aca="false">IF(AND(HU71=0,HF71=1,OP71&gt;0),MIN(OP71,HG71),0)</f>
        <v>0</v>
      </c>
      <c r="OR71" s="20" t="n">
        <f aca="false">OP71-OQ71</f>
        <v>67079.7687335447</v>
      </c>
      <c r="OS71" s="20" t="n">
        <f aca="false">IF(AND(HU71=0,GV71=1,OR71&gt;0),MIN(OR71,GW71),0)</f>
        <v>0</v>
      </c>
      <c r="OT71" s="20" t="n">
        <f aca="false">OR71-OS71</f>
        <v>67079.7687335447</v>
      </c>
      <c r="OU71" s="20" t="n">
        <f aca="false">IF(AND(HU71=0,GL71=1,OT71&gt;0),MIN(OT71,GM71),0)</f>
        <v>0</v>
      </c>
      <c r="OV71" s="20" t="n">
        <f aca="false">OT71-OU71</f>
        <v>67079.7687335447</v>
      </c>
      <c r="OW71" s="20" t="n">
        <f aca="false">IF(AND(HU71=0,GB71=1,OV71&gt;0),MIN(OV71,GC71),0)</f>
        <v>0</v>
      </c>
      <c r="OX71" s="20" t="n">
        <f aca="false">OV71-OW71</f>
        <v>67079.7687335447</v>
      </c>
      <c r="OY71" s="20" t="n">
        <f aca="false">IF(AND(HU71=0,FR71=1,OX71&gt;0),MIN(OX71,FS71),0)</f>
        <v>0</v>
      </c>
      <c r="OZ71" s="20" t="n">
        <f aca="false">OX71-OY71</f>
        <v>67079.7687335447</v>
      </c>
      <c r="PA71" s="20" t="n">
        <f aca="false">IF(AND(HU71=0,FH71=1,OZ71&gt;0),MIN(OZ71,FI71),0)</f>
        <v>0</v>
      </c>
      <c r="PB71" s="20" t="n">
        <f aca="false">OZ71-PA71</f>
        <v>67079.7687335447</v>
      </c>
      <c r="PC71" s="20" t="n">
        <f aca="false">IF(AND(HU71=0,EX71=1,PB71&gt;0),MIN(PB71,EY71),0)</f>
        <v>0</v>
      </c>
      <c r="PD71" s="20" t="n">
        <f aca="false">PB71-PC71</f>
        <v>67079.7687335447</v>
      </c>
      <c r="PE71" s="20" t="n">
        <f aca="false">IF(AND(HU71=0,EN71=1,PD71&gt;0),MIN(PD71,EO71),0)</f>
        <v>0</v>
      </c>
      <c r="PF71" s="20" t="n">
        <f aca="false">PD71-PE71</f>
        <v>67079.7687335447</v>
      </c>
      <c r="PG71" s="20" t="n">
        <f aca="false">IF(AND(HU71=0,ED71=1,PF71&gt;0),MIN(PF71,EE71),0)</f>
        <v>0</v>
      </c>
      <c r="PH71" s="20" t="n">
        <f aca="false">PF71-PG71</f>
        <v>67079.7687335447</v>
      </c>
      <c r="PI71" s="20" t="n">
        <f aca="false">IF(AND(HU71=0,DT71=1,PH71&gt;0),MIN(PH71,DU71),0)</f>
        <v>0</v>
      </c>
      <c r="PJ71" s="20" t="n">
        <f aca="false">PH71-PI71</f>
        <v>67079.7687335447</v>
      </c>
      <c r="PK71" s="20" t="n">
        <f aca="false">IF(AND(HU71=0,DJ71=1,PJ71&gt;0),MIN(PJ71,DK71),0)</f>
        <v>0</v>
      </c>
      <c r="PL71" s="20" t="n">
        <f aca="false">PJ71-PK71</f>
        <v>67079.7687335447</v>
      </c>
      <c r="PM71" s="20" t="n">
        <f aca="false">IF(AND(HU71=0,CZ71=1,PL71&gt;0),MIN(PL71,DA71),0)</f>
        <v>0</v>
      </c>
      <c r="PN71" s="20" t="n">
        <f aca="false">PL71-PM71</f>
        <v>67079.7687335447</v>
      </c>
      <c r="PO71" s="20" t="n">
        <f aca="false">IF(AND(HU71=0,CP71=1,PN71&gt;0),MIN(PN71,CQ71),0)</f>
        <v>0</v>
      </c>
      <c r="PP71" s="20" t="n">
        <f aca="false">PN71-PO71</f>
        <v>67079.7687335447</v>
      </c>
      <c r="PQ71" s="20" t="n">
        <f aca="false">IF(AND(HU71=0,CF71=1,PP71&gt;0),MIN(PP71,CG71),0)</f>
        <v>0</v>
      </c>
      <c r="PR71" s="20" t="n">
        <f aca="false">PP71-PQ71</f>
        <v>67079.7687335447</v>
      </c>
      <c r="PS71" s="20" t="n">
        <f aca="false">IF(AND(HU71=0,BV71=1,PR71&gt;0),MIN(PR71,BW71),0)</f>
        <v>0</v>
      </c>
      <c r="PT71" s="20" t="n">
        <f aca="false">PR71-PS71</f>
        <v>67079.7687335447</v>
      </c>
      <c r="PU71" s="20" t="n">
        <f aca="false">IF(AND(HU71=0,BL71=1,PT71&gt;0),MIN(PT71,BM71),0)</f>
        <v>0</v>
      </c>
      <c r="PV71" s="20" t="n">
        <f aca="false">PT71-PU71</f>
        <v>67079.7687335447</v>
      </c>
      <c r="PW71" s="20" t="n">
        <f aca="false">IF(AND(HU71=0,BB71=1,PV71&gt;0),MIN(PV71,BC71),0)</f>
        <v>0</v>
      </c>
      <c r="PX71" s="20" t="n">
        <f aca="false">PV71-PW71</f>
        <v>67079.7687335447</v>
      </c>
      <c r="PY71" s="20" t="n">
        <f aca="false">IF(AND(HU71=0,AR71=1,PX71&gt;0),MIN(PX71,AS71),0)</f>
        <v>0</v>
      </c>
      <c r="PZ71" s="20" t="n">
        <f aca="false">PX71-PY71</f>
        <v>67079.7687335447</v>
      </c>
      <c r="QA71" s="20" t="n">
        <f aca="false">IF(AND(HU71=0,AH71=1,PZ71&gt;0),MIN(PZ71,AI71),0)</f>
        <v>0</v>
      </c>
      <c r="QB71" s="20" t="n">
        <f aca="false">PZ71-QA71</f>
        <v>67079.7687335447</v>
      </c>
      <c r="QC71" s="20" t="n">
        <f aca="false">IF(AND(HU71=0,W71=1,QB71&gt;0),MIN(QB71,X71),0)</f>
        <v>0</v>
      </c>
      <c r="QD71" s="20" t="n">
        <f aca="false">QB71-QC71</f>
        <v>67079.7687335447</v>
      </c>
      <c r="QE71" s="20" t="n">
        <f aca="false">IF(HU71=0,QD71,0)</f>
        <v>67079.7687335447</v>
      </c>
      <c r="QF71" s="20" t="n">
        <f aca="false">OM71+OO71+QC71+QA71+PY71+PW71+PU71+PS71+PQ71+PO71+PM71+PK71+PI71+PG71+PE71+PC71+PA71+OY71+OW71+OU71+OS71+OQ71</f>
        <v>0</v>
      </c>
      <c r="QG71" s="20" t="n">
        <f aca="false">IF(HU71=1,HK71+OJ71+OI71+IF(G71=1,0,OK71),HK71-OM71)</f>
        <v>0</v>
      </c>
      <c r="QH71" s="20" t="n">
        <f aca="false">HL71-OO71</f>
        <v>0</v>
      </c>
      <c r="QI71" s="20" t="n">
        <f aca="false">IF(HU71=1,IF(G71=1,ID71+IE71,HS71),0)</f>
        <v>0</v>
      </c>
      <c r="QJ71" s="20" t="n">
        <f aca="false">IF(HU71=1,IF(G71=1,HS71-ID71-IE71,0),0)</f>
        <v>0</v>
      </c>
      <c r="QK71" s="20" t="n">
        <f aca="false">QG71*(1+GR)</f>
        <v>0</v>
      </c>
      <c r="QL71" s="20" t="n">
        <f aca="false">QH71*(1+AS_Cash)</f>
        <v>0</v>
      </c>
      <c r="QM71" s="20" t="n">
        <f aca="false">IF(W71=1,IF(HU71=1,II71+IL71,X71-QC71)*(1+Slot1_Rate),0)</f>
        <v>0</v>
      </c>
      <c r="QN71" s="20" t="n">
        <f aca="false">IF(AND(HU71=1,W71=1),(IH71+IL71)/F71,0)</f>
        <v>0</v>
      </c>
      <c r="QO71" s="20" t="n">
        <f aca="false">IF(B71=0,IH71+IL71,0)</f>
        <v>0</v>
      </c>
      <c r="QP71" s="20" t="n">
        <f aca="false">IF(B71=0,IF(HU71=1,IJ71,IK71),0)</f>
        <v>0</v>
      </c>
      <c r="QQ71" s="20" t="n">
        <f aca="false">IF(AH71=1,IF(HU71=1,IQ71+IT71,AI71-QA71)*(1+Slot2_Rate),0)</f>
        <v>0</v>
      </c>
      <c r="QR71" s="20" t="n">
        <f aca="false">IF(AND(HU71=1,AH71=1),(IP71+IT71)/F71,0)</f>
        <v>0</v>
      </c>
      <c r="QS71" s="20" t="n">
        <f aca="false">IF(B71=0,IP71+IT71,0)</f>
        <v>0</v>
      </c>
      <c r="QT71" s="20" t="n">
        <f aca="false">IF(B71=0,IF(HU71=1,IR71,IS71),0)</f>
        <v>0</v>
      </c>
      <c r="QU71" s="20" t="n">
        <f aca="false">IF(AR71=1,IF(HU71=1,IY71+JB71,AS71-PY71)*(1+Slot3_Rate),0)</f>
        <v>0</v>
      </c>
      <c r="QV71" s="20" t="n">
        <f aca="false">IF(AND(HU71=1,AR71=1),(IX71+JB71)/F71,0)</f>
        <v>0</v>
      </c>
      <c r="QW71" s="20" t="n">
        <f aca="false">IF(B71=0,IX71+JB71,0)</f>
        <v>0</v>
      </c>
      <c r="QX71" s="20" t="n">
        <f aca="false">IF(B71=0,IF(HU71=1,IZ71,JA71),0)</f>
        <v>0</v>
      </c>
      <c r="QY71" s="20" t="n">
        <f aca="false">IF(BB71=1,IF(HU71=1,JG71+JJ71,BC71-PW71)*(1+Slot4_Rate),0)</f>
        <v>0</v>
      </c>
      <c r="QZ71" s="20" t="n">
        <f aca="false">IF(AND(HU71=1,BB71=1),(JF71+JJ71)/F71,0)</f>
        <v>0</v>
      </c>
      <c r="RA71" s="20" t="n">
        <f aca="false">IF(B71=0,JF71+JJ71,0)</f>
        <v>0</v>
      </c>
      <c r="RB71" s="20" t="n">
        <f aca="false">IF(B71=0,IF(HU71=1,JH71,JI71),0)</f>
        <v>0</v>
      </c>
      <c r="RC71" s="20" t="n">
        <f aca="false">IF(BL71=1,IF(HU71=1,JO71+JR71,BM71-PU71)*(1+Slot5_Rate),0)</f>
        <v>0</v>
      </c>
      <c r="RD71" s="20" t="n">
        <f aca="false">IF(AND(HU71=1,BL71=1),(JN71+JR71)/F71,0)</f>
        <v>0</v>
      </c>
      <c r="RE71" s="20" t="n">
        <f aca="false">IF(B71=0,JN71+JR71,0)</f>
        <v>0</v>
      </c>
      <c r="RF71" s="20" t="n">
        <f aca="false">IF(B71=0,IF(HU71=1,JP71,JQ71),0)</f>
        <v>0</v>
      </c>
      <c r="RG71" s="20" t="n">
        <f aca="false">IF(BV71=1,IF(HU71=1,JW71+JZ71,BW71-PS71)*(1+Slot6_Rate),0)</f>
        <v>0</v>
      </c>
      <c r="RH71" s="20" t="n">
        <f aca="false">IF(AND(HU71=1,BV71=1),(JV71+JZ71)/F71,0)</f>
        <v>0</v>
      </c>
      <c r="RI71" s="20" t="n">
        <f aca="false">IF(B71=0,JV71+JZ71,0)</f>
        <v>0</v>
      </c>
      <c r="RJ71" s="20" t="n">
        <f aca="false">IF(B71=0,IF(HU71=1,JX71,JY71),0)</f>
        <v>0</v>
      </c>
      <c r="RK71" s="20" t="n">
        <f aca="false">IF(CF71=1,IF(HU71=1,KE71+KH71,CG71-PQ71)*(1+Slot7_Rate),0)</f>
        <v>0</v>
      </c>
      <c r="RL71" s="20" t="n">
        <f aca="false">IF(AND(HU71=1,CF71=1),(KD71+KH71)/F71,0)</f>
        <v>0</v>
      </c>
      <c r="RM71" s="20" t="n">
        <f aca="false">IF(B71=0,KD71+KH71,0)</f>
        <v>0</v>
      </c>
      <c r="RN71" s="20" t="n">
        <f aca="false">IF(B71=0,IF(HU71=1,KF71,KG71),0)</f>
        <v>0</v>
      </c>
      <c r="RO71" s="20" t="n">
        <f aca="false">IF(CP71=1,IF(HU71=1,KM71+KP71,CQ71-PO71)*(1+Slot8_Rate),0)</f>
        <v>0</v>
      </c>
      <c r="RP71" s="20" t="n">
        <f aca="false">IF(AND(HU71=1,CP71=1),(KL71+KP71)/F71,0)</f>
        <v>0</v>
      </c>
      <c r="RQ71" s="20" t="n">
        <f aca="false">IF(B71=0,KL71+KP71,0)</f>
        <v>0</v>
      </c>
      <c r="RR71" s="20" t="n">
        <f aca="false">IF(B71=0,IF(HU71=1,KN71,KO71),0)</f>
        <v>0</v>
      </c>
      <c r="RS71" s="20" t="n">
        <f aca="false">IF(CZ71=1,IF(HU71=1,KU71+KX71,DA71-PM71)*(1+Slot9_Rate),0)</f>
        <v>0</v>
      </c>
      <c r="RT71" s="20" t="n">
        <f aca="false">IF(AND(HU71=1,CZ71=1),(KT71+KX71)/F71,0)</f>
        <v>0</v>
      </c>
      <c r="RU71" s="20" t="n">
        <f aca="false">IF(B71=0,KT71+KX71,0)</f>
        <v>0</v>
      </c>
      <c r="RV71" s="20" t="n">
        <f aca="false">IF(B71=0,IF(HU71=1,KV71,KW71),0)</f>
        <v>0</v>
      </c>
      <c r="RW71" s="20" t="n">
        <f aca="false">IF(DJ71=1,IF(HU71=1,LC71+LF71,DK71-PK71)*(1+Slot10_Rate),0)</f>
        <v>0</v>
      </c>
      <c r="RX71" s="20" t="n">
        <f aca="false">IF(AND(HU71=1,DJ71=1),(LB71+LF71)/F71,0)</f>
        <v>0</v>
      </c>
      <c r="RY71" s="20" t="n">
        <f aca="false">IF(B71=0,LB71+LF71,0)</f>
        <v>0</v>
      </c>
      <c r="RZ71" s="20" t="n">
        <f aca="false">IF(B71=0,IF(HU71=1,LD71,LE71),0)</f>
        <v>0</v>
      </c>
      <c r="SA71" s="20" t="n">
        <f aca="false">IF(DT71=1,IF(HU71=1,LK71+LN71,DU71-PI71)*(1+Slot11_Rate),0)</f>
        <v>0</v>
      </c>
      <c r="SB71" s="20" t="n">
        <f aca="false">IF(AND(HU71=1,DT71=1),(LJ71+LN71)/F71,0)</f>
        <v>0</v>
      </c>
      <c r="SC71" s="20" t="n">
        <f aca="false">IF(B71=0,LJ71+LN71,0)</f>
        <v>0</v>
      </c>
      <c r="SD71" s="20" t="n">
        <f aca="false">IF(B71=0,IF(HU71=1,LL71,LM71),0)</f>
        <v>0</v>
      </c>
      <c r="SE71" s="20" t="n">
        <f aca="false">IF(ED71=1,IF(HU71=1,LS71+LV71,EE71-PG71)*(1+Slot12_Rate),0)</f>
        <v>0</v>
      </c>
      <c r="SF71" s="20" t="n">
        <f aca="false">IF(AND(HU71=1,ED71=1),(LR71+LV71)/F71,0)</f>
        <v>0</v>
      </c>
      <c r="SG71" s="20" t="n">
        <f aca="false">IF(B71=0,LR71+LV71,0)</f>
        <v>0</v>
      </c>
      <c r="SH71" s="20" t="n">
        <f aca="false">IF(B71=0,IF(HU71=1,LT71,LU71),0)</f>
        <v>0</v>
      </c>
      <c r="SI71" s="20" t="n">
        <f aca="false">IF(EN71=1,IF(HU71=1,MA71+MD71,EO71-PE71)*(1+Slot13_Rate),0)</f>
        <v>0</v>
      </c>
      <c r="SJ71" s="20" t="n">
        <f aca="false">IF(AND(HU71=1,EN71=1),(LZ71+MD71)/F71,0)</f>
        <v>0</v>
      </c>
      <c r="SK71" s="20" t="n">
        <f aca="false">IF(B71=0,LZ71+MD71,0)</f>
        <v>0</v>
      </c>
      <c r="SL71" s="20" t="n">
        <f aca="false">IF(B71=0,IF(HU71=1,MB71,MC71),0)</f>
        <v>0</v>
      </c>
      <c r="SM71" s="20" t="n">
        <f aca="false">IF(EX71=1,IF(HU71=1,MI71+ML71,EY71-PC71)*(1+Slot14_Rate),0)</f>
        <v>0</v>
      </c>
      <c r="SN71" s="20" t="n">
        <f aca="false">IF(AND(HU71=1,EX71=1),(MH71+ML71)/F71,0)</f>
        <v>0</v>
      </c>
      <c r="SO71" s="20" t="n">
        <f aca="false">IF(B71=0,MH71+ML71,0)</f>
        <v>0</v>
      </c>
      <c r="SP71" s="20" t="n">
        <f aca="false">IF(B71=0,IF(HU71=1,MJ71,MK71),0)</f>
        <v>0</v>
      </c>
      <c r="SQ71" s="20" t="n">
        <f aca="false">IF(FH71=1,IF(HU71=1,MQ71+MT71,FI71-PA71)*(1+Slot15_Rate),0)</f>
        <v>0</v>
      </c>
      <c r="SR71" s="20" t="n">
        <f aca="false">IF(AND(HU71=1,FH71=1),(MP71+MT71)/F71,0)</f>
        <v>0</v>
      </c>
      <c r="SS71" s="20" t="n">
        <f aca="false">IF(B71=0,MP71+MT71,0)</f>
        <v>0</v>
      </c>
      <c r="ST71" s="20" t="n">
        <f aca="false">IF(B71=0,IF(HU71=1,MR71,MS71),0)</f>
        <v>0</v>
      </c>
      <c r="SU71" s="20" t="n">
        <f aca="false">IF(FR71=1,IF(HU71=1,MY71+NB71,FS71-OY71)*(1+Slot16_Rate),0)</f>
        <v>0</v>
      </c>
      <c r="SV71" s="20" t="n">
        <f aca="false">IF(AND(HU71=1,FR71=1),(MX71+NB71)/F71,0)</f>
        <v>0</v>
      </c>
      <c r="SW71" s="20" t="n">
        <f aca="false">IF(B71=0,MX71+NB71,0)</f>
        <v>0</v>
      </c>
      <c r="SX71" s="20" t="n">
        <f aca="false">IF(B71=0,IF(HU71=1,MZ71,NA71),0)</f>
        <v>0</v>
      </c>
      <c r="SY71" s="20" t="n">
        <f aca="false">IF(GB71=1,IF(HU71=1,NG71+NJ71,GC71-OW71)*(1+Slot17_Rate),0)</f>
        <v>0</v>
      </c>
      <c r="SZ71" s="20" t="n">
        <f aca="false">IF(AND(HU71=1,GB71=1),(NF71+NJ71)/F71,0)</f>
        <v>0</v>
      </c>
      <c r="TA71" s="20" t="n">
        <f aca="false">IF(B71=0,NF71+NJ71,0)</f>
        <v>0</v>
      </c>
      <c r="TB71" s="20" t="n">
        <f aca="false">IF(B71=0,IF(HU71=1,NH71,NI71),0)</f>
        <v>0</v>
      </c>
      <c r="TC71" s="20" t="n">
        <f aca="false">IF(GL71=1,IF(HU71=1,NO71+NR71,GM71-OU71)*(1+Slot18_Rate),0)</f>
        <v>0</v>
      </c>
      <c r="TD71" s="20" t="n">
        <f aca="false">IF(AND(HU71=1,GL71=1),(NN71+NR71)/F71,0)</f>
        <v>0</v>
      </c>
      <c r="TE71" s="20" t="n">
        <f aca="false">IF(B71=0,NN71+NR71,0)</f>
        <v>0</v>
      </c>
      <c r="TF71" s="20" t="n">
        <f aca="false">IF(B71=0,IF(HU71=1,NP71,NQ71),0)</f>
        <v>0</v>
      </c>
      <c r="TG71" s="20" t="n">
        <f aca="false">IF(GV71=1,IF(HU71=1,NW71+NZ71,GW71-OS71)*(1+Slot19_Rate),0)</f>
        <v>0</v>
      </c>
      <c r="TH71" s="20" t="n">
        <f aca="false">IF(AND(HU71=1,GV71=1),(NV71+NZ71)/F71,0)</f>
        <v>0</v>
      </c>
      <c r="TI71" s="20" t="n">
        <f aca="false">IF(B71=0,NV71+NZ71,0)</f>
        <v>0</v>
      </c>
      <c r="TJ71" s="20" t="n">
        <f aca="false">IF(B71=0,IF(HU71=1,NX71,NY71),0)</f>
        <v>0</v>
      </c>
      <c r="TK71" s="20" t="n">
        <f aca="false">IF(HF71=1,IF(HU71=1,OE71+OH71,HG71-OQ71)*(1+Slot20_Rate),0)</f>
        <v>0</v>
      </c>
      <c r="TL71" s="20" t="n">
        <f aca="false">IF(AND(HU71=1,HF71=1),(OD71+OH71)/F71,0)</f>
        <v>0</v>
      </c>
      <c r="TM71" s="20" t="n">
        <f aca="false">IF(B71=0,OD71+OH71,0)</f>
        <v>0</v>
      </c>
      <c r="TN71" s="20" t="n">
        <f aca="false">IF(B71=0,IF(HU71=1,OF71,OG71),0)</f>
        <v>0</v>
      </c>
      <c r="TO71" s="20" t="n">
        <f aca="false">QK71+QL71+QM71+QQ71+QU71+QY71+RC71+RG71+RK71+RO71+RS71+RW71+SA71+SE71+SI71+SM71+SQ71+SU71+SY71+TC71+TG71+TK71</f>
        <v>0</v>
      </c>
      <c r="TP71" s="20" t="n">
        <f aca="false">QE71+HP71</f>
        <v>67079.7687335447</v>
      </c>
      <c r="TQ71" s="20" t="n">
        <f aca="false">I71+S71</f>
        <v>166432.722577093</v>
      </c>
      <c r="TR71" s="20" t="n">
        <f aca="false">1-G71</f>
        <v>1</v>
      </c>
      <c r="TS71" s="20" t="n">
        <f aca="false">IF(AND(RG_Exists=1,G71=0,C71=1),I71,0)</f>
        <v>0</v>
      </c>
      <c r="TT71" s="20" t="n">
        <f aca="false">IF(AND(RG_Exists=1,G71=0,C71=1),I71-MIN(QE71,I71),0)</f>
        <v>0</v>
      </c>
      <c r="TU71" s="20" t="n">
        <f aca="false">'Plan pay &amp; tax'!AD297</f>
        <v>0</v>
      </c>
      <c r="TV71" s="20" t="n">
        <f aca="false">IF(AND(C71=1,QE71&gt;MAX(PR_Short1,TQ71*PR_Short2)),1,0)</f>
        <v>0</v>
      </c>
      <c r="TW71" s="20" t="n">
        <f aca="false">MIN(H71,I71+S71)</f>
        <v>99352.9538435483</v>
      </c>
      <c r="TX71" s="20" t="n">
        <f aca="false">QF71+MAX(0,HQ71-HP71)</f>
        <v>0</v>
      </c>
      <c r="TY71" s="20" t="n">
        <f aca="false">QE71+HP71</f>
        <v>67079.7687335447</v>
      </c>
      <c r="TZ71" s="20" t="n">
        <f aca="false">IF(AND(C71=1,TY71&gt;PR_MinShort),1,0)</f>
        <v>0</v>
      </c>
      <c r="UA71" s="20" t="n">
        <f aca="false">IF(AND(C71=1,TZ71=0,TX71&gt;PR_MinShort),1,0)</f>
        <v>0</v>
      </c>
      <c r="UB71" s="20" t="n">
        <f aca="false">IF(AND(C71=1,QE71&gt;PR_MinShort),1,0)</f>
        <v>0</v>
      </c>
      <c r="UC71" s="20" t="n">
        <f aca="false">IF(AND(C71=1,QF71&gt;1,UJ71=0),1,0)</f>
        <v>0</v>
      </c>
      <c r="UD71" s="20" t="str">
        <f aca="false">IF(C71=0,"",IF(UJ71=1,"Gap to plan for: short "&amp;"€"&amp;TEXT(ROUND(TP71,0),"#,##0"),IF(QF71&gt;1,"Using savings","Comfortable")))</f>
        <v/>
      </c>
      <c r="UE71" s="20" t="n">
        <f aca="false">IF(AND(INT(D71/10)*10=90,B71&gt;0),80,INT(D71/10)*10)</f>
        <v>100</v>
      </c>
      <c r="UF71" s="20" t="n">
        <f aca="false">IF(B71=0,1,IF(UE71&lt;&gt;UE70,UF70+1,UF70))</f>
        <v>7</v>
      </c>
      <c r="UG71" s="20" t="n">
        <f aca="false">IF(AND(C71=1,G71=1,QE71&gt;MAX(PR_Short1,TQ71*PR_Short2)),1,0)</f>
        <v>0</v>
      </c>
      <c r="UH71" s="20" t="n">
        <f aca="false">TR71*TV71</f>
        <v>0</v>
      </c>
      <c r="UI71" s="20" t="n">
        <f aca="false">IF(AND(V71=1,Slot1_PctLow=1),1,0)+IF(AND(AG71=1,Slot2_PctLow=1),1,0)+IF(AND(AQ71=1,Slot3_PctLow=1),1,0)+IF(AND(BA71=1,Slot4_PctLow=1),1,0)+IF(AND(BK71=1,Slot5_PctLow=1),1,0)+IF(AND(BU71=1,Slot6_PctLow=1),1,0)+IF(AND(CE71=1,Slot7_PctLow=1),1,0)+IF(AND(CO71=1,Slot8_PctLow=1),1,0)+IF(AND(CY71=1,Slot9_PctLow=1),1,0)+IF(AND(DI71=1,Slot10_PctLow=1),1,0)+IF(AND(DS71=1,Slot11_PctLow=1),1,0)+IF(AND(EC71=1,Slot12_PctLow=1),1,0)+IF(AND(EM71=1,Slot13_PctLow=1),1,0)+IF(AND(EW71=1,Slot14_PctLow=1),1,0)+IF(AND(FG71=1,Slot15_PctLow=1),1,0)+IF(AND(FQ71=1,Slot16_PctLow=1),1,0)+IF(AND(GA71=1,Slot17_PctLow=1),1,0)+IF(AND(GK71=1,Slot18_PctLow=1),1,0)+IF(AND(GU71=1,Slot19_PctLow=1),1,0)+IF(AND(HE71=1,Slot20_PctLow=1),1,0)</f>
        <v>0</v>
      </c>
      <c r="UJ71" s="20" t="n">
        <f aca="false">IF(C71=1,IF(OR(TV71=1,UI71&gt;0),1,0),0)</f>
        <v>0</v>
      </c>
    </row>
    <row r="72" customFormat="false" ht="15" hidden="false" customHeight="true" outlineLevel="0" collapsed="false">
      <c r="B72" s="20" t="n">
        <v>64</v>
      </c>
      <c r="C72" s="20" t="n">
        <f aca="false">IF(B72&lt;=F_N,1,0)</f>
        <v>0</v>
      </c>
      <c r="D72" s="20" t="n">
        <f aca="false">'Plan pay &amp; tax'!C298</f>
        <v>102</v>
      </c>
      <c r="E72" s="20" t="str">
        <f aca="false">IF($C72=1,"Income tax "&amp;TEXT(N('Plan pay &amp; tax'!BK298),"#,##0")&amp;"; USC "&amp;TEXT(N('Plan pay &amp; tax'!BM298)+N('Plan pay &amp; tax'!BO298),"#,##0")&amp;"; PRSI "&amp;TEXT(N('Plan pay &amp; tax'!BP298)+N('Plan pay &amp; tax'!BQ298),"#,##0")&amp;". DIRT and exit tax are inside the growth rates here.","")</f>
        <v/>
      </c>
      <c r="F72" s="44" t="n">
        <f aca="false">'Plan pay &amp; tax'!E298</f>
        <v>3.55149324327688</v>
      </c>
      <c r="G72" s="20" t="n">
        <f aca="false">'Plan pay &amp; tax'!G298</f>
        <v>0</v>
      </c>
      <c r="H72" s="20" t="n">
        <f aca="false">'Plan pay &amp; tax'!BT298-'Plan pay &amp; tax'!BS298-'Plan pay &amp; tax'!R298</f>
        <v>101340.012920419</v>
      </c>
      <c r="I72" s="20" t="n">
        <f aca="false">IF(G72=1,F_CostsM*12,IF(RG_Exists=1,RG_Amount,F_CostsM*12*AS_RetireSpend))*F72+F_OneOffY*F72</f>
        <v>169761.377028635</v>
      </c>
      <c r="J72" s="20" t="n">
        <f aca="false">HR71</f>
        <v>0</v>
      </c>
      <c r="K72" s="20" t="n">
        <f aca="false">IF(J72&gt;1,'Plan debt months'!AC72,0)</f>
        <v>0</v>
      </c>
      <c r="L72" s="20" t="n">
        <f aca="false">IF(J72&gt;1,'Plan debt months'!AB72,J72)</f>
        <v>0</v>
      </c>
      <c r="M72" s="20" t="n">
        <f aca="false">O71</f>
        <v>0</v>
      </c>
      <c r="N72" s="20" t="n">
        <f aca="false">IF(M72&gt;1,'Plan debt months'!BD72,0)</f>
        <v>0</v>
      </c>
      <c r="O72" s="20" t="n">
        <f aca="false">IF(M72&gt;1,'Plan debt months'!BC72,M72)</f>
        <v>0</v>
      </c>
      <c r="P72" s="20" t="n">
        <f aca="false">R71</f>
        <v>0</v>
      </c>
      <c r="Q72" s="20" t="n">
        <f aca="false">IF(P72&gt;1,'Plan debt months'!CE72,0)</f>
        <v>0</v>
      </c>
      <c r="R72" s="20" t="n">
        <f aca="false">IF(P72&gt;1,'Plan debt months'!CD72,P72)</f>
        <v>0</v>
      </c>
      <c r="S72" s="20" t="n">
        <f aca="false">K72+N72+Q72</f>
        <v>0</v>
      </c>
      <c r="T72" s="20" t="n">
        <f aca="false">QK71+'Plan pay &amp; tax'!Y298</f>
        <v>0</v>
      </c>
      <c r="U72" s="20" t="n">
        <f aca="false">QK71</f>
        <v>0</v>
      </c>
      <c r="V72" s="20" t="n">
        <f aca="false">IF(AND(Slot1_On=1,D72=Slot1_Age),1,0)</f>
        <v>0</v>
      </c>
      <c r="W72" s="20" t="n">
        <f aca="false">IF(AND(Slot1_On=1,Slot1_Age&gt;D72),1,0)</f>
        <v>0</v>
      </c>
      <c r="X72" s="20" t="n">
        <f aca="false">QM71</f>
        <v>0</v>
      </c>
      <c r="Y72" s="20" t="n">
        <f aca="false">V72*MIN(Slot1_Cost,X72)</f>
        <v>0</v>
      </c>
      <c r="Z72" s="20" t="n">
        <f aca="false">V72*Slot1_SpendLike*MIN(Slot1_Cost-Y72,T72)</f>
        <v>0</v>
      </c>
      <c r="AA72" s="20" t="n">
        <f aca="false">Y72+Z72</f>
        <v>0</v>
      </c>
      <c r="AB72" s="20" t="n">
        <f aca="false">T72-Z72+V72*IF(Slot1_SpendLike=1,X72-Y72,IF(Slot1_PotFree=1,X72,0))</f>
        <v>0</v>
      </c>
      <c r="AC72" s="20" t="n">
        <f aca="false">AF72+V72*Slot1_BufPot*X72</f>
        <v>0</v>
      </c>
      <c r="AD72" s="20" t="n">
        <f aca="false">IF(AND(V72=1,Slot1_IsMfree=1),IF(AA72&gt;=Slot1_Cost-1,0,MAX(0,L72-AA72)),L72)</f>
        <v>0</v>
      </c>
      <c r="AE72" s="20" t="n">
        <f aca="false">V72*(Slot1_Cost-AA72)</f>
        <v>0</v>
      </c>
      <c r="AF72" s="20" t="n">
        <f aca="false">QL71</f>
        <v>0</v>
      </c>
      <c r="AG72" s="20" t="n">
        <f aca="false">IF(AND(Slot2_On=1,D72=Slot2_Age),1,0)</f>
        <v>0</v>
      </c>
      <c r="AH72" s="20" t="n">
        <f aca="false">IF(AND(Slot2_On=1,Slot2_Age&gt;D72),1,0)</f>
        <v>0</v>
      </c>
      <c r="AI72" s="20" t="n">
        <f aca="false">QQ71</f>
        <v>0</v>
      </c>
      <c r="AJ72" s="20" t="n">
        <f aca="false">AG72*MIN(Slot2_Cost,AI72)</f>
        <v>0</v>
      </c>
      <c r="AK72" s="20" t="n">
        <f aca="false">AG72*Slot2_SpendLike*MIN(Slot2_Cost-AJ72,AB72)</f>
        <v>0</v>
      </c>
      <c r="AL72" s="20" t="n">
        <f aca="false">AJ72+AK72</f>
        <v>0</v>
      </c>
      <c r="AM72" s="20" t="n">
        <f aca="false">AB72-AK72+AG72*IF(Slot2_SpendLike=1,AI72-AJ72,IF(Slot2_PotFree=1,AI72,0))</f>
        <v>0</v>
      </c>
      <c r="AN72" s="20" t="n">
        <f aca="false">AC72+AG72*Slot2_BufPot*AI72</f>
        <v>0</v>
      </c>
      <c r="AO72" s="20" t="n">
        <f aca="false">IF(AND(AG72=1,Slot2_IsMfree=1),IF(AL72&gt;=Slot2_Cost-1,0,MAX(0,AD72-AL72)),AD72)</f>
        <v>0</v>
      </c>
      <c r="AP72" s="20" t="n">
        <f aca="false">AG72*(Slot2_Cost-AL72)</f>
        <v>0</v>
      </c>
      <c r="AQ72" s="20" t="n">
        <f aca="false">IF(AND(Slot3_On=1,D72=Slot3_Age),1,0)</f>
        <v>0</v>
      </c>
      <c r="AR72" s="20" t="n">
        <f aca="false">IF(AND(Slot3_On=1,Slot3_Age&gt;D72),1,0)</f>
        <v>0</v>
      </c>
      <c r="AS72" s="20" t="n">
        <f aca="false">QU71</f>
        <v>0</v>
      </c>
      <c r="AT72" s="20" t="n">
        <f aca="false">AQ72*MIN(Slot3_Cost,AS72)</f>
        <v>0</v>
      </c>
      <c r="AU72" s="20" t="n">
        <f aca="false">AQ72*Slot3_SpendLike*MIN(Slot3_Cost-AT72,AM72)</f>
        <v>0</v>
      </c>
      <c r="AV72" s="20" t="n">
        <f aca="false">AT72+AU72</f>
        <v>0</v>
      </c>
      <c r="AW72" s="20" t="n">
        <f aca="false">AM72-AU72+AQ72*IF(Slot3_SpendLike=1,AS72-AT72,IF(Slot3_PotFree=1,AS72,0))</f>
        <v>0</v>
      </c>
      <c r="AX72" s="20" t="n">
        <f aca="false">AN72+AQ72*Slot3_BufPot*AS72</f>
        <v>0</v>
      </c>
      <c r="AY72" s="20" t="n">
        <f aca="false">IF(AND(AQ72=1,Slot3_IsMfree=1),IF(AV72&gt;=Slot3_Cost-1,0,MAX(0,AO72-AV72)),AO72)</f>
        <v>0</v>
      </c>
      <c r="AZ72" s="20" t="n">
        <f aca="false">AQ72*(Slot3_Cost-AV72)</f>
        <v>0</v>
      </c>
      <c r="BA72" s="20" t="n">
        <f aca="false">IF(AND(Slot4_On=1,D72=Slot4_Age),1,0)</f>
        <v>0</v>
      </c>
      <c r="BB72" s="20" t="n">
        <f aca="false">IF(AND(Slot4_On=1,Slot4_Age&gt;D72),1,0)</f>
        <v>0</v>
      </c>
      <c r="BC72" s="20" t="n">
        <f aca="false">QY71</f>
        <v>0</v>
      </c>
      <c r="BD72" s="20" t="n">
        <f aca="false">BA72*MIN(Slot4_Cost,BC72)</f>
        <v>0</v>
      </c>
      <c r="BE72" s="20" t="n">
        <f aca="false">BA72*Slot4_SpendLike*MIN(Slot4_Cost-BD72,AW72)</f>
        <v>0</v>
      </c>
      <c r="BF72" s="20" t="n">
        <f aca="false">BD72+BE72</f>
        <v>0</v>
      </c>
      <c r="BG72" s="20" t="n">
        <f aca="false">AW72-BE72+BA72*IF(Slot4_SpendLike=1,BC72-BD72,IF(Slot4_PotFree=1,BC72,0))</f>
        <v>0</v>
      </c>
      <c r="BH72" s="20" t="n">
        <f aca="false">AX72+BA72*Slot4_BufPot*BC72</f>
        <v>0</v>
      </c>
      <c r="BI72" s="20" t="n">
        <f aca="false">IF(AND(BA72=1,Slot4_IsMfree=1),IF(BF72&gt;=Slot4_Cost-1,0,MAX(0,AY72-BF72)),AY72)</f>
        <v>0</v>
      </c>
      <c r="BJ72" s="20" t="n">
        <f aca="false">BA72*(Slot4_Cost-BF72)</f>
        <v>0</v>
      </c>
      <c r="BK72" s="20" t="n">
        <f aca="false">IF(AND(Slot5_On=1,D72=Slot5_Age),1,0)</f>
        <v>0</v>
      </c>
      <c r="BL72" s="20" t="n">
        <f aca="false">IF(AND(Slot5_On=1,Slot5_Age&gt;D72),1,0)</f>
        <v>0</v>
      </c>
      <c r="BM72" s="20" t="n">
        <f aca="false">RC71</f>
        <v>0</v>
      </c>
      <c r="BN72" s="20" t="n">
        <f aca="false">BK72*MIN(Slot5_Cost,BM72)</f>
        <v>0</v>
      </c>
      <c r="BO72" s="20" t="n">
        <f aca="false">BK72*Slot5_SpendLike*MIN(Slot5_Cost-BN72,BG72)</f>
        <v>0</v>
      </c>
      <c r="BP72" s="20" t="n">
        <f aca="false">BN72+BO72</f>
        <v>0</v>
      </c>
      <c r="BQ72" s="20" t="n">
        <f aca="false">BG72-BO72+BK72*IF(Slot5_SpendLike=1,BM72-BN72,IF(Slot5_PotFree=1,BM72,0))</f>
        <v>0</v>
      </c>
      <c r="BR72" s="20" t="n">
        <f aca="false">BH72+BK72*Slot5_BufPot*BM72</f>
        <v>0</v>
      </c>
      <c r="BS72" s="20" t="n">
        <f aca="false">IF(AND(BK72=1,Slot5_IsMfree=1),IF(BP72&gt;=Slot5_Cost-1,0,MAX(0,BI72-BP72)),BI72)</f>
        <v>0</v>
      </c>
      <c r="BT72" s="20" t="n">
        <f aca="false">BK72*(Slot5_Cost-BP72)</f>
        <v>0</v>
      </c>
      <c r="BU72" s="20" t="n">
        <f aca="false">IF(AND(Slot6_On=1,D72=Slot6_Age),1,0)</f>
        <v>0</v>
      </c>
      <c r="BV72" s="20" t="n">
        <f aca="false">IF(AND(Slot6_On=1,Slot6_Age&gt;D72),1,0)</f>
        <v>0</v>
      </c>
      <c r="BW72" s="20" t="n">
        <f aca="false">RG71</f>
        <v>0</v>
      </c>
      <c r="BX72" s="20" t="n">
        <f aca="false">BU72*MIN(Slot6_Cost,BW72)</f>
        <v>0</v>
      </c>
      <c r="BY72" s="20" t="n">
        <f aca="false">BU72*Slot6_SpendLike*MIN(Slot6_Cost-BX72,BQ72)</f>
        <v>0</v>
      </c>
      <c r="BZ72" s="20" t="n">
        <f aca="false">BX72+BY72</f>
        <v>0</v>
      </c>
      <c r="CA72" s="20" t="n">
        <f aca="false">BQ72-BY72+BU72*IF(Slot6_SpendLike=1,BW72-BX72,IF(Slot6_PotFree=1,BW72,0))</f>
        <v>0</v>
      </c>
      <c r="CB72" s="20" t="n">
        <f aca="false">BR72+BU72*Slot6_BufPot*BW72</f>
        <v>0</v>
      </c>
      <c r="CC72" s="20" t="n">
        <f aca="false">IF(AND(BU72=1,Slot6_IsMfree=1),IF(BZ72&gt;=Slot6_Cost-1,0,MAX(0,BS72-BZ72)),BS72)</f>
        <v>0</v>
      </c>
      <c r="CD72" s="20" t="n">
        <f aca="false">BU72*(Slot6_Cost-BZ72)</f>
        <v>0</v>
      </c>
      <c r="CE72" s="20" t="n">
        <f aca="false">IF(AND(Slot7_On=1,D72=Slot7_Age),1,0)</f>
        <v>0</v>
      </c>
      <c r="CF72" s="20" t="n">
        <f aca="false">IF(AND(Slot7_On=1,Slot7_Age&gt;D72),1,0)</f>
        <v>0</v>
      </c>
      <c r="CG72" s="20" t="n">
        <f aca="false">RK71</f>
        <v>0</v>
      </c>
      <c r="CH72" s="20" t="n">
        <f aca="false">CE72*MIN(Slot7_Cost,CG72)</f>
        <v>0</v>
      </c>
      <c r="CI72" s="20" t="n">
        <f aca="false">CE72*Slot7_SpendLike*MIN(Slot7_Cost-CH72,CA72)</f>
        <v>0</v>
      </c>
      <c r="CJ72" s="20" t="n">
        <f aca="false">CH72+CI72</f>
        <v>0</v>
      </c>
      <c r="CK72" s="20" t="n">
        <f aca="false">CA72-CI72+CE72*IF(Slot7_SpendLike=1,CG72-CH72,IF(Slot7_PotFree=1,CG72,0))</f>
        <v>0</v>
      </c>
      <c r="CL72" s="20" t="n">
        <f aca="false">CB72+CE72*Slot7_BufPot*CG72</f>
        <v>0</v>
      </c>
      <c r="CM72" s="20" t="n">
        <f aca="false">IF(AND(CE72=1,Slot7_IsMfree=1),IF(CJ72&gt;=Slot7_Cost-1,0,MAX(0,CC72-CJ72)),CC72)</f>
        <v>0</v>
      </c>
      <c r="CN72" s="20" t="n">
        <f aca="false">CE72*(Slot7_Cost-CJ72)</f>
        <v>0</v>
      </c>
      <c r="CO72" s="20" t="n">
        <f aca="false">IF(AND(Slot8_On=1,D72=Slot8_Age),1,0)</f>
        <v>0</v>
      </c>
      <c r="CP72" s="20" t="n">
        <f aca="false">IF(AND(Slot8_On=1,Slot8_Age&gt;D72),1,0)</f>
        <v>0</v>
      </c>
      <c r="CQ72" s="20" t="n">
        <f aca="false">RO71</f>
        <v>0</v>
      </c>
      <c r="CR72" s="20" t="n">
        <f aca="false">CO72*MIN(Slot8_Cost,CQ72)</f>
        <v>0</v>
      </c>
      <c r="CS72" s="20" t="n">
        <f aca="false">CO72*Slot8_SpendLike*MIN(Slot8_Cost-CR72,CK72)</f>
        <v>0</v>
      </c>
      <c r="CT72" s="20" t="n">
        <f aca="false">CR72+CS72</f>
        <v>0</v>
      </c>
      <c r="CU72" s="20" t="n">
        <f aca="false">CK72-CS72+CO72*IF(Slot8_SpendLike=1,CQ72-CR72,IF(Slot8_PotFree=1,CQ72,0))</f>
        <v>0</v>
      </c>
      <c r="CV72" s="20" t="n">
        <f aca="false">CL72+CO72*Slot8_BufPot*CQ72</f>
        <v>0</v>
      </c>
      <c r="CW72" s="20" t="n">
        <f aca="false">IF(AND(CO72=1,Slot8_IsMfree=1),IF(CT72&gt;=Slot8_Cost-1,0,MAX(0,CM72-CT72)),CM72)</f>
        <v>0</v>
      </c>
      <c r="CX72" s="20" t="n">
        <f aca="false">CO72*(Slot8_Cost-CT72)</f>
        <v>0</v>
      </c>
      <c r="CY72" s="20" t="n">
        <f aca="false">IF(AND(Slot9_On=1,D72=Slot9_Age),1,0)</f>
        <v>0</v>
      </c>
      <c r="CZ72" s="20" t="n">
        <f aca="false">IF(AND(Slot9_On=1,Slot9_Age&gt;D72),1,0)</f>
        <v>0</v>
      </c>
      <c r="DA72" s="20" t="n">
        <f aca="false">RS71</f>
        <v>0</v>
      </c>
      <c r="DB72" s="20" t="n">
        <f aca="false">CY72*MIN(Slot9_Cost,DA72)</f>
        <v>0</v>
      </c>
      <c r="DC72" s="20" t="n">
        <f aca="false">CY72*Slot9_SpendLike*MIN(Slot9_Cost-DB72,CU72)</f>
        <v>0</v>
      </c>
      <c r="DD72" s="20" t="n">
        <f aca="false">DB72+DC72</f>
        <v>0</v>
      </c>
      <c r="DE72" s="20" t="n">
        <f aca="false">CU72-DC72+CY72*IF(Slot9_SpendLike=1,DA72-DB72,IF(Slot9_PotFree=1,DA72,0))</f>
        <v>0</v>
      </c>
      <c r="DF72" s="20" t="n">
        <f aca="false">CV72+CY72*Slot9_BufPot*DA72</f>
        <v>0</v>
      </c>
      <c r="DG72" s="20" t="n">
        <f aca="false">IF(AND(CY72=1,Slot9_IsMfree=1),IF(DD72&gt;=Slot9_Cost-1,0,MAX(0,CW72-DD72)),CW72)</f>
        <v>0</v>
      </c>
      <c r="DH72" s="20" t="n">
        <f aca="false">CY72*(Slot9_Cost-DD72)</f>
        <v>0</v>
      </c>
      <c r="DI72" s="20" t="n">
        <f aca="false">IF(AND(Slot10_On=1,D72=Slot10_Age),1,0)</f>
        <v>0</v>
      </c>
      <c r="DJ72" s="20" t="n">
        <f aca="false">IF(AND(Slot10_On=1,Slot10_Age&gt;D72),1,0)</f>
        <v>0</v>
      </c>
      <c r="DK72" s="20" t="n">
        <f aca="false">RW71</f>
        <v>0</v>
      </c>
      <c r="DL72" s="20" t="n">
        <f aca="false">DI72*MIN(Slot10_Cost,DK72)</f>
        <v>0</v>
      </c>
      <c r="DM72" s="20" t="n">
        <f aca="false">DI72*Slot10_SpendLike*MIN(Slot10_Cost-DL72,DE72)</f>
        <v>0</v>
      </c>
      <c r="DN72" s="20" t="n">
        <f aca="false">DL72+DM72</f>
        <v>0</v>
      </c>
      <c r="DO72" s="20" t="n">
        <f aca="false">DE72-DM72+DI72*IF(Slot10_SpendLike=1,DK72-DL72,IF(Slot10_PotFree=1,DK72,0))</f>
        <v>0</v>
      </c>
      <c r="DP72" s="20" t="n">
        <f aca="false">DF72+DI72*Slot10_BufPot*DK72</f>
        <v>0</v>
      </c>
      <c r="DQ72" s="20" t="n">
        <f aca="false">IF(AND(DI72=1,Slot10_IsMfree=1),IF(DN72&gt;=Slot10_Cost-1,0,MAX(0,DG72-DN72)),DG72)</f>
        <v>0</v>
      </c>
      <c r="DR72" s="20" t="n">
        <f aca="false">DI72*(Slot10_Cost-DN72)</f>
        <v>0</v>
      </c>
      <c r="DS72" s="20" t="n">
        <f aca="false">IF(AND(Slot11_On=1,D72=Slot11_Age),1,0)</f>
        <v>0</v>
      </c>
      <c r="DT72" s="20" t="n">
        <f aca="false">IF(AND(Slot11_On=1,Slot11_Age&gt;D72),1,0)</f>
        <v>0</v>
      </c>
      <c r="DU72" s="20" t="n">
        <f aca="false">SA71</f>
        <v>0</v>
      </c>
      <c r="DV72" s="20" t="n">
        <f aca="false">DS72*MIN(Slot11_Cost,DU72)</f>
        <v>0</v>
      </c>
      <c r="DW72" s="20" t="n">
        <f aca="false">DS72*Slot11_SpendLike*MIN(Slot11_Cost-DV72,DO72)</f>
        <v>0</v>
      </c>
      <c r="DX72" s="20" t="n">
        <f aca="false">DV72+DW72</f>
        <v>0</v>
      </c>
      <c r="DY72" s="20" t="n">
        <f aca="false">DO72-DW72+DS72*IF(Slot11_SpendLike=1,DU72-DV72,IF(Slot11_PotFree=1,DU72,0))</f>
        <v>0</v>
      </c>
      <c r="DZ72" s="20" t="n">
        <f aca="false">DP72+DS72*Slot11_BufPot*DU72</f>
        <v>0</v>
      </c>
      <c r="EA72" s="20" t="n">
        <f aca="false">IF(AND(DS72=1,Slot11_IsMfree=1),IF(DX72&gt;=Slot11_Cost-1,0,MAX(0,DQ72-DX72)),DQ72)</f>
        <v>0</v>
      </c>
      <c r="EB72" s="20" t="n">
        <f aca="false">DS72*(Slot11_Cost-DX72)</f>
        <v>0</v>
      </c>
      <c r="EC72" s="20" t="n">
        <f aca="false">IF(AND(Slot12_On=1,D72=Slot12_Age),1,0)</f>
        <v>0</v>
      </c>
      <c r="ED72" s="20" t="n">
        <f aca="false">IF(AND(Slot12_On=1,Slot12_Age&gt;D72),1,0)</f>
        <v>0</v>
      </c>
      <c r="EE72" s="20" t="n">
        <f aca="false">SE71</f>
        <v>0</v>
      </c>
      <c r="EF72" s="20" t="n">
        <f aca="false">EC72*MIN(Slot12_Cost,EE72)</f>
        <v>0</v>
      </c>
      <c r="EG72" s="20" t="n">
        <f aca="false">EC72*Slot12_SpendLike*MIN(Slot12_Cost-EF72,DY72)</f>
        <v>0</v>
      </c>
      <c r="EH72" s="20" t="n">
        <f aca="false">EF72+EG72</f>
        <v>0</v>
      </c>
      <c r="EI72" s="20" t="n">
        <f aca="false">DY72-EG72+EC72*IF(Slot12_SpendLike=1,EE72-EF72,IF(Slot12_PotFree=1,EE72,0))</f>
        <v>0</v>
      </c>
      <c r="EJ72" s="20" t="n">
        <f aca="false">DZ72+EC72*Slot12_BufPot*EE72</f>
        <v>0</v>
      </c>
      <c r="EK72" s="20" t="n">
        <f aca="false">IF(AND(EC72=1,Slot12_IsMfree=1),IF(EH72&gt;=Slot12_Cost-1,0,MAX(0,EA72-EH72)),EA72)</f>
        <v>0</v>
      </c>
      <c r="EL72" s="20" t="n">
        <f aca="false">EC72*(Slot12_Cost-EH72)</f>
        <v>0</v>
      </c>
      <c r="EM72" s="20" t="n">
        <f aca="false">IF(AND(Slot13_On=1,D72=Slot13_Age),1,0)</f>
        <v>0</v>
      </c>
      <c r="EN72" s="20" t="n">
        <f aca="false">IF(AND(Slot13_On=1,Slot13_Age&gt;D72),1,0)</f>
        <v>0</v>
      </c>
      <c r="EO72" s="20" t="n">
        <f aca="false">SI71</f>
        <v>0</v>
      </c>
      <c r="EP72" s="20" t="n">
        <f aca="false">EM72*MIN(Slot13_Cost,EO72)</f>
        <v>0</v>
      </c>
      <c r="EQ72" s="20" t="n">
        <f aca="false">EM72*Slot13_SpendLike*MIN(Slot13_Cost-EP72,EI72)</f>
        <v>0</v>
      </c>
      <c r="ER72" s="20" t="n">
        <f aca="false">EP72+EQ72</f>
        <v>0</v>
      </c>
      <c r="ES72" s="20" t="n">
        <f aca="false">EI72-EQ72+EM72*IF(Slot13_SpendLike=1,EO72-EP72,IF(Slot13_PotFree=1,EO72,0))</f>
        <v>0</v>
      </c>
      <c r="ET72" s="20" t="n">
        <f aca="false">EJ72+EM72*Slot13_BufPot*EO72</f>
        <v>0</v>
      </c>
      <c r="EU72" s="20" t="n">
        <f aca="false">IF(AND(EM72=1,Slot13_IsMfree=1),IF(ER72&gt;=Slot13_Cost-1,0,MAX(0,EK72-ER72)),EK72)</f>
        <v>0</v>
      </c>
      <c r="EV72" s="20" t="n">
        <f aca="false">EM72*(Slot13_Cost-ER72)</f>
        <v>0</v>
      </c>
      <c r="EW72" s="20" t="n">
        <f aca="false">IF(AND(Slot14_On=1,D72=Slot14_Age),1,0)</f>
        <v>0</v>
      </c>
      <c r="EX72" s="20" t="n">
        <f aca="false">IF(AND(Slot14_On=1,Slot14_Age&gt;D72),1,0)</f>
        <v>0</v>
      </c>
      <c r="EY72" s="20" t="n">
        <f aca="false">SM71</f>
        <v>0</v>
      </c>
      <c r="EZ72" s="20" t="n">
        <f aca="false">EW72*MIN(Slot14_Cost,EY72)</f>
        <v>0</v>
      </c>
      <c r="FA72" s="20" t="n">
        <f aca="false">EW72*Slot14_SpendLike*MIN(Slot14_Cost-EZ72,ES72)</f>
        <v>0</v>
      </c>
      <c r="FB72" s="20" t="n">
        <f aca="false">EZ72+FA72</f>
        <v>0</v>
      </c>
      <c r="FC72" s="20" t="n">
        <f aca="false">ES72-FA72+EW72*IF(Slot14_SpendLike=1,EY72-EZ72,IF(Slot14_PotFree=1,EY72,0))</f>
        <v>0</v>
      </c>
      <c r="FD72" s="20" t="n">
        <f aca="false">ET72+EW72*Slot14_BufPot*EY72</f>
        <v>0</v>
      </c>
      <c r="FE72" s="20" t="n">
        <f aca="false">IF(AND(EW72=1,Slot14_IsMfree=1),IF(FB72&gt;=Slot14_Cost-1,0,MAX(0,EU72-FB72)),EU72)</f>
        <v>0</v>
      </c>
      <c r="FF72" s="20" t="n">
        <f aca="false">EW72*(Slot14_Cost-FB72)</f>
        <v>0</v>
      </c>
      <c r="FG72" s="20" t="n">
        <f aca="false">IF(AND(Slot15_On=1,D72=Slot15_Age),1,0)</f>
        <v>0</v>
      </c>
      <c r="FH72" s="20" t="n">
        <f aca="false">IF(AND(Slot15_On=1,Slot15_Age&gt;D72),1,0)</f>
        <v>0</v>
      </c>
      <c r="FI72" s="20" t="n">
        <f aca="false">SQ71</f>
        <v>0</v>
      </c>
      <c r="FJ72" s="20" t="n">
        <f aca="false">FG72*MIN(Slot15_Cost,FI72)</f>
        <v>0</v>
      </c>
      <c r="FK72" s="20" t="n">
        <f aca="false">FG72*Slot15_SpendLike*MIN(Slot15_Cost-FJ72,FC72)</f>
        <v>0</v>
      </c>
      <c r="FL72" s="20" t="n">
        <f aca="false">FJ72+FK72</f>
        <v>0</v>
      </c>
      <c r="FM72" s="20" t="n">
        <f aca="false">FC72-FK72+FG72*IF(Slot15_SpendLike=1,FI72-FJ72,IF(Slot15_PotFree=1,FI72,0))</f>
        <v>0</v>
      </c>
      <c r="FN72" s="20" t="n">
        <f aca="false">FD72+FG72*Slot15_BufPot*FI72</f>
        <v>0</v>
      </c>
      <c r="FO72" s="20" t="n">
        <f aca="false">IF(AND(FG72=1,Slot15_IsMfree=1),IF(FL72&gt;=Slot15_Cost-1,0,MAX(0,FE72-FL72)),FE72)</f>
        <v>0</v>
      </c>
      <c r="FP72" s="20" t="n">
        <f aca="false">FG72*(Slot15_Cost-FL72)</f>
        <v>0</v>
      </c>
      <c r="FQ72" s="20" t="n">
        <f aca="false">IF(AND(Slot16_On=1,D72=Slot16_Age),1,0)</f>
        <v>0</v>
      </c>
      <c r="FR72" s="20" t="n">
        <f aca="false">IF(AND(Slot16_On=1,Slot16_Age&gt;D72),1,0)</f>
        <v>0</v>
      </c>
      <c r="FS72" s="20" t="n">
        <f aca="false">SU71</f>
        <v>0</v>
      </c>
      <c r="FT72" s="20" t="n">
        <f aca="false">FQ72*MIN(Slot16_Cost,FS72)</f>
        <v>0</v>
      </c>
      <c r="FU72" s="20" t="n">
        <f aca="false">FQ72*Slot16_SpendLike*MIN(Slot16_Cost-FT72,FM72)</f>
        <v>0</v>
      </c>
      <c r="FV72" s="20" t="n">
        <f aca="false">FT72+FU72</f>
        <v>0</v>
      </c>
      <c r="FW72" s="20" t="n">
        <f aca="false">FM72-FU72+FQ72*IF(Slot16_SpendLike=1,FS72-FT72,IF(Slot16_PotFree=1,FS72,0))</f>
        <v>0</v>
      </c>
      <c r="FX72" s="20" t="n">
        <f aca="false">FN72+FQ72*Slot16_BufPot*FS72</f>
        <v>0</v>
      </c>
      <c r="FY72" s="20" t="n">
        <f aca="false">IF(AND(FQ72=1,Slot16_IsMfree=1),IF(FV72&gt;=Slot16_Cost-1,0,MAX(0,FO72-FV72)),FO72)</f>
        <v>0</v>
      </c>
      <c r="FZ72" s="20" t="n">
        <f aca="false">FQ72*(Slot16_Cost-FV72)</f>
        <v>0</v>
      </c>
      <c r="GA72" s="20" t="n">
        <f aca="false">IF(AND(Slot17_On=1,D72=Slot17_Age),1,0)</f>
        <v>0</v>
      </c>
      <c r="GB72" s="20" t="n">
        <f aca="false">IF(AND(Slot17_On=1,Slot17_Age&gt;D72),1,0)</f>
        <v>0</v>
      </c>
      <c r="GC72" s="20" t="n">
        <f aca="false">SY71</f>
        <v>0</v>
      </c>
      <c r="GD72" s="20" t="n">
        <f aca="false">GA72*MIN(Slot17_Cost,GC72)</f>
        <v>0</v>
      </c>
      <c r="GE72" s="20" t="n">
        <f aca="false">GA72*Slot17_SpendLike*MIN(Slot17_Cost-GD72,FW72)</f>
        <v>0</v>
      </c>
      <c r="GF72" s="20" t="n">
        <f aca="false">GD72+GE72</f>
        <v>0</v>
      </c>
      <c r="GG72" s="20" t="n">
        <f aca="false">FW72-GE72+GA72*IF(Slot17_SpendLike=1,GC72-GD72,IF(Slot17_PotFree=1,GC72,0))</f>
        <v>0</v>
      </c>
      <c r="GH72" s="20" t="n">
        <f aca="false">FX72+GA72*Slot17_BufPot*GC72</f>
        <v>0</v>
      </c>
      <c r="GI72" s="20" t="n">
        <f aca="false">IF(AND(GA72=1,Slot17_IsMfree=1),IF(GF72&gt;=Slot17_Cost-1,0,MAX(0,FY72-GF72)),FY72)</f>
        <v>0</v>
      </c>
      <c r="GJ72" s="20" t="n">
        <f aca="false">GA72*(Slot17_Cost-GF72)</f>
        <v>0</v>
      </c>
      <c r="GK72" s="20" t="n">
        <f aca="false">IF(AND(Slot18_On=1,D72=Slot18_Age),1,0)</f>
        <v>0</v>
      </c>
      <c r="GL72" s="20" t="n">
        <f aca="false">IF(AND(Slot18_On=1,Slot18_Age&gt;D72),1,0)</f>
        <v>0</v>
      </c>
      <c r="GM72" s="20" t="n">
        <f aca="false">TC71</f>
        <v>0</v>
      </c>
      <c r="GN72" s="20" t="n">
        <f aca="false">GK72*MIN(Slot18_Cost,GM72)</f>
        <v>0</v>
      </c>
      <c r="GO72" s="20" t="n">
        <f aca="false">GK72*Slot18_SpendLike*MIN(Slot18_Cost-GN72,GG72)</f>
        <v>0</v>
      </c>
      <c r="GP72" s="20" t="n">
        <f aca="false">GN72+GO72</f>
        <v>0</v>
      </c>
      <c r="GQ72" s="20" t="n">
        <f aca="false">GG72-GO72+GK72*IF(Slot18_SpendLike=1,GM72-GN72,IF(Slot18_PotFree=1,GM72,0))</f>
        <v>0</v>
      </c>
      <c r="GR72" s="20" t="n">
        <f aca="false">GH72+GK72*Slot18_BufPot*GM72</f>
        <v>0</v>
      </c>
      <c r="GS72" s="20" t="n">
        <f aca="false">IF(AND(GK72=1,Slot18_IsMfree=1),IF(GP72&gt;=Slot18_Cost-1,0,MAX(0,GI72-GP72)),GI72)</f>
        <v>0</v>
      </c>
      <c r="GT72" s="20" t="n">
        <f aca="false">GK72*(Slot18_Cost-GP72)</f>
        <v>0</v>
      </c>
      <c r="GU72" s="20" t="n">
        <f aca="false">IF(AND(Slot19_On=1,D72=Slot19_Age),1,0)</f>
        <v>0</v>
      </c>
      <c r="GV72" s="20" t="n">
        <f aca="false">IF(AND(Slot19_On=1,Slot19_Age&gt;D72),1,0)</f>
        <v>0</v>
      </c>
      <c r="GW72" s="20" t="n">
        <f aca="false">TG71</f>
        <v>0</v>
      </c>
      <c r="GX72" s="20" t="n">
        <f aca="false">GU72*MIN(Slot19_Cost,GW72)</f>
        <v>0</v>
      </c>
      <c r="GY72" s="20" t="n">
        <f aca="false">GU72*Slot19_SpendLike*MIN(Slot19_Cost-GX72,GQ72)</f>
        <v>0</v>
      </c>
      <c r="GZ72" s="20" t="n">
        <f aca="false">GX72+GY72</f>
        <v>0</v>
      </c>
      <c r="HA72" s="20" t="n">
        <f aca="false">GQ72-GY72+GU72*IF(Slot19_SpendLike=1,GW72-GX72,IF(Slot19_PotFree=1,GW72,0))</f>
        <v>0</v>
      </c>
      <c r="HB72" s="20" t="n">
        <f aca="false">GR72+GU72*Slot19_BufPot*GW72</f>
        <v>0</v>
      </c>
      <c r="HC72" s="20" t="n">
        <f aca="false">IF(AND(GU72=1,Slot19_IsMfree=1),IF(GZ72&gt;=Slot19_Cost-1,0,MAX(0,GS72-GZ72)),GS72)</f>
        <v>0</v>
      </c>
      <c r="HD72" s="20" t="n">
        <f aca="false">GU72*(Slot19_Cost-GZ72)</f>
        <v>0</v>
      </c>
      <c r="HE72" s="20" t="n">
        <f aca="false">IF(AND(Slot20_On=1,D72=Slot20_Age),1,0)</f>
        <v>0</v>
      </c>
      <c r="HF72" s="20" t="n">
        <f aca="false">IF(AND(Slot20_On=1,Slot20_Age&gt;D72),1,0)</f>
        <v>0</v>
      </c>
      <c r="HG72" s="20" t="n">
        <f aca="false">TK71</f>
        <v>0</v>
      </c>
      <c r="HH72" s="20" t="n">
        <f aca="false">HE72*MIN(Slot20_Cost,HG72)</f>
        <v>0</v>
      </c>
      <c r="HI72" s="20" t="n">
        <f aca="false">HE72*Slot20_SpendLike*MIN(Slot20_Cost-HH72,HA72)</f>
        <v>0</v>
      </c>
      <c r="HJ72" s="20" t="n">
        <f aca="false">HH72+HI72</f>
        <v>0</v>
      </c>
      <c r="HK72" s="20" t="n">
        <f aca="false">HA72-HI72+HE72*IF(Slot20_SpendLike=1,HG72-HH72,IF(Slot20_PotFree=1,HG72,0))</f>
        <v>0</v>
      </c>
      <c r="HL72" s="20" t="n">
        <f aca="false">HB72+HE72*Slot20_BufPot*HG72</f>
        <v>0</v>
      </c>
      <c r="HM72" s="20" t="n">
        <f aca="false">IF(AND(HE72=1,Slot20_IsMfree=1),IF(HJ72&gt;=Slot20_Cost-1,0,MAX(0,HC72-HJ72)),HC72)</f>
        <v>0</v>
      </c>
      <c r="HN72" s="20" t="n">
        <f aca="false">HE72*(Slot20_Cost-HJ72)</f>
        <v>0</v>
      </c>
      <c r="HO72" s="20" t="n">
        <f aca="false">V72*Slot1_SpendLike*AA72+AG72*Slot2_SpendLike*AL72+AQ72*Slot3_SpendLike*AV72+BA72*Slot4_SpendLike*BF72+BK72*Slot5_SpendLike*BP72+BU72*Slot6_SpendLike*BZ72+CE72*Slot7_SpendLike*CJ72+CO72*Slot8_SpendLike*CT72+CY72*Slot9_SpendLike*DD72+DI72*Slot10_SpendLike*DN72+DS72*Slot11_SpendLike*DX72+EC72*Slot12_SpendLike*EH72+EM72*Slot13_SpendLike*ER72+EW72*Slot14_SpendLike*FB72+FG72*Slot15_SpendLike*FL72+FQ72*Slot16_SpendLike*FV72+GA72*Slot17_SpendLike*GF72+GK72*Slot18_SpendLike*GP72+GU72*Slot19_SpendLike*GZ72+HE72*Slot20_SpendLike*HJ72</f>
        <v>0</v>
      </c>
      <c r="HP72" s="20" t="n">
        <f aca="false">AE72+AP72+AZ72+BJ72+BT72+CD72+CN72+CX72+DH72+DR72+EB72+EL72+EV72+FF72+FP72+FZ72+GJ72+GT72+HD72+HN72</f>
        <v>0</v>
      </c>
      <c r="HQ72" s="20" t="n">
        <f aca="false">V72*Slot1_Cost+AG72*Slot2_Cost+AQ72*Slot3_Cost+BA72*Slot4_Cost+BK72*Slot5_Cost+BU72*Slot6_Cost+CE72*Slot7_Cost+CO72*Slot8_Cost+CY72*Slot9_Cost+DI72*Slot10_Cost+DS72*Slot11_Cost+EC72*Slot12_Cost+EM72*Slot13_Cost+EW72*Slot14_Cost+FG72*Slot15_Cost+FQ72*Slot16_Cost+GA72*Slot17_Cost+GK72*Slot18_Cost+GU72*Slot19_Cost+HE72*Slot20_Cost</f>
        <v>0</v>
      </c>
      <c r="HR72" s="20" t="n">
        <f aca="false">HM72</f>
        <v>0</v>
      </c>
      <c r="HS72" s="20" t="n">
        <f aca="false">H72-I72-S72</f>
        <v>-68421.3641082156</v>
      </c>
      <c r="HT72" s="20" t="n">
        <f aca="false">IF(B72=0,IF(AND(Has_q6=1,In_q6=4),PR_ShareVaries*(MAX(0,HS72)/12),MIN(IF(Has_q6=1,CHOOSE(In_q6+1,PR_SaveB1,PR_SaveB2,PR_SaveB3,PR_SaveB4,0),AS_NoAnswer),AS_SaveShare*(MAX(0,HS72)/12))),HT71)</f>
        <v>62.3316893520437</v>
      </c>
      <c r="HU72" s="20" t="n">
        <f aca="false">IF(HS72&gt;=0,1,0)</f>
        <v>0</v>
      </c>
      <c r="HV72" s="20" t="n">
        <f aca="false">MAX(0,HS72/12/F72)</f>
        <v>0</v>
      </c>
      <c r="HW72" s="20" t="n">
        <f aca="false">IF(AND(Has_q6=1,In_q6=4),PR_ShareVaries*(HV72),MIN(IF(Has_q6=1,CHOOSE(In_q6+1,PR_SaveB1,PR_SaveB2,PR_SaveB3,PR_SaveB4,0),AS_NoAnswer),AS_SaveShare*(HV72)))</f>
        <v>0</v>
      </c>
      <c r="HX72" s="20" t="n">
        <f aca="false">IF(Has_saveM=1,IF(In_saveUp="Yes",1,IF(In_saveUp="No",0,IF(In_saveM&gt;=HT72-0.5,1,0))),0)</f>
        <v>0</v>
      </c>
      <c r="HY72" s="20" t="n">
        <f aca="false">IF(Has_saveM=1,MIN(HV72,IF(HX72=1,MAX(In_saveM,HW72),MIN(In_saveM,HW72))),HW72)</f>
        <v>0</v>
      </c>
      <c r="HZ72" s="20" t="n">
        <f aca="false">IF(G72=1,HY72*12*F72,0)</f>
        <v>0</v>
      </c>
      <c r="IA72" s="20" t="n">
        <f aca="false">MAX(0,HZ72+IF(AND(WI_Retire=0,WI_M&lt;0,G72=1),WI_M*12*F72,0))</f>
        <v>0</v>
      </c>
      <c r="IB72" s="20" t="n">
        <f aca="false">Slot1_IsWG*W72+Slot2_IsWG*AH72+Slot3_IsWG*AR72+Slot4_IsWG*BB72+Slot5_IsWG*BL72+Slot6_IsWG*BV72+Slot7_IsWG*CF72+Slot8_IsWG*CP72+Slot9_IsWG*CZ72+Slot10_IsWG*DJ72+Slot11_IsWG*DT72+Slot12_IsWG*ED72+Slot13_IsWG*EN72+Slot14_IsWG*EX72+Slot15_IsWG*FH72+Slot16_IsWG*FR72+Slot17_IsWG*GB72+Slot18_IsWG*GL72+Slot19_IsWG*GV72+Slot20_IsWG*HF72</f>
        <v>0</v>
      </c>
      <c r="IC72" s="20" t="n">
        <f aca="false">IF(AND(WI_Retire=0,WI_M&gt;0,G72=1,IB72&gt;=1),WI_M*12*F72,0)</f>
        <v>0</v>
      </c>
      <c r="ID72" s="20" t="n">
        <f aca="false">IF(HU72=1,MIN(IA72,HS72),0)</f>
        <v>0</v>
      </c>
      <c r="IE72" s="20" t="n">
        <f aca="false">IF(HU72=1,MIN(IC72,HS72-ID72),0)</f>
        <v>0</v>
      </c>
      <c r="IF72" s="20" t="n">
        <f aca="false">IF(W72=1,IF(ABS((1+AS_Wage)/(1+Slot1_Rate)-1)&lt;0.000000000001,(Slot1_Age-D72)*(1+Slot1_Rate)^(Slot1_Age-D72),(1+Slot1_Rate)^(Slot1_Age-D72)*(1-((1+AS_Wage)/(1+Slot1_Rate))^(Slot1_Age-D72))/(1-(1+AS_Wage)/(1+Slot1_Rate))),1)</f>
        <v>1</v>
      </c>
      <c r="IG72" s="20" t="n">
        <f aca="false">IF(AND(HU72=1,IE72&gt;0,Slot1_IsWG=1,W72=1),MAX(0,(Slot1_Cost-X72*(1+Slot1_Rate)^(Slot1_Age-D72))/IF72),0)</f>
        <v>0</v>
      </c>
      <c r="IH72" s="20" t="n">
        <f aca="false">IF(AND(HU72=1,IE72&gt;0,Slot1_IsWG=1,W72=1),MIN(IE72,IG72),0)</f>
        <v>0</v>
      </c>
      <c r="II72" s="20" t="n">
        <f aca="false">X72+IH72</f>
        <v>0</v>
      </c>
      <c r="IJ72" s="20" t="n">
        <f aca="false">IF(W72=1,MAX(0,(Slot1_Cost-II72*(1+Slot1_Rate)^(Slot1_Age-D72))/IF72),0)</f>
        <v>0</v>
      </c>
      <c r="IK72" s="20" t="n">
        <f aca="false">IF(W72=1,MAX(0,(Slot1_Cost-X72*(1+Slot1_Rate)^(Slot1_Age-D72))/IF72),0)</f>
        <v>0</v>
      </c>
      <c r="IL72" s="20" t="n">
        <f aca="false">IF(AND(HU72=1,W72=1),MIN(ID72,IJ72),0)</f>
        <v>0</v>
      </c>
      <c r="IM72" s="20" t="n">
        <f aca="false">ID72-IL72</f>
        <v>0</v>
      </c>
      <c r="IN72" s="20" t="n">
        <f aca="false">IF(AH72=1,IF(ABS((1+AS_Wage)/(1+Slot2_Rate)-1)&lt;0.000000000001,(Slot2_Age-D72)*(1+Slot2_Rate)^(Slot2_Age-D72),(1+Slot2_Rate)^(Slot2_Age-D72)*(1-((1+AS_Wage)/(1+Slot2_Rate))^(Slot2_Age-D72))/(1-(1+AS_Wage)/(1+Slot2_Rate))),1)</f>
        <v>1</v>
      </c>
      <c r="IO72" s="20" t="n">
        <f aca="false">IF(AND(HU72=1,IE72&gt;0,Slot2_IsWG=1,AH72=1),MAX(0,(Slot2_Cost-AI72*(1+Slot2_Rate)^(Slot2_Age-D72))/IN72),0)</f>
        <v>0</v>
      </c>
      <c r="IP72" s="20" t="n">
        <f aca="false">IF(AND(HU72=1,IE72&gt;0,Slot2_IsWG=1,AH72=1),MIN(IE72,IO72),0)</f>
        <v>0</v>
      </c>
      <c r="IQ72" s="20" t="n">
        <f aca="false">AI72+IP72</f>
        <v>0</v>
      </c>
      <c r="IR72" s="20" t="n">
        <f aca="false">IF(AH72=1,MAX(0,(Slot2_Cost-IQ72*(1+Slot2_Rate)^(Slot2_Age-D72))/IN72),0)</f>
        <v>0</v>
      </c>
      <c r="IS72" s="20" t="n">
        <f aca="false">IF(AH72=1,MAX(0,(Slot2_Cost-AI72*(1+Slot2_Rate)^(Slot2_Age-D72))/IN72),0)</f>
        <v>0</v>
      </c>
      <c r="IT72" s="20" t="n">
        <f aca="false">IF(AND(HU72=1,AH72=1),MIN(IM72,IR72),0)</f>
        <v>0</v>
      </c>
      <c r="IU72" s="20" t="n">
        <f aca="false">IM72-IT72</f>
        <v>0</v>
      </c>
      <c r="IV72" s="20" t="n">
        <f aca="false">IF(AR72=1,IF(ABS((1+AS_Wage)/(1+Slot3_Rate)-1)&lt;0.000000000001,(Slot3_Age-D72)*(1+Slot3_Rate)^(Slot3_Age-D72),(1+Slot3_Rate)^(Slot3_Age-D72)*(1-((1+AS_Wage)/(1+Slot3_Rate))^(Slot3_Age-D72))/(1-(1+AS_Wage)/(1+Slot3_Rate))),1)</f>
        <v>1</v>
      </c>
      <c r="IW72" s="20" t="n">
        <f aca="false">IF(AND(HU72=1,IE72&gt;0,Slot3_IsWG=1,AR72=1),MAX(0,(Slot3_Cost-AS72*(1+Slot3_Rate)^(Slot3_Age-D72))/IV72),0)</f>
        <v>0</v>
      </c>
      <c r="IX72" s="20" t="n">
        <f aca="false">IF(AND(HU72=1,IE72&gt;0,Slot3_IsWG=1,AR72=1),MIN(IE72,IW72),0)</f>
        <v>0</v>
      </c>
      <c r="IY72" s="20" t="n">
        <f aca="false">AS72+IX72</f>
        <v>0</v>
      </c>
      <c r="IZ72" s="20" t="n">
        <f aca="false">IF(AR72=1,MAX(0,(Slot3_Cost-IY72*(1+Slot3_Rate)^(Slot3_Age-D72))/IV72),0)</f>
        <v>0</v>
      </c>
      <c r="JA72" s="20" t="n">
        <f aca="false">IF(AR72=1,MAX(0,(Slot3_Cost-AS72*(1+Slot3_Rate)^(Slot3_Age-D72))/IV72),0)</f>
        <v>0</v>
      </c>
      <c r="JB72" s="20" t="n">
        <f aca="false">IF(AND(HU72=1,AR72=1),MIN(IU72,IZ72),0)</f>
        <v>0</v>
      </c>
      <c r="JC72" s="20" t="n">
        <f aca="false">IU72-JB72</f>
        <v>0</v>
      </c>
      <c r="JD72" s="20" t="n">
        <f aca="false">IF(BB72=1,IF(ABS((1+AS_Wage)/(1+Slot4_Rate)-1)&lt;0.000000000001,(Slot4_Age-D72)*(1+Slot4_Rate)^(Slot4_Age-D72),(1+Slot4_Rate)^(Slot4_Age-D72)*(1-((1+AS_Wage)/(1+Slot4_Rate))^(Slot4_Age-D72))/(1-(1+AS_Wage)/(1+Slot4_Rate))),1)</f>
        <v>1</v>
      </c>
      <c r="JE72" s="20" t="n">
        <f aca="false">IF(AND(HU72=1,IE72&gt;0,Slot4_IsWG=1,BB72=1),MAX(0,(Slot4_Cost-BC72*(1+Slot4_Rate)^(Slot4_Age-D72))/JD72),0)</f>
        <v>0</v>
      </c>
      <c r="JF72" s="20" t="n">
        <f aca="false">IF(AND(HU72=1,IE72&gt;0,Slot4_IsWG=1,BB72=1),MIN(IE72,JE72),0)</f>
        <v>0</v>
      </c>
      <c r="JG72" s="20" t="n">
        <f aca="false">BC72+JF72</f>
        <v>0</v>
      </c>
      <c r="JH72" s="20" t="n">
        <f aca="false">IF(BB72=1,MAX(0,(Slot4_Cost-JG72*(1+Slot4_Rate)^(Slot4_Age-D72))/JD72),0)</f>
        <v>0</v>
      </c>
      <c r="JI72" s="20" t="n">
        <f aca="false">IF(BB72=1,MAX(0,(Slot4_Cost-BC72*(1+Slot4_Rate)^(Slot4_Age-D72))/JD72),0)</f>
        <v>0</v>
      </c>
      <c r="JJ72" s="20" t="n">
        <f aca="false">IF(AND(HU72=1,BB72=1),MIN(JC72,JH72),0)</f>
        <v>0</v>
      </c>
      <c r="JK72" s="20" t="n">
        <f aca="false">JC72-JJ72</f>
        <v>0</v>
      </c>
      <c r="JL72" s="20" t="n">
        <f aca="false">IF(BL72=1,IF(ABS((1+AS_Wage)/(1+Slot5_Rate)-1)&lt;0.000000000001,(Slot5_Age-D72)*(1+Slot5_Rate)^(Slot5_Age-D72),(1+Slot5_Rate)^(Slot5_Age-D72)*(1-((1+AS_Wage)/(1+Slot5_Rate))^(Slot5_Age-D72))/(1-(1+AS_Wage)/(1+Slot5_Rate))),1)</f>
        <v>1</v>
      </c>
      <c r="JM72" s="20" t="n">
        <f aca="false">IF(AND(HU72=1,IE72&gt;0,Slot5_IsWG=1,BL72=1),MAX(0,(Slot5_Cost-BM72*(1+Slot5_Rate)^(Slot5_Age-D72))/JL72),0)</f>
        <v>0</v>
      </c>
      <c r="JN72" s="20" t="n">
        <f aca="false">IF(AND(HU72=1,IE72&gt;0,Slot5_IsWG=1,BL72=1),MIN(IE72,JM72),0)</f>
        <v>0</v>
      </c>
      <c r="JO72" s="20" t="n">
        <f aca="false">BM72+JN72</f>
        <v>0</v>
      </c>
      <c r="JP72" s="20" t="n">
        <f aca="false">IF(BL72=1,MAX(0,(Slot5_Cost-JO72*(1+Slot5_Rate)^(Slot5_Age-D72))/JL72),0)</f>
        <v>0</v>
      </c>
      <c r="JQ72" s="20" t="n">
        <f aca="false">IF(BL72=1,MAX(0,(Slot5_Cost-BM72*(1+Slot5_Rate)^(Slot5_Age-D72))/JL72),0)</f>
        <v>0</v>
      </c>
      <c r="JR72" s="20" t="n">
        <f aca="false">IF(AND(HU72=1,BL72=1),MIN(JK72,JP72),0)</f>
        <v>0</v>
      </c>
      <c r="JS72" s="20" t="n">
        <f aca="false">JK72-JR72</f>
        <v>0</v>
      </c>
      <c r="JT72" s="20" t="n">
        <f aca="false">IF(BV72=1,IF(ABS((1+AS_Wage)/(1+Slot6_Rate)-1)&lt;0.000000000001,(Slot6_Age-D72)*(1+Slot6_Rate)^(Slot6_Age-D72),(1+Slot6_Rate)^(Slot6_Age-D72)*(1-((1+AS_Wage)/(1+Slot6_Rate))^(Slot6_Age-D72))/(1-(1+AS_Wage)/(1+Slot6_Rate))),1)</f>
        <v>1</v>
      </c>
      <c r="JU72" s="20" t="n">
        <f aca="false">IF(AND(HU72=1,IE72&gt;0,Slot6_IsWG=1,BV72=1),MAX(0,(Slot6_Cost-BW72*(1+Slot6_Rate)^(Slot6_Age-D72))/JT72),0)</f>
        <v>0</v>
      </c>
      <c r="JV72" s="20" t="n">
        <f aca="false">IF(AND(HU72=1,IE72&gt;0,Slot6_IsWG=1,BV72=1),MIN(IE72,JU72),0)</f>
        <v>0</v>
      </c>
      <c r="JW72" s="20" t="n">
        <f aca="false">BW72+JV72</f>
        <v>0</v>
      </c>
      <c r="JX72" s="20" t="n">
        <f aca="false">IF(BV72=1,MAX(0,(Slot6_Cost-JW72*(1+Slot6_Rate)^(Slot6_Age-D72))/JT72),0)</f>
        <v>0</v>
      </c>
      <c r="JY72" s="20" t="n">
        <f aca="false">IF(BV72=1,MAX(0,(Slot6_Cost-BW72*(1+Slot6_Rate)^(Slot6_Age-D72))/JT72),0)</f>
        <v>0</v>
      </c>
      <c r="JZ72" s="20" t="n">
        <f aca="false">IF(AND(HU72=1,BV72=1),MIN(JS72,JX72),0)</f>
        <v>0</v>
      </c>
      <c r="KA72" s="20" t="n">
        <f aca="false">JS72-JZ72</f>
        <v>0</v>
      </c>
      <c r="KB72" s="20" t="n">
        <f aca="false">IF(CF72=1,IF(ABS((1+AS_Wage)/(1+Slot7_Rate)-1)&lt;0.000000000001,(Slot7_Age-D72)*(1+Slot7_Rate)^(Slot7_Age-D72),(1+Slot7_Rate)^(Slot7_Age-D72)*(1-((1+AS_Wage)/(1+Slot7_Rate))^(Slot7_Age-D72))/(1-(1+AS_Wage)/(1+Slot7_Rate))),1)</f>
        <v>1</v>
      </c>
      <c r="KC72" s="20" t="n">
        <f aca="false">IF(AND(HU72=1,IE72&gt;0,Slot7_IsWG=1,CF72=1),MAX(0,(Slot7_Cost-CG72*(1+Slot7_Rate)^(Slot7_Age-D72))/KB72),0)</f>
        <v>0</v>
      </c>
      <c r="KD72" s="20" t="n">
        <f aca="false">IF(AND(HU72=1,IE72&gt;0,Slot7_IsWG=1,CF72=1),MIN(IE72,KC72),0)</f>
        <v>0</v>
      </c>
      <c r="KE72" s="20" t="n">
        <f aca="false">CG72+KD72</f>
        <v>0</v>
      </c>
      <c r="KF72" s="20" t="n">
        <f aca="false">IF(CF72=1,MAX(0,(Slot7_Cost-KE72*(1+Slot7_Rate)^(Slot7_Age-D72))/KB72),0)</f>
        <v>0</v>
      </c>
      <c r="KG72" s="20" t="n">
        <f aca="false">IF(CF72=1,MAX(0,(Slot7_Cost-CG72*(1+Slot7_Rate)^(Slot7_Age-D72))/KB72),0)</f>
        <v>0</v>
      </c>
      <c r="KH72" s="20" t="n">
        <f aca="false">IF(AND(HU72=1,CF72=1),MIN(KA72,KF72),0)</f>
        <v>0</v>
      </c>
      <c r="KI72" s="20" t="n">
        <f aca="false">KA72-KH72</f>
        <v>0</v>
      </c>
      <c r="KJ72" s="20" t="n">
        <f aca="false">IF(CP72=1,IF(ABS((1+AS_Wage)/(1+Slot8_Rate)-1)&lt;0.000000000001,(Slot8_Age-D72)*(1+Slot8_Rate)^(Slot8_Age-D72),(1+Slot8_Rate)^(Slot8_Age-D72)*(1-((1+AS_Wage)/(1+Slot8_Rate))^(Slot8_Age-D72))/(1-(1+AS_Wage)/(1+Slot8_Rate))),1)</f>
        <v>1</v>
      </c>
      <c r="KK72" s="20" t="n">
        <f aca="false">IF(AND(HU72=1,IE72&gt;0,Slot8_IsWG=1,CP72=1),MAX(0,(Slot8_Cost-CQ72*(1+Slot8_Rate)^(Slot8_Age-D72))/KJ72),0)</f>
        <v>0</v>
      </c>
      <c r="KL72" s="20" t="n">
        <f aca="false">IF(AND(HU72=1,IE72&gt;0,Slot8_IsWG=1,CP72=1),MIN(IE72,KK72),0)</f>
        <v>0</v>
      </c>
      <c r="KM72" s="20" t="n">
        <f aca="false">CQ72+KL72</f>
        <v>0</v>
      </c>
      <c r="KN72" s="20" t="n">
        <f aca="false">IF(CP72=1,MAX(0,(Slot8_Cost-KM72*(1+Slot8_Rate)^(Slot8_Age-D72))/KJ72),0)</f>
        <v>0</v>
      </c>
      <c r="KO72" s="20" t="n">
        <f aca="false">IF(CP72=1,MAX(0,(Slot8_Cost-CQ72*(1+Slot8_Rate)^(Slot8_Age-D72))/KJ72),0)</f>
        <v>0</v>
      </c>
      <c r="KP72" s="20" t="n">
        <f aca="false">IF(AND(HU72=1,CP72=1),MIN(KI72,KN72),0)</f>
        <v>0</v>
      </c>
      <c r="KQ72" s="20" t="n">
        <f aca="false">KI72-KP72</f>
        <v>0</v>
      </c>
      <c r="KR72" s="20" t="n">
        <f aca="false">IF(CZ72=1,IF(ABS((1+AS_Wage)/(1+Slot9_Rate)-1)&lt;0.000000000001,(Slot9_Age-D72)*(1+Slot9_Rate)^(Slot9_Age-D72),(1+Slot9_Rate)^(Slot9_Age-D72)*(1-((1+AS_Wage)/(1+Slot9_Rate))^(Slot9_Age-D72))/(1-(1+AS_Wage)/(1+Slot9_Rate))),1)</f>
        <v>1</v>
      </c>
      <c r="KS72" s="20" t="n">
        <f aca="false">IF(AND(HU72=1,IE72&gt;0,Slot9_IsWG=1,CZ72=1),MAX(0,(Slot9_Cost-DA72*(1+Slot9_Rate)^(Slot9_Age-D72))/KR72),0)</f>
        <v>0</v>
      </c>
      <c r="KT72" s="20" t="n">
        <f aca="false">IF(AND(HU72=1,IE72&gt;0,Slot9_IsWG=1,CZ72=1),MIN(IE72,KS72),0)</f>
        <v>0</v>
      </c>
      <c r="KU72" s="20" t="n">
        <f aca="false">DA72+KT72</f>
        <v>0</v>
      </c>
      <c r="KV72" s="20" t="n">
        <f aca="false">IF(CZ72=1,MAX(0,(Slot9_Cost-KU72*(1+Slot9_Rate)^(Slot9_Age-D72))/KR72),0)</f>
        <v>0</v>
      </c>
      <c r="KW72" s="20" t="n">
        <f aca="false">IF(CZ72=1,MAX(0,(Slot9_Cost-DA72*(1+Slot9_Rate)^(Slot9_Age-D72))/KR72),0)</f>
        <v>0</v>
      </c>
      <c r="KX72" s="20" t="n">
        <f aca="false">IF(AND(HU72=1,CZ72=1),MIN(KQ72,KV72),0)</f>
        <v>0</v>
      </c>
      <c r="KY72" s="20" t="n">
        <f aca="false">KQ72-KX72</f>
        <v>0</v>
      </c>
      <c r="KZ72" s="20" t="n">
        <f aca="false">IF(DJ72=1,IF(ABS((1+AS_Wage)/(1+Slot10_Rate)-1)&lt;0.000000000001,(Slot10_Age-D72)*(1+Slot10_Rate)^(Slot10_Age-D72),(1+Slot10_Rate)^(Slot10_Age-D72)*(1-((1+AS_Wage)/(1+Slot10_Rate))^(Slot10_Age-D72))/(1-(1+AS_Wage)/(1+Slot10_Rate))),1)</f>
        <v>1</v>
      </c>
      <c r="LA72" s="20" t="n">
        <f aca="false">IF(AND(HU72=1,IE72&gt;0,Slot10_IsWG=1,DJ72=1),MAX(0,(Slot10_Cost-DK72*(1+Slot10_Rate)^(Slot10_Age-D72))/KZ72),0)</f>
        <v>0</v>
      </c>
      <c r="LB72" s="20" t="n">
        <f aca="false">IF(AND(HU72=1,IE72&gt;0,Slot10_IsWG=1,DJ72=1),MIN(IE72,LA72),0)</f>
        <v>0</v>
      </c>
      <c r="LC72" s="20" t="n">
        <f aca="false">DK72+LB72</f>
        <v>0</v>
      </c>
      <c r="LD72" s="20" t="n">
        <f aca="false">IF(DJ72=1,MAX(0,(Slot10_Cost-LC72*(1+Slot10_Rate)^(Slot10_Age-D72))/KZ72),0)</f>
        <v>0</v>
      </c>
      <c r="LE72" s="20" t="n">
        <f aca="false">IF(DJ72=1,MAX(0,(Slot10_Cost-DK72*(1+Slot10_Rate)^(Slot10_Age-D72))/KZ72),0)</f>
        <v>0</v>
      </c>
      <c r="LF72" s="20" t="n">
        <f aca="false">IF(AND(HU72=1,DJ72=1),MIN(KY72,LD72),0)</f>
        <v>0</v>
      </c>
      <c r="LG72" s="20" t="n">
        <f aca="false">KY72-LF72</f>
        <v>0</v>
      </c>
      <c r="LH72" s="20" t="n">
        <f aca="false">IF(DT72=1,IF(ABS((1+AS_Wage)/(1+Slot11_Rate)-1)&lt;0.000000000001,(Slot11_Age-D72)*(1+Slot11_Rate)^(Slot11_Age-D72),(1+Slot11_Rate)^(Slot11_Age-D72)*(1-((1+AS_Wage)/(1+Slot11_Rate))^(Slot11_Age-D72))/(1-(1+AS_Wage)/(1+Slot11_Rate))),1)</f>
        <v>1</v>
      </c>
      <c r="LI72" s="20" t="n">
        <f aca="false">IF(AND(HU72=1,IE72&gt;0,Slot11_IsWG=1,DT72=1),MAX(0,(Slot11_Cost-DU72*(1+Slot11_Rate)^(Slot11_Age-D72))/LH72),0)</f>
        <v>0</v>
      </c>
      <c r="LJ72" s="20" t="n">
        <f aca="false">IF(AND(HU72=1,IE72&gt;0,Slot11_IsWG=1,DT72=1),MIN(IE72,LI72),0)</f>
        <v>0</v>
      </c>
      <c r="LK72" s="20" t="n">
        <f aca="false">DU72+LJ72</f>
        <v>0</v>
      </c>
      <c r="LL72" s="20" t="n">
        <f aca="false">IF(DT72=1,MAX(0,(Slot11_Cost-LK72*(1+Slot11_Rate)^(Slot11_Age-D72))/LH72),0)</f>
        <v>0</v>
      </c>
      <c r="LM72" s="20" t="n">
        <f aca="false">IF(DT72=1,MAX(0,(Slot11_Cost-DU72*(1+Slot11_Rate)^(Slot11_Age-D72))/LH72),0)</f>
        <v>0</v>
      </c>
      <c r="LN72" s="20" t="n">
        <f aca="false">IF(AND(HU72=1,DT72=1),MIN(LG72,LL72),0)</f>
        <v>0</v>
      </c>
      <c r="LO72" s="20" t="n">
        <f aca="false">LG72-LN72</f>
        <v>0</v>
      </c>
      <c r="LP72" s="20" t="n">
        <f aca="false">IF(ED72=1,IF(ABS((1+AS_Wage)/(1+Slot12_Rate)-1)&lt;0.000000000001,(Slot12_Age-D72)*(1+Slot12_Rate)^(Slot12_Age-D72),(1+Slot12_Rate)^(Slot12_Age-D72)*(1-((1+AS_Wage)/(1+Slot12_Rate))^(Slot12_Age-D72))/(1-(1+AS_Wage)/(1+Slot12_Rate))),1)</f>
        <v>1</v>
      </c>
      <c r="LQ72" s="20" t="n">
        <f aca="false">IF(AND(HU72=1,IE72&gt;0,Slot12_IsWG=1,ED72=1),MAX(0,(Slot12_Cost-EE72*(1+Slot12_Rate)^(Slot12_Age-D72))/LP72),0)</f>
        <v>0</v>
      </c>
      <c r="LR72" s="20" t="n">
        <f aca="false">IF(AND(HU72=1,IE72&gt;0,Slot12_IsWG=1,ED72=1),MIN(IE72,LQ72),0)</f>
        <v>0</v>
      </c>
      <c r="LS72" s="20" t="n">
        <f aca="false">EE72+LR72</f>
        <v>0</v>
      </c>
      <c r="LT72" s="20" t="n">
        <f aca="false">IF(ED72=1,MAX(0,(Slot12_Cost-LS72*(1+Slot12_Rate)^(Slot12_Age-D72))/LP72),0)</f>
        <v>0</v>
      </c>
      <c r="LU72" s="20" t="n">
        <f aca="false">IF(ED72=1,MAX(0,(Slot12_Cost-EE72*(1+Slot12_Rate)^(Slot12_Age-D72))/LP72),0)</f>
        <v>0</v>
      </c>
      <c r="LV72" s="20" t="n">
        <f aca="false">IF(AND(HU72=1,ED72=1),MIN(LO72,LT72),0)</f>
        <v>0</v>
      </c>
      <c r="LW72" s="20" t="n">
        <f aca="false">LO72-LV72</f>
        <v>0</v>
      </c>
      <c r="LX72" s="20" t="n">
        <f aca="false">IF(EN72=1,IF(ABS((1+AS_Wage)/(1+Slot13_Rate)-1)&lt;0.000000000001,(Slot13_Age-D72)*(1+Slot13_Rate)^(Slot13_Age-D72),(1+Slot13_Rate)^(Slot13_Age-D72)*(1-((1+AS_Wage)/(1+Slot13_Rate))^(Slot13_Age-D72))/(1-(1+AS_Wage)/(1+Slot13_Rate))),1)</f>
        <v>1</v>
      </c>
      <c r="LY72" s="20" t="n">
        <f aca="false">IF(AND(HU72=1,IE72&gt;0,Slot13_IsWG=1,EN72=1),MAX(0,(Slot13_Cost-EO72*(1+Slot13_Rate)^(Slot13_Age-D72))/LX72),0)</f>
        <v>0</v>
      </c>
      <c r="LZ72" s="20" t="n">
        <f aca="false">IF(AND(HU72=1,IE72&gt;0,Slot13_IsWG=1,EN72=1),MIN(IE72,LY72),0)</f>
        <v>0</v>
      </c>
      <c r="MA72" s="20" t="n">
        <f aca="false">EO72+LZ72</f>
        <v>0</v>
      </c>
      <c r="MB72" s="20" t="n">
        <f aca="false">IF(EN72=1,MAX(0,(Slot13_Cost-MA72*(1+Slot13_Rate)^(Slot13_Age-D72))/LX72),0)</f>
        <v>0</v>
      </c>
      <c r="MC72" s="20" t="n">
        <f aca="false">IF(EN72=1,MAX(0,(Slot13_Cost-EO72*(1+Slot13_Rate)^(Slot13_Age-D72))/LX72),0)</f>
        <v>0</v>
      </c>
      <c r="MD72" s="20" t="n">
        <f aca="false">IF(AND(HU72=1,EN72=1),MIN(LW72,MB72),0)</f>
        <v>0</v>
      </c>
      <c r="ME72" s="20" t="n">
        <f aca="false">LW72-MD72</f>
        <v>0</v>
      </c>
      <c r="MF72" s="20" t="n">
        <f aca="false">IF(EX72=1,IF(ABS((1+AS_Wage)/(1+Slot14_Rate)-1)&lt;0.000000000001,(Slot14_Age-D72)*(1+Slot14_Rate)^(Slot14_Age-D72),(1+Slot14_Rate)^(Slot14_Age-D72)*(1-((1+AS_Wage)/(1+Slot14_Rate))^(Slot14_Age-D72))/(1-(1+AS_Wage)/(1+Slot14_Rate))),1)</f>
        <v>1</v>
      </c>
      <c r="MG72" s="20" t="n">
        <f aca="false">IF(AND(HU72=1,IE72&gt;0,Slot14_IsWG=1,EX72=1),MAX(0,(Slot14_Cost-EY72*(1+Slot14_Rate)^(Slot14_Age-D72))/MF72),0)</f>
        <v>0</v>
      </c>
      <c r="MH72" s="20" t="n">
        <f aca="false">IF(AND(HU72=1,IE72&gt;0,Slot14_IsWG=1,EX72=1),MIN(IE72,MG72),0)</f>
        <v>0</v>
      </c>
      <c r="MI72" s="20" t="n">
        <f aca="false">EY72+MH72</f>
        <v>0</v>
      </c>
      <c r="MJ72" s="20" t="n">
        <f aca="false">IF(EX72=1,MAX(0,(Slot14_Cost-MI72*(1+Slot14_Rate)^(Slot14_Age-D72))/MF72),0)</f>
        <v>0</v>
      </c>
      <c r="MK72" s="20" t="n">
        <f aca="false">IF(EX72=1,MAX(0,(Slot14_Cost-EY72*(1+Slot14_Rate)^(Slot14_Age-D72))/MF72),0)</f>
        <v>0</v>
      </c>
      <c r="ML72" s="20" t="n">
        <f aca="false">IF(AND(HU72=1,EX72=1),MIN(ME72,MJ72),0)</f>
        <v>0</v>
      </c>
      <c r="MM72" s="20" t="n">
        <f aca="false">ME72-ML72</f>
        <v>0</v>
      </c>
      <c r="MN72" s="20" t="n">
        <f aca="false">IF(FH72=1,IF(ABS((1+AS_Wage)/(1+Slot15_Rate)-1)&lt;0.000000000001,(Slot15_Age-D72)*(1+Slot15_Rate)^(Slot15_Age-D72),(1+Slot15_Rate)^(Slot15_Age-D72)*(1-((1+AS_Wage)/(1+Slot15_Rate))^(Slot15_Age-D72))/(1-(1+AS_Wage)/(1+Slot15_Rate))),1)</f>
        <v>1</v>
      </c>
      <c r="MO72" s="20" t="n">
        <f aca="false">IF(AND(HU72=1,IE72&gt;0,Slot15_IsWG=1,FH72=1),MAX(0,(Slot15_Cost-FI72*(1+Slot15_Rate)^(Slot15_Age-D72))/MN72),0)</f>
        <v>0</v>
      </c>
      <c r="MP72" s="20" t="n">
        <f aca="false">IF(AND(HU72=1,IE72&gt;0,Slot15_IsWG=1,FH72=1),MIN(IE72,MO72),0)</f>
        <v>0</v>
      </c>
      <c r="MQ72" s="20" t="n">
        <f aca="false">FI72+MP72</f>
        <v>0</v>
      </c>
      <c r="MR72" s="20" t="n">
        <f aca="false">IF(FH72=1,MAX(0,(Slot15_Cost-MQ72*(1+Slot15_Rate)^(Slot15_Age-D72))/MN72),0)</f>
        <v>0</v>
      </c>
      <c r="MS72" s="20" t="n">
        <f aca="false">IF(FH72=1,MAX(0,(Slot15_Cost-FI72*(1+Slot15_Rate)^(Slot15_Age-D72))/MN72),0)</f>
        <v>0</v>
      </c>
      <c r="MT72" s="20" t="n">
        <f aca="false">IF(AND(HU72=1,FH72=1),MIN(MM72,MR72),0)</f>
        <v>0</v>
      </c>
      <c r="MU72" s="20" t="n">
        <f aca="false">MM72-MT72</f>
        <v>0</v>
      </c>
      <c r="MV72" s="20" t="n">
        <f aca="false">IF(FR72=1,IF(ABS((1+AS_Wage)/(1+Slot16_Rate)-1)&lt;0.000000000001,(Slot16_Age-D72)*(1+Slot16_Rate)^(Slot16_Age-D72),(1+Slot16_Rate)^(Slot16_Age-D72)*(1-((1+AS_Wage)/(1+Slot16_Rate))^(Slot16_Age-D72))/(1-(1+AS_Wage)/(1+Slot16_Rate))),1)</f>
        <v>1</v>
      </c>
      <c r="MW72" s="20" t="n">
        <f aca="false">IF(AND(HU72=1,IE72&gt;0,Slot16_IsWG=1,FR72=1),MAX(0,(Slot16_Cost-FS72*(1+Slot16_Rate)^(Slot16_Age-D72))/MV72),0)</f>
        <v>0</v>
      </c>
      <c r="MX72" s="20" t="n">
        <f aca="false">IF(AND(HU72=1,IE72&gt;0,Slot16_IsWG=1,FR72=1),MIN(IE72,MW72),0)</f>
        <v>0</v>
      </c>
      <c r="MY72" s="20" t="n">
        <f aca="false">FS72+MX72</f>
        <v>0</v>
      </c>
      <c r="MZ72" s="20" t="n">
        <f aca="false">IF(FR72=1,MAX(0,(Slot16_Cost-MY72*(1+Slot16_Rate)^(Slot16_Age-D72))/MV72),0)</f>
        <v>0</v>
      </c>
      <c r="NA72" s="20" t="n">
        <f aca="false">IF(FR72=1,MAX(0,(Slot16_Cost-FS72*(1+Slot16_Rate)^(Slot16_Age-D72))/MV72),0)</f>
        <v>0</v>
      </c>
      <c r="NB72" s="20" t="n">
        <f aca="false">IF(AND(HU72=1,FR72=1),MIN(MU72,MZ72),0)</f>
        <v>0</v>
      </c>
      <c r="NC72" s="20" t="n">
        <f aca="false">MU72-NB72</f>
        <v>0</v>
      </c>
      <c r="ND72" s="20" t="n">
        <f aca="false">IF(GB72=1,IF(ABS((1+AS_Wage)/(1+Slot17_Rate)-1)&lt;0.000000000001,(Slot17_Age-D72)*(1+Slot17_Rate)^(Slot17_Age-D72),(1+Slot17_Rate)^(Slot17_Age-D72)*(1-((1+AS_Wage)/(1+Slot17_Rate))^(Slot17_Age-D72))/(1-(1+AS_Wage)/(1+Slot17_Rate))),1)</f>
        <v>1</v>
      </c>
      <c r="NE72" s="20" t="n">
        <f aca="false">IF(AND(HU72=1,IE72&gt;0,Slot17_IsWG=1,GB72=1),MAX(0,(Slot17_Cost-GC72*(1+Slot17_Rate)^(Slot17_Age-D72))/ND72),0)</f>
        <v>0</v>
      </c>
      <c r="NF72" s="20" t="n">
        <f aca="false">IF(AND(HU72=1,IE72&gt;0,Slot17_IsWG=1,GB72=1),MIN(IE72,NE72),0)</f>
        <v>0</v>
      </c>
      <c r="NG72" s="20" t="n">
        <f aca="false">GC72+NF72</f>
        <v>0</v>
      </c>
      <c r="NH72" s="20" t="n">
        <f aca="false">IF(GB72=1,MAX(0,(Slot17_Cost-NG72*(1+Slot17_Rate)^(Slot17_Age-D72))/ND72),0)</f>
        <v>0</v>
      </c>
      <c r="NI72" s="20" t="n">
        <f aca="false">IF(GB72=1,MAX(0,(Slot17_Cost-GC72*(1+Slot17_Rate)^(Slot17_Age-D72))/ND72),0)</f>
        <v>0</v>
      </c>
      <c r="NJ72" s="20" t="n">
        <f aca="false">IF(AND(HU72=1,GB72=1),MIN(NC72,NH72),0)</f>
        <v>0</v>
      </c>
      <c r="NK72" s="20" t="n">
        <f aca="false">NC72-NJ72</f>
        <v>0</v>
      </c>
      <c r="NL72" s="20" t="n">
        <f aca="false">IF(GL72=1,IF(ABS((1+AS_Wage)/(1+Slot18_Rate)-1)&lt;0.000000000001,(Slot18_Age-D72)*(1+Slot18_Rate)^(Slot18_Age-D72),(1+Slot18_Rate)^(Slot18_Age-D72)*(1-((1+AS_Wage)/(1+Slot18_Rate))^(Slot18_Age-D72))/(1-(1+AS_Wage)/(1+Slot18_Rate))),1)</f>
        <v>1</v>
      </c>
      <c r="NM72" s="20" t="n">
        <f aca="false">IF(AND(HU72=1,IE72&gt;0,Slot18_IsWG=1,GL72=1),MAX(0,(Slot18_Cost-GM72*(1+Slot18_Rate)^(Slot18_Age-D72))/NL72),0)</f>
        <v>0</v>
      </c>
      <c r="NN72" s="20" t="n">
        <f aca="false">IF(AND(HU72=1,IE72&gt;0,Slot18_IsWG=1,GL72=1),MIN(IE72,NM72),0)</f>
        <v>0</v>
      </c>
      <c r="NO72" s="20" t="n">
        <f aca="false">GM72+NN72</f>
        <v>0</v>
      </c>
      <c r="NP72" s="20" t="n">
        <f aca="false">IF(GL72=1,MAX(0,(Slot18_Cost-NO72*(1+Slot18_Rate)^(Slot18_Age-D72))/NL72),0)</f>
        <v>0</v>
      </c>
      <c r="NQ72" s="20" t="n">
        <f aca="false">IF(GL72=1,MAX(0,(Slot18_Cost-GM72*(1+Slot18_Rate)^(Slot18_Age-D72))/NL72),0)</f>
        <v>0</v>
      </c>
      <c r="NR72" s="20" t="n">
        <f aca="false">IF(AND(HU72=1,GL72=1),MIN(NK72,NP72),0)</f>
        <v>0</v>
      </c>
      <c r="NS72" s="20" t="n">
        <f aca="false">NK72-NR72</f>
        <v>0</v>
      </c>
      <c r="NT72" s="20" t="n">
        <f aca="false">IF(GV72=1,IF(ABS((1+AS_Wage)/(1+Slot19_Rate)-1)&lt;0.000000000001,(Slot19_Age-D72)*(1+Slot19_Rate)^(Slot19_Age-D72),(1+Slot19_Rate)^(Slot19_Age-D72)*(1-((1+AS_Wage)/(1+Slot19_Rate))^(Slot19_Age-D72))/(1-(1+AS_Wage)/(1+Slot19_Rate))),1)</f>
        <v>1</v>
      </c>
      <c r="NU72" s="20" t="n">
        <f aca="false">IF(AND(HU72=1,IE72&gt;0,Slot19_IsWG=1,GV72=1),MAX(0,(Slot19_Cost-GW72*(1+Slot19_Rate)^(Slot19_Age-D72))/NT72),0)</f>
        <v>0</v>
      </c>
      <c r="NV72" s="20" t="n">
        <f aca="false">IF(AND(HU72=1,IE72&gt;0,Slot19_IsWG=1,GV72=1),MIN(IE72,NU72),0)</f>
        <v>0</v>
      </c>
      <c r="NW72" s="20" t="n">
        <f aca="false">GW72+NV72</f>
        <v>0</v>
      </c>
      <c r="NX72" s="20" t="n">
        <f aca="false">IF(GV72=1,MAX(0,(Slot19_Cost-NW72*(1+Slot19_Rate)^(Slot19_Age-D72))/NT72),0)</f>
        <v>0</v>
      </c>
      <c r="NY72" s="20" t="n">
        <f aca="false">IF(GV72=1,MAX(0,(Slot19_Cost-GW72*(1+Slot19_Rate)^(Slot19_Age-D72))/NT72),0)</f>
        <v>0</v>
      </c>
      <c r="NZ72" s="20" t="n">
        <f aca="false">IF(AND(HU72=1,GV72=1),MIN(NS72,NX72),0)</f>
        <v>0</v>
      </c>
      <c r="OA72" s="20" t="n">
        <f aca="false">NS72-NZ72</f>
        <v>0</v>
      </c>
      <c r="OB72" s="20" t="n">
        <f aca="false">IF(HF72=1,IF(ABS((1+AS_Wage)/(1+Slot20_Rate)-1)&lt;0.000000000001,(Slot20_Age-D72)*(1+Slot20_Rate)^(Slot20_Age-D72),(1+Slot20_Rate)^(Slot20_Age-D72)*(1-((1+AS_Wage)/(1+Slot20_Rate))^(Slot20_Age-D72))/(1-(1+AS_Wage)/(1+Slot20_Rate))),1)</f>
        <v>1</v>
      </c>
      <c r="OC72" s="20" t="n">
        <f aca="false">IF(AND(HU72=1,IE72&gt;0,Slot20_IsWG=1,HF72=1),MAX(0,(Slot20_Cost-HG72*(1+Slot20_Rate)^(Slot20_Age-D72))/OB72),0)</f>
        <v>0</v>
      </c>
      <c r="OD72" s="20" t="n">
        <f aca="false">IF(AND(HU72=1,IE72&gt;0,Slot20_IsWG=1,HF72=1),MIN(IE72,OC72),0)</f>
        <v>0</v>
      </c>
      <c r="OE72" s="20" t="n">
        <f aca="false">HG72+OD72</f>
        <v>0</v>
      </c>
      <c r="OF72" s="20" t="n">
        <f aca="false">IF(HF72=1,MAX(0,(Slot20_Cost-OE72*(1+Slot20_Rate)^(Slot20_Age-D72))/OB72),0)</f>
        <v>0</v>
      </c>
      <c r="OG72" s="20" t="n">
        <f aca="false">IF(HF72=1,MAX(0,(Slot20_Cost-HG72*(1+Slot20_Rate)^(Slot20_Age-D72))/OB72),0)</f>
        <v>0</v>
      </c>
      <c r="OH72" s="20" t="n">
        <f aca="false">IF(AND(HU72=1,HF72=1),MIN(OA72,OF72),0)</f>
        <v>0</v>
      </c>
      <c r="OI72" s="20" t="n">
        <f aca="false">OA72-OH72</f>
        <v>0</v>
      </c>
      <c r="OJ72" s="20" t="n">
        <f aca="false">IE72-(IH72+IP72+IX72+JF72+JN72+JV72+KD72+KL72+KT72+LB72+LJ72+LR72+LZ72+MH72+MP72+MX72+NF72+NN72+NV72+OD72)</f>
        <v>0</v>
      </c>
      <c r="OK72" s="20" t="n">
        <f aca="false">IF(HU72=1,HS72-ID72-IE72,0)</f>
        <v>0</v>
      </c>
      <c r="OL72" s="20" t="n">
        <f aca="false">IF(HU72=0,-HS72,0)</f>
        <v>68421.3641082156</v>
      </c>
      <c r="OM72" s="20" t="n">
        <f aca="false">MIN(OL72,HK72)</f>
        <v>0</v>
      </c>
      <c r="ON72" s="20" t="n">
        <f aca="false">OL72-OM72</f>
        <v>68421.3641082156</v>
      </c>
      <c r="OO72" s="20" t="n">
        <f aca="false">MIN(ON72,HL72)</f>
        <v>0</v>
      </c>
      <c r="OP72" s="20" t="n">
        <f aca="false">ON72-OO72</f>
        <v>68421.3641082156</v>
      </c>
      <c r="OQ72" s="20" t="n">
        <f aca="false">IF(AND(HU72=0,HF72=1,OP72&gt;0),MIN(OP72,HG72),0)</f>
        <v>0</v>
      </c>
      <c r="OR72" s="20" t="n">
        <f aca="false">OP72-OQ72</f>
        <v>68421.3641082156</v>
      </c>
      <c r="OS72" s="20" t="n">
        <f aca="false">IF(AND(HU72=0,GV72=1,OR72&gt;0),MIN(OR72,GW72),0)</f>
        <v>0</v>
      </c>
      <c r="OT72" s="20" t="n">
        <f aca="false">OR72-OS72</f>
        <v>68421.3641082156</v>
      </c>
      <c r="OU72" s="20" t="n">
        <f aca="false">IF(AND(HU72=0,GL72=1,OT72&gt;0),MIN(OT72,GM72),0)</f>
        <v>0</v>
      </c>
      <c r="OV72" s="20" t="n">
        <f aca="false">OT72-OU72</f>
        <v>68421.3641082156</v>
      </c>
      <c r="OW72" s="20" t="n">
        <f aca="false">IF(AND(HU72=0,GB72=1,OV72&gt;0),MIN(OV72,GC72),0)</f>
        <v>0</v>
      </c>
      <c r="OX72" s="20" t="n">
        <f aca="false">OV72-OW72</f>
        <v>68421.3641082156</v>
      </c>
      <c r="OY72" s="20" t="n">
        <f aca="false">IF(AND(HU72=0,FR72=1,OX72&gt;0),MIN(OX72,FS72),0)</f>
        <v>0</v>
      </c>
      <c r="OZ72" s="20" t="n">
        <f aca="false">OX72-OY72</f>
        <v>68421.3641082156</v>
      </c>
      <c r="PA72" s="20" t="n">
        <f aca="false">IF(AND(HU72=0,FH72=1,OZ72&gt;0),MIN(OZ72,FI72),0)</f>
        <v>0</v>
      </c>
      <c r="PB72" s="20" t="n">
        <f aca="false">OZ72-PA72</f>
        <v>68421.3641082156</v>
      </c>
      <c r="PC72" s="20" t="n">
        <f aca="false">IF(AND(HU72=0,EX72=1,PB72&gt;0),MIN(PB72,EY72),0)</f>
        <v>0</v>
      </c>
      <c r="PD72" s="20" t="n">
        <f aca="false">PB72-PC72</f>
        <v>68421.3641082156</v>
      </c>
      <c r="PE72" s="20" t="n">
        <f aca="false">IF(AND(HU72=0,EN72=1,PD72&gt;0),MIN(PD72,EO72),0)</f>
        <v>0</v>
      </c>
      <c r="PF72" s="20" t="n">
        <f aca="false">PD72-PE72</f>
        <v>68421.3641082156</v>
      </c>
      <c r="PG72" s="20" t="n">
        <f aca="false">IF(AND(HU72=0,ED72=1,PF72&gt;0),MIN(PF72,EE72),0)</f>
        <v>0</v>
      </c>
      <c r="PH72" s="20" t="n">
        <f aca="false">PF72-PG72</f>
        <v>68421.3641082156</v>
      </c>
      <c r="PI72" s="20" t="n">
        <f aca="false">IF(AND(HU72=0,DT72=1,PH72&gt;0),MIN(PH72,DU72),0)</f>
        <v>0</v>
      </c>
      <c r="PJ72" s="20" t="n">
        <f aca="false">PH72-PI72</f>
        <v>68421.3641082156</v>
      </c>
      <c r="PK72" s="20" t="n">
        <f aca="false">IF(AND(HU72=0,DJ72=1,PJ72&gt;0),MIN(PJ72,DK72),0)</f>
        <v>0</v>
      </c>
      <c r="PL72" s="20" t="n">
        <f aca="false">PJ72-PK72</f>
        <v>68421.3641082156</v>
      </c>
      <c r="PM72" s="20" t="n">
        <f aca="false">IF(AND(HU72=0,CZ72=1,PL72&gt;0),MIN(PL72,DA72),0)</f>
        <v>0</v>
      </c>
      <c r="PN72" s="20" t="n">
        <f aca="false">PL72-PM72</f>
        <v>68421.3641082156</v>
      </c>
      <c r="PO72" s="20" t="n">
        <f aca="false">IF(AND(HU72=0,CP72=1,PN72&gt;0),MIN(PN72,CQ72),0)</f>
        <v>0</v>
      </c>
      <c r="PP72" s="20" t="n">
        <f aca="false">PN72-PO72</f>
        <v>68421.3641082156</v>
      </c>
      <c r="PQ72" s="20" t="n">
        <f aca="false">IF(AND(HU72=0,CF72=1,PP72&gt;0),MIN(PP72,CG72),0)</f>
        <v>0</v>
      </c>
      <c r="PR72" s="20" t="n">
        <f aca="false">PP72-PQ72</f>
        <v>68421.3641082156</v>
      </c>
      <c r="PS72" s="20" t="n">
        <f aca="false">IF(AND(HU72=0,BV72=1,PR72&gt;0),MIN(PR72,BW72),0)</f>
        <v>0</v>
      </c>
      <c r="PT72" s="20" t="n">
        <f aca="false">PR72-PS72</f>
        <v>68421.3641082156</v>
      </c>
      <c r="PU72" s="20" t="n">
        <f aca="false">IF(AND(HU72=0,BL72=1,PT72&gt;0),MIN(PT72,BM72),0)</f>
        <v>0</v>
      </c>
      <c r="PV72" s="20" t="n">
        <f aca="false">PT72-PU72</f>
        <v>68421.3641082156</v>
      </c>
      <c r="PW72" s="20" t="n">
        <f aca="false">IF(AND(HU72=0,BB72=1,PV72&gt;0),MIN(PV72,BC72),0)</f>
        <v>0</v>
      </c>
      <c r="PX72" s="20" t="n">
        <f aca="false">PV72-PW72</f>
        <v>68421.3641082156</v>
      </c>
      <c r="PY72" s="20" t="n">
        <f aca="false">IF(AND(HU72=0,AR72=1,PX72&gt;0),MIN(PX72,AS72),0)</f>
        <v>0</v>
      </c>
      <c r="PZ72" s="20" t="n">
        <f aca="false">PX72-PY72</f>
        <v>68421.3641082156</v>
      </c>
      <c r="QA72" s="20" t="n">
        <f aca="false">IF(AND(HU72=0,AH72=1,PZ72&gt;0),MIN(PZ72,AI72),0)</f>
        <v>0</v>
      </c>
      <c r="QB72" s="20" t="n">
        <f aca="false">PZ72-QA72</f>
        <v>68421.3641082156</v>
      </c>
      <c r="QC72" s="20" t="n">
        <f aca="false">IF(AND(HU72=0,W72=1,QB72&gt;0),MIN(QB72,X72),0)</f>
        <v>0</v>
      </c>
      <c r="QD72" s="20" t="n">
        <f aca="false">QB72-QC72</f>
        <v>68421.3641082156</v>
      </c>
      <c r="QE72" s="20" t="n">
        <f aca="false">IF(HU72=0,QD72,0)</f>
        <v>68421.3641082156</v>
      </c>
      <c r="QF72" s="20" t="n">
        <f aca="false">OM72+OO72+QC72+QA72+PY72+PW72+PU72+PS72+PQ72+PO72+PM72+PK72+PI72+PG72+PE72+PC72+PA72+OY72+OW72+OU72+OS72+OQ72</f>
        <v>0</v>
      </c>
      <c r="QG72" s="20" t="n">
        <f aca="false">IF(HU72=1,HK72+OJ72+OI72+IF(G72=1,0,OK72),HK72-OM72)</f>
        <v>0</v>
      </c>
      <c r="QH72" s="20" t="n">
        <f aca="false">HL72-OO72</f>
        <v>0</v>
      </c>
      <c r="QI72" s="20" t="n">
        <f aca="false">IF(HU72=1,IF(G72=1,ID72+IE72,HS72),0)</f>
        <v>0</v>
      </c>
      <c r="QJ72" s="20" t="n">
        <f aca="false">IF(HU72=1,IF(G72=1,HS72-ID72-IE72,0),0)</f>
        <v>0</v>
      </c>
      <c r="QK72" s="20" t="n">
        <f aca="false">QG72*(1+GR)</f>
        <v>0</v>
      </c>
      <c r="QL72" s="20" t="n">
        <f aca="false">QH72*(1+AS_Cash)</f>
        <v>0</v>
      </c>
      <c r="QM72" s="20" t="n">
        <f aca="false">IF(W72=1,IF(HU72=1,II72+IL72,X72-QC72)*(1+Slot1_Rate),0)</f>
        <v>0</v>
      </c>
      <c r="QN72" s="20" t="n">
        <f aca="false">IF(AND(HU72=1,W72=1),(IH72+IL72)/F72,0)</f>
        <v>0</v>
      </c>
      <c r="QO72" s="20" t="n">
        <f aca="false">IF(B72=0,IH72+IL72,0)</f>
        <v>0</v>
      </c>
      <c r="QP72" s="20" t="n">
        <f aca="false">IF(B72=0,IF(HU72=1,IJ72,IK72),0)</f>
        <v>0</v>
      </c>
      <c r="QQ72" s="20" t="n">
        <f aca="false">IF(AH72=1,IF(HU72=1,IQ72+IT72,AI72-QA72)*(1+Slot2_Rate),0)</f>
        <v>0</v>
      </c>
      <c r="QR72" s="20" t="n">
        <f aca="false">IF(AND(HU72=1,AH72=1),(IP72+IT72)/F72,0)</f>
        <v>0</v>
      </c>
      <c r="QS72" s="20" t="n">
        <f aca="false">IF(B72=0,IP72+IT72,0)</f>
        <v>0</v>
      </c>
      <c r="QT72" s="20" t="n">
        <f aca="false">IF(B72=0,IF(HU72=1,IR72,IS72),0)</f>
        <v>0</v>
      </c>
      <c r="QU72" s="20" t="n">
        <f aca="false">IF(AR72=1,IF(HU72=1,IY72+JB72,AS72-PY72)*(1+Slot3_Rate),0)</f>
        <v>0</v>
      </c>
      <c r="QV72" s="20" t="n">
        <f aca="false">IF(AND(HU72=1,AR72=1),(IX72+JB72)/F72,0)</f>
        <v>0</v>
      </c>
      <c r="QW72" s="20" t="n">
        <f aca="false">IF(B72=0,IX72+JB72,0)</f>
        <v>0</v>
      </c>
      <c r="QX72" s="20" t="n">
        <f aca="false">IF(B72=0,IF(HU72=1,IZ72,JA72),0)</f>
        <v>0</v>
      </c>
      <c r="QY72" s="20" t="n">
        <f aca="false">IF(BB72=1,IF(HU72=1,JG72+JJ72,BC72-PW72)*(1+Slot4_Rate),0)</f>
        <v>0</v>
      </c>
      <c r="QZ72" s="20" t="n">
        <f aca="false">IF(AND(HU72=1,BB72=1),(JF72+JJ72)/F72,0)</f>
        <v>0</v>
      </c>
      <c r="RA72" s="20" t="n">
        <f aca="false">IF(B72=0,JF72+JJ72,0)</f>
        <v>0</v>
      </c>
      <c r="RB72" s="20" t="n">
        <f aca="false">IF(B72=0,IF(HU72=1,JH72,JI72),0)</f>
        <v>0</v>
      </c>
      <c r="RC72" s="20" t="n">
        <f aca="false">IF(BL72=1,IF(HU72=1,JO72+JR72,BM72-PU72)*(1+Slot5_Rate),0)</f>
        <v>0</v>
      </c>
      <c r="RD72" s="20" t="n">
        <f aca="false">IF(AND(HU72=1,BL72=1),(JN72+JR72)/F72,0)</f>
        <v>0</v>
      </c>
      <c r="RE72" s="20" t="n">
        <f aca="false">IF(B72=0,JN72+JR72,0)</f>
        <v>0</v>
      </c>
      <c r="RF72" s="20" t="n">
        <f aca="false">IF(B72=0,IF(HU72=1,JP72,JQ72),0)</f>
        <v>0</v>
      </c>
      <c r="RG72" s="20" t="n">
        <f aca="false">IF(BV72=1,IF(HU72=1,JW72+JZ72,BW72-PS72)*(1+Slot6_Rate),0)</f>
        <v>0</v>
      </c>
      <c r="RH72" s="20" t="n">
        <f aca="false">IF(AND(HU72=1,BV72=1),(JV72+JZ72)/F72,0)</f>
        <v>0</v>
      </c>
      <c r="RI72" s="20" t="n">
        <f aca="false">IF(B72=0,JV72+JZ72,0)</f>
        <v>0</v>
      </c>
      <c r="RJ72" s="20" t="n">
        <f aca="false">IF(B72=0,IF(HU72=1,JX72,JY72),0)</f>
        <v>0</v>
      </c>
      <c r="RK72" s="20" t="n">
        <f aca="false">IF(CF72=1,IF(HU72=1,KE72+KH72,CG72-PQ72)*(1+Slot7_Rate),0)</f>
        <v>0</v>
      </c>
      <c r="RL72" s="20" t="n">
        <f aca="false">IF(AND(HU72=1,CF72=1),(KD72+KH72)/F72,0)</f>
        <v>0</v>
      </c>
      <c r="RM72" s="20" t="n">
        <f aca="false">IF(B72=0,KD72+KH72,0)</f>
        <v>0</v>
      </c>
      <c r="RN72" s="20" t="n">
        <f aca="false">IF(B72=0,IF(HU72=1,KF72,KG72),0)</f>
        <v>0</v>
      </c>
      <c r="RO72" s="20" t="n">
        <f aca="false">IF(CP72=1,IF(HU72=1,KM72+KP72,CQ72-PO72)*(1+Slot8_Rate),0)</f>
        <v>0</v>
      </c>
      <c r="RP72" s="20" t="n">
        <f aca="false">IF(AND(HU72=1,CP72=1),(KL72+KP72)/F72,0)</f>
        <v>0</v>
      </c>
      <c r="RQ72" s="20" t="n">
        <f aca="false">IF(B72=0,KL72+KP72,0)</f>
        <v>0</v>
      </c>
      <c r="RR72" s="20" t="n">
        <f aca="false">IF(B72=0,IF(HU72=1,KN72,KO72),0)</f>
        <v>0</v>
      </c>
      <c r="RS72" s="20" t="n">
        <f aca="false">IF(CZ72=1,IF(HU72=1,KU72+KX72,DA72-PM72)*(1+Slot9_Rate),0)</f>
        <v>0</v>
      </c>
      <c r="RT72" s="20" t="n">
        <f aca="false">IF(AND(HU72=1,CZ72=1),(KT72+KX72)/F72,0)</f>
        <v>0</v>
      </c>
      <c r="RU72" s="20" t="n">
        <f aca="false">IF(B72=0,KT72+KX72,0)</f>
        <v>0</v>
      </c>
      <c r="RV72" s="20" t="n">
        <f aca="false">IF(B72=0,IF(HU72=1,KV72,KW72),0)</f>
        <v>0</v>
      </c>
      <c r="RW72" s="20" t="n">
        <f aca="false">IF(DJ72=1,IF(HU72=1,LC72+LF72,DK72-PK72)*(1+Slot10_Rate),0)</f>
        <v>0</v>
      </c>
      <c r="RX72" s="20" t="n">
        <f aca="false">IF(AND(HU72=1,DJ72=1),(LB72+LF72)/F72,0)</f>
        <v>0</v>
      </c>
      <c r="RY72" s="20" t="n">
        <f aca="false">IF(B72=0,LB72+LF72,0)</f>
        <v>0</v>
      </c>
      <c r="RZ72" s="20" t="n">
        <f aca="false">IF(B72=0,IF(HU72=1,LD72,LE72),0)</f>
        <v>0</v>
      </c>
      <c r="SA72" s="20" t="n">
        <f aca="false">IF(DT72=1,IF(HU72=1,LK72+LN72,DU72-PI72)*(1+Slot11_Rate),0)</f>
        <v>0</v>
      </c>
      <c r="SB72" s="20" t="n">
        <f aca="false">IF(AND(HU72=1,DT72=1),(LJ72+LN72)/F72,0)</f>
        <v>0</v>
      </c>
      <c r="SC72" s="20" t="n">
        <f aca="false">IF(B72=0,LJ72+LN72,0)</f>
        <v>0</v>
      </c>
      <c r="SD72" s="20" t="n">
        <f aca="false">IF(B72=0,IF(HU72=1,LL72,LM72),0)</f>
        <v>0</v>
      </c>
      <c r="SE72" s="20" t="n">
        <f aca="false">IF(ED72=1,IF(HU72=1,LS72+LV72,EE72-PG72)*(1+Slot12_Rate),0)</f>
        <v>0</v>
      </c>
      <c r="SF72" s="20" t="n">
        <f aca="false">IF(AND(HU72=1,ED72=1),(LR72+LV72)/F72,0)</f>
        <v>0</v>
      </c>
      <c r="SG72" s="20" t="n">
        <f aca="false">IF(B72=0,LR72+LV72,0)</f>
        <v>0</v>
      </c>
      <c r="SH72" s="20" t="n">
        <f aca="false">IF(B72=0,IF(HU72=1,LT72,LU72),0)</f>
        <v>0</v>
      </c>
      <c r="SI72" s="20" t="n">
        <f aca="false">IF(EN72=1,IF(HU72=1,MA72+MD72,EO72-PE72)*(1+Slot13_Rate),0)</f>
        <v>0</v>
      </c>
      <c r="SJ72" s="20" t="n">
        <f aca="false">IF(AND(HU72=1,EN72=1),(LZ72+MD72)/F72,0)</f>
        <v>0</v>
      </c>
      <c r="SK72" s="20" t="n">
        <f aca="false">IF(B72=0,LZ72+MD72,0)</f>
        <v>0</v>
      </c>
      <c r="SL72" s="20" t="n">
        <f aca="false">IF(B72=0,IF(HU72=1,MB72,MC72),0)</f>
        <v>0</v>
      </c>
      <c r="SM72" s="20" t="n">
        <f aca="false">IF(EX72=1,IF(HU72=1,MI72+ML72,EY72-PC72)*(1+Slot14_Rate),0)</f>
        <v>0</v>
      </c>
      <c r="SN72" s="20" t="n">
        <f aca="false">IF(AND(HU72=1,EX72=1),(MH72+ML72)/F72,0)</f>
        <v>0</v>
      </c>
      <c r="SO72" s="20" t="n">
        <f aca="false">IF(B72=0,MH72+ML72,0)</f>
        <v>0</v>
      </c>
      <c r="SP72" s="20" t="n">
        <f aca="false">IF(B72=0,IF(HU72=1,MJ72,MK72),0)</f>
        <v>0</v>
      </c>
      <c r="SQ72" s="20" t="n">
        <f aca="false">IF(FH72=1,IF(HU72=1,MQ72+MT72,FI72-PA72)*(1+Slot15_Rate),0)</f>
        <v>0</v>
      </c>
      <c r="SR72" s="20" t="n">
        <f aca="false">IF(AND(HU72=1,FH72=1),(MP72+MT72)/F72,0)</f>
        <v>0</v>
      </c>
      <c r="SS72" s="20" t="n">
        <f aca="false">IF(B72=0,MP72+MT72,0)</f>
        <v>0</v>
      </c>
      <c r="ST72" s="20" t="n">
        <f aca="false">IF(B72=0,IF(HU72=1,MR72,MS72),0)</f>
        <v>0</v>
      </c>
      <c r="SU72" s="20" t="n">
        <f aca="false">IF(FR72=1,IF(HU72=1,MY72+NB72,FS72-OY72)*(1+Slot16_Rate),0)</f>
        <v>0</v>
      </c>
      <c r="SV72" s="20" t="n">
        <f aca="false">IF(AND(HU72=1,FR72=1),(MX72+NB72)/F72,0)</f>
        <v>0</v>
      </c>
      <c r="SW72" s="20" t="n">
        <f aca="false">IF(B72=0,MX72+NB72,0)</f>
        <v>0</v>
      </c>
      <c r="SX72" s="20" t="n">
        <f aca="false">IF(B72=0,IF(HU72=1,MZ72,NA72),0)</f>
        <v>0</v>
      </c>
      <c r="SY72" s="20" t="n">
        <f aca="false">IF(GB72=1,IF(HU72=1,NG72+NJ72,GC72-OW72)*(1+Slot17_Rate),0)</f>
        <v>0</v>
      </c>
      <c r="SZ72" s="20" t="n">
        <f aca="false">IF(AND(HU72=1,GB72=1),(NF72+NJ72)/F72,0)</f>
        <v>0</v>
      </c>
      <c r="TA72" s="20" t="n">
        <f aca="false">IF(B72=0,NF72+NJ72,0)</f>
        <v>0</v>
      </c>
      <c r="TB72" s="20" t="n">
        <f aca="false">IF(B72=0,IF(HU72=1,NH72,NI72),0)</f>
        <v>0</v>
      </c>
      <c r="TC72" s="20" t="n">
        <f aca="false">IF(GL72=1,IF(HU72=1,NO72+NR72,GM72-OU72)*(1+Slot18_Rate),0)</f>
        <v>0</v>
      </c>
      <c r="TD72" s="20" t="n">
        <f aca="false">IF(AND(HU72=1,GL72=1),(NN72+NR72)/F72,0)</f>
        <v>0</v>
      </c>
      <c r="TE72" s="20" t="n">
        <f aca="false">IF(B72=0,NN72+NR72,0)</f>
        <v>0</v>
      </c>
      <c r="TF72" s="20" t="n">
        <f aca="false">IF(B72=0,IF(HU72=1,NP72,NQ72),0)</f>
        <v>0</v>
      </c>
      <c r="TG72" s="20" t="n">
        <f aca="false">IF(GV72=1,IF(HU72=1,NW72+NZ72,GW72-OS72)*(1+Slot19_Rate),0)</f>
        <v>0</v>
      </c>
      <c r="TH72" s="20" t="n">
        <f aca="false">IF(AND(HU72=1,GV72=1),(NV72+NZ72)/F72,0)</f>
        <v>0</v>
      </c>
      <c r="TI72" s="20" t="n">
        <f aca="false">IF(B72=0,NV72+NZ72,0)</f>
        <v>0</v>
      </c>
      <c r="TJ72" s="20" t="n">
        <f aca="false">IF(B72=0,IF(HU72=1,NX72,NY72),0)</f>
        <v>0</v>
      </c>
      <c r="TK72" s="20" t="n">
        <f aca="false">IF(HF72=1,IF(HU72=1,OE72+OH72,HG72-OQ72)*(1+Slot20_Rate),0)</f>
        <v>0</v>
      </c>
      <c r="TL72" s="20" t="n">
        <f aca="false">IF(AND(HU72=1,HF72=1),(OD72+OH72)/F72,0)</f>
        <v>0</v>
      </c>
      <c r="TM72" s="20" t="n">
        <f aca="false">IF(B72=0,OD72+OH72,0)</f>
        <v>0</v>
      </c>
      <c r="TN72" s="20" t="n">
        <f aca="false">IF(B72=0,IF(HU72=1,OF72,OG72),0)</f>
        <v>0</v>
      </c>
      <c r="TO72" s="20" t="n">
        <f aca="false">QK72+QL72+QM72+QQ72+QU72+QY72+RC72+RG72+RK72+RO72+RS72+RW72+SA72+SE72+SI72+SM72+SQ72+SU72+SY72+TC72+TG72+TK72</f>
        <v>0</v>
      </c>
      <c r="TP72" s="20" t="n">
        <f aca="false">QE72+HP72</f>
        <v>68421.3641082156</v>
      </c>
      <c r="TQ72" s="20" t="n">
        <f aca="false">I72+S72</f>
        <v>169761.377028635</v>
      </c>
      <c r="TR72" s="20" t="n">
        <f aca="false">1-G72</f>
        <v>1</v>
      </c>
      <c r="TS72" s="20" t="n">
        <f aca="false">IF(AND(RG_Exists=1,G72=0,C72=1),I72,0)</f>
        <v>0</v>
      </c>
      <c r="TT72" s="20" t="n">
        <f aca="false">IF(AND(RG_Exists=1,G72=0,C72=1),I72-MIN(QE72,I72),0)</f>
        <v>0</v>
      </c>
      <c r="TU72" s="20" t="n">
        <f aca="false">'Plan pay &amp; tax'!AD298</f>
        <v>0</v>
      </c>
      <c r="TV72" s="20" t="n">
        <f aca="false">IF(AND(C72=1,QE72&gt;MAX(PR_Short1,TQ72*PR_Short2)),1,0)</f>
        <v>0</v>
      </c>
      <c r="TW72" s="20" t="n">
        <f aca="false">MIN(H72,I72+S72)</f>
        <v>101340.012920419</v>
      </c>
      <c r="TX72" s="20" t="n">
        <f aca="false">QF72+MAX(0,HQ72-HP72)</f>
        <v>0</v>
      </c>
      <c r="TY72" s="20" t="n">
        <f aca="false">QE72+HP72</f>
        <v>68421.3641082156</v>
      </c>
      <c r="TZ72" s="20" t="n">
        <f aca="false">IF(AND(C72=1,TY72&gt;PR_MinShort),1,0)</f>
        <v>0</v>
      </c>
      <c r="UA72" s="20" t="n">
        <f aca="false">IF(AND(C72=1,TZ72=0,TX72&gt;PR_MinShort),1,0)</f>
        <v>0</v>
      </c>
      <c r="UB72" s="20" t="n">
        <f aca="false">IF(AND(C72=1,QE72&gt;PR_MinShort),1,0)</f>
        <v>0</v>
      </c>
      <c r="UC72" s="20" t="n">
        <f aca="false">IF(AND(C72=1,QF72&gt;1,UJ72=0),1,0)</f>
        <v>0</v>
      </c>
      <c r="UD72" s="20" t="str">
        <f aca="false">IF(C72=0,"",IF(UJ72=1,"Gap to plan for: short "&amp;"€"&amp;TEXT(ROUND(TP72,0),"#,##0"),IF(QF72&gt;1,"Using savings","Comfortable")))</f>
        <v/>
      </c>
      <c r="UE72" s="20" t="n">
        <f aca="false">IF(AND(INT(D72/10)*10=90,B72&gt;0),80,INT(D72/10)*10)</f>
        <v>100</v>
      </c>
      <c r="UF72" s="20" t="n">
        <f aca="false">IF(B72=0,1,IF(UE72&lt;&gt;UE71,UF71+1,UF71))</f>
        <v>7</v>
      </c>
      <c r="UG72" s="20" t="n">
        <f aca="false">IF(AND(C72=1,G72=1,QE72&gt;MAX(PR_Short1,TQ72*PR_Short2)),1,0)</f>
        <v>0</v>
      </c>
      <c r="UH72" s="20" t="n">
        <f aca="false">TR72*TV72</f>
        <v>0</v>
      </c>
      <c r="UI72" s="20" t="n">
        <f aca="false">IF(AND(V72=1,Slot1_PctLow=1),1,0)+IF(AND(AG72=1,Slot2_PctLow=1),1,0)+IF(AND(AQ72=1,Slot3_PctLow=1),1,0)+IF(AND(BA72=1,Slot4_PctLow=1),1,0)+IF(AND(BK72=1,Slot5_PctLow=1),1,0)+IF(AND(BU72=1,Slot6_PctLow=1),1,0)+IF(AND(CE72=1,Slot7_PctLow=1),1,0)+IF(AND(CO72=1,Slot8_PctLow=1),1,0)+IF(AND(CY72=1,Slot9_PctLow=1),1,0)+IF(AND(DI72=1,Slot10_PctLow=1),1,0)+IF(AND(DS72=1,Slot11_PctLow=1),1,0)+IF(AND(EC72=1,Slot12_PctLow=1),1,0)+IF(AND(EM72=1,Slot13_PctLow=1),1,0)+IF(AND(EW72=1,Slot14_PctLow=1),1,0)+IF(AND(FG72=1,Slot15_PctLow=1),1,0)+IF(AND(FQ72=1,Slot16_PctLow=1),1,0)+IF(AND(GA72=1,Slot17_PctLow=1),1,0)+IF(AND(GK72=1,Slot18_PctLow=1),1,0)+IF(AND(GU72=1,Slot19_PctLow=1),1,0)+IF(AND(HE72=1,Slot20_PctLow=1),1,0)</f>
        <v>0</v>
      </c>
      <c r="UJ72" s="20" t="n">
        <f aca="false">IF(C72=1,IF(OR(TV72=1,UI72&gt;0),1,0),0)</f>
        <v>0</v>
      </c>
    </row>
    <row r="73" customFormat="false" ht="15" hidden="false" customHeight="true" outlineLevel="0" collapsed="false">
      <c r="B73" s="20" t="n">
        <v>65</v>
      </c>
      <c r="C73" s="20" t="n">
        <f aca="false">IF(B73&lt;=F_N,1,0)</f>
        <v>0</v>
      </c>
      <c r="D73" s="20" t="n">
        <f aca="false">'Plan pay &amp; tax'!C299</f>
        <v>103</v>
      </c>
      <c r="E73" s="20" t="str">
        <f aca="false">IF($C73=1,"Income tax "&amp;TEXT(N('Plan pay &amp; tax'!BK299),"#,##0")&amp;"; USC "&amp;TEXT(N('Plan pay &amp; tax'!BM299)+N('Plan pay &amp; tax'!BO299),"#,##0")&amp;"; PRSI "&amp;TEXT(N('Plan pay &amp; tax'!BP299)+N('Plan pay &amp; tax'!BQ299),"#,##0")&amp;". DIRT and exit tax are inside the growth rates here.","")</f>
        <v/>
      </c>
      <c r="F73" s="44" t="n">
        <f aca="false">'Plan pay &amp; tax'!E299</f>
        <v>3.62252310814242</v>
      </c>
      <c r="G73" s="20" t="n">
        <f aca="false">'Plan pay &amp; tax'!G299</f>
        <v>0</v>
      </c>
      <c r="H73" s="20" t="n">
        <f aca="false">'Plan pay &amp; tax'!BT299-'Plan pay &amp; tax'!BS299-'Plan pay &amp; tax'!R299</f>
        <v>103366.813178828</v>
      </c>
      <c r="I73" s="20" t="n">
        <f aca="false">IF(G73=1,F_CostsM*12,IF(RG_Exists=1,RG_Amount,F_CostsM*12*AS_RetireSpend))*F73+F_OneOffY*F73</f>
        <v>173156.604569208</v>
      </c>
      <c r="J73" s="20" t="n">
        <f aca="false">HR72</f>
        <v>0</v>
      </c>
      <c r="K73" s="20" t="n">
        <f aca="false">IF(J73&gt;1,'Plan debt months'!AC73,0)</f>
        <v>0</v>
      </c>
      <c r="L73" s="20" t="n">
        <f aca="false">IF(J73&gt;1,'Plan debt months'!AB73,J73)</f>
        <v>0</v>
      </c>
      <c r="M73" s="20" t="n">
        <f aca="false">O72</f>
        <v>0</v>
      </c>
      <c r="N73" s="20" t="n">
        <f aca="false">IF(M73&gt;1,'Plan debt months'!BD73,0)</f>
        <v>0</v>
      </c>
      <c r="O73" s="20" t="n">
        <f aca="false">IF(M73&gt;1,'Plan debt months'!BC73,M73)</f>
        <v>0</v>
      </c>
      <c r="P73" s="20" t="n">
        <f aca="false">R72</f>
        <v>0</v>
      </c>
      <c r="Q73" s="20" t="n">
        <f aca="false">IF(P73&gt;1,'Plan debt months'!CE73,0)</f>
        <v>0</v>
      </c>
      <c r="R73" s="20" t="n">
        <f aca="false">IF(P73&gt;1,'Plan debt months'!CD73,P73)</f>
        <v>0</v>
      </c>
      <c r="S73" s="20" t="n">
        <f aca="false">K73+N73+Q73</f>
        <v>0</v>
      </c>
      <c r="T73" s="20" t="n">
        <f aca="false">QK72+'Plan pay &amp; tax'!Y299</f>
        <v>0</v>
      </c>
      <c r="U73" s="20" t="n">
        <f aca="false">QK72</f>
        <v>0</v>
      </c>
      <c r="V73" s="20" t="n">
        <f aca="false">IF(AND(Slot1_On=1,D73=Slot1_Age),1,0)</f>
        <v>0</v>
      </c>
      <c r="W73" s="20" t="n">
        <f aca="false">IF(AND(Slot1_On=1,Slot1_Age&gt;D73),1,0)</f>
        <v>0</v>
      </c>
      <c r="X73" s="20" t="n">
        <f aca="false">QM72</f>
        <v>0</v>
      </c>
      <c r="Y73" s="20" t="n">
        <f aca="false">V73*MIN(Slot1_Cost,X73)</f>
        <v>0</v>
      </c>
      <c r="Z73" s="20" t="n">
        <f aca="false">V73*Slot1_SpendLike*MIN(Slot1_Cost-Y73,T73)</f>
        <v>0</v>
      </c>
      <c r="AA73" s="20" t="n">
        <f aca="false">Y73+Z73</f>
        <v>0</v>
      </c>
      <c r="AB73" s="20" t="n">
        <f aca="false">T73-Z73+V73*IF(Slot1_SpendLike=1,X73-Y73,IF(Slot1_PotFree=1,X73,0))</f>
        <v>0</v>
      </c>
      <c r="AC73" s="20" t="n">
        <f aca="false">AF73+V73*Slot1_BufPot*X73</f>
        <v>0</v>
      </c>
      <c r="AD73" s="20" t="n">
        <f aca="false">IF(AND(V73=1,Slot1_IsMfree=1),IF(AA73&gt;=Slot1_Cost-1,0,MAX(0,L73-AA73)),L73)</f>
        <v>0</v>
      </c>
      <c r="AE73" s="20" t="n">
        <f aca="false">V73*(Slot1_Cost-AA73)</f>
        <v>0</v>
      </c>
      <c r="AF73" s="20" t="n">
        <f aca="false">QL72</f>
        <v>0</v>
      </c>
      <c r="AG73" s="20" t="n">
        <f aca="false">IF(AND(Slot2_On=1,D73=Slot2_Age),1,0)</f>
        <v>0</v>
      </c>
      <c r="AH73" s="20" t="n">
        <f aca="false">IF(AND(Slot2_On=1,Slot2_Age&gt;D73),1,0)</f>
        <v>0</v>
      </c>
      <c r="AI73" s="20" t="n">
        <f aca="false">QQ72</f>
        <v>0</v>
      </c>
      <c r="AJ73" s="20" t="n">
        <f aca="false">AG73*MIN(Slot2_Cost,AI73)</f>
        <v>0</v>
      </c>
      <c r="AK73" s="20" t="n">
        <f aca="false">AG73*Slot2_SpendLike*MIN(Slot2_Cost-AJ73,AB73)</f>
        <v>0</v>
      </c>
      <c r="AL73" s="20" t="n">
        <f aca="false">AJ73+AK73</f>
        <v>0</v>
      </c>
      <c r="AM73" s="20" t="n">
        <f aca="false">AB73-AK73+AG73*IF(Slot2_SpendLike=1,AI73-AJ73,IF(Slot2_PotFree=1,AI73,0))</f>
        <v>0</v>
      </c>
      <c r="AN73" s="20" t="n">
        <f aca="false">AC73+AG73*Slot2_BufPot*AI73</f>
        <v>0</v>
      </c>
      <c r="AO73" s="20" t="n">
        <f aca="false">IF(AND(AG73=1,Slot2_IsMfree=1),IF(AL73&gt;=Slot2_Cost-1,0,MAX(0,AD73-AL73)),AD73)</f>
        <v>0</v>
      </c>
      <c r="AP73" s="20" t="n">
        <f aca="false">AG73*(Slot2_Cost-AL73)</f>
        <v>0</v>
      </c>
      <c r="AQ73" s="20" t="n">
        <f aca="false">IF(AND(Slot3_On=1,D73=Slot3_Age),1,0)</f>
        <v>0</v>
      </c>
      <c r="AR73" s="20" t="n">
        <f aca="false">IF(AND(Slot3_On=1,Slot3_Age&gt;D73),1,0)</f>
        <v>0</v>
      </c>
      <c r="AS73" s="20" t="n">
        <f aca="false">QU72</f>
        <v>0</v>
      </c>
      <c r="AT73" s="20" t="n">
        <f aca="false">AQ73*MIN(Slot3_Cost,AS73)</f>
        <v>0</v>
      </c>
      <c r="AU73" s="20" t="n">
        <f aca="false">AQ73*Slot3_SpendLike*MIN(Slot3_Cost-AT73,AM73)</f>
        <v>0</v>
      </c>
      <c r="AV73" s="20" t="n">
        <f aca="false">AT73+AU73</f>
        <v>0</v>
      </c>
      <c r="AW73" s="20" t="n">
        <f aca="false">AM73-AU73+AQ73*IF(Slot3_SpendLike=1,AS73-AT73,IF(Slot3_PotFree=1,AS73,0))</f>
        <v>0</v>
      </c>
      <c r="AX73" s="20" t="n">
        <f aca="false">AN73+AQ73*Slot3_BufPot*AS73</f>
        <v>0</v>
      </c>
      <c r="AY73" s="20" t="n">
        <f aca="false">IF(AND(AQ73=1,Slot3_IsMfree=1),IF(AV73&gt;=Slot3_Cost-1,0,MAX(0,AO73-AV73)),AO73)</f>
        <v>0</v>
      </c>
      <c r="AZ73" s="20" t="n">
        <f aca="false">AQ73*(Slot3_Cost-AV73)</f>
        <v>0</v>
      </c>
      <c r="BA73" s="20" t="n">
        <f aca="false">IF(AND(Slot4_On=1,D73=Slot4_Age),1,0)</f>
        <v>0</v>
      </c>
      <c r="BB73" s="20" t="n">
        <f aca="false">IF(AND(Slot4_On=1,Slot4_Age&gt;D73),1,0)</f>
        <v>0</v>
      </c>
      <c r="BC73" s="20" t="n">
        <f aca="false">QY72</f>
        <v>0</v>
      </c>
      <c r="BD73" s="20" t="n">
        <f aca="false">BA73*MIN(Slot4_Cost,BC73)</f>
        <v>0</v>
      </c>
      <c r="BE73" s="20" t="n">
        <f aca="false">BA73*Slot4_SpendLike*MIN(Slot4_Cost-BD73,AW73)</f>
        <v>0</v>
      </c>
      <c r="BF73" s="20" t="n">
        <f aca="false">BD73+BE73</f>
        <v>0</v>
      </c>
      <c r="BG73" s="20" t="n">
        <f aca="false">AW73-BE73+BA73*IF(Slot4_SpendLike=1,BC73-BD73,IF(Slot4_PotFree=1,BC73,0))</f>
        <v>0</v>
      </c>
      <c r="BH73" s="20" t="n">
        <f aca="false">AX73+BA73*Slot4_BufPot*BC73</f>
        <v>0</v>
      </c>
      <c r="BI73" s="20" t="n">
        <f aca="false">IF(AND(BA73=1,Slot4_IsMfree=1),IF(BF73&gt;=Slot4_Cost-1,0,MAX(0,AY73-BF73)),AY73)</f>
        <v>0</v>
      </c>
      <c r="BJ73" s="20" t="n">
        <f aca="false">BA73*(Slot4_Cost-BF73)</f>
        <v>0</v>
      </c>
      <c r="BK73" s="20" t="n">
        <f aca="false">IF(AND(Slot5_On=1,D73=Slot5_Age),1,0)</f>
        <v>0</v>
      </c>
      <c r="BL73" s="20" t="n">
        <f aca="false">IF(AND(Slot5_On=1,Slot5_Age&gt;D73),1,0)</f>
        <v>0</v>
      </c>
      <c r="BM73" s="20" t="n">
        <f aca="false">RC72</f>
        <v>0</v>
      </c>
      <c r="BN73" s="20" t="n">
        <f aca="false">BK73*MIN(Slot5_Cost,BM73)</f>
        <v>0</v>
      </c>
      <c r="BO73" s="20" t="n">
        <f aca="false">BK73*Slot5_SpendLike*MIN(Slot5_Cost-BN73,BG73)</f>
        <v>0</v>
      </c>
      <c r="BP73" s="20" t="n">
        <f aca="false">BN73+BO73</f>
        <v>0</v>
      </c>
      <c r="BQ73" s="20" t="n">
        <f aca="false">BG73-BO73+BK73*IF(Slot5_SpendLike=1,BM73-BN73,IF(Slot5_PotFree=1,BM73,0))</f>
        <v>0</v>
      </c>
      <c r="BR73" s="20" t="n">
        <f aca="false">BH73+BK73*Slot5_BufPot*BM73</f>
        <v>0</v>
      </c>
      <c r="BS73" s="20" t="n">
        <f aca="false">IF(AND(BK73=1,Slot5_IsMfree=1),IF(BP73&gt;=Slot5_Cost-1,0,MAX(0,BI73-BP73)),BI73)</f>
        <v>0</v>
      </c>
      <c r="BT73" s="20" t="n">
        <f aca="false">BK73*(Slot5_Cost-BP73)</f>
        <v>0</v>
      </c>
      <c r="BU73" s="20" t="n">
        <f aca="false">IF(AND(Slot6_On=1,D73=Slot6_Age),1,0)</f>
        <v>0</v>
      </c>
      <c r="BV73" s="20" t="n">
        <f aca="false">IF(AND(Slot6_On=1,Slot6_Age&gt;D73),1,0)</f>
        <v>0</v>
      </c>
      <c r="BW73" s="20" t="n">
        <f aca="false">RG72</f>
        <v>0</v>
      </c>
      <c r="BX73" s="20" t="n">
        <f aca="false">BU73*MIN(Slot6_Cost,BW73)</f>
        <v>0</v>
      </c>
      <c r="BY73" s="20" t="n">
        <f aca="false">BU73*Slot6_SpendLike*MIN(Slot6_Cost-BX73,BQ73)</f>
        <v>0</v>
      </c>
      <c r="BZ73" s="20" t="n">
        <f aca="false">BX73+BY73</f>
        <v>0</v>
      </c>
      <c r="CA73" s="20" t="n">
        <f aca="false">BQ73-BY73+BU73*IF(Slot6_SpendLike=1,BW73-BX73,IF(Slot6_PotFree=1,BW73,0))</f>
        <v>0</v>
      </c>
      <c r="CB73" s="20" t="n">
        <f aca="false">BR73+BU73*Slot6_BufPot*BW73</f>
        <v>0</v>
      </c>
      <c r="CC73" s="20" t="n">
        <f aca="false">IF(AND(BU73=1,Slot6_IsMfree=1),IF(BZ73&gt;=Slot6_Cost-1,0,MAX(0,BS73-BZ73)),BS73)</f>
        <v>0</v>
      </c>
      <c r="CD73" s="20" t="n">
        <f aca="false">BU73*(Slot6_Cost-BZ73)</f>
        <v>0</v>
      </c>
      <c r="CE73" s="20" t="n">
        <f aca="false">IF(AND(Slot7_On=1,D73=Slot7_Age),1,0)</f>
        <v>0</v>
      </c>
      <c r="CF73" s="20" t="n">
        <f aca="false">IF(AND(Slot7_On=1,Slot7_Age&gt;D73),1,0)</f>
        <v>0</v>
      </c>
      <c r="CG73" s="20" t="n">
        <f aca="false">RK72</f>
        <v>0</v>
      </c>
      <c r="CH73" s="20" t="n">
        <f aca="false">CE73*MIN(Slot7_Cost,CG73)</f>
        <v>0</v>
      </c>
      <c r="CI73" s="20" t="n">
        <f aca="false">CE73*Slot7_SpendLike*MIN(Slot7_Cost-CH73,CA73)</f>
        <v>0</v>
      </c>
      <c r="CJ73" s="20" t="n">
        <f aca="false">CH73+CI73</f>
        <v>0</v>
      </c>
      <c r="CK73" s="20" t="n">
        <f aca="false">CA73-CI73+CE73*IF(Slot7_SpendLike=1,CG73-CH73,IF(Slot7_PotFree=1,CG73,0))</f>
        <v>0</v>
      </c>
      <c r="CL73" s="20" t="n">
        <f aca="false">CB73+CE73*Slot7_BufPot*CG73</f>
        <v>0</v>
      </c>
      <c r="CM73" s="20" t="n">
        <f aca="false">IF(AND(CE73=1,Slot7_IsMfree=1),IF(CJ73&gt;=Slot7_Cost-1,0,MAX(0,CC73-CJ73)),CC73)</f>
        <v>0</v>
      </c>
      <c r="CN73" s="20" t="n">
        <f aca="false">CE73*(Slot7_Cost-CJ73)</f>
        <v>0</v>
      </c>
      <c r="CO73" s="20" t="n">
        <f aca="false">IF(AND(Slot8_On=1,D73=Slot8_Age),1,0)</f>
        <v>0</v>
      </c>
      <c r="CP73" s="20" t="n">
        <f aca="false">IF(AND(Slot8_On=1,Slot8_Age&gt;D73),1,0)</f>
        <v>0</v>
      </c>
      <c r="CQ73" s="20" t="n">
        <f aca="false">RO72</f>
        <v>0</v>
      </c>
      <c r="CR73" s="20" t="n">
        <f aca="false">CO73*MIN(Slot8_Cost,CQ73)</f>
        <v>0</v>
      </c>
      <c r="CS73" s="20" t="n">
        <f aca="false">CO73*Slot8_SpendLike*MIN(Slot8_Cost-CR73,CK73)</f>
        <v>0</v>
      </c>
      <c r="CT73" s="20" t="n">
        <f aca="false">CR73+CS73</f>
        <v>0</v>
      </c>
      <c r="CU73" s="20" t="n">
        <f aca="false">CK73-CS73+CO73*IF(Slot8_SpendLike=1,CQ73-CR73,IF(Slot8_PotFree=1,CQ73,0))</f>
        <v>0</v>
      </c>
      <c r="CV73" s="20" t="n">
        <f aca="false">CL73+CO73*Slot8_BufPot*CQ73</f>
        <v>0</v>
      </c>
      <c r="CW73" s="20" t="n">
        <f aca="false">IF(AND(CO73=1,Slot8_IsMfree=1),IF(CT73&gt;=Slot8_Cost-1,0,MAX(0,CM73-CT73)),CM73)</f>
        <v>0</v>
      </c>
      <c r="CX73" s="20" t="n">
        <f aca="false">CO73*(Slot8_Cost-CT73)</f>
        <v>0</v>
      </c>
      <c r="CY73" s="20" t="n">
        <f aca="false">IF(AND(Slot9_On=1,D73=Slot9_Age),1,0)</f>
        <v>0</v>
      </c>
      <c r="CZ73" s="20" t="n">
        <f aca="false">IF(AND(Slot9_On=1,Slot9_Age&gt;D73),1,0)</f>
        <v>0</v>
      </c>
      <c r="DA73" s="20" t="n">
        <f aca="false">RS72</f>
        <v>0</v>
      </c>
      <c r="DB73" s="20" t="n">
        <f aca="false">CY73*MIN(Slot9_Cost,DA73)</f>
        <v>0</v>
      </c>
      <c r="DC73" s="20" t="n">
        <f aca="false">CY73*Slot9_SpendLike*MIN(Slot9_Cost-DB73,CU73)</f>
        <v>0</v>
      </c>
      <c r="DD73" s="20" t="n">
        <f aca="false">DB73+DC73</f>
        <v>0</v>
      </c>
      <c r="DE73" s="20" t="n">
        <f aca="false">CU73-DC73+CY73*IF(Slot9_SpendLike=1,DA73-DB73,IF(Slot9_PotFree=1,DA73,0))</f>
        <v>0</v>
      </c>
      <c r="DF73" s="20" t="n">
        <f aca="false">CV73+CY73*Slot9_BufPot*DA73</f>
        <v>0</v>
      </c>
      <c r="DG73" s="20" t="n">
        <f aca="false">IF(AND(CY73=1,Slot9_IsMfree=1),IF(DD73&gt;=Slot9_Cost-1,0,MAX(0,CW73-DD73)),CW73)</f>
        <v>0</v>
      </c>
      <c r="DH73" s="20" t="n">
        <f aca="false">CY73*(Slot9_Cost-DD73)</f>
        <v>0</v>
      </c>
      <c r="DI73" s="20" t="n">
        <f aca="false">IF(AND(Slot10_On=1,D73=Slot10_Age),1,0)</f>
        <v>0</v>
      </c>
      <c r="DJ73" s="20" t="n">
        <f aca="false">IF(AND(Slot10_On=1,Slot10_Age&gt;D73),1,0)</f>
        <v>0</v>
      </c>
      <c r="DK73" s="20" t="n">
        <f aca="false">RW72</f>
        <v>0</v>
      </c>
      <c r="DL73" s="20" t="n">
        <f aca="false">DI73*MIN(Slot10_Cost,DK73)</f>
        <v>0</v>
      </c>
      <c r="DM73" s="20" t="n">
        <f aca="false">DI73*Slot10_SpendLike*MIN(Slot10_Cost-DL73,DE73)</f>
        <v>0</v>
      </c>
      <c r="DN73" s="20" t="n">
        <f aca="false">DL73+DM73</f>
        <v>0</v>
      </c>
      <c r="DO73" s="20" t="n">
        <f aca="false">DE73-DM73+DI73*IF(Slot10_SpendLike=1,DK73-DL73,IF(Slot10_PotFree=1,DK73,0))</f>
        <v>0</v>
      </c>
      <c r="DP73" s="20" t="n">
        <f aca="false">DF73+DI73*Slot10_BufPot*DK73</f>
        <v>0</v>
      </c>
      <c r="DQ73" s="20" t="n">
        <f aca="false">IF(AND(DI73=1,Slot10_IsMfree=1),IF(DN73&gt;=Slot10_Cost-1,0,MAX(0,DG73-DN73)),DG73)</f>
        <v>0</v>
      </c>
      <c r="DR73" s="20" t="n">
        <f aca="false">DI73*(Slot10_Cost-DN73)</f>
        <v>0</v>
      </c>
      <c r="DS73" s="20" t="n">
        <f aca="false">IF(AND(Slot11_On=1,D73=Slot11_Age),1,0)</f>
        <v>0</v>
      </c>
      <c r="DT73" s="20" t="n">
        <f aca="false">IF(AND(Slot11_On=1,Slot11_Age&gt;D73),1,0)</f>
        <v>0</v>
      </c>
      <c r="DU73" s="20" t="n">
        <f aca="false">SA72</f>
        <v>0</v>
      </c>
      <c r="DV73" s="20" t="n">
        <f aca="false">DS73*MIN(Slot11_Cost,DU73)</f>
        <v>0</v>
      </c>
      <c r="DW73" s="20" t="n">
        <f aca="false">DS73*Slot11_SpendLike*MIN(Slot11_Cost-DV73,DO73)</f>
        <v>0</v>
      </c>
      <c r="DX73" s="20" t="n">
        <f aca="false">DV73+DW73</f>
        <v>0</v>
      </c>
      <c r="DY73" s="20" t="n">
        <f aca="false">DO73-DW73+DS73*IF(Slot11_SpendLike=1,DU73-DV73,IF(Slot11_PotFree=1,DU73,0))</f>
        <v>0</v>
      </c>
      <c r="DZ73" s="20" t="n">
        <f aca="false">DP73+DS73*Slot11_BufPot*DU73</f>
        <v>0</v>
      </c>
      <c r="EA73" s="20" t="n">
        <f aca="false">IF(AND(DS73=1,Slot11_IsMfree=1),IF(DX73&gt;=Slot11_Cost-1,0,MAX(0,DQ73-DX73)),DQ73)</f>
        <v>0</v>
      </c>
      <c r="EB73" s="20" t="n">
        <f aca="false">DS73*(Slot11_Cost-DX73)</f>
        <v>0</v>
      </c>
      <c r="EC73" s="20" t="n">
        <f aca="false">IF(AND(Slot12_On=1,D73=Slot12_Age),1,0)</f>
        <v>0</v>
      </c>
      <c r="ED73" s="20" t="n">
        <f aca="false">IF(AND(Slot12_On=1,Slot12_Age&gt;D73),1,0)</f>
        <v>0</v>
      </c>
      <c r="EE73" s="20" t="n">
        <f aca="false">SE72</f>
        <v>0</v>
      </c>
      <c r="EF73" s="20" t="n">
        <f aca="false">EC73*MIN(Slot12_Cost,EE73)</f>
        <v>0</v>
      </c>
      <c r="EG73" s="20" t="n">
        <f aca="false">EC73*Slot12_SpendLike*MIN(Slot12_Cost-EF73,DY73)</f>
        <v>0</v>
      </c>
      <c r="EH73" s="20" t="n">
        <f aca="false">EF73+EG73</f>
        <v>0</v>
      </c>
      <c r="EI73" s="20" t="n">
        <f aca="false">DY73-EG73+EC73*IF(Slot12_SpendLike=1,EE73-EF73,IF(Slot12_PotFree=1,EE73,0))</f>
        <v>0</v>
      </c>
      <c r="EJ73" s="20" t="n">
        <f aca="false">DZ73+EC73*Slot12_BufPot*EE73</f>
        <v>0</v>
      </c>
      <c r="EK73" s="20" t="n">
        <f aca="false">IF(AND(EC73=1,Slot12_IsMfree=1),IF(EH73&gt;=Slot12_Cost-1,0,MAX(0,EA73-EH73)),EA73)</f>
        <v>0</v>
      </c>
      <c r="EL73" s="20" t="n">
        <f aca="false">EC73*(Slot12_Cost-EH73)</f>
        <v>0</v>
      </c>
      <c r="EM73" s="20" t="n">
        <f aca="false">IF(AND(Slot13_On=1,D73=Slot13_Age),1,0)</f>
        <v>0</v>
      </c>
      <c r="EN73" s="20" t="n">
        <f aca="false">IF(AND(Slot13_On=1,Slot13_Age&gt;D73),1,0)</f>
        <v>0</v>
      </c>
      <c r="EO73" s="20" t="n">
        <f aca="false">SI72</f>
        <v>0</v>
      </c>
      <c r="EP73" s="20" t="n">
        <f aca="false">EM73*MIN(Slot13_Cost,EO73)</f>
        <v>0</v>
      </c>
      <c r="EQ73" s="20" t="n">
        <f aca="false">EM73*Slot13_SpendLike*MIN(Slot13_Cost-EP73,EI73)</f>
        <v>0</v>
      </c>
      <c r="ER73" s="20" t="n">
        <f aca="false">EP73+EQ73</f>
        <v>0</v>
      </c>
      <c r="ES73" s="20" t="n">
        <f aca="false">EI73-EQ73+EM73*IF(Slot13_SpendLike=1,EO73-EP73,IF(Slot13_PotFree=1,EO73,0))</f>
        <v>0</v>
      </c>
      <c r="ET73" s="20" t="n">
        <f aca="false">EJ73+EM73*Slot13_BufPot*EO73</f>
        <v>0</v>
      </c>
      <c r="EU73" s="20" t="n">
        <f aca="false">IF(AND(EM73=1,Slot13_IsMfree=1),IF(ER73&gt;=Slot13_Cost-1,0,MAX(0,EK73-ER73)),EK73)</f>
        <v>0</v>
      </c>
      <c r="EV73" s="20" t="n">
        <f aca="false">EM73*(Slot13_Cost-ER73)</f>
        <v>0</v>
      </c>
      <c r="EW73" s="20" t="n">
        <f aca="false">IF(AND(Slot14_On=1,D73=Slot14_Age),1,0)</f>
        <v>0</v>
      </c>
      <c r="EX73" s="20" t="n">
        <f aca="false">IF(AND(Slot14_On=1,Slot14_Age&gt;D73),1,0)</f>
        <v>0</v>
      </c>
      <c r="EY73" s="20" t="n">
        <f aca="false">SM72</f>
        <v>0</v>
      </c>
      <c r="EZ73" s="20" t="n">
        <f aca="false">EW73*MIN(Slot14_Cost,EY73)</f>
        <v>0</v>
      </c>
      <c r="FA73" s="20" t="n">
        <f aca="false">EW73*Slot14_SpendLike*MIN(Slot14_Cost-EZ73,ES73)</f>
        <v>0</v>
      </c>
      <c r="FB73" s="20" t="n">
        <f aca="false">EZ73+FA73</f>
        <v>0</v>
      </c>
      <c r="FC73" s="20" t="n">
        <f aca="false">ES73-FA73+EW73*IF(Slot14_SpendLike=1,EY73-EZ73,IF(Slot14_PotFree=1,EY73,0))</f>
        <v>0</v>
      </c>
      <c r="FD73" s="20" t="n">
        <f aca="false">ET73+EW73*Slot14_BufPot*EY73</f>
        <v>0</v>
      </c>
      <c r="FE73" s="20" t="n">
        <f aca="false">IF(AND(EW73=1,Slot14_IsMfree=1),IF(FB73&gt;=Slot14_Cost-1,0,MAX(0,EU73-FB73)),EU73)</f>
        <v>0</v>
      </c>
      <c r="FF73" s="20" t="n">
        <f aca="false">EW73*(Slot14_Cost-FB73)</f>
        <v>0</v>
      </c>
      <c r="FG73" s="20" t="n">
        <f aca="false">IF(AND(Slot15_On=1,D73=Slot15_Age),1,0)</f>
        <v>0</v>
      </c>
      <c r="FH73" s="20" t="n">
        <f aca="false">IF(AND(Slot15_On=1,Slot15_Age&gt;D73),1,0)</f>
        <v>0</v>
      </c>
      <c r="FI73" s="20" t="n">
        <f aca="false">SQ72</f>
        <v>0</v>
      </c>
      <c r="FJ73" s="20" t="n">
        <f aca="false">FG73*MIN(Slot15_Cost,FI73)</f>
        <v>0</v>
      </c>
      <c r="FK73" s="20" t="n">
        <f aca="false">FG73*Slot15_SpendLike*MIN(Slot15_Cost-FJ73,FC73)</f>
        <v>0</v>
      </c>
      <c r="FL73" s="20" t="n">
        <f aca="false">FJ73+FK73</f>
        <v>0</v>
      </c>
      <c r="FM73" s="20" t="n">
        <f aca="false">FC73-FK73+FG73*IF(Slot15_SpendLike=1,FI73-FJ73,IF(Slot15_PotFree=1,FI73,0))</f>
        <v>0</v>
      </c>
      <c r="FN73" s="20" t="n">
        <f aca="false">FD73+FG73*Slot15_BufPot*FI73</f>
        <v>0</v>
      </c>
      <c r="FO73" s="20" t="n">
        <f aca="false">IF(AND(FG73=1,Slot15_IsMfree=1),IF(FL73&gt;=Slot15_Cost-1,0,MAX(0,FE73-FL73)),FE73)</f>
        <v>0</v>
      </c>
      <c r="FP73" s="20" t="n">
        <f aca="false">FG73*(Slot15_Cost-FL73)</f>
        <v>0</v>
      </c>
      <c r="FQ73" s="20" t="n">
        <f aca="false">IF(AND(Slot16_On=1,D73=Slot16_Age),1,0)</f>
        <v>0</v>
      </c>
      <c r="FR73" s="20" t="n">
        <f aca="false">IF(AND(Slot16_On=1,Slot16_Age&gt;D73),1,0)</f>
        <v>0</v>
      </c>
      <c r="FS73" s="20" t="n">
        <f aca="false">SU72</f>
        <v>0</v>
      </c>
      <c r="FT73" s="20" t="n">
        <f aca="false">FQ73*MIN(Slot16_Cost,FS73)</f>
        <v>0</v>
      </c>
      <c r="FU73" s="20" t="n">
        <f aca="false">FQ73*Slot16_SpendLike*MIN(Slot16_Cost-FT73,FM73)</f>
        <v>0</v>
      </c>
      <c r="FV73" s="20" t="n">
        <f aca="false">FT73+FU73</f>
        <v>0</v>
      </c>
      <c r="FW73" s="20" t="n">
        <f aca="false">FM73-FU73+FQ73*IF(Slot16_SpendLike=1,FS73-FT73,IF(Slot16_PotFree=1,FS73,0))</f>
        <v>0</v>
      </c>
      <c r="FX73" s="20" t="n">
        <f aca="false">FN73+FQ73*Slot16_BufPot*FS73</f>
        <v>0</v>
      </c>
      <c r="FY73" s="20" t="n">
        <f aca="false">IF(AND(FQ73=1,Slot16_IsMfree=1),IF(FV73&gt;=Slot16_Cost-1,0,MAX(0,FO73-FV73)),FO73)</f>
        <v>0</v>
      </c>
      <c r="FZ73" s="20" t="n">
        <f aca="false">FQ73*(Slot16_Cost-FV73)</f>
        <v>0</v>
      </c>
      <c r="GA73" s="20" t="n">
        <f aca="false">IF(AND(Slot17_On=1,D73=Slot17_Age),1,0)</f>
        <v>0</v>
      </c>
      <c r="GB73" s="20" t="n">
        <f aca="false">IF(AND(Slot17_On=1,Slot17_Age&gt;D73),1,0)</f>
        <v>0</v>
      </c>
      <c r="GC73" s="20" t="n">
        <f aca="false">SY72</f>
        <v>0</v>
      </c>
      <c r="GD73" s="20" t="n">
        <f aca="false">GA73*MIN(Slot17_Cost,GC73)</f>
        <v>0</v>
      </c>
      <c r="GE73" s="20" t="n">
        <f aca="false">GA73*Slot17_SpendLike*MIN(Slot17_Cost-GD73,FW73)</f>
        <v>0</v>
      </c>
      <c r="GF73" s="20" t="n">
        <f aca="false">GD73+GE73</f>
        <v>0</v>
      </c>
      <c r="GG73" s="20" t="n">
        <f aca="false">FW73-GE73+GA73*IF(Slot17_SpendLike=1,GC73-GD73,IF(Slot17_PotFree=1,GC73,0))</f>
        <v>0</v>
      </c>
      <c r="GH73" s="20" t="n">
        <f aca="false">FX73+GA73*Slot17_BufPot*GC73</f>
        <v>0</v>
      </c>
      <c r="GI73" s="20" t="n">
        <f aca="false">IF(AND(GA73=1,Slot17_IsMfree=1),IF(GF73&gt;=Slot17_Cost-1,0,MAX(0,FY73-GF73)),FY73)</f>
        <v>0</v>
      </c>
      <c r="GJ73" s="20" t="n">
        <f aca="false">GA73*(Slot17_Cost-GF73)</f>
        <v>0</v>
      </c>
      <c r="GK73" s="20" t="n">
        <f aca="false">IF(AND(Slot18_On=1,D73=Slot18_Age),1,0)</f>
        <v>0</v>
      </c>
      <c r="GL73" s="20" t="n">
        <f aca="false">IF(AND(Slot18_On=1,Slot18_Age&gt;D73),1,0)</f>
        <v>0</v>
      </c>
      <c r="GM73" s="20" t="n">
        <f aca="false">TC72</f>
        <v>0</v>
      </c>
      <c r="GN73" s="20" t="n">
        <f aca="false">GK73*MIN(Slot18_Cost,GM73)</f>
        <v>0</v>
      </c>
      <c r="GO73" s="20" t="n">
        <f aca="false">GK73*Slot18_SpendLike*MIN(Slot18_Cost-GN73,GG73)</f>
        <v>0</v>
      </c>
      <c r="GP73" s="20" t="n">
        <f aca="false">GN73+GO73</f>
        <v>0</v>
      </c>
      <c r="GQ73" s="20" t="n">
        <f aca="false">GG73-GO73+GK73*IF(Slot18_SpendLike=1,GM73-GN73,IF(Slot18_PotFree=1,GM73,0))</f>
        <v>0</v>
      </c>
      <c r="GR73" s="20" t="n">
        <f aca="false">GH73+GK73*Slot18_BufPot*GM73</f>
        <v>0</v>
      </c>
      <c r="GS73" s="20" t="n">
        <f aca="false">IF(AND(GK73=1,Slot18_IsMfree=1),IF(GP73&gt;=Slot18_Cost-1,0,MAX(0,GI73-GP73)),GI73)</f>
        <v>0</v>
      </c>
      <c r="GT73" s="20" t="n">
        <f aca="false">GK73*(Slot18_Cost-GP73)</f>
        <v>0</v>
      </c>
      <c r="GU73" s="20" t="n">
        <f aca="false">IF(AND(Slot19_On=1,D73=Slot19_Age),1,0)</f>
        <v>0</v>
      </c>
      <c r="GV73" s="20" t="n">
        <f aca="false">IF(AND(Slot19_On=1,Slot19_Age&gt;D73),1,0)</f>
        <v>0</v>
      </c>
      <c r="GW73" s="20" t="n">
        <f aca="false">TG72</f>
        <v>0</v>
      </c>
      <c r="GX73" s="20" t="n">
        <f aca="false">GU73*MIN(Slot19_Cost,GW73)</f>
        <v>0</v>
      </c>
      <c r="GY73" s="20" t="n">
        <f aca="false">GU73*Slot19_SpendLike*MIN(Slot19_Cost-GX73,GQ73)</f>
        <v>0</v>
      </c>
      <c r="GZ73" s="20" t="n">
        <f aca="false">GX73+GY73</f>
        <v>0</v>
      </c>
      <c r="HA73" s="20" t="n">
        <f aca="false">GQ73-GY73+GU73*IF(Slot19_SpendLike=1,GW73-GX73,IF(Slot19_PotFree=1,GW73,0))</f>
        <v>0</v>
      </c>
      <c r="HB73" s="20" t="n">
        <f aca="false">GR73+GU73*Slot19_BufPot*GW73</f>
        <v>0</v>
      </c>
      <c r="HC73" s="20" t="n">
        <f aca="false">IF(AND(GU73=1,Slot19_IsMfree=1),IF(GZ73&gt;=Slot19_Cost-1,0,MAX(0,GS73-GZ73)),GS73)</f>
        <v>0</v>
      </c>
      <c r="HD73" s="20" t="n">
        <f aca="false">GU73*(Slot19_Cost-GZ73)</f>
        <v>0</v>
      </c>
      <c r="HE73" s="20" t="n">
        <f aca="false">IF(AND(Slot20_On=1,D73=Slot20_Age),1,0)</f>
        <v>0</v>
      </c>
      <c r="HF73" s="20" t="n">
        <f aca="false">IF(AND(Slot20_On=1,Slot20_Age&gt;D73),1,0)</f>
        <v>0</v>
      </c>
      <c r="HG73" s="20" t="n">
        <f aca="false">TK72</f>
        <v>0</v>
      </c>
      <c r="HH73" s="20" t="n">
        <f aca="false">HE73*MIN(Slot20_Cost,HG73)</f>
        <v>0</v>
      </c>
      <c r="HI73" s="20" t="n">
        <f aca="false">HE73*Slot20_SpendLike*MIN(Slot20_Cost-HH73,HA73)</f>
        <v>0</v>
      </c>
      <c r="HJ73" s="20" t="n">
        <f aca="false">HH73+HI73</f>
        <v>0</v>
      </c>
      <c r="HK73" s="20" t="n">
        <f aca="false">HA73-HI73+HE73*IF(Slot20_SpendLike=1,HG73-HH73,IF(Slot20_PotFree=1,HG73,0))</f>
        <v>0</v>
      </c>
      <c r="HL73" s="20" t="n">
        <f aca="false">HB73+HE73*Slot20_BufPot*HG73</f>
        <v>0</v>
      </c>
      <c r="HM73" s="20" t="n">
        <f aca="false">IF(AND(HE73=1,Slot20_IsMfree=1),IF(HJ73&gt;=Slot20_Cost-1,0,MAX(0,HC73-HJ73)),HC73)</f>
        <v>0</v>
      </c>
      <c r="HN73" s="20" t="n">
        <f aca="false">HE73*(Slot20_Cost-HJ73)</f>
        <v>0</v>
      </c>
      <c r="HO73" s="20" t="n">
        <f aca="false">V73*Slot1_SpendLike*AA73+AG73*Slot2_SpendLike*AL73+AQ73*Slot3_SpendLike*AV73+BA73*Slot4_SpendLike*BF73+BK73*Slot5_SpendLike*BP73+BU73*Slot6_SpendLike*BZ73+CE73*Slot7_SpendLike*CJ73+CO73*Slot8_SpendLike*CT73+CY73*Slot9_SpendLike*DD73+DI73*Slot10_SpendLike*DN73+DS73*Slot11_SpendLike*DX73+EC73*Slot12_SpendLike*EH73+EM73*Slot13_SpendLike*ER73+EW73*Slot14_SpendLike*FB73+FG73*Slot15_SpendLike*FL73+FQ73*Slot16_SpendLike*FV73+GA73*Slot17_SpendLike*GF73+GK73*Slot18_SpendLike*GP73+GU73*Slot19_SpendLike*GZ73+HE73*Slot20_SpendLike*HJ73</f>
        <v>0</v>
      </c>
      <c r="HP73" s="20" t="n">
        <f aca="false">AE73+AP73+AZ73+BJ73+BT73+CD73+CN73+CX73+DH73+DR73+EB73+EL73+EV73+FF73+FP73+FZ73+GJ73+GT73+HD73+HN73</f>
        <v>0</v>
      </c>
      <c r="HQ73" s="20" t="n">
        <f aca="false">V73*Slot1_Cost+AG73*Slot2_Cost+AQ73*Slot3_Cost+BA73*Slot4_Cost+BK73*Slot5_Cost+BU73*Slot6_Cost+CE73*Slot7_Cost+CO73*Slot8_Cost+CY73*Slot9_Cost+DI73*Slot10_Cost+DS73*Slot11_Cost+EC73*Slot12_Cost+EM73*Slot13_Cost+EW73*Slot14_Cost+FG73*Slot15_Cost+FQ73*Slot16_Cost+GA73*Slot17_Cost+GK73*Slot18_Cost+GU73*Slot19_Cost+HE73*Slot20_Cost</f>
        <v>0</v>
      </c>
      <c r="HR73" s="20" t="n">
        <f aca="false">HM73</f>
        <v>0</v>
      </c>
      <c r="HS73" s="20" t="n">
        <f aca="false">H73-I73-S73</f>
        <v>-69789.7913903799</v>
      </c>
      <c r="HT73" s="20" t="n">
        <f aca="false">IF(B73=0,IF(AND(Has_q6=1,In_q6=4),PR_ShareVaries*(MAX(0,HS73)/12),MIN(IF(Has_q6=1,CHOOSE(In_q6+1,PR_SaveB1,PR_SaveB2,PR_SaveB3,PR_SaveB4,0),AS_NoAnswer),AS_SaveShare*(MAX(0,HS73)/12))),HT72)</f>
        <v>62.3316893520437</v>
      </c>
      <c r="HU73" s="20" t="n">
        <f aca="false">IF(HS73&gt;=0,1,0)</f>
        <v>0</v>
      </c>
      <c r="HV73" s="20" t="n">
        <f aca="false">MAX(0,HS73/12/F73)</f>
        <v>0</v>
      </c>
      <c r="HW73" s="20" t="n">
        <f aca="false">IF(AND(Has_q6=1,In_q6=4),PR_ShareVaries*(HV73),MIN(IF(Has_q6=1,CHOOSE(In_q6+1,PR_SaveB1,PR_SaveB2,PR_SaveB3,PR_SaveB4,0),AS_NoAnswer),AS_SaveShare*(HV73)))</f>
        <v>0</v>
      </c>
      <c r="HX73" s="20" t="n">
        <f aca="false">IF(Has_saveM=1,IF(In_saveUp="Yes",1,IF(In_saveUp="No",0,IF(In_saveM&gt;=HT73-0.5,1,0))),0)</f>
        <v>0</v>
      </c>
      <c r="HY73" s="20" t="n">
        <f aca="false">IF(Has_saveM=1,MIN(HV73,IF(HX73=1,MAX(In_saveM,HW73),MIN(In_saveM,HW73))),HW73)</f>
        <v>0</v>
      </c>
      <c r="HZ73" s="20" t="n">
        <f aca="false">IF(G73=1,HY73*12*F73,0)</f>
        <v>0</v>
      </c>
      <c r="IA73" s="20" t="n">
        <f aca="false">MAX(0,HZ73+IF(AND(WI_Retire=0,WI_M&lt;0,G73=1),WI_M*12*F73,0))</f>
        <v>0</v>
      </c>
      <c r="IB73" s="20" t="n">
        <f aca="false">Slot1_IsWG*W73+Slot2_IsWG*AH73+Slot3_IsWG*AR73+Slot4_IsWG*BB73+Slot5_IsWG*BL73+Slot6_IsWG*BV73+Slot7_IsWG*CF73+Slot8_IsWG*CP73+Slot9_IsWG*CZ73+Slot10_IsWG*DJ73+Slot11_IsWG*DT73+Slot12_IsWG*ED73+Slot13_IsWG*EN73+Slot14_IsWG*EX73+Slot15_IsWG*FH73+Slot16_IsWG*FR73+Slot17_IsWG*GB73+Slot18_IsWG*GL73+Slot19_IsWG*GV73+Slot20_IsWG*HF73</f>
        <v>0</v>
      </c>
      <c r="IC73" s="20" t="n">
        <f aca="false">IF(AND(WI_Retire=0,WI_M&gt;0,G73=1,IB73&gt;=1),WI_M*12*F73,0)</f>
        <v>0</v>
      </c>
      <c r="ID73" s="20" t="n">
        <f aca="false">IF(HU73=1,MIN(IA73,HS73),0)</f>
        <v>0</v>
      </c>
      <c r="IE73" s="20" t="n">
        <f aca="false">IF(HU73=1,MIN(IC73,HS73-ID73),0)</f>
        <v>0</v>
      </c>
      <c r="IF73" s="20" t="n">
        <f aca="false">IF(W73=1,IF(ABS((1+AS_Wage)/(1+Slot1_Rate)-1)&lt;0.000000000001,(Slot1_Age-D73)*(1+Slot1_Rate)^(Slot1_Age-D73),(1+Slot1_Rate)^(Slot1_Age-D73)*(1-((1+AS_Wage)/(1+Slot1_Rate))^(Slot1_Age-D73))/(1-(1+AS_Wage)/(1+Slot1_Rate))),1)</f>
        <v>1</v>
      </c>
      <c r="IG73" s="20" t="n">
        <f aca="false">IF(AND(HU73=1,IE73&gt;0,Slot1_IsWG=1,W73=1),MAX(0,(Slot1_Cost-X73*(1+Slot1_Rate)^(Slot1_Age-D73))/IF73),0)</f>
        <v>0</v>
      </c>
      <c r="IH73" s="20" t="n">
        <f aca="false">IF(AND(HU73=1,IE73&gt;0,Slot1_IsWG=1,W73=1),MIN(IE73,IG73),0)</f>
        <v>0</v>
      </c>
      <c r="II73" s="20" t="n">
        <f aca="false">X73+IH73</f>
        <v>0</v>
      </c>
      <c r="IJ73" s="20" t="n">
        <f aca="false">IF(W73=1,MAX(0,(Slot1_Cost-II73*(1+Slot1_Rate)^(Slot1_Age-D73))/IF73),0)</f>
        <v>0</v>
      </c>
      <c r="IK73" s="20" t="n">
        <f aca="false">IF(W73=1,MAX(0,(Slot1_Cost-X73*(1+Slot1_Rate)^(Slot1_Age-D73))/IF73),0)</f>
        <v>0</v>
      </c>
      <c r="IL73" s="20" t="n">
        <f aca="false">IF(AND(HU73=1,W73=1),MIN(ID73,IJ73),0)</f>
        <v>0</v>
      </c>
      <c r="IM73" s="20" t="n">
        <f aca="false">ID73-IL73</f>
        <v>0</v>
      </c>
      <c r="IN73" s="20" t="n">
        <f aca="false">IF(AH73=1,IF(ABS((1+AS_Wage)/(1+Slot2_Rate)-1)&lt;0.000000000001,(Slot2_Age-D73)*(1+Slot2_Rate)^(Slot2_Age-D73),(1+Slot2_Rate)^(Slot2_Age-D73)*(1-((1+AS_Wage)/(1+Slot2_Rate))^(Slot2_Age-D73))/(1-(1+AS_Wage)/(1+Slot2_Rate))),1)</f>
        <v>1</v>
      </c>
      <c r="IO73" s="20" t="n">
        <f aca="false">IF(AND(HU73=1,IE73&gt;0,Slot2_IsWG=1,AH73=1),MAX(0,(Slot2_Cost-AI73*(1+Slot2_Rate)^(Slot2_Age-D73))/IN73),0)</f>
        <v>0</v>
      </c>
      <c r="IP73" s="20" t="n">
        <f aca="false">IF(AND(HU73=1,IE73&gt;0,Slot2_IsWG=1,AH73=1),MIN(IE73,IO73),0)</f>
        <v>0</v>
      </c>
      <c r="IQ73" s="20" t="n">
        <f aca="false">AI73+IP73</f>
        <v>0</v>
      </c>
      <c r="IR73" s="20" t="n">
        <f aca="false">IF(AH73=1,MAX(0,(Slot2_Cost-IQ73*(1+Slot2_Rate)^(Slot2_Age-D73))/IN73),0)</f>
        <v>0</v>
      </c>
      <c r="IS73" s="20" t="n">
        <f aca="false">IF(AH73=1,MAX(0,(Slot2_Cost-AI73*(1+Slot2_Rate)^(Slot2_Age-D73))/IN73),0)</f>
        <v>0</v>
      </c>
      <c r="IT73" s="20" t="n">
        <f aca="false">IF(AND(HU73=1,AH73=1),MIN(IM73,IR73),0)</f>
        <v>0</v>
      </c>
      <c r="IU73" s="20" t="n">
        <f aca="false">IM73-IT73</f>
        <v>0</v>
      </c>
      <c r="IV73" s="20" t="n">
        <f aca="false">IF(AR73=1,IF(ABS((1+AS_Wage)/(1+Slot3_Rate)-1)&lt;0.000000000001,(Slot3_Age-D73)*(1+Slot3_Rate)^(Slot3_Age-D73),(1+Slot3_Rate)^(Slot3_Age-D73)*(1-((1+AS_Wage)/(1+Slot3_Rate))^(Slot3_Age-D73))/(1-(1+AS_Wage)/(1+Slot3_Rate))),1)</f>
        <v>1</v>
      </c>
      <c r="IW73" s="20" t="n">
        <f aca="false">IF(AND(HU73=1,IE73&gt;0,Slot3_IsWG=1,AR73=1),MAX(0,(Slot3_Cost-AS73*(1+Slot3_Rate)^(Slot3_Age-D73))/IV73),0)</f>
        <v>0</v>
      </c>
      <c r="IX73" s="20" t="n">
        <f aca="false">IF(AND(HU73=1,IE73&gt;0,Slot3_IsWG=1,AR73=1),MIN(IE73,IW73),0)</f>
        <v>0</v>
      </c>
      <c r="IY73" s="20" t="n">
        <f aca="false">AS73+IX73</f>
        <v>0</v>
      </c>
      <c r="IZ73" s="20" t="n">
        <f aca="false">IF(AR73=1,MAX(0,(Slot3_Cost-IY73*(1+Slot3_Rate)^(Slot3_Age-D73))/IV73),0)</f>
        <v>0</v>
      </c>
      <c r="JA73" s="20" t="n">
        <f aca="false">IF(AR73=1,MAX(0,(Slot3_Cost-AS73*(1+Slot3_Rate)^(Slot3_Age-D73))/IV73),0)</f>
        <v>0</v>
      </c>
      <c r="JB73" s="20" t="n">
        <f aca="false">IF(AND(HU73=1,AR73=1),MIN(IU73,IZ73),0)</f>
        <v>0</v>
      </c>
      <c r="JC73" s="20" t="n">
        <f aca="false">IU73-JB73</f>
        <v>0</v>
      </c>
      <c r="JD73" s="20" t="n">
        <f aca="false">IF(BB73=1,IF(ABS((1+AS_Wage)/(1+Slot4_Rate)-1)&lt;0.000000000001,(Slot4_Age-D73)*(1+Slot4_Rate)^(Slot4_Age-D73),(1+Slot4_Rate)^(Slot4_Age-D73)*(1-((1+AS_Wage)/(1+Slot4_Rate))^(Slot4_Age-D73))/(1-(1+AS_Wage)/(1+Slot4_Rate))),1)</f>
        <v>1</v>
      </c>
      <c r="JE73" s="20" t="n">
        <f aca="false">IF(AND(HU73=1,IE73&gt;0,Slot4_IsWG=1,BB73=1),MAX(0,(Slot4_Cost-BC73*(1+Slot4_Rate)^(Slot4_Age-D73))/JD73),0)</f>
        <v>0</v>
      </c>
      <c r="JF73" s="20" t="n">
        <f aca="false">IF(AND(HU73=1,IE73&gt;0,Slot4_IsWG=1,BB73=1),MIN(IE73,JE73),0)</f>
        <v>0</v>
      </c>
      <c r="JG73" s="20" t="n">
        <f aca="false">BC73+JF73</f>
        <v>0</v>
      </c>
      <c r="JH73" s="20" t="n">
        <f aca="false">IF(BB73=1,MAX(0,(Slot4_Cost-JG73*(1+Slot4_Rate)^(Slot4_Age-D73))/JD73),0)</f>
        <v>0</v>
      </c>
      <c r="JI73" s="20" t="n">
        <f aca="false">IF(BB73=1,MAX(0,(Slot4_Cost-BC73*(1+Slot4_Rate)^(Slot4_Age-D73))/JD73),0)</f>
        <v>0</v>
      </c>
      <c r="JJ73" s="20" t="n">
        <f aca="false">IF(AND(HU73=1,BB73=1),MIN(JC73,JH73),0)</f>
        <v>0</v>
      </c>
      <c r="JK73" s="20" t="n">
        <f aca="false">JC73-JJ73</f>
        <v>0</v>
      </c>
      <c r="JL73" s="20" t="n">
        <f aca="false">IF(BL73=1,IF(ABS((1+AS_Wage)/(1+Slot5_Rate)-1)&lt;0.000000000001,(Slot5_Age-D73)*(1+Slot5_Rate)^(Slot5_Age-D73),(1+Slot5_Rate)^(Slot5_Age-D73)*(1-((1+AS_Wage)/(1+Slot5_Rate))^(Slot5_Age-D73))/(1-(1+AS_Wage)/(1+Slot5_Rate))),1)</f>
        <v>1</v>
      </c>
      <c r="JM73" s="20" t="n">
        <f aca="false">IF(AND(HU73=1,IE73&gt;0,Slot5_IsWG=1,BL73=1),MAX(0,(Slot5_Cost-BM73*(1+Slot5_Rate)^(Slot5_Age-D73))/JL73),0)</f>
        <v>0</v>
      </c>
      <c r="JN73" s="20" t="n">
        <f aca="false">IF(AND(HU73=1,IE73&gt;0,Slot5_IsWG=1,BL73=1),MIN(IE73,JM73),0)</f>
        <v>0</v>
      </c>
      <c r="JO73" s="20" t="n">
        <f aca="false">BM73+JN73</f>
        <v>0</v>
      </c>
      <c r="JP73" s="20" t="n">
        <f aca="false">IF(BL73=1,MAX(0,(Slot5_Cost-JO73*(1+Slot5_Rate)^(Slot5_Age-D73))/JL73),0)</f>
        <v>0</v>
      </c>
      <c r="JQ73" s="20" t="n">
        <f aca="false">IF(BL73=1,MAX(0,(Slot5_Cost-BM73*(1+Slot5_Rate)^(Slot5_Age-D73))/JL73),0)</f>
        <v>0</v>
      </c>
      <c r="JR73" s="20" t="n">
        <f aca="false">IF(AND(HU73=1,BL73=1),MIN(JK73,JP73),0)</f>
        <v>0</v>
      </c>
      <c r="JS73" s="20" t="n">
        <f aca="false">JK73-JR73</f>
        <v>0</v>
      </c>
      <c r="JT73" s="20" t="n">
        <f aca="false">IF(BV73=1,IF(ABS((1+AS_Wage)/(1+Slot6_Rate)-1)&lt;0.000000000001,(Slot6_Age-D73)*(1+Slot6_Rate)^(Slot6_Age-D73),(1+Slot6_Rate)^(Slot6_Age-D73)*(1-((1+AS_Wage)/(1+Slot6_Rate))^(Slot6_Age-D73))/(1-(1+AS_Wage)/(1+Slot6_Rate))),1)</f>
        <v>1</v>
      </c>
      <c r="JU73" s="20" t="n">
        <f aca="false">IF(AND(HU73=1,IE73&gt;0,Slot6_IsWG=1,BV73=1),MAX(0,(Slot6_Cost-BW73*(1+Slot6_Rate)^(Slot6_Age-D73))/JT73),0)</f>
        <v>0</v>
      </c>
      <c r="JV73" s="20" t="n">
        <f aca="false">IF(AND(HU73=1,IE73&gt;0,Slot6_IsWG=1,BV73=1),MIN(IE73,JU73),0)</f>
        <v>0</v>
      </c>
      <c r="JW73" s="20" t="n">
        <f aca="false">BW73+JV73</f>
        <v>0</v>
      </c>
      <c r="JX73" s="20" t="n">
        <f aca="false">IF(BV73=1,MAX(0,(Slot6_Cost-JW73*(1+Slot6_Rate)^(Slot6_Age-D73))/JT73),0)</f>
        <v>0</v>
      </c>
      <c r="JY73" s="20" t="n">
        <f aca="false">IF(BV73=1,MAX(0,(Slot6_Cost-BW73*(1+Slot6_Rate)^(Slot6_Age-D73))/JT73),0)</f>
        <v>0</v>
      </c>
      <c r="JZ73" s="20" t="n">
        <f aca="false">IF(AND(HU73=1,BV73=1),MIN(JS73,JX73),0)</f>
        <v>0</v>
      </c>
      <c r="KA73" s="20" t="n">
        <f aca="false">JS73-JZ73</f>
        <v>0</v>
      </c>
      <c r="KB73" s="20" t="n">
        <f aca="false">IF(CF73=1,IF(ABS((1+AS_Wage)/(1+Slot7_Rate)-1)&lt;0.000000000001,(Slot7_Age-D73)*(1+Slot7_Rate)^(Slot7_Age-D73),(1+Slot7_Rate)^(Slot7_Age-D73)*(1-((1+AS_Wage)/(1+Slot7_Rate))^(Slot7_Age-D73))/(1-(1+AS_Wage)/(1+Slot7_Rate))),1)</f>
        <v>1</v>
      </c>
      <c r="KC73" s="20" t="n">
        <f aca="false">IF(AND(HU73=1,IE73&gt;0,Slot7_IsWG=1,CF73=1),MAX(0,(Slot7_Cost-CG73*(1+Slot7_Rate)^(Slot7_Age-D73))/KB73),0)</f>
        <v>0</v>
      </c>
      <c r="KD73" s="20" t="n">
        <f aca="false">IF(AND(HU73=1,IE73&gt;0,Slot7_IsWG=1,CF73=1),MIN(IE73,KC73),0)</f>
        <v>0</v>
      </c>
      <c r="KE73" s="20" t="n">
        <f aca="false">CG73+KD73</f>
        <v>0</v>
      </c>
      <c r="KF73" s="20" t="n">
        <f aca="false">IF(CF73=1,MAX(0,(Slot7_Cost-KE73*(1+Slot7_Rate)^(Slot7_Age-D73))/KB73),0)</f>
        <v>0</v>
      </c>
      <c r="KG73" s="20" t="n">
        <f aca="false">IF(CF73=1,MAX(0,(Slot7_Cost-CG73*(1+Slot7_Rate)^(Slot7_Age-D73))/KB73),0)</f>
        <v>0</v>
      </c>
      <c r="KH73" s="20" t="n">
        <f aca="false">IF(AND(HU73=1,CF73=1),MIN(KA73,KF73),0)</f>
        <v>0</v>
      </c>
      <c r="KI73" s="20" t="n">
        <f aca="false">KA73-KH73</f>
        <v>0</v>
      </c>
      <c r="KJ73" s="20" t="n">
        <f aca="false">IF(CP73=1,IF(ABS((1+AS_Wage)/(1+Slot8_Rate)-1)&lt;0.000000000001,(Slot8_Age-D73)*(1+Slot8_Rate)^(Slot8_Age-D73),(1+Slot8_Rate)^(Slot8_Age-D73)*(1-((1+AS_Wage)/(1+Slot8_Rate))^(Slot8_Age-D73))/(1-(1+AS_Wage)/(1+Slot8_Rate))),1)</f>
        <v>1</v>
      </c>
      <c r="KK73" s="20" t="n">
        <f aca="false">IF(AND(HU73=1,IE73&gt;0,Slot8_IsWG=1,CP73=1),MAX(0,(Slot8_Cost-CQ73*(1+Slot8_Rate)^(Slot8_Age-D73))/KJ73),0)</f>
        <v>0</v>
      </c>
      <c r="KL73" s="20" t="n">
        <f aca="false">IF(AND(HU73=1,IE73&gt;0,Slot8_IsWG=1,CP73=1),MIN(IE73,KK73),0)</f>
        <v>0</v>
      </c>
      <c r="KM73" s="20" t="n">
        <f aca="false">CQ73+KL73</f>
        <v>0</v>
      </c>
      <c r="KN73" s="20" t="n">
        <f aca="false">IF(CP73=1,MAX(0,(Slot8_Cost-KM73*(1+Slot8_Rate)^(Slot8_Age-D73))/KJ73),0)</f>
        <v>0</v>
      </c>
      <c r="KO73" s="20" t="n">
        <f aca="false">IF(CP73=1,MAX(0,(Slot8_Cost-CQ73*(1+Slot8_Rate)^(Slot8_Age-D73))/KJ73),0)</f>
        <v>0</v>
      </c>
      <c r="KP73" s="20" t="n">
        <f aca="false">IF(AND(HU73=1,CP73=1),MIN(KI73,KN73),0)</f>
        <v>0</v>
      </c>
      <c r="KQ73" s="20" t="n">
        <f aca="false">KI73-KP73</f>
        <v>0</v>
      </c>
      <c r="KR73" s="20" t="n">
        <f aca="false">IF(CZ73=1,IF(ABS((1+AS_Wage)/(1+Slot9_Rate)-1)&lt;0.000000000001,(Slot9_Age-D73)*(1+Slot9_Rate)^(Slot9_Age-D73),(1+Slot9_Rate)^(Slot9_Age-D73)*(1-((1+AS_Wage)/(1+Slot9_Rate))^(Slot9_Age-D73))/(1-(1+AS_Wage)/(1+Slot9_Rate))),1)</f>
        <v>1</v>
      </c>
      <c r="KS73" s="20" t="n">
        <f aca="false">IF(AND(HU73=1,IE73&gt;0,Slot9_IsWG=1,CZ73=1),MAX(0,(Slot9_Cost-DA73*(1+Slot9_Rate)^(Slot9_Age-D73))/KR73),0)</f>
        <v>0</v>
      </c>
      <c r="KT73" s="20" t="n">
        <f aca="false">IF(AND(HU73=1,IE73&gt;0,Slot9_IsWG=1,CZ73=1),MIN(IE73,KS73),0)</f>
        <v>0</v>
      </c>
      <c r="KU73" s="20" t="n">
        <f aca="false">DA73+KT73</f>
        <v>0</v>
      </c>
      <c r="KV73" s="20" t="n">
        <f aca="false">IF(CZ73=1,MAX(0,(Slot9_Cost-KU73*(1+Slot9_Rate)^(Slot9_Age-D73))/KR73),0)</f>
        <v>0</v>
      </c>
      <c r="KW73" s="20" t="n">
        <f aca="false">IF(CZ73=1,MAX(0,(Slot9_Cost-DA73*(1+Slot9_Rate)^(Slot9_Age-D73))/KR73),0)</f>
        <v>0</v>
      </c>
      <c r="KX73" s="20" t="n">
        <f aca="false">IF(AND(HU73=1,CZ73=1),MIN(KQ73,KV73),0)</f>
        <v>0</v>
      </c>
      <c r="KY73" s="20" t="n">
        <f aca="false">KQ73-KX73</f>
        <v>0</v>
      </c>
      <c r="KZ73" s="20" t="n">
        <f aca="false">IF(DJ73=1,IF(ABS((1+AS_Wage)/(1+Slot10_Rate)-1)&lt;0.000000000001,(Slot10_Age-D73)*(1+Slot10_Rate)^(Slot10_Age-D73),(1+Slot10_Rate)^(Slot10_Age-D73)*(1-((1+AS_Wage)/(1+Slot10_Rate))^(Slot10_Age-D73))/(1-(1+AS_Wage)/(1+Slot10_Rate))),1)</f>
        <v>1</v>
      </c>
      <c r="LA73" s="20" t="n">
        <f aca="false">IF(AND(HU73=1,IE73&gt;0,Slot10_IsWG=1,DJ73=1),MAX(0,(Slot10_Cost-DK73*(1+Slot10_Rate)^(Slot10_Age-D73))/KZ73),0)</f>
        <v>0</v>
      </c>
      <c r="LB73" s="20" t="n">
        <f aca="false">IF(AND(HU73=1,IE73&gt;0,Slot10_IsWG=1,DJ73=1),MIN(IE73,LA73),0)</f>
        <v>0</v>
      </c>
      <c r="LC73" s="20" t="n">
        <f aca="false">DK73+LB73</f>
        <v>0</v>
      </c>
      <c r="LD73" s="20" t="n">
        <f aca="false">IF(DJ73=1,MAX(0,(Slot10_Cost-LC73*(1+Slot10_Rate)^(Slot10_Age-D73))/KZ73),0)</f>
        <v>0</v>
      </c>
      <c r="LE73" s="20" t="n">
        <f aca="false">IF(DJ73=1,MAX(0,(Slot10_Cost-DK73*(1+Slot10_Rate)^(Slot10_Age-D73))/KZ73),0)</f>
        <v>0</v>
      </c>
      <c r="LF73" s="20" t="n">
        <f aca="false">IF(AND(HU73=1,DJ73=1),MIN(KY73,LD73),0)</f>
        <v>0</v>
      </c>
      <c r="LG73" s="20" t="n">
        <f aca="false">KY73-LF73</f>
        <v>0</v>
      </c>
      <c r="LH73" s="20" t="n">
        <f aca="false">IF(DT73=1,IF(ABS((1+AS_Wage)/(1+Slot11_Rate)-1)&lt;0.000000000001,(Slot11_Age-D73)*(1+Slot11_Rate)^(Slot11_Age-D73),(1+Slot11_Rate)^(Slot11_Age-D73)*(1-((1+AS_Wage)/(1+Slot11_Rate))^(Slot11_Age-D73))/(1-(1+AS_Wage)/(1+Slot11_Rate))),1)</f>
        <v>1</v>
      </c>
      <c r="LI73" s="20" t="n">
        <f aca="false">IF(AND(HU73=1,IE73&gt;0,Slot11_IsWG=1,DT73=1),MAX(0,(Slot11_Cost-DU73*(1+Slot11_Rate)^(Slot11_Age-D73))/LH73),0)</f>
        <v>0</v>
      </c>
      <c r="LJ73" s="20" t="n">
        <f aca="false">IF(AND(HU73=1,IE73&gt;0,Slot11_IsWG=1,DT73=1),MIN(IE73,LI73),0)</f>
        <v>0</v>
      </c>
      <c r="LK73" s="20" t="n">
        <f aca="false">DU73+LJ73</f>
        <v>0</v>
      </c>
      <c r="LL73" s="20" t="n">
        <f aca="false">IF(DT73=1,MAX(0,(Slot11_Cost-LK73*(1+Slot11_Rate)^(Slot11_Age-D73))/LH73),0)</f>
        <v>0</v>
      </c>
      <c r="LM73" s="20" t="n">
        <f aca="false">IF(DT73=1,MAX(0,(Slot11_Cost-DU73*(1+Slot11_Rate)^(Slot11_Age-D73))/LH73),0)</f>
        <v>0</v>
      </c>
      <c r="LN73" s="20" t="n">
        <f aca="false">IF(AND(HU73=1,DT73=1),MIN(LG73,LL73),0)</f>
        <v>0</v>
      </c>
      <c r="LO73" s="20" t="n">
        <f aca="false">LG73-LN73</f>
        <v>0</v>
      </c>
      <c r="LP73" s="20" t="n">
        <f aca="false">IF(ED73=1,IF(ABS((1+AS_Wage)/(1+Slot12_Rate)-1)&lt;0.000000000001,(Slot12_Age-D73)*(1+Slot12_Rate)^(Slot12_Age-D73),(1+Slot12_Rate)^(Slot12_Age-D73)*(1-((1+AS_Wage)/(1+Slot12_Rate))^(Slot12_Age-D73))/(1-(1+AS_Wage)/(1+Slot12_Rate))),1)</f>
        <v>1</v>
      </c>
      <c r="LQ73" s="20" t="n">
        <f aca="false">IF(AND(HU73=1,IE73&gt;0,Slot12_IsWG=1,ED73=1),MAX(0,(Slot12_Cost-EE73*(1+Slot12_Rate)^(Slot12_Age-D73))/LP73),0)</f>
        <v>0</v>
      </c>
      <c r="LR73" s="20" t="n">
        <f aca="false">IF(AND(HU73=1,IE73&gt;0,Slot12_IsWG=1,ED73=1),MIN(IE73,LQ73),0)</f>
        <v>0</v>
      </c>
      <c r="LS73" s="20" t="n">
        <f aca="false">EE73+LR73</f>
        <v>0</v>
      </c>
      <c r="LT73" s="20" t="n">
        <f aca="false">IF(ED73=1,MAX(0,(Slot12_Cost-LS73*(1+Slot12_Rate)^(Slot12_Age-D73))/LP73),0)</f>
        <v>0</v>
      </c>
      <c r="LU73" s="20" t="n">
        <f aca="false">IF(ED73=1,MAX(0,(Slot12_Cost-EE73*(1+Slot12_Rate)^(Slot12_Age-D73))/LP73),0)</f>
        <v>0</v>
      </c>
      <c r="LV73" s="20" t="n">
        <f aca="false">IF(AND(HU73=1,ED73=1),MIN(LO73,LT73),0)</f>
        <v>0</v>
      </c>
      <c r="LW73" s="20" t="n">
        <f aca="false">LO73-LV73</f>
        <v>0</v>
      </c>
      <c r="LX73" s="20" t="n">
        <f aca="false">IF(EN73=1,IF(ABS((1+AS_Wage)/(1+Slot13_Rate)-1)&lt;0.000000000001,(Slot13_Age-D73)*(1+Slot13_Rate)^(Slot13_Age-D73),(1+Slot13_Rate)^(Slot13_Age-D73)*(1-((1+AS_Wage)/(1+Slot13_Rate))^(Slot13_Age-D73))/(1-(1+AS_Wage)/(1+Slot13_Rate))),1)</f>
        <v>1</v>
      </c>
      <c r="LY73" s="20" t="n">
        <f aca="false">IF(AND(HU73=1,IE73&gt;0,Slot13_IsWG=1,EN73=1),MAX(0,(Slot13_Cost-EO73*(1+Slot13_Rate)^(Slot13_Age-D73))/LX73),0)</f>
        <v>0</v>
      </c>
      <c r="LZ73" s="20" t="n">
        <f aca="false">IF(AND(HU73=1,IE73&gt;0,Slot13_IsWG=1,EN73=1),MIN(IE73,LY73),0)</f>
        <v>0</v>
      </c>
      <c r="MA73" s="20" t="n">
        <f aca="false">EO73+LZ73</f>
        <v>0</v>
      </c>
      <c r="MB73" s="20" t="n">
        <f aca="false">IF(EN73=1,MAX(0,(Slot13_Cost-MA73*(1+Slot13_Rate)^(Slot13_Age-D73))/LX73),0)</f>
        <v>0</v>
      </c>
      <c r="MC73" s="20" t="n">
        <f aca="false">IF(EN73=1,MAX(0,(Slot13_Cost-EO73*(1+Slot13_Rate)^(Slot13_Age-D73))/LX73),0)</f>
        <v>0</v>
      </c>
      <c r="MD73" s="20" t="n">
        <f aca="false">IF(AND(HU73=1,EN73=1),MIN(LW73,MB73),0)</f>
        <v>0</v>
      </c>
      <c r="ME73" s="20" t="n">
        <f aca="false">LW73-MD73</f>
        <v>0</v>
      </c>
      <c r="MF73" s="20" t="n">
        <f aca="false">IF(EX73=1,IF(ABS((1+AS_Wage)/(1+Slot14_Rate)-1)&lt;0.000000000001,(Slot14_Age-D73)*(1+Slot14_Rate)^(Slot14_Age-D73),(1+Slot14_Rate)^(Slot14_Age-D73)*(1-((1+AS_Wage)/(1+Slot14_Rate))^(Slot14_Age-D73))/(1-(1+AS_Wage)/(1+Slot14_Rate))),1)</f>
        <v>1</v>
      </c>
      <c r="MG73" s="20" t="n">
        <f aca="false">IF(AND(HU73=1,IE73&gt;0,Slot14_IsWG=1,EX73=1),MAX(0,(Slot14_Cost-EY73*(1+Slot14_Rate)^(Slot14_Age-D73))/MF73),0)</f>
        <v>0</v>
      </c>
      <c r="MH73" s="20" t="n">
        <f aca="false">IF(AND(HU73=1,IE73&gt;0,Slot14_IsWG=1,EX73=1),MIN(IE73,MG73),0)</f>
        <v>0</v>
      </c>
      <c r="MI73" s="20" t="n">
        <f aca="false">EY73+MH73</f>
        <v>0</v>
      </c>
      <c r="MJ73" s="20" t="n">
        <f aca="false">IF(EX73=1,MAX(0,(Slot14_Cost-MI73*(1+Slot14_Rate)^(Slot14_Age-D73))/MF73),0)</f>
        <v>0</v>
      </c>
      <c r="MK73" s="20" t="n">
        <f aca="false">IF(EX73=1,MAX(0,(Slot14_Cost-EY73*(1+Slot14_Rate)^(Slot14_Age-D73))/MF73),0)</f>
        <v>0</v>
      </c>
      <c r="ML73" s="20" t="n">
        <f aca="false">IF(AND(HU73=1,EX73=1),MIN(ME73,MJ73),0)</f>
        <v>0</v>
      </c>
      <c r="MM73" s="20" t="n">
        <f aca="false">ME73-ML73</f>
        <v>0</v>
      </c>
      <c r="MN73" s="20" t="n">
        <f aca="false">IF(FH73=1,IF(ABS((1+AS_Wage)/(1+Slot15_Rate)-1)&lt;0.000000000001,(Slot15_Age-D73)*(1+Slot15_Rate)^(Slot15_Age-D73),(1+Slot15_Rate)^(Slot15_Age-D73)*(1-((1+AS_Wage)/(1+Slot15_Rate))^(Slot15_Age-D73))/(1-(1+AS_Wage)/(1+Slot15_Rate))),1)</f>
        <v>1</v>
      </c>
      <c r="MO73" s="20" t="n">
        <f aca="false">IF(AND(HU73=1,IE73&gt;0,Slot15_IsWG=1,FH73=1),MAX(0,(Slot15_Cost-FI73*(1+Slot15_Rate)^(Slot15_Age-D73))/MN73),0)</f>
        <v>0</v>
      </c>
      <c r="MP73" s="20" t="n">
        <f aca="false">IF(AND(HU73=1,IE73&gt;0,Slot15_IsWG=1,FH73=1),MIN(IE73,MO73),0)</f>
        <v>0</v>
      </c>
      <c r="MQ73" s="20" t="n">
        <f aca="false">FI73+MP73</f>
        <v>0</v>
      </c>
      <c r="MR73" s="20" t="n">
        <f aca="false">IF(FH73=1,MAX(0,(Slot15_Cost-MQ73*(1+Slot15_Rate)^(Slot15_Age-D73))/MN73),0)</f>
        <v>0</v>
      </c>
      <c r="MS73" s="20" t="n">
        <f aca="false">IF(FH73=1,MAX(0,(Slot15_Cost-FI73*(1+Slot15_Rate)^(Slot15_Age-D73))/MN73),0)</f>
        <v>0</v>
      </c>
      <c r="MT73" s="20" t="n">
        <f aca="false">IF(AND(HU73=1,FH73=1),MIN(MM73,MR73),0)</f>
        <v>0</v>
      </c>
      <c r="MU73" s="20" t="n">
        <f aca="false">MM73-MT73</f>
        <v>0</v>
      </c>
      <c r="MV73" s="20" t="n">
        <f aca="false">IF(FR73=1,IF(ABS((1+AS_Wage)/(1+Slot16_Rate)-1)&lt;0.000000000001,(Slot16_Age-D73)*(1+Slot16_Rate)^(Slot16_Age-D73),(1+Slot16_Rate)^(Slot16_Age-D73)*(1-((1+AS_Wage)/(1+Slot16_Rate))^(Slot16_Age-D73))/(1-(1+AS_Wage)/(1+Slot16_Rate))),1)</f>
        <v>1</v>
      </c>
      <c r="MW73" s="20" t="n">
        <f aca="false">IF(AND(HU73=1,IE73&gt;0,Slot16_IsWG=1,FR73=1),MAX(0,(Slot16_Cost-FS73*(1+Slot16_Rate)^(Slot16_Age-D73))/MV73),0)</f>
        <v>0</v>
      </c>
      <c r="MX73" s="20" t="n">
        <f aca="false">IF(AND(HU73=1,IE73&gt;0,Slot16_IsWG=1,FR73=1),MIN(IE73,MW73),0)</f>
        <v>0</v>
      </c>
      <c r="MY73" s="20" t="n">
        <f aca="false">FS73+MX73</f>
        <v>0</v>
      </c>
      <c r="MZ73" s="20" t="n">
        <f aca="false">IF(FR73=1,MAX(0,(Slot16_Cost-MY73*(1+Slot16_Rate)^(Slot16_Age-D73))/MV73),0)</f>
        <v>0</v>
      </c>
      <c r="NA73" s="20" t="n">
        <f aca="false">IF(FR73=1,MAX(0,(Slot16_Cost-FS73*(1+Slot16_Rate)^(Slot16_Age-D73))/MV73),0)</f>
        <v>0</v>
      </c>
      <c r="NB73" s="20" t="n">
        <f aca="false">IF(AND(HU73=1,FR73=1),MIN(MU73,MZ73),0)</f>
        <v>0</v>
      </c>
      <c r="NC73" s="20" t="n">
        <f aca="false">MU73-NB73</f>
        <v>0</v>
      </c>
      <c r="ND73" s="20" t="n">
        <f aca="false">IF(GB73=1,IF(ABS((1+AS_Wage)/(1+Slot17_Rate)-1)&lt;0.000000000001,(Slot17_Age-D73)*(1+Slot17_Rate)^(Slot17_Age-D73),(1+Slot17_Rate)^(Slot17_Age-D73)*(1-((1+AS_Wage)/(1+Slot17_Rate))^(Slot17_Age-D73))/(1-(1+AS_Wage)/(1+Slot17_Rate))),1)</f>
        <v>1</v>
      </c>
      <c r="NE73" s="20" t="n">
        <f aca="false">IF(AND(HU73=1,IE73&gt;0,Slot17_IsWG=1,GB73=1),MAX(0,(Slot17_Cost-GC73*(1+Slot17_Rate)^(Slot17_Age-D73))/ND73),0)</f>
        <v>0</v>
      </c>
      <c r="NF73" s="20" t="n">
        <f aca="false">IF(AND(HU73=1,IE73&gt;0,Slot17_IsWG=1,GB73=1),MIN(IE73,NE73),0)</f>
        <v>0</v>
      </c>
      <c r="NG73" s="20" t="n">
        <f aca="false">GC73+NF73</f>
        <v>0</v>
      </c>
      <c r="NH73" s="20" t="n">
        <f aca="false">IF(GB73=1,MAX(0,(Slot17_Cost-NG73*(1+Slot17_Rate)^(Slot17_Age-D73))/ND73),0)</f>
        <v>0</v>
      </c>
      <c r="NI73" s="20" t="n">
        <f aca="false">IF(GB73=1,MAX(0,(Slot17_Cost-GC73*(1+Slot17_Rate)^(Slot17_Age-D73))/ND73),0)</f>
        <v>0</v>
      </c>
      <c r="NJ73" s="20" t="n">
        <f aca="false">IF(AND(HU73=1,GB73=1),MIN(NC73,NH73),0)</f>
        <v>0</v>
      </c>
      <c r="NK73" s="20" t="n">
        <f aca="false">NC73-NJ73</f>
        <v>0</v>
      </c>
      <c r="NL73" s="20" t="n">
        <f aca="false">IF(GL73=1,IF(ABS((1+AS_Wage)/(1+Slot18_Rate)-1)&lt;0.000000000001,(Slot18_Age-D73)*(1+Slot18_Rate)^(Slot18_Age-D73),(1+Slot18_Rate)^(Slot18_Age-D73)*(1-((1+AS_Wage)/(1+Slot18_Rate))^(Slot18_Age-D73))/(1-(1+AS_Wage)/(1+Slot18_Rate))),1)</f>
        <v>1</v>
      </c>
      <c r="NM73" s="20" t="n">
        <f aca="false">IF(AND(HU73=1,IE73&gt;0,Slot18_IsWG=1,GL73=1),MAX(0,(Slot18_Cost-GM73*(1+Slot18_Rate)^(Slot18_Age-D73))/NL73),0)</f>
        <v>0</v>
      </c>
      <c r="NN73" s="20" t="n">
        <f aca="false">IF(AND(HU73=1,IE73&gt;0,Slot18_IsWG=1,GL73=1),MIN(IE73,NM73),0)</f>
        <v>0</v>
      </c>
      <c r="NO73" s="20" t="n">
        <f aca="false">GM73+NN73</f>
        <v>0</v>
      </c>
      <c r="NP73" s="20" t="n">
        <f aca="false">IF(GL73=1,MAX(0,(Slot18_Cost-NO73*(1+Slot18_Rate)^(Slot18_Age-D73))/NL73),0)</f>
        <v>0</v>
      </c>
      <c r="NQ73" s="20" t="n">
        <f aca="false">IF(GL73=1,MAX(0,(Slot18_Cost-GM73*(1+Slot18_Rate)^(Slot18_Age-D73))/NL73),0)</f>
        <v>0</v>
      </c>
      <c r="NR73" s="20" t="n">
        <f aca="false">IF(AND(HU73=1,GL73=1),MIN(NK73,NP73),0)</f>
        <v>0</v>
      </c>
      <c r="NS73" s="20" t="n">
        <f aca="false">NK73-NR73</f>
        <v>0</v>
      </c>
      <c r="NT73" s="20" t="n">
        <f aca="false">IF(GV73=1,IF(ABS((1+AS_Wage)/(1+Slot19_Rate)-1)&lt;0.000000000001,(Slot19_Age-D73)*(1+Slot19_Rate)^(Slot19_Age-D73),(1+Slot19_Rate)^(Slot19_Age-D73)*(1-((1+AS_Wage)/(1+Slot19_Rate))^(Slot19_Age-D73))/(1-(1+AS_Wage)/(1+Slot19_Rate))),1)</f>
        <v>1</v>
      </c>
      <c r="NU73" s="20" t="n">
        <f aca="false">IF(AND(HU73=1,IE73&gt;0,Slot19_IsWG=1,GV73=1),MAX(0,(Slot19_Cost-GW73*(1+Slot19_Rate)^(Slot19_Age-D73))/NT73),0)</f>
        <v>0</v>
      </c>
      <c r="NV73" s="20" t="n">
        <f aca="false">IF(AND(HU73=1,IE73&gt;0,Slot19_IsWG=1,GV73=1),MIN(IE73,NU73),0)</f>
        <v>0</v>
      </c>
      <c r="NW73" s="20" t="n">
        <f aca="false">GW73+NV73</f>
        <v>0</v>
      </c>
      <c r="NX73" s="20" t="n">
        <f aca="false">IF(GV73=1,MAX(0,(Slot19_Cost-NW73*(1+Slot19_Rate)^(Slot19_Age-D73))/NT73),0)</f>
        <v>0</v>
      </c>
      <c r="NY73" s="20" t="n">
        <f aca="false">IF(GV73=1,MAX(0,(Slot19_Cost-GW73*(1+Slot19_Rate)^(Slot19_Age-D73))/NT73),0)</f>
        <v>0</v>
      </c>
      <c r="NZ73" s="20" t="n">
        <f aca="false">IF(AND(HU73=1,GV73=1),MIN(NS73,NX73),0)</f>
        <v>0</v>
      </c>
      <c r="OA73" s="20" t="n">
        <f aca="false">NS73-NZ73</f>
        <v>0</v>
      </c>
      <c r="OB73" s="20" t="n">
        <f aca="false">IF(HF73=1,IF(ABS((1+AS_Wage)/(1+Slot20_Rate)-1)&lt;0.000000000001,(Slot20_Age-D73)*(1+Slot20_Rate)^(Slot20_Age-D73),(1+Slot20_Rate)^(Slot20_Age-D73)*(1-((1+AS_Wage)/(1+Slot20_Rate))^(Slot20_Age-D73))/(1-(1+AS_Wage)/(1+Slot20_Rate))),1)</f>
        <v>1</v>
      </c>
      <c r="OC73" s="20" t="n">
        <f aca="false">IF(AND(HU73=1,IE73&gt;0,Slot20_IsWG=1,HF73=1),MAX(0,(Slot20_Cost-HG73*(1+Slot20_Rate)^(Slot20_Age-D73))/OB73),0)</f>
        <v>0</v>
      </c>
      <c r="OD73" s="20" t="n">
        <f aca="false">IF(AND(HU73=1,IE73&gt;0,Slot20_IsWG=1,HF73=1),MIN(IE73,OC73),0)</f>
        <v>0</v>
      </c>
      <c r="OE73" s="20" t="n">
        <f aca="false">HG73+OD73</f>
        <v>0</v>
      </c>
      <c r="OF73" s="20" t="n">
        <f aca="false">IF(HF73=1,MAX(0,(Slot20_Cost-OE73*(1+Slot20_Rate)^(Slot20_Age-D73))/OB73),0)</f>
        <v>0</v>
      </c>
      <c r="OG73" s="20" t="n">
        <f aca="false">IF(HF73=1,MAX(0,(Slot20_Cost-HG73*(1+Slot20_Rate)^(Slot20_Age-D73))/OB73),0)</f>
        <v>0</v>
      </c>
      <c r="OH73" s="20" t="n">
        <f aca="false">IF(AND(HU73=1,HF73=1),MIN(OA73,OF73),0)</f>
        <v>0</v>
      </c>
      <c r="OI73" s="20" t="n">
        <f aca="false">OA73-OH73</f>
        <v>0</v>
      </c>
      <c r="OJ73" s="20" t="n">
        <f aca="false">IE73-(IH73+IP73+IX73+JF73+JN73+JV73+KD73+KL73+KT73+LB73+LJ73+LR73+LZ73+MH73+MP73+MX73+NF73+NN73+NV73+OD73)</f>
        <v>0</v>
      </c>
      <c r="OK73" s="20" t="n">
        <f aca="false">IF(HU73=1,HS73-ID73-IE73,0)</f>
        <v>0</v>
      </c>
      <c r="OL73" s="20" t="n">
        <f aca="false">IF(HU73=0,-HS73,0)</f>
        <v>69789.7913903799</v>
      </c>
      <c r="OM73" s="20" t="n">
        <f aca="false">MIN(OL73,HK73)</f>
        <v>0</v>
      </c>
      <c r="ON73" s="20" t="n">
        <f aca="false">OL73-OM73</f>
        <v>69789.7913903799</v>
      </c>
      <c r="OO73" s="20" t="n">
        <f aca="false">MIN(ON73,HL73)</f>
        <v>0</v>
      </c>
      <c r="OP73" s="20" t="n">
        <f aca="false">ON73-OO73</f>
        <v>69789.7913903799</v>
      </c>
      <c r="OQ73" s="20" t="n">
        <f aca="false">IF(AND(HU73=0,HF73=1,OP73&gt;0),MIN(OP73,HG73),0)</f>
        <v>0</v>
      </c>
      <c r="OR73" s="20" t="n">
        <f aca="false">OP73-OQ73</f>
        <v>69789.7913903799</v>
      </c>
      <c r="OS73" s="20" t="n">
        <f aca="false">IF(AND(HU73=0,GV73=1,OR73&gt;0),MIN(OR73,GW73),0)</f>
        <v>0</v>
      </c>
      <c r="OT73" s="20" t="n">
        <f aca="false">OR73-OS73</f>
        <v>69789.7913903799</v>
      </c>
      <c r="OU73" s="20" t="n">
        <f aca="false">IF(AND(HU73=0,GL73=1,OT73&gt;0),MIN(OT73,GM73),0)</f>
        <v>0</v>
      </c>
      <c r="OV73" s="20" t="n">
        <f aca="false">OT73-OU73</f>
        <v>69789.7913903799</v>
      </c>
      <c r="OW73" s="20" t="n">
        <f aca="false">IF(AND(HU73=0,GB73=1,OV73&gt;0),MIN(OV73,GC73),0)</f>
        <v>0</v>
      </c>
      <c r="OX73" s="20" t="n">
        <f aca="false">OV73-OW73</f>
        <v>69789.7913903799</v>
      </c>
      <c r="OY73" s="20" t="n">
        <f aca="false">IF(AND(HU73=0,FR73=1,OX73&gt;0),MIN(OX73,FS73),0)</f>
        <v>0</v>
      </c>
      <c r="OZ73" s="20" t="n">
        <f aca="false">OX73-OY73</f>
        <v>69789.7913903799</v>
      </c>
      <c r="PA73" s="20" t="n">
        <f aca="false">IF(AND(HU73=0,FH73=1,OZ73&gt;0),MIN(OZ73,FI73),0)</f>
        <v>0</v>
      </c>
      <c r="PB73" s="20" t="n">
        <f aca="false">OZ73-PA73</f>
        <v>69789.7913903799</v>
      </c>
      <c r="PC73" s="20" t="n">
        <f aca="false">IF(AND(HU73=0,EX73=1,PB73&gt;0),MIN(PB73,EY73),0)</f>
        <v>0</v>
      </c>
      <c r="PD73" s="20" t="n">
        <f aca="false">PB73-PC73</f>
        <v>69789.7913903799</v>
      </c>
      <c r="PE73" s="20" t="n">
        <f aca="false">IF(AND(HU73=0,EN73=1,PD73&gt;0),MIN(PD73,EO73),0)</f>
        <v>0</v>
      </c>
      <c r="PF73" s="20" t="n">
        <f aca="false">PD73-PE73</f>
        <v>69789.7913903799</v>
      </c>
      <c r="PG73" s="20" t="n">
        <f aca="false">IF(AND(HU73=0,ED73=1,PF73&gt;0),MIN(PF73,EE73),0)</f>
        <v>0</v>
      </c>
      <c r="PH73" s="20" t="n">
        <f aca="false">PF73-PG73</f>
        <v>69789.7913903799</v>
      </c>
      <c r="PI73" s="20" t="n">
        <f aca="false">IF(AND(HU73=0,DT73=1,PH73&gt;0),MIN(PH73,DU73),0)</f>
        <v>0</v>
      </c>
      <c r="PJ73" s="20" t="n">
        <f aca="false">PH73-PI73</f>
        <v>69789.7913903799</v>
      </c>
      <c r="PK73" s="20" t="n">
        <f aca="false">IF(AND(HU73=0,DJ73=1,PJ73&gt;0),MIN(PJ73,DK73),0)</f>
        <v>0</v>
      </c>
      <c r="PL73" s="20" t="n">
        <f aca="false">PJ73-PK73</f>
        <v>69789.7913903799</v>
      </c>
      <c r="PM73" s="20" t="n">
        <f aca="false">IF(AND(HU73=0,CZ73=1,PL73&gt;0),MIN(PL73,DA73),0)</f>
        <v>0</v>
      </c>
      <c r="PN73" s="20" t="n">
        <f aca="false">PL73-PM73</f>
        <v>69789.7913903799</v>
      </c>
      <c r="PO73" s="20" t="n">
        <f aca="false">IF(AND(HU73=0,CP73=1,PN73&gt;0),MIN(PN73,CQ73),0)</f>
        <v>0</v>
      </c>
      <c r="PP73" s="20" t="n">
        <f aca="false">PN73-PO73</f>
        <v>69789.7913903799</v>
      </c>
      <c r="PQ73" s="20" t="n">
        <f aca="false">IF(AND(HU73=0,CF73=1,PP73&gt;0),MIN(PP73,CG73),0)</f>
        <v>0</v>
      </c>
      <c r="PR73" s="20" t="n">
        <f aca="false">PP73-PQ73</f>
        <v>69789.7913903799</v>
      </c>
      <c r="PS73" s="20" t="n">
        <f aca="false">IF(AND(HU73=0,BV73=1,PR73&gt;0),MIN(PR73,BW73),0)</f>
        <v>0</v>
      </c>
      <c r="PT73" s="20" t="n">
        <f aca="false">PR73-PS73</f>
        <v>69789.7913903799</v>
      </c>
      <c r="PU73" s="20" t="n">
        <f aca="false">IF(AND(HU73=0,BL73=1,PT73&gt;0),MIN(PT73,BM73),0)</f>
        <v>0</v>
      </c>
      <c r="PV73" s="20" t="n">
        <f aca="false">PT73-PU73</f>
        <v>69789.7913903799</v>
      </c>
      <c r="PW73" s="20" t="n">
        <f aca="false">IF(AND(HU73=0,BB73=1,PV73&gt;0),MIN(PV73,BC73),0)</f>
        <v>0</v>
      </c>
      <c r="PX73" s="20" t="n">
        <f aca="false">PV73-PW73</f>
        <v>69789.7913903799</v>
      </c>
      <c r="PY73" s="20" t="n">
        <f aca="false">IF(AND(HU73=0,AR73=1,PX73&gt;0),MIN(PX73,AS73),0)</f>
        <v>0</v>
      </c>
      <c r="PZ73" s="20" t="n">
        <f aca="false">PX73-PY73</f>
        <v>69789.7913903799</v>
      </c>
      <c r="QA73" s="20" t="n">
        <f aca="false">IF(AND(HU73=0,AH73=1,PZ73&gt;0),MIN(PZ73,AI73),0)</f>
        <v>0</v>
      </c>
      <c r="QB73" s="20" t="n">
        <f aca="false">PZ73-QA73</f>
        <v>69789.7913903799</v>
      </c>
      <c r="QC73" s="20" t="n">
        <f aca="false">IF(AND(HU73=0,W73=1,QB73&gt;0),MIN(QB73,X73),0)</f>
        <v>0</v>
      </c>
      <c r="QD73" s="20" t="n">
        <f aca="false">QB73-QC73</f>
        <v>69789.7913903799</v>
      </c>
      <c r="QE73" s="20" t="n">
        <f aca="false">IF(HU73=0,QD73,0)</f>
        <v>69789.7913903799</v>
      </c>
      <c r="QF73" s="20" t="n">
        <f aca="false">OM73+OO73+QC73+QA73+PY73+PW73+PU73+PS73+PQ73+PO73+PM73+PK73+PI73+PG73+PE73+PC73+PA73+OY73+OW73+OU73+OS73+OQ73</f>
        <v>0</v>
      </c>
      <c r="QG73" s="20" t="n">
        <f aca="false">IF(HU73=1,HK73+OJ73+OI73+IF(G73=1,0,OK73),HK73-OM73)</f>
        <v>0</v>
      </c>
      <c r="QH73" s="20" t="n">
        <f aca="false">HL73-OO73</f>
        <v>0</v>
      </c>
      <c r="QI73" s="20" t="n">
        <f aca="false">IF(HU73=1,IF(G73=1,ID73+IE73,HS73),0)</f>
        <v>0</v>
      </c>
      <c r="QJ73" s="20" t="n">
        <f aca="false">IF(HU73=1,IF(G73=1,HS73-ID73-IE73,0),0)</f>
        <v>0</v>
      </c>
      <c r="QK73" s="20" t="n">
        <f aca="false">QG73*(1+GR)</f>
        <v>0</v>
      </c>
      <c r="QL73" s="20" t="n">
        <f aca="false">QH73*(1+AS_Cash)</f>
        <v>0</v>
      </c>
      <c r="QM73" s="20" t="n">
        <f aca="false">IF(W73=1,IF(HU73=1,II73+IL73,X73-QC73)*(1+Slot1_Rate),0)</f>
        <v>0</v>
      </c>
      <c r="QN73" s="20" t="n">
        <f aca="false">IF(AND(HU73=1,W73=1),(IH73+IL73)/F73,0)</f>
        <v>0</v>
      </c>
      <c r="QO73" s="20" t="n">
        <f aca="false">IF(B73=0,IH73+IL73,0)</f>
        <v>0</v>
      </c>
      <c r="QP73" s="20" t="n">
        <f aca="false">IF(B73=0,IF(HU73=1,IJ73,IK73),0)</f>
        <v>0</v>
      </c>
      <c r="QQ73" s="20" t="n">
        <f aca="false">IF(AH73=1,IF(HU73=1,IQ73+IT73,AI73-QA73)*(1+Slot2_Rate),0)</f>
        <v>0</v>
      </c>
      <c r="QR73" s="20" t="n">
        <f aca="false">IF(AND(HU73=1,AH73=1),(IP73+IT73)/F73,0)</f>
        <v>0</v>
      </c>
      <c r="QS73" s="20" t="n">
        <f aca="false">IF(B73=0,IP73+IT73,0)</f>
        <v>0</v>
      </c>
      <c r="QT73" s="20" t="n">
        <f aca="false">IF(B73=0,IF(HU73=1,IR73,IS73),0)</f>
        <v>0</v>
      </c>
      <c r="QU73" s="20" t="n">
        <f aca="false">IF(AR73=1,IF(HU73=1,IY73+JB73,AS73-PY73)*(1+Slot3_Rate),0)</f>
        <v>0</v>
      </c>
      <c r="QV73" s="20" t="n">
        <f aca="false">IF(AND(HU73=1,AR73=1),(IX73+JB73)/F73,0)</f>
        <v>0</v>
      </c>
      <c r="QW73" s="20" t="n">
        <f aca="false">IF(B73=0,IX73+JB73,0)</f>
        <v>0</v>
      </c>
      <c r="QX73" s="20" t="n">
        <f aca="false">IF(B73=0,IF(HU73=1,IZ73,JA73),0)</f>
        <v>0</v>
      </c>
      <c r="QY73" s="20" t="n">
        <f aca="false">IF(BB73=1,IF(HU73=1,JG73+JJ73,BC73-PW73)*(1+Slot4_Rate),0)</f>
        <v>0</v>
      </c>
      <c r="QZ73" s="20" t="n">
        <f aca="false">IF(AND(HU73=1,BB73=1),(JF73+JJ73)/F73,0)</f>
        <v>0</v>
      </c>
      <c r="RA73" s="20" t="n">
        <f aca="false">IF(B73=0,JF73+JJ73,0)</f>
        <v>0</v>
      </c>
      <c r="RB73" s="20" t="n">
        <f aca="false">IF(B73=0,IF(HU73=1,JH73,JI73),0)</f>
        <v>0</v>
      </c>
      <c r="RC73" s="20" t="n">
        <f aca="false">IF(BL73=1,IF(HU73=1,JO73+JR73,BM73-PU73)*(1+Slot5_Rate),0)</f>
        <v>0</v>
      </c>
      <c r="RD73" s="20" t="n">
        <f aca="false">IF(AND(HU73=1,BL73=1),(JN73+JR73)/F73,0)</f>
        <v>0</v>
      </c>
      <c r="RE73" s="20" t="n">
        <f aca="false">IF(B73=0,JN73+JR73,0)</f>
        <v>0</v>
      </c>
      <c r="RF73" s="20" t="n">
        <f aca="false">IF(B73=0,IF(HU73=1,JP73,JQ73),0)</f>
        <v>0</v>
      </c>
      <c r="RG73" s="20" t="n">
        <f aca="false">IF(BV73=1,IF(HU73=1,JW73+JZ73,BW73-PS73)*(1+Slot6_Rate),0)</f>
        <v>0</v>
      </c>
      <c r="RH73" s="20" t="n">
        <f aca="false">IF(AND(HU73=1,BV73=1),(JV73+JZ73)/F73,0)</f>
        <v>0</v>
      </c>
      <c r="RI73" s="20" t="n">
        <f aca="false">IF(B73=0,JV73+JZ73,0)</f>
        <v>0</v>
      </c>
      <c r="RJ73" s="20" t="n">
        <f aca="false">IF(B73=0,IF(HU73=1,JX73,JY73),0)</f>
        <v>0</v>
      </c>
      <c r="RK73" s="20" t="n">
        <f aca="false">IF(CF73=1,IF(HU73=1,KE73+KH73,CG73-PQ73)*(1+Slot7_Rate),0)</f>
        <v>0</v>
      </c>
      <c r="RL73" s="20" t="n">
        <f aca="false">IF(AND(HU73=1,CF73=1),(KD73+KH73)/F73,0)</f>
        <v>0</v>
      </c>
      <c r="RM73" s="20" t="n">
        <f aca="false">IF(B73=0,KD73+KH73,0)</f>
        <v>0</v>
      </c>
      <c r="RN73" s="20" t="n">
        <f aca="false">IF(B73=0,IF(HU73=1,KF73,KG73),0)</f>
        <v>0</v>
      </c>
      <c r="RO73" s="20" t="n">
        <f aca="false">IF(CP73=1,IF(HU73=1,KM73+KP73,CQ73-PO73)*(1+Slot8_Rate),0)</f>
        <v>0</v>
      </c>
      <c r="RP73" s="20" t="n">
        <f aca="false">IF(AND(HU73=1,CP73=1),(KL73+KP73)/F73,0)</f>
        <v>0</v>
      </c>
      <c r="RQ73" s="20" t="n">
        <f aca="false">IF(B73=0,KL73+KP73,0)</f>
        <v>0</v>
      </c>
      <c r="RR73" s="20" t="n">
        <f aca="false">IF(B73=0,IF(HU73=1,KN73,KO73),0)</f>
        <v>0</v>
      </c>
      <c r="RS73" s="20" t="n">
        <f aca="false">IF(CZ73=1,IF(HU73=1,KU73+KX73,DA73-PM73)*(1+Slot9_Rate),0)</f>
        <v>0</v>
      </c>
      <c r="RT73" s="20" t="n">
        <f aca="false">IF(AND(HU73=1,CZ73=1),(KT73+KX73)/F73,0)</f>
        <v>0</v>
      </c>
      <c r="RU73" s="20" t="n">
        <f aca="false">IF(B73=0,KT73+KX73,0)</f>
        <v>0</v>
      </c>
      <c r="RV73" s="20" t="n">
        <f aca="false">IF(B73=0,IF(HU73=1,KV73,KW73),0)</f>
        <v>0</v>
      </c>
      <c r="RW73" s="20" t="n">
        <f aca="false">IF(DJ73=1,IF(HU73=1,LC73+LF73,DK73-PK73)*(1+Slot10_Rate),0)</f>
        <v>0</v>
      </c>
      <c r="RX73" s="20" t="n">
        <f aca="false">IF(AND(HU73=1,DJ73=1),(LB73+LF73)/F73,0)</f>
        <v>0</v>
      </c>
      <c r="RY73" s="20" t="n">
        <f aca="false">IF(B73=0,LB73+LF73,0)</f>
        <v>0</v>
      </c>
      <c r="RZ73" s="20" t="n">
        <f aca="false">IF(B73=0,IF(HU73=1,LD73,LE73),0)</f>
        <v>0</v>
      </c>
      <c r="SA73" s="20" t="n">
        <f aca="false">IF(DT73=1,IF(HU73=1,LK73+LN73,DU73-PI73)*(1+Slot11_Rate),0)</f>
        <v>0</v>
      </c>
      <c r="SB73" s="20" t="n">
        <f aca="false">IF(AND(HU73=1,DT73=1),(LJ73+LN73)/F73,0)</f>
        <v>0</v>
      </c>
      <c r="SC73" s="20" t="n">
        <f aca="false">IF(B73=0,LJ73+LN73,0)</f>
        <v>0</v>
      </c>
      <c r="SD73" s="20" t="n">
        <f aca="false">IF(B73=0,IF(HU73=1,LL73,LM73),0)</f>
        <v>0</v>
      </c>
      <c r="SE73" s="20" t="n">
        <f aca="false">IF(ED73=1,IF(HU73=1,LS73+LV73,EE73-PG73)*(1+Slot12_Rate),0)</f>
        <v>0</v>
      </c>
      <c r="SF73" s="20" t="n">
        <f aca="false">IF(AND(HU73=1,ED73=1),(LR73+LV73)/F73,0)</f>
        <v>0</v>
      </c>
      <c r="SG73" s="20" t="n">
        <f aca="false">IF(B73=0,LR73+LV73,0)</f>
        <v>0</v>
      </c>
      <c r="SH73" s="20" t="n">
        <f aca="false">IF(B73=0,IF(HU73=1,LT73,LU73),0)</f>
        <v>0</v>
      </c>
      <c r="SI73" s="20" t="n">
        <f aca="false">IF(EN73=1,IF(HU73=1,MA73+MD73,EO73-PE73)*(1+Slot13_Rate),0)</f>
        <v>0</v>
      </c>
      <c r="SJ73" s="20" t="n">
        <f aca="false">IF(AND(HU73=1,EN73=1),(LZ73+MD73)/F73,0)</f>
        <v>0</v>
      </c>
      <c r="SK73" s="20" t="n">
        <f aca="false">IF(B73=0,LZ73+MD73,0)</f>
        <v>0</v>
      </c>
      <c r="SL73" s="20" t="n">
        <f aca="false">IF(B73=0,IF(HU73=1,MB73,MC73),0)</f>
        <v>0</v>
      </c>
      <c r="SM73" s="20" t="n">
        <f aca="false">IF(EX73=1,IF(HU73=1,MI73+ML73,EY73-PC73)*(1+Slot14_Rate),0)</f>
        <v>0</v>
      </c>
      <c r="SN73" s="20" t="n">
        <f aca="false">IF(AND(HU73=1,EX73=1),(MH73+ML73)/F73,0)</f>
        <v>0</v>
      </c>
      <c r="SO73" s="20" t="n">
        <f aca="false">IF(B73=0,MH73+ML73,0)</f>
        <v>0</v>
      </c>
      <c r="SP73" s="20" t="n">
        <f aca="false">IF(B73=0,IF(HU73=1,MJ73,MK73),0)</f>
        <v>0</v>
      </c>
      <c r="SQ73" s="20" t="n">
        <f aca="false">IF(FH73=1,IF(HU73=1,MQ73+MT73,FI73-PA73)*(1+Slot15_Rate),0)</f>
        <v>0</v>
      </c>
      <c r="SR73" s="20" t="n">
        <f aca="false">IF(AND(HU73=1,FH73=1),(MP73+MT73)/F73,0)</f>
        <v>0</v>
      </c>
      <c r="SS73" s="20" t="n">
        <f aca="false">IF(B73=0,MP73+MT73,0)</f>
        <v>0</v>
      </c>
      <c r="ST73" s="20" t="n">
        <f aca="false">IF(B73=0,IF(HU73=1,MR73,MS73),0)</f>
        <v>0</v>
      </c>
      <c r="SU73" s="20" t="n">
        <f aca="false">IF(FR73=1,IF(HU73=1,MY73+NB73,FS73-OY73)*(1+Slot16_Rate),0)</f>
        <v>0</v>
      </c>
      <c r="SV73" s="20" t="n">
        <f aca="false">IF(AND(HU73=1,FR73=1),(MX73+NB73)/F73,0)</f>
        <v>0</v>
      </c>
      <c r="SW73" s="20" t="n">
        <f aca="false">IF(B73=0,MX73+NB73,0)</f>
        <v>0</v>
      </c>
      <c r="SX73" s="20" t="n">
        <f aca="false">IF(B73=0,IF(HU73=1,MZ73,NA73),0)</f>
        <v>0</v>
      </c>
      <c r="SY73" s="20" t="n">
        <f aca="false">IF(GB73=1,IF(HU73=1,NG73+NJ73,GC73-OW73)*(1+Slot17_Rate),0)</f>
        <v>0</v>
      </c>
      <c r="SZ73" s="20" t="n">
        <f aca="false">IF(AND(HU73=1,GB73=1),(NF73+NJ73)/F73,0)</f>
        <v>0</v>
      </c>
      <c r="TA73" s="20" t="n">
        <f aca="false">IF(B73=0,NF73+NJ73,0)</f>
        <v>0</v>
      </c>
      <c r="TB73" s="20" t="n">
        <f aca="false">IF(B73=0,IF(HU73=1,NH73,NI73),0)</f>
        <v>0</v>
      </c>
      <c r="TC73" s="20" t="n">
        <f aca="false">IF(GL73=1,IF(HU73=1,NO73+NR73,GM73-OU73)*(1+Slot18_Rate),0)</f>
        <v>0</v>
      </c>
      <c r="TD73" s="20" t="n">
        <f aca="false">IF(AND(HU73=1,GL73=1),(NN73+NR73)/F73,0)</f>
        <v>0</v>
      </c>
      <c r="TE73" s="20" t="n">
        <f aca="false">IF(B73=0,NN73+NR73,0)</f>
        <v>0</v>
      </c>
      <c r="TF73" s="20" t="n">
        <f aca="false">IF(B73=0,IF(HU73=1,NP73,NQ73),0)</f>
        <v>0</v>
      </c>
      <c r="TG73" s="20" t="n">
        <f aca="false">IF(GV73=1,IF(HU73=1,NW73+NZ73,GW73-OS73)*(1+Slot19_Rate),0)</f>
        <v>0</v>
      </c>
      <c r="TH73" s="20" t="n">
        <f aca="false">IF(AND(HU73=1,GV73=1),(NV73+NZ73)/F73,0)</f>
        <v>0</v>
      </c>
      <c r="TI73" s="20" t="n">
        <f aca="false">IF(B73=0,NV73+NZ73,0)</f>
        <v>0</v>
      </c>
      <c r="TJ73" s="20" t="n">
        <f aca="false">IF(B73=0,IF(HU73=1,NX73,NY73),0)</f>
        <v>0</v>
      </c>
      <c r="TK73" s="20" t="n">
        <f aca="false">IF(HF73=1,IF(HU73=1,OE73+OH73,HG73-OQ73)*(1+Slot20_Rate),0)</f>
        <v>0</v>
      </c>
      <c r="TL73" s="20" t="n">
        <f aca="false">IF(AND(HU73=1,HF73=1),(OD73+OH73)/F73,0)</f>
        <v>0</v>
      </c>
      <c r="TM73" s="20" t="n">
        <f aca="false">IF(B73=0,OD73+OH73,0)</f>
        <v>0</v>
      </c>
      <c r="TN73" s="20" t="n">
        <f aca="false">IF(B73=0,IF(HU73=1,OF73,OG73),0)</f>
        <v>0</v>
      </c>
      <c r="TO73" s="20" t="n">
        <f aca="false">QK73+QL73+QM73+QQ73+QU73+QY73+RC73+RG73+RK73+RO73+RS73+RW73+SA73+SE73+SI73+SM73+SQ73+SU73+SY73+TC73+TG73+TK73</f>
        <v>0</v>
      </c>
      <c r="TP73" s="20" t="n">
        <f aca="false">QE73+HP73</f>
        <v>69789.7913903799</v>
      </c>
      <c r="TQ73" s="20" t="n">
        <f aca="false">I73+S73</f>
        <v>173156.604569208</v>
      </c>
      <c r="TR73" s="20" t="n">
        <f aca="false">1-G73</f>
        <v>1</v>
      </c>
      <c r="TS73" s="20" t="n">
        <f aca="false">IF(AND(RG_Exists=1,G73=0,C73=1),I73,0)</f>
        <v>0</v>
      </c>
      <c r="TT73" s="20" t="n">
        <f aca="false">IF(AND(RG_Exists=1,G73=0,C73=1),I73-MIN(QE73,I73),0)</f>
        <v>0</v>
      </c>
      <c r="TU73" s="20" t="n">
        <f aca="false">'Plan pay &amp; tax'!AD299</f>
        <v>0</v>
      </c>
      <c r="TV73" s="20" t="n">
        <f aca="false">IF(AND(C73=1,QE73&gt;MAX(PR_Short1,TQ73*PR_Short2)),1,0)</f>
        <v>0</v>
      </c>
      <c r="TW73" s="20" t="n">
        <f aca="false">MIN(H73,I73+S73)</f>
        <v>103366.813178828</v>
      </c>
      <c r="TX73" s="20" t="n">
        <f aca="false">QF73+MAX(0,HQ73-HP73)</f>
        <v>0</v>
      </c>
      <c r="TY73" s="20" t="n">
        <f aca="false">QE73+HP73</f>
        <v>69789.7913903799</v>
      </c>
      <c r="TZ73" s="20" t="n">
        <f aca="false">IF(AND(C73=1,TY73&gt;PR_MinShort),1,0)</f>
        <v>0</v>
      </c>
      <c r="UA73" s="20" t="n">
        <f aca="false">IF(AND(C73=1,TZ73=0,TX73&gt;PR_MinShort),1,0)</f>
        <v>0</v>
      </c>
      <c r="UB73" s="20" t="n">
        <f aca="false">IF(AND(C73=1,QE73&gt;PR_MinShort),1,0)</f>
        <v>0</v>
      </c>
      <c r="UC73" s="20" t="n">
        <f aca="false">IF(AND(C73=1,QF73&gt;1,UJ73=0),1,0)</f>
        <v>0</v>
      </c>
      <c r="UD73" s="20" t="str">
        <f aca="false">IF(C73=0,"",IF(UJ73=1,"Gap to plan for: short "&amp;"€"&amp;TEXT(ROUND(TP73,0),"#,##0"),IF(QF73&gt;1,"Using savings","Comfortable")))</f>
        <v/>
      </c>
      <c r="UE73" s="20" t="n">
        <f aca="false">IF(AND(INT(D73/10)*10=90,B73&gt;0),80,INT(D73/10)*10)</f>
        <v>100</v>
      </c>
      <c r="UF73" s="20" t="n">
        <f aca="false">IF(B73=0,1,IF(UE73&lt;&gt;UE72,UF72+1,UF72))</f>
        <v>7</v>
      </c>
      <c r="UG73" s="20" t="n">
        <f aca="false">IF(AND(C73=1,G73=1,QE73&gt;MAX(PR_Short1,TQ73*PR_Short2)),1,0)</f>
        <v>0</v>
      </c>
      <c r="UH73" s="20" t="n">
        <f aca="false">TR73*TV73</f>
        <v>0</v>
      </c>
      <c r="UI73" s="20" t="n">
        <f aca="false">IF(AND(V73=1,Slot1_PctLow=1),1,0)+IF(AND(AG73=1,Slot2_PctLow=1),1,0)+IF(AND(AQ73=1,Slot3_PctLow=1),1,0)+IF(AND(BA73=1,Slot4_PctLow=1),1,0)+IF(AND(BK73=1,Slot5_PctLow=1),1,0)+IF(AND(BU73=1,Slot6_PctLow=1),1,0)+IF(AND(CE73=1,Slot7_PctLow=1),1,0)+IF(AND(CO73=1,Slot8_PctLow=1),1,0)+IF(AND(CY73=1,Slot9_PctLow=1),1,0)+IF(AND(DI73=1,Slot10_PctLow=1),1,0)+IF(AND(DS73=1,Slot11_PctLow=1),1,0)+IF(AND(EC73=1,Slot12_PctLow=1),1,0)+IF(AND(EM73=1,Slot13_PctLow=1),1,0)+IF(AND(EW73=1,Slot14_PctLow=1),1,0)+IF(AND(FG73=1,Slot15_PctLow=1),1,0)+IF(AND(FQ73=1,Slot16_PctLow=1),1,0)+IF(AND(GA73=1,Slot17_PctLow=1),1,0)+IF(AND(GK73=1,Slot18_PctLow=1),1,0)+IF(AND(GU73=1,Slot19_PctLow=1),1,0)+IF(AND(HE73=1,Slot20_PctLow=1),1,0)</f>
        <v>0</v>
      </c>
      <c r="UJ73" s="20" t="n">
        <f aca="false">IF(C73=1,IF(OR(TV73=1,UI73&gt;0),1,0),0)</f>
        <v>0</v>
      </c>
    </row>
    <row r="74" customFormat="false" ht="15" hidden="false" customHeight="true" outlineLevel="0" collapsed="false">
      <c r="B74" s="20" t="n">
        <v>66</v>
      </c>
      <c r="C74" s="20" t="n">
        <f aca="false">IF(B74&lt;=F_N,1,0)</f>
        <v>0</v>
      </c>
      <c r="D74" s="20" t="n">
        <f aca="false">'Plan pay &amp; tax'!C300</f>
        <v>104</v>
      </c>
      <c r="E74" s="20" t="str">
        <f aca="false">IF($C74=1,"Income tax "&amp;TEXT(N('Plan pay &amp; tax'!BK300),"#,##0")&amp;"; USC "&amp;TEXT(N('Plan pay &amp; tax'!BM300)+N('Plan pay &amp; tax'!BO300),"#,##0")&amp;"; PRSI "&amp;TEXT(N('Plan pay &amp; tax'!BP300)+N('Plan pay &amp; tax'!BQ300),"#,##0")&amp;". DIRT and exit tax are inside the growth rates here.","")</f>
        <v/>
      </c>
      <c r="F74" s="44" t="n">
        <f aca="false">'Plan pay &amp; tax'!E300</f>
        <v>3.69497357030527</v>
      </c>
      <c r="G74" s="20" t="n">
        <f aca="false">'Plan pay &amp; tax'!G300</f>
        <v>0</v>
      </c>
      <c r="H74" s="20" t="n">
        <f aca="false">'Plan pay &amp; tax'!BT300-'Plan pay &amp; tax'!BS300-'Plan pay &amp; tax'!R300</f>
        <v>105434.149442404</v>
      </c>
      <c r="I74" s="20" t="n">
        <f aca="false">IF(G74=1,F_CostsM*12,IF(RG_Exists=1,RG_Amount,F_CostsM*12*AS_RetireSpend))*F74+F_OneOffY*F74</f>
        <v>176619.736660592</v>
      </c>
      <c r="J74" s="20" t="n">
        <f aca="false">HR73</f>
        <v>0</v>
      </c>
      <c r="K74" s="20" t="n">
        <f aca="false">IF(J74&gt;1,'Plan debt months'!AC74,0)</f>
        <v>0</v>
      </c>
      <c r="L74" s="20" t="n">
        <f aca="false">IF(J74&gt;1,'Plan debt months'!AB74,J74)</f>
        <v>0</v>
      </c>
      <c r="M74" s="20" t="n">
        <f aca="false">O73</f>
        <v>0</v>
      </c>
      <c r="N74" s="20" t="n">
        <f aca="false">IF(M74&gt;1,'Plan debt months'!BD74,0)</f>
        <v>0</v>
      </c>
      <c r="O74" s="20" t="n">
        <f aca="false">IF(M74&gt;1,'Plan debt months'!BC74,M74)</f>
        <v>0</v>
      </c>
      <c r="P74" s="20" t="n">
        <f aca="false">R73</f>
        <v>0</v>
      </c>
      <c r="Q74" s="20" t="n">
        <f aca="false">IF(P74&gt;1,'Plan debt months'!CE74,0)</f>
        <v>0</v>
      </c>
      <c r="R74" s="20" t="n">
        <f aca="false">IF(P74&gt;1,'Plan debt months'!CD74,P74)</f>
        <v>0</v>
      </c>
      <c r="S74" s="20" t="n">
        <f aca="false">K74+N74+Q74</f>
        <v>0</v>
      </c>
      <c r="T74" s="20" t="n">
        <f aca="false">QK73+'Plan pay &amp; tax'!Y300</f>
        <v>0</v>
      </c>
      <c r="U74" s="20" t="n">
        <f aca="false">QK73</f>
        <v>0</v>
      </c>
      <c r="V74" s="20" t="n">
        <f aca="false">IF(AND(Slot1_On=1,D74=Slot1_Age),1,0)</f>
        <v>0</v>
      </c>
      <c r="W74" s="20" t="n">
        <f aca="false">IF(AND(Slot1_On=1,Slot1_Age&gt;D74),1,0)</f>
        <v>0</v>
      </c>
      <c r="X74" s="20" t="n">
        <f aca="false">QM73</f>
        <v>0</v>
      </c>
      <c r="Y74" s="20" t="n">
        <f aca="false">V74*MIN(Slot1_Cost,X74)</f>
        <v>0</v>
      </c>
      <c r="Z74" s="20" t="n">
        <f aca="false">V74*Slot1_SpendLike*MIN(Slot1_Cost-Y74,T74)</f>
        <v>0</v>
      </c>
      <c r="AA74" s="20" t="n">
        <f aca="false">Y74+Z74</f>
        <v>0</v>
      </c>
      <c r="AB74" s="20" t="n">
        <f aca="false">T74-Z74+V74*IF(Slot1_SpendLike=1,X74-Y74,IF(Slot1_PotFree=1,X74,0))</f>
        <v>0</v>
      </c>
      <c r="AC74" s="20" t="n">
        <f aca="false">AF74+V74*Slot1_BufPot*X74</f>
        <v>0</v>
      </c>
      <c r="AD74" s="20" t="n">
        <f aca="false">IF(AND(V74=1,Slot1_IsMfree=1),IF(AA74&gt;=Slot1_Cost-1,0,MAX(0,L74-AA74)),L74)</f>
        <v>0</v>
      </c>
      <c r="AE74" s="20" t="n">
        <f aca="false">V74*(Slot1_Cost-AA74)</f>
        <v>0</v>
      </c>
      <c r="AF74" s="20" t="n">
        <f aca="false">QL73</f>
        <v>0</v>
      </c>
      <c r="AG74" s="20" t="n">
        <f aca="false">IF(AND(Slot2_On=1,D74=Slot2_Age),1,0)</f>
        <v>0</v>
      </c>
      <c r="AH74" s="20" t="n">
        <f aca="false">IF(AND(Slot2_On=1,Slot2_Age&gt;D74),1,0)</f>
        <v>0</v>
      </c>
      <c r="AI74" s="20" t="n">
        <f aca="false">QQ73</f>
        <v>0</v>
      </c>
      <c r="AJ74" s="20" t="n">
        <f aca="false">AG74*MIN(Slot2_Cost,AI74)</f>
        <v>0</v>
      </c>
      <c r="AK74" s="20" t="n">
        <f aca="false">AG74*Slot2_SpendLike*MIN(Slot2_Cost-AJ74,AB74)</f>
        <v>0</v>
      </c>
      <c r="AL74" s="20" t="n">
        <f aca="false">AJ74+AK74</f>
        <v>0</v>
      </c>
      <c r="AM74" s="20" t="n">
        <f aca="false">AB74-AK74+AG74*IF(Slot2_SpendLike=1,AI74-AJ74,IF(Slot2_PotFree=1,AI74,0))</f>
        <v>0</v>
      </c>
      <c r="AN74" s="20" t="n">
        <f aca="false">AC74+AG74*Slot2_BufPot*AI74</f>
        <v>0</v>
      </c>
      <c r="AO74" s="20" t="n">
        <f aca="false">IF(AND(AG74=1,Slot2_IsMfree=1),IF(AL74&gt;=Slot2_Cost-1,0,MAX(0,AD74-AL74)),AD74)</f>
        <v>0</v>
      </c>
      <c r="AP74" s="20" t="n">
        <f aca="false">AG74*(Slot2_Cost-AL74)</f>
        <v>0</v>
      </c>
      <c r="AQ74" s="20" t="n">
        <f aca="false">IF(AND(Slot3_On=1,D74=Slot3_Age),1,0)</f>
        <v>0</v>
      </c>
      <c r="AR74" s="20" t="n">
        <f aca="false">IF(AND(Slot3_On=1,Slot3_Age&gt;D74),1,0)</f>
        <v>0</v>
      </c>
      <c r="AS74" s="20" t="n">
        <f aca="false">QU73</f>
        <v>0</v>
      </c>
      <c r="AT74" s="20" t="n">
        <f aca="false">AQ74*MIN(Slot3_Cost,AS74)</f>
        <v>0</v>
      </c>
      <c r="AU74" s="20" t="n">
        <f aca="false">AQ74*Slot3_SpendLike*MIN(Slot3_Cost-AT74,AM74)</f>
        <v>0</v>
      </c>
      <c r="AV74" s="20" t="n">
        <f aca="false">AT74+AU74</f>
        <v>0</v>
      </c>
      <c r="AW74" s="20" t="n">
        <f aca="false">AM74-AU74+AQ74*IF(Slot3_SpendLike=1,AS74-AT74,IF(Slot3_PotFree=1,AS74,0))</f>
        <v>0</v>
      </c>
      <c r="AX74" s="20" t="n">
        <f aca="false">AN74+AQ74*Slot3_BufPot*AS74</f>
        <v>0</v>
      </c>
      <c r="AY74" s="20" t="n">
        <f aca="false">IF(AND(AQ74=1,Slot3_IsMfree=1),IF(AV74&gt;=Slot3_Cost-1,0,MAX(0,AO74-AV74)),AO74)</f>
        <v>0</v>
      </c>
      <c r="AZ74" s="20" t="n">
        <f aca="false">AQ74*(Slot3_Cost-AV74)</f>
        <v>0</v>
      </c>
      <c r="BA74" s="20" t="n">
        <f aca="false">IF(AND(Slot4_On=1,D74=Slot4_Age),1,0)</f>
        <v>0</v>
      </c>
      <c r="BB74" s="20" t="n">
        <f aca="false">IF(AND(Slot4_On=1,Slot4_Age&gt;D74),1,0)</f>
        <v>0</v>
      </c>
      <c r="BC74" s="20" t="n">
        <f aca="false">QY73</f>
        <v>0</v>
      </c>
      <c r="BD74" s="20" t="n">
        <f aca="false">BA74*MIN(Slot4_Cost,BC74)</f>
        <v>0</v>
      </c>
      <c r="BE74" s="20" t="n">
        <f aca="false">BA74*Slot4_SpendLike*MIN(Slot4_Cost-BD74,AW74)</f>
        <v>0</v>
      </c>
      <c r="BF74" s="20" t="n">
        <f aca="false">BD74+BE74</f>
        <v>0</v>
      </c>
      <c r="BG74" s="20" t="n">
        <f aca="false">AW74-BE74+BA74*IF(Slot4_SpendLike=1,BC74-BD74,IF(Slot4_PotFree=1,BC74,0))</f>
        <v>0</v>
      </c>
      <c r="BH74" s="20" t="n">
        <f aca="false">AX74+BA74*Slot4_BufPot*BC74</f>
        <v>0</v>
      </c>
      <c r="BI74" s="20" t="n">
        <f aca="false">IF(AND(BA74=1,Slot4_IsMfree=1),IF(BF74&gt;=Slot4_Cost-1,0,MAX(0,AY74-BF74)),AY74)</f>
        <v>0</v>
      </c>
      <c r="BJ74" s="20" t="n">
        <f aca="false">BA74*(Slot4_Cost-BF74)</f>
        <v>0</v>
      </c>
      <c r="BK74" s="20" t="n">
        <f aca="false">IF(AND(Slot5_On=1,D74=Slot5_Age),1,0)</f>
        <v>0</v>
      </c>
      <c r="BL74" s="20" t="n">
        <f aca="false">IF(AND(Slot5_On=1,Slot5_Age&gt;D74),1,0)</f>
        <v>0</v>
      </c>
      <c r="BM74" s="20" t="n">
        <f aca="false">RC73</f>
        <v>0</v>
      </c>
      <c r="BN74" s="20" t="n">
        <f aca="false">BK74*MIN(Slot5_Cost,BM74)</f>
        <v>0</v>
      </c>
      <c r="BO74" s="20" t="n">
        <f aca="false">BK74*Slot5_SpendLike*MIN(Slot5_Cost-BN74,BG74)</f>
        <v>0</v>
      </c>
      <c r="BP74" s="20" t="n">
        <f aca="false">BN74+BO74</f>
        <v>0</v>
      </c>
      <c r="BQ74" s="20" t="n">
        <f aca="false">BG74-BO74+BK74*IF(Slot5_SpendLike=1,BM74-BN74,IF(Slot5_PotFree=1,BM74,0))</f>
        <v>0</v>
      </c>
      <c r="BR74" s="20" t="n">
        <f aca="false">BH74+BK74*Slot5_BufPot*BM74</f>
        <v>0</v>
      </c>
      <c r="BS74" s="20" t="n">
        <f aca="false">IF(AND(BK74=1,Slot5_IsMfree=1),IF(BP74&gt;=Slot5_Cost-1,0,MAX(0,BI74-BP74)),BI74)</f>
        <v>0</v>
      </c>
      <c r="BT74" s="20" t="n">
        <f aca="false">BK74*(Slot5_Cost-BP74)</f>
        <v>0</v>
      </c>
      <c r="BU74" s="20" t="n">
        <f aca="false">IF(AND(Slot6_On=1,D74=Slot6_Age),1,0)</f>
        <v>0</v>
      </c>
      <c r="BV74" s="20" t="n">
        <f aca="false">IF(AND(Slot6_On=1,Slot6_Age&gt;D74),1,0)</f>
        <v>0</v>
      </c>
      <c r="BW74" s="20" t="n">
        <f aca="false">RG73</f>
        <v>0</v>
      </c>
      <c r="BX74" s="20" t="n">
        <f aca="false">BU74*MIN(Slot6_Cost,BW74)</f>
        <v>0</v>
      </c>
      <c r="BY74" s="20" t="n">
        <f aca="false">BU74*Slot6_SpendLike*MIN(Slot6_Cost-BX74,BQ74)</f>
        <v>0</v>
      </c>
      <c r="BZ74" s="20" t="n">
        <f aca="false">BX74+BY74</f>
        <v>0</v>
      </c>
      <c r="CA74" s="20" t="n">
        <f aca="false">BQ74-BY74+BU74*IF(Slot6_SpendLike=1,BW74-BX74,IF(Slot6_PotFree=1,BW74,0))</f>
        <v>0</v>
      </c>
      <c r="CB74" s="20" t="n">
        <f aca="false">BR74+BU74*Slot6_BufPot*BW74</f>
        <v>0</v>
      </c>
      <c r="CC74" s="20" t="n">
        <f aca="false">IF(AND(BU74=1,Slot6_IsMfree=1),IF(BZ74&gt;=Slot6_Cost-1,0,MAX(0,BS74-BZ74)),BS74)</f>
        <v>0</v>
      </c>
      <c r="CD74" s="20" t="n">
        <f aca="false">BU74*(Slot6_Cost-BZ74)</f>
        <v>0</v>
      </c>
      <c r="CE74" s="20" t="n">
        <f aca="false">IF(AND(Slot7_On=1,D74=Slot7_Age),1,0)</f>
        <v>0</v>
      </c>
      <c r="CF74" s="20" t="n">
        <f aca="false">IF(AND(Slot7_On=1,Slot7_Age&gt;D74),1,0)</f>
        <v>0</v>
      </c>
      <c r="CG74" s="20" t="n">
        <f aca="false">RK73</f>
        <v>0</v>
      </c>
      <c r="CH74" s="20" t="n">
        <f aca="false">CE74*MIN(Slot7_Cost,CG74)</f>
        <v>0</v>
      </c>
      <c r="CI74" s="20" t="n">
        <f aca="false">CE74*Slot7_SpendLike*MIN(Slot7_Cost-CH74,CA74)</f>
        <v>0</v>
      </c>
      <c r="CJ74" s="20" t="n">
        <f aca="false">CH74+CI74</f>
        <v>0</v>
      </c>
      <c r="CK74" s="20" t="n">
        <f aca="false">CA74-CI74+CE74*IF(Slot7_SpendLike=1,CG74-CH74,IF(Slot7_PotFree=1,CG74,0))</f>
        <v>0</v>
      </c>
      <c r="CL74" s="20" t="n">
        <f aca="false">CB74+CE74*Slot7_BufPot*CG74</f>
        <v>0</v>
      </c>
      <c r="CM74" s="20" t="n">
        <f aca="false">IF(AND(CE74=1,Slot7_IsMfree=1),IF(CJ74&gt;=Slot7_Cost-1,0,MAX(0,CC74-CJ74)),CC74)</f>
        <v>0</v>
      </c>
      <c r="CN74" s="20" t="n">
        <f aca="false">CE74*(Slot7_Cost-CJ74)</f>
        <v>0</v>
      </c>
      <c r="CO74" s="20" t="n">
        <f aca="false">IF(AND(Slot8_On=1,D74=Slot8_Age),1,0)</f>
        <v>0</v>
      </c>
      <c r="CP74" s="20" t="n">
        <f aca="false">IF(AND(Slot8_On=1,Slot8_Age&gt;D74),1,0)</f>
        <v>0</v>
      </c>
      <c r="CQ74" s="20" t="n">
        <f aca="false">RO73</f>
        <v>0</v>
      </c>
      <c r="CR74" s="20" t="n">
        <f aca="false">CO74*MIN(Slot8_Cost,CQ74)</f>
        <v>0</v>
      </c>
      <c r="CS74" s="20" t="n">
        <f aca="false">CO74*Slot8_SpendLike*MIN(Slot8_Cost-CR74,CK74)</f>
        <v>0</v>
      </c>
      <c r="CT74" s="20" t="n">
        <f aca="false">CR74+CS74</f>
        <v>0</v>
      </c>
      <c r="CU74" s="20" t="n">
        <f aca="false">CK74-CS74+CO74*IF(Slot8_SpendLike=1,CQ74-CR74,IF(Slot8_PotFree=1,CQ74,0))</f>
        <v>0</v>
      </c>
      <c r="CV74" s="20" t="n">
        <f aca="false">CL74+CO74*Slot8_BufPot*CQ74</f>
        <v>0</v>
      </c>
      <c r="CW74" s="20" t="n">
        <f aca="false">IF(AND(CO74=1,Slot8_IsMfree=1),IF(CT74&gt;=Slot8_Cost-1,0,MAX(0,CM74-CT74)),CM74)</f>
        <v>0</v>
      </c>
      <c r="CX74" s="20" t="n">
        <f aca="false">CO74*(Slot8_Cost-CT74)</f>
        <v>0</v>
      </c>
      <c r="CY74" s="20" t="n">
        <f aca="false">IF(AND(Slot9_On=1,D74=Slot9_Age),1,0)</f>
        <v>0</v>
      </c>
      <c r="CZ74" s="20" t="n">
        <f aca="false">IF(AND(Slot9_On=1,Slot9_Age&gt;D74),1,0)</f>
        <v>0</v>
      </c>
      <c r="DA74" s="20" t="n">
        <f aca="false">RS73</f>
        <v>0</v>
      </c>
      <c r="DB74" s="20" t="n">
        <f aca="false">CY74*MIN(Slot9_Cost,DA74)</f>
        <v>0</v>
      </c>
      <c r="DC74" s="20" t="n">
        <f aca="false">CY74*Slot9_SpendLike*MIN(Slot9_Cost-DB74,CU74)</f>
        <v>0</v>
      </c>
      <c r="DD74" s="20" t="n">
        <f aca="false">DB74+DC74</f>
        <v>0</v>
      </c>
      <c r="DE74" s="20" t="n">
        <f aca="false">CU74-DC74+CY74*IF(Slot9_SpendLike=1,DA74-DB74,IF(Slot9_PotFree=1,DA74,0))</f>
        <v>0</v>
      </c>
      <c r="DF74" s="20" t="n">
        <f aca="false">CV74+CY74*Slot9_BufPot*DA74</f>
        <v>0</v>
      </c>
      <c r="DG74" s="20" t="n">
        <f aca="false">IF(AND(CY74=1,Slot9_IsMfree=1),IF(DD74&gt;=Slot9_Cost-1,0,MAX(0,CW74-DD74)),CW74)</f>
        <v>0</v>
      </c>
      <c r="DH74" s="20" t="n">
        <f aca="false">CY74*(Slot9_Cost-DD74)</f>
        <v>0</v>
      </c>
      <c r="DI74" s="20" t="n">
        <f aca="false">IF(AND(Slot10_On=1,D74=Slot10_Age),1,0)</f>
        <v>0</v>
      </c>
      <c r="DJ74" s="20" t="n">
        <f aca="false">IF(AND(Slot10_On=1,Slot10_Age&gt;D74),1,0)</f>
        <v>0</v>
      </c>
      <c r="DK74" s="20" t="n">
        <f aca="false">RW73</f>
        <v>0</v>
      </c>
      <c r="DL74" s="20" t="n">
        <f aca="false">DI74*MIN(Slot10_Cost,DK74)</f>
        <v>0</v>
      </c>
      <c r="DM74" s="20" t="n">
        <f aca="false">DI74*Slot10_SpendLike*MIN(Slot10_Cost-DL74,DE74)</f>
        <v>0</v>
      </c>
      <c r="DN74" s="20" t="n">
        <f aca="false">DL74+DM74</f>
        <v>0</v>
      </c>
      <c r="DO74" s="20" t="n">
        <f aca="false">DE74-DM74+DI74*IF(Slot10_SpendLike=1,DK74-DL74,IF(Slot10_PotFree=1,DK74,0))</f>
        <v>0</v>
      </c>
      <c r="DP74" s="20" t="n">
        <f aca="false">DF74+DI74*Slot10_BufPot*DK74</f>
        <v>0</v>
      </c>
      <c r="DQ74" s="20" t="n">
        <f aca="false">IF(AND(DI74=1,Slot10_IsMfree=1),IF(DN74&gt;=Slot10_Cost-1,0,MAX(0,DG74-DN74)),DG74)</f>
        <v>0</v>
      </c>
      <c r="DR74" s="20" t="n">
        <f aca="false">DI74*(Slot10_Cost-DN74)</f>
        <v>0</v>
      </c>
      <c r="DS74" s="20" t="n">
        <f aca="false">IF(AND(Slot11_On=1,D74=Slot11_Age),1,0)</f>
        <v>0</v>
      </c>
      <c r="DT74" s="20" t="n">
        <f aca="false">IF(AND(Slot11_On=1,Slot11_Age&gt;D74),1,0)</f>
        <v>0</v>
      </c>
      <c r="DU74" s="20" t="n">
        <f aca="false">SA73</f>
        <v>0</v>
      </c>
      <c r="DV74" s="20" t="n">
        <f aca="false">DS74*MIN(Slot11_Cost,DU74)</f>
        <v>0</v>
      </c>
      <c r="DW74" s="20" t="n">
        <f aca="false">DS74*Slot11_SpendLike*MIN(Slot11_Cost-DV74,DO74)</f>
        <v>0</v>
      </c>
      <c r="DX74" s="20" t="n">
        <f aca="false">DV74+DW74</f>
        <v>0</v>
      </c>
      <c r="DY74" s="20" t="n">
        <f aca="false">DO74-DW74+DS74*IF(Slot11_SpendLike=1,DU74-DV74,IF(Slot11_PotFree=1,DU74,0))</f>
        <v>0</v>
      </c>
      <c r="DZ74" s="20" t="n">
        <f aca="false">DP74+DS74*Slot11_BufPot*DU74</f>
        <v>0</v>
      </c>
      <c r="EA74" s="20" t="n">
        <f aca="false">IF(AND(DS74=1,Slot11_IsMfree=1),IF(DX74&gt;=Slot11_Cost-1,0,MAX(0,DQ74-DX74)),DQ74)</f>
        <v>0</v>
      </c>
      <c r="EB74" s="20" t="n">
        <f aca="false">DS74*(Slot11_Cost-DX74)</f>
        <v>0</v>
      </c>
      <c r="EC74" s="20" t="n">
        <f aca="false">IF(AND(Slot12_On=1,D74=Slot12_Age),1,0)</f>
        <v>0</v>
      </c>
      <c r="ED74" s="20" t="n">
        <f aca="false">IF(AND(Slot12_On=1,Slot12_Age&gt;D74),1,0)</f>
        <v>0</v>
      </c>
      <c r="EE74" s="20" t="n">
        <f aca="false">SE73</f>
        <v>0</v>
      </c>
      <c r="EF74" s="20" t="n">
        <f aca="false">EC74*MIN(Slot12_Cost,EE74)</f>
        <v>0</v>
      </c>
      <c r="EG74" s="20" t="n">
        <f aca="false">EC74*Slot12_SpendLike*MIN(Slot12_Cost-EF74,DY74)</f>
        <v>0</v>
      </c>
      <c r="EH74" s="20" t="n">
        <f aca="false">EF74+EG74</f>
        <v>0</v>
      </c>
      <c r="EI74" s="20" t="n">
        <f aca="false">DY74-EG74+EC74*IF(Slot12_SpendLike=1,EE74-EF74,IF(Slot12_PotFree=1,EE74,0))</f>
        <v>0</v>
      </c>
      <c r="EJ74" s="20" t="n">
        <f aca="false">DZ74+EC74*Slot12_BufPot*EE74</f>
        <v>0</v>
      </c>
      <c r="EK74" s="20" t="n">
        <f aca="false">IF(AND(EC74=1,Slot12_IsMfree=1),IF(EH74&gt;=Slot12_Cost-1,0,MAX(0,EA74-EH74)),EA74)</f>
        <v>0</v>
      </c>
      <c r="EL74" s="20" t="n">
        <f aca="false">EC74*(Slot12_Cost-EH74)</f>
        <v>0</v>
      </c>
      <c r="EM74" s="20" t="n">
        <f aca="false">IF(AND(Slot13_On=1,D74=Slot13_Age),1,0)</f>
        <v>0</v>
      </c>
      <c r="EN74" s="20" t="n">
        <f aca="false">IF(AND(Slot13_On=1,Slot13_Age&gt;D74),1,0)</f>
        <v>0</v>
      </c>
      <c r="EO74" s="20" t="n">
        <f aca="false">SI73</f>
        <v>0</v>
      </c>
      <c r="EP74" s="20" t="n">
        <f aca="false">EM74*MIN(Slot13_Cost,EO74)</f>
        <v>0</v>
      </c>
      <c r="EQ74" s="20" t="n">
        <f aca="false">EM74*Slot13_SpendLike*MIN(Slot13_Cost-EP74,EI74)</f>
        <v>0</v>
      </c>
      <c r="ER74" s="20" t="n">
        <f aca="false">EP74+EQ74</f>
        <v>0</v>
      </c>
      <c r="ES74" s="20" t="n">
        <f aca="false">EI74-EQ74+EM74*IF(Slot13_SpendLike=1,EO74-EP74,IF(Slot13_PotFree=1,EO74,0))</f>
        <v>0</v>
      </c>
      <c r="ET74" s="20" t="n">
        <f aca="false">EJ74+EM74*Slot13_BufPot*EO74</f>
        <v>0</v>
      </c>
      <c r="EU74" s="20" t="n">
        <f aca="false">IF(AND(EM74=1,Slot13_IsMfree=1),IF(ER74&gt;=Slot13_Cost-1,0,MAX(0,EK74-ER74)),EK74)</f>
        <v>0</v>
      </c>
      <c r="EV74" s="20" t="n">
        <f aca="false">EM74*(Slot13_Cost-ER74)</f>
        <v>0</v>
      </c>
      <c r="EW74" s="20" t="n">
        <f aca="false">IF(AND(Slot14_On=1,D74=Slot14_Age),1,0)</f>
        <v>0</v>
      </c>
      <c r="EX74" s="20" t="n">
        <f aca="false">IF(AND(Slot14_On=1,Slot14_Age&gt;D74),1,0)</f>
        <v>0</v>
      </c>
      <c r="EY74" s="20" t="n">
        <f aca="false">SM73</f>
        <v>0</v>
      </c>
      <c r="EZ74" s="20" t="n">
        <f aca="false">EW74*MIN(Slot14_Cost,EY74)</f>
        <v>0</v>
      </c>
      <c r="FA74" s="20" t="n">
        <f aca="false">EW74*Slot14_SpendLike*MIN(Slot14_Cost-EZ74,ES74)</f>
        <v>0</v>
      </c>
      <c r="FB74" s="20" t="n">
        <f aca="false">EZ74+FA74</f>
        <v>0</v>
      </c>
      <c r="FC74" s="20" t="n">
        <f aca="false">ES74-FA74+EW74*IF(Slot14_SpendLike=1,EY74-EZ74,IF(Slot14_PotFree=1,EY74,0))</f>
        <v>0</v>
      </c>
      <c r="FD74" s="20" t="n">
        <f aca="false">ET74+EW74*Slot14_BufPot*EY74</f>
        <v>0</v>
      </c>
      <c r="FE74" s="20" t="n">
        <f aca="false">IF(AND(EW74=1,Slot14_IsMfree=1),IF(FB74&gt;=Slot14_Cost-1,0,MAX(0,EU74-FB74)),EU74)</f>
        <v>0</v>
      </c>
      <c r="FF74" s="20" t="n">
        <f aca="false">EW74*(Slot14_Cost-FB74)</f>
        <v>0</v>
      </c>
      <c r="FG74" s="20" t="n">
        <f aca="false">IF(AND(Slot15_On=1,D74=Slot15_Age),1,0)</f>
        <v>0</v>
      </c>
      <c r="FH74" s="20" t="n">
        <f aca="false">IF(AND(Slot15_On=1,Slot15_Age&gt;D74),1,0)</f>
        <v>0</v>
      </c>
      <c r="FI74" s="20" t="n">
        <f aca="false">SQ73</f>
        <v>0</v>
      </c>
      <c r="FJ74" s="20" t="n">
        <f aca="false">FG74*MIN(Slot15_Cost,FI74)</f>
        <v>0</v>
      </c>
      <c r="FK74" s="20" t="n">
        <f aca="false">FG74*Slot15_SpendLike*MIN(Slot15_Cost-FJ74,FC74)</f>
        <v>0</v>
      </c>
      <c r="FL74" s="20" t="n">
        <f aca="false">FJ74+FK74</f>
        <v>0</v>
      </c>
      <c r="FM74" s="20" t="n">
        <f aca="false">FC74-FK74+FG74*IF(Slot15_SpendLike=1,FI74-FJ74,IF(Slot15_PotFree=1,FI74,0))</f>
        <v>0</v>
      </c>
      <c r="FN74" s="20" t="n">
        <f aca="false">FD74+FG74*Slot15_BufPot*FI74</f>
        <v>0</v>
      </c>
      <c r="FO74" s="20" t="n">
        <f aca="false">IF(AND(FG74=1,Slot15_IsMfree=1),IF(FL74&gt;=Slot15_Cost-1,0,MAX(0,FE74-FL74)),FE74)</f>
        <v>0</v>
      </c>
      <c r="FP74" s="20" t="n">
        <f aca="false">FG74*(Slot15_Cost-FL74)</f>
        <v>0</v>
      </c>
      <c r="FQ74" s="20" t="n">
        <f aca="false">IF(AND(Slot16_On=1,D74=Slot16_Age),1,0)</f>
        <v>0</v>
      </c>
      <c r="FR74" s="20" t="n">
        <f aca="false">IF(AND(Slot16_On=1,Slot16_Age&gt;D74),1,0)</f>
        <v>0</v>
      </c>
      <c r="FS74" s="20" t="n">
        <f aca="false">SU73</f>
        <v>0</v>
      </c>
      <c r="FT74" s="20" t="n">
        <f aca="false">FQ74*MIN(Slot16_Cost,FS74)</f>
        <v>0</v>
      </c>
      <c r="FU74" s="20" t="n">
        <f aca="false">FQ74*Slot16_SpendLike*MIN(Slot16_Cost-FT74,FM74)</f>
        <v>0</v>
      </c>
      <c r="FV74" s="20" t="n">
        <f aca="false">FT74+FU74</f>
        <v>0</v>
      </c>
      <c r="FW74" s="20" t="n">
        <f aca="false">FM74-FU74+FQ74*IF(Slot16_SpendLike=1,FS74-FT74,IF(Slot16_PotFree=1,FS74,0))</f>
        <v>0</v>
      </c>
      <c r="FX74" s="20" t="n">
        <f aca="false">FN74+FQ74*Slot16_BufPot*FS74</f>
        <v>0</v>
      </c>
      <c r="FY74" s="20" t="n">
        <f aca="false">IF(AND(FQ74=1,Slot16_IsMfree=1),IF(FV74&gt;=Slot16_Cost-1,0,MAX(0,FO74-FV74)),FO74)</f>
        <v>0</v>
      </c>
      <c r="FZ74" s="20" t="n">
        <f aca="false">FQ74*(Slot16_Cost-FV74)</f>
        <v>0</v>
      </c>
      <c r="GA74" s="20" t="n">
        <f aca="false">IF(AND(Slot17_On=1,D74=Slot17_Age),1,0)</f>
        <v>0</v>
      </c>
      <c r="GB74" s="20" t="n">
        <f aca="false">IF(AND(Slot17_On=1,Slot17_Age&gt;D74),1,0)</f>
        <v>0</v>
      </c>
      <c r="GC74" s="20" t="n">
        <f aca="false">SY73</f>
        <v>0</v>
      </c>
      <c r="GD74" s="20" t="n">
        <f aca="false">GA74*MIN(Slot17_Cost,GC74)</f>
        <v>0</v>
      </c>
      <c r="GE74" s="20" t="n">
        <f aca="false">GA74*Slot17_SpendLike*MIN(Slot17_Cost-GD74,FW74)</f>
        <v>0</v>
      </c>
      <c r="GF74" s="20" t="n">
        <f aca="false">GD74+GE74</f>
        <v>0</v>
      </c>
      <c r="GG74" s="20" t="n">
        <f aca="false">FW74-GE74+GA74*IF(Slot17_SpendLike=1,GC74-GD74,IF(Slot17_PotFree=1,GC74,0))</f>
        <v>0</v>
      </c>
      <c r="GH74" s="20" t="n">
        <f aca="false">FX74+GA74*Slot17_BufPot*GC74</f>
        <v>0</v>
      </c>
      <c r="GI74" s="20" t="n">
        <f aca="false">IF(AND(GA74=1,Slot17_IsMfree=1),IF(GF74&gt;=Slot17_Cost-1,0,MAX(0,FY74-GF74)),FY74)</f>
        <v>0</v>
      </c>
      <c r="GJ74" s="20" t="n">
        <f aca="false">GA74*(Slot17_Cost-GF74)</f>
        <v>0</v>
      </c>
      <c r="GK74" s="20" t="n">
        <f aca="false">IF(AND(Slot18_On=1,D74=Slot18_Age),1,0)</f>
        <v>0</v>
      </c>
      <c r="GL74" s="20" t="n">
        <f aca="false">IF(AND(Slot18_On=1,Slot18_Age&gt;D74),1,0)</f>
        <v>0</v>
      </c>
      <c r="GM74" s="20" t="n">
        <f aca="false">TC73</f>
        <v>0</v>
      </c>
      <c r="GN74" s="20" t="n">
        <f aca="false">GK74*MIN(Slot18_Cost,GM74)</f>
        <v>0</v>
      </c>
      <c r="GO74" s="20" t="n">
        <f aca="false">GK74*Slot18_SpendLike*MIN(Slot18_Cost-GN74,GG74)</f>
        <v>0</v>
      </c>
      <c r="GP74" s="20" t="n">
        <f aca="false">GN74+GO74</f>
        <v>0</v>
      </c>
      <c r="GQ74" s="20" t="n">
        <f aca="false">GG74-GO74+GK74*IF(Slot18_SpendLike=1,GM74-GN74,IF(Slot18_PotFree=1,GM74,0))</f>
        <v>0</v>
      </c>
      <c r="GR74" s="20" t="n">
        <f aca="false">GH74+GK74*Slot18_BufPot*GM74</f>
        <v>0</v>
      </c>
      <c r="GS74" s="20" t="n">
        <f aca="false">IF(AND(GK74=1,Slot18_IsMfree=1),IF(GP74&gt;=Slot18_Cost-1,0,MAX(0,GI74-GP74)),GI74)</f>
        <v>0</v>
      </c>
      <c r="GT74" s="20" t="n">
        <f aca="false">GK74*(Slot18_Cost-GP74)</f>
        <v>0</v>
      </c>
      <c r="GU74" s="20" t="n">
        <f aca="false">IF(AND(Slot19_On=1,D74=Slot19_Age),1,0)</f>
        <v>0</v>
      </c>
      <c r="GV74" s="20" t="n">
        <f aca="false">IF(AND(Slot19_On=1,Slot19_Age&gt;D74),1,0)</f>
        <v>0</v>
      </c>
      <c r="GW74" s="20" t="n">
        <f aca="false">TG73</f>
        <v>0</v>
      </c>
      <c r="GX74" s="20" t="n">
        <f aca="false">GU74*MIN(Slot19_Cost,GW74)</f>
        <v>0</v>
      </c>
      <c r="GY74" s="20" t="n">
        <f aca="false">GU74*Slot19_SpendLike*MIN(Slot19_Cost-GX74,GQ74)</f>
        <v>0</v>
      </c>
      <c r="GZ74" s="20" t="n">
        <f aca="false">GX74+GY74</f>
        <v>0</v>
      </c>
      <c r="HA74" s="20" t="n">
        <f aca="false">GQ74-GY74+GU74*IF(Slot19_SpendLike=1,GW74-GX74,IF(Slot19_PotFree=1,GW74,0))</f>
        <v>0</v>
      </c>
      <c r="HB74" s="20" t="n">
        <f aca="false">GR74+GU74*Slot19_BufPot*GW74</f>
        <v>0</v>
      </c>
      <c r="HC74" s="20" t="n">
        <f aca="false">IF(AND(GU74=1,Slot19_IsMfree=1),IF(GZ74&gt;=Slot19_Cost-1,0,MAX(0,GS74-GZ74)),GS74)</f>
        <v>0</v>
      </c>
      <c r="HD74" s="20" t="n">
        <f aca="false">GU74*(Slot19_Cost-GZ74)</f>
        <v>0</v>
      </c>
      <c r="HE74" s="20" t="n">
        <f aca="false">IF(AND(Slot20_On=1,D74=Slot20_Age),1,0)</f>
        <v>0</v>
      </c>
      <c r="HF74" s="20" t="n">
        <f aca="false">IF(AND(Slot20_On=1,Slot20_Age&gt;D74),1,0)</f>
        <v>0</v>
      </c>
      <c r="HG74" s="20" t="n">
        <f aca="false">TK73</f>
        <v>0</v>
      </c>
      <c r="HH74" s="20" t="n">
        <f aca="false">HE74*MIN(Slot20_Cost,HG74)</f>
        <v>0</v>
      </c>
      <c r="HI74" s="20" t="n">
        <f aca="false">HE74*Slot20_SpendLike*MIN(Slot20_Cost-HH74,HA74)</f>
        <v>0</v>
      </c>
      <c r="HJ74" s="20" t="n">
        <f aca="false">HH74+HI74</f>
        <v>0</v>
      </c>
      <c r="HK74" s="20" t="n">
        <f aca="false">HA74-HI74+HE74*IF(Slot20_SpendLike=1,HG74-HH74,IF(Slot20_PotFree=1,HG74,0))</f>
        <v>0</v>
      </c>
      <c r="HL74" s="20" t="n">
        <f aca="false">HB74+HE74*Slot20_BufPot*HG74</f>
        <v>0</v>
      </c>
      <c r="HM74" s="20" t="n">
        <f aca="false">IF(AND(HE74=1,Slot20_IsMfree=1),IF(HJ74&gt;=Slot20_Cost-1,0,MAX(0,HC74-HJ74)),HC74)</f>
        <v>0</v>
      </c>
      <c r="HN74" s="20" t="n">
        <f aca="false">HE74*(Slot20_Cost-HJ74)</f>
        <v>0</v>
      </c>
      <c r="HO74" s="20" t="n">
        <f aca="false">V74*Slot1_SpendLike*AA74+AG74*Slot2_SpendLike*AL74+AQ74*Slot3_SpendLike*AV74+BA74*Slot4_SpendLike*BF74+BK74*Slot5_SpendLike*BP74+BU74*Slot6_SpendLike*BZ74+CE74*Slot7_SpendLike*CJ74+CO74*Slot8_SpendLike*CT74+CY74*Slot9_SpendLike*DD74+DI74*Slot10_SpendLike*DN74+DS74*Slot11_SpendLike*DX74+EC74*Slot12_SpendLike*EH74+EM74*Slot13_SpendLike*ER74+EW74*Slot14_SpendLike*FB74+FG74*Slot15_SpendLike*FL74+FQ74*Slot16_SpendLike*FV74+GA74*Slot17_SpendLike*GF74+GK74*Slot18_SpendLike*GP74+GU74*Slot19_SpendLike*GZ74+HE74*Slot20_SpendLike*HJ74</f>
        <v>0</v>
      </c>
      <c r="HP74" s="20" t="n">
        <f aca="false">AE74+AP74+AZ74+BJ74+BT74+CD74+CN74+CX74+DH74+DR74+EB74+EL74+EV74+FF74+FP74+FZ74+GJ74+GT74+HD74+HN74</f>
        <v>0</v>
      </c>
      <c r="HQ74" s="20" t="n">
        <f aca="false">V74*Slot1_Cost+AG74*Slot2_Cost+AQ74*Slot3_Cost+BA74*Slot4_Cost+BK74*Slot5_Cost+BU74*Slot6_Cost+CE74*Slot7_Cost+CO74*Slot8_Cost+CY74*Slot9_Cost+DI74*Slot10_Cost+DS74*Slot11_Cost+EC74*Slot12_Cost+EM74*Slot13_Cost+EW74*Slot14_Cost+FG74*Slot15_Cost+FQ74*Slot16_Cost+GA74*Slot17_Cost+GK74*Slot18_Cost+GU74*Slot19_Cost+HE74*Slot20_Cost</f>
        <v>0</v>
      </c>
      <c r="HR74" s="20" t="n">
        <f aca="false">HM74</f>
        <v>0</v>
      </c>
      <c r="HS74" s="20" t="n">
        <f aca="false">H74-I74-S74</f>
        <v>-71185.5872181875</v>
      </c>
      <c r="HT74" s="20" t="n">
        <f aca="false">IF(B74=0,IF(AND(Has_q6=1,In_q6=4),PR_ShareVaries*(MAX(0,HS74)/12),MIN(IF(Has_q6=1,CHOOSE(In_q6+1,PR_SaveB1,PR_SaveB2,PR_SaveB3,PR_SaveB4,0),AS_NoAnswer),AS_SaveShare*(MAX(0,HS74)/12))),HT73)</f>
        <v>62.3316893520437</v>
      </c>
      <c r="HU74" s="20" t="n">
        <f aca="false">IF(HS74&gt;=0,1,0)</f>
        <v>0</v>
      </c>
      <c r="HV74" s="20" t="n">
        <f aca="false">MAX(0,HS74/12/F74)</f>
        <v>0</v>
      </c>
      <c r="HW74" s="20" t="n">
        <f aca="false">IF(AND(Has_q6=1,In_q6=4),PR_ShareVaries*(HV74),MIN(IF(Has_q6=1,CHOOSE(In_q6+1,PR_SaveB1,PR_SaveB2,PR_SaveB3,PR_SaveB4,0),AS_NoAnswer),AS_SaveShare*(HV74)))</f>
        <v>0</v>
      </c>
      <c r="HX74" s="20" t="n">
        <f aca="false">IF(Has_saveM=1,IF(In_saveUp="Yes",1,IF(In_saveUp="No",0,IF(In_saveM&gt;=HT74-0.5,1,0))),0)</f>
        <v>0</v>
      </c>
      <c r="HY74" s="20" t="n">
        <f aca="false">IF(Has_saveM=1,MIN(HV74,IF(HX74=1,MAX(In_saveM,HW74),MIN(In_saveM,HW74))),HW74)</f>
        <v>0</v>
      </c>
      <c r="HZ74" s="20" t="n">
        <f aca="false">IF(G74=1,HY74*12*F74,0)</f>
        <v>0</v>
      </c>
      <c r="IA74" s="20" t="n">
        <f aca="false">MAX(0,HZ74+IF(AND(WI_Retire=0,WI_M&lt;0,G74=1),WI_M*12*F74,0))</f>
        <v>0</v>
      </c>
      <c r="IB74" s="20" t="n">
        <f aca="false">Slot1_IsWG*W74+Slot2_IsWG*AH74+Slot3_IsWG*AR74+Slot4_IsWG*BB74+Slot5_IsWG*BL74+Slot6_IsWG*BV74+Slot7_IsWG*CF74+Slot8_IsWG*CP74+Slot9_IsWG*CZ74+Slot10_IsWG*DJ74+Slot11_IsWG*DT74+Slot12_IsWG*ED74+Slot13_IsWG*EN74+Slot14_IsWG*EX74+Slot15_IsWG*FH74+Slot16_IsWG*FR74+Slot17_IsWG*GB74+Slot18_IsWG*GL74+Slot19_IsWG*GV74+Slot20_IsWG*HF74</f>
        <v>0</v>
      </c>
      <c r="IC74" s="20" t="n">
        <f aca="false">IF(AND(WI_Retire=0,WI_M&gt;0,G74=1,IB74&gt;=1),WI_M*12*F74,0)</f>
        <v>0</v>
      </c>
      <c r="ID74" s="20" t="n">
        <f aca="false">IF(HU74=1,MIN(IA74,HS74),0)</f>
        <v>0</v>
      </c>
      <c r="IE74" s="20" t="n">
        <f aca="false">IF(HU74=1,MIN(IC74,HS74-ID74),0)</f>
        <v>0</v>
      </c>
      <c r="IF74" s="20" t="n">
        <f aca="false">IF(W74=1,IF(ABS((1+AS_Wage)/(1+Slot1_Rate)-1)&lt;0.000000000001,(Slot1_Age-D74)*(1+Slot1_Rate)^(Slot1_Age-D74),(1+Slot1_Rate)^(Slot1_Age-D74)*(1-((1+AS_Wage)/(1+Slot1_Rate))^(Slot1_Age-D74))/(1-(1+AS_Wage)/(1+Slot1_Rate))),1)</f>
        <v>1</v>
      </c>
      <c r="IG74" s="20" t="n">
        <f aca="false">IF(AND(HU74=1,IE74&gt;0,Slot1_IsWG=1,W74=1),MAX(0,(Slot1_Cost-X74*(1+Slot1_Rate)^(Slot1_Age-D74))/IF74),0)</f>
        <v>0</v>
      </c>
      <c r="IH74" s="20" t="n">
        <f aca="false">IF(AND(HU74=1,IE74&gt;0,Slot1_IsWG=1,W74=1),MIN(IE74,IG74),0)</f>
        <v>0</v>
      </c>
      <c r="II74" s="20" t="n">
        <f aca="false">X74+IH74</f>
        <v>0</v>
      </c>
      <c r="IJ74" s="20" t="n">
        <f aca="false">IF(W74=1,MAX(0,(Slot1_Cost-II74*(1+Slot1_Rate)^(Slot1_Age-D74))/IF74),0)</f>
        <v>0</v>
      </c>
      <c r="IK74" s="20" t="n">
        <f aca="false">IF(W74=1,MAX(0,(Slot1_Cost-X74*(1+Slot1_Rate)^(Slot1_Age-D74))/IF74),0)</f>
        <v>0</v>
      </c>
      <c r="IL74" s="20" t="n">
        <f aca="false">IF(AND(HU74=1,W74=1),MIN(ID74,IJ74),0)</f>
        <v>0</v>
      </c>
      <c r="IM74" s="20" t="n">
        <f aca="false">ID74-IL74</f>
        <v>0</v>
      </c>
      <c r="IN74" s="20" t="n">
        <f aca="false">IF(AH74=1,IF(ABS((1+AS_Wage)/(1+Slot2_Rate)-1)&lt;0.000000000001,(Slot2_Age-D74)*(1+Slot2_Rate)^(Slot2_Age-D74),(1+Slot2_Rate)^(Slot2_Age-D74)*(1-((1+AS_Wage)/(1+Slot2_Rate))^(Slot2_Age-D74))/(1-(1+AS_Wage)/(1+Slot2_Rate))),1)</f>
        <v>1</v>
      </c>
      <c r="IO74" s="20" t="n">
        <f aca="false">IF(AND(HU74=1,IE74&gt;0,Slot2_IsWG=1,AH74=1),MAX(0,(Slot2_Cost-AI74*(1+Slot2_Rate)^(Slot2_Age-D74))/IN74),0)</f>
        <v>0</v>
      </c>
      <c r="IP74" s="20" t="n">
        <f aca="false">IF(AND(HU74=1,IE74&gt;0,Slot2_IsWG=1,AH74=1),MIN(IE74,IO74),0)</f>
        <v>0</v>
      </c>
      <c r="IQ74" s="20" t="n">
        <f aca="false">AI74+IP74</f>
        <v>0</v>
      </c>
      <c r="IR74" s="20" t="n">
        <f aca="false">IF(AH74=1,MAX(0,(Slot2_Cost-IQ74*(1+Slot2_Rate)^(Slot2_Age-D74))/IN74),0)</f>
        <v>0</v>
      </c>
      <c r="IS74" s="20" t="n">
        <f aca="false">IF(AH74=1,MAX(0,(Slot2_Cost-AI74*(1+Slot2_Rate)^(Slot2_Age-D74))/IN74),0)</f>
        <v>0</v>
      </c>
      <c r="IT74" s="20" t="n">
        <f aca="false">IF(AND(HU74=1,AH74=1),MIN(IM74,IR74),0)</f>
        <v>0</v>
      </c>
      <c r="IU74" s="20" t="n">
        <f aca="false">IM74-IT74</f>
        <v>0</v>
      </c>
      <c r="IV74" s="20" t="n">
        <f aca="false">IF(AR74=1,IF(ABS((1+AS_Wage)/(1+Slot3_Rate)-1)&lt;0.000000000001,(Slot3_Age-D74)*(1+Slot3_Rate)^(Slot3_Age-D74),(1+Slot3_Rate)^(Slot3_Age-D74)*(1-((1+AS_Wage)/(1+Slot3_Rate))^(Slot3_Age-D74))/(1-(1+AS_Wage)/(1+Slot3_Rate))),1)</f>
        <v>1</v>
      </c>
      <c r="IW74" s="20" t="n">
        <f aca="false">IF(AND(HU74=1,IE74&gt;0,Slot3_IsWG=1,AR74=1),MAX(0,(Slot3_Cost-AS74*(1+Slot3_Rate)^(Slot3_Age-D74))/IV74),0)</f>
        <v>0</v>
      </c>
      <c r="IX74" s="20" t="n">
        <f aca="false">IF(AND(HU74=1,IE74&gt;0,Slot3_IsWG=1,AR74=1),MIN(IE74,IW74),0)</f>
        <v>0</v>
      </c>
      <c r="IY74" s="20" t="n">
        <f aca="false">AS74+IX74</f>
        <v>0</v>
      </c>
      <c r="IZ74" s="20" t="n">
        <f aca="false">IF(AR74=1,MAX(0,(Slot3_Cost-IY74*(1+Slot3_Rate)^(Slot3_Age-D74))/IV74),0)</f>
        <v>0</v>
      </c>
      <c r="JA74" s="20" t="n">
        <f aca="false">IF(AR74=1,MAX(0,(Slot3_Cost-AS74*(1+Slot3_Rate)^(Slot3_Age-D74))/IV74),0)</f>
        <v>0</v>
      </c>
      <c r="JB74" s="20" t="n">
        <f aca="false">IF(AND(HU74=1,AR74=1),MIN(IU74,IZ74),0)</f>
        <v>0</v>
      </c>
      <c r="JC74" s="20" t="n">
        <f aca="false">IU74-JB74</f>
        <v>0</v>
      </c>
      <c r="JD74" s="20" t="n">
        <f aca="false">IF(BB74=1,IF(ABS((1+AS_Wage)/(1+Slot4_Rate)-1)&lt;0.000000000001,(Slot4_Age-D74)*(1+Slot4_Rate)^(Slot4_Age-D74),(1+Slot4_Rate)^(Slot4_Age-D74)*(1-((1+AS_Wage)/(1+Slot4_Rate))^(Slot4_Age-D74))/(1-(1+AS_Wage)/(1+Slot4_Rate))),1)</f>
        <v>1</v>
      </c>
      <c r="JE74" s="20" t="n">
        <f aca="false">IF(AND(HU74=1,IE74&gt;0,Slot4_IsWG=1,BB74=1),MAX(0,(Slot4_Cost-BC74*(1+Slot4_Rate)^(Slot4_Age-D74))/JD74),0)</f>
        <v>0</v>
      </c>
      <c r="JF74" s="20" t="n">
        <f aca="false">IF(AND(HU74=1,IE74&gt;0,Slot4_IsWG=1,BB74=1),MIN(IE74,JE74),0)</f>
        <v>0</v>
      </c>
      <c r="JG74" s="20" t="n">
        <f aca="false">BC74+JF74</f>
        <v>0</v>
      </c>
      <c r="JH74" s="20" t="n">
        <f aca="false">IF(BB74=1,MAX(0,(Slot4_Cost-JG74*(1+Slot4_Rate)^(Slot4_Age-D74))/JD74),0)</f>
        <v>0</v>
      </c>
      <c r="JI74" s="20" t="n">
        <f aca="false">IF(BB74=1,MAX(0,(Slot4_Cost-BC74*(1+Slot4_Rate)^(Slot4_Age-D74))/JD74),0)</f>
        <v>0</v>
      </c>
      <c r="JJ74" s="20" t="n">
        <f aca="false">IF(AND(HU74=1,BB74=1),MIN(JC74,JH74),0)</f>
        <v>0</v>
      </c>
      <c r="JK74" s="20" t="n">
        <f aca="false">JC74-JJ74</f>
        <v>0</v>
      </c>
      <c r="JL74" s="20" t="n">
        <f aca="false">IF(BL74=1,IF(ABS((1+AS_Wage)/(1+Slot5_Rate)-1)&lt;0.000000000001,(Slot5_Age-D74)*(1+Slot5_Rate)^(Slot5_Age-D74),(1+Slot5_Rate)^(Slot5_Age-D74)*(1-((1+AS_Wage)/(1+Slot5_Rate))^(Slot5_Age-D74))/(1-(1+AS_Wage)/(1+Slot5_Rate))),1)</f>
        <v>1</v>
      </c>
      <c r="JM74" s="20" t="n">
        <f aca="false">IF(AND(HU74=1,IE74&gt;0,Slot5_IsWG=1,BL74=1),MAX(0,(Slot5_Cost-BM74*(1+Slot5_Rate)^(Slot5_Age-D74))/JL74),0)</f>
        <v>0</v>
      </c>
      <c r="JN74" s="20" t="n">
        <f aca="false">IF(AND(HU74=1,IE74&gt;0,Slot5_IsWG=1,BL74=1),MIN(IE74,JM74),0)</f>
        <v>0</v>
      </c>
      <c r="JO74" s="20" t="n">
        <f aca="false">BM74+JN74</f>
        <v>0</v>
      </c>
      <c r="JP74" s="20" t="n">
        <f aca="false">IF(BL74=1,MAX(0,(Slot5_Cost-JO74*(1+Slot5_Rate)^(Slot5_Age-D74))/JL74),0)</f>
        <v>0</v>
      </c>
      <c r="JQ74" s="20" t="n">
        <f aca="false">IF(BL74=1,MAX(0,(Slot5_Cost-BM74*(1+Slot5_Rate)^(Slot5_Age-D74))/JL74),0)</f>
        <v>0</v>
      </c>
      <c r="JR74" s="20" t="n">
        <f aca="false">IF(AND(HU74=1,BL74=1),MIN(JK74,JP74),0)</f>
        <v>0</v>
      </c>
      <c r="JS74" s="20" t="n">
        <f aca="false">JK74-JR74</f>
        <v>0</v>
      </c>
      <c r="JT74" s="20" t="n">
        <f aca="false">IF(BV74=1,IF(ABS((1+AS_Wage)/(1+Slot6_Rate)-1)&lt;0.000000000001,(Slot6_Age-D74)*(1+Slot6_Rate)^(Slot6_Age-D74),(1+Slot6_Rate)^(Slot6_Age-D74)*(1-((1+AS_Wage)/(1+Slot6_Rate))^(Slot6_Age-D74))/(1-(1+AS_Wage)/(1+Slot6_Rate))),1)</f>
        <v>1</v>
      </c>
      <c r="JU74" s="20" t="n">
        <f aca="false">IF(AND(HU74=1,IE74&gt;0,Slot6_IsWG=1,BV74=1),MAX(0,(Slot6_Cost-BW74*(1+Slot6_Rate)^(Slot6_Age-D74))/JT74),0)</f>
        <v>0</v>
      </c>
      <c r="JV74" s="20" t="n">
        <f aca="false">IF(AND(HU74=1,IE74&gt;0,Slot6_IsWG=1,BV74=1),MIN(IE74,JU74),0)</f>
        <v>0</v>
      </c>
      <c r="JW74" s="20" t="n">
        <f aca="false">BW74+JV74</f>
        <v>0</v>
      </c>
      <c r="JX74" s="20" t="n">
        <f aca="false">IF(BV74=1,MAX(0,(Slot6_Cost-JW74*(1+Slot6_Rate)^(Slot6_Age-D74))/JT74),0)</f>
        <v>0</v>
      </c>
      <c r="JY74" s="20" t="n">
        <f aca="false">IF(BV74=1,MAX(0,(Slot6_Cost-BW74*(1+Slot6_Rate)^(Slot6_Age-D74))/JT74),0)</f>
        <v>0</v>
      </c>
      <c r="JZ74" s="20" t="n">
        <f aca="false">IF(AND(HU74=1,BV74=1),MIN(JS74,JX74),0)</f>
        <v>0</v>
      </c>
      <c r="KA74" s="20" t="n">
        <f aca="false">JS74-JZ74</f>
        <v>0</v>
      </c>
      <c r="KB74" s="20" t="n">
        <f aca="false">IF(CF74=1,IF(ABS((1+AS_Wage)/(1+Slot7_Rate)-1)&lt;0.000000000001,(Slot7_Age-D74)*(1+Slot7_Rate)^(Slot7_Age-D74),(1+Slot7_Rate)^(Slot7_Age-D74)*(1-((1+AS_Wage)/(1+Slot7_Rate))^(Slot7_Age-D74))/(1-(1+AS_Wage)/(1+Slot7_Rate))),1)</f>
        <v>1</v>
      </c>
      <c r="KC74" s="20" t="n">
        <f aca="false">IF(AND(HU74=1,IE74&gt;0,Slot7_IsWG=1,CF74=1),MAX(0,(Slot7_Cost-CG74*(1+Slot7_Rate)^(Slot7_Age-D74))/KB74),0)</f>
        <v>0</v>
      </c>
      <c r="KD74" s="20" t="n">
        <f aca="false">IF(AND(HU74=1,IE74&gt;0,Slot7_IsWG=1,CF74=1),MIN(IE74,KC74),0)</f>
        <v>0</v>
      </c>
      <c r="KE74" s="20" t="n">
        <f aca="false">CG74+KD74</f>
        <v>0</v>
      </c>
      <c r="KF74" s="20" t="n">
        <f aca="false">IF(CF74=1,MAX(0,(Slot7_Cost-KE74*(1+Slot7_Rate)^(Slot7_Age-D74))/KB74),0)</f>
        <v>0</v>
      </c>
      <c r="KG74" s="20" t="n">
        <f aca="false">IF(CF74=1,MAX(0,(Slot7_Cost-CG74*(1+Slot7_Rate)^(Slot7_Age-D74))/KB74),0)</f>
        <v>0</v>
      </c>
      <c r="KH74" s="20" t="n">
        <f aca="false">IF(AND(HU74=1,CF74=1),MIN(KA74,KF74),0)</f>
        <v>0</v>
      </c>
      <c r="KI74" s="20" t="n">
        <f aca="false">KA74-KH74</f>
        <v>0</v>
      </c>
      <c r="KJ74" s="20" t="n">
        <f aca="false">IF(CP74=1,IF(ABS((1+AS_Wage)/(1+Slot8_Rate)-1)&lt;0.000000000001,(Slot8_Age-D74)*(1+Slot8_Rate)^(Slot8_Age-D74),(1+Slot8_Rate)^(Slot8_Age-D74)*(1-((1+AS_Wage)/(1+Slot8_Rate))^(Slot8_Age-D74))/(1-(1+AS_Wage)/(1+Slot8_Rate))),1)</f>
        <v>1</v>
      </c>
      <c r="KK74" s="20" t="n">
        <f aca="false">IF(AND(HU74=1,IE74&gt;0,Slot8_IsWG=1,CP74=1),MAX(0,(Slot8_Cost-CQ74*(1+Slot8_Rate)^(Slot8_Age-D74))/KJ74),0)</f>
        <v>0</v>
      </c>
      <c r="KL74" s="20" t="n">
        <f aca="false">IF(AND(HU74=1,IE74&gt;0,Slot8_IsWG=1,CP74=1),MIN(IE74,KK74),0)</f>
        <v>0</v>
      </c>
      <c r="KM74" s="20" t="n">
        <f aca="false">CQ74+KL74</f>
        <v>0</v>
      </c>
      <c r="KN74" s="20" t="n">
        <f aca="false">IF(CP74=1,MAX(0,(Slot8_Cost-KM74*(1+Slot8_Rate)^(Slot8_Age-D74))/KJ74),0)</f>
        <v>0</v>
      </c>
      <c r="KO74" s="20" t="n">
        <f aca="false">IF(CP74=1,MAX(0,(Slot8_Cost-CQ74*(1+Slot8_Rate)^(Slot8_Age-D74))/KJ74),0)</f>
        <v>0</v>
      </c>
      <c r="KP74" s="20" t="n">
        <f aca="false">IF(AND(HU74=1,CP74=1),MIN(KI74,KN74),0)</f>
        <v>0</v>
      </c>
      <c r="KQ74" s="20" t="n">
        <f aca="false">KI74-KP74</f>
        <v>0</v>
      </c>
      <c r="KR74" s="20" t="n">
        <f aca="false">IF(CZ74=1,IF(ABS((1+AS_Wage)/(1+Slot9_Rate)-1)&lt;0.000000000001,(Slot9_Age-D74)*(1+Slot9_Rate)^(Slot9_Age-D74),(1+Slot9_Rate)^(Slot9_Age-D74)*(1-((1+AS_Wage)/(1+Slot9_Rate))^(Slot9_Age-D74))/(1-(1+AS_Wage)/(1+Slot9_Rate))),1)</f>
        <v>1</v>
      </c>
      <c r="KS74" s="20" t="n">
        <f aca="false">IF(AND(HU74=1,IE74&gt;0,Slot9_IsWG=1,CZ74=1),MAX(0,(Slot9_Cost-DA74*(1+Slot9_Rate)^(Slot9_Age-D74))/KR74),0)</f>
        <v>0</v>
      </c>
      <c r="KT74" s="20" t="n">
        <f aca="false">IF(AND(HU74=1,IE74&gt;0,Slot9_IsWG=1,CZ74=1),MIN(IE74,KS74),0)</f>
        <v>0</v>
      </c>
      <c r="KU74" s="20" t="n">
        <f aca="false">DA74+KT74</f>
        <v>0</v>
      </c>
      <c r="KV74" s="20" t="n">
        <f aca="false">IF(CZ74=1,MAX(0,(Slot9_Cost-KU74*(1+Slot9_Rate)^(Slot9_Age-D74))/KR74),0)</f>
        <v>0</v>
      </c>
      <c r="KW74" s="20" t="n">
        <f aca="false">IF(CZ74=1,MAX(0,(Slot9_Cost-DA74*(1+Slot9_Rate)^(Slot9_Age-D74))/KR74),0)</f>
        <v>0</v>
      </c>
      <c r="KX74" s="20" t="n">
        <f aca="false">IF(AND(HU74=1,CZ74=1),MIN(KQ74,KV74),0)</f>
        <v>0</v>
      </c>
      <c r="KY74" s="20" t="n">
        <f aca="false">KQ74-KX74</f>
        <v>0</v>
      </c>
      <c r="KZ74" s="20" t="n">
        <f aca="false">IF(DJ74=1,IF(ABS((1+AS_Wage)/(1+Slot10_Rate)-1)&lt;0.000000000001,(Slot10_Age-D74)*(1+Slot10_Rate)^(Slot10_Age-D74),(1+Slot10_Rate)^(Slot10_Age-D74)*(1-((1+AS_Wage)/(1+Slot10_Rate))^(Slot10_Age-D74))/(1-(1+AS_Wage)/(1+Slot10_Rate))),1)</f>
        <v>1</v>
      </c>
      <c r="LA74" s="20" t="n">
        <f aca="false">IF(AND(HU74=1,IE74&gt;0,Slot10_IsWG=1,DJ74=1),MAX(0,(Slot10_Cost-DK74*(1+Slot10_Rate)^(Slot10_Age-D74))/KZ74),0)</f>
        <v>0</v>
      </c>
      <c r="LB74" s="20" t="n">
        <f aca="false">IF(AND(HU74=1,IE74&gt;0,Slot10_IsWG=1,DJ74=1),MIN(IE74,LA74),0)</f>
        <v>0</v>
      </c>
      <c r="LC74" s="20" t="n">
        <f aca="false">DK74+LB74</f>
        <v>0</v>
      </c>
      <c r="LD74" s="20" t="n">
        <f aca="false">IF(DJ74=1,MAX(0,(Slot10_Cost-LC74*(1+Slot10_Rate)^(Slot10_Age-D74))/KZ74),0)</f>
        <v>0</v>
      </c>
      <c r="LE74" s="20" t="n">
        <f aca="false">IF(DJ74=1,MAX(0,(Slot10_Cost-DK74*(1+Slot10_Rate)^(Slot10_Age-D74))/KZ74),0)</f>
        <v>0</v>
      </c>
      <c r="LF74" s="20" t="n">
        <f aca="false">IF(AND(HU74=1,DJ74=1),MIN(KY74,LD74),0)</f>
        <v>0</v>
      </c>
      <c r="LG74" s="20" t="n">
        <f aca="false">KY74-LF74</f>
        <v>0</v>
      </c>
      <c r="LH74" s="20" t="n">
        <f aca="false">IF(DT74=1,IF(ABS((1+AS_Wage)/(1+Slot11_Rate)-1)&lt;0.000000000001,(Slot11_Age-D74)*(1+Slot11_Rate)^(Slot11_Age-D74),(1+Slot11_Rate)^(Slot11_Age-D74)*(1-((1+AS_Wage)/(1+Slot11_Rate))^(Slot11_Age-D74))/(1-(1+AS_Wage)/(1+Slot11_Rate))),1)</f>
        <v>1</v>
      </c>
      <c r="LI74" s="20" t="n">
        <f aca="false">IF(AND(HU74=1,IE74&gt;0,Slot11_IsWG=1,DT74=1),MAX(0,(Slot11_Cost-DU74*(1+Slot11_Rate)^(Slot11_Age-D74))/LH74),0)</f>
        <v>0</v>
      </c>
      <c r="LJ74" s="20" t="n">
        <f aca="false">IF(AND(HU74=1,IE74&gt;0,Slot11_IsWG=1,DT74=1),MIN(IE74,LI74),0)</f>
        <v>0</v>
      </c>
      <c r="LK74" s="20" t="n">
        <f aca="false">DU74+LJ74</f>
        <v>0</v>
      </c>
      <c r="LL74" s="20" t="n">
        <f aca="false">IF(DT74=1,MAX(0,(Slot11_Cost-LK74*(1+Slot11_Rate)^(Slot11_Age-D74))/LH74),0)</f>
        <v>0</v>
      </c>
      <c r="LM74" s="20" t="n">
        <f aca="false">IF(DT74=1,MAX(0,(Slot11_Cost-DU74*(1+Slot11_Rate)^(Slot11_Age-D74))/LH74),0)</f>
        <v>0</v>
      </c>
      <c r="LN74" s="20" t="n">
        <f aca="false">IF(AND(HU74=1,DT74=1),MIN(LG74,LL74),0)</f>
        <v>0</v>
      </c>
      <c r="LO74" s="20" t="n">
        <f aca="false">LG74-LN74</f>
        <v>0</v>
      </c>
      <c r="LP74" s="20" t="n">
        <f aca="false">IF(ED74=1,IF(ABS((1+AS_Wage)/(1+Slot12_Rate)-1)&lt;0.000000000001,(Slot12_Age-D74)*(1+Slot12_Rate)^(Slot12_Age-D74),(1+Slot12_Rate)^(Slot12_Age-D74)*(1-((1+AS_Wage)/(1+Slot12_Rate))^(Slot12_Age-D74))/(1-(1+AS_Wage)/(1+Slot12_Rate))),1)</f>
        <v>1</v>
      </c>
      <c r="LQ74" s="20" t="n">
        <f aca="false">IF(AND(HU74=1,IE74&gt;0,Slot12_IsWG=1,ED74=1),MAX(0,(Slot12_Cost-EE74*(1+Slot12_Rate)^(Slot12_Age-D74))/LP74),0)</f>
        <v>0</v>
      </c>
      <c r="LR74" s="20" t="n">
        <f aca="false">IF(AND(HU74=1,IE74&gt;0,Slot12_IsWG=1,ED74=1),MIN(IE74,LQ74),0)</f>
        <v>0</v>
      </c>
      <c r="LS74" s="20" t="n">
        <f aca="false">EE74+LR74</f>
        <v>0</v>
      </c>
      <c r="LT74" s="20" t="n">
        <f aca="false">IF(ED74=1,MAX(0,(Slot12_Cost-LS74*(1+Slot12_Rate)^(Slot12_Age-D74))/LP74),0)</f>
        <v>0</v>
      </c>
      <c r="LU74" s="20" t="n">
        <f aca="false">IF(ED74=1,MAX(0,(Slot12_Cost-EE74*(1+Slot12_Rate)^(Slot12_Age-D74))/LP74),0)</f>
        <v>0</v>
      </c>
      <c r="LV74" s="20" t="n">
        <f aca="false">IF(AND(HU74=1,ED74=1),MIN(LO74,LT74),0)</f>
        <v>0</v>
      </c>
      <c r="LW74" s="20" t="n">
        <f aca="false">LO74-LV74</f>
        <v>0</v>
      </c>
      <c r="LX74" s="20" t="n">
        <f aca="false">IF(EN74=1,IF(ABS((1+AS_Wage)/(1+Slot13_Rate)-1)&lt;0.000000000001,(Slot13_Age-D74)*(1+Slot13_Rate)^(Slot13_Age-D74),(1+Slot13_Rate)^(Slot13_Age-D74)*(1-((1+AS_Wage)/(1+Slot13_Rate))^(Slot13_Age-D74))/(1-(1+AS_Wage)/(1+Slot13_Rate))),1)</f>
        <v>1</v>
      </c>
      <c r="LY74" s="20" t="n">
        <f aca="false">IF(AND(HU74=1,IE74&gt;0,Slot13_IsWG=1,EN74=1),MAX(0,(Slot13_Cost-EO74*(1+Slot13_Rate)^(Slot13_Age-D74))/LX74),0)</f>
        <v>0</v>
      </c>
      <c r="LZ74" s="20" t="n">
        <f aca="false">IF(AND(HU74=1,IE74&gt;0,Slot13_IsWG=1,EN74=1),MIN(IE74,LY74),0)</f>
        <v>0</v>
      </c>
      <c r="MA74" s="20" t="n">
        <f aca="false">EO74+LZ74</f>
        <v>0</v>
      </c>
      <c r="MB74" s="20" t="n">
        <f aca="false">IF(EN74=1,MAX(0,(Slot13_Cost-MA74*(1+Slot13_Rate)^(Slot13_Age-D74))/LX74),0)</f>
        <v>0</v>
      </c>
      <c r="MC74" s="20" t="n">
        <f aca="false">IF(EN74=1,MAX(0,(Slot13_Cost-EO74*(1+Slot13_Rate)^(Slot13_Age-D74))/LX74),0)</f>
        <v>0</v>
      </c>
      <c r="MD74" s="20" t="n">
        <f aca="false">IF(AND(HU74=1,EN74=1),MIN(LW74,MB74),0)</f>
        <v>0</v>
      </c>
      <c r="ME74" s="20" t="n">
        <f aca="false">LW74-MD74</f>
        <v>0</v>
      </c>
      <c r="MF74" s="20" t="n">
        <f aca="false">IF(EX74=1,IF(ABS((1+AS_Wage)/(1+Slot14_Rate)-1)&lt;0.000000000001,(Slot14_Age-D74)*(1+Slot14_Rate)^(Slot14_Age-D74),(1+Slot14_Rate)^(Slot14_Age-D74)*(1-((1+AS_Wage)/(1+Slot14_Rate))^(Slot14_Age-D74))/(1-(1+AS_Wage)/(1+Slot14_Rate))),1)</f>
        <v>1</v>
      </c>
      <c r="MG74" s="20" t="n">
        <f aca="false">IF(AND(HU74=1,IE74&gt;0,Slot14_IsWG=1,EX74=1),MAX(0,(Slot14_Cost-EY74*(1+Slot14_Rate)^(Slot14_Age-D74))/MF74),0)</f>
        <v>0</v>
      </c>
      <c r="MH74" s="20" t="n">
        <f aca="false">IF(AND(HU74=1,IE74&gt;0,Slot14_IsWG=1,EX74=1),MIN(IE74,MG74),0)</f>
        <v>0</v>
      </c>
      <c r="MI74" s="20" t="n">
        <f aca="false">EY74+MH74</f>
        <v>0</v>
      </c>
      <c r="MJ74" s="20" t="n">
        <f aca="false">IF(EX74=1,MAX(0,(Slot14_Cost-MI74*(1+Slot14_Rate)^(Slot14_Age-D74))/MF74),0)</f>
        <v>0</v>
      </c>
      <c r="MK74" s="20" t="n">
        <f aca="false">IF(EX74=1,MAX(0,(Slot14_Cost-EY74*(1+Slot14_Rate)^(Slot14_Age-D74))/MF74),0)</f>
        <v>0</v>
      </c>
      <c r="ML74" s="20" t="n">
        <f aca="false">IF(AND(HU74=1,EX74=1),MIN(ME74,MJ74),0)</f>
        <v>0</v>
      </c>
      <c r="MM74" s="20" t="n">
        <f aca="false">ME74-ML74</f>
        <v>0</v>
      </c>
      <c r="MN74" s="20" t="n">
        <f aca="false">IF(FH74=1,IF(ABS((1+AS_Wage)/(1+Slot15_Rate)-1)&lt;0.000000000001,(Slot15_Age-D74)*(1+Slot15_Rate)^(Slot15_Age-D74),(1+Slot15_Rate)^(Slot15_Age-D74)*(1-((1+AS_Wage)/(1+Slot15_Rate))^(Slot15_Age-D74))/(1-(1+AS_Wage)/(1+Slot15_Rate))),1)</f>
        <v>1</v>
      </c>
      <c r="MO74" s="20" t="n">
        <f aca="false">IF(AND(HU74=1,IE74&gt;0,Slot15_IsWG=1,FH74=1),MAX(0,(Slot15_Cost-FI74*(1+Slot15_Rate)^(Slot15_Age-D74))/MN74),0)</f>
        <v>0</v>
      </c>
      <c r="MP74" s="20" t="n">
        <f aca="false">IF(AND(HU74=1,IE74&gt;0,Slot15_IsWG=1,FH74=1),MIN(IE74,MO74),0)</f>
        <v>0</v>
      </c>
      <c r="MQ74" s="20" t="n">
        <f aca="false">FI74+MP74</f>
        <v>0</v>
      </c>
      <c r="MR74" s="20" t="n">
        <f aca="false">IF(FH74=1,MAX(0,(Slot15_Cost-MQ74*(1+Slot15_Rate)^(Slot15_Age-D74))/MN74),0)</f>
        <v>0</v>
      </c>
      <c r="MS74" s="20" t="n">
        <f aca="false">IF(FH74=1,MAX(0,(Slot15_Cost-FI74*(1+Slot15_Rate)^(Slot15_Age-D74))/MN74),0)</f>
        <v>0</v>
      </c>
      <c r="MT74" s="20" t="n">
        <f aca="false">IF(AND(HU74=1,FH74=1),MIN(MM74,MR74),0)</f>
        <v>0</v>
      </c>
      <c r="MU74" s="20" t="n">
        <f aca="false">MM74-MT74</f>
        <v>0</v>
      </c>
      <c r="MV74" s="20" t="n">
        <f aca="false">IF(FR74=1,IF(ABS((1+AS_Wage)/(1+Slot16_Rate)-1)&lt;0.000000000001,(Slot16_Age-D74)*(1+Slot16_Rate)^(Slot16_Age-D74),(1+Slot16_Rate)^(Slot16_Age-D74)*(1-((1+AS_Wage)/(1+Slot16_Rate))^(Slot16_Age-D74))/(1-(1+AS_Wage)/(1+Slot16_Rate))),1)</f>
        <v>1</v>
      </c>
      <c r="MW74" s="20" t="n">
        <f aca="false">IF(AND(HU74=1,IE74&gt;0,Slot16_IsWG=1,FR74=1),MAX(0,(Slot16_Cost-FS74*(1+Slot16_Rate)^(Slot16_Age-D74))/MV74),0)</f>
        <v>0</v>
      </c>
      <c r="MX74" s="20" t="n">
        <f aca="false">IF(AND(HU74=1,IE74&gt;0,Slot16_IsWG=1,FR74=1),MIN(IE74,MW74),0)</f>
        <v>0</v>
      </c>
      <c r="MY74" s="20" t="n">
        <f aca="false">FS74+MX74</f>
        <v>0</v>
      </c>
      <c r="MZ74" s="20" t="n">
        <f aca="false">IF(FR74=1,MAX(0,(Slot16_Cost-MY74*(1+Slot16_Rate)^(Slot16_Age-D74))/MV74),0)</f>
        <v>0</v>
      </c>
      <c r="NA74" s="20" t="n">
        <f aca="false">IF(FR74=1,MAX(0,(Slot16_Cost-FS74*(1+Slot16_Rate)^(Slot16_Age-D74))/MV74),0)</f>
        <v>0</v>
      </c>
      <c r="NB74" s="20" t="n">
        <f aca="false">IF(AND(HU74=1,FR74=1),MIN(MU74,MZ74),0)</f>
        <v>0</v>
      </c>
      <c r="NC74" s="20" t="n">
        <f aca="false">MU74-NB74</f>
        <v>0</v>
      </c>
      <c r="ND74" s="20" t="n">
        <f aca="false">IF(GB74=1,IF(ABS((1+AS_Wage)/(1+Slot17_Rate)-1)&lt;0.000000000001,(Slot17_Age-D74)*(1+Slot17_Rate)^(Slot17_Age-D74),(1+Slot17_Rate)^(Slot17_Age-D74)*(1-((1+AS_Wage)/(1+Slot17_Rate))^(Slot17_Age-D74))/(1-(1+AS_Wage)/(1+Slot17_Rate))),1)</f>
        <v>1</v>
      </c>
      <c r="NE74" s="20" t="n">
        <f aca="false">IF(AND(HU74=1,IE74&gt;0,Slot17_IsWG=1,GB74=1),MAX(0,(Slot17_Cost-GC74*(1+Slot17_Rate)^(Slot17_Age-D74))/ND74),0)</f>
        <v>0</v>
      </c>
      <c r="NF74" s="20" t="n">
        <f aca="false">IF(AND(HU74=1,IE74&gt;0,Slot17_IsWG=1,GB74=1),MIN(IE74,NE74),0)</f>
        <v>0</v>
      </c>
      <c r="NG74" s="20" t="n">
        <f aca="false">GC74+NF74</f>
        <v>0</v>
      </c>
      <c r="NH74" s="20" t="n">
        <f aca="false">IF(GB74=1,MAX(0,(Slot17_Cost-NG74*(1+Slot17_Rate)^(Slot17_Age-D74))/ND74),0)</f>
        <v>0</v>
      </c>
      <c r="NI74" s="20" t="n">
        <f aca="false">IF(GB74=1,MAX(0,(Slot17_Cost-GC74*(1+Slot17_Rate)^(Slot17_Age-D74))/ND74),0)</f>
        <v>0</v>
      </c>
      <c r="NJ74" s="20" t="n">
        <f aca="false">IF(AND(HU74=1,GB74=1),MIN(NC74,NH74),0)</f>
        <v>0</v>
      </c>
      <c r="NK74" s="20" t="n">
        <f aca="false">NC74-NJ74</f>
        <v>0</v>
      </c>
      <c r="NL74" s="20" t="n">
        <f aca="false">IF(GL74=1,IF(ABS((1+AS_Wage)/(1+Slot18_Rate)-1)&lt;0.000000000001,(Slot18_Age-D74)*(1+Slot18_Rate)^(Slot18_Age-D74),(1+Slot18_Rate)^(Slot18_Age-D74)*(1-((1+AS_Wage)/(1+Slot18_Rate))^(Slot18_Age-D74))/(1-(1+AS_Wage)/(1+Slot18_Rate))),1)</f>
        <v>1</v>
      </c>
      <c r="NM74" s="20" t="n">
        <f aca="false">IF(AND(HU74=1,IE74&gt;0,Slot18_IsWG=1,GL74=1),MAX(0,(Slot18_Cost-GM74*(1+Slot18_Rate)^(Slot18_Age-D74))/NL74),0)</f>
        <v>0</v>
      </c>
      <c r="NN74" s="20" t="n">
        <f aca="false">IF(AND(HU74=1,IE74&gt;0,Slot18_IsWG=1,GL74=1),MIN(IE74,NM74),0)</f>
        <v>0</v>
      </c>
      <c r="NO74" s="20" t="n">
        <f aca="false">GM74+NN74</f>
        <v>0</v>
      </c>
      <c r="NP74" s="20" t="n">
        <f aca="false">IF(GL74=1,MAX(0,(Slot18_Cost-NO74*(1+Slot18_Rate)^(Slot18_Age-D74))/NL74),0)</f>
        <v>0</v>
      </c>
      <c r="NQ74" s="20" t="n">
        <f aca="false">IF(GL74=1,MAX(0,(Slot18_Cost-GM74*(1+Slot18_Rate)^(Slot18_Age-D74))/NL74),0)</f>
        <v>0</v>
      </c>
      <c r="NR74" s="20" t="n">
        <f aca="false">IF(AND(HU74=1,GL74=1),MIN(NK74,NP74),0)</f>
        <v>0</v>
      </c>
      <c r="NS74" s="20" t="n">
        <f aca="false">NK74-NR74</f>
        <v>0</v>
      </c>
      <c r="NT74" s="20" t="n">
        <f aca="false">IF(GV74=1,IF(ABS((1+AS_Wage)/(1+Slot19_Rate)-1)&lt;0.000000000001,(Slot19_Age-D74)*(1+Slot19_Rate)^(Slot19_Age-D74),(1+Slot19_Rate)^(Slot19_Age-D74)*(1-((1+AS_Wage)/(1+Slot19_Rate))^(Slot19_Age-D74))/(1-(1+AS_Wage)/(1+Slot19_Rate))),1)</f>
        <v>1</v>
      </c>
      <c r="NU74" s="20" t="n">
        <f aca="false">IF(AND(HU74=1,IE74&gt;0,Slot19_IsWG=1,GV74=1),MAX(0,(Slot19_Cost-GW74*(1+Slot19_Rate)^(Slot19_Age-D74))/NT74),0)</f>
        <v>0</v>
      </c>
      <c r="NV74" s="20" t="n">
        <f aca="false">IF(AND(HU74=1,IE74&gt;0,Slot19_IsWG=1,GV74=1),MIN(IE74,NU74),0)</f>
        <v>0</v>
      </c>
      <c r="NW74" s="20" t="n">
        <f aca="false">GW74+NV74</f>
        <v>0</v>
      </c>
      <c r="NX74" s="20" t="n">
        <f aca="false">IF(GV74=1,MAX(0,(Slot19_Cost-NW74*(1+Slot19_Rate)^(Slot19_Age-D74))/NT74),0)</f>
        <v>0</v>
      </c>
      <c r="NY74" s="20" t="n">
        <f aca="false">IF(GV74=1,MAX(0,(Slot19_Cost-GW74*(1+Slot19_Rate)^(Slot19_Age-D74))/NT74),0)</f>
        <v>0</v>
      </c>
      <c r="NZ74" s="20" t="n">
        <f aca="false">IF(AND(HU74=1,GV74=1),MIN(NS74,NX74),0)</f>
        <v>0</v>
      </c>
      <c r="OA74" s="20" t="n">
        <f aca="false">NS74-NZ74</f>
        <v>0</v>
      </c>
      <c r="OB74" s="20" t="n">
        <f aca="false">IF(HF74=1,IF(ABS((1+AS_Wage)/(1+Slot20_Rate)-1)&lt;0.000000000001,(Slot20_Age-D74)*(1+Slot20_Rate)^(Slot20_Age-D74),(1+Slot20_Rate)^(Slot20_Age-D74)*(1-((1+AS_Wage)/(1+Slot20_Rate))^(Slot20_Age-D74))/(1-(1+AS_Wage)/(1+Slot20_Rate))),1)</f>
        <v>1</v>
      </c>
      <c r="OC74" s="20" t="n">
        <f aca="false">IF(AND(HU74=1,IE74&gt;0,Slot20_IsWG=1,HF74=1),MAX(0,(Slot20_Cost-HG74*(1+Slot20_Rate)^(Slot20_Age-D74))/OB74),0)</f>
        <v>0</v>
      </c>
      <c r="OD74" s="20" t="n">
        <f aca="false">IF(AND(HU74=1,IE74&gt;0,Slot20_IsWG=1,HF74=1),MIN(IE74,OC74),0)</f>
        <v>0</v>
      </c>
      <c r="OE74" s="20" t="n">
        <f aca="false">HG74+OD74</f>
        <v>0</v>
      </c>
      <c r="OF74" s="20" t="n">
        <f aca="false">IF(HF74=1,MAX(0,(Slot20_Cost-OE74*(1+Slot20_Rate)^(Slot20_Age-D74))/OB74),0)</f>
        <v>0</v>
      </c>
      <c r="OG74" s="20" t="n">
        <f aca="false">IF(HF74=1,MAX(0,(Slot20_Cost-HG74*(1+Slot20_Rate)^(Slot20_Age-D74))/OB74),0)</f>
        <v>0</v>
      </c>
      <c r="OH74" s="20" t="n">
        <f aca="false">IF(AND(HU74=1,HF74=1),MIN(OA74,OF74),0)</f>
        <v>0</v>
      </c>
      <c r="OI74" s="20" t="n">
        <f aca="false">OA74-OH74</f>
        <v>0</v>
      </c>
      <c r="OJ74" s="20" t="n">
        <f aca="false">IE74-(IH74+IP74+IX74+JF74+JN74+JV74+KD74+KL74+KT74+LB74+LJ74+LR74+LZ74+MH74+MP74+MX74+NF74+NN74+NV74+OD74)</f>
        <v>0</v>
      </c>
      <c r="OK74" s="20" t="n">
        <f aca="false">IF(HU74=1,HS74-ID74-IE74,0)</f>
        <v>0</v>
      </c>
      <c r="OL74" s="20" t="n">
        <f aca="false">IF(HU74=0,-HS74,0)</f>
        <v>71185.5872181875</v>
      </c>
      <c r="OM74" s="20" t="n">
        <f aca="false">MIN(OL74,HK74)</f>
        <v>0</v>
      </c>
      <c r="ON74" s="20" t="n">
        <f aca="false">OL74-OM74</f>
        <v>71185.5872181875</v>
      </c>
      <c r="OO74" s="20" t="n">
        <f aca="false">MIN(ON74,HL74)</f>
        <v>0</v>
      </c>
      <c r="OP74" s="20" t="n">
        <f aca="false">ON74-OO74</f>
        <v>71185.5872181875</v>
      </c>
      <c r="OQ74" s="20" t="n">
        <f aca="false">IF(AND(HU74=0,HF74=1,OP74&gt;0),MIN(OP74,HG74),0)</f>
        <v>0</v>
      </c>
      <c r="OR74" s="20" t="n">
        <f aca="false">OP74-OQ74</f>
        <v>71185.5872181875</v>
      </c>
      <c r="OS74" s="20" t="n">
        <f aca="false">IF(AND(HU74=0,GV74=1,OR74&gt;0),MIN(OR74,GW74),0)</f>
        <v>0</v>
      </c>
      <c r="OT74" s="20" t="n">
        <f aca="false">OR74-OS74</f>
        <v>71185.5872181875</v>
      </c>
      <c r="OU74" s="20" t="n">
        <f aca="false">IF(AND(HU74=0,GL74=1,OT74&gt;0),MIN(OT74,GM74),0)</f>
        <v>0</v>
      </c>
      <c r="OV74" s="20" t="n">
        <f aca="false">OT74-OU74</f>
        <v>71185.5872181875</v>
      </c>
      <c r="OW74" s="20" t="n">
        <f aca="false">IF(AND(HU74=0,GB74=1,OV74&gt;0),MIN(OV74,GC74),0)</f>
        <v>0</v>
      </c>
      <c r="OX74" s="20" t="n">
        <f aca="false">OV74-OW74</f>
        <v>71185.5872181875</v>
      </c>
      <c r="OY74" s="20" t="n">
        <f aca="false">IF(AND(HU74=0,FR74=1,OX74&gt;0),MIN(OX74,FS74),0)</f>
        <v>0</v>
      </c>
      <c r="OZ74" s="20" t="n">
        <f aca="false">OX74-OY74</f>
        <v>71185.5872181875</v>
      </c>
      <c r="PA74" s="20" t="n">
        <f aca="false">IF(AND(HU74=0,FH74=1,OZ74&gt;0),MIN(OZ74,FI74),0)</f>
        <v>0</v>
      </c>
      <c r="PB74" s="20" t="n">
        <f aca="false">OZ74-PA74</f>
        <v>71185.5872181875</v>
      </c>
      <c r="PC74" s="20" t="n">
        <f aca="false">IF(AND(HU74=0,EX74=1,PB74&gt;0),MIN(PB74,EY74),0)</f>
        <v>0</v>
      </c>
      <c r="PD74" s="20" t="n">
        <f aca="false">PB74-PC74</f>
        <v>71185.5872181875</v>
      </c>
      <c r="PE74" s="20" t="n">
        <f aca="false">IF(AND(HU74=0,EN74=1,PD74&gt;0),MIN(PD74,EO74),0)</f>
        <v>0</v>
      </c>
      <c r="PF74" s="20" t="n">
        <f aca="false">PD74-PE74</f>
        <v>71185.5872181875</v>
      </c>
      <c r="PG74" s="20" t="n">
        <f aca="false">IF(AND(HU74=0,ED74=1,PF74&gt;0),MIN(PF74,EE74),0)</f>
        <v>0</v>
      </c>
      <c r="PH74" s="20" t="n">
        <f aca="false">PF74-PG74</f>
        <v>71185.5872181875</v>
      </c>
      <c r="PI74" s="20" t="n">
        <f aca="false">IF(AND(HU74=0,DT74=1,PH74&gt;0),MIN(PH74,DU74),0)</f>
        <v>0</v>
      </c>
      <c r="PJ74" s="20" t="n">
        <f aca="false">PH74-PI74</f>
        <v>71185.5872181875</v>
      </c>
      <c r="PK74" s="20" t="n">
        <f aca="false">IF(AND(HU74=0,DJ74=1,PJ74&gt;0),MIN(PJ74,DK74),0)</f>
        <v>0</v>
      </c>
      <c r="PL74" s="20" t="n">
        <f aca="false">PJ74-PK74</f>
        <v>71185.5872181875</v>
      </c>
      <c r="PM74" s="20" t="n">
        <f aca="false">IF(AND(HU74=0,CZ74=1,PL74&gt;0),MIN(PL74,DA74),0)</f>
        <v>0</v>
      </c>
      <c r="PN74" s="20" t="n">
        <f aca="false">PL74-PM74</f>
        <v>71185.5872181875</v>
      </c>
      <c r="PO74" s="20" t="n">
        <f aca="false">IF(AND(HU74=0,CP74=1,PN74&gt;0),MIN(PN74,CQ74),0)</f>
        <v>0</v>
      </c>
      <c r="PP74" s="20" t="n">
        <f aca="false">PN74-PO74</f>
        <v>71185.5872181875</v>
      </c>
      <c r="PQ74" s="20" t="n">
        <f aca="false">IF(AND(HU74=0,CF74=1,PP74&gt;0),MIN(PP74,CG74),0)</f>
        <v>0</v>
      </c>
      <c r="PR74" s="20" t="n">
        <f aca="false">PP74-PQ74</f>
        <v>71185.5872181875</v>
      </c>
      <c r="PS74" s="20" t="n">
        <f aca="false">IF(AND(HU74=0,BV74=1,PR74&gt;0),MIN(PR74,BW74),0)</f>
        <v>0</v>
      </c>
      <c r="PT74" s="20" t="n">
        <f aca="false">PR74-PS74</f>
        <v>71185.5872181875</v>
      </c>
      <c r="PU74" s="20" t="n">
        <f aca="false">IF(AND(HU74=0,BL74=1,PT74&gt;0),MIN(PT74,BM74),0)</f>
        <v>0</v>
      </c>
      <c r="PV74" s="20" t="n">
        <f aca="false">PT74-PU74</f>
        <v>71185.5872181875</v>
      </c>
      <c r="PW74" s="20" t="n">
        <f aca="false">IF(AND(HU74=0,BB74=1,PV74&gt;0),MIN(PV74,BC74),0)</f>
        <v>0</v>
      </c>
      <c r="PX74" s="20" t="n">
        <f aca="false">PV74-PW74</f>
        <v>71185.5872181875</v>
      </c>
      <c r="PY74" s="20" t="n">
        <f aca="false">IF(AND(HU74=0,AR74=1,PX74&gt;0),MIN(PX74,AS74),0)</f>
        <v>0</v>
      </c>
      <c r="PZ74" s="20" t="n">
        <f aca="false">PX74-PY74</f>
        <v>71185.5872181875</v>
      </c>
      <c r="QA74" s="20" t="n">
        <f aca="false">IF(AND(HU74=0,AH74=1,PZ74&gt;0),MIN(PZ74,AI74),0)</f>
        <v>0</v>
      </c>
      <c r="QB74" s="20" t="n">
        <f aca="false">PZ74-QA74</f>
        <v>71185.5872181875</v>
      </c>
      <c r="QC74" s="20" t="n">
        <f aca="false">IF(AND(HU74=0,W74=1,QB74&gt;0),MIN(QB74,X74),0)</f>
        <v>0</v>
      </c>
      <c r="QD74" s="20" t="n">
        <f aca="false">QB74-QC74</f>
        <v>71185.5872181875</v>
      </c>
      <c r="QE74" s="20" t="n">
        <f aca="false">IF(HU74=0,QD74,0)</f>
        <v>71185.5872181875</v>
      </c>
      <c r="QF74" s="20" t="n">
        <f aca="false">OM74+OO74+QC74+QA74+PY74+PW74+PU74+PS74+PQ74+PO74+PM74+PK74+PI74+PG74+PE74+PC74+PA74+OY74+OW74+OU74+OS74+OQ74</f>
        <v>0</v>
      </c>
      <c r="QG74" s="20" t="n">
        <f aca="false">IF(HU74=1,HK74+OJ74+OI74+IF(G74=1,0,OK74),HK74-OM74)</f>
        <v>0</v>
      </c>
      <c r="QH74" s="20" t="n">
        <f aca="false">HL74-OO74</f>
        <v>0</v>
      </c>
      <c r="QI74" s="20" t="n">
        <f aca="false">IF(HU74=1,IF(G74=1,ID74+IE74,HS74),0)</f>
        <v>0</v>
      </c>
      <c r="QJ74" s="20" t="n">
        <f aca="false">IF(HU74=1,IF(G74=1,HS74-ID74-IE74,0),0)</f>
        <v>0</v>
      </c>
      <c r="QK74" s="20" t="n">
        <f aca="false">QG74*(1+GR)</f>
        <v>0</v>
      </c>
      <c r="QL74" s="20" t="n">
        <f aca="false">QH74*(1+AS_Cash)</f>
        <v>0</v>
      </c>
      <c r="QM74" s="20" t="n">
        <f aca="false">IF(W74=1,IF(HU74=1,II74+IL74,X74-QC74)*(1+Slot1_Rate),0)</f>
        <v>0</v>
      </c>
      <c r="QN74" s="20" t="n">
        <f aca="false">IF(AND(HU74=1,W74=1),(IH74+IL74)/F74,0)</f>
        <v>0</v>
      </c>
      <c r="QO74" s="20" t="n">
        <f aca="false">IF(B74=0,IH74+IL74,0)</f>
        <v>0</v>
      </c>
      <c r="QP74" s="20" t="n">
        <f aca="false">IF(B74=0,IF(HU74=1,IJ74,IK74),0)</f>
        <v>0</v>
      </c>
      <c r="QQ74" s="20" t="n">
        <f aca="false">IF(AH74=1,IF(HU74=1,IQ74+IT74,AI74-QA74)*(1+Slot2_Rate),0)</f>
        <v>0</v>
      </c>
      <c r="QR74" s="20" t="n">
        <f aca="false">IF(AND(HU74=1,AH74=1),(IP74+IT74)/F74,0)</f>
        <v>0</v>
      </c>
      <c r="QS74" s="20" t="n">
        <f aca="false">IF(B74=0,IP74+IT74,0)</f>
        <v>0</v>
      </c>
      <c r="QT74" s="20" t="n">
        <f aca="false">IF(B74=0,IF(HU74=1,IR74,IS74),0)</f>
        <v>0</v>
      </c>
      <c r="QU74" s="20" t="n">
        <f aca="false">IF(AR74=1,IF(HU74=1,IY74+JB74,AS74-PY74)*(1+Slot3_Rate),0)</f>
        <v>0</v>
      </c>
      <c r="QV74" s="20" t="n">
        <f aca="false">IF(AND(HU74=1,AR74=1),(IX74+JB74)/F74,0)</f>
        <v>0</v>
      </c>
      <c r="QW74" s="20" t="n">
        <f aca="false">IF(B74=0,IX74+JB74,0)</f>
        <v>0</v>
      </c>
      <c r="QX74" s="20" t="n">
        <f aca="false">IF(B74=0,IF(HU74=1,IZ74,JA74),0)</f>
        <v>0</v>
      </c>
      <c r="QY74" s="20" t="n">
        <f aca="false">IF(BB74=1,IF(HU74=1,JG74+JJ74,BC74-PW74)*(1+Slot4_Rate),0)</f>
        <v>0</v>
      </c>
      <c r="QZ74" s="20" t="n">
        <f aca="false">IF(AND(HU74=1,BB74=1),(JF74+JJ74)/F74,0)</f>
        <v>0</v>
      </c>
      <c r="RA74" s="20" t="n">
        <f aca="false">IF(B74=0,JF74+JJ74,0)</f>
        <v>0</v>
      </c>
      <c r="RB74" s="20" t="n">
        <f aca="false">IF(B74=0,IF(HU74=1,JH74,JI74),0)</f>
        <v>0</v>
      </c>
      <c r="RC74" s="20" t="n">
        <f aca="false">IF(BL74=1,IF(HU74=1,JO74+JR74,BM74-PU74)*(1+Slot5_Rate),0)</f>
        <v>0</v>
      </c>
      <c r="RD74" s="20" t="n">
        <f aca="false">IF(AND(HU74=1,BL74=1),(JN74+JR74)/F74,0)</f>
        <v>0</v>
      </c>
      <c r="RE74" s="20" t="n">
        <f aca="false">IF(B74=0,JN74+JR74,0)</f>
        <v>0</v>
      </c>
      <c r="RF74" s="20" t="n">
        <f aca="false">IF(B74=0,IF(HU74=1,JP74,JQ74),0)</f>
        <v>0</v>
      </c>
      <c r="RG74" s="20" t="n">
        <f aca="false">IF(BV74=1,IF(HU74=1,JW74+JZ74,BW74-PS74)*(1+Slot6_Rate),0)</f>
        <v>0</v>
      </c>
      <c r="RH74" s="20" t="n">
        <f aca="false">IF(AND(HU74=1,BV74=1),(JV74+JZ74)/F74,0)</f>
        <v>0</v>
      </c>
      <c r="RI74" s="20" t="n">
        <f aca="false">IF(B74=0,JV74+JZ74,0)</f>
        <v>0</v>
      </c>
      <c r="RJ74" s="20" t="n">
        <f aca="false">IF(B74=0,IF(HU74=1,JX74,JY74),0)</f>
        <v>0</v>
      </c>
      <c r="RK74" s="20" t="n">
        <f aca="false">IF(CF74=1,IF(HU74=1,KE74+KH74,CG74-PQ74)*(1+Slot7_Rate),0)</f>
        <v>0</v>
      </c>
      <c r="RL74" s="20" t="n">
        <f aca="false">IF(AND(HU74=1,CF74=1),(KD74+KH74)/F74,0)</f>
        <v>0</v>
      </c>
      <c r="RM74" s="20" t="n">
        <f aca="false">IF(B74=0,KD74+KH74,0)</f>
        <v>0</v>
      </c>
      <c r="RN74" s="20" t="n">
        <f aca="false">IF(B74=0,IF(HU74=1,KF74,KG74),0)</f>
        <v>0</v>
      </c>
      <c r="RO74" s="20" t="n">
        <f aca="false">IF(CP74=1,IF(HU74=1,KM74+KP74,CQ74-PO74)*(1+Slot8_Rate),0)</f>
        <v>0</v>
      </c>
      <c r="RP74" s="20" t="n">
        <f aca="false">IF(AND(HU74=1,CP74=1),(KL74+KP74)/F74,0)</f>
        <v>0</v>
      </c>
      <c r="RQ74" s="20" t="n">
        <f aca="false">IF(B74=0,KL74+KP74,0)</f>
        <v>0</v>
      </c>
      <c r="RR74" s="20" t="n">
        <f aca="false">IF(B74=0,IF(HU74=1,KN74,KO74),0)</f>
        <v>0</v>
      </c>
      <c r="RS74" s="20" t="n">
        <f aca="false">IF(CZ74=1,IF(HU74=1,KU74+KX74,DA74-PM74)*(1+Slot9_Rate),0)</f>
        <v>0</v>
      </c>
      <c r="RT74" s="20" t="n">
        <f aca="false">IF(AND(HU74=1,CZ74=1),(KT74+KX74)/F74,0)</f>
        <v>0</v>
      </c>
      <c r="RU74" s="20" t="n">
        <f aca="false">IF(B74=0,KT74+KX74,0)</f>
        <v>0</v>
      </c>
      <c r="RV74" s="20" t="n">
        <f aca="false">IF(B74=0,IF(HU74=1,KV74,KW74),0)</f>
        <v>0</v>
      </c>
      <c r="RW74" s="20" t="n">
        <f aca="false">IF(DJ74=1,IF(HU74=1,LC74+LF74,DK74-PK74)*(1+Slot10_Rate),0)</f>
        <v>0</v>
      </c>
      <c r="RX74" s="20" t="n">
        <f aca="false">IF(AND(HU74=1,DJ74=1),(LB74+LF74)/F74,0)</f>
        <v>0</v>
      </c>
      <c r="RY74" s="20" t="n">
        <f aca="false">IF(B74=0,LB74+LF74,0)</f>
        <v>0</v>
      </c>
      <c r="RZ74" s="20" t="n">
        <f aca="false">IF(B74=0,IF(HU74=1,LD74,LE74),0)</f>
        <v>0</v>
      </c>
      <c r="SA74" s="20" t="n">
        <f aca="false">IF(DT74=1,IF(HU74=1,LK74+LN74,DU74-PI74)*(1+Slot11_Rate),0)</f>
        <v>0</v>
      </c>
      <c r="SB74" s="20" t="n">
        <f aca="false">IF(AND(HU74=1,DT74=1),(LJ74+LN74)/F74,0)</f>
        <v>0</v>
      </c>
      <c r="SC74" s="20" t="n">
        <f aca="false">IF(B74=0,LJ74+LN74,0)</f>
        <v>0</v>
      </c>
      <c r="SD74" s="20" t="n">
        <f aca="false">IF(B74=0,IF(HU74=1,LL74,LM74),0)</f>
        <v>0</v>
      </c>
      <c r="SE74" s="20" t="n">
        <f aca="false">IF(ED74=1,IF(HU74=1,LS74+LV74,EE74-PG74)*(1+Slot12_Rate),0)</f>
        <v>0</v>
      </c>
      <c r="SF74" s="20" t="n">
        <f aca="false">IF(AND(HU74=1,ED74=1),(LR74+LV74)/F74,0)</f>
        <v>0</v>
      </c>
      <c r="SG74" s="20" t="n">
        <f aca="false">IF(B74=0,LR74+LV74,0)</f>
        <v>0</v>
      </c>
      <c r="SH74" s="20" t="n">
        <f aca="false">IF(B74=0,IF(HU74=1,LT74,LU74),0)</f>
        <v>0</v>
      </c>
      <c r="SI74" s="20" t="n">
        <f aca="false">IF(EN74=1,IF(HU74=1,MA74+MD74,EO74-PE74)*(1+Slot13_Rate),0)</f>
        <v>0</v>
      </c>
      <c r="SJ74" s="20" t="n">
        <f aca="false">IF(AND(HU74=1,EN74=1),(LZ74+MD74)/F74,0)</f>
        <v>0</v>
      </c>
      <c r="SK74" s="20" t="n">
        <f aca="false">IF(B74=0,LZ74+MD74,0)</f>
        <v>0</v>
      </c>
      <c r="SL74" s="20" t="n">
        <f aca="false">IF(B74=0,IF(HU74=1,MB74,MC74),0)</f>
        <v>0</v>
      </c>
      <c r="SM74" s="20" t="n">
        <f aca="false">IF(EX74=1,IF(HU74=1,MI74+ML74,EY74-PC74)*(1+Slot14_Rate),0)</f>
        <v>0</v>
      </c>
      <c r="SN74" s="20" t="n">
        <f aca="false">IF(AND(HU74=1,EX74=1),(MH74+ML74)/F74,0)</f>
        <v>0</v>
      </c>
      <c r="SO74" s="20" t="n">
        <f aca="false">IF(B74=0,MH74+ML74,0)</f>
        <v>0</v>
      </c>
      <c r="SP74" s="20" t="n">
        <f aca="false">IF(B74=0,IF(HU74=1,MJ74,MK74),0)</f>
        <v>0</v>
      </c>
      <c r="SQ74" s="20" t="n">
        <f aca="false">IF(FH74=1,IF(HU74=1,MQ74+MT74,FI74-PA74)*(1+Slot15_Rate),0)</f>
        <v>0</v>
      </c>
      <c r="SR74" s="20" t="n">
        <f aca="false">IF(AND(HU74=1,FH74=1),(MP74+MT74)/F74,0)</f>
        <v>0</v>
      </c>
      <c r="SS74" s="20" t="n">
        <f aca="false">IF(B74=0,MP74+MT74,0)</f>
        <v>0</v>
      </c>
      <c r="ST74" s="20" t="n">
        <f aca="false">IF(B74=0,IF(HU74=1,MR74,MS74),0)</f>
        <v>0</v>
      </c>
      <c r="SU74" s="20" t="n">
        <f aca="false">IF(FR74=1,IF(HU74=1,MY74+NB74,FS74-OY74)*(1+Slot16_Rate),0)</f>
        <v>0</v>
      </c>
      <c r="SV74" s="20" t="n">
        <f aca="false">IF(AND(HU74=1,FR74=1),(MX74+NB74)/F74,0)</f>
        <v>0</v>
      </c>
      <c r="SW74" s="20" t="n">
        <f aca="false">IF(B74=0,MX74+NB74,0)</f>
        <v>0</v>
      </c>
      <c r="SX74" s="20" t="n">
        <f aca="false">IF(B74=0,IF(HU74=1,MZ74,NA74),0)</f>
        <v>0</v>
      </c>
      <c r="SY74" s="20" t="n">
        <f aca="false">IF(GB74=1,IF(HU74=1,NG74+NJ74,GC74-OW74)*(1+Slot17_Rate),0)</f>
        <v>0</v>
      </c>
      <c r="SZ74" s="20" t="n">
        <f aca="false">IF(AND(HU74=1,GB74=1),(NF74+NJ74)/F74,0)</f>
        <v>0</v>
      </c>
      <c r="TA74" s="20" t="n">
        <f aca="false">IF(B74=0,NF74+NJ74,0)</f>
        <v>0</v>
      </c>
      <c r="TB74" s="20" t="n">
        <f aca="false">IF(B74=0,IF(HU74=1,NH74,NI74),0)</f>
        <v>0</v>
      </c>
      <c r="TC74" s="20" t="n">
        <f aca="false">IF(GL74=1,IF(HU74=1,NO74+NR74,GM74-OU74)*(1+Slot18_Rate),0)</f>
        <v>0</v>
      </c>
      <c r="TD74" s="20" t="n">
        <f aca="false">IF(AND(HU74=1,GL74=1),(NN74+NR74)/F74,0)</f>
        <v>0</v>
      </c>
      <c r="TE74" s="20" t="n">
        <f aca="false">IF(B74=0,NN74+NR74,0)</f>
        <v>0</v>
      </c>
      <c r="TF74" s="20" t="n">
        <f aca="false">IF(B74=0,IF(HU74=1,NP74,NQ74),0)</f>
        <v>0</v>
      </c>
      <c r="TG74" s="20" t="n">
        <f aca="false">IF(GV74=1,IF(HU74=1,NW74+NZ74,GW74-OS74)*(1+Slot19_Rate),0)</f>
        <v>0</v>
      </c>
      <c r="TH74" s="20" t="n">
        <f aca="false">IF(AND(HU74=1,GV74=1),(NV74+NZ74)/F74,0)</f>
        <v>0</v>
      </c>
      <c r="TI74" s="20" t="n">
        <f aca="false">IF(B74=0,NV74+NZ74,0)</f>
        <v>0</v>
      </c>
      <c r="TJ74" s="20" t="n">
        <f aca="false">IF(B74=0,IF(HU74=1,NX74,NY74),0)</f>
        <v>0</v>
      </c>
      <c r="TK74" s="20" t="n">
        <f aca="false">IF(HF74=1,IF(HU74=1,OE74+OH74,HG74-OQ74)*(1+Slot20_Rate),0)</f>
        <v>0</v>
      </c>
      <c r="TL74" s="20" t="n">
        <f aca="false">IF(AND(HU74=1,HF74=1),(OD74+OH74)/F74,0)</f>
        <v>0</v>
      </c>
      <c r="TM74" s="20" t="n">
        <f aca="false">IF(B74=0,OD74+OH74,0)</f>
        <v>0</v>
      </c>
      <c r="TN74" s="20" t="n">
        <f aca="false">IF(B74=0,IF(HU74=1,OF74,OG74),0)</f>
        <v>0</v>
      </c>
      <c r="TO74" s="20" t="n">
        <f aca="false">QK74+QL74+QM74+QQ74+QU74+QY74+RC74+RG74+RK74+RO74+RS74+RW74+SA74+SE74+SI74+SM74+SQ74+SU74+SY74+TC74+TG74+TK74</f>
        <v>0</v>
      </c>
      <c r="TP74" s="20" t="n">
        <f aca="false">QE74+HP74</f>
        <v>71185.5872181875</v>
      </c>
      <c r="TQ74" s="20" t="n">
        <f aca="false">I74+S74</f>
        <v>176619.736660592</v>
      </c>
      <c r="TR74" s="20" t="n">
        <f aca="false">1-G74</f>
        <v>1</v>
      </c>
      <c r="TS74" s="20" t="n">
        <f aca="false">IF(AND(RG_Exists=1,G74=0,C74=1),I74,0)</f>
        <v>0</v>
      </c>
      <c r="TT74" s="20" t="n">
        <f aca="false">IF(AND(RG_Exists=1,G74=0,C74=1),I74-MIN(QE74,I74),0)</f>
        <v>0</v>
      </c>
      <c r="TU74" s="20" t="n">
        <f aca="false">'Plan pay &amp; tax'!AD300</f>
        <v>0</v>
      </c>
      <c r="TV74" s="20" t="n">
        <f aca="false">IF(AND(C74=1,QE74&gt;MAX(PR_Short1,TQ74*PR_Short2)),1,0)</f>
        <v>0</v>
      </c>
      <c r="TW74" s="20" t="n">
        <f aca="false">MIN(H74,I74+S74)</f>
        <v>105434.149442404</v>
      </c>
      <c r="TX74" s="20" t="n">
        <f aca="false">QF74+MAX(0,HQ74-HP74)</f>
        <v>0</v>
      </c>
      <c r="TY74" s="20" t="n">
        <f aca="false">QE74+HP74</f>
        <v>71185.5872181875</v>
      </c>
      <c r="TZ74" s="20" t="n">
        <f aca="false">IF(AND(C74=1,TY74&gt;PR_MinShort),1,0)</f>
        <v>0</v>
      </c>
      <c r="UA74" s="20" t="n">
        <f aca="false">IF(AND(C74=1,TZ74=0,TX74&gt;PR_MinShort),1,0)</f>
        <v>0</v>
      </c>
      <c r="UB74" s="20" t="n">
        <f aca="false">IF(AND(C74=1,QE74&gt;PR_MinShort),1,0)</f>
        <v>0</v>
      </c>
      <c r="UC74" s="20" t="n">
        <f aca="false">IF(AND(C74=1,QF74&gt;1,UJ74=0),1,0)</f>
        <v>0</v>
      </c>
      <c r="UD74" s="20" t="str">
        <f aca="false">IF(C74=0,"",IF(UJ74=1,"Gap to plan for: short "&amp;"€"&amp;TEXT(ROUND(TP74,0),"#,##0"),IF(QF74&gt;1,"Using savings","Comfortable")))</f>
        <v/>
      </c>
      <c r="UE74" s="20" t="n">
        <f aca="false">IF(AND(INT(D74/10)*10=90,B74&gt;0),80,INT(D74/10)*10)</f>
        <v>100</v>
      </c>
      <c r="UF74" s="20" t="n">
        <f aca="false">IF(B74=0,1,IF(UE74&lt;&gt;UE73,UF73+1,UF73))</f>
        <v>7</v>
      </c>
      <c r="UG74" s="20" t="n">
        <f aca="false">IF(AND(C74=1,G74=1,QE74&gt;MAX(PR_Short1,TQ74*PR_Short2)),1,0)</f>
        <v>0</v>
      </c>
      <c r="UH74" s="20" t="n">
        <f aca="false">TR74*TV74</f>
        <v>0</v>
      </c>
      <c r="UI74" s="20" t="n">
        <f aca="false">IF(AND(V74=1,Slot1_PctLow=1),1,0)+IF(AND(AG74=1,Slot2_PctLow=1),1,0)+IF(AND(AQ74=1,Slot3_PctLow=1),1,0)+IF(AND(BA74=1,Slot4_PctLow=1),1,0)+IF(AND(BK74=1,Slot5_PctLow=1),1,0)+IF(AND(BU74=1,Slot6_PctLow=1),1,0)+IF(AND(CE74=1,Slot7_PctLow=1),1,0)+IF(AND(CO74=1,Slot8_PctLow=1),1,0)+IF(AND(CY74=1,Slot9_PctLow=1),1,0)+IF(AND(DI74=1,Slot10_PctLow=1),1,0)+IF(AND(DS74=1,Slot11_PctLow=1),1,0)+IF(AND(EC74=1,Slot12_PctLow=1),1,0)+IF(AND(EM74=1,Slot13_PctLow=1),1,0)+IF(AND(EW74=1,Slot14_PctLow=1),1,0)+IF(AND(FG74=1,Slot15_PctLow=1),1,0)+IF(AND(FQ74=1,Slot16_PctLow=1),1,0)+IF(AND(GA74=1,Slot17_PctLow=1),1,0)+IF(AND(GK74=1,Slot18_PctLow=1),1,0)+IF(AND(GU74=1,Slot19_PctLow=1),1,0)+IF(AND(HE74=1,Slot20_PctLow=1),1,0)</f>
        <v>0</v>
      </c>
      <c r="UJ74" s="20" t="n">
        <f aca="false">IF(C74=1,IF(OR(TV74=1,UI74&gt;0),1,0),0)</f>
        <v>0</v>
      </c>
    </row>
    <row r="75" customFormat="false" ht="15" hidden="false" customHeight="true" outlineLevel="0" collapsed="false">
      <c r="B75" s="20" t="n">
        <v>67</v>
      </c>
      <c r="C75" s="20" t="n">
        <f aca="false">IF(B75&lt;=F_N,1,0)</f>
        <v>0</v>
      </c>
      <c r="D75" s="20" t="n">
        <f aca="false">'Plan pay &amp; tax'!C301</f>
        <v>105</v>
      </c>
      <c r="E75" s="20" t="str">
        <f aca="false">IF($C75=1,"Income tax "&amp;TEXT(N('Plan pay &amp; tax'!BK301),"#,##0")&amp;"; USC "&amp;TEXT(N('Plan pay &amp; tax'!BM301)+N('Plan pay &amp; tax'!BO301),"#,##0")&amp;"; PRSI "&amp;TEXT(N('Plan pay &amp; tax'!BP301)+N('Plan pay &amp; tax'!BQ301),"#,##0")&amp;". DIRT and exit tax are inside the growth rates here.","")</f>
        <v/>
      </c>
      <c r="F75" s="44" t="n">
        <f aca="false">'Plan pay &amp; tax'!E301</f>
        <v>3.76887304171137</v>
      </c>
      <c r="G75" s="20" t="n">
        <f aca="false">'Plan pay &amp; tax'!G301</f>
        <v>0</v>
      </c>
      <c r="H75" s="20" t="n">
        <f aca="false">'Plan pay &amp; tax'!BT301-'Plan pay &amp; tax'!BS301-'Plan pay &amp; tax'!R301</f>
        <v>107542.832431252</v>
      </c>
      <c r="I75" s="20" t="n">
        <f aca="false">IF(G75=1,F_CostsM*12,IF(RG_Exists=1,RG_Amount,F_CostsM*12*AS_RetireSpend))*F75+F_OneOffY*F75</f>
        <v>180152.131393804</v>
      </c>
      <c r="J75" s="20" t="n">
        <f aca="false">HR74</f>
        <v>0</v>
      </c>
      <c r="K75" s="20" t="n">
        <f aca="false">IF(J75&gt;1,'Plan debt months'!AC75,0)</f>
        <v>0</v>
      </c>
      <c r="L75" s="20" t="n">
        <f aca="false">IF(J75&gt;1,'Plan debt months'!AB75,J75)</f>
        <v>0</v>
      </c>
      <c r="M75" s="20" t="n">
        <f aca="false">O74</f>
        <v>0</v>
      </c>
      <c r="N75" s="20" t="n">
        <f aca="false">IF(M75&gt;1,'Plan debt months'!BD75,0)</f>
        <v>0</v>
      </c>
      <c r="O75" s="20" t="n">
        <f aca="false">IF(M75&gt;1,'Plan debt months'!BC75,M75)</f>
        <v>0</v>
      </c>
      <c r="P75" s="20" t="n">
        <f aca="false">R74</f>
        <v>0</v>
      </c>
      <c r="Q75" s="20" t="n">
        <f aca="false">IF(P75&gt;1,'Plan debt months'!CE75,0)</f>
        <v>0</v>
      </c>
      <c r="R75" s="20" t="n">
        <f aca="false">IF(P75&gt;1,'Plan debt months'!CD75,P75)</f>
        <v>0</v>
      </c>
      <c r="S75" s="20" t="n">
        <f aca="false">K75+N75+Q75</f>
        <v>0</v>
      </c>
      <c r="T75" s="20" t="n">
        <f aca="false">QK74+'Plan pay &amp; tax'!Y301</f>
        <v>0</v>
      </c>
      <c r="U75" s="20" t="n">
        <f aca="false">QK74</f>
        <v>0</v>
      </c>
      <c r="V75" s="20" t="n">
        <f aca="false">IF(AND(Slot1_On=1,D75=Slot1_Age),1,0)</f>
        <v>0</v>
      </c>
      <c r="W75" s="20" t="n">
        <f aca="false">IF(AND(Slot1_On=1,Slot1_Age&gt;D75),1,0)</f>
        <v>0</v>
      </c>
      <c r="X75" s="20" t="n">
        <f aca="false">QM74</f>
        <v>0</v>
      </c>
      <c r="Y75" s="20" t="n">
        <f aca="false">V75*MIN(Slot1_Cost,X75)</f>
        <v>0</v>
      </c>
      <c r="Z75" s="20" t="n">
        <f aca="false">V75*Slot1_SpendLike*MIN(Slot1_Cost-Y75,T75)</f>
        <v>0</v>
      </c>
      <c r="AA75" s="20" t="n">
        <f aca="false">Y75+Z75</f>
        <v>0</v>
      </c>
      <c r="AB75" s="20" t="n">
        <f aca="false">T75-Z75+V75*IF(Slot1_SpendLike=1,X75-Y75,IF(Slot1_PotFree=1,X75,0))</f>
        <v>0</v>
      </c>
      <c r="AC75" s="20" t="n">
        <f aca="false">AF75+V75*Slot1_BufPot*X75</f>
        <v>0</v>
      </c>
      <c r="AD75" s="20" t="n">
        <f aca="false">IF(AND(V75=1,Slot1_IsMfree=1),IF(AA75&gt;=Slot1_Cost-1,0,MAX(0,L75-AA75)),L75)</f>
        <v>0</v>
      </c>
      <c r="AE75" s="20" t="n">
        <f aca="false">V75*(Slot1_Cost-AA75)</f>
        <v>0</v>
      </c>
      <c r="AF75" s="20" t="n">
        <f aca="false">QL74</f>
        <v>0</v>
      </c>
      <c r="AG75" s="20" t="n">
        <f aca="false">IF(AND(Slot2_On=1,D75=Slot2_Age),1,0)</f>
        <v>0</v>
      </c>
      <c r="AH75" s="20" t="n">
        <f aca="false">IF(AND(Slot2_On=1,Slot2_Age&gt;D75),1,0)</f>
        <v>0</v>
      </c>
      <c r="AI75" s="20" t="n">
        <f aca="false">QQ74</f>
        <v>0</v>
      </c>
      <c r="AJ75" s="20" t="n">
        <f aca="false">AG75*MIN(Slot2_Cost,AI75)</f>
        <v>0</v>
      </c>
      <c r="AK75" s="20" t="n">
        <f aca="false">AG75*Slot2_SpendLike*MIN(Slot2_Cost-AJ75,AB75)</f>
        <v>0</v>
      </c>
      <c r="AL75" s="20" t="n">
        <f aca="false">AJ75+AK75</f>
        <v>0</v>
      </c>
      <c r="AM75" s="20" t="n">
        <f aca="false">AB75-AK75+AG75*IF(Slot2_SpendLike=1,AI75-AJ75,IF(Slot2_PotFree=1,AI75,0))</f>
        <v>0</v>
      </c>
      <c r="AN75" s="20" t="n">
        <f aca="false">AC75+AG75*Slot2_BufPot*AI75</f>
        <v>0</v>
      </c>
      <c r="AO75" s="20" t="n">
        <f aca="false">IF(AND(AG75=1,Slot2_IsMfree=1),IF(AL75&gt;=Slot2_Cost-1,0,MAX(0,AD75-AL75)),AD75)</f>
        <v>0</v>
      </c>
      <c r="AP75" s="20" t="n">
        <f aca="false">AG75*(Slot2_Cost-AL75)</f>
        <v>0</v>
      </c>
      <c r="AQ75" s="20" t="n">
        <f aca="false">IF(AND(Slot3_On=1,D75=Slot3_Age),1,0)</f>
        <v>0</v>
      </c>
      <c r="AR75" s="20" t="n">
        <f aca="false">IF(AND(Slot3_On=1,Slot3_Age&gt;D75),1,0)</f>
        <v>0</v>
      </c>
      <c r="AS75" s="20" t="n">
        <f aca="false">QU74</f>
        <v>0</v>
      </c>
      <c r="AT75" s="20" t="n">
        <f aca="false">AQ75*MIN(Slot3_Cost,AS75)</f>
        <v>0</v>
      </c>
      <c r="AU75" s="20" t="n">
        <f aca="false">AQ75*Slot3_SpendLike*MIN(Slot3_Cost-AT75,AM75)</f>
        <v>0</v>
      </c>
      <c r="AV75" s="20" t="n">
        <f aca="false">AT75+AU75</f>
        <v>0</v>
      </c>
      <c r="AW75" s="20" t="n">
        <f aca="false">AM75-AU75+AQ75*IF(Slot3_SpendLike=1,AS75-AT75,IF(Slot3_PotFree=1,AS75,0))</f>
        <v>0</v>
      </c>
      <c r="AX75" s="20" t="n">
        <f aca="false">AN75+AQ75*Slot3_BufPot*AS75</f>
        <v>0</v>
      </c>
      <c r="AY75" s="20" t="n">
        <f aca="false">IF(AND(AQ75=1,Slot3_IsMfree=1),IF(AV75&gt;=Slot3_Cost-1,0,MAX(0,AO75-AV75)),AO75)</f>
        <v>0</v>
      </c>
      <c r="AZ75" s="20" t="n">
        <f aca="false">AQ75*(Slot3_Cost-AV75)</f>
        <v>0</v>
      </c>
      <c r="BA75" s="20" t="n">
        <f aca="false">IF(AND(Slot4_On=1,D75=Slot4_Age),1,0)</f>
        <v>0</v>
      </c>
      <c r="BB75" s="20" t="n">
        <f aca="false">IF(AND(Slot4_On=1,Slot4_Age&gt;D75),1,0)</f>
        <v>0</v>
      </c>
      <c r="BC75" s="20" t="n">
        <f aca="false">QY74</f>
        <v>0</v>
      </c>
      <c r="BD75" s="20" t="n">
        <f aca="false">BA75*MIN(Slot4_Cost,BC75)</f>
        <v>0</v>
      </c>
      <c r="BE75" s="20" t="n">
        <f aca="false">BA75*Slot4_SpendLike*MIN(Slot4_Cost-BD75,AW75)</f>
        <v>0</v>
      </c>
      <c r="BF75" s="20" t="n">
        <f aca="false">BD75+BE75</f>
        <v>0</v>
      </c>
      <c r="BG75" s="20" t="n">
        <f aca="false">AW75-BE75+BA75*IF(Slot4_SpendLike=1,BC75-BD75,IF(Slot4_PotFree=1,BC75,0))</f>
        <v>0</v>
      </c>
      <c r="BH75" s="20" t="n">
        <f aca="false">AX75+BA75*Slot4_BufPot*BC75</f>
        <v>0</v>
      </c>
      <c r="BI75" s="20" t="n">
        <f aca="false">IF(AND(BA75=1,Slot4_IsMfree=1),IF(BF75&gt;=Slot4_Cost-1,0,MAX(0,AY75-BF75)),AY75)</f>
        <v>0</v>
      </c>
      <c r="BJ75" s="20" t="n">
        <f aca="false">BA75*(Slot4_Cost-BF75)</f>
        <v>0</v>
      </c>
      <c r="BK75" s="20" t="n">
        <f aca="false">IF(AND(Slot5_On=1,D75=Slot5_Age),1,0)</f>
        <v>0</v>
      </c>
      <c r="BL75" s="20" t="n">
        <f aca="false">IF(AND(Slot5_On=1,Slot5_Age&gt;D75),1,0)</f>
        <v>0</v>
      </c>
      <c r="BM75" s="20" t="n">
        <f aca="false">RC74</f>
        <v>0</v>
      </c>
      <c r="BN75" s="20" t="n">
        <f aca="false">BK75*MIN(Slot5_Cost,BM75)</f>
        <v>0</v>
      </c>
      <c r="BO75" s="20" t="n">
        <f aca="false">BK75*Slot5_SpendLike*MIN(Slot5_Cost-BN75,BG75)</f>
        <v>0</v>
      </c>
      <c r="BP75" s="20" t="n">
        <f aca="false">BN75+BO75</f>
        <v>0</v>
      </c>
      <c r="BQ75" s="20" t="n">
        <f aca="false">BG75-BO75+BK75*IF(Slot5_SpendLike=1,BM75-BN75,IF(Slot5_PotFree=1,BM75,0))</f>
        <v>0</v>
      </c>
      <c r="BR75" s="20" t="n">
        <f aca="false">BH75+BK75*Slot5_BufPot*BM75</f>
        <v>0</v>
      </c>
      <c r="BS75" s="20" t="n">
        <f aca="false">IF(AND(BK75=1,Slot5_IsMfree=1),IF(BP75&gt;=Slot5_Cost-1,0,MAX(0,BI75-BP75)),BI75)</f>
        <v>0</v>
      </c>
      <c r="BT75" s="20" t="n">
        <f aca="false">BK75*(Slot5_Cost-BP75)</f>
        <v>0</v>
      </c>
      <c r="BU75" s="20" t="n">
        <f aca="false">IF(AND(Slot6_On=1,D75=Slot6_Age),1,0)</f>
        <v>0</v>
      </c>
      <c r="BV75" s="20" t="n">
        <f aca="false">IF(AND(Slot6_On=1,Slot6_Age&gt;D75),1,0)</f>
        <v>0</v>
      </c>
      <c r="BW75" s="20" t="n">
        <f aca="false">RG74</f>
        <v>0</v>
      </c>
      <c r="BX75" s="20" t="n">
        <f aca="false">BU75*MIN(Slot6_Cost,BW75)</f>
        <v>0</v>
      </c>
      <c r="BY75" s="20" t="n">
        <f aca="false">BU75*Slot6_SpendLike*MIN(Slot6_Cost-BX75,BQ75)</f>
        <v>0</v>
      </c>
      <c r="BZ75" s="20" t="n">
        <f aca="false">BX75+BY75</f>
        <v>0</v>
      </c>
      <c r="CA75" s="20" t="n">
        <f aca="false">BQ75-BY75+BU75*IF(Slot6_SpendLike=1,BW75-BX75,IF(Slot6_PotFree=1,BW75,0))</f>
        <v>0</v>
      </c>
      <c r="CB75" s="20" t="n">
        <f aca="false">BR75+BU75*Slot6_BufPot*BW75</f>
        <v>0</v>
      </c>
      <c r="CC75" s="20" t="n">
        <f aca="false">IF(AND(BU75=1,Slot6_IsMfree=1),IF(BZ75&gt;=Slot6_Cost-1,0,MAX(0,BS75-BZ75)),BS75)</f>
        <v>0</v>
      </c>
      <c r="CD75" s="20" t="n">
        <f aca="false">BU75*(Slot6_Cost-BZ75)</f>
        <v>0</v>
      </c>
      <c r="CE75" s="20" t="n">
        <f aca="false">IF(AND(Slot7_On=1,D75=Slot7_Age),1,0)</f>
        <v>0</v>
      </c>
      <c r="CF75" s="20" t="n">
        <f aca="false">IF(AND(Slot7_On=1,Slot7_Age&gt;D75),1,0)</f>
        <v>0</v>
      </c>
      <c r="CG75" s="20" t="n">
        <f aca="false">RK74</f>
        <v>0</v>
      </c>
      <c r="CH75" s="20" t="n">
        <f aca="false">CE75*MIN(Slot7_Cost,CG75)</f>
        <v>0</v>
      </c>
      <c r="CI75" s="20" t="n">
        <f aca="false">CE75*Slot7_SpendLike*MIN(Slot7_Cost-CH75,CA75)</f>
        <v>0</v>
      </c>
      <c r="CJ75" s="20" t="n">
        <f aca="false">CH75+CI75</f>
        <v>0</v>
      </c>
      <c r="CK75" s="20" t="n">
        <f aca="false">CA75-CI75+CE75*IF(Slot7_SpendLike=1,CG75-CH75,IF(Slot7_PotFree=1,CG75,0))</f>
        <v>0</v>
      </c>
      <c r="CL75" s="20" t="n">
        <f aca="false">CB75+CE75*Slot7_BufPot*CG75</f>
        <v>0</v>
      </c>
      <c r="CM75" s="20" t="n">
        <f aca="false">IF(AND(CE75=1,Slot7_IsMfree=1),IF(CJ75&gt;=Slot7_Cost-1,0,MAX(0,CC75-CJ75)),CC75)</f>
        <v>0</v>
      </c>
      <c r="CN75" s="20" t="n">
        <f aca="false">CE75*(Slot7_Cost-CJ75)</f>
        <v>0</v>
      </c>
      <c r="CO75" s="20" t="n">
        <f aca="false">IF(AND(Slot8_On=1,D75=Slot8_Age),1,0)</f>
        <v>0</v>
      </c>
      <c r="CP75" s="20" t="n">
        <f aca="false">IF(AND(Slot8_On=1,Slot8_Age&gt;D75),1,0)</f>
        <v>0</v>
      </c>
      <c r="CQ75" s="20" t="n">
        <f aca="false">RO74</f>
        <v>0</v>
      </c>
      <c r="CR75" s="20" t="n">
        <f aca="false">CO75*MIN(Slot8_Cost,CQ75)</f>
        <v>0</v>
      </c>
      <c r="CS75" s="20" t="n">
        <f aca="false">CO75*Slot8_SpendLike*MIN(Slot8_Cost-CR75,CK75)</f>
        <v>0</v>
      </c>
      <c r="CT75" s="20" t="n">
        <f aca="false">CR75+CS75</f>
        <v>0</v>
      </c>
      <c r="CU75" s="20" t="n">
        <f aca="false">CK75-CS75+CO75*IF(Slot8_SpendLike=1,CQ75-CR75,IF(Slot8_PotFree=1,CQ75,0))</f>
        <v>0</v>
      </c>
      <c r="CV75" s="20" t="n">
        <f aca="false">CL75+CO75*Slot8_BufPot*CQ75</f>
        <v>0</v>
      </c>
      <c r="CW75" s="20" t="n">
        <f aca="false">IF(AND(CO75=1,Slot8_IsMfree=1),IF(CT75&gt;=Slot8_Cost-1,0,MAX(0,CM75-CT75)),CM75)</f>
        <v>0</v>
      </c>
      <c r="CX75" s="20" t="n">
        <f aca="false">CO75*(Slot8_Cost-CT75)</f>
        <v>0</v>
      </c>
      <c r="CY75" s="20" t="n">
        <f aca="false">IF(AND(Slot9_On=1,D75=Slot9_Age),1,0)</f>
        <v>0</v>
      </c>
      <c r="CZ75" s="20" t="n">
        <f aca="false">IF(AND(Slot9_On=1,Slot9_Age&gt;D75),1,0)</f>
        <v>0</v>
      </c>
      <c r="DA75" s="20" t="n">
        <f aca="false">RS74</f>
        <v>0</v>
      </c>
      <c r="DB75" s="20" t="n">
        <f aca="false">CY75*MIN(Slot9_Cost,DA75)</f>
        <v>0</v>
      </c>
      <c r="DC75" s="20" t="n">
        <f aca="false">CY75*Slot9_SpendLike*MIN(Slot9_Cost-DB75,CU75)</f>
        <v>0</v>
      </c>
      <c r="DD75" s="20" t="n">
        <f aca="false">DB75+DC75</f>
        <v>0</v>
      </c>
      <c r="DE75" s="20" t="n">
        <f aca="false">CU75-DC75+CY75*IF(Slot9_SpendLike=1,DA75-DB75,IF(Slot9_PotFree=1,DA75,0))</f>
        <v>0</v>
      </c>
      <c r="DF75" s="20" t="n">
        <f aca="false">CV75+CY75*Slot9_BufPot*DA75</f>
        <v>0</v>
      </c>
      <c r="DG75" s="20" t="n">
        <f aca="false">IF(AND(CY75=1,Slot9_IsMfree=1),IF(DD75&gt;=Slot9_Cost-1,0,MAX(0,CW75-DD75)),CW75)</f>
        <v>0</v>
      </c>
      <c r="DH75" s="20" t="n">
        <f aca="false">CY75*(Slot9_Cost-DD75)</f>
        <v>0</v>
      </c>
      <c r="DI75" s="20" t="n">
        <f aca="false">IF(AND(Slot10_On=1,D75=Slot10_Age),1,0)</f>
        <v>0</v>
      </c>
      <c r="DJ75" s="20" t="n">
        <f aca="false">IF(AND(Slot10_On=1,Slot10_Age&gt;D75),1,0)</f>
        <v>0</v>
      </c>
      <c r="DK75" s="20" t="n">
        <f aca="false">RW74</f>
        <v>0</v>
      </c>
      <c r="DL75" s="20" t="n">
        <f aca="false">DI75*MIN(Slot10_Cost,DK75)</f>
        <v>0</v>
      </c>
      <c r="DM75" s="20" t="n">
        <f aca="false">DI75*Slot10_SpendLike*MIN(Slot10_Cost-DL75,DE75)</f>
        <v>0</v>
      </c>
      <c r="DN75" s="20" t="n">
        <f aca="false">DL75+DM75</f>
        <v>0</v>
      </c>
      <c r="DO75" s="20" t="n">
        <f aca="false">DE75-DM75+DI75*IF(Slot10_SpendLike=1,DK75-DL75,IF(Slot10_PotFree=1,DK75,0))</f>
        <v>0</v>
      </c>
      <c r="DP75" s="20" t="n">
        <f aca="false">DF75+DI75*Slot10_BufPot*DK75</f>
        <v>0</v>
      </c>
      <c r="DQ75" s="20" t="n">
        <f aca="false">IF(AND(DI75=1,Slot10_IsMfree=1),IF(DN75&gt;=Slot10_Cost-1,0,MAX(0,DG75-DN75)),DG75)</f>
        <v>0</v>
      </c>
      <c r="DR75" s="20" t="n">
        <f aca="false">DI75*(Slot10_Cost-DN75)</f>
        <v>0</v>
      </c>
      <c r="DS75" s="20" t="n">
        <f aca="false">IF(AND(Slot11_On=1,D75=Slot11_Age),1,0)</f>
        <v>0</v>
      </c>
      <c r="DT75" s="20" t="n">
        <f aca="false">IF(AND(Slot11_On=1,Slot11_Age&gt;D75),1,0)</f>
        <v>0</v>
      </c>
      <c r="DU75" s="20" t="n">
        <f aca="false">SA74</f>
        <v>0</v>
      </c>
      <c r="DV75" s="20" t="n">
        <f aca="false">DS75*MIN(Slot11_Cost,DU75)</f>
        <v>0</v>
      </c>
      <c r="DW75" s="20" t="n">
        <f aca="false">DS75*Slot11_SpendLike*MIN(Slot11_Cost-DV75,DO75)</f>
        <v>0</v>
      </c>
      <c r="DX75" s="20" t="n">
        <f aca="false">DV75+DW75</f>
        <v>0</v>
      </c>
      <c r="DY75" s="20" t="n">
        <f aca="false">DO75-DW75+DS75*IF(Slot11_SpendLike=1,DU75-DV75,IF(Slot11_PotFree=1,DU75,0))</f>
        <v>0</v>
      </c>
      <c r="DZ75" s="20" t="n">
        <f aca="false">DP75+DS75*Slot11_BufPot*DU75</f>
        <v>0</v>
      </c>
      <c r="EA75" s="20" t="n">
        <f aca="false">IF(AND(DS75=1,Slot11_IsMfree=1),IF(DX75&gt;=Slot11_Cost-1,0,MAX(0,DQ75-DX75)),DQ75)</f>
        <v>0</v>
      </c>
      <c r="EB75" s="20" t="n">
        <f aca="false">DS75*(Slot11_Cost-DX75)</f>
        <v>0</v>
      </c>
      <c r="EC75" s="20" t="n">
        <f aca="false">IF(AND(Slot12_On=1,D75=Slot12_Age),1,0)</f>
        <v>0</v>
      </c>
      <c r="ED75" s="20" t="n">
        <f aca="false">IF(AND(Slot12_On=1,Slot12_Age&gt;D75),1,0)</f>
        <v>0</v>
      </c>
      <c r="EE75" s="20" t="n">
        <f aca="false">SE74</f>
        <v>0</v>
      </c>
      <c r="EF75" s="20" t="n">
        <f aca="false">EC75*MIN(Slot12_Cost,EE75)</f>
        <v>0</v>
      </c>
      <c r="EG75" s="20" t="n">
        <f aca="false">EC75*Slot12_SpendLike*MIN(Slot12_Cost-EF75,DY75)</f>
        <v>0</v>
      </c>
      <c r="EH75" s="20" t="n">
        <f aca="false">EF75+EG75</f>
        <v>0</v>
      </c>
      <c r="EI75" s="20" t="n">
        <f aca="false">DY75-EG75+EC75*IF(Slot12_SpendLike=1,EE75-EF75,IF(Slot12_PotFree=1,EE75,0))</f>
        <v>0</v>
      </c>
      <c r="EJ75" s="20" t="n">
        <f aca="false">DZ75+EC75*Slot12_BufPot*EE75</f>
        <v>0</v>
      </c>
      <c r="EK75" s="20" t="n">
        <f aca="false">IF(AND(EC75=1,Slot12_IsMfree=1),IF(EH75&gt;=Slot12_Cost-1,0,MAX(0,EA75-EH75)),EA75)</f>
        <v>0</v>
      </c>
      <c r="EL75" s="20" t="n">
        <f aca="false">EC75*(Slot12_Cost-EH75)</f>
        <v>0</v>
      </c>
      <c r="EM75" s="20" t="n">
        <f aca="false">IF(AND(Slot13_On=1,D75=Slot13_Age),1,0)</f>
        <v>0</v>
      </c>
      <c r="EN75" s="20" t="n">
        <f aca="false">IF(AND(Slot13_On=1,Slot13_Age&gt;D75),1,0)</f>
        <v>0</v>
      </c>
      <c r="EO75" s="20" t="n">
        <f aca="false">SI74</f>
        <v>0</v>
      </c>
      <c r="EP75" s="20" t="n">
        <f aca="false">EM75*MIN(Slot13_Cost,EO75)</f>
        <v>0</v>
      </c>
      <c r="EQ75" s="20" t="n">
        <f aca="false">EM75*Slot13_SpendLike*MIN(Slot13_Cost-EP75,EI75)</f>
        <v>0</v>
      </c>
      <c r="ER75" s="20" t="n">
        <f aca="false">EP75+EQ75</f>
        <v>0</v>
      </c>
      <c r="ES75" s="20" t="n">
        <f aca="false">EI75-EQ75+EM75*IF(Slot13_SpendLike=1,EO75-EP75,IF(Slot13_PotFree=1,EO75,0))</f>
        <v>0</v>
      </c>
      <c r="ET75" s="20" t="n">
        <f aca="false">EJ75+EM75*Slot13_BufPot*EO75</f>
        <v>0</v>
      </c>
      <c r="EU75" s="20" t="n">
        <f aca="false">IF(AND(EM75=1,Slot13_IsMfree=1),IF(ER75&gt;=Slot13_Cost-1,0,MAX(0,EK75-ER75)),EK75)</f>
        <v>0</v>
      </c>
      <c r="EV75" s="20" t="n">
        <f aca="false">EM75*(Slot13_Cost-ER75)</f>
        <v>0</v>
      </c>
      <c r="EW75" s="20" t="n">
        <f aca="false">IF(AND(Slot14_On=1,D75=Slot14_Age),1,0)</f>
        <v>0</v>
      </c>
      <c r="EX75" s="20" t="n">
        <f aca="false">IF(AND(Slot14_On=1,Slot14_Age&gt;D75),1,0)</f>
        <v>0</v>
      </c>
      <c r="EY75" s="20" t="n">
        <f aca="false">SM74</f>
        <v>0</v>
      </c>
      <c r="EZ75" s="20" t="n">
        <f aca="false">EW75*MIN(Slot14_Cost,EY75)</f>
        <v>0</v>
      </c>
      <c r="FA75" s="20" t="n">
        <f aca="false">EW75*Slot14_SpendLike*MIN(Slot14_Cost-EZ75,ES75)</f>
        <v>0</v>
      </c>
      <c r="FB75" s="20" t="n">
        <f aca="false">EZ75+FA75</f>
        <v>0</v>
      </c>
      <c r="FC75" s="20" t="n">
        <f aca="false">ES75-FA75+EW75*IF(Slot14_SpendLike=1,EY75-EZ75,IF(Slot14_PotFree=1,EY75,0))</f>
        <v>0</v>
      </c>
      <c r="FD75" s="20" t="n">
        <f aca="false">ET75+EW75*Slot14_BufPot*EY75</f>
        <v>0</v>
      </c>
      <c r="FE75" s="20" t="n">
        <f aca="false">IF(AND(EW75=1,Slot14_IsMfree=1),IF(FB75&gt;=Slot14_Cost-1,0,MAX(0,EU75-FB75)),EU75)</f>
        <v>0</v>
      </c>
      <c r="FF75" s="20" t="n">
        <f aca="false">EW75*(Slot14_Cost-FB75)</f>
        <v>0</v>
      </c>
      <c r="FG75" s="20" t="n">
        <f aca="false">IF(AND(Slot15_On=1,D75=Slot15_Age),1,0)</f>
        <v>0</v>
      </c>
      <c r="FH75" s="20" t="n">
        <f aca="false">IF(AND(Slot15_On=1,Slot15_Age&gt;D75),1,0)</f>
        <v>0</v>
      </c>
      <c r="FI75" s="20" t="n">
        <f aca="false">SQ74</f>
        <v>0</v>
      </c>
      <c r="FJ75" s="20" t="n">
        <f aca="false">FG75*MIN(Slot15_Cost,FI75)</f>
        <v>0</v>
      </c>
      <c r="FK75" s="20" t="n">
        <f aca="false">FG75*Slot15_SpendLike*MIN(Slot15_Cost-FJ75,FC75)</f>
        <v>0</v>
      </c>
      <c r="FL75" s="20" t="n">
        <f aca="false">FJ75+FK75</f>
        <v>0</v>
      </c>
      <c r="FM75" s="20" t="n">
        <f aca="false">FC75-FK75+FG75*IF(Slot15_SpendLike=1,FI75-FJ75,IF(Slot15_PotFree=1,FI75,0))</f>
        <v>0</v>
      </c>
      <c r="FN75" s="20" t="n">
        <f aca="false">FD75+FG75*Slot15_BufPot*FI75</f>
        <v>0</v>
      </c>
      <c r="FO75" s="20" t="n">
        <f aca="false">IF(AND(FG75=1,Slot15_IsMfree=1),IF(FL75&gt;=Slot15_Cost-1,0,MAX(0,FE75-FL75)),FE75)</f>
        <v>0</v>
      </c>
      <c r="FP75" s="20" t="n">
        <f aca="false">FG75*(Slot15_Cost-FL75)</f>
        <v>0</v>
      </c>
      <c r="FQ75" s="20" t="n">
        <f aca="false">IF(AND(Slot16_On=1,D75=Slot16_Age),1,0)</f>
        <v>0</v>
      </c>
      <c r="FR75" s="20" t="n">
        <f aca="false">IF(AND(Slot16_On=1,Slot16_Age&gt;D75),1,0)</f>
        <v>0</v>
      </c>
      <c r="FS75" s="20" t="n">
        <f aca="false">SU74</f>
        <v>0</v>
      </c>
      <c r="FT75" s="20" t="n">
        <f aca="false">FQ75*MIN(Slot16_Cost,FS75)</f>
        <v>0</v>
      </c>
      <c r="FU75" s="20" t="n">
        <f aca="false">FQ75*Slot16_SpendLike*MIN(Slot16_Cost-FT75,FM75)</f>
        <v>0</v>
      </c>
      <c r="FV75" s="20" t="n">
        <f aca="false">FT75+FU75</f>
        <v>0</v>
      </c>
      <c r="FW75" s="20" t="n">
        <f aca="false">FM75-FU75+FQ75*IF(Slot16_SpendLike=1,FS75-FT75,IF(Slot16_PotFree=1,FS75,0))</f>
        <v>0</v>
      </c>
      <c r="FX75" s="20" t="n">
        <f aca="false">FN75+FQ75*Slot16_BufPot*FS75</f>
        <v>0</v>
      </c>
      <c r="FY75" s="20" t="n">
        <f aca="false">IF(AND(FQ75=1,Slot16_IsMfree=1),IF(FV75&gt;=Slot16_Cost-1,0,MAX(0,FO75-FV75)),FO75)</f>
        <v>0</v>
      </c>
      <c r="FZ75" s="20" t="n">
        <f aca="false">FQ75*(Slot16_Cost-FV75)</f>
        <v>0</v>
      </c>
      <c r="GA75" s="20" t="n">
        <f aca="false">IF(AND(Slot17_On=1,D75=Slot17_Age),1,0)</f>
        <v>0</v>
      </c>
      <c r="GB75" s="20" t="n">
        <f aca="false">IF(AND(Slot17_On=1,Slot17_Age&gt;D75),1,0)</f>
        <v>0</v>
      </c>
      <c r="GC75" s="20" t="n">
        <f aca="false">SY74</f>
        <v>0</v>
      </c>
      <c r="GD75" s="20" t="n">
        <f aca="false">GA75*MIN(Slot17_Cost,GC75)</f>
        <v>0</v>
      </c>
      <c r="GE75" s="20" t="n">
        <f aca="false">GA75*Slot17_SpendLike*MIN(Slot17_Cost-GD75,FW75)</f>
        <v>0</v>
      </c>
      <c r="GF75" s="20" t="n">
        <f aca="false">GD75+GE75</f>
        <v>0</v>
      </c>
      <c r="GG75" s="20" t="n">
        <f aca="false">FW75-GE75+GA75*IF(Slot17_SpendLike=1,GC75-GD75,IF(Slot17_PotFree=1,GC75,0))</f>
        <v>0</v>
      </c>
      <c r="GH75" s="20" t="n">
        <f aca="false">FX75+GA75*Slot17_BufPot*GC75</f>
        <v>0</v>
      </c>
      <c r="GI75" s="20" t="n">
        <f aca="false">IF(AND(GA75=1,Slot17_IsMfree=1),IF(GF75&gt;=Slot17_Cost-1,0,MAX(0,FY75-GF75)),FY75)</f>
        <v>0</v>
      </c>
      <c r="GJ75" s="20" t="n">
        <f aca="false">GA75*(Slot17_Cost-GF75)</f>
        <v>0</v>
      </c>
      <c r="GK75" s="20" t="n">
        <f aca="false">IF(AND(Slot18_On=1,D75=Slot18_Age),1,0)</f>
        <v>0</v>
      </c>
      <c r="GL75" s="20" t="n">
        <f aca="false">IF(AND(Slot18_On=1,Slot18_Age&gt;D75),1,0)</f>
        <v>0</v>
      </c>
      <c r="GM75" s="20" t="n">
        <f aca="false">TC74</f>
        <v>0</v>
      </c>
      <c r="GN75" s="20" t="n">
        <f aca="false">GK75*MIN(Slot18_Cost,GM75)</f>
        <v>0</v>
      </c>
      <c r="GO75" s="20" t="n">
        <f aca="false">GK75*Slot18_SpendLike*MIN(Slot18_Cost-GN75,GG75)</f>
        <v>0</v>
      </c>
      <c r="GP75" s="20" t="n">
        <f aca="false">GN75+GO75</f>
        <v>0</v>
      </c>
      <c r="GQ75" s="20" t="n">
        <f aca="false">GG75-GO75+GK75*IF(Slot18_SpendLike=1,GM75-GN75,IF(Slot18_PotFree=1,GM75,0))</f>
        <v>0</v>
      </c>
      <c r="GR75" s="20" t="n">
        <f aca="false">GH75+GK75*Slot18_BufPot*GM75</f>
        <v>0</v>
      </c>
      <c r="GS75" s="20" t="n">
        <f aca="false">IF(AND(GK75=1,Slot18_IsMfree=1),IF(GP75&gt;=Slot18_Cost-1,0,MAX(0,GI75-GP75)),GI75)</f>
        <v>0</v>
      </c>
      <c r="GT75" s="20" t="n">
        <f aca="false">GK75*(Slot18_Cost-GP75)</f>
        <v>0</v>
      </c>
      <c r="GU75" s="20" t="n">
        <f aca="false">IF(AND(Slot19_On=1,D75=Slot19_Age),1,0)</f>
        <v>0</v>
      </c>
      <c r="GV75" s="20" t="n">
        <f aca="false">IF(AND(Slot19_On=1,Slot19_Age&gt;D75),1,0)</f>
        <v>0</v>
      </c>
      <c r="GW75" s="20" t="n">
        <f aca="false">TG74</f>
        <v>0</v>
      </c>
      <c r="GX75" s="20" t="n">
        <f aca="false">GU75*MIN(Slot19_Cost,GW75)</f>
        <v>0</v>
      </c>
      <c r="GY75" s="20" t="n">
        <f aca="false">GU75*Slot19_SpendLike*MIN(Slot19_Cost-GX75,GQ75)</f>
        <v>0</v>
      </c>
      <c r="GZ75" s="20" t="n">
        <f aca="false">GX75+GY75</f>
        <v>0</v>
      </c>
      <c r="HA75" s="20" t="n">
        <f aca="false">GQ75-GY75+GU75*IF(Slot19_SpendLike=1,GW75-GX75,IF(Slot19_PotFree=1,GW75,0))</f>
        <v>0</v>
      </c>
      <c r="HB75" s="20" t="n">
        <f aca="false">GR75+GU75*Slot19_BufPot*GW75</f>
        <v>0</v>
      </c>
      <c r="HC75" s="20" t="n">
        <f aca="false">IF(AND(GU75=1,Slot19_IsMfree=1),IF(GZ75&gt;=Slot19_Cost-1,0,MAX(0,GS75-GZ75)),GS75)</f>
        <v>0</v>
      </c>
      <c r="HD75" s="20" t="n">
        <f aca="false">GU75*(Slot19_Cost-GZ75)</f>
        <v>0</v>
      </c>
      <c r="HE75" s="20" t="n">
        <f aca="false">IF(AND(Slot20_On=1,D75=Slot20_Age),1,0)</f>
        <v>0</v>
      </c>
      <c r="HF75" s="20" t="n">
        <f aca="false">IF(AND(Slot20_On=1,Slot20_Age&gt;D75),1,0)</f>
        <v>0</v>
      </c>
      <c r="HG75" s="20" t="n">
        <f aca="false">TK74</f>
        <v>0</v>
      </c>
      <c r="HH75" s="20" t="n">
        <f aca="false">HE75*MIN(Slot20_Cost,HG75)</f>
        <v>0</v>
      </c>
      <c r="HI75" s="20" t="n">
        <f aca="false">HE75*Slot20_SpendLike*MIN(Slot20_Cost-HH75,HA75)</f>
        <v>0</v>
      </c>
      <c r="HJ75" s="20" t="n">
        <f aca="false">HH75+HI75</f>
        <v>0</v>
      </c>
      <c r="HK75" s="20" t="n">
        <f aca="false">HA75-HI75+HE75*IF(Slot20_SpendLike=1,HG75-HH75,IF(Slot20_PotFree=1,HG75,0))</f>
        <v>0</v>
      </c>
      <c r="HL75" s="20" t="n">
        <f aca="false">HB75+HE75*Slot20_BufPot*HG75</f>
        <v>0</v>
      </c>
      <c r="HM75" s="20" t="n">
        <f aca="false">IF(AND(HE75=1,Slot20_IsMfree=1),IF(HJ75&gt;=Slot20_Cost-1,0,MAX(0,HC75-HJ75)),HC75)</f>
        <v>0</v>
      </c>
      <c r="HN75" s="20" t="n">
        <f aca="false">HE75*(Slot20_Cost-HJ75)</f>
        <v>0</v>
      </c>
      <c r="HO75" s="20" t="n">
        <f aca="false">V75*Slot1_SpendLike*AA75+AG75*Slot2_SpendLike*AL75+AQ75*Slot3_SpendLike*AV75+BA75*Slot4_SpendLike*BF75+BK75*Slot5_SpendLike*BP75+BU75*Slot6_SpendLike*BZ75+CE75*Slot7_SpendLike*CJ75+CO75*Slot8_SpendLike*CT75+CY75*Slot9_SpendLike*DD75+DI75*Slot10_SpendLike*DN75+DS75*Slot11_SpendLike*DX75+EC75*Slot12_SpendLike*EH75+EM75*Slot13_SpendLike*ER75+EW75*Slot14_SpendLike*FB75+FG75*Slot15_SpendLike*FL75+FQ75*Slot16_SpendLike*FV75+GA75*Slot17_SpendLike*GF75+GK75*Slot18_SpendLike*GP75+GU75*Slot19_SpendLike*GZ75+HE75*Slot20_SpendLike*HJ75</f>
        <v>0</v>
      </c>
      <c r="HP75" s="20" t="n">
        <f aca="false">AE75+AP75+AZ75+BJ75+BT75+CD75+CN75+CX75+DH75+DR75+EB75+EL75+EV75+FF75+FP75+FZ75+GJ75+GT75+HD75+HN75</f>
        <v>0</v>
      </c>
      <c r="HQ75" s="20" t="n">
        <f aca="false">V75*Slot1_Cost+AG75*Slot2_Cost+AQ75*Slot3_Cost+BA75*Slot4_Cost+BK75*Slot5_Cost+BU75*Slot6_Cost+CE75*Slot7_Cost+CO75*Slot8_Cost+CY75*Slot9_Cost+DI75*Slot10_Cost+DS75*Slot11_Cost+EC75*Slot12_Cost+EM75*Slot13_Cost+EW75*Slot14_Cost+FG75*Slot15_Cost+FQ75*Slot16_Cost+GA75*Slot17_Cost+GK75*Slot18_Cost+GU75*Slot19_Cost+HE75*Slot20_Cost</f>
        <v>0</v>
      </c>
      <c r="HR75" s="20" t="n">
        <f aca="false">HM75</f>
        <v>0</v>
      </c>
      <c r="HS75" s="20" t="n">
        <f aca="false">H75-I75-S75</f>
        <v>-72609.2989625512</v>
      </c>
      <c r="HT75" s="20" t="n">
        <f aca="false">IF(B75=0,IF(AND(Has_q6=1,In_q6=4),PR_ShareVaries*(MAX(0,HS75)/12),MIN(IF(Has_q6=1,CHOOSE(In_q6+1,PR_SaveB1,PR_SaveB2,PR_SaveB3,PR_SaveB4,0),AS_NoAnswer),AS_SaveShare*(MAX(0,HS75)/12))),HT74)</f>
        <v>62.3316893520437</v>
      </c>
      <c r="HU75" s="20" t="n">
        <f aca="false">IF(HS75&gt;=0,1,0)</f>
        <v>0</v>
      </c>
      <c r="HV75" s="20" t="n">
        <f aca="false">MAX(0,HS75/12/F75)</f>
        <v>0</v>
      </c>
      <c r="HW75" s="20" t="n">
        <f aca="false">IF(AND(Has_q6=1,In_q6=4),PR_ShareVaries*(HV75),MIN(IF(Has_q6=1,CHOOSE(In_q6+1,PR_SaveB1,PR_SaveB2,PR_SaveB3,PR_SaveB4,0),AS_NoAnswer),AS_SaveShare*(HV75)))</f>
        <v>0</v>
      </c>
      <c r="HX75" s="20" t="n">
        <f aca="false">IF(Has_saveM=1,IF(In_saveUp="Yes",1,IF(In_saveUp="No",0,IF(In_saveM&gt;=HT75-0.5,1,0))),0)</f>
        <v>0</v>
      </c>
      <c r="HY75" s="20" t="n">
        <f aca="false">IF(Has_saveM=1,MIN(HV75,IF(HX75=1,MAX(In_saveM,HW75),MIN(In_saveM,HW75))),HW75)</f>
        <v>0</v>
      </c>
      <c r="HZ75" s="20" t="n">
        <f aca="false">IF(G75=1,HY75*12*F75,0)</f>
        <v>0</v>
      </c>
      <c r="IA75" s="20" t="n">
        <f aca="false">MAX(0,HZ75+IF(AND(WI_Retire=0,WI_M&lt;0,G75=1),WI_M*12*F75,0))</f>
        <v>0</v>
      </c>
      <c r="IB75" s="20" t="n">
        <f aca="false">Slot1_IsWG*W75+Slot2_IsWG*AH75+Slot3_IsWG*AR75+Slot4_IsWG*BB75+Slot5_IsWG*BL75+Slot6_IsWG*BV75+Slot7_IsWG*CF75+Slot8_IsWG*CP75+Slot9_IsWG*CZ75+Slot10_IsWG*DJ75+Slot11_IsWG*DT75+Slot12_IsWG*ED75+Slot13_IsWG*EN75+Slot14_IsWG*EX75+Slot15_IsWG*FH75+Slot16_IsWG*FR75+Slot17_IsWG*GB75+Slot18_IsWG*GL75+Slot19_IsWG*GV75+Slot20_IsWG*HF75</f>
        <v>0</v>
      </c>
      <c r="IC75" s="20" t="n">
        <f aca="false">IF(AND(WI_Retire=0,WI_M&gt;0,G75=1,IB75&gt;=1),WI_M*12*F75,0)</f>
        <v>0</v>
      </c>
      <c r="ID75" s="20" t="n">
        <f aca="false">IF(HU75=1,MIN(IA75,HS75),0)</f>
        <v>0</v>
      </c>
      <c r="IE75" s="20" t="n">
        <f aca="false">IF(HU75=1,MIN(IC75,HS75-ID75),0)</f>
        <v>0</v>
      </c>
      <c r="IF75" s="20" t="n">
        <f aca="false">IF(W75=1,IF(ABS((1+AS_Wage)/(1+Slot1_Rate)-1)&lt;0.000000000001,(Slot1_Age-D75)*(1+Slot1_Rate)^(Slot1_Age-D75),(1+Slot1_Rate)^(Slot1_Age-D75)*(1-((1+AS_Wage)/(1+Slot1_Rate))^(Slot1_Age-D75))/(1-(1+AS_Wage)/(1+Slot1_Rate))),1)</f>
        <v>1</v>
      </c>
      <c r="IG75" s="20" t="n">
        <f aca="false">IF(AND(HU75=1,IE75&gt;0,Slot1_IsWG=1,W75=1),MAX(0,(Slot1_Cost-X75*(1+Slot1_Rate)^(Slot1_Age-D75))/IF75),0)</f>
        <v>0</v>
      </c>
      <c r="IH75" s="20" t="n">
        <f aca="false">IF(AND(HU75=1,IE75&gt;0,Slot1_IsWG=1,W75=1),MIN(IE75,IG75),0)</f>
        <v>0</v>
      </c>
      <c r="II75" s="20" t="n">
        <f aca="false">X75+IH75</f>
        <v>0</v>
      </c>
      <c r="IJ75" s="20" t="n">
        <f aca="false">IF(W75=1,MAX(0,(Slot1_Cost-II75*(1+Slot1_Rate)^(Slot1_Age-D75))/IF75),0)</f>
        <v>0</v>
      </c>
      <c r="IK75" s="20" t="n">
        <f aca="false">IF(W75=1,MAX(0,(Slot1_Cost-X75*(1+Slot1_Rate)^(Slot1_Age-D75))/IF75),0)</f>
        <v>0</v>
      </c>
      <c r="IL75" s="20" t="n">
        <f aca="false">IF(AND(HU75=1,W75=1),MIN(ID75,IJ75),0)</f>
        <v>0</v>
      </c>
      <c r="IM75" s="20" t="n">
        <f aca="false">ID75-IL75</f>
        <v>0</v>
      </c>
      <c r="IN75" s="20" t="n">
        <f aca="false">IF(AH75=1,IF(ABS((1+AS_Wage)/(1+Slot2_Rate)-1)&lt;0.000000000001,(Slot2_Age-D75)*(1+Slot2_Rate)^(Slot2_Age-D75),(1+Slot2_Rate)^(Slot2_Age-D75)*(1-((1+AS_Wage)/(1+Slot2_Rate))^(Slot2_Age-D75))/(1-(1+AS_Wage)/(1+Slot2_Rate))),1)</f>
        <v>1</v>
      </c>
      <c r="IO75" s="20" t="n">
        <f aca="false">IF(AND(HU75=1,IE75&gt;0,Slot2_IsWG=1,AH75=1),MAX(0,(Slot2_Cost-AI75*(1+Slot2_Rate)^(Slot2_Age-D75))/IN75),0)</f>
        <v>0</v>
      </c>
      <c r="IP75" s="20" t="n">
        <f aca="false">IF(AND(HU75=1,IE75&gt;0,Slot2_IsWG=1,AH75=1),MIN(IE75,IO75),0)</f>
        <v>0</v>
      </c>
      <c r="IQ75" s="20" t="n">
        <f aca="false">AI75+IP75</f>
        <v>0</v>
      </c>
      <c r="IR75" s="20" t="n">
        <f aca="false">IF(AH75=1,MAX(0,(Slot2_Cost-IQ75*(1+Slot2_Rate)^(Slot2_Age-D75))/IN75),0)</f>
        <v>0</v>
      </c>
      <c r="IS75" s="20" t="n">
        <f aca="false">IF(AH75=1,MAX(0,(Slot2_Cost-AI75*(1+Slot2_Rate)^(Slot2_Age-D75))/IN75),0)</f>
        <v>0</v>
      </c>
      <c r="IT75" s="20" t="n">
        <f aca="false">IF(AND(HU75=1,AH75=1),MIN(IM75,IR75),0)</f>
        <v>0</v>
      </c>
      <c r="IU75" s="20" t="n">
        <f aca="false">IM75-IT75</f>
        <v>0</v>
      </c>
      <c r="IV75" s="20" t="n">
        <f aca="false">IF(AR75=1,IF(ABS((1+AS_Wage)/(1+Slot3_Rate)-1)&lt;0.000000000001,(Slot3_Age-D75)*(1+Slot3_Rate)^(Slot3_Age-D75),(1+Slot3_Rate)^(Slot3_Age-D75)*(1-((1+AS_Wage)/(1+Slot3_Rate))^(Slot3_Age-D75))/(1-(1+AS_Wage)/(1+Slot3_Rate))),1)</f>
        <v>1</v>
      </c>
      <c r="IW75" s="20" t="n">
        <f aca="false">IF(AND(HU75=1,IE75&gt;0,Slot3_IsWG=1,AR75=1),MAX(0,(Slot3_Cost-AS75*(1+Slot3_Rate)^(Slot3_Age-D75))/IV75),0)</f>
        <v>0</v>
      </c>
      <c r="IX75" s="20" t="n">
        <f aca="false">IF(AND(HU75=1,IE75&gt;0,Slot3_IsWG=1,AR75=1),MIN(IE75,IW75),0)</f>
        <v>0</v>
      </c>
      <c r="IY75" s="20" t="n">
        <f aca="false">AS75+IX75</f>
        <v>0</v>
      </c>
      <c r="IZ75" s="20" t="n">
        <f aca="false">IF(AR75=1,MAX(0,(Slot3_Cost-IY75*(1+Slot3_Rate)^(Slot3_Age-D75))/IV75),0)</f>
        <v>0</v>
      </c>
      <c r="JA75" s="20" t="n">
        <f aca="false">IF(AR75=1,MAX(0,(Slot3_Cost-AS75*(1+Slot3_Rate)^(Slot3_Age-D75))/IV75),0)</f>
        <v>0</v>
      </c>
      <c r="JB75" s="20" t="n">
        <f aca="false">IF(AND(HU75=1,AR75=1),MIN(IU75,IZ75),0)</f>
        <v>0</v>
      </c>
      <c r="JC75" s="20" t="n">
        <f aca="false">IU75-JB75</f>
        <v>0</v>
      </c>
      <c r="JD75" s="20" t="n">
        <f aca="false">IF(BB75=1,IF(ABS((1+AS_Wage)/(1+Slot4_Rate)-1)&lt;0.000000000001,(Slot4_Age-D75)*(1+Slot4_Rate)^(Slot4_Age-D75),(1+Slot4_Rate)^(Slot4_Age-D75)*(1-((1+AS_Wage)/(1+Slot4_Rate))^(Slot4_Age-D75))/(1-(1+AS_Wage)/(1+Slot4_Rate))),1)</f>
        <v>1</v>
      </c>
      <c r="JE75" s="20" t="n">
        <f aca="false">IF(AND(HU75=1,IE75&gt;0,Slot4_IsWG=1,BB75=1),MAX(0,(Slot4_Cost-BC75*(1+Slot4_Rate)^(Slot4_Age-D75))/JD75),0)</f>
        <v>0</v>
      </c>
      <c r="JF75" s="20" t="n">
        <f aca="false">IF(AND(HU75=1,IE75&gt;0,Slot4_IsWG=1,BB75=1),MIN(IE75,JE75),0)</f>
        <v>0</v>
      </c>
      <c r="JG75" s="20" t="n">
        <f aca="false">BC75+JF75</f>
        <v>0</v>
      </c>
      <c r="JH75" s="20" t="n">
        <f aca="false">IF(BB75=1,MAX(0,(Slot4_Cost-JG75*(1+Slot4_Rate)^(Slot4_Age-D75))/JD75),0)</f>
        <v>0</v>
      </c>
      <c r="JI75" s="20" t="n">
        <f aca="false">IF(BB75=1,MAX(0,(Slot4_Cost-BC75*(1+Slot4_Rate)^(Slot4_Age-D75))/JD75),0)</f>
        <v>0</v>
      </c>
      <c r="JJ75" s="20" t="n">
        <f aca="false">IF(AND(HU75=1,BB75=1),MIN(JC75,JH75),0)</f>
        <v>0</v>
      </c>
      <c r="JK75" s="20" t="n">
        <f aca="false">JC75-JJ75</f>
        <v>0</v>
      </c>
      <c r="JL75" s="20" t="n">
        <f aca="false">IF(BL75=1,IF(ABS((1+AS_Wage)/(1+Slot5_Rate)-1)&lt;0.000000000001,(Slot5_Age-D75)*(1+Slot5_Rate)^(Slot5_Age-D75),(1+Slot5_Rate)^(Slot5_Age-D75)*(1-((1+AS_Wage)/(1+Slot5_Rate))^(Slot5_Age-D75))/(1-(1+AS_Wage)/(1+Slot5_Rate))),1)</f>
        <v>1</v>
      </c>
      <c r="JM75" s="20" t="n">
        <f aca="false">IF(AND(HU75=1,IE75&gt;0,Slot5_IsWG=1,BL75=1),MAX(0,(Slot5_Cost-BM75*(1+Slot5_Rate)^(Slot5_Age-D75))/JL75),0)</f>
        <v>0</v>
      </c>
      <c r="JN75" s="20" t="n">
        <f aca="false">IF(AND(HU75=1,IE75&gt;0,Slot5_IsWG=1,BL75=1),MIN(IE75,JM75),0)</f>
        <v>0</v>
      </c>
      <c r="JO75" s="20" t="n">
        <f aca="false">BM75+JN75</f>
        <v>0</v>
      </c>
      <c r="JP75" s="20" t="n">
        <f aca="false">IF(BL75=1,MAX(0,(Slot5_Cost-JO75*(1+Slot5_Rate)^(Slot5_Age-D75))/JL75),0)</f>
        <v>0</v>
      </c>
      <c r="JQ75" s="20" t="n">
        <f aca="false">IF(BL75=1,MAX(0,(Slot5_Cost-BM75*(1+Slot5_Rate)^(Slot5_Age-D75))/JL75),0)</f>
        <v>0</v>
      </c>
      <c r="JR75" s="20" t="n">
        <f aca="false">IF(AND(HU75=1,BL75=1),MIN(JK75,JP75),0)</f>
        <v>0</v>
      </c>
      <c r="JS75" s="20" t="n">
        <f aca="false">JK75-JR75</f>
        <v>0</v>
      </c>
      <c r="JT75" s="20" t="n">
        <f aca="false">IF(BV75=1,IF(ABS((1+AS_Wage)/(1+Slot6_Rate)-1)&lt;0.000000000001,(Slot6_Age-D75)*(1+Slot6_Rate)^(Slot6_Age-D75),(1+Slot6_Rate)^(Slot6_Age-D75)*(1-((1+AS_Wage)/(1+Slot6_Rate))^(Slot6_Age-D75))/(1-(1+AS_Wage)/(1+Slot6_Rate))),1)</f>
        <v>1</v>
      </c>
      <c r="JU75" s="20" t="n">
        <f aca="false">IF(AND(HU75=1,IE75&gt;0,Slot6_IsWG=1,BV75=1),MAX(0,(Slot6_Cost-BW75*(1+Slot6_Rate)^(Slot6_Age-D75))/JT75),0)</f>
        <v>0</v>
      </c>
      <c r="JV75" s="20" t="n">
        <f aca="false">IF(AND(HU75=1,IE75&gt;0,Slot6_IsWG=1,BV75=1),MIN(IE75,JU75),0)</f>
        <v>0</v>
      </c>
      <c r="JW75" s="20" t="n">
        <f aca="false">BW75+JV75</f>
        <v>0</v>
      </c>
      <c r="JX75" s="20" t="n">
        <f aca="false">IF(BV75=1,MAX(0,(Slot6_Cost-JW75*(1+Slot6_Rate)^(Slot6_Age-D75))/JT75),0)</f>
        <v>0</v>
      </c>
      <c r="JY75" s="20" t="n">
        <f aca="false">IF(BV75=1,MAX(0,(Slot6_Cost-BW75*(1+Slot6_Rate)^(Slot6_Age-D75))/JT75),0)</f>
        <v>0</v>
      </c>
      <c r="JZ75" s="20" t="n">
        <f aca="false">IF(AND(HU75=1,BV75=1),MIN(JS75,JX75),0)</f>
        <v>0</v>
      </c>
      <c r="KA75" s="20" t="n">
        <f aca="false">JS75-JZ75</f>
        <v>0</v>
      </c>
      <c r="KB75" s="20" t="n">
        <f aca="false">IF(CF75=1,IF(ABS((1+AS_Wage)/(1+Slot7_Rate)-1)&lt;0.000000000001,(Slot7_Age-D75)*(1+Slot7_Rate)^(Slot7_Age-D75),(1+Slot7_Rate)^(Slot7_Age-D75)*(1-((1+AS_Wage)/(1+Slot7_Rate))^(Slot7_Age-D75))/(1-(1+AS_Wage)/(1+Slot7_Rate))),1)</f>
        <v>1</v>
      </c>
      <c r="KC75" s="20" t="n">
        <f aca="false">IF(AND(HU75=1,IE75&gt;0,Slot7_IsWG=1,CF75=1),MAX(0,(Slot7_Cost-CG75*(1+Slot7_Rate)^(Slot7_Age-D75))/KB75),0)</f>
        <v>0</v>
      </c>
      <c r="KD75" s="20" t="n">
        <f aca="false">IF(AND(HU75=1,IE75&gt;0,Slot7_IsWG=1,CF75=1),MIN(IE75,KC75),0)</f>
        <v>0</v>
      </c>
      <c r="KE75" s="20" t="n">
        <f aca="false">CG75+KD75</f>
        <v>0</v>
      </c>
      <c r="KF75" s="20" t="n">
        <f aca="false">IF(CF75=1,MAX(0,(Slot7_Cost-KE75*(1+Slot7_Rate)^(Slot7_Age-D75))/KB75),0)</f>
        <v>0</v>
      </c>
      <c r="KG75" s="20" t="n">
        <f aca="false">IF(CF75=1,MAX(0,(Slot7_Cost-CG75*(1+Slot7_Rate)^(Slot7_Age-D75))/KB75),0)</f>
        <v>0</v>
      </c>
      <c r="KH75" s="20" t="n">
        <f aca="false">IF(AND(HU75=1,CF75=1),MIN(KA75,KF75),0)</f>
        <v>0</v>
      </c>
      <c r="KI75" s="20" t="n">
        <f aca="false">KA75-KH75</f>
        <v>0</v>
      </c>
      <c r="KJ75" s="20" t="n">
        <f aca="false">IF(CP75=1,IF(ABS((1+AS_Wage)/(1+Slot8_Rate)-1)&lt;0.000000000001,(Slot8_Age-D75)*(1+Slot8_Rate)^(Slot8_Age-D75),(1+Slot8_Rate)^(Slot8_Age-D75)*(1-((1+AS_Wage)/(1+Slot8_Rate))^(Slot8_Age-D75))/(1-(1+AS_Wage)/(1+Slot8_Rate))),1)</f>
        <v>1</v>
      </c>
      <c r="KK75" s="20" t="n">
        <f aca="false">IF(AND(HU75=1,IE75&gt;0,Slot8_IsWG=1,CP75=1),MAX(0,(Slot8_Cost-CQ75*(1+Slot8_Rate)^(Slot8_Age-D75))/KJ75),0)</f>
        <v>0</v>
      </c>
      <c r="KL75" s="20" t="n">
        <f aca="false">IF(AND(HU75=1,IE75&gt;0,Slot8_IsWG=1,CP75=1),MIN(IE75,KK75),0)</f>
        <v>0</v>
      </c>
      <c r="KM75" s="20" t="n">
        <f aca="false">CQ75+KL75</f>
        <v>0</v>
      </c>
      <c r="KN75" s="20" t="n">
        <f aca="false">IF(CP75=1,MAX(0,(Slot8_Cost-KM75*(1+Slot8_Rate)^(Slot8_Age-D75))/KJ75),0)</f>
        <v>0</v>
      </c>
      <c r="KO75" s="20" t="n">
        <f aca="false">IF(CP75=1,MAX(0,(Slot8_Cost-CQ75*(1+Slot8_Rate)^(Slot8_Age-D75))/KJ75),0)</f>
        <v>0</v>
      </c>
      <c r="KP75" s="20" t="n">
        <f aca="false">IF(AND(HU75=1,CP75=1),MIN(KI75,KN75),0)</f>
        <v>0</v>
      </c>
      <c r="KQ75" s="20" t="n">
        <f aca="false">KI75-KP75</f>
        <v>0</v>
      </c>
      <c r="KR75" s="20" t="n">
        <f aca="false">IF(CZ75=1,IF(ABS((1+AS_Wage)/(1+Slot9_Rate)-1)&lt;0.000000000001,(Slot9_Age-D75)*(1+Slot9_Rate)^(Slot9_Age-D75),(1+Slot9_Rate)^(Slot9_Age-D75)*(1-((1+AS_Wage)/(1+Slot9_Rate))^(Slot9_Age-D75))/(1-(1+AS_Wage)/(1+Slot9_Rate))),1)</f>
        <v>1</v>
      </c>
      <c r="KS75" s="20" t="n">
        <f aca="false">IF(AND(HU75=1,IE75&gt;0,Slot9_IsWG=1,CZ75=1),MAX(0,(Slot9_Cost-DA75*(1+Slot9_Rate)^(Slot9_Age-D75))/KR75),0)</f>
        <v>0</v>
      </c>
      <c r="KT75" s="20" t="n">
        <f aca="false">IF(AND(HU75=1,IE75&gt;0,Slot9_IsWG=1,CZ75=1),MIN(IE75,KS75),0)</f>
        <v>0</v>
      </c>
      <c r="KU75" s="20" t="n">
        <f aca="false">DA75+KT75</f>
        <v>0</v>
      </c>
      <c r="KV75" s="20" t="n">
        <f aca="false">IF(CZ75=1,MAX(0,(Slot9_Cost-KU75*(1+Slot9_Rate)^(Slot9_Age-D75))/KR75),0)</f>
        <v>0</v>
      </c>
      <c r="KW75" s="20" t="n">
        <f aca="false">IF(CZ75=1,MAX(0,(Slot9_Cost-DA75*(1+Slot9_Rate)^(Slot9_Age-D75))/KR75),0)</f>
        <v>0</v>
      </c>
      <c r="KX75" s="20" t="n">
        <f aca="false">IF(AND(HU75=1,CZ75=1),MIN(KQ75,KV75),0)</f>
        <v>0</v>
      </c>
      <c r="KY75" s="20" t="n">
        <f aca="false">KQ75-KX75</f>
        <v>0</v>
      </c>
      <c r="KZ75" s="20" t="n">
        <f aca="false">IF(DJ75=1,IF(ABS((1+AS_Wage)/(1+Slot10_Rate)-1)&lt;0.000000000001,(Slot10_Age-D75)*(1+Slot10_Rate)^(Slot10_Age-D75),(1+Slot10_Rate)^(Slot10_Age-D75)*(1-((1+AS_Wage)/(1+Slot10_Rate))^(Slot10_Age-D75))/(1-(1+AS_Wage)/(1+Slot10_Rate))),1)</f>
        <v>1</v>
      </c>
      <c r="LA75" s="20" t="n">
        <f aca="false">IF(AND(HU75=1,IE75&gt;0,Slot10_IsWG=1,DJ75=1),MAX(0,(Slot10_Cost-DK75*(1+Slot10_Rate)^(Slot10_Age-D75))/KZ75),0)</f>
        <v>0</v>
      </c>
      <c r="LB75" s="20" t="n">
        <f aca="false">IF(AND(HU75=1,IE75&gt;0,Slot10_IsWG=1,DJ75=1),MIN(IE75,LA75),0)</f>
        <v>0</v>
      </c>
      <c r="LC75" s="20" t="n">
        <f aca="false">DK75+LB75</f>
        <v>0</v>
      </c>
      <c r="LD75" s="20" t="n">
        <f aca="false">IF(DJ75=1,MAX(0,(Slot10_Cost-LC75*(1+Slot10_Rate)^(Slot10_Age-D75))/KZ75),0)</f>
        <v>0</v>
      </c>
      <c r="LE75" s="20" t="n">
        <f aca="false">IF(DJ75=1,MAX(0,(Slot10_Cost-DK75*(1+Slot10_Rate)^(Slot10_Age-D75))/KZ75),0)</f>
        <v>0</v>
      </c>
      <c r="LF75" s="20" t="n">
        <f aca="false">IF(AND(HU75=1,DJ75=1),MIN(KY75,LD75),0)</f>
        <v>0</v>
      </c>
      <c r="LG75" s="20" t="n">
        <f aca="false">KY75-LF75</f>
        <v>0</v>
      </c>
      <c r="LH75" s="20" t="n">
        <f aca="false">IF(DT75=1,IF(ABS((1+AS_Wage)/(1+Slot11_Rate)-1)&lt;0.000000000001,(Slot11_Age-D75)*(1+Slot11_Rate)^(Slot11_Age-D75),(1+Slot11_Rate)^(Slot11_Age-D75)*(1-((1+AS_Wage)/(1+Slot11_Rate))^(Slot11_Age-D75))/(1-(1+AS_Wage)/(1+Slot11_Rate))),1)</f>
        <v>1</v>
      </c>
      <c r="LI75" s="20" t="n">
        <f aca="false">IF(AND(HU75=1,IE75&gt;0,Slot11_IsWG=1,DT75=1),MAX(0,(Slot11_Cost-DU75*(1+Slot11_Rate)^(Slot11_Age-D75))/LH75),0)</f>
        <v>0</v>
      </c>
      <c r="LJ75" s="20" t="n">
        <f aca="false">IF(AND(HU75=1,IE75&gt;0,Slot11_IsWG=1,DT75=1),MIN(IE75,LI75),0)</f>
        <v>0</v>
      </c>
      <c r="LK75" s="20" t="n">
        <f aca="false">DU75+LJ75</f>
        <v>0</v>
      </c>
      <c r="LL75" s="20" t="n">
        <f aca="false">IF(DT75=1,MAX(0,(Slot11_Cost-LK75*(1+Slot11_Rate)^(Slot11_Age-D75))/LH75),0)</f>
        <v>0</v>
      </c>
      <c r="LM75" s="20" t="n">
        <f aca="false">IF(DT75=1,MAX(0,(Slot11_Cost-DU75*(1+Slot11_Rate)^(Slot11_Age-D75))/LH75),0)</f>
        <v>0</v>
      </c>
      <c r="LN75" s="20" t="n">
        <f aca="false">IF(AND(HU75=1,DT75=1),MIN(LG75,LL75),0)</f>
        <v>0</v>
      </c>
      <c r="LO75" s="20" t="n">
        <f aca="false">LG75-LN75</f>
        <v>0</v>
      </c>
      <c r="LP75" s="20" t="n">
        <f aca="false">IF(ED75=1,IF(ABS((1+AS_Wage)/(1+Slot12_Rate)-1)&lt;0.000000000001,(Slot12_Age-D75)*(1+Slot12_Rate)^(Slot12_Age-D75),(1+Slot12_Rate)^(Slot12_Age-D75)*(1-((1+AS_Wage)/(1+Slot12_Rate))^(Slot12_Age-D75))/(1-(1+AS_Wage)/(1+Slot12_Rate))),1)</f>
        <v>1</v>
      </c>
      <c r="LQ75" s="20" t="n">
        <f aca="false">IF(AND(HU75=1,IE75&gt;0,Slot12_IsWG=1,ED75=1),MAX(0,(Slot12_Cost-EE75*(1+Slot12_Rate)^(Slot12_Age-D75))/LP75),0)</f>
        <v>0</v>
      </c>
      <c r="LR75" s="20" t="n">
        <f aca="false">IF(AND(HU75=1,IE75&gt;0,Slot12_IsWG=1,ED75=1),MIN(IE75,LQ75),0)</f>
        <v>0</v>
      </c>
      <c r="LS75" s="20" t="n">
        <f aca="false">EE75+LR75</f>
        <v>0</v>
      </c>
      <c r="LT75" s="20" t="n">
        <f aca="false">IF(ED75=1,MAX(0,(Slot12_Cost-LS75*(1+Slot12_Rate)^(Slot12_Age-D75))/LP75),0)</f>
        <v>0</v>
      </c>
      <c r="LU75" s="20" t="n">
        <f aca="false">IF(ED75=1,MAX(0,(Slot12_Cost-EE75*(1+Slot12_Rate)^(Slot12_Age-D75))/LP75),0)</f>
        <v>0</v>
      </c>
      <c r="LV75" s="20" t="n">
        <f aca="false">IF(AND(HU75=1,ED75=1),MIN(LO75,LT75),0)</f>
        <v>0</v>
      </c>
      <c r="LW75" s="20" t="n">
        <f aca="false">LO75-LV75</f>
        <v>0</v>
      </c>
      <c r="LX75" s="20" t="n">
        <f aca="false">IF(EN75=1,IF(ABS((1+AS_Wage)/(1+Slot13_Rate)-1)&lt;0.000000000001,(Slot13_Age-D75)*(1+Slot13_Rate)^(Slot13_Age-D75),(1+Slot13_Rate)^(Slot13_Age-D75)*(1-((1+AS_Wage)/(1+Slot13_Rate))^(Slot13_Age-D75))/(1-(1+AS_Wage)/(1+Slot13_Rate))),1)</f>
        <v>1</v>
      </c>
      <c r="LY75" s="20" t="n">
        <f aca="false">IF(AND(HU75=1,IE75&gt;0,Slot13_IsWG=1,EN75=1),MAX(0,(Slot13_Cost-EO75*(1+Slot13_Rate)^(Slot13_Age-D75))/LX75),0)</f>
        <v>0</v>
      </c>
      <c r="LZ75" s="20" t="n">
        <f aca="false">IF(AND(HU75=1,IE75&gt;0,Slot13_IsWG=1,EN75=1),MIN(IE75,LY75),0)</f>
        <v>0</v>
      </c>
      <c r="MA75" s="20" t="n">
        <f aca="false">EO75+LZ75</f>
        <v>0</v>
      </c>
      <c r="MB75" s="20" t="n">
        <f aca="false">IF(EN75=1,MAX(0,(Slot13_Cost-MA75*(1+Slot13_Rate)^(Slot13_Age-D75))/LX75),0)</f>
        <v>0</v>
      </c>
      <c r="MC75" s="20" t="n">
        <f aca="false">IF(EN75=1,MAX(0,(Slot13_Cost-EO75*(1+Slot13_Rate)^(Slot13_Age-D75))/LX75),0)</f>
        <v>0</v>
      </c>
      <c r="MD75" s="20" t="n">
        <f aca="false">IF(AND(HU75=1,EN75=1),MIN(LW75,MB75),0)</f>
        <v>0</v>
      </c>
      <c r="ME75" s="20" t="n">
        <f aca="false">LW75-MD75</f>
        <v>0</v>
      </c>
      <c r="MF75" s="20" t="n">
        <f aca="false">IF(EX75=1,IF(ABS((1+AS_Wage)/(1+Slot14_Rate)-1)&lt;0.000000000001,(Slot14_Age-D75)*(1+Slot14_Rate)^(Slot14_Age-D75),(1+Slot14_Rate)^(Slot14_Age-D75)*(1-((1+AS_Wage)/(1+Slot14_Rate))^(Slot14_Age-D75))/(1-(1+AS_Wage)/(1+Slot14_Rate))),1)</f>
        <v>1</v>
      </c>
      <c r="MG75" s="20" t="n">
        <f aca="false">IF(AND(HU75=1,IE75&gt;0,Slot14_IsWG=1,EX75=1),MAX(0,(Slot14_Cost-EY75*(1+Slot14_Rate)^(Slot14_Age-D75))/MF75),0)</f>
        <v>0</v>
      </c>
      <c r="MH75" s="20" t="n">
        <f aca="false">IF(AND(HU75=1,IE75&gt;0,Slot14_IsWG=1,EX75=1),MIN(IE75,MG75),0)</f>
        <v>0</v>
      </c>
      <c r="MI75" s="20" t="n">
        <f aca="false">EY75+MH75</f>
        <v>0</v>
      </c>
      <c r="MJ75" s="20" t="n">
        <f aca="false">IF(EX75=1,MAX(0,(Slot14_Cost-MI75*(1+Slot14_Rate)^(Slot14_Age-D75))/MF75),0)</f>
        <v>0</v>
      </c>
      <c r="MK75" s="20" t="n">
        <f aca="false">IF(EX75=1,MAX(0,(Slot14_Cost-EY75*(1+Slot14_Rate)^(Slot14_Age-D75))/MF75),0)</f>
        <v>0</v>
      </c>
      <c r="ML75" s="20" t="n">
        <f aca="false">IF(AND(HU75=1,EX75=1),MIN(ME75,MJ75),0)</f>
        <v>0</v>
      </c>
      <c r="MM75" s="20" t="n">
        <f aca="false">ME75-ML75</f>
        <v>0</v>
      </c>
      <c r="MN75" s="20" t="n">
        <f aca="false">IF(FH75=1,IF(ABS((1+AS_Wage)/(1+Slot15_Rate)-1)&lt;0.000000000001,(Slot15_Age-D75)*(1+Slot15_Rate)^(Slot15_Age-D75),(1+Slot15_Rate)^(Slot15_Age-D75)*(1-((1+AS_Wage)/(1+Slot15_Rate))^(Slot15_Age-D75))/(1-(1+AS_Wage)/(1+Slot15_Rate))),1)</f>
        <v>1</v>
      </c>
      <c r="MO75" s="20" t="n">
        <f aca="false">IF(AND(HU75=1,IE75&gt;0,Slot15_IsWG=1,FH75=1),MAX(0,(Slot15_Cost-FI75*(1+Slot15_Rate)^(Slot15_Age-D75))/MN75),0)</f>
        <v>0</v>
      </c>
      <c r="MP75" s="20" t="n">
        <f aca="false">IF(AND(HU75=1,IE75&gt;0,Slot15_IsWG=1,FH75=1),MIN(IE75,MO75),0)</f>
        <v>0</v>
      </c>
      <c r="MQ75" s="20" t="n">
        <f aca="false">FI75+MP75</f>
        <v>0</v>
      </c>
      <c r="MR75" s="20" t="n">
        <f aca="false">IF(FH75=1,MAX(0,(Slot15_Cost-MQ75*(1+Slot15_Rate)^(Slot15_Age-D75))/MN75),0)</f>
        <v>0</v>
      </c>
      <c r="MS75" s="20" t="n">
        <f aca="false">IF(FH75=1,MAX(0,(Slot15_Cost-FI75*(1+Slot15_Rate)^(Slot15_Age-D75))/MN75),0)</f>
        <v>0</v>
      </c>
      <c r="MT75" s="20" t="n">
        <f aca="false">IF(AND(HU75=1,FH75=1),MIN(MM75,MR75),0)</f>
        <v>0</v>
      </c>
      <c r="MU75" s="20" t="n">
        <f aca="false">MM75-MT75</f>
        <v>0</v>
      </c>
      <c r="MV75" s="20" t="n">
        <f aca="false">IF(FR75=1,IF(ABS((1+AS_Wage)/(1+Slot16_Rate)-1)&lt;0.000000000001,(Slot16_Age-D75)*(1+Slot16_Rate)^(Slot16_Age-D75),(1+Slot16_Rate)^(Slot16_Age-D75)*(1-((1+AS_Wage)/(1+Slot16_Rate))^(Slot16_Age-D75))/(1-(1+AS_Wage)/(1+Slot16_Rate))),1)</f>
        <v>1</v>
      </c>
      <c r="MW75" s="20" t="n">
        <f aca="false">IF(AND(HU75=1,IE75&gt;0,Slot16_IsWG=1,FR75=1),MAX(0,(Slot16_Cost-FS75*(1+Slot16_Rate)^(Slot16_Age-D75))/MV75),0)</f>
        <v>0</v>
      </c>
      <c r="MX75" s="20" t="n">
        <f aca="false">IF(AND(HU75=1,IE75&gt;0,Slot16_IsWG=1,FR75=1),MIN(IE75,MW75),0)</f>
        <v>0</v>
      </c>
      <c r="MY75" s="20" t="n">
        <f aca="false">FS75+MX75</f>
        <v>0</v>
      </c>
      <c r="MZ75" s="20" t="n">
        <f aca="false">IF(FR75=1,MAX(0,(Slot16_Cost-MY75*(1+Slot16_Rate)^(Slot16_Age-D75))/MV75),0)</f>
        <v>0</v>
      </c>
      <c r="NA75" s="20" t="n">
        <f aca="false">IF(FR75=1,MAX(0,(Slot16_Cost-FS75*(1+Slot16_Rate)^(Slot16_Age-D75))/MV75),0)</f>
        <v>0</v>
      </c>
      <c r="NB75" s="20" t="n">
        <f aca="false">IF(AND(HU75=1,FR75=1),MIN(MU75,MZ75),0)</f>
        <v>0</v>
      </c>
      <c r="NC75" s="20" t="n">
        <f aca="false">MU75-NB75</f>
        <v>0</v>
      </c>
      <c r="ND75" s="20" t="n">
        <f aca="false">IF(GB75=1,IF(ABS((1+AS_Wage)/(1+Slot17_Rate)-1)&lt;0.000000000001,(Slot17_Age-D75)*(1+Slot17_Rate)^(Slot17_Age-D75),(1+Slot17_Rate)^(Slot17_Age-D75)*(1-((1+AS_Wage)/(1+Slot17_Rate))^(Slot17_Age-D75))/(1-(1+AS_Wage)/(1+Slot17_Rate))),1)</f>
        <v>1</v>
      </c>
      <c r="NE75" s="20" t="n">
        <f aca="false">IF(AND(HU75=1,IE75&gt;0,Slot17_IsWG=1,GB75=1),MAX(0,(Slot17_Cost-GC75*(1+Slot17_Rate)^(Slot17_Age-D75))/ND75),0)</f>
        <v>0</v>
      </c>
      <c r="NF75" s="20" t="n">
        <f aca="false">IF(AND(HU75=1,IE75&gt;0,Slot17_IsWG=1,GB75=1),MIN(IE75,NE75),0)</f>
        <v>0</v>
      </c>
      <c r="NG75" s="20" t="n">
        <f aca="false">GC75+NF75</f>
        <v>0</v>
      </c>
      <c r="NH75" s="20" t="n">
        <f aca="false">IF(GB75=1,MAX(0,(Slot17_Cost-NG75*(1+Slot17_Rate)^(Slot17_Age-D75))/ND75),0)</f>
        <v>0</v>
      </c>
      <c r="NI75" s="20" t="n">
        <f aca="false">IF(GB75=1,MAX(0,(Slot17_Cost-GC75*(1+Slot17_Rate)^(Slot17_Age-D75))/ND75),0)</f>
        <v>0</v>
      </c>
      <c r="NJ75" s="20" t="n">
        <f aca="false">IF(AND(HU75=1,GB75=1),MIN(NC75,NH75),0)</f>
        <v>0</v>
      </c>
      <c r="NK75" s="20" t="n">
        <f aca="false">NC75-NJ75</f>
        <v>0</v>
      </c>
      <c r="NL75" s="20" t="n">
        <f aca="false">IF(GL75=1,IF(ABS((1+AS_Wage)/(1+Slot18_Rate)-1)&lt;0.000000000001,(Slot18_Age-D75)*(1+Slot18_Rate)^(Slot18_Age-D75),(1+Slot18_Rate)^(Slot18_Age-D75)*(1-((1+AS_Wage)/(1+Slot18_Rate))^(Slot18_Age-D75))/(1-(1+AS_Wage)/(1+Slot18_Rate))),1)</f>
        <v>1</v>
      </c>
      <c r="NM75" s="20" t="n">
        <f aca="false">IF(AND(HU75=1,IE75&gt;0,Slot18_IsWG=1,GL75=1),MAX(0,(Slot18_Cost-GM75*(1+Slot18_Rate)^(Slot18_Age-D75))/NL75),0)</f>
        <v>0</v>
      </c>
      <c r="NN75" s="20" t="n">
        <f aca="false">IF(AND(HU75=1,IE75&gt;0,Slot18_IsWG=1,GL75=1),MIN(IE75,NM75),0)</f>
        <v>0</v>
      </c>
      <c r="NO75" s="20" t="n">
        <f aca="false">GM75+NN75</f>
        <v>0</v>
      </c>
      <c r="NP75" s="20" t="n">
        <f aca="false">IF(GL75=1,MAX(0,(Slot18_Cost-NO75*(1+Slot18_Rate)^(Slot18_Age-D75))/NL75),0)</f>
        <v>0</v>
      </c>
      <c r="NQ75" s="20" t="n">
        <f aca="false">IF(GL75=1,MAX(0,(Slot18_Cost-GM75*(1+Slot18_Rate)^(Slot18_Age-D75))/NL75),0)</f>
        <v>0</v>
      </c>
      <c r="NR75" s="20" t="n">
        <f aca="false">IF(AND(HU75=1,GL75=1),MIN(NK75,NP75),0)</f>
        <v>0</v>
      </c>
      <c r="NS75" s="20" t="n">
        <f aca="false">NK75-NR75</f>
        <v>0</v>
      </c>
      <c r="NT75" s="20" t="n">
        <f aca="false">IF(GV75=1,IF(ABS((1+AS_Wage)/(1+Slot19_Rate)-1)&lt;0.000000000001,(Slot19_Age-D75)*(1+Slot19_Rate)^(Slot19_Age-D75),(1+Slot19_Rate)^(Slot19_Age-D75)*(1-((1+AS_Wage)/(1+Slot19_Rate))^(Slot19_Age-D75))/(1-(1+AS_Wage)/(1+Slot19_Rate))),1)</f>
        <v>1</v>
      </c>
      <c r="NU75" s="20" t="n">
        <f aca="false">IF(AND(HU75=1,IE75&gt;0,Slot19_IsWG=1,GV75=1),MAX(0,(Slot19_Cost-GW75*(1+Slot19_Rate)^(Slot19_Age-D75))/NT75),0)</f>
        <v>0</v>
      </c>
      <c r="NV75" s="20" t="n">
        <f aca="false">IF(AND(HU75=1,IE75&gt;0,Slot19_IsWG=1,GV75=1),MIN(IE75,NU75),0)</f>
        <v>0</v>
      </c>
      <c r="NW75" s="20" t="n">
        <f aca="false">GW75+NV75</f>
        <v>0</v>
      </c>
      <c r="NX75" s="20" t="n">
        <f aca="false">IF(GV75=1,MAX(0,(Slot19_Cost-NW75*(1+Slot19_Rate)^(Slot19_Age-D75))/NT75),0)</f>
        <v>0</v>
      </c>
      <c r="NY75" s="20" t="n">
        <f aca="false">IF(GV75=1,MAX(0,(Slot19_Cost-GW75*(1+Slot19_Rate)^(Slot19_Age-D75))/NT75),0)</f>
        <v>0</v>
      </c>
      <c r="NZ75" s="20" t="n">
        <f aca="false">IF(AND(HU75=1,GV75=1),MIN(NS75,NX75),0)</f>
        <v>0</v>
      </c>
      <c r="OA75" s="20" t="n">
        <f aca="false">NS75-NZ75</f>
        <v>0</v>
      </c>
      <c r="OB75" s="20" t="n">
        <f aca="false">IF(HF75=1,IF(ABS((1+AS_Wage)/(1+Slot20_Rate)-1)&lt;0.000000000001,(Slot20_Age-D75)*(1+Slot20_Rate)^(Slot20_Age-D75),(1+Slot20_Rate)^(Slot20_Age-D75)*(1-((1+AS_Wage)/(1+Slot20_Rate))^(Slot20_Age-D75))/(1-(1+AS_Wage)/(1+Slot20_Rate))),1)</f>
        <v>1</v>
      </c>
      <c r="OC75" s="20" t="n">
        <f aca="false">IF(AND(HU75=1,IE75&gt;0,Slot20_IsWG=1,HF75=1),MAX(0,(Slot20_Cost-HG75*(1+Slot20_Rate)^(Slot20_Age-D75))/OB75),0)</f>
        <v>0</v>
      </c>
      <c r="OD75" s="20" t="n">
        <f aca="false">IF(AND(HU75=1,IE75&gt;0,Slot20_IsWG=1,HF75=1),MIN(IE75,OC75),0)</f>
        <v>0</v>
      </c>
      <c r="OE75" s="20" t="n">
        <f aca="false">HG75+OD75</f>
        <v>0</v>
      </c>
      <c r="OF75" s="20" t="n">
        <f aca="false">IF(HF75=1,MAX(0,(Slot20_Cost-OE75*(1+Slot20_Rate)^(Slot20_Age-D75))/OB75),0)</f>
        <v>0</v>
      </c>
      <c r="OG75" s="20" t="n">
        <f aca="false">IF(HF75=1,MAX(0,(Slot20_Cost-HG75*(1+Slot20_Rate)^(Slot20_Age-D75))/OB75),0)</f>
        <v>0</v>
      </c>
      <c r="OH75" s="20" t="n">
        <f aca="false">IF(AND(HU75=1,HF75=1),MIN(OA75,OF75),0)</f>
        <v>0</v>
      </c>
      <c r="OI75" s="20" t="n">
        <f aca="false">OA75-OH75</f>
        <v>0</v>
      </c>
      <c r="OJ75" s="20" t="n">
        <f aca="false">IE75-(IH75+IP75+IX75+JF75+JN75+JV75+KD75+KL75+KT75+LB75+LJ75+LR75+LZ75+MH75+MP75+MX75+NF75+NN75+NV75+OD75)</f>
        <v>0</v>
      </c>
      <c r="OK75" s="20" t="n">
        <f aca="false">IF(HU75=1,HS75-ID75-IE75,0)</f>
        <v>0</v>
      </c>
      <c r="OL75" s="20" t="n">
        <f aca="false">IF(HU75=0,-HS75,0)</f>
        <v>72609.2989625512</v>
      </c>
      <c r="OM75" s="20" t="n">
        <f aca="false">MIN(OL75,HK75)</f>
        <v>0</v>
      </c>
      <c r="ON75" s="20" t="n">
        <f aca="false">OL75-OM75</f>
        <v>72609.2989625512</v>
      </c>
      <c r="OO75" s="20" t="n">
        <f aca="false">MIN(ON75,HL75)</f>
        <v>0</v>
      </c>
      <c r="OP75" s="20" t="n">
        <f aca="false">ON75-OO75</f>
        <v>72609.2989625512</v>
      </c>
      <c r="OQ75" s="20" t="n">
        <f aca="false">IF(AND(HU75=0,HF75=1,OP75&gt;0),MIN(OP75,HG75),0)</f>
        <v>0</v>
      </c>
      <c r="OR75" s="20" t="n">
        <f aca="false">OP75-OQ75</f>
        <v>72609.2989625512</v>
      </c>
      <c r="OS75" s="20" t="n">
        <f aca="false">IF(AND(HU75=0,GV75=1,OR75&gt;0),MIN(OR75,GW75),0)</f>
        <v>0</v>
      </c>
      <c r="OT75" s="20" t="n">
        <f aca="false">OR75-OS75</f>
        <v>72609.2989625512</v>
      </c>
      <c r="OU75" s="20" t="n">
        <f aca="false">IF(AND(HU75=0,GL75=1,OT75&gt;0),MIN(OT75,GM75),0)</f>
        <v>0</v>
      </c>
      <c r="OV75" s="20" t="n">
        <f aca="false">OT75-OU75</f>
        <v>72609.2989625512</v>
      </c>
      <c r="OW75" s="20" t="n">
        <f aca="false">IF(AND(HU75=0,GB75=1,OV75&gt;0),MIN(OV75,GC75),0)</f>
        <v>0</v>
      </c>
      <c r="OX75" s="20" t="n">
        <f aca="false">OV75-OW75</f>
        <v>72609.2989625512</v>
      </c>
      <c r="OY75" s="20" t="n">
        <f aca="false">IF(AND(HU75=0,FR75=1,OX75&gt;0),MIN(OX75,FS75),0)</f>
        <v>0</v>
      </c>
      <c r="OZ75" s="20" t="n">
        <f aca="false">OX75-OY75</f>
        <v>72609.2989625512</v>
      </c>
      <c r="PA75" s="20" t="n">
        <f aca="false">IF(AND(HU75=0,FH75=1,OZ75&gt;0),MIN(OZ75,FI75),0)</f>
        <v>0</v>
      </c>
      <c r="PB75" s="20" t="n">
        <f aca="false">OZ75-PA75</f>
        <v>72609.2989625512</v>
      </c>
      <c r="PC75" s="20" t="n">
        <f aca="false">IF(AND(HU75=0,EX75=1,PB75&gt;0),MIN(PB75,EY75),0)</f>
        <v>0</v>
      </c>
      <c r="PD75" s="20" t="n">
        <f aca="false">PB75-PC75</f>
        <v>72609.2989625512</v>
      </c>
      <c r="PE75" s="20" t="n">
        <f aca="false">IF(AND(HU75=0,EN75=1,PD75&gt;0),MIN(PD75,EO75),0)</f>
        <v>0</v>
      </c>
      <c r="PF75" s="20" t="n">
        <f aca="false">PD75-PE75</f>
        <v>72609.2989625512</v>
      </c>
      <c r="PG75" s="20" t="n">
        <f aca="false">IF(AND(HU75=0,ED75=1,PF75&gt;0),MIN(PF75,EE75),0)</f>
        <v>0</v>
      </c>
      <c r="PH75" s="20" t="n">
        <f aca="false">PF75-PG75</f>
        <v>72609.2989625512</v>
      </c>
      <c r="PI75" s="20" t="n">
        <f aca="false">IF(AND(HU75=0,DT75=1,PH75&gt;0),MIN(PH75,DU75),0)</f>
        <v>0</v>
      </c>
      <c r="PJ75" s="20" t="n">
        <f aca="false">PH75-PI75</f>
        <v>72609.2989625512</v>
      </c>
      <c r="PK75" s="20" t="n">
        <f aca="false">IF(AND(HU75=0,DJ75=1,PJ75&gt;0),MIN(PJ75,DK75),0)</f>
        <v>0</v>
      </c>
      <c r="PL75" s="20" t="n">
        <f aca="false">PJ75-PK75</f>
        <v>72609.2989625512</v>
      </c>
      <c r="PM75" s="20" t="n">
        <f aca="false">IF(AND(HU75=0,CZ75=1,PL75&gt;0),MIN(PL75,DA75),0)</f>
        <v>0</v>
      </c>
      <c r="PN75" s="20" t="n">
        <f aca="false">PL75-PM75</f>
        <v>72609.2989625512</v>
      </c>
      <c r="PO75" s="20" t="n">
        <f aca="false">IF(AND(HU75=0,CP75=1,PN75&gt;0),MIN(PN75,CQ75),0)</f>
        <v>0</v>
      </c>
      <c r="PP75" s="20" t="n">
        <f aca="false">PN75-PO75</f>
        <v>72609.2989625512</v>
      </c>
      <c r="PQ75" s="20" t="n">
        <f aca="false">IF(AND(HU75=0,CF75=1,PP75&gt;0),MIN(PP75,CG75),0)</f>
        <v>0</v>
      </c>
      <c r="PR75" s="20" t="n">
        <f aca="false">PP75-PQ75</f>
        <v>72609.2989625512</v>
      </c>
      <c r="PS75" s="20" t="n">
        <f aca="false">IF(AND(HU75=0,BV75=1,PR75&gt;0),MIN(PR75,BW75),0)</f>
        <v>0</v>
      </c>
      <c r="PT75" s="20" t="n">
        <f aca="false">PR75-PS75</f>
        <v>72609.2989625512</v>
      </c>
      <c r="PU75" s="20" t="n">
        <f aca="false">IF(AND(HU75=0,BL75=1,PT75&gt;0),MIN(PT75,BM75),0)</f>
        <v>0</v>
      </c>
      <c r="PV75" s="20" t="n">
        <f aca="false">PT75-PU75</f>
        <v>72609.2989625512</v>
      </c>
      <c r="PW75" s="20" t="n">
        <f aca="false">IF(AND(HU75=0,BB75=1,PV75&gt;0),MIN(PV75,BC75),0)</f>
        <v>0</v>
      </c>
      <c r="PX75" s="20" t="n">
        <f aca="false">PV75-PW75</f>
        <v>72609.2989625512</v>
      </c>
      <c r="PY75" s="20" t="n">
        <f aca="false">IF(AND(HU75=0,AR75=1,PX75&gt;0),MIN(PX75,AS75),0)</f>
        <v>0</v>
      </c>
      <c r="PZ75" s="20" t="n">
        <f aca="false">PX75-PY75</f>
        <v>72609.2989625512</v>
      </c>
      <c r="QA75" s="20" t="n">
        <f aca="false">IF(AND(HU75=0,AH75=1,PZ75&gt;0),MIN(PZ75,AI75),0)</f>
        <v>0</v>
      </c>
      <c r="QB75" s="20" t="n">
        <f aca="false">PZ75-QA75</f>
        <v>72609.2989625512</v>
      </c>
      <c r="QC75" s="20" t="n">
        <f aca="false">IF(AND(HU75=0,W75=1,QB75&gt;0),MIN(QB75,X75),0)</f>
        <v>0</v>
      </c>
      <c r="QD75" s="20" t="n">
        <f aca="false">QB75-QC75</f>
        <v>72609.2989625512</v>
      </c>
      <c r="QE75" s="20" t="n">
        <f aca="false">IF(HU75=0,QD75,0)</f>
        <v>72609.2989625512</v>
      </c>
      <c r="QF75" s="20" t="n">
        <f aca="false">OM75+OO75+QC75+QA75+PY75+PW75+PU75+PS75+PQ75+PO75+PM75+PK75+PI75+PG75+PE75+PC75+PA75+OY75+OW75+OU75+OS75+OQ75</f>
        <v>0</v>
      </c>
      <c r="QG75" s="20" t="n">
        <f aca="false">IF(HU75=1,HK75+OJ75+OI75+IF(G75=1,0,OK75),HK75-OM75)</f>
        <v>0</v>
      </c>
      <c r="QH75" s="20" t="n">
        <f aca="false">HL75-OO75</f>
        <v>0</v>
      </c>
      <c r="QI75" s="20" t="n">
        <f aca="false">IF(HU75=1,IF(G75=1,ID75+IE75,HS75),0)</f>
        <v>0</v>
      </c>
      <c r="QJ75" s="20" t="n">
        <f aca="false">IF(HU75=1,IF(G75=1,HS75-ID75-IE75,0),0)</f>
        <v>0</v>
      </c>
      <c r="QK75" s="20" t="n">
        <f aca="false">QG75*(1+GR)</f>
        <v>0</v>
      </c>
      <c r="QL75" s="20" t="n">
        <f aca="false">QH75*(1+AS_Cash)</f>
        <v>0</v>
      </c>
      <c r="QM75" s="20" t="n">
        <f aca="false">IF(W75=1,IF(HU75=1,II75+IL75,X75-QC75)*(1+Slot1_Rate),0)</f>
        <v>0</v>
      </c>
      <c r="QN75" s="20" t="n">
        <f aca="false">IF(AND(HU75=1,W75=1),(IH75+IL75)/F75,0)</f>
        <v>0</v>
      </c>
      <c r="QO75" s="20" t="n">
        <f aca="false">IF(B75=0,IH75+IL75,0)</f>
        <v>0</v>
      </c>
      <c r="QP75" s="20" t="n">
        <f aca="false">IF(B75=0,IF(HU75=1,IJ75,IK75),0)</f>
        <v>0</v>
      </c>
      <c r="QQ75" s="20" t="n">
        <f aca="false">IF(AH75=1,IF(HU75=1,IQ75+IT75,AI75-QA75)*(1+Slot2_Rate),0)</f>
        <v>0</v>
      </c>
      <c r="QR75" s="20" t="n">
        <f aca="false">IF(AND(HU75=1,AH75=1),(IP75+IT75)/F75,0)</f>
        <v>0</v>
      </c>
      <c r="QS75" s="20" t="n">
        <f aca="false">IF(B75=0,IP75+IT75,0)</f>
        <v>0</v>
      </c>
      <c r="QT75" s="20" t="n">
        <f aca="false">IF(B75=0,IF(HU75=1,IR75,IS75),0)</f>
        <v>0</v>
      </c>
      <c r="QU75" s="20" t="n">
        <f aca="false">IF(AR75=1,IF(HU75=1,IY75+JB75,AS75-PY75)*(1+Slot3_Rate),0)</f>
        <v>0</v>
      </c>
      <c r="QV75" s="20" t="n">
        <f aca="false">IF(AND(HU75=1,AR75=1),(IX75+JB75)/F75,0)</f>
        <v>0</v>
      </c>
      <c r="QW75" s="20" t="n">
        <f aca="false">IF(B75=0,IX75+JB75,0)</f>
        <v>0</v>
      </c>
      <c r="QX75" s="20" t="n">
        <f aca="false">IF(B75=0,IF(HU75=1,IZ75,JA75),0)</f>
        <v>0</v>
      </c>
      <c r="QY75" s="20" t="n">
        <f aca="false">IF(BB75=1,IF(HU75=1,JG75+JJ75,BC75-PW75)*(1+Slot4_Rate),0)</f>
        <v>0</v>
      </c>
      <c r="QZ75" s="20" t="n">
        <f aca="false">IF(AND(HU75=1,BB75=1),(JF75+JJ75)/F75,0)</f>
        <v>0</v>
      </c>
      <c r="RA75" s="20" t="n">
        <f aca="false">IF(B75=0,JF75+JJ75,0)</f>
        <v>0</v>
      </c>
      <c r="RB75" s="20" t="n">
        <f aca="false">IF(B75=0,IF(HU75=1,JH75,JI75),0)</f>
        <v>0</v>
      </c>
      <c r="RC75" s="20" t="n">
        <f aca="false">IF(BL75=1,IF(HU75=1,JO75+JR75,BM75-PU75)*(1+Slot5_Rate),0)</f>
        <v>0</v>
      </c>
      <c r="RD75" s="20" t="n">
        <f aca="false">IF(AND(HU75=1,BL75=1),(JN75+JR75)/F75,0)</f>
        <v>0</v>
      </c>
      <c r="RE75" s="20" t="n">
        <f aca="false">IF(B75=0,JN75+JR75,0)</f>
        <v>0</v>
      </c>
      <c r="RF75" s="20" t="n">
        <f aca="false">IF(B75=0,IF(HU75=1,JP75,JQ75),0)</f>
        <v>0</v>
      </c>
      <c r="RG75" s="20" t="n">
        <f aca="false">IF(BV75=1,IF(HU75=1,JW75+JZ75,BW75-PS75)*(1+Slot6_Rate),0)</f>
        <v>0</v>
      </c>
      <c r="RH75" s="20" t="n">
        <f aca="false">IF(AND(HU75=1,BV75=1),(JV75+JZ75)/F75,0)</f>
        <v>0</v>
      </c>
      <c r="RI75" s="20" t="n">
        <f aca="false">IF(B75=0,JV75+JZ75,0)</f>
        <v>0</v>
      </c>
      <c r="RJ75" s="20" t="n">
        <f aca="false">IF(B75=0,IF(HU75=1,JX75,JY75),0)</f>
        <v>0</v>
      </c>
      <c r="RK75" s="20" t="n">
        <f aca="false">IF(CF75=1,IF(HU75=1,KE75+KH75,CG75-PQ75)*(1+Slot7_Rate),0)</f>
        <v>0</v>
      </c>
      <c r="RL75" s="20" t="n">
        <f aca="false">IF(AND(HU75=1,CF75=1),(KD75+KH75)/F75,0)</f>
        <v>0</v>
      </c>
      <c r="RM75" s="20" t="n">
        <f aca="false">IF(B75=0,KD75+KH75,0)</f>
        <v>0</v>
      </c>
      <c r="RN75" s="20" t="n">
        <f aca="false">IF(B75=0,IF(HU75=1,KF75,KG75),0)</f>
        <v>0</v>
      </c>
      <c r="RO75" s="20" t="n">
        <f aca="false">IF(CP75=1,IF(HU75=1,KM75+KP75,CQ75-PO75)*(1+Slot8_Rate),0)</f>
        <v>0</v>
      </c>
      <c r="RP75" s="20" t="n">
        <f aca="false">IF(AND(HU75=1,CP75=1),(KL75+KP75)/F75,0)</f>
        <v>0</v>
      </c>
      <c r="RQ75" s="20" t="n">
        <f aca="false">IF(B75=0,KL75+KP75,0)</f>
        <v>0</v>
      </c>
      <c r="RR75" s="20" t="n">
        <f aca="false">IF(B75=0,IF(HU75=1,KN75,KO75),0)</f>
        <v>0</v>
      </c>
      <c r="RS75" s="20" t="n">
        <f aca="false">IF(CZ75=1,IF(HU75=1,KU75+KX75,DA75-PM75)*(1+Slot9_Rate),0)</f>
        <v>0</v>
      </c>
      <c r="RT75" s="20" t="n">
        <f aca="false">IF(AND(HU75=1,CZ75=1),(KT75+KX75)/F75,0)</f>
        <v>0</v>
      </c>
      <c r="RU75" s="20" t="n">
        <f aca="false">IF(B75=0,KT75+KX75,0)</f>
        <v>0</v>
      </c>
      <c r="RV75" s="20" t="n">
        <f aca="false">IF(B75=0,IF(HU75=1,KV75,KW75),0)</f>
        <v>0</v>
      </c>
      <c r="RW75" s="20" t="n">
        <f aca="false">IF(DJ75=1,IF(HU75=1,LC75+LF75,DK75-PK75)*(1+Slot10_Rate),0)</f>
        <v>0</v>
      </c>
      <c r="RX75" s="20" t="n">
        <f aca="false">IF(AND(HU75=1,DJ75=1),(LB75+LF75)/F75,0)</f>
        <v>0</v>
      </c>
      <c r="RY75" s="20" t="n">
        <f aca="false">IF(B75=0,LB75+LF75,0)</f>
        <v>0</v>
      </c>
      <c r="RZ75" s="20" t="n">
        <f aca="false">IF(B75=0,IF(HU75=1,LD75,LE75),0)</f>
        <v>0</v>
      </c>
      <c r="SA75" s="20" t="n">
        <f aca="false">IF(DT75=1,IF(HU75=1,LK75+LN75,DU75-PI75)*(1+Slot11_Rate),0)</f>
        <v>0</v>
      </c>
      <c r="SB75" s="20" t="n">
        <f aca="false">IF(AND(HU75=1,DT75=1),(LJ75+LN75)/F75,0)</f>
        <v>0</v>
      </c>
      <c r="SC75" s="20" t="n">
        <f aca="false">IF(B75=0,LJ75+LN75,0)</f>
        <v>0</v>
      </c>
      <c r="SD75" s="20" t="n">
        <f aca="false">IF(B75=0,IF(HU75=1,LL75,LM75),0)</f>
        <v>0</v>
      </c>
      <c r="SE75" s="20" t="n">
        <f aca="false">IF(ED75=1,IF(HU75=1,LS75+LV75,EE75-PG75)*(1+Slot12_Rate),0)</f>
        <v>0</v>
      </c>
      <c r="SF75" s="20" t="n">
        <f aca="false">IF(AND(HU75=1,ED75=1),(LR75+LV75)/F75,0)</f>
        <v>0</v>
      </c>
      <c r="SG75" s="20" t="n">
        <f aca="false">IF(B75=0,LR75+LV75,0)</f>
        <v>0</v>
      </c>
      <c r="SH75" s="20" t="n">
        <f aca="false">IF(B75=0,IF(HU75=1,LT75,LU75),0)</f>
        <v>0</v>
      </c>
      <c r="SI75" s="20" t="n">
        <f aca="false">IF(EN75=1,IF(HU75=1,MA75+MD75,EO75-PE75)*(1+Slot13_Rate),0)</f>
        <v>0</v>
      </c>
      <c r="SJ75" s="20" t="n">
        <f aca="false">IF(AND(HU75=1,EN75=1),(LZ75+MD75)/F75,0)</f>
        <v>0</v>
      </c>
      <c r="SK75" s="20" t="n">
        <f aca="false">IF(B75=0,LZ75+MD75,0)</f>
        <v>0</v>
      </c>
      <c r="SL75" s="20" t="n">
        <f aca="false">IF(B75=0,IF(HU75=1,MB75,MC75),0)</f>
        <v>0</v>
      </c>
      <c r="SM75" s="20" t="n">
        <f aca="false">IF(EX75=1,IF(HU75=1,MI75+ML75,EY75-PC75)*(1+Slot14_Rate),0)</f>
        <v>0</v>
      </c>
      <c r="SN75" s="20" t="n">
        <f aca="false">IF(AND(HU75=1,EX75=1),(MH75+ML75)/F75,0)</f>
        <v>0</v>
      </c>
      <c r="SO75" s="20" t="n">
        <f aca="false">IF(B75=0,MH75+ML75,0)</f>
        <v>0</v>
      </c>
      <c r="SP75" s="20" t="n">
        <f aca="false">IF(B75=0,IF(HU75=1,MJ75,MK75),0)</f>
        <v>0</v>
      </c>
      <c r="SQ75" s="20" t="n">
        <f aca="false">IF(FH75=1,IF(HU75=1,MQ75+MT75,FI75-PA75)*(1+Slot15_Rate),0)</f>
        <v>0</v>
      </c>
      <c r="SR75" s="20" t="n">
        <f aca="false">IF(AND(HU75=1,FH75=1),(MP75+MT75)/F75,0)</f>
        <v>0</v>
      </c>
      <c r="SS75" s="20" t="n">
        <f aca="false">IF(B75=0,MP75+MT75,0)</f>
        <v>0</v>
      </c>
      <c r="ST75" s="20" t="n">
        <f aca="false">IF(B75=0,IF(HU75=1,MR75,MS75),0)</f>
        <v>0</v>
      </c>
      <c r="SU75" s="20" t="n">
        <f aca="false">IF(FR75=1,IF(HU75=1,MY75+NB75,FS75-OY75)*(1+Slot16_Rate),0)</f>
        <v>0</v>
      </c>
      <c r="SV75" s="20" t="n">
        <f aca="false">IF(AND(HU75=1,FR75=1),(MX75+NB75)/F75,0)</f>
        <v>0</v>
      </c>
      <c r="SW75" s="20" t="n">
        <f aca="false">IF(B75=0,MX75+NB75,0)</f>
        <v>0</v>
      </c>
      <c r="SX75" s="20" t="n">
        <f aca="false">IF(B75=0,IF(HU75=1,MZ75,NA75),0)</f>
        <v>0</v>
      </c>
      <c r="SY75" s="20" t="n">
        <f aca="false">IF(GB75=1,IF(HU75=1,NG75+NJ75,GC75-OW75)*(1+Slot17_Rate),0)</f>
        <v>0</v>
      </c>
      <c r="SZ75" s="20" t="n">
        <f aca="false">IF(AND(HU75=1,GB75=1),(NF75+NJ75)/F75,0)</f>
        <v>0</v>
      </c>
      <c r="TA75" s="20" t="n">
        <f aca="false">IF(B75=0,NF75+NJ75,0)</f>
        <v>0</v>
      </c>
      <c r="TB75" s="20" t="n">
        <f aca="false">IF(B75=0,IF(HU75=1,NH75,NI75),0)</f>
        <v>0</v>
      </c>
      <c r="TC75" s="20" t="n">
        <f aca="false">IF(GL75=1,IF(HU75=1,NO75+NR75,GM75-OU75)*(1+Slot18_Rate),0)</f>
        <v>0</v>
      </c>
      <c r="TD75" s="20" t="n">
        <f aca="false">IF(AND(HU75=1,GL75=1),(NN75+NR75)/F75,0)</f>
        <v>0</v>
      </c>
      <c r="TE75" s="20" t="n">
        <f aca="false">IF(B75=0,NN75+NR75,0)</f>
        <v>0</v>
      </c>
      <c r="TF75" s="20" t="n">
        <f aca="false">IF(B75=0,IF(HU75=1,NP75,NQ75),0)</f>
        <v>0</v>
      </c>
      <c r="TG75" s="20" t="n">
        <f aca="false">IF(GV75=1,IF(HU75=1,NW75+NZ75,GW75-OS75)*(1+Slot19_Rate),0)</f>
        <v>0</v>
      </c>
      <c r="TH75" s="20" t="n">
        <f aca="false">IF(AND(HU75=1,GV75=1),(NV75+NZ75)/F75,0)</f>
        <v>0</v>
      </c>
      <c r="TI75" s="20" t="n">
        <f aca="false">IF(B75=0,NV75+NZ75,0)</f>
        <v>0</v>
      </c>
      <c r="TJ75" s="20" t="n">
        <f aca="false">IF(B75=0,IF(HU75=1,NX75,NY75),0)</f>
        <v>0</v>
      </c>
      <c r="TK75" s="20" t="n">
        <f aca="false">IF(HF75=1,IF(HU75=1,OE75+OH75,HG75-OQ75)*(1+Slot20_Rate),0)</f>
        <v>0</v>
      </c>
      <c r="TL75" s="20" t="n">
        <f aca="false">IF(AND(HU75=1,HF75=1),(OD75+OH75)/F75,0)</f>
        <v>0</v>
      </c>
      <c r="TM75" s="20" t="n">
        <f aca="false">IF(B75=0,OD75+OH75,0)</f>
        <v>0</v>
      </c>
      <c r="TN75" s="20" t="n">
        <f aca="false">IF(B75=0,IF(HU75=1,OF75,OG75),0)</f>
        <v>0</v>
      </c>
      <c r="TO75" s="20" t="n">
        <f aca="false">QK75+QL75+QM75+QQ75+QU75+QY75+RC75+RG75+RK75+RO75+RS75+RW75+SA75+SE75+SI75+SM75+SQ75+SU75+SY75+TC75+TG75+TK75</f>
        <v>0</v>
      </c>
      <c r="TP75" s="20" t="n">
        <f aca="false">QE75+HP75</f>
        <v>72609.2989625512</v>
      </c>
      <c r="TQ75" s="20" t="n">
        <f aca="false">I75+S75</f>
        <v>180152.131393804</v>
      </c>
      <c r="TR75" s="20" t="n">
        <f aca="false">1-G75</f>
        <v>1</v>
      </c>
      <c r="TS75" s="20" t="n">
        <f aca="false">IF(AND(RG_Exists=1,G75=0,C75=1),I75,0)</f>
        <v>0</v>
      </c>
      <c r="TT75" s="20" t="n">
        <f aca="false">IF(AND(RG_Exists=1,G75=0,C75=1),I75-MIN(QE75,I75),0)</f>
        <v>0</v>
      </c>
      <c r="TU75" s="20" t="n">
        <f aca="false">'Plan pay &amp; tax'!AD301</f>
        <v>0</v>
      </c>
      <c r="TV75" s="20" t="n">
        <f aca="false">IF(AND(C75=1,QE75&gt;MAX(PR_Short1,TQ75*PR_Short2)),1,0)</f>
        <v>0</v>
      </c>
      <c r="TW75" s="20" t="n">
        <f aca="false">MIN(H75,I75+S75)</f>
        <v>107542.832431252</v>
      </c>
      <c r="TX75" s="20" t="n">
        <f aca="false">QF75+MAX(0,HQ75-HP75)</f>
        <v>0</v>
      </c>
      <c r="TY75" s="20" t="n">
        <f aca="false">QE75+HP75</f>
        <v>72609.2989625512</v>
      </c>
      <c r="TZ75" s="20" t="n">
        <f aca="false">IF(AND(C75=1,TY75&gt;PR_MinShort),1,0)</f>
        <v>0</v>
      </c>
      <c r="UA75" s="20" t="n">
        <f aca="false">IF(AND(C75=1,TZ75=0,TX75&gt;PR_MinShort),1,0)</f>
        <v>0</v>
      </c>
      <c r="UB75" s="20" t="n">
        <f aca="false">IF(AND(C75=1,QE75&gt;PR_MinShort),1,0)</f>
        <v>0</v>
      </c>
      <c r="UC75" s="20" t="n">
        <f aca="false">IF(AND(C75=1,QF75&gt;1,UJ75=0),1,0)</f>
        <v>0</v>
      </c>
      <c r="UD75" s="20" t="str">
        <f aca="false">IF(C75=0,"",IF(UJ75=1,"Gap to plan for: short "&amp;"€"&amp;TEXT(ROUND(TP75,0),"#,##0"),IF(QF75&gt;1,"Using savings","Comfortable")))</f>
        <v/>
      </c>
      <c r="UE75" s="20" t="n">
        <f aca="false">IF(AND(INT(D75/10)*10=90,B75&gt;0),80,INT(D75/10)*10)</f>
        <v>100</v>
      </c>
      <c r="UF75" s="20" t="n">
        <f aca="false">IF(B75=0,1,IF(UE75&lt;&gt;UE74,UF74+1,UF74))</f>
        <v>7</v>
      </c>
      <c r="UG75" s="20" t="n">
        <f aca="false">IF(AND(C75=1,G75=1,QE75&gt;MAX(PR_Short1,TQ75*PR_Short2)),1,0)</f>
        <v>0</v>
      </c>
      <c r="UH75" s="20" t="n">
        <f aca="false">TR75*TV75</f>
        <v>0</v>
      </c>
      <c r="UI75" s="20" t="n">
        <f aca="false">IF(AND(V75=1,Slot1_PctLow=1),1,0)+IF(AND(AG75=1,Slot2_PctLow=1),1,0)+IF(AND(AQ75=1,Slot3_PctLow=1),1,0)+IF(AND(BA75=1,Slot4_PctLow=1),1,0)+IF(AND(BK75=1,Slot5_PctLow=1),1,0)+IF(AND(BU75=1,Slot6_PctLow=1),1,0)+IF(AND(CE75=1,Slot7_PctLow=1),1,0)+IF(AND(CO75=1,Slot8_PctLow=1),1,0)+IF(AND(CY75=1,Slot9_PctLow=1),1,0)+IF(AND(DI75=1,Slot10_PctLow=1),1,0)+IF(AND(DS75=1,Slot11_PctLow=1),1,0)+IF(AND(EC75=1,Slot12_PctLow=1),1,0)+IF(AND(EM75=1,Slot13_PctLow=1),1,0)+IF(AND(EW75=1,Slot14_PctLow=1),1,0)+IF(AND(FG75=1,Slot15_PctLow=1),1,0)+IF(AND(FQ75=1,Slot16_PctLow=1),1,0)+IF(AND(GA75=1,Slot17_PctLow=1),1,0)+IF(AND(GK75=1,Slot18_PctLow=1),1,0)+IF(AND(GU75=1,Slot19_PctLow=1),1,0)+IF(AND(HE75=1,Slot20_PctLow=1),1,0)</f>
        <v>0</v>
      </c>
      <c r="UJ75" s="20" t="n">
        <f aca="false">IF(C75=1,IF(OR(TV75=1,UI75&gt;0),1,0),0)</f>
        <v>0</v>
      </c>
    </row>
    <row r="76" customFormat="false" ht="15" hidden="false" customHeight="true" outlineLevel="0" collapsed="false">
      <c r="B76" s="20" t="n">
        <v>68</v>
      </c>
      <c r="C76" s="20" t="n">
        <f aca="false">IF(B76&lt;=F_N,1,0)</f>
        <v>0</v>
      </c>
      <c r="D76" s="20" t="n">
        <f aca="false">'Plan pay &amp; tax'!C302</f>
        <v>106</v>
      </c>
      <c r="E76" s="20" t="str">
        <f aca="false">IF($C76=1,"Income tax "&amp;TEXT(N('Plan pay &amp; tax'!BK302),"#,##0")&amp;"; USC "&amp;TEXT(N('Plan pay &amp; tax'!BM302)+N('Plan pay &amp; tax'!BO302),"#,##0")&amp;"; PRSI "&amp;TEXT(N('Plan pay &amp; tax'!BP302)+N('Plan pay &amp; tax'!BQ302),"#,##0")&amp;". DIRT and exit tax are inside the growth rates here.","")</f>
        <v/>
      </c>
      <c r="F76" s="44" t="n">
        <f aca="false">'Plan pay &amp; tax'!E302</f>
        <v>3.8442505025456</v>
      </c>
      <c r="G76" s="20" t="n">
        <f aca="false">'Plan pay &amp; tax'!G302</f>
        <v>0</v>
      </c>
      <c r="H76" s="20" t="n">
        <f aca="false">'Plan pay &amp; tax'!BT302-'Plan pay &amp; tax'!BS302-'Plan pay &amp; tax'!R302</f>
        <v>109693.689079877</v>
      </c>
      <c r="I76" s="20" t="n">
        <f aca="false">IF(G76=1,F_CostsM*12,IF(RG_Exists=1,RG_Amount,F_CostsM*12*AS_RetireSpend))*F76+F_OneOffY*F76</f>
        <v>183755.17402168</v>
      </c>
      <c r="J76" s="20" t="n">
        <f aca="false">HR75</f>
        <v>0</v>
      </c>
      <c r="K76" s="20" t="n">
        <f aca="false">IF(J76&gt;1,'Plan debt months'!AC76,0)</f>
        <v>0</v>
      </c>
      <c r="L76" s="20" t="n">
        <f aca="false">IF(J76&gt;1,'Plan debt months'!AB76,J76)</f>
        <v>0</v>
      </c>
      <c r="M76" s="20" t="n">
        <f aca="false">O75</f>
        <v>0</v>
      </c>
      <c r="N76" s="20" t="n">
        <f aca="false">IF(M76&gt;1,'Plan debt months'!BD76,0)</f>
        <v>0</v>
      </c>
      <c r="O76" s="20" t="n">
        <f aca="false">IF(M76&gt;1,'Plan debt months'!BC76,M76)</f>
        <v>0</v>
      </c>
      <c r="P76" s="20" t="n">
        <f aca="false">R75</f>
        <v>0</v>
      </c>
      <c r="Q76" s="20" t="n">
        <f aca="false">IF(P76&gt;1,'Plan debt months'!CE76,0)</f>
        <v>0</v>
      </c>
      <c r="R76" s="20" t="n">
        <f aca="false">IF(P76&gt;1,'Plan debt months'!CD76,P76)</f>
        <v>0</v>
      </c>
      <c r="S76" s="20" t="n">
        <f aca="false">K76+N76+Q76</f>
        <v>0</v>
      </c>
      <c r="T76" s="20" t="n">
        <f aca="false">QK75+'Plan pay &amp; tax'!Y302</f>
        <v>0</v>
      </c>
      <c r="U76" s="20" t="n">
        <f aca="false">QK75</f>
        <v>0</v>
      </c>
      <c r="V76" s="20" t="n">
        <f aca="false">IF(AND(Slot1_On=1,D76=Slot1_Age),1,0)</f>
        <v>0</v>
      </c>
      <c r="W76" s="20" t="n">
        <f aca="false">IF(AND(Slot1_On=1,Slot1_Age&gt;D76),1,0)</f>
        <v>0</v>
      </c>
      <c r="X76" s="20" t="n">
        <f aca="false">QM75</f>
        <v>0</v>
      </c>
      <c r="Y76" s="20" t="n">
        <f aca="false">V76*MIN(Slot1_Cost,X76)</f>
        <v>0</v>
      </c>
      <c r="Z76" s="20" t="n">
        <f aca="false">V76*Slot1_SpendLike*MIN(Slot1_Cost-Y76,T76)</f>
        <v>0</v>
      </c>
      <c r="AA76" s="20" t="n">
        <f aca="false">Y76+Z76</f>
        <v>0</v>
      </c>
      <c r="AB76" s="20" t="n">
        <f aca="false">T76-Z76+V76*IF(Slot1_SpendLike=1,X76-Y76,IF(Slot1_PotFree=1,X76,0))</f>
        <v>0</v>
      </c>
      <c r="AC76" s="20" t="n">
        <f aca="false">AF76+V76*Slot1_BufPot*X76</f>
        <v>0</v>
      </c>
      <c r="AD76" s="20" t="n">
        <f aca="false">IF(AND(V76=1,Slot1_IsMfree=1),IF(AA76&gt;=Slot1_Cost-1,0,MAX(0,L76-AA76)),L76)</f>
        <v>0</v>
      </c>
      <c r="AE76" s="20" t="n">
        <f aca="false">V76*(Slot1_Cost-AA76)</f>
        <v>0</v>
      </c>
      <c r="AF76" s="20" t="n">
        <f aca="false">QL75</f>
        <v>0</v>
      </c>
      <c r="AG76" s="20" t="n">
        <f aca="false">IF(AND(Slot2_On=1,D76=Slot2_Age),1,0)</f>
        <v>0</v>
      </c>
      <c r="AH76" s="20" t="n">
        <f aca="false">IF(AND(Slot2_On=1,Slot2_Age&gt;D76),1,0)</f>
        <v>0</v>
      </c>
      <c r="AI76" s="20" t="n">
        <f aca="false">QQ75</f>
        <v>0</v>
      </c>
      <c r="AJ76" s="20" t="n">
        <f aca="false">AG76*MIN(Slot2_Cost,AI76)</f>
        <v>0</v>
      </c>
      <c r="AK76" s="20" t="n">
        <f aca="false">AG76*Slot2_SpendLike*MIN(Slot2_Cost-AJ76,AB76)</f>
        <v>0</v>
      </c>
      <c r="AL76" s="20" t="n">
        <f aca="false">AJ76+AK76</f>
        <v>0</v>
      </c>
      <c r="AM76" s="20" t="n">
        <f aca="false">AB76-AK76+AG76*IF(Slot2_SpendLike=1,AI76-AJ76,IF(Slot2_PotFree=1,AI76,0))</f>
        <v>0</v>
      </c>
      <c r="AN76" s="20" t="n">
        <f aca="false">AC76+AG76*Slot2_BufPot*AI76</f>
        <v>0</v>
      </c>
      <c r="AO76" s="20" t="n">
        <f aca="false">IF(AND(AG76=1,Slot2_IsMfree=1),IF(AL76&gt;=Slot2_Cost-1,0,MAX(0,AD76-AL76)),AD76)</f>
        <v>0</v>
      </c>
      <c r="AP76" s="20" t="n">
        <f aca="false">AG76*(Slot2_Cost-AL76)</f>
        <v>0</v>
      </c>
      <c r="AQ76" s="20" t="n">
        <f aca="false">IF(AND(Slot3_On=1,D76=Slot3_Age),1,0)</f>
        <v>0</v>
      </c>
      <c r="AR76" s="20" t="n">
        <f aca="false">IF(AND(Slot3_On=1,Slot3_Age&gt;D76),1,0)</f>
        <v>0</v>
      </c>
      <c r="AS76" s="20" t="n">
        <f aca="false">QU75</f>
        <v>0</v>
      </c>
      <c r="AT76" s="20" t="n">
        <f aca="false">AQ76*MIN(Slot3_Cost,AS76)</f>
        <v>0</v>
      </c>
      <c r="AU76" s="20" t="n">
        <f aca="false">AQ76*Slot3_SpendLike*MIN(Slot3_Cost-AT76,AM76)</f>
        <v>0</v>
      </c>
      <c r="AV76" s="20" t="n">
        <f aca="false">AT76+AU76</f>
        <v>0</v>
      </c>
      <c r="AW76" s="20" t="n">
        <f aca="false">AM76-AU76+AQ76*IF(Slot3_SpendLike=1,AS76-AT76,IF(Slot3_PotFree=1,AS76,0))</f>
        <v>0</v>
      </c>
      <c r="AX76" s="20" t="n">
        <f aca="false">AN76+AQ76*Slot3_BufPot*AS76</f>
        <v>0</v>
      </c>
      <c r="AY76" s="20" t="n">
        <f aca="false">IF(AND(AQ76=1,Slot3_IsMfree=1),IF(AV76&gt;=Slot3_Cost-1,0,MAX(0,AO76-AV76)),AO76)</f>
        <v>0</v>
      </c>
      <c r="AZ76" s="20" t="n">
        <f aca="false">AQ76*(Slot3_Cost-AV76)</f>
        <v>0</v>
      </c>
      <c r="BA76" s="20" t="n">
        <f aca="false">IF(AND(Slot4_On=1,D76=Slot4_Age),1,0)</f>
        <v>0</v>
      </c>
      <c r="BB76" s="20" t="n">
        <f aca="false">IF(AND(Slot4_On=1,Slot4_Age&gt;D76),1,0)</f>
        <v>0</v>
      </c>
      <c r="BC76" s="20" t="n">
        <f aca="false">QY75</f>
        <v>0</v>
      </c>
      <c r="BD76" s="20" t="n">
        <f aca="false">BA76*MIN(Slot4_Cost,BC76)</f>
        <v>0</v>
      </c>
      <c r="BE76" s="20" t="n">
        <f aca="false">BA76*Slot4_SpendLike*MIN(Slot4_Cost-BD76,AW76)</f>
        <v>0</v>
      </c>
      <c r="BF76" s="20" t="n">
        <f aca="false">BD76+BE76</f>
        <v>0</v>
      </c>
      <c r="BG76" s="20" t="n">
        <f aca="false">AW76-BE76+BA76*IF(Slot4_SpendLike=1,BC76-BD76,IF(Slot4_PotFree=1,BC76,0))</f>
        <v>0</v>
      </c>
      <c r="BH76" s="20" t="n">
        <f aca="false">AX76+BA76*Slot4_BufPot*BC76</f>
        <v>0</v>
      </c>
      <c r="BI76" s="20" t="n">
        <f aca="false">IF(AND(BA76=1,Slot4_IsMfree=1),IF(BF76&gt;=Slot4_Cost-1,0,MAX(0,AY76-BF76)),AY76)</f>
        <v>0</v>
      </c>
      <c r="BJ76" s="20" t="n">
        <f aca="false">BA76*(Slot4_Cost-BF76)</f>
        <v>0</v>
      </c>
      <c r="BK76" s="20" t="n">
        <f aca="false">IF(AND(Slot5_On=1,D76=Slot5_Age),1,0)</f>
        <v>0</v>
      </c>
      <c r="BL76" s="20" t="n">
        <f aca="false">IF(AND(Slot5_On=1,Slot5_Age&gt;D76),1,0)</f>
        <v>0</v>
      </c>
      <c r="BM76" s="20" t="n">
        <f aca="false">RC75</f>
        <v>0</v>
      </c>
      <c r="BN76" s="20" t="n">
        <f aca="false">BK76*MIN(Slot5_Cost,BM76)</f>
        <v>0</v>
      </c>
      <c r="BO76" s="20" t="n">
        <f aca="false">BK76*Slot5_SpendLike*MIN(Slot5_Cost-BN76,BG76)</f>
        <v>0</v>
      </c>
      <c r="BP76" s="20" t="n">
        <f aca="false">BN76+BO76</f>
        <v>0</v>
      </c>
      <c r="BQ76" s="20" t="n">
        <f aca="false">BG76-BO76+BK76*IF(Slot5_SpendLike=1,BM76-BN76,IF(Slot5_PotFree=1,BM76,0))</f>
        <v>0</v>
      </c>
      <c r="BR76" s="20" t="n">
        <f aca="false">BH76+BK76*Slot5_BufPot*BM76</f>
        <v>0</v>
      </c>
      <c r="BS76" s="20" t="n">
        <f aca="false">IF(AND(BK76=1,Slot5_IsMfree=1),IF(BP76&gt;=Slot5_Cost-1,0,MAX(0,BI76-BP76)),BI76)</f>
        <v>0</v>
      </c>
      <c r="BT76" s="20" t="n">
        <f aca="false">BK76*(Slot5_Cost-BP76)</f>
        <v>0</v>
      </c>
      <c r="BU76" s="20" t="n">
        <f aca="false">IF(AND(Slot6_On=1,D76=Slot6_Age),1,0)</f>
        <v>0</v>
      </c>
      <c r="BV76" s="20" t="n">
        <f aca="false">IF(AND(Slot6_On=1,Slot6_Age&gt;D76),1,0)</f>
        <v>0</v>
      </c>
      <c r="BW76" s="20" t="n">
        <f aca="false">RG75</f>
        <v>0</v>
      </c>
      <c r="BX76" s="20" t="n">
        <f aca="false">BU76*MIN(Slot6_Cost,BW76)</f>
        <v>0</v>
      </c>
      <c r="BY76" s="20" t="n">
        <f aca="false">BU76*Slot6_SpendLike*MIN(Slot6_Cost-BX76,BQ76)</f>
        <v>0</v>
      </c>
      <c r="BZ76" s="20" t="n">
        <f aca="false">BX76+BY76</f>
        <v>0</v>
      </c>
      <c r="CA76" s="20" t="n">
        <f aca="false">BQ76-BY76+BU76*IF(Slot6_SpendLike=1,BW76-BX76,IF(Slot6_PotFree=1,BW76,0))</f>
        <v>0</v>
      </c>
      <c r="CB76" s="20" t="n">
        <f aca="false">BR76+BU76*Slot6_BufPot*BW76</f>
        <v>0</v>
      </c>
      <c r="CC76" s="20" t="n">
        <f aca="false">IF(AND(BU76=1,Slot6_IsMfree=1),IF(BZ76&gt;=Slot6_Cost-1,0,MAX(0,BS76-BZ76)),BS76)</f>
        <v>0</v>
      </c>
      <c r="CD76" s="20" t="n">
        <f aca="false">BU76*(Slot6_Cost-BZ76)</f>
        <v>0</v>
      </c>
      <c r="CE76" s="20" t="n">
        <f aca="false">IF(AND(Slot7_On=1,D76=Slot7_Age),1,0)</f>
        <v>0</v>
      </c>
      <c r="CF76" s="20" t="n">
        <f aca="false">IF(AND(Slot7_On=1,Slot7_Age&gt;D76),1,0)</f>
        <v>0</v>
      </c>
      <c r="CG76" s="20" t="n">
        <f aca="false">RK75</f>
        <v>0</v>
      </c>
      <c r="CH76" s="20" t="n">
        <f aca="false">CE76*MIN(Slot7_Cost,CG76)</f>
        <v>0</v>
      </c>
      <c r="CI76" s="20" t="n">
        <f aca="false">CE76*Slot7_SpendLike*MIN(Slot7_Cost-CH76,CA76)</f>
        <v>0</v>
      </c>
      <c r="CJ76" s="20" t="n">
        <f aca="false">CH76+CI76</f>
        <v>0</v>
      </c>
      <c r="CK76" s="20" t="n">
        <f aca="false">CA76-CI76+CE76*IF(Slot7_SpendLike=1,CG76-CH76,IF(Slot7_PotFree=1,CG76,0))</f>
        <v>0</v>
      </c>
      <c r="CL76" s="20" t="n">
        <f aca="false">CB76+CE76*Slot7_BufPot*CG76</f>
        <v>0</v>
      </c>
      <c r="CM76" s="20" t="n">
        <f aca="false">IF(AND(CE76=1,Slot7_IsMfree=1),IF(CJ76&gt;=Slot7_Cost-1,0,MAX(0,CC76-CJ76)),CC76)</f>
        <v>0</v>
      </c>
      <c r="CN76" s="20" t="n">
        <f aca="false">CE76*(Slot7_Cost-CJ76)</f>
        <v>0</v>
      </c>
      <c r="CO76" s="20" t="n">
        <f aca="false">IF(AND(Slot8_On=1,D76=Slot8_Age),1,0)</f>
        <v>0</v>
      </c>
      <c r="CP76" s="20" t="n">
        <f aca="false">IF(AND(Slot8_On=1,Slot8_Age&gt;D76),1,0)</f>
        <v>0</v>
      </c>
      <c r="CQ76" s="20" t="n">
        <f aca="false">RO75</f>
        <v>0</v>
      </c>
      <c r="CR76" s="20" t="n">
        <f aca="false">CO76*MIN(Slot8_Cost,CQ76)</f>
        <v>0</v>
      </c>
      <c r="CS76" s="20" t="n">
        <f aca="false">CO76*Slot8_SpendLike*MIN(Slot8_Cost-CR76,CK76)</f>
        <v>0</v>
      </c>
      <c r="CT76" s="20" t="n">
        <f aca="false">CR76+CS76</f>
        <v>0</v>
      </c>
      <c r="CU76" s="20" t="n">
        <f aca="false">CK76-CS76+CO76*IF(Slot8_SpendLike=1,CQ76-CR76,IF(Slot8_PotFree=1,CQ76,0))</f>
        <v>0</v>
      </c>
      <c r="CV76" s="20" t="n">
        <f aca="false">CL76+CO76*Slot8_BufPot*CQ76</f>
        <v>0</v>
      </c>
      <c r="CW76" s="20" t="n">
        <f aca="false">IF(AND(CO76=1,Slot8_IsMfree=1),IF(CT76&gt;=Slot8_Cost-1,0,MAX(0,CM76-CT76)),CM76)</f>
        <v>0</v>
      </c>
      <c r="CX76" s="20" t="n">
        <f aca="false">CO76*(Slot8_Cost-CT76)</f>
        <v>0</v>
      </c>
      <c r="CY76" s="20" t="n">
        <f aca="false">IF(AND(Slot9_On=1,D76=Slot9_Age),1,0)</f>
        <v>0</v>
      </c>
      <c r="CZ76" s="20" t="n">
        <f aca="false">IF(AND(Slot9_On=1,Slot9_Age&gt;D76),1,0)</f>
        <v>0</v>
      </c>
      <c r="DA76" s="20" t="n">
        <f aca="false">RS75</f>
        <v>0</v>
      </c>
      <c r="DB76" s="20" t="n">
        <f aca="false">CY76*MIN(Slot9_Cost,DA76)</f>
        <v>0</v>
      </c>
      <c r="DC76" s="20" t="n">
        <f aca="false">CY76*Slot9_SpendLike*MIN(Slot9_Cost-DB76,CU76)</f>
        <v>0</v>
      </c>
      <c r="DD76" s="20" t="n">
        <f aca="false">DB76+DC76</f>
        <v>0</v>
      </c>
      <c r="DE76" s="20" t="n">
        <f aca="false">CU76-DC76+CY76*IF(Slot9_SpendLike=1,DA76-DB76,IF(Slot9_PotFree=1,DA76,0))</f>
        <v>0</v>
      </c>
      <c r="DF76" s="20" t="n">
        <f aca="false">CV76+CY76*Slot9_BufPot*DA76</f>
        <v>0</v>
      </c>
      <c r="DG76" s="20" t="n">
        <f aca="false">IF(AND(CY76=1,Slot9_IsMfree=1),IF(DD76&gt;=Slot9_Cost-1,0,MAX(0,CW76-DD76)),CW76)</f>
        <v>0</v>
      </c>
      <c r="DH76" s="20" t="n">
        <f aca="false">CY76*(Slot9_Cost-DD76)</f>
        <v>0</v>
      </c>
      <c r="DI76" s="20" t="n">
        <f aca="false">IF(AND(Slot10_On=1,D76=Slot10_Age),1,0)</f>
        <v>0</v>
      </c>
      <c r="DJ76" s="20" t="n">
        <f aca="false">IF(AND(Slot10_On=1,Slot10_Age&gt;D76),1,0)</f>
        <v>0</v>
      </c>
      <c r="DK76" s="20" t="n">
        <f aca="false">RW75</f>
        <v>0</v>
      </c>
      <c r="DL76" s="20" t="n">
        <f aca="false">DI76*MIN(Slot10_Cost,DK76)</f>
        <v>0</v>
      </c>
      <c r="DM76" s="20" t="n">
        <f aca="false">DI76*Slot10_SpendLike*MIN(Slot10_Cost-DL76,DE76)</f>
        <v>0</v>
      </c>
      <c r="DN76" s="20" t="n">
        <f aca="false">DL76+DM76</f>
        <v>0</v>
      </c>
      <c r="DO76" s="20" t="n">
        <f aca="false">DE76-DM76+DI76*IF(Slot10_SpendLike=1,DK76-DL76,IF(Slot10_PotFree=1,DK76,0))</f>
        <v>0</v>
      </c>
      <c r="DP76" s="20" t="n">
        <f aca="false">DF76+DI76*Slot10_BufPot*DK76</f>
        <v>0</v>
      </c>
      <c r="DQ76" s="20" t="n">
        <f aca="false">IF(AND(DI76=1,Slot10_IsMfree=1),IF(DN76&gt;=Slot10_Cost-1,0,MAX(0,DG76-DN76)),DG76)</f>
        <v>0</v>
      </c>
      <c r="DR76" s="20" t="n">
        <f aca="false">DI76*(Slot10_Cost-DN76)</f>
        <v>0</v>
      </c>
      <c r="DS76" s="20" t="n">
        <f aca="false">IF(AND(Slot11_On=1,D76=Slot11_Age),1,0)</f>
        <v>0</v>
      </c>
      <c r="DT76" s="20" t="n">
        <f aca="false">IF(AND(Slot11_On=1,Slot11_Age&gt;D76),1,0)</f>
        <v>0</v>
      </c>
      <c r="DU76" s="20" t="n">
        <f aca="false">SA75</f>
        <v>0</v>
      </c>
      <c r="DV76" s="20" t="n">
        <f aca="false">DS76*MIN(Slot11_Cost,DU76)</f>
        <v>0</v>
      </c>
      <c r="DW76" s="20" t="n">
        <f aca="false">DS76*Slot11_SpendLike*MIN(Slot11_Cost-DV76,DO76)</f>
        <v>0</v>
      </c>
      <c r="DX76" s="20" t="n">
        <f aca="false">DV76+DW76</f>
        <v>0</v>
      </c>
      <c r="DY76" s="20" t="n">
        <f aca="false">DO76-DW76+DS76*IF(Slot11_SpendLike=1,DU76-DV76,IF(Slot11_PotFree=1,DU76,0))</f>
        <v>0</v>
      </c>
      <c r="DZ76" s="20" t="n">
        <f aca="false">DP76+DS76*Slot11_BufPot*DU76</f>
        <v>0</v>
      </c>
      <c r="EA76" s="20" t="n">
        <f aca="false">IF(AND(DS76=1,Slot11_IsMfree=1),IF(DX76&gt;=Slot11_Cost-1,0,MAX(0,DQ76-DX76)),DQ76)</f>
        <v>0</v>
      </c>
      <c r="EB76" s="20" t="n">
        <f aca="false">DS76*(Slot11_Cost-DX76)</f>
        <v>0</v>
      </c>
      <c r="EC76" s="20" t="n">
        <f aca="false">IF(AND(Slot12_On=1,D76=Slot12_Age),1,0)</f>
        <v>0</v>
      </c>
      <c r="ED76" s="20" t="n">
        <f aca="false">IF(AND(Slot12_On=1,Slot12_Age&gt;D76),1,0)</f>
        <v>0</v>
      </c>
      <c r="EE76" s="20" t="n">
        <f aca="false">SE75</f>
        <v>0</v>
      </c>
      <c r="EF76" s="20" t="n">
        <f aca="false">EC76*MIN(Slot12_Cost,EE76)</f>
        <v>0</v>
      </c>
      <c r="EG76" s="20" t="n">
        <f aca="false">EC76*Slot12_SpendLike*MIN(Slot12_Cost-EF76,DY76)</f>
        <v>0</v>
      </c>
      <c r="EH76" s="20" t="n">
        <f aca="false">EF76+EG76</f>
        <v>0</v>
      </c>
      <c r="EI76" s="20" t="n">
        <f aca="false">DY76-EG76+EC76*IF(Slot12_SpendLike=1,EE76-EF76,IF(Slot12_PotFree=1,EE76,0))</f>
        <v>0</v>
      </c>
      <c r="EJ76" s="20" t="n">
        <f aca="false">DZ76+EC76*Slot12_BufPot*EE76</f>
        <v>0</v>
      </c>
      <c r="EK76" s="20" t="n">
        <f aca="false">IF(AND(EC76=1,Slot12_IsMfree=1),IF(EH76&gt;=Slot12_Cost-1,0,MAX(0,EA76-EH76)),EA76)</f>
        <v>0</v>
      </c>
      <c r="EL76" s="20" t="n">
        <f aca="false">EC76*(Slot12_Cost-EH76)</f>
        <v>0</v>
      </c>
      <c r="EM76" s="20" t="n">
        <f aca="false">IF(AND(Slot13_On=1,D76=Slot13_Age),1,0)</f>
        <v>0</v>
      </c>
      <c r="EN76" s="20" t="n">
        <f aca="false">IF(AND(Slot13_On=1,Slot13_Age&gt;D76),1,0)</f>
        <v>0</v>
      </c>
      <c r="EO76" s="20" t="n">
        <f aca="false">SI75</f>
        <v>0</v>
      </c>
      <c r="EP76" s="20" t="n">
        <f aca="false">EM76*MIN(Slot13_Cost,EO76)</f>
        <v>0</v>
      </c>
      <c r="EQ76" s="20" t="n">
        <f aca="false">EM76*Slot13_SpendLike*MIN(Slot13_Cost-EP76,EI76)</f>
        <v>0</v>
      </c>
      <c r="ER76" s="20" t="n">
        <f aca="false">EP76+EQ76</f>
        <v>0</v>
      </c>
      <c r="ES76" s="20" t="n">
        <f aca="false">EI76-EQ76+EM76*IF(Slot13_SpendLike=1,EO76-EP76,IF(Slot13_PotFree=1,EO76,0))</f>
        <v>0</v>
      </c>
      <c r="ET76" s="20" t="n">
        <f aca="false">EJ76+EM76*Slot13_BufPot*EO76</f>
        <v>0</v>
      </c>
      <c r="EU76" s="20" t="n">
        <f aca="false">IF(AND(EM76=1,Slot13_IsMfree=1),IF(ER76&gt;=Slot13_Cost-1,0,MAX(0,EK76-ER76)),EK76)</f>
        <v>0</v>
      </c>
      <c r="EV76" s="20" t="n">
        <f aca="false">EM76*(Slot13_Cost-ER76)</f>
        <v>0</v>
      </c>
      <c r="EW76" s="20" t="n">
        <f aca="false">IF(AND(Slot14_On=1,D76=Slot14_Age),1,0)</f>
        <v>0</v>
      </c>
      <c r="EX76" s="20" t="n">
        <f aca="false">IF(AND(Slot14_On=1,Slot14_Age&gt;D76),1,0)</f>
        <v>0</v>
      </c>
      <c r="EY76" s="20" t="n">
        <f aca="false">SM75</f>
        <v>0</v>
      </c>
      <c r="EZ76" s="20" t="n">
        <f aca="false">EW76*MIN(Slot14_Cost,EY76)</f>
        <v>0</v>
      </c>
      <c r="FA76" s="20" t="n">
        <f aca="false">EW76*Slot14_SpendLike*MIN(Slot14_Cost-EZ76,ES76)</f>
        <v>0</v>
      </c>
      <c r="FB76" s="20" t="n">
        <f aca="false">EZ76+FA76</f>
        <v>0</v>
      </c>
      <c r="FC76" s="20" t="n">
        <f aca="false">ES76-FA76+EW76*IF(Slot14_SpendLike=1,EY76-EZ76,IF(Slot14_PotFree=1,EY76,0))</f>
        <v>0</v>
      </c>
      <c r="FD76" s="20" t="n">
        <f aca="false">ET76+EW76*Slot14_BufPot*EY76</f>
        <v>0</v>
      </c>
      <c r="FE76" s="20" t="n">
        <f aca="false">IF(AND(EW76=1,Slot14_IsMfree=1),IF(FB76&gt;=Slot14_Cost-1,0,MAX(0,EU76-FB76)),EU76)</f>
        <v>0</v>
      </c>
      <c r="FF76" s="20" t="n">
        <f aca="false">EW76*(Slot14_Cost-FB76)</f>
        <v>0</v>
      </c>
      <c r="FG76" s="20" t="n">
        <f aca="false">IF(AND(Slot15_On=1,D76=Slot15_Age),1,0)</f>
        <v>0</v>
      </c>
      <c r="FH76" s="20" t="n">
        <f aca="false">IF(AND(Slot15_On=1,Slot15_Age&gt;D76),1,0)</f>
        <v>0</v>
      </c>
      <c r="FI76" s="20" t="n">
        <f aca="false">SQ75</f>
        <v>0</v>
      </c>
      <c r="FJ76" s="20" t="n">
        <f aca="false">FG76*MIN(Slot15_Cost,FI76)</f>
        <v>0</v>
      </c>
      <c r="FK76" s="20" t="n">
        <f aca="false">FG76*Slot15_SpendLike*MIN(Slot15_Cost-FJ76,FC76)</f>
        <v>0</v>
      </c>
      <c r="FL76" s="20" t="n">
        <f aca="false">FJ76+FK76</f>
        <v>0</v>
      </c>
      <c r="FM76" s="20" t="n">
        <f aca="false">FC76-FK76+FG76*IF(Slot15_SpendLike=1,FI76-FJ76,IF(Slot15_PotFree=1,FI76,0))</f>
        <v>0</v>
      </c>
      <c r="FN76" s="20" t="n">
        <f aca="false">FD76+FG76*Slot15_BufPot*FI76</f>
        <v>0</v>
      </c>
      <c r="FO76" s="20" t="n">
        <f aca="false">IF(AND(FG76=1,Slot15_IsMfree=1),IF(FL76&gt;=Slot15_Cost-1,0,MAX(0,FE76-FL76)),FE76)</f>
        <v>0</v>
      </c>
      <c r="FP76" s="20" t="n">
        <f aca="false">FG76*(Slot15_Cost-FL76)</f>
        <v>0</v>
      </c>
      <c r="FQ76" s="20" t="n">
        <f aca="false">IF(AND(Slot16_On=1,D76=Slot16_Age),1,0)</f>
        <v>0</v>
      </c>
      <c r="FR76" s="20" t="n">
        <f aca="false">IF(AND(Slot16_On=1,Slot16_Age&gt;D76),1,0)</f>
        <v>0</v>
      </c>
      <c r="FS76" s="20" t="n">
        <f aca="false">SU75</f>
        <v>0</v>
      </c>
      <c r="FT76" s="20" t="n">
        <f aca="false">FQ76*MIN(Slot16_Cost,FS76)</f>
        <v>0</v>
      </c>
      <c r="FU76" s="20" t="n">
        <f aca="false">FQ76*Slot16_SpendLike*MIN(Slot16_Cost-FT76,FM76)</f>
        <v>0</v>
      </c>
      <c r="FV76" s="20" t="n">
        <f aca="false">FT76+FU76</f>
        <v>0</v>
      </c>
      <c r="FW76" s="20" t="n">
        <f aca="false">FM76-FU76+FQ76*IF(Slot16_SpendLike=1,FS76-FT76,IF(Slot16_PotFree=1,FS76,0))</f>
        <v>0</v>
      </c>
      <c r="FX76" s="20" t="n">
        <f aca="false">FN76+FQ76*Slot16_BufPot*FS76</f>
        <v>0</v>
      </c>
      <c r="FY76" s="20" t="n">
        <f aca="false">IF(AND(FQ76=1,Slot16_IsMfree=1),IF(FV76&gt;=Slot16_Cost-1,0,MAX(0,FO76-FV76)),FO76)</f>
        <v>0</v>
      </c>
      <c r="FZ76" s="20" t="n">
        <f aca="false">FQ76*(Slot16_Cost-FV76)</f>
        <v>0</v>
      </c>
      <c r="GA76" s="20" t="n">
        <f aca="false">IF(AND(Slot17_On=1,D76=Slot17_Age),1,0)</f>
        <v>0</v>
      </c>
      <c r="GB76" s="20" t="n">
        <f aca="false">IF(AND(Slot17_On=1,Slot17_Age&gt;D76),1,0)</f>
        <v>0</v>
      </c>
      <c r="GC76" s="20" t="n">
        <f aca="false">SY75</f>
        <v>0</v>
      </c>
      <c r="GD76" s="20" t="n">
        <f aca="false">GA76*MIN(Slot17_Cost,GC76)</f>
        <v>0</v>
      </c>
      <c r="GE76" s="20" t="n">
        <f aca="false">GA76*Slot17_SpendLike*MIN(Slot17_Cost-GD76,FW76)</f>
        <v>0</v>
      </c>
      <c r="GF76" s="20" t="n">
        <f aca="false">GD76+GE76</f>
        <v>0</v>
      </c>
      <c r="GG76" s="20" t="n">
        <f aca="false">FW76-GE76+GA76*IF(Slot17_SpendLike=1,GC76-GD76,IF(Slot17_PotFree=1,GC76,0))</f>
        <v>0</v>
      </c>
      <c r="GH76" s="20" t="n">
        <f aca="false">FX76+GA76*Slot17_BufPot*GC76</f>
        <v>0</v>
      </c>
      <c r="GI76" s="20" t="n">
        <f aca="false">IF(AND(GA76=1,Slot17_IsMfree=1),IF(GF76&gt;=Slot17_Cost-1,0,MAX(0,FY76-GF76)),FY76)</f>
        <v>0</v>
      </c>
      <c r="GJ76" s="20" t="n">
        <f aca="false">GA76*(Slot17_Cost-GF76)</f>
        <v>0</v>
      </c>
      <c r="GK76" s="20" t="n">
        <f aca="false">IF(AND(Slot18_On=1,D76=Slot18_Age),1,0)</f>
        <v>0</v>
      </c>
      <c r="GL76" s="20" t="n">
        <f aca="false">IF(AND(Slot18_On=1,Slot18_Age&gt;D76),1,0)</f>
        <v>0</v>
      </c>
      <c r="GM76" s="20" t="n">
        <f aca="false">TC75</f>
        <v>0</v>
      </c>
      <c r="GN76" s="20" t="n">
        <f aca="false">GK76*MIN(Slot18_Cost,GM76)</f>
        <v>0</v>
      </c>
      <c r="GO76" s="20" t="n">
        <f aca="false">GK76*Slot18_SpendLike*MIN(Slot18_Cost-GN76,GG76)</f>
        <v>0</v>
      </c>
      <c r="GP76" s="20" t="n">
        <f aca="false">GN76+GO76</f>
        <v>0</v>
      </c>
      <c r="GQ76" s="20" t="n">
        <f aca="false">GG76-GO76+GK76*IF(Slot18_SpendLike=1,GM76-GN76,IF(Slot18_PotFree=1,GM76,0))</f>
        <v>0</v>
      </c>
      <c r="GR76" s="20" t="n">
        <f aca="false">GH76+GK76*Slot18_BufPot*GM76</f>
        <v>0</v>
      </c>
      <c r="GS76" s="20" t="n">
        <f aca="false">IF(AND(GK76=1,Slot18_IsMfree=1),IF(GP76&gt;=Slot18_Cost-1,0,MAX(0,GI76-GP76)),GI76)</f>
        <v>0</v>
      </c>
      <c r="GT76" s="20" t="n">
        <f aca="false">GK76*(Slot18_Cost-GP76)</f>
        <v>0</v>
      </c>
      <c r="GU76" s="20" t="n">
        <f aca="false">IF(AND(Slot19_On=1,D76=Slot19_Age),1,0)</f>
        <v>0</v>
      </c>
      <c r="GV76" s="20" t="n">
        <f aca="false">IF(AND(Slot19_On=1,Slot19_Age&gt;D76),1,0)</f>
        <v>0</v>
      </c>
      <c r="GW76" s="20" t="n">
        <f aca="false">TG75</f>
        <v>0</v>
      </c>
      <c r="GX76" s="20" t="n">
        <f aca="false">GU76*MIN(Slot19_Cost,GW76)</f>
        <v>0</v>
      </c>
      <c r="GY76" s="20" t="n">
        <f aca="false">GU76*Slot19_SpendLike*MIN(Slot19_Cost-GX76,GQ76)</f>
        <v>0</v>
      </c>
      <c r="GZ76" s="20" t="n">
        <f aca="false">GX76+GY76</f>
        <v>0</v>
      </c>
      <c r="HA76" s="20" t="n">
        <f aca="false">GQ76-GY76+GU76*IF(Slot19_SpendLike=1,GW76-GX76,IF(Slot19_PotFree=1,GW76,0))</f>
        <v>0</v>
      </c>
      <c r="HB76" s="20" t="n">
        <f aca="false">GR76+GU76*Slot19_BufPot*GW76</f>
        <v>0</v>
      </c>
      <c r="HC76" s="20" t="n">
        <f aca="false">IF(AND(GU76=1,Slot19_IsMfree=1),IF(GZ76&gt;=Slot19_Cost-1,0,MAX(0,GS76-GZ76)),GS76)</f>
        <v>0</v>
      </c>
      <c r="HD76" s="20" t="n">
        <f aca="false">GU76*(Slot19_Cost-GZ76)</f>
        <v>0</v>
      </c>
      <c r="HE76" s="20" t="n">
        <f aca="false">IF(AND(Slot20_On=1,D76=Slot20_Age),1,0)</f>
        <v>0</v>
      </c>
      <c r="HF76" s="20" t="n">
        <f aca="false">IF(AND(Slot20_On=1,Slot20_Age&gt;D76),1,0)</f>
        <v>0</v>
      </c>
      <c r="HG76" s="20" t="n">
        <f aca="false">TK75</f>
        <v>0</v>
      </c>
      <c r="HH76" s="20" t="n">
        <f aca="false">HE76*MIN(Slot20_Cost,HG76)</f>
        <v>0</v>
      </c>
      <c r="HI76" s="20" t="n">
        <f aca="false">HE76*Slot20_SpendLike*MIN(Slot20_Cost-HH76,HA76)</f>
        <v>0</v>
      </c>
      <c r="HJ76" s="20" t="n">
        <f aca="false">HH76+HI76</f>
        <v>0</v>
      </c>
      <c r="HK76" s="20" t="n">
        <f aca="false">HA76-HI76+HE76*IF(Slot20_SpendLike=1,HG76-HH76,IF(Slot20_PotFree=1,HG76,0))</f>
        <v>0</v>
      </c>
      <c r="HL76" s="20" t="n">
        <f aca="false">HB76+HE76*Slot20_BufPot*HG76</f>
        <v>0</v>
      </c>
      <c r="HM76" s="20" t="n">
        <f aca="false">IF(AND(HE76=1,Slot20_IsMfree=1),IF(HJ76&gt;=Slot20_Cost-1,0,MAX(0,HC76-HJ76)),HC76)</f>
        <v>0</v>
      </c>
      <c r="HN76" s="20" t="n">
        <f aca="false">HE76*(Slot20_Cost-HJ76)</f>
        <v>0</v>
      </c>
      <c r="HO76" s="20" t="n">
        <f aca="false">V76*Slot1_SpendLike*AA76+AG76*Slot2_SpendLike*AL76+AQ76*Slot3_SpendLike*AV76+BA76*Slot4_SpendLike*BF76+BK76*Slot5_SpendLike*BP76+BU76*Slot6_SpendLike*BZ76+CE76*Slot7_SpendLike*CJ76+CO76*Slot8_SpendLike*CT76+CY76*Slot9_SpendLike*DD76+DI76*Slot10_SpendLike*DN76+DS76*Slot11_SpendLike*DX76+EC76*Slot12_SpendLike*EH76+EM76*Slot13_SpendLike*ER76+EW76*Slot14_SpendLike*FB76+FG76*Slot15_SpendLike*FL76+FQ76*Slot16_SpendLike*FV76+GA76*Slot17_SpendLike*GF76+GK76*Slot18_SpendLike*GP76+GU76*Slot19_SpendLike*GZ76+HE76*Slot20_SpendLike*HJ76</f>
        <v>0</v>
      </c>
      <c r="HP76" s="20" t="n">
        <f aca="false">AE76+AP76+AZ76+BJ76+BT76+CD76+CN76+CX76+DH76+DR76+EB76+EL76+EV76+FF76+FP76+FZ76+GJ76+GT76+HD76+HN76</f>
        <v>0</v>
      </c>
      <c r="HQ76" s="20" t="n">
        <f aca="false">V76*Slot1_Cost+AG76*Slot2_Cost+AQ76*Slot3_Cost+BA76*Slot4_Cost+BK76*Slot5_Cost+BU76*Slot6_Cost+CE76*Slot7_Cost+CO76*Slot8_Cost+CY76*Slot9_Cost+DI76*Slot10_Cost+DS76*Slot11_Cost+EC76*Slot12_Cost+EM76*Slot13_Cost+EW76*Slot14_Cost+FG76*Slot15_Cost+FQ76*Slot16_Cost+GA76*Slot17_Cost+GK76*Slot18_Cost+GU76*Slot19_Cost+HE76*Slot20_Cost</f>
        <v>0</v>
      </c>
      <c r="HR76" s="20" t="n">
        <f aca="false">HM76</f>
        <v>0</v>
      </c>
      <c r="HS76" s="20" t="n">
        <f aca="false">H76-I76-S76</f>
        <v>-74061.4849418023</v>
      </c>
      <c r="HT76" s="20" t="n">
        <f aca="false">IF(B76=0,IF(AND(Has_q6=1,In_q6=4),PR_ShareVaries*(MAX(0,HS76)/12),MIN(IF(Has_q6=1,CHOOSE(In_q6+1,PR_SaveB1,PR_SaveB2,PR_SaveB3,PR_SaveB4,0),AS_NoAnswer),AS_SaveShare*(MAX(0,HS76)/12))),HT75)</f>
        <v>62.3316893520437</v>
      </c>
      <c r="HU76" s="20" t="n">
        <f aca="false">IF(HS76&gt;=0,1,0)</f>
        <v>0</v>
      </c>
      <c r="HV76" s="20" t="n">
        <f aca="false">MAX(0,HS76/12/F76)</f>
        <v>0</v>
      </c>
      <c r="HW76" s="20" t="n">
        <f aca="false">IF(AND(Has_q6=1,In_q6=4),PR_ShareVaries*(HV76),MIN(IF(Has_q6=1,CHOOSE(In_q6+1,PR_SaveB1,PR_SaveB2,PR_SaveB3,PR_SaveB4,0),AS_NoAnswer),AS_SaveShare*(HV76)))</f>
        <v>0</v>
      </c>
      <c r="HX76" s="20" t="n">
        <f aca="false">IF(Has_saveM=1,IF(In_saveUp="Yes",1,IF(In_saveUp="No",0,IF(In_saveM&gt;=HT76-0.5,1,0))),0)</f>
        <v>0</v>
      </c>
      <c r="HY76" s="20" t="n">
        <f aca="false">IF(Has_saveM=1,MIN(HV76,IF(HX76=1,MAX(In_saveM,HW76),MIN(In_saveM,HW76))),HW76)</f>
        <v>0</v>
      </c>
      <c r="HZ76" s="20" t="n">
        <f aca="false">IF(G76=1,HY76*12*F76,0)</f>
        <v>0</v>
      </c>
      <c r="IA76" s="20" t="n">
        <f aca="false">MAX(0,HZ76+IF(AND(WI_Retire=0,WI_M&lt;0,G76=1),WI_M*12*F76,0))</f>
        <v>0</v>
      </c>
      <c r="IB76" s="20" t="n">
        <f aca="false">Slot1_IsWG*W76+Slot2_IsWG*AH76+Slot3_IsWG*AR76+Slot4_IsWG*BB76+Slot5_IsWG*BL76+Slot6_IsWG*BV76+Slot7_IsWG*CF76+Slot8_IsWG*CP76+Slot9_IsWG*CZ76+Slot10_IsWG*DJ76+Slot11_IsWG*DT76+Slot12_IsWG*ED76+Slot13_IsWG*EN76+Slot14_IsWG*EX76+Slot15_IsWG*FH76+Slot16_IsWG*FR76+Slot17_IsWG*GB76+Slot18_IsWG*GL76+Slot19_IsWG*GV76+Slot20_IsWG*HF76</f>
        <v>0</v>
      </c>
      <c r="IC76" s="20" t="n">
        <f aca="false">IF(AND(WI_Retire=0,WI_M&gt;0,G76=1,IB76&gt;=1),WI_M*12*F76,0)</f>
        <v>0</v>
      </c>
      <c r="ID76" s="20" t="n">
        <f aca="false">IF(HU76=1,MIN(IA76,HS76),0)</f>
        <v>0</v>
      </c>
      <c r="IE76" s="20" t="n">
        <f aca="false">IF(HU76=1,MIN(IC76,HS76-ID76),0)</f>
        <v>0</v>
      </c>
      <c r="IF76" s="20" t="n">
        <f aca="false">IF(W76=1,IF(ABS((1+AS_Wage)/(1+Slot1_Rate)-1)&lt;0.000000000001,(Slot1_Age-D76)*(1+Slot1_Rate)^(Slot1_Age-D76),(1+Slot1_Rate)^(Slot1_Age-D76)*(1-((1+AS_Wage)/(1+Slot1_Rate))^(Slot1_Age-D76))/(1-(1+AS_Wage)/(1+Slot1_Rate))),1)</f>
        <v>1</v>
      </c>
      <c r="IG76" s="20" t="n">
        <f aca="false">IF(AND(HU76=1,IE76&gt;0,Slot1_IsWG=1,W76=1),MAX(0,(Slot1_Cost-X76*(1+Slot1_Rate)^(Slot1_Age-D76))/IF76),0)</f>
        <v>0</v>
      </c>
      <c r="IH76" s="20" t="n">
        <f aca="false">IF(AND(HU76=1,IE76&gt;0,Slot1_IsWG=1,W76=1),MIN(IE76,IG76),0)</f>
        <v>0</v>
      </c>
      <c r="II76" s="20" t="n">
        <f aca="false">X76+IH76</f>
        <v>0</v>
      </c>
      <c r="IJ76" s="20" t="n">
        <f aca="false">IF(W76=1,MAX(0,(Slot1_Cost-II76*(1+Slot1_Rate)^(Slot1_Age-D76))/IF76),0)</f>
        <v>0</v>
      </c>
      <c r="IK76" s="20" t="n">
        <f aca="false">IF(W76=1,MAX(0,(Slot1_Cost-X76*(1+Slot1_Rate)^(Slot1_Age-D76))/IF76),0)</f>
        <v>0</v>
      </c>
      <c r="IL76" s="20" t="n">
        <f aca="false">IF(AND(HU76=1,W76=1),MIN(ID76,IJ76),0)</f>
        <v>0</v>
      </c>
      <c r="IM76" s="20" t="n">
        <f aca="false">ID76-IL76</f>
        <v>0</v>
      </c>
      <c r="IN76" s="20" t="n">
        <f aca="false">IF(AH76=1,IF(ABS((1+AS_Wage)/(1+Slot2_Rate)-1)&lt;0.000000000001,(Slot2_Age-D76)*(1+Slot2_Rate)^(Slot2_Age-D76),(1+Slot2_Rate)^(Slot2_Age-D76)*(1-((1+AS_Wage)/(1+Slot2_Rate))^(Slot2_Age-D76))/(1-(1+AS_Wage)/(1+Slot2_Rate))),1)</f>
        <v>1</v>
      </c>
      <c r="IO76" s="20" t="n">
        <f aca="false">IF(AND(HU76=1,IE76&gt;0,Slot2_IsWG=1,AH76=1),MAX(0,(Slot2_Cost-AI76*(1+Slot2_Rate)^(Slot2_Age-D76))/IN76),0)</f>
        <v>0</v>
      </c>
      <c r="IP76" s="20" t="n">
        <f aca="false">IF(AND(HU76=1,IE76&gt;0,Slot2_IsWG=1,AH76=1),MIN(IE76,IO76),0)</f>
        <v>0</v>
      </c>
      <c r="IQ76" s="20" t="n">
        <f aca="false">AI76+IP76</f>
        <v>0</v>
      </c>
      <c r="IR76" s="20" t="n">
        <f aca="false">IF(AH76=1,MAX(0,(Slot2_Cost-IQ76*(1+Slot2_Rate)^(Slot2_Age-D76))/IN76),0)</f>
        <v>0</v>
      </c>
      <c r="IS76" s="20" t="n">
        <f aca="false">IF(AH76=1,MAX(0,(Slot2_Cost-AI76*(1+Slot2_Rate)^(Slot2_Age-D76))/IN76),0)</f>
        <v>0</v>
      </c>
      <c r="IT76" s="20" t="n">
        <f aca="false">IF(AND(HU76=1,AH76=1),MIN(IM76,IR76),0)</f>
        <v>0</v>
      </c>
      <c r="IU76" s="20" t="n">
        <f aca="false">IM76-IT76</f>
        <v>0</v>
      </c>
      <c r="IV76" s="20" t="n">
        <f aca="false">IF(AR76=1,IF(ABS((1+AS_Wage)/(1+Slot3_Rate)-1)&lt;0.000000000001,(Slot3_Age-D76)*(1+Slot3_Rate)^(Slot3_Age-D76),(1+Slot3_Rate)^(Slot3_Age-D76)*(1-((1+AS_Wage)/(1+Slot3_Rate))^(Slot3_Age-D76))/(1-(1+AS_Wage)/(1+Slot3_Rate))),1)</f>
        <v>1</v>
      </c>
      <c r="IW76" s="20" t="n">
        <f aca="false">IF(AND(HU76=1,IE76&gt;0,Slot3_IsWG=1,AR76=1),MAX(0,(Slot3_Cost-AS76*(1+Slot3_Rate)^(Slot3_Age-D76))/IV76),0)</f>
        <v>0</v>
      </c>
      <c r="IX76" s="20" t="n">
        <f aca="false">IF(AND(HU76=1,IE76&gt;0,Slot3_IsWG=1,AR76=1),MIN(IE76,IW76),0)</f>
        <v>0</v>
      </c>
      <c r="IY76" s="20" t="n">
        <f aca="false">AS76+IX76</f>
        <v>0</v>
      </c>
      <c r="IZ76" s="20" t="n">
        <f aca="false">IF(AR76=1,MAX(0,(Slot3_Cost-IY76*(1+Slot3_Rate)^(Slot3_Age-D76))/IV76),0)</f>
        <v>0</v>
      </c>
      <c r="JA76" s="20" t="n">
        <f aca="false">IF(AR76=1,MAX(0,(Slot3_Cost-AS76*(1+Slot3_Rate)^(Slot3_Age-D76))/IV76),0)</f>
        <v>0</v>
      </c>
      <c r="JB76" s="20" t="n">
        <f aca="false">IF(AND(HU76=1,AR76=1),MIN(IU76,IZ76),0)</f>
        <v>0</v>
      </c>
      <c r="JC76" s="20" t="n">
        <f aca="false">IU76-JB76</f>
        <v>0</v>
      </c>
      <c r="JD76" s="20" t="n">
        <f aca="false">IF(BB76=1,IF(ABS((1+AS_Wage)/(1+Slot4_Rate)-1)&lt;0.000000000001,(Slot4_Age-D76)*(1+Slot4_Rate)^(Slot4_Age-D76),(1+Slot4_Rate)^(Slot4_Age-D76)*(1-((1+AS_Wage)/(1+Slot4_Rate))^(Slot4_Age-D76))/(1-(1+AS_Wage)/(1+Slot4_Rate))),1)</f>
        <v>1</v>
      </c>
      <c r="JE76" s="20" t="n">
        <f aca="false">IF(AND(HU76=1,IE76&gt;0,Slot4_IsWG=1,BB76=1),MAX(0,(Slot4_Cost-BC76*(1+Slot4_Rate)^(Slot4_Age-D76))/JD76),0)</f>
        <v>0</v>
      </c>
      <c r="JF76" s="20" t="n">
        <f aca="false">IF(AND(HU76=1,IE76&gt;0,Slot4_IsWG=1,BB76=1),MIN(IE76,JE76),0)</f>
        <v>0</v>
      </c>
      <c r="JG76" s="20" t="n">
        <f aca="false">BC76+JF76</f>
        <v>0</v>
      </c>
      <c r="JH76" s="20" t="n">
        <f aca="false">IF(BB76=1,MAX(0,(Slot4_Cost-JG76*(1+Slot4_Rate)^(Slot4_Age-D76))/JD76),0)</f>
        <v>0</v>
      </c>
      <c r="JI76" s="20" t="n">
        <f aca="false">IF(BB76=1,MAX(0,(Slot4_Cost-BC76*(1+Slot4_Rate)^(Slot4_Age-D76))/JD76),0)</f>
        <v>0</v>
      </c>
      <c r="JJ76" s="20" t="n">
        <f aca="false">IF(AND(HU76=1,BB76=1),MIN(JC76,JH76),0)</f>
        <v>0</v>
      </c>
      <c r="JK76" s="20" t="n">
        <f aca="false">JC76-JJ76</f>
        <v>0</v>
      </c>
      <c r="JL76" s="20" t="n">
        <f aca="false">IF(BL76=1,IF(ABS((1+AS_Wage)/(1+Slot5_Rate)-1)&lt;0.000000000001,(Slot5_Age-D76)*(1+Slot5_Rate)^(Slot5_Age-D76),(1+Slot5_Rate)^(Slot5_Age-D76)*(1-((1+AS_Wage)/(1+Slot5_Rate))^(Slot5_Age-D76))/(1-(1+AS_Wage)/(1+Slot5_Rate))),1)</f>
        <v>1</v>
      </c>
      <c r="JM76" s="20" t="n">
        <f aca="false">IF(AND(HU76=1,IE76&gt;0,Slot5_IsWG=1,BL76=1),MAX(0,(Slot5_Cost-BM76*(1+Slot5_Rate)^(Slot5_Age-D76))/JL76),0)</f>
        <v>0</v>
      </c>
      <c r="JN76" s="20" t="n">
        <f aca="false">IF(AND(HU76=1,IE76&gt;0,Slot5_IsWG=1,BL76=1),MIN(IE76,JM76),0)</f>
        <v>0</v>
      </c>
      <c r="JO76" s="20" t="n">
        <f aca="false">BM76+JN76</f>
        <v>0</v>
      </c>
      <c r="JP76" s="20" t="n">
        <f aca="false">IF(BL76=1,MAX(0,(Slot5_Cost-JO76*(1+Slot5_Rate)^(Slot5_Age-D76))/JL76),0)</f>
        <v>0</v>
      </c>
      <c r="JQ76" s="20" t="n">
        <f aca="false">IF(BL76=1,MAX(0,(Slot5_Cost-BM76*(1+Slot5_Rate)^(Slot5_Age-D76))/JL76),0)</f>
        <v>0</v>
      </c>
      <c r="JR76" s="20" t="n">
        <f aca="false">IF(AND(HU76=1,BL76=1),MIN(JK76,JP76),0)</f>
        <v>0</v>
      </c>
      <c r="JS76" s="20" t="n">
        <f aca="false">JK76-JR76</f>
        <v>0</v>
      </c>
      <c r="JT76" s="20" t="n">
        <f aca="false">IF(BV76=1,IF(ABS((1+AS_Wage)/(1+Slot6_Rate)-1)&lt;0.000000000001,(Slot6_Age-D76)*(1+Slot6_Rate)^(Slot6_Age-D76),(1+Slot6_Rate)^(Slot6_Age-D76)*(1-((1+AS_Wage)/(1+Slot6_Rate))^(Slot6_Age-D76))/(1-(1+AS_Wage)/(1+Slot6_Rate))),1)</f>
        <v>1</v>
      </c>
      <c r="JU76" s="20" t="n">
        <f aca="false">IF(AND(HU76=1,IE76&gt;0,Slot6_IsWG=1,BV76=1),MAX(0,(Slot6_Cost-BW76*(1+Slot6_Rate)^(Slot6_Age-D76))/JT76),0)</f>
        <v>0</v>
      </c>
      <c r="JV76" s="20" t="n">
        <f aca="false">IF(AND(HU76=1,IE76&gt;0,Slot6_IsWG=1,BV76=1),MIN(IE76,JU76),0)</f>
        <v>0</v>
      </c>
      <c r="JW76" s="20" t="n">
        <f aca="false">BW76+JV76</f>
        <v>0</v>
      </c>
      <c r="JX76" s="20" t="n">
        <f aca="false">IF(BV76=1,MAX(0,(Slot6_Cost-JW76*(1+Slot6_Rate)^(Slot6_Age-D76))/JT76),0)</f>
        <v>0</v>
      </c>
      <c r="JY76" s="20" t="n">
        <f aca="false">IF(BV76=1,MAX(0,(Slot6_Cost-BW76*(1+Slot6_Rate)^(Slot6_Age-D76))/JT76),0)</f>
        <v>0</v>
      </c>
      <c r="JZ76" s="20" t="n">
        <f aca="false">IF(AND(HU76=1,BV76=1),MIN(JS76,JX76),0)</f>
        <v>0</v>
      </c>
      <c r="KA76" s="20" t="n">
        <f aca="false">JS76-JZ76</f>
        <v>0</v>
      </c>
      <c r="KB76" s="20" t="n">
        <f aca="false">IF(CF76=1,IF(ABS((1+AS_Wage)/(1+Slot7_Rate)-1)&lt;0.000000000001,(Slot7_Age-D76)*(1+Slot7_Rate)^(Slot7_Age-D76),(1+Slot7_Rate)^(Slot7_Age-D76)*(1-((1+AS_Wage)/(1+Slot7_Rate))^(Slot7_Age-D76))/(1-(1+AS_Wage)/(1+Slot7_Rate))),1)</f>
        <v>1</v>
      </c>
      <c r="KC76" s="20" t="n">
        <f aca="false">IF(AND(HU76=1,IE76&gt;0,Slot7_IsWG=1,CF76=1),MAX(0,(Slot7_Cost-CG76*(1+Slot7_Rate)^(Slot7_Age-D76))/KB76),0)</f>
        <v>0</v>
      </c>
      <c r="KD76" s="20" t="n">
        <f aca="false">IF(AND(HU76=1,IE76&gt;0,Slot7_IsWG=1,CF76=1),MIN(IE76,KC76),0)</f>
        <v>0</v>
      </c>
      <c r="KE76" s="20" t="n">
        <f aca="false">CG76+KD76</f>
        <v>0</v>
      </c>
      <c r="KF76" s="20" t="n">
        <f aca="false">IF(CF76=1,MAX(0,(Slot7_Cost-KE76*(1+Slot7_Rate)^(Slot7_Age-D76))/KB76),0)</f>
        <v>0</v>
      </c>
      <c r="KG76" s="20" t="n">
        <f aca="false">IF(CF76=1,MAX(0,(Slot7_Cost-CG76*(1+Slot7_Rate)^(Slot7_Age-D76))/KB76),0)</f>
        <v>0</v>
      </c>
      <c r="KH76" s="20" t="n">
        <f aca="false">IF(AND(HU76=1,CF76=1),MIN(KA76,KF76),0)</f>
        <v>0</v>
      </c>
      <c r="KI76" s="20" t="n">
        <f aca="false">KA76-KH76</f>
        <v>0</v>
      </c>
      <c r="KJ76" s="20" t="n">
        <f aca="false">IF(CP76=1,IF(ABS((1+AS_Wage)/(1+Slot8_Rate)-1)&lt;0.000000000001,(Slot8_Age-D76)*(1+Slot8_Rate)^(Slot8_Age-D76),(1+Slot8_Rate)^(Slot8_Age-D76)*(1-((1+AS_Wage)/(1+Slot8_Rate))^(Slot8_Age-D76))/(1-(1+AS_Wage)/(1+Slot8_Rate))),1)</f>
        <v>1</v>
      </c>
      <c r="KK76" s="20" t="n">
        <f aca="false">IF(AND(HU76=1,IE76&gt;0,Slot8_IsWG=1,CP76=1),MAX(0,(Slot8_Cost-CQ76*(1+Slot8_Rate)^(Slot8_Age-D76))/KJ76),0)</f>
        <v>0</v>
      </c>
      <c r="KL76" s="20" t="n">
        <f aca="false">IF(AND(HU76=1,IE76&gt;0,Slot8_IsWG=1,CP76=1),MIN(IE76,KK76),0)</f>
        <v>0</v>
      </c>
      <c r="KM76" s="20" t="n">
        <f aca="false">CQ76+KL76</f>
        <v>0</v>
      </c>
      <c r="KN76" s="20" t="n">
        <f aca="false">IF(CP76=1,MAX(0,(Slot8_Cost-KM76*(1+Slot8_Rate)^(Slot8_Age-D76))/KJ76),0)</f>
        <v>0</v>
      </c>
      <c r="KO76" s="20" t="n">
        <f aca="false">IF(CP76=1,MAX(0,(Slot8_Cost-CQ76*(1+Slot8_Rate)^(Slot8_Age-D76))/KJ76),0)</f>
        <v>0</v>
      </c>
      <c r="KP76" s="20" t="n">
        <f aca="false">IF(AND(HU76=1,CP76=1),MIN(KI76,KN76),0)</f>
        <v>0</v>
      </c>
      <c r="KQ76" s="20" t="n">
        <f aca="false">KI76-KP76</f>
        <v>0</v>
      </c>
      <c r="KR76" s="20" t="n">
        <f aca="false">IF(CZ76=1,IF(ABS((1+AS_Wage)/(1+Slot9_Rate)-1)&lt;0.000000000001,(Slot9_Age-D76)*(1+Slot9_Rate)^(Slot9_Age-D76),(1+Slot9_Rate)^(Slot9_Age-D76)*(1-((1+AS_Wage)/(1+Slot9_Rate))^(Slot9_Age-D76))/(1-(1+AS_Wage)/(1+Slot9_Rate))),1)</f>
        <v>1</v>
      </c>
      <c r="KS76" s="20" t="n">
        <f aca="false">IF(AND(HU76=1,IE76&gt;0,Slot9_IsWG=1,CZ76=1),MAX(0,(Slot9_Cost-DA76*(1+Slot9_Rate)^(Slot9_Age-D76))/KR76),0)</f>
        <v>0</v>
      </c>
      <c r="KT76" s="20" t="n">
        <f aca="false">IF(AND(HU76=1,IE76&gt;0,Slot9_IsWG=1,CZ76=1),MIN(IE76,KS76),0)</f>
        <v>0</v>
      </c>
      <c r="KU76" s="20" t="n">
        <f aca="false">DA76+KT76</f>
        <v>0</v>
      </c>
      <c r="KV76" s="20" t="n">
        <f aca="false">IF(CZ76=1,MAX(0,(Slot9_Cost-KU76*(1+Slot9_Rate)^(Slot9_Age-D76))/KR76),0)</f>
        <v>0</v>
      </c>
      <c r="KW76" s="20" t="n">
        <f aca="false">IF(CZ76=1,MAX(0,(Slot9_Cost-DA76*(1+Slot9_Rate)^(Slot9_Age-D76))/KR76),0)</f>
        <v>0</v>
      </c>
      <c r="KX76" s="20" t="n">
        <f aca="false">IF(AND(HU76=1,CZ76=1),MIN(KQ76,KV76),0)</f>
        <v>0</v>
      </c>
      <c r="KY76" s="20" t="n">
        <f aca="false">KQ76-KX76</f>
        <v>0</v>
      </c>
      <c r="KZ76" s="20" t="n">
        <f aca="false">IF(DJ76=1,IF(ABS((1+AS_Wage)/(1+Slot10_Rate)-1)&lt;0.000000000001,(Slot10_Age-D76)*(1+Slot10_Rate)^(Slot10_Age-D76),(1+Slot10_Rate)^(Slot10_Age-D76)*(1-((1+AS_Wage)/(1+Slot10_Rate))^(Slot10_Age-D76))/(1-(1+AS_Wage)/(1+Slot10_Rate))),1)</f>
        <v>1</v>
      </c>
      <c r="LA76" s="20" t="n">
        <f aca="false">IF(AND(HU76=1,IE76&gt;0,Slot10_IsWG=1,DJ76=1),MAX(0,(Slot10_Cost-DK76*(1+Slot10_Rate)^(Slot10_Age-D76))/KZ76),0)</f>
        <v>0</v>
      </c>
      <c r="LB76" s="20" t="n">
        <f aca="false">IF(AND(HU76=1,IE76&gt;0,Slot10_IsWG=1,DJ76=1),MIN(IE76,LA76),0)</f>
        <v>0</v>
      </c>
      <c r="LC76" s="20" t="n">
        <f aca="false">DK76+LB76</f>
        <v>0</v>
      </c>
      <c r="LD76" s="20" t="n">
        <f aca="false">IF(DJ76=1,MAX(0,(Slot10_Cost-LC76*(1+Slot10_Rate)^(Slot10_Age-D76))/KZ76),0)</f>
        <v>0</v>
      </c>
      <c r="LE76" s="20" t="n">
        <f aca="false">IF(DJ76=1,MAX(0,(Slot10_Cost-DK76*(1+Slot10_Rate)^(Slot10_Age-D76))/KZ76),0)</f>
        <v>0</v>
      </c>
      <c r="LF76" s="20" t="n">
        <f aca="false">IF(AND(HU76=1,DJ76=1),MIN(KY76,LD76),0)</f>
        <v>0</v>
      </c>
      <c r="LG76" s="20" t="n">
        <f aca="false">KY76-LF76</f>
        <v>0</v>
      </c>
      <c r="LH76" s="20" t="n">
        <f aca="false">IF(DT76=1,IF(ABS((1+AS_Wage)/(1+Slot11_Rate)-1)&lt;0.000000000001,(Slot11_Age-D76)*(1+Slot11_Rate)^(Slot11_Age-D76),(1+Slot11_Rate)^(Slot11_Age-D76)*(1-((1+AS_Wage)/(1+Slot11_Rate))^(Slot11_Age-D76))/(1-(1+AS_Wage)/(1+Slot11_Rate))),1)</f>
        <v>1</v>
      </c>
      <c r="LI76" s="20" t="n">
        <f aca="false">IF(AND(HU76=1,IE76&gt;0,Slot11_IsWG=1,DT76=1),MAX(0,(Slot11_Cost-DU76*(1+Slot11_Rate)^(Slot11_Age-D76))/LH76),0)</f>
        <v>0</v>
      </c>
      <c r="LJ76" s="20" t="n">
        <f aca="false">IF(AND(HU76=1,IE76&gt;0,Slot11_IsWG=1,DT76=1),MIN(IE76,LI76),0)</f>
        <v>0</v>
      </c>
      <c r="LK76" s="20" t="n">
        <f aca="false">DU76+LJ76</f>
        <v>0</v>
      </c>
      <c r="LL76" s="20" t="n">
        <f aca="false">IF(DT76=1,MAX(0,(Slot11_Cost-LK76*(1+Slot11_Rate)^(Slot11_Age-D76))/LH76),0)</f>
        <v>0</v>
      </c>
      <c r="LM76" s="20" t="n">
        <f aca="false">IF(DT76=1,MAX(0,(Slot11_Cost-DU76*(1+Slot11_Rate)^(Slot11_Age-D76))/LH76),0)</f>
        <v>0</v>
      </c>
      <c r="LN76" s="20" t="n">
        <f aca="false">IF(AND(HU76=1,DT76=1),MIN(LG76,LL76),0)</f>
        <v>0</v>
      </c>
      <c r="LO76" s="20" t="n">
        <f aca="false">LG76-LN76</f>
        <v>0</v>
      </c>
      <c r="LP76" s="20" t="n">
        <f aca="false">IF(ED76=1,IF(ABS((1+AS_Wage)/(1+Slot12_Rate)-1)&lt;0.000000000001,(Slot12_Age-D76)*(1+Slot12_Rate)^(Slot12_Age-D76),(1+Slot12_Rate)^(Slot12_Age-D76)*(1-((1+AS_Wage)/(1+Slot12_Rate))^(Slot12_Age-D76))/(1-(1+AS_Wage)/(1+Slot12_Rate))),1)</f>
        <v>1</v>
      </c>
      <c r="LQ76" s="20" t="n">
        <f aca="false">IF(AND(HU76=1,IE76&gt;0,Slot12_IsWG=1,ED76=1),MAX(0,(Slot12_Cost-EE76*(1+Slot12_Rate)^(Slot12_Age-D76))/LP76),0)</f>
        <v>0</v>
      </c>
      <c r="LR76" s="20" t="n">
        <f aca="false">IF(AND(HU76=1,IE76&gt;0,Slot12_IsWG=1,ED76=1),MIN(IE76,LQ76),0)</f>
        <v>0</v>
      </c>
      <c r="LS76" s="20" t="n">
        <f aca="false">EE76+LR76</f>
        <v>0</v>
      </c>
      <c r="LT76" s="20" t="n">
        <f aca="false">IF(ED76=1,MAX(0,(Slot12_Cost-LS76*(1+Slot12_Rate)^(Slot12_Age-D76))/LP76),0)</f>
        <v>0</v>
      </c>
      <c r="LU76" s="20" t="n">
        <f aca="false">IF(ED76=1,MAX(0,(Slot12_Cost-EE76*(1+Slot12_Rate)^(Slot12_Age-D76))/LP76),0)</f>
        <v>0</v>
      </c>
      <c r="LV76" s="20" t="n">
        <f aca="false">IF(AND(HU76=1,ED76=1),MIN(LO76,LT76),0)</f>
        <v>0</v>
      </c>
      <c r="LW76" s="20" t="n">
        <f aca="false">LO76-LV76</f>
        <v>0</v>
      </c>
      <c r="LX76" s="20" t="n">
        <f aca="false">IF(EN76=1,IF(ABS((1+AS_Wage)/(1+Slot13_Rate)-1)&lt;0.000000000001,(Slot13_Age-D76)*(1+Slot13_Rate)^(Slot13_Age-D76),(1+Slot13_Rate)^(Slot13_Age-D76)*(1-((1+AS_Wage)/(1+Slot13_Rate))^(Slot13_Age-D76))/(1-(1+AS_Wage)/(1+Slot13_Rate))),1)</f>
        <v>1</v>
      </c>
      <c r="LY76" s="20" t="n">
        <f aca="false">IF(AND(HU76=1,IE76&gt;0,Slot13_IsWG=1,EN76=1),MAX(0,(Slot13_Cost-EO76*(1+Slot13_Rate)^(Slot13_Age-D76))/LX76),0)</f>
        <v>0</v>
      </c>
      <c r="LZ76" s="20" t="n">
        <f aca="false">IF(AND(HU76=1,IE76&gt;0,Slot13_IsWG=1,EN76=1),MIN(IE76,LY76),0)</f>
        <v>0</v>
      </c>
      <c r="MA76" s="20" t="n">
        <f aca="false">EO76+LZ76</f>
        <v>0</v>
      </c>
      <c r="MB76" s="20" t="n">
        <f aca="false">IF(EN76=1,MAX(0,(Slot13_Cost-MA76*(1+Slot13_Rate)^(Slot13_Age-D76))/LX76),0)</f>
        <v>0</v>
      </c>
      <c r="MC76" s="20" t="n">
        <f aca="false">IF(EN76=1,MAX(0,(Slot13_Cost-EO76*(1+Slot13_Rate)^(Slot13_Age-D76))/LX76),0)</f>
        <v>0</v>
      </c>
      <c r="MD76" s="20" t="n">
        <f aca="false">IF(AND(HU76=1,EN76=1),MIN(LW76,MB76),0)</f>
        <v>0</v>
      </c>
      <c r="ME76" s="20" t="n">
        <f aca="false">LW76-MD76</f>
        <v>0</v>
      </c>
      <c r="MF76" s="20" t="n">
        <f aca="false">IF(EX76=1,IF(ABS((1+AS_Wage)/(1+Slot14_Rate)-1)&lt;0.000000000001,(Slot14_Age-D76)*(1+Slot14_Rate)^(Slot14_Age-D76),(1+Slot14_Rate)^(Slot14_Age-D76)*(1-((1+AS_Wage)/(1+Slot14_Rate))^(Slot14_Age-D76))/(1-(1+AS_Wage)/(1+Slot14_Rate))),1)</f>
        <v>1</v>
      </c>
      <c r="MG76" s="20" t="n">
        <f aca="false">IF(AND(HU76=1,IE76&gt;0,Slot14_IsWG=1,EX76=1),MAX(0,(Slot14_Cost-EY76*(1+Slot14_Rate)^(Slot14_Age-D76))/MF76),0)</f>
        <v>0</v>
      </c>
      <c r="MH76" s="20" t="n">
        <f aca="false">IF(AND(HU76=1,IE76&gt;0,Slot14_IsWG=1,EX76=1),MIN(IE76,MG76),0)</f>
        <v>0</v>
      </c>
      <c r="MI76" s="20" t="n">
        <f aca="false">EY76+MH76</f>
        <v>0</v>
      </c>
      <c r="MJ76" s="20" t="n">
        <f aca="false">IF(EX76=1,MAX(0,(Slot14_Cost-MI76*(1+Slot14_Rate)^(Slot14_Age-D76))/MF76),0)</f>
        <v>0</v>
      </c>
      <c r="MK76" s="20" t="n">
        <f aca="false">IF(EX76=1,MAX(0,(Slot14_Cost-EY76*(1+Slot14_Rate)^(Slot14_Age-D76))/MF76),0)</f>
        <v>0</v>
      </c>
      <c r="ML76" s="20" t="n">
        <f aca="false">IF(AND(HU76=1,EX76=1),MIN(ME76,MJ76),0)</f>
        <v>0</v>
      </c>
      <c r="MM76" s="20" t="n">
        <f aca="false">ME76-ML76</f>
        <v>0</v>
      </c>
      <c r="MN76" s="20" t="n">
        <f aca="false">IF(FH76=1,IF(ABS((1+AS_Wage)/(1+Slot15_Rate)-1)&lt;0.000000000001,(Slot15_Age-D76)*(1+Slot15_Rate)^(Slot15_Age-D76),(1+Slot15_Rate)^(Slot15_Age-D76)*(1-((1+AS_Wage)/(1+Slot15_Rate))^(Slot15_Age-D76))/(1-(1+AS_Wage)/(1+Slot15_Rate))),1)</f>
        <v>1</v>
      </c>
      <c r="MO76" s="20" t="n">
        <f aca="false">IF(AND(HU76=1,IE76&gt;0,Slot15_IsWG=1,FH76=1),MAX(0,(Slot15_Cost-FI76*(1+Slot15_Rate)^(Slot15_Age-D76))/MN76),0)</f>
        <v>0</v>
      </c>
      <c r="MP76" s="20" t="n">
        <f aca="false">IF(AND(HU76=1,IE76&gt;0,Slot15_IsWG=1,FH76=1),MIN(IE76,MO76),0)</f>
        <v>0</v>
      </c>
      <c r="MQ76" s="20" t="n">
        <f aca="false">FI76+MP76</f>
        <v>0</v>
      </c>
      <c r="MR76" s="20" t="n">
        <f aca="false">IF(FH76=1,MAX(0,(Slot15_Cost-MQ76*(1+Slot15_Rate)^(Slot15_Age-D76))/MN76),0)</f>
        <v>0</v>
      </c>
      <c r="MS76" s="20" t="n">
        <f aca="false">IF(FH76=1,MAX(0,(Slot15_Cost-FI76*(1+Slot15_Rate)^(Slot15_Age-D76))/MN76),0)</f>
        <v>0</v>
      </c>
      <c r="MT76" s="20" t="n">
        <f aca="false">IF(AND(HU76=1,FH76=1),MIN(MM76,MR76),0)</f>
        <v>0</v>
      </c>
      <c r="MU76" s="20" t="n">
        <f aca="false">MM76-MT76</f>
        <v>0</v>
      </c>
      <c r="MV76" s="20" t="n">
        <f aca="false">IF(FR76=1,IF(ABS((1+AS_Wage)/(1+Slot16_Rate)-1)&lt;0.000000000001,(Slot16_Age-D76)*(1+Slot16_Rate)^(Slot16_Age-D76),(1+Slot16_Rate)^(Slot16_Age-D76)*(1-((1+AS_Wage)/(1+Slot16_Rate))^(Slot16_Age-D76))/(1-(1+AS_Wage)/(1+Slot16_Rate))),1)</f>
        <v>1</v>
      </c>
      <c r="MW76" s="20" t="n">
        <f aca="false">IF(AND(HU76=1,IE76&gt;0,Slot16_IsWG=1,FR76=1),MAX(0,(Slot16_Cost-FS76*(1+Slot16_Rate)^(Slot16_Age-D76))/MV76),0)</f>
        <v>0</v>
      </c>
      <c r="MX76" s="20" t="n">
        <f aca="false">IF(AND(HU76=1,IE76&gt;0,Slot16_IsWG=1,FR76=1),MIN(IE76,MW76),0)</f>
        <v>0</v>
      </c>
      <c r="MY76" s="20" t="n">
        <f aca="false">FS76+MX76</f>
        <v>0</v>
      </c>
      <c r="MZ76" s="20" t="n">
        <f aca="false">IF(FR76=1,MAX(0,(Slot16_Cost-MY76*(1+Slot16_Rate)^(Slot16_Age-D76))/MV76),0)</f>
        <v>0</v>
      </c>
      <c r="NA76" s="20" t="n">
        <f aca="false">IF(FR76=1,MAX(0,(Slot16_Cost-FS76*(1+Slot16_Rate)^(Slot16_Age-D76))/MV76),0)</f>
        <v>0</v>
      </c>
      <c r="NB76" s="20" t="n">
        <f aca="false">IF(AND(HU76=1,FR76=1),MIN(MU76,MZ76),0)</f>
        <v>0</v>
      </c>
      <c r="NC76" s="20" t="n">
        <f aca="false">MU76-NB76</f>
        <v>0</v>
      </c>
      <c r="ND76" s="20" t="n">
        <f aca="false">IF(GB76=1,IF(ABS((1+AS_Wage)/(1+Slot17_Rate)-1)&lt;0.000000000001,(Slot17_Age-D76)*(1+Slot17_Rate)^(Slot17_Age-D76),(1+Slot17_Rate)^(Slot17_Age-D76)*(1-((1+AS_Wage)/(1+Slot17_Rate))^(Slot17_Age-D76))/(1-(1+AS_Wage)/(1+Slot17_Rate))),1)</f>
        <v>1</v>
      </c>
      <c r="NE76" s="20" t="n">
        <f aca="false">IF(AND(HU76=1,IE76&gt;0,Slot17_IsWG=1,GB76=1),MAX(0,(Slot17_Cost-GC76*(1+Slot17_Rate)^(Slot17_Age-D76))/ND76),0)</f>
        <v>0</v>
      </c>
      <c r="NF76" s="20" t="n">
        <f aca="false">IF(AND(HU76=1,IE76&gt;0,Slot17_IsWG=1,GB76=1),MIN(IE76,NE76),0)</f>
        <v>0</v>
      </c>
      <c r="NG76" s="20" t="n">
        <f aca="false">GC76+NF76</f>
        <v>0</v>
      </c>
      <c r="NH76" s="20" t="n">
        <f aca="false">IF(GB76=1,MAX(0,(Slot17_Cost-NG76*(1+Slot17_Rate)^(Slot17_Age-D76))/ND76),0)</f>
        <v>0</v>
      </c>
      <c r="NI76" s="20" t="n">
        <f aca="false">IF(GB76=1,MAX(0,(Slot17_Cost-GC76*(1+Slot17_Rate)^(Slot17_Age-D76))/ND76),0)</f>
        <v>0</v>
      </c>
      <c r="NJ76" s="20" t="n">
        <f aca="false">IF(AND(HU76=1,GB76=1),MIN(NC76,NH76),0)</f>
        <v>0</v>
      </c>
      <c r="NK76" s="20" t="n">
        <f aca="false">NC76-NJ76</f>
        <v>0</v>
      </c>
      <c r="NL76" s="20" t="n">
        <f aca="false">IF(GL76=1,IF(ABS((1+AS_Wage)/(1+Slot18_Rate)-1)&lt;0.000000000001,(Slot18_Age-D76)*(1+Slot18_Rate)^(Slot18_Age-D76),(1+Slot18_Rate)^(Slot18_Age-D76)*(1-((1+AS_Wage)/(1+Slot18_Rate))^(Slot18_Age-D76))/(1-(1+AS_Wage)/(1+Slot18_Rate))),1)</f>
        <v>1</v>
      </c>
      <c r="NM76" s="20" t="n">
        <f aca="false">IF(AND(HU76=1,IE76&gt;0,Slot18_IsWG=1,GL76=1),MAX(0,(Slot18_Cost-GM76*(1+Slot18_Rate)^(Slot18_Age-D76))/NL76),0)</f>
        <v>0</v>
      </c>
      <c r="NN76" s="20" t="n">
        <f aca="false">IF(AND(HU76=1,IE76&gt;0,Slot18_IsWG=1,GL76=1),MIN(IE76,NM76),0)</f>
        <v>0</v>
      </c>
      <c r="NO76" s="20" t="n">
        <f aca="false">GM76+NN76</f>
        <v>0</v>
      </c>
      <c r="NP76" s="20" t="n">
        <f aca="false">IF(GL76=1,MAX(0,(Slot18_Cost-NO76*(1+Slot18_Rate)^(Slot18_Age-D76))/NL76),0)</f>
        <v>0</v>
      </c>
      <c r="NQ76" s="20" t="n">
        <f aca="false">IF(GL76=1,MAX(0,(Slot18_Cost-GM76*(1+Slot18_Rate)^(Slot18_Age-D76))/NL76),0)</f>
        <v>0</v>
      </c>
      <c r="NR76" s="20" t="n">
        <f aca="false">IF(AND(HU76=1,GL76=1),MIN(NK76,NP76),0)</f>
        <v>0</v>
      </c>
      <c r="NS76" s="20" t="n">
        <f aca="false">NK76-NR76</f>
        <v>0</v>
      </c>
      <c r="NT76" s="20" t="n">
        <f aca="false">IF(GV76=1,IF(ABS((1+AS_Wage)/(1+Slot19_Rate)-1)&lt;0.000000000001,(Slot19_Age-D76)*(1+Slot19_Rate)^(Slot19_Age-D76),(1+Slot19_Rate)^(Slot19_Age-D76)*(1-((1+AS_Wage)/(1+Slot19_Rate))^(Slot19_Age-D76))/(1-(1+AS_Wage)/(1+Slot19_Rate))),1)</f>
        <v>1</v>
      </c>
      <c r="NU76" s="20" t="n">
        <f aca="false">IF(AND(HU76=1,IE76&gt;0,Slot19_IsWG=1,GV76=1),MAX(0,(Slot19_Cost-GW76*(1+Slot19_Rate)^(Slot19_Age-D76))/NT76),0)</f>
        <v>0</v>
      </c>
      <c r="NV76" s="20" t="n">
        <f aca="false">IF(AND(HU76=1,IE76&gt;0,Slot19_IsWG=1,GV76=1),MIN(IE76,NU76),0)</f>
        <v>0</v>
      </c>
      <c r="NW76" s="20" t="n">
        <f aca="false">GW76+NV76</f>
        <v>0</v>
      </c>
      <c r="NX76" s="20" t="n">
        <f aca="false">IF(GV76=1,MAX(0,(Slot19_Cost-NW76*(1+Slot19_Rate)^(Slot19_Age-D76))/NT76),0)</f>
        <v>0</v>
      </c>
      <c r="NY76" s="20" t="n">
        <f aca="false">IF(GV76=1,MAX(0,(Slot19_Cost-GW76*(1+Slot19_Rate)^(Slot19_Age-D76))/NT76),0)</f>
        <v>0</v>
      </c>
      <c r="NZ76" s="20" t="n">
        <f aca="false">IF(AND(HU76=1,GV76=1),MIN(NS76,NX76),0)</f>
        <v>0</v>
      </c>
      <c r="OA76" s="20" t="n">
        <f aca="false">NS76-NZ76</f>
        <v>0</v>
      </c>
      <c r="OB76" s="20" t="n">
        <f aca="false">IF(HF76=1,IF(ABS((1+AS_Wage)/(1+Slot20_Rate)-1)&lt;0.000000000001,(Slot20_Age-D76)*(1+Slot20_Rate)^(Slot20_Age-D76),(1+Slot20_Rate)^(Slot20_Age-D76)*(1-((1+AS_Wage)/(1+Slot20_Rate))^(Slot20_Age-D76))/(1-(1+AS_Wage)/(1+Slot20_Rate))),1)</f>
        <v>1</v>
      </c>
      <c r="OC76" s="20" t="n">
        <f aca="false">IF(AND(HU76=1,IE76&gt;0,Slot20_IsWG=1,HF76=1),MAX(0,(Slot20_Cost-HG76*(1+Slot20_Rate)^(Slot20_Age-D76))/OB76),0)</f>
        <v>0</v>
      </c>
      <c r="OD76" s="20" t="n">
        <f aca="false">IF(AND(HU76=1,IE76&gt;0,Slot20_IsWG=1,HF76=1),MIN(IE76,OC76),0)</f>
        <v>0</v>
      </c>
      <c r="OE76" s="20" t="n">
        <f aca="false">HG76+OD76</f>
        <v>0</v>
      </c>
      <c r="OF76" s="20" t="n">
        <f aca="false">IF(HF76=1,MAX(0,(Slot20_Cost-OE76*(1+Slot20_Rate)^(Slot20_Age-D76))/OB76),0)</f>
        <v>0</v>
      </c>
      <c r="OG76" s="20" t="n">
        <f aca="false">IF(HF76=1,MAX(0,(Slot20_Cost-HG76*(1+Slot20_Rate)^(Slot20_Age-D76))/OB76),0)</f>
        <v>0</v>
      </c>
      <c r="OH76" s="20" t="n">
        <f aca="false">IF(AND(HU76=1,HF76=1),MIN(OA76,OF76),0)</f>
        <v>0</v>
      </c>
      <c r="OI76" s="20" t="n">
        <f aca="false">OA76-OH76</f>
        <v>0</v>
      </c>
      <c r="OJ76" s="20" t="n">
        <f aca="false">IE76-(IH76+IP76+IX76+JF76+JN76+JV76+KD76+KL76+KT76+LB76+LJ76+LR76+LZ76+MH76+MP76+MX76+NF76+NN76+NV76+OD76)</f>
        <v>0</v>
      </c>
      <c r="OK76" s="20" t="n">
        <f aca="false">IF(HU76=1,HS76-ID76-IE76,0)</f>
        <v>0</v>
      </c>
      <c r="OL76" s="20" t="n">
        <f aca="false">IF(HU76=0,-HS76,0)</f>
        <v>74061.4849418023</v>
      </c>
      <c r="OM76" s="20" t="n">
        <f aca="false">MIN(OL76,HK76)</f>
        <v>0</v>
      </c>
      <c r="ON76" s="20" t="n">
        <f aca="false">OL76-OM76</f>
        <v>74061.4849418023</v>
      </c>
      <c r="OO76" s="20" t="n">
        <f aca="false">MIN(ON76,HL76)</f>
        <v>0</v>
      </c>
      <c r="OP76" s="20" t="n">
        <f aca="false">ON76-OO76</f>
        <v>74061.4849418023</v>
      </c>
      <c r="OQ76" s="20" t="n">
        <f aca="false">IF(AND(HU76=0,HF76=1,OP76&gt;0),MIN(OP76,HG76),0)</f>
        <v>0</v>
      </c>
      <c r="OR76" s="20" t="n">
        <f aca="false">OP76-OQ76</f>
        <v>74061.4849418023</v>
      </c>
      <c r="OS76" s="20" t="n">
        <f aca="false">IF(AND(HU76=0,GV76=1,OR76&gt;0),MIN(OR76,GW76),0)</f>
        <v>0</v>
      </c>
      <c r="OT76" s="20" t="n">
        <f aca="false">OR76-OS76</f>
        <v>74061.4849418023</v>
      </c>
      <c r="OU76" s="20" t="n">
        <f aca="false">IF(AND(HU76=0,GL76=1,OT76&gt;0),MIN(OT76,GM76),0)</f>
        <v>0</v>
      </c>
      <c r="OV76" s="20" t="n">
        <f aca="false">OT76-OU76</f>
        <v>74061.4849418023</v>
      </c>
      <c r="OW76" s="20" t="n">
        <f aca="false">IF(AND(HU76=0,GB76=1,OV76&gt;0),MIN(OV76,GC76),0)</f>
        <v>0</v>
      </c>
      <c r="OX76" s="20" t="n">
        <f aca="false">OV76-OW76</f>
        <v>74061.4849418023</v>
      </c>
      <c r="OY76" s="20" t="n">
        <f aca="false">IF(AND(HU76=0,FR76=1,OX76&gt;0),MIN(OX76,FS76),0)</f>
        <v>0</v>
      </c>
      <c r="OZ76" s="20" t="n">
        <f aca="false">OX76-OY76</f>
        <v>74061.4849418023</v>
      </c>
      <c r="PA76" s="20" t="n">
        <f aca="false">IF(AND(HU76=0,FH76=1,OZ76&gt;0),MIN(OZ76,FI76),0)</f>
        <v>0</v>
      </c>
      <c r="PB76" s="20" t="n">
        <f aca="false">OZ76-PA76</f>
        <v>74061.4849418023</v>
      </c>
      <c r="PC76" s="20" t="n">
        <f aca="false">IF(AND(HU76=0,EX76=1,PB76&gt;0),MIN(PB76,EY76),0)</f>
        <v>0</v>
      </c>
      <c r="PD76" s="20" t="n">
        <f aca="false">PB76-PC76</f>
        <v>74061.4849418023</v>
      </c>
      <c r="PE76" s="20" t="n">
        <f aca="false">IF(AND(HU76=0,EN76=1,PD76&gt;0),MIN(PD76,EO76),0)</f>
        <v>0</v>
      </c>
      <c r="PF76" s="20" t="n">
        <f aca="false">PD76-PE76</f>
        <v>74061.4849418023</v>
      </c>
      <c r="PG76" s="20" t="n">
        <f aca="false">IF(AND(HU76=0,ED76=1,PF76&gt;0),MIN(PF76,EE76),0)</f>
        <v>0</v>
      </c>
      <c r="PH76" s="20" t="n">
        <f aca="false">PF76-PG76</f>
        <v>74061.4849418023</v>
      </c>
      <c r="PI76" s="20" t="n">
        <f aca="false">IF(AND(HU76=0,DT76=1,PH76&gt;0),MIN(PH76,DU76),0)</f>
        <v>0</v>
      </c>
      <c r="PJ76" s="20" t="n">
        <f aca="false">PH76-PI76</f>
        <v>74061.4849418023</v>
      </c>
      <c r="PK76" s="20" t="n">
        <f aca="false">IF(AND(HU76=0,DJ76=1,PJ76&gt;0),MIN(PJ76,DK76),0)</f>
        <v>0</v>
      </c>
      <c r="PL76" s="20" t="n">
        <f aca="false">PJ76-PK76</f>
        <v>74061.4849418023</v>
      </c>
      <c r="PM76" s="20" t="n">
        <f aca="false">IF(AND(HU76=0,CZ76=1,PL76&gt;0),MIN(PL76,DA76),0)</f>
        <v>0</v>
      </c>
      <c r="PN76" s="20" t="n">
        <f aca="false">PL76-PM76</f>
        <v>74061.4849418023</v>
      </c>
      <c r="PO76" s="20" t="n">
        <f aca="false">IF(AND(HU76=0,CP76=1,PN76&gt;0),MIN(PN76,CQ76),0)</f>
        <v>0</v>
      </c>
      <c r="PP76" s="20" t="n">
        <f aca="false">PN76-PO76</f>
        <v>74061.4849418023</v>
      </c>
      <c r="PQ76" s="20" t="n">
        <f aca="false">IF(AND(HU76=0,CF76=1,PP76&gt;0),MIN(PP76,CG76),0)</f>
        <v>0</v>
      </c>
      <c r="PR76" s="20" t="n">
        <f aca="false">PP76-PQ76</f>
        <v>74061.4849418023</v>
      </c>
      <c r="PS76" s="20" t="n">
        <f aca="false">IF(AND(HU76=0,BV76=1,PR76&gt;0),MIN(PR76,BW76),0)</f>
        <v>0</v>
      </c>
      <c r="PT76" s="20" t="n">
        <f aca="false">PR76-PS76</f>
        <v>74061.4849418023</v>
      </c>
      <c r="PU76" s="20" t="n">
        <f aca="false">IF(AND(HU76=0,BL76=1,PT76&gt;0),MIN(PT76,BM76),0)</f>
        <v>0</v>
      </c>
      <c r="PV76" s="20" t="n">
        <f aca="false">PT76-PU76</f>
        <v>74061.4849418023</v>
      </c>
      <c r="PW76" s="20" t="n">
        <f aca="false">IF(AND(HU76=0,BB76=1,PV76&gt;0),MIN(PV76,BC76),0)</f>
        <v>0</v>
      </c>
      <c r="PX76" s="20" t="n">
        <f aca="false">PV76-PW76</f>
        <v>74061.4849418023</v>
      </c>
      <c r="PY76" s="20" t="n">
        <f aca="false">IF(AND(HU76=0,AR76=1,PX76&gt;0),MIN(PX76,AS76),0)</f>
        <v>0</v>
      </c>
      <c r="PZ76" s="20" t="n">
        <f aca="false">PX76-PY76</f>
        <v>74061.4849418023</v>
      </c>
      <c r="QA76" s="20" t="n">
        <f aca="false">IF(AND(HU76=0,AH76=1,PZ76&gt;0),MIN(PZ76,AI76),0)</f>
        <v>0</v>
      </c>
      <c r="QB76" s="20" t="n">
        <f aca="false">PZ76-QA76</f>
        <v>74061.4849418023</v>
      </c>
      <c r="QC76" s="20" t="n">
        <f aca="false">IF(AND(HU76=0,W76=1,QB76&gt;0),MIN(QB76,X76),0)</f>
        <v>0</v>
      </c>
      <c r="QD76" s="20" t="n">
        <f aca="false">QB76-QC76</f>
        <v>74061.4849418023</v>
      </c>
      <c r="QE76" s="20" t="n">
        <f aca="false">IF(HU76=0,QD76,0)</f>
        <v>74061.4849418023</v>
      </c>
      <c r="QF76" s="20" t="n">
        <f aca="false">OM76+OO76+QC76+QA76+PY76+PW76+PU76+PS76+PQ76+PO76+PM76+PK76+PI76+PG76+PE76+PC76+PA76+OY76+OW76+OU76+OS76+OQ76</f>
        <v>0</v>
      </c>
      <c r="QG76" s="20" t="n">
        <f aca="false">IF(HU76=1,HK76+OJ76+OI76+IF(G76=1,0,OK76),HK76-OM76)</f>
        <v>0</v>
      </c>
      <c r="QH76" s="20" t="n">
        <f aca="false">HL76-OO76</f>
        <v>0</v>
      </c>
      <c r="QI76" s="20" t="n">
        <f aca="false">IF(HU76=1,IF(G76=1,ID76+IE76,HS76),0)</f>
        <v>0</v>
      </c>
      <c r="QJ76" s="20" t="n">
        <f aca="false">IF(HU76=1,IF(G76=1,HS76-ID76-IE76,0),0)</f>
        <v>0</v>
      </c>
      <c r="QK76" s="20" t="n">
        <f aca="false">QG76*(1+GR)</f>
        <v>0</v>
      </c>
      <c r="QL76" s="20" t="n">
        <f aca="false">QH76*(1+AS_Cash)</f>
        <v>0</v>
      </c>
      <c r="QM76" s="20" t="n">
        <f aca="false">IF(W76=1,IF(HU76=1,II76+IL76,X76-QC76)*(1+Slot1_Rate),0)</f>
        <v>0</v>
      </c>
      <c r="QN76" s="20" t="n">
        <f aca="false">IF(AND(HU76=1,W76=1),(IH76+IL76)/F76,0)</f>
        <v>0</v>
      </c>
      <c r="QO76" s="20" t="n">
        <f aca="false">IF(B76=0,IH76+IL76,0)</f>
        <v>0</v>
      </c>
      <c r="QP76" s="20" t="n">
        <f aca="false">IF(B76=0,IF(HU76=1,IJ76,IK76),0)</f>
        <v>0</v>
      </c>
      <c r="QQ76" s="20" t="n">
        <f aca="false">IF(AH76=1,IF(HU76=1,IQ76+IT76,AI76-QA76)*(1+Slot2_Rate),0)</f>
        <v>0</v>
      </c>
      <c r="QR76" s="20" t="n">
        <f aca="false">IF(AND(HU76=1,AH76=1),(IP76+IT76)/F76,0)</f>
        <v>0</v>
      </c>
      <c r="QS76" s="20" t="n">
        <f aca="false">IF(B76=0,IP76+IT76,0)</f>
        <v>0</v>
      </c>
      <c r="QT76" s="20" t="n">
        <f aca="false">IF(B76=0,IF(HU76=1,IR76,IS76),0)</f>
        <v>0</v>
      </c>
      <c r="QU76" s="20" t="n">
        <f aca="false">IF(AR76=1,IF(HU76=1,IY76+JB76,AS76-PY76)*(1+Slot3_Rate),0)</f>
        <v>0</v>
      </c>
      <c r="QV76" s="20" t="n">
        <f aca="false">IF(AND(HU76=1,AR76=1),(IX76+JB76)/F76,0)</f>
        <v>0</v>
      </c>
      <c r="QW76" s="20" t="n">
        <f aca="false">IF(B76=0,IX76+JB76,0)</f>
        <v>0</v>
      </c>
      <c r="QX76" s="20" t="n">
        <f aca="false">IF(B76=0,IF(HU76=1,IZ76,JA76),0)</f>
        <v>0</v>
      </c>
      <c r="QY76" s="20" t="n">
        <f aca="false">IF(BB76=1,IF(HU76=1,JG76+JJ76,BC76-PW76)*(1+Slot4_Rate),0)</f>
        <v>0</v>
      </c>
      <c r="QZ76" s="20" t="n">
        <f aca="false">IF(AND(HU76=1,BB76=1),(JF76+JJ76)/F76,0)</f>
        <v>0</v>
      </c>
      <c r="RA76" s="20" t="n">
        <f aca="false">IF(B76=0,JF76+JJ76,0)</f>
        <v>0</v>
      </c>
      <c r="RB76" s="20" t="n">
        <f aca="false">IF(B76=0,IF(HU76=1,JH76,JI76),0)</f>
        <v>0</v>
      </c>
      <c r="RC76" s="20" t="n">
        <f aca="false">IF(BL76=1,IF(HU76=1,JO76+JR76,BM76-PU76)*(1+Slot5_Rate),0)</f>
        <v>0</v>
      </c>
      <c r="RD76" s="20" t="n">
        <f aca="false">IF(AND(HU76=1,BL76=1),(JN76+JR76)/F76,0)</f>
        <v>0</v>
      </c>
      <c r="RE76" s="20" t="n">
        <f aca="false">IF(B76=0,JN76+JR76,0)</f>
        <v>0</v>
      </c>
      <c r="RF76" s="20" t="n">
        <f aca="false">IF(B76=0,IF(HU76=1,JP76,JQ76),0)</f>
        <v>0</v>
      </c>
      <c r="RG76" s="20" t="n">
        <f aca="false">IF(BV76=1,IF(HU76=1,JW76+JZ76,BW76-PS76)*(1+Slot6_Rate),0)</f>
        <v>0</v>
      </c>
      <c r="RH76" s="20" t="n">
        <f aca="false">IF(AND(HU76=1,BV76=1),(JV76+JZ76)/F76,0)</f>
        <v>0</v>
      </c>
      <c r="RI76" s="20" t="n">
        <f aca="false">IF(B76=0,JV76+JZ76,0)</f>
        <v>0</v>
      </c>
      <c r="RJ76" s="20" t="n">
        <f aca="false">IF(B76=0,IF(HU76=1,JX76,JY76),0)</f>
        <v>0</v>
      </c>
      <c r="RK76" s="20" t="n">
        <f aca="false">IF(CF76=1,IF(HU76=1,KE76+KH76,CG76-PQ76)*(1+Slot7_Rate),0)</f>
        <v>0</v>
      </c>
      <c r="RL76" s="20" t="n">
        <f aca="false">IF(AND(HU76=1,CF76=1),(KD76+KH76)/F76,0)</f>
        <v>0</v>
      </c>
      <c r="RM76" s="20" t="n">
        <f aca="false">IF(B76=0,KD76+KH76,0)</f>
        <v>0</v>
      </c>
      <c r="RN76" s="20" t="n">
        <f aca="false">IF(B76=0,IF(HU76=1,KF76,KG76),0)</f>
        <v>0</v>
      </c>
      <c r="RO76" s="20" t="n">
        <f aca="false">IF(CP76=1,IF(HU76=1,KM76+KP76,CQ76-PO76)*(1+Slot8_Rate),0)</f>
        <v>0</v>
      </c>
      <c r="RP76" s="20" t="n">
        <f aca="false">IF(AND(HU76=1,CP76=1),(KL76+KP76)/F76,0)</f>
        <v>0</v>
      </c>
      <c r="RQ76" s="20" t="n">
        <f aca="false">IF(B76=0,KL76+KP76,0)</f>
        <v>0</v>
      </c>
      <c r="RR76" s="20" t="n">
        <f aca="false">IF(B76=0,IF(HU76=1,KN76,KO76),0)</f>
        <v>0</v>
      </c>
      <c r="RS76" s="20" t="n">
        <f aca="false">IF(CZ76=1,IF(HU76=1,KU76+KX76,DA76-PM76)*(1+Slot9_Rate),0)</f>
        <v>0</v>
      </c>
      <c r="RT76" s="20" t="n">
        <f aca="false">IF(AND(HU76=1,CZ76=1),(KT76+KX76)/F76,0)</f>
        <v>0</v>
      </c>
      <c r="RU76" s="20" t="n">
        <f aca="false">IF(B76=0,KT76+KX76,0)</f>
        <v>0</v>
      </c>
      <c r="RV76" s="20" t="n">
        <f aca="false">IF(B76=0,IF(HU76=1,KV76,KW76),0)</f>
        <v>0</v>
      </c>
      <c r="RW76" s="20" t="n">
        <f aca="false">IF(DJ76=1,IF(HU76=1,LC76+LF76,DK76-PK76)*(1+Slot10_Rate),0)</f>
        <v>0</v>
      </c>
      <c r="RX76" s="20" t="n">
        <f aca="false">IF(AND(HU76=1,DJ76=1),(LB76+LF76)/F76,0)</f>
        <v>0</v>
      </c>
      <c r="RY76" s="20" t="n">
        <f aca="false">IF(B76=0,LB76+LF76,0)</f>
        <v>0</v>
      </c>
      <c r="RZ76" s="20" t="n">
        <f aca="false">IF(B76=0,IF(HU76=1,LD76,LE76),0)</f>
        <v>0</v>
      </c>
      <c r="SA76" s="20" t="n">
        <f aca="false">IF(DT76=1,IF(HU76=1,LK76+LN76,DU76-PI76)*(1+Slot11_Rate),0)</f>
        <v>0</v>
      </c>
      <c r="SB76" s="20" t="n">
        <f aca="false">IF(AND(HU76=1,DT76=1),(LJ76+LN76)/F76,0)</f>
        <v>0</v>
      </c>
      <c r="SC76" s="20" t="n">
        <f aca="false">IF(B76=0,LJ76+LN76,0)</f>
        <v>0</v>
      </c>
      <c r="SD76" s="20" t="n">
        <f aca="false">IF(B76=0,IF(HU76=1,LL76,LM76),0)</f>
        <v>0</v>
      </c>
      <c r="SE76" s="20" t="n">
        <f aca="false">IF(ED76=1,IF(HU76=1,LS76+LV76,EE76-PG76)*(1+Slot12_Rate),0)</f>
        <v>0</v>
      </c>
      <c r="SF76" s="20" t="n">
        <f aca="false">IF(AND(HU76=1,ED76=1),(LR76+LV76)/F76,0)</f>
        <v>0</v>
      </c>
      <c r="SG76" s="20" t="n">
        <f aca="false">IF(B76=0,LR76+LV76,0)</f>
        <v>0</v>
      </c>
      <c r="SH76" s="20" t="n">
        <f aca="false">IF(B76=0,IF(HU76=1,LT76,LU76),0)</f>
        <v>0</v>
      </c>
      <c r="SI76" s="20" t="n">
        <f aca="false">IF(EN76=1,IF(HU76=1,MA76+MD76,EO76-PE76)*(1+Slot13_Rate),0)</f>
        <v>0</v>
      </c>
      <c r="SJ76" s="20" t="n">
        <f aca="false">IF(AND(HU76=1,EN76=1),(LZ76+MD76)/F76,0)</f>
        <v>0</v>
      </c>
      <c r="SK76" s="20" t="n">
        <f aca="false">IF(B76=0,LZ76+MD76,0)</f>
        <v>0</v>
      </c>
      <c r="SL76" s="20" t="n">
        <f aca="false">IF(B76=0,IF(HU76=1,MB76,MC76),0)</f>
        <v>0</v>
      </c>
      <c r="SM76" s="20" t="n">
        <f aca="false">IF(EX76=1,IF(HU76=1,MI76+ML76,EY76-PC76)*(1+Slot14_Rate),0)</f>
        <v>0</v>
      </c>
      <c r="SN76" s="20" t="n">
        <f aca="false">IF(AND(HU76=1,EX76=1),(MH76+ML76)/F76,0)</f>
        <v>0</v>
      </c>
      <c r="SO76" s="20" t="n">
        <f aca="false">IF(B76=0,MH76+ML76,0)</f>
        <v>0</v>
      </c>
      <c r="SP76" s="20" t="n">
        <f aca="false">IF(B76=0,IF(HU76=1,MJ76,MK76),0)</f>
        <v>0</v>
      </c>
      <c r="SQ76" s="20" t="n">
        <f aca="false">IF(FH76=1,IF(HU76=1,MQ76+MT76,FI76-PA76)*(1+Slot15_Rate),0)</f>
        <v>0</v>
      </c>
      <c r="SR76" s="20" t="n">
        <f aca="false">IF(AND(HU76=1,FH76=1),(MP76+MT76)/F76,0)</f>
        <v>0</v>
      </c>
      <c r="SS76" s="20" t="n">
        <f aca="false">IF(B76=0,MP76+MT76,0)</f>
        <v>0</v>
      </c>
      <c r="ST76" s="20" t="n">
        <f aca="false">IF(B76=0,IF(HU76=1,MR76,MS76),0)</f>
        <v>0</v>
      </c>
      <c r="SU76" s="20" t="n">
        <f aca="false">IF(FR76=1,IF(HU76=1,MY76+NB76,FS76-OY76)*(1+Slot16_Rate),0)</f>
        <v>0</v>
      </c>
      <c r="SV76" s="20" t="n">
        <f aca="false">IF(AND(HU76=1,FR76=1),(MX76+NB76)/F76,0)</f>
        <v>0</v>
      </c>
      <c r="SW76" s="20" t="n">
        <f aca="false">IF(B76=0,MX76+NB76,0)</f>
        <v>0</v>
      </c>
      <c r="SX76" s="20" t="n">
        <f aca="false">IF(B76=0,IF(HU76=1,MZ76,NA76),0)</f>
        <v>0</v>
      </c>
      <c r="SY76" s="20" t="n">
        <f aca="false">IF(GB76=1,IF(HU76=1,NG76+NJ76,GC76-OW76)*(1+Slot17_Rate),0)</f>
        <v>0</v>
      </c>
      <c r="SZ76" s="20" t="n">
        <f aca="false">IF(AND(HU76=1,GB76=1),(NF76+NJ76)/F76,0)</f>
        <v>0</v>
      </c>
      <c r="TA76" s="20" t="n">
        <f aca="false">IF(B76=0,NF76+NJ76,0)</f>
        <v>0</v>
      </c>
      <c r="TB76" s="20" t="n">
        <f aca="false">IF(B76=0,IF(HU76=1,NH76,NI76),0)</f>
        <v>0</v>
      </c>
      <c r="TC76" s="20" t="n">
        <f aca="false">IF(GL76=1,IF(HU76=1,NO76+NR76,GM76-OU76)*(1+Slot18_Rate),0)</f>
        <v>0</v>
      </c>
      <c r="TD76" s="20" t="n">
        <f aca="false">IF(AND(HU76=1,GL76=1),(NN76+NR76)/F76,0)</f>
        <v>0</v>
      </c>
      <c r="TE76" s="20" t="n">
        <f aca="false">IF(B76=0,NN76+NR76,0)</f>
        <v>0</v>
      </c>
      <c r="TF76" s="20" t="n">
        <f aca="false">IF(B76=0,IF(HU76=1,NP76,NQ76),0)</f>
        <v>0</v>
      </c>
      <c r="TG76" s="20" t="n">
        <f aca="false">IF(GV76=1,IF(HU76=1,NW76+NZ76,GW76-OS76)*(1+Slot19_Rate),0)</f>
        <v>0</v>
      </c>
      <c r="TH76" s="20" t="n">
        <f aca="false">IF(AND(HU76=1,GV76=1),(NV76+NZ76)/F76,0)</f>
        <v>0</v>
      </c>
      <c r="TI76" s="20" t="n">
        <f aca="false">IF(B76=0,NV76+NZ76,0)</f>
        <v>0</v>
      </c>
      <c r="TJ76" s="20" t="n">
        <f aca="false">IF(B76=0,IF(HU76=1,NX76,NY76),0)</f>
        <v>0</v>
      </c>
      <c r="TK76" s="20" t="n">
        <f aca="false">IF(HF76=1,IF(HU76=1,OE76+OH76,HG76-OQ76)*(1+Slot20_Rate),0)</f>
        <v>0</v>
      </c>
      <c r="TL76" s="20" t="n">
        <f aca="false">IF(AND(HU76=1,HF76=1),(OD76+OH76)/F76,0)</f>
        <v>0</v>
      </c>
      <c r="TM76" s="20" t="n">
        <f aca="false">IF(B76=0,OD76+OH76,0)</f>
        <v>0</v>
      </c>
      <c r="TN76" s="20" t="n">
        <f aca="false">IF(B76=0,IF(HU76=1,OF76,OG76),0)</f>
        <v>0</v>
      </c>
      <c r="TO76" s="20" t="n">
        <f aca="false">QK76+QL76+QM76+QQ76+QU76+QY76+RC76+RG76+RK76+RO76+RS76+RW76+SA76+SE76+SI76+SM76+SQ76+SU76+SY76+TC76+TG76+TK76</f>
        <v>0</v>
      </c>
      <c r="TP76" s="20" t="n">
        <f aca="false">QE76+HP76</f>
        <v>74061.4849418023</v>
      </c>
      <c r="TQ76" s="20" t="n">
        <f aca="false">I76+S76</f>
        <v>183755.17402168</v>
      </c>
      <c r="TR76" s="20" t="n">
        <f aca="false">1-G76</f>
        <v>1</v>
      </c>
      <c r="TS76" s="20" t="n">
        <f aca="false">IF(AND(RG_Exists=1,G76=0,C76=1),I76,0)</f>
        <v>0</v>
      </c>
      <c r="TT76" s="20" t="n">
        <f aca="false">IF(AND(RG_Exists=1,G76=0,C76=1),I76-MIN(QE76,I76),0)</f>
        <v>0</v>
      </c>
      <c r="TU76" s="20" t="n">
        <f aca="false">'Plan pay &amp; tax'!AD302</f>
        <v>0</v>
      </c>
      <c r="TV76" s="20" t="n">
        <f aca="false">IF(AND(C76=1,QE76&gt;MAX(PR_Short1,TQ76*PR_Short2)),1,0)</f>
        <v>0</v>
      </c>
      <c r="TW76" s="20" t="n">
        <f aca="false">MIN(H76,I76+S76)</f>
        <v>109693.689079877</v>
      </c>
      <c r="TX76" s="20" t="n">
        <f aca="false">QF76+MAX(0,HQ76-HP76)</f>
        <v>0</v>
      </c>
      <c r="TY76" s="20" t="n">
        <f aca="false">QE76+HP76</f>
        <v>74061.4849418023</v>
      </c>
      <c r="TZ76" s="20" t="n">
        <f aca="false">IF(AND(C76=1,TY76&gt;PR_MinShort),1,0)</f>
        <v>0</v>
      </c>
      <c r="UA76" s="20" t="n">
        <f aca="false">IF(AND(C76=1,TZ76=0,TX76&gt;PR_MinShort),1,0)</f>
        <v>0</v>
      </c>
      <c r="UB76" s="20" t="n">
        <f aca="false">IF(AND(C76=1,QE76&gt;PR_MinShort),1,0)</f>
        <v>0</v>
      </c>
      <c r="UC76" s="20" t="n">
        <f aca="false">IF(AND(C76=1,QF76&gt;1,UJ76=0),1,0)</f>
        <v>0</v>
      </c>
      <c r="UD76" s="20" t="str">
        <f aca="false">IF(C76=0,"",IF(UJ76=1,"Gap to plan for: short "&amp;"€"&amp;TEXT(ROUND(TP76,0),"#,##0"),IF(QF76&gt;1,"Using savings","Comfortable")))</f>
        <v/>
      </c>
      <c r="UE76" s="20" t="n">
        <f aca="false">IF(AND(INT(D76/10)*10=90,B76&gt;0),80,INT(D76/10)*10)</f>
        <v>100</v>
      </c>
      <c r="UF76" s="20" t="n">
        <f aca="false">IF(B76=0,1,IF(UE76&lt;&gt;UE75,UF75+1,UF75))</f>
        <v>7</v>
      </c>
      <c r="UG76" s="20" t="n">
        <f aca="false">IF(AND(C76=1,G76=1,QE76&gt;MAX(PR_Short1,TQ76*PR_Short2)),1,0)</f>
        <v>0</v>
      </c>
      <c r="UH76" s="20" t="n">
        <f aca="false">TR76*TV76</f>
        <v>0</v>
      </c>
      <c r="UI76" s="20" t="n">
        <f aca="false">IF(AND(V76=1,Slot1_PctLow=1),1,0)+IF(AND(AG76=1,Slot2_PctLow=1),1,0)+IF(AND(AQ76=1,Slot3_PctLow=1),1,0)+IF(AND(BA76=1,Slot4_PctLow=1),1,0)+IF(AND(BK76=1,Slot5_PctLow=1),1,0)+IF(AND(BU76=1,Slot6_PctLow=1),1,0)+IF(AND(CE76=1,Slot7_PctLow=1),1,0)+IF(AND(CO76=1,Slot8_PctLow=1),1,0)+IF(AND(CY76=1,Slot9_PctLow=1),1,0)+IF(AND(DI76=1,Slot10_PctLow=1),1,0)+IF(AND(DS76=1,Slot11_PctLow=1),1,0)+IF(AND(EC76=1,Slot12_PctLow=1),1,0)+IF(AND(EM76=1,Slot13_PctLow=1),1,0)+IF(AND(EW76=1,Slot14_PctLow=1),1,0)+IF(AND(FG76=1,Slot15_PctLow=1),1,0)+IF(AND(FQ76=1,Slot16_PctLow=1),1,0)+IF(AND(GA76=1,Slot17_PctLow=1),1,0)+IF(AND(GK76=1,Slot18_PctLow=1),1,0)+IF(AND(GU76=1,Slot19_PctLow=1),1,0)+IF(AND(HE76=1,Slot20_PctLow=1),1,0)</f>
        <v>0</v>
      </c>
      <c r="UJ76" s="20" t="n">
        <f aca="false">IF(C76=1,IF(OR(TV76=1,UI76&gt;0),1,0),0)</f>
        <v>0</v>
      </c>
    </row>
    <row r="77" customFormat="false" ht="15" hidden="false" customHeight="true" outlineLevel="0" collapsed="false">
      <c r="B77" s="20" t="n">
        <v>69</v>
      </c>
      <c r="C77" s="20" t="n">
        <f aca="false">IF(B77&lt;=F_N,1,0)</f>
        <v>0</v>
      </c>
      <c r="D77" s="20" t="n">
        <f aca="false">'Plan pay &amp; tax'!C303</f>
        <v>107</v>
      </c>
      <c r="E77" s="20" t="str">
        <f aca="false">IF($C77=1,"Income tax "&amp;TEXT(N('Plan pay &amp; tax'!BK303),"#,##0")&amp;"; USC "&amp;TEXT(N('Plan pay &amp; tax'!BM303)+N('Plan pay &amp; tax'!BO303),"#,##0")&amp;"; PRSI "&amp;TEXT(N('Plan pay &amp; tax'!BP303)+N('Plan pay &amp; tax'!BQ303),"#,##0")&amp;". DIRT and exit tax are inside the growth rates here.","")</f>
        <v/>
      </c>
      <c r="F77" s="44" t="n">
        <f aca="false">'Plan pay &amp; tax'!E303</f>
        <v>3.92113551259651</v>
      </c>
      <c r="G77" s="20" t="n">
        <f aca="false">'Plan pay &amp; tax'!G303</f>
        <v>0</v>
      </c>
      <c r="H77" s="20" t="n">
        <f aca="false">'Plan pay &amp; tax'!BT303-'Plan pay &amp; tax'!BS303-'Plan pay &amp; tax'!R303</f>
        <v>111887.562861475</v>
      </c>
      <c r="I77" s="20" t="n">
        <f aca="false">IF(G77=1,F_CostsM*12,IF(RG_Exists=1,RG_Amount,F_CostsM*12*AS_RetireSpend))*F77+F_OneOffY*F77</f>
        <v>187430.277502113</v>
      </c>
      <c r="J77" s="20" t="n">
        <f aca="false">HR76</f>
        <v>0</v>
      </c>
      <c r="K77" s="20" t="n">
        <f aca="false">IF(J77&gt;1,'Plan debt months'!AC77,0)</f>
        <v>0</v>
      </c>
      <c r="L77" s="20" t="n">
        <f aca="false">IF(J77&gt;1,'Plan debt months'!AB77,J77)</f>
        <v>0</v>
      </c>
      <c r="M77" s="20" t="n">
        <f aca="false">O76</f>
        <v>0</v>
      </c>
      <c r="N77" s="20" t="n">
        <f aca="false">IF(M77&gt;1,'Plan debt months'!BD77,0)</f>
        <v>0</v>
      </c>
      <c r="O77" s="20" t="n">
        <f aca="false">IF(M77&gt;1,'Plan debt months'!BC77,M77)</f>
        <v>0</v>
      </c>
      <c r="P77" s="20" t="n">
        <f aca="false">R76</f>
        <v>0</v>
      </c>
      <c r="Q77" s="20" t="n">
        <f aca="false">IF(P77&gt;1,'Plan debt months'!CE77,0)</f>
        <v>0</v>
      </c>
      <c r="R77" s="20" t="n">
        <f aca="false">IF(P77&gt;1,'Plan debt months'!CD77,P77)</f>
        <v>0</v>
      </c>
      <c r="S77" s="20" t="n">
        <f aca="false">K77+N77+Q77</f>
        <v>0</v>
      </c>
      <c r="T77" s="20" t="n">
        <f aca="false">QK76+'Plan pay &amp; tax'!Y303</f>
        <v>0</v>
      </c>
      <c r="U77" s="20" t="n">
        <f aca="false">QK76</f>
        <v>0</v>
      </c>
      <c r="V77" s="20" t="n">
        <f aca="false">IF(AND(Slot1_On=1,D77=Slot1_Age),1,0)</f>
        <v>0</v>
      </c>
      <c r="W77" s="20" t="n">
        <f aca="false">IF(AND(Slot1_On=1,Slot1_Age&gt;D77),1,0)</f>
        <v>0</v>
      </c>
      <c r="X77" s="20" t="n">
        <f aca="false">QM76</f>
        <v>0</v>
      </c>
      <c r="Y77" s="20" t="n">
        <f aca="false">V77*MIN(Slot1_Cost,X77)</f>
        <v>0</v>
      </c>
      <c r="Z77" s="20" t="n">
        <f aca="false">V77*Slot1_SpendLike*MIN(Slot1_Cost-Y77,T77)</f>
        <v>0</v>
      </c>
      <c r="AA77" s="20" t="n">
        <f aca="false">Y77+Z77</f>
        <v>0</v>
      </c>
      <c r="AB77" s="20" t="n">
        <f aca="false">T77-Z77+V77*IF(Slot1_SpendLike=1,X77-Y77,IF(Slot1_PotFree=1,X77,0))</f>
        <v>0</v>
      </c>
      <c r="AC77" s="20" t="n">
        <f aca="false">AF77+V77*Slot1_BufPot*X77</f>
        <v>0</v>
      </c>
      <c r="AD77" s="20" t="n">
        <f aca="false">IF(AND(V77=1,Slot1_IsMfree=1),IF(AA77&gt;=Slot1_Cost-1,0,MAX(0,L77-AA77)),L77)</f>
        <v>0</v>
      </c>
      <c r="AE77" s="20" t="n">
        <f aca="false">V77*(Slot1_Cost-AA77)</f>
        <v>0</v>
      </c>
      <c r="AF77" s="20" t="n">
        <f aca="false">QL76</f>
        <v>0</v>
      </c>
      <c r="AG77" s="20" t="n">
        <f aca="false">IF(AND(Slot2_On=1,D77=Slot2_Age),1,0)</f>
        <v>0</v>
      </c>
      <c r="AH77" s="20" t="n">
        <f aca="false">IF(AND(Slot2_On=1,Slot2_Age&gt;D77),1,0)</f>
        <v>0</v>
      </c>
      <c r="AI77" s="20" t="n">
        <f aca="false">QQ76</f>
        <v>0</v>
      </c>
      <c r="AJ77" s="20" t="n">
        <f aca="false">AG77*MIN(Slot2_Cost,AI77)</f>
        <v>0</v>
      </c>
      <c r="AK77" s="20" t="n">
        <f aca="false">AG77*Slot2_SpendLike*MIN(Slot2_Cost-AJ77,AB77)</f>
        <v>0</v>
      </c>
      <c r="AL77" s="20" t="n">
        <f aca="false">AJ77+AK77</f>
        <v>0</v>
      </c>
      <c r="AM77" s="20" t="n">
        <f aca="false">AB77-AK77+AG77*IF(Slot2_SpendLike=1,AI77-AJ77,IF(Slot2_PotFree=1,AI77,0))</f>
        <v>0</v>
      </c>
      <c r="AN77" s="20" t="n">
        <f aca="false">AC77+AG77*Slot2_BufPot*AI77</f>
        <v>0</v>
      </c>
      <c r="AO77" s="20" t="n">
        <f aca="false">IF(AND(AG77=1,Slot2_IsMfree=1),IF(AL77&gt;=Slot2_Cost-1,0,MAX(0,AD77-AL77)),AD77)</f>
        <v>0</v>
      </c>
      <c r="AP77" s="20" t="n">
        <f aca="false">AG77*(Slot2_Cost-AL77)</f>
        <v>0</v>
      </c>
      <c r="AQ77" s="20" t="n">
        <f aca="false">IF(AND(Slot3_On=1,D77=Slot3_Age),1,0)</f>
        <v>0</v>
      </c>
      <c r="AR77" s="20" t="n">
        <f aca="false">IF(AND(Slot3_On=1,Slot3_Age&gt;D77),1,0)</f>
        <v>0</v>
      </c>
      <c r="AS77" s="20" t="n">
        <f aca="false">QU76</f>
        <v>0</v>
      </c>
      <c r="AT77" s="20" t="n">
        <f aca="false">AQ77*MIN(Slot3_Cost,AS77)</f>
        <v>0</v>
      </c>
      <c r="AU77" s="20" t="n">
        <f aca="false">AQ77*Slot3_SpendLike*MIN(Slot3_Cost-AT77,AM77)</f>
        <v>0</v>
      </c>
      <c r="AV77" s="20" t="n">
        <f aca="false">AT77+AU77</f>
        <v>0</v>
      </c>
      <c r="AW77" s="20" t="n">
        <f aca="false">AM77-AU77+AQ77*IF(Slot3_SpendLike=1,AS77-AT77,IF(Slot3_PotFree=1,AS77,0))</f>
        <v>0</v>
      </c>
      <c r="AX77" s="20" t="n">
        <f aca="false">AN77+AQ77*Slot3_BufPot*AS77</f>
        <v>0</v>
      </c>
      <c r="AY77" s="20" t="n">
        <f aca="false">IF(AND(AQ77=1,Slot3_IsMfree=1),IF(AV77&gt;=Slot3_Cost-1,0,MAX(0,AO77-AV77)),AO77)</f>
        <v>0</v>
      </c>
      <c r="AZ77" s="20" t="n">
        <f aca="false">AQ77*(Slot3_Cost-AV77)</f>
        <v>0</v>
      </c>
      <c r="BA77" s="20" t="n">
        <f aca="false">IF(AND(Slot4_On=1,D77=Slot4_Age),1,0)</f>
        <v>0</v>
      </c>
      <c r="BB77" s="20" t="n">
        <f aca="false">IF(AND(Slot4_On=1,Slot4_Age&gt;D77),1,0)</f>
        <v>0</v>
      </c>
      <c r="BC77" s="20" t="n">
        <f aca="false">QY76</f>
        <v>0</v>
      </c>
      <c r="BD77" s="20" t="n">
        <f aca="false">BA77*MIN(Slot4_Cost,BC77)</f>
        <v>0</v>
      </c>
      <c r="BE77" s="20" t="n">
        <f aca="false">BA77*Slot4_SpendLike*MIN(Slot4_Cost-BD77,AW77)</f>
        <v>0</v>
      </c>
      <c r="BF77" s="20" t="n">
        <f aca="false">BD77+BE77</f>
        <v>0</v>
      </c>
      <c r="BG77" s="20" t="n">
        <f aca="false">AW77-BE77+BA77*IF(Slot4_SpendLike=1,BC77-BD77,IF(Slot4_PotFree=1,BC77,0))</f>
        <v>0</v>
      </c>
      <c r="BH77" s="20" t="n">
        <f aca="false">AX77+BA77*Slot4_BufPot*BC77</f>
        <v>0</v>
      </c>
      <c r="BI77" s="20" t="n">
        <f aca="false">IF(AND(BA77=1,Slot4_IsMfree=1),IF(BF77&gt;=Slot4_Cost-1,0,MAX(0,AY77-BF77)),AY77)</f>
        <v>0</v>
      </c>
      <c r="BJ77" s="20" t="n">
        <f aca="false">BA77*(Slot4_Cost-BF77)</f>
        <v>0</v>
      </c>
      <c r="BK77" s="20" t="n">
        <f aca="false">IF(AND(Slot5_On=1,D77=Slot5_Age),1,0)</f>
        <v>0</v>
      </c>
      <c r="BL77" s="20" t="n">
        <f aca="false">IF(AND(Slot5_On=1,Slot5_Age&gt;D77),1,0)</f>
        <v>0</v>
      </c>
      <c r="BM77" s="20" t="n">
        <f aca="false">RC76</f>
        <v>0</v>
      </c>
      <c r="BN77" s="20" t="n">
        <f aca="false">BK77*MIN(Slot5_Cost,BM77)</f>
        <v>0</v>
      </c>
      <c r="BO77" s="20" t="n">
        <f aca="false">BK77*Slot5_SpendLike*MIN(Slot5_Cost-BN77,BG77)</f>
        <v>0</v>
      </c>
      <c r="BP77" s="20" t="n">
        <f aca="false">BN77+BO77</f>
        <v>0</v>
      </c>
      <c r="BQ77" s="20" t="n">
        <f aca="false">BG77-BO77+BK77*IF(Slot5_SpendLike=1,BM77-BN77,IF(Slot5_PotFree=1,BM77,0))</f>
        <v>0</v>
      </c>
      <c r="BR77" s="20" t="n">
        <f aca="false">BH77+BK77*Slot5_BufPot*BM77</f>
        <v>0</v>
      </c>
      <c r="BS77" s="20" t="n">
        <f aca="false">IF(AND(BK77=1,Slot5_IsMfree=1),IF(BP77&gt;=Slot5_Cost-1,0,MAX(0,BI77-BP77)),BI77)</f>
        <v>0</v>
      </c>
      <c r="BT77" s="20" t="n">
        <f aca="false">BK77*(Slot5_Cost-BP77)</f>
        <v>0</v>
      </c>
      <c r="BU77" s="20" t="n">
        <f aca="false">IF(AND(Slot6_On=1,D77=Slot6_Age),1,0)</f>
        <v>0</v>
      </c>
      <c r="BV77" s="20" t="n">
        <f aca="false">IF(AND(Slot6_On=1,Slot6_Age&gt;D77),1,0)</f>
        <v>0</v>
      </c>
      <c r="BW77" s="20" t="n">
        <f aca="false">RG76</f>
        <v>0</v>
      </c>
      <c r="BX77" s="20" t="n">
        <f aca="false">BU77*MIN(Slot6_Cost,BW77)</f>
        <v>0</v>
      </c>
      <c r="BY77" s="20" t="n">
        <f aca="false">BU77*Slot6_SpendLike*MIN(Slot6_Cost-BX77,BQ77)</f>
        <v>0</v>
      </c>
      <c r="BZ77" s="20" t="n">
        <f aca="false">BX77+BY77</f>
        <v>0</v>
      </c>
      <c r="CA77" s="20" t="n">
        <f aca="false">BQ77-BY77+BU77*IF(Slot6_SpendLike=1,BW77-BX77,IF(Slot6_PotFree=1,BW77,0))</f>
        <v>0</v>
      </c>
      <c r="CB77" s="20" t="n">
        <f aca="false">BR77+BU77*Slot6_BufPot*BW77</f>
        <v>0</v>
      </c>
      <c r="CC77" s="20" t="n">
        <f aca="false">IF(AND(BU77=1,Slot6_IsMfree=1),IF(BZ77&gt;=Slot6_Cost-1,0,MAX(0,BS77-BZ77)),BS77)</f>
        <v>0</v>
      </c>
      <c r="CD77" s="20" t="n">
        <f aca="false">BU77*(Slot6_Cost-BZ77)</f>
        <v>0</v>
      </c>
      <c r="CE77" s="20" t="n">
        <f aca="false">IF(AND(Slot7_On=1,D77=Slot7_Age),1,0)</f>
        <v>0</v>
      </c>
      <c r="CF77" s="20" t="n">
        <f aca="false">IF(AND(Slot7_On=1,Slot7_Age&gt;D77),1,0)</f>
        <v>0</v>
      </c>
      <c r="CG77" s="20" t="n">
        <f aca="false">RK76</f>
        <v>0</v>
      </c>
      <c r="CH77" s="20" t="n">
        <f aca="false">CE77*MIN(Slot7_Cost,CG77)</f>
        <v>0</v>
      </c>
      <c r="CI77" s="20" t="n">
        <f aca="false">CE77*Slot7_SpendLike*MIN(Slot7_Cost-CH77,CA77)</f>
        <v>0</v>
      </c>
      <c r="CJ77" s="20" t="n">
        <f aca="false">CH77+CI77</f>
        <v>0</v>
      </c>
      <c r="CK77" s="20" t="n">
        <f aca="false">CA77-CI77+CE77*IF(Slot7_SpendLike=1,CG77-CH77,IF(Slot7_PotFree=1,CG77,0))</f>
        <v>0</v>
      </c>
      <c r="CL77" s="20" t="n">
        <f aca="false">CB77+CE77*Slot7_BufPot*CG77</f>
        <v>0</v>
      </c>
      <c r="CM77" s="20" t="n">
        <f aca="false">IF(AND(CE77=1,Slot7_IsMfree=1),IF(CJ77&gt;=Slot7_Cost-1,0,MAX(0,CC77-CJ77)),CC77)</f>
        <v>0</v>
      </c>
      <c r="CN77" s="20" t="n">
        <f aca="false">CE77*(Slot7_Cost-CJ77)</f>
        <v>0</v>
      </c>
      <c r="CO77" s="20" t="n">
        <f aca="false">IF(AND(Slot8_On=1,D77=Slot8_Age),1,0)</f>
        <v>0</v>
      </c>
      <c r="CP77" s="20" t="n">
        <f aca="false">IF(AND(Slot8_On=1,Slot8_Age&gt;D77),1,0)</f>
        <v>0</v>
      </c>
      <c r="CQ77" s="20" t="n">
        <f aca="false">RO76</f>
        <v>0</v>
      </c>
      <c r="CR77" s="20" t="n">
        <f aca="false">CO77*MIN(Slot8_Cost,CQ77)</f>
        <v>0</v>
      </c>
      <c r="CS77" s="20" t="n">
        <f aca="false">CO77*Slot8_SpendLike*MIN(Slot8_Cost-CR77,CK77)</f>
        <v>0</v>
      </c>
      <c r="CT77" s="20" t="n">
        <f aca="false">CR77+CS77</f>
        <v>0</v>
      </c>
      <c r="CU77" s="20" t="n">
        <f aca="false">CK77-CS77+CO77*IF(Slot8_SpendLike=1,CQ77-CR77,IF(Slot8_PotFree=1,CQ77,0))</f>
        <v>0</v>
      </c>
      <c r="CV77" s="20" t="n">
        <f aca="false">CL77+CO77*Slot8_BufPot*CQ77</f>
        <v>0</v>
      </c>
      <c r="CW77" s="20" t="n">
        <f aca="false">IF(AND(CO77=1,Slot8_IsMfree=1),IF(CT77&gt;=Slot8_Cost-1,0,MAX(0,CM77-CT77)),CM77)</f>
        <v>0</v>
      </c>
      <c r="CX77" s="20" t="n">
        <f aca="false">CO77*(Slot8_Cost-CT77)</f>
        <v>0</v>
      </c>
      <c r="CY77" s="20" t="n">
        <f aca="false">IF(AND(Slot9_On=1,D77=Slot9_Age),1,0)</f>
        <v>0</v>
      </c>
      <c r="CZ77" s="20" t="n">
        <f aca="false">IF(AND(Slot9_On=1,Slot9_Age&gt;D77),1,0)</f>
        <v>0</v>
      </c>
      <c r="DA77" s="20" t="n">
        <f aca="false">RS76</f>
        <v>0</v>
      </c>
      <c r="DB77" s="20" t="n">
        <f aca="false">CY77*MIN(Slot9_Cost,DA77)</f>
        <v>0</v>
      </c>
      <c r="DC77" s="20" t="n">
        <f aca="false">CY77*Slot9_SpendLike*MIN(Slot9_Cost-DB77,CU77)</f>
        <v>0</v>
      </c>
      <c r="DD77" s="20" t="n">
        <f aca="false">DB77+DC77</f>
        <v>0</v>
      </c>
      <c r="DE77" s="20" t="n">
        <f aca="false">CU77-DC77+CY77*IF(Slot9_SpendLike=1,DA77-DB77,IF(Slot9_PotFree=1,DA77,0))</f>
        <v>0</v>
      </c>
      <c r="DF77" s="20" t="n">
        <f aca="false">CV77+CY77*Slot9_BufPot*DA77</f>
        <v>0</v>
      </c>
      <c r="DG77" s="20" t="n">
        <f aca="false">IF(AND(CY77=1,Slot9_IsMfree=1),IF(DD77&gt;=Slot9_Cost-1,0,MAX(0,CW77-DD77)),CW77)</f>
        <v>0</v>
      </c>
      <c r="DH77" s="20" t="n">
        <f aca="false">CY77*(Slot9_Cost-DD77)</f>
        <v>0</v>
      </c>
      <c r="DI77" s="20" t="n">
        <f aca="false">IF(AND(Slot10_On=1,D77=Slot10_Age),1,0)</f>
        <v>0</v>
      </c>
      <c r="DJ77" s="20" t="n">
        <f aca="false">IF(AND(Slot10_On=1,Slot10_Age&gt;D77),1,0)</f>
        <v>0</v>
      </c>
      <c r="DK77" s="20" t="n">
        <f aca="false">RW76</f>
        <v>0</v>
      </c>
      <c r="DL77" s="20" t="n">
        <f aca="false">DI77*MIN(Slot10_Cost,DK77)</f>
        <v>0</v>
      </c>
      <c r="DM77" s="20" t="n">
        <f aca="false">DI77*Slot10_SpendLike*MIN(Slot10_Cost-DL77,DE77)</f>
        <v>0</v>
      </c>
      <c r="DN77" s="20" t="n">
        <f aca="false">DL77+DM77</f>
        <v>0</v>
      </c>
      <c r="DO77" s="20" t="n">
        <f aca="false">DE77-DM77+DI77*IF(Slot10_SpendLike=1,DK77-DL77,IF(Slot10_PotFree=1,DK77,0))</f>
        <v>0</v>
      </c>
      <c r="DP77" s="20" t="n">
        <f aca="false">DF77+DI77*Slot10_BufPot*DK77</f>
        <v>0</v>
      </c>
      <c r="DQ77" s="20" t="n">
        <f aca="false">IF(AND(DI77=1,Slot10_IsMfree=1),IF(DN77&gt;=Slot10_Cost-1,0,MAX(0,DG77-DN77)),DG77)</f>
        <v>0</v>
      </c>
      <c r="DR77" s="20" t="n">
        <f aca="false">DI77*(Slot10_Cost-DN77)</f>
        <v>0</v>
      </c>
      <c r="DS77" s="20" t="n">
        <f aca="false">IF(AND(Slot11_On=1,D77=Slot11_Age),1,0)</f>
        <v>0</v>
      </c>
      <c r="DT77" s="20" t="n">
        <f aca="false">IF(AND(Slot11_On=1,Slot11_Age&gt;D77),1,0)</f>
        <v>0</v>
      </c>
      <c r="DU77" s="20" t="n">
        <f aca="false">SA76</f>
        <v>0</v>
      </c>
      <c r="DV77" s="20" t="n">
        <f aca="false">DS77*MIN(Slot11_Cost,DU77)</f>
        <v>0</v>
      </c>
      <c r="DW77" s="20" t="n">
        <f aca="false">DS77*Slot11_SpendLike*MIN(Slot11_Cost-DV77,DO77)</f>
        <v>0</v>
      </c>
      <c r="DX77" s="20" t="n">
        <f aca="false">DV77+DW77</f>
        <v>0</v>
      </c>
      <c r="DY77" s="20" t="n">
        <f aca="false">DO77-DW77+DS77*IF(Slot11_SpendLike=1,DU77-DV77,IF(Slot11_PotFree=1,DU77,0))</f>
        <v>0</v>
      </c>
      <c r="DZ77" s="20" t="n">
        <f aca="false">DP77+DS77*Slot11_BufPot*DU77</f>
        <v>0</v>
      </c>
      <c r="EA77" s="20" t="n">
        <f aca="false">IF(AND(DS77=1,Slot11_IsMfree=1),IF(DX77&gt;=Slot11_Cost-1,0,MAX(0,DQ77-DX77)),DQ77)</f>
        <v>0</v>
      </c>
      <c r="EB77" s="20" t="n">
        <f aca="false">DS77*(Slot11_Cost-DX77)</f>
        <v>0</v>
      </c>
      <c r="EC77" s="20" t="n">
        <f aca="false">IF(AND(Slot12_On=1,D77=Slot12_Age),1,0)</f>
        <v>0</v>
      </c>
      <c r="ED77" s="20" t="n">
        <f aca="false">IF(AND(Slot12_On=1,Slot12_Age&gt;D77),1,0)</f>
        <v>0</v>
      </c>
      <c r="EE77" s="20" t="n">
        <f aca="false">SE76</f>
        <v>0</v>
      </c>
      <c r="EF77" s="20" t="n">
        <f aca="false">EC77*MIN(Slot12_Cost,EE77)</f>
        <v>0</v>
      </c>
      <c r="EG77" s="20" t="n">
        <f aca="false">EC77*Slot12_SpendLike*MIN(Slot12_Cost-EF77,DY77)</f>
        <v>0</v>
      </c>
      <c r="EH77" s="20" t="n">
        <f aca="false">EF77+EG77</f>
        <v>0</v>
      </c>
      <c r="EI77" s="20" t="n">
        <f aca="false">DY77-EG77+EC77*IF(Slot12_SpendLike=1,EE77-EF77,IF(Slot12_PotFree=1,EE77,0))</f>
        <v>0</v>
      </c>
      <c r="EJ77" s="20" t="n">
        <f aca="false">DZ77+EC77*Slot12_BufPot*EE77</f>
        <v>0</v>
      </c>
      <c r="EK77" s="20" t="n">
        <f aca="false">IF(AND(EC77=1,Slot12_IsMfree=1),IF(EH77&gt;=Slot12_Cost-1,0,MAX(0,EA77-EH77)),EA77)</f>
        <v>0</v>
      </c>
      <c r="EL77" s="20" t="n">
        <f aca="false">EC77*(Slot12_Cost-EH77)</f>
        <v>0</v>
      </c>
      <c r="EM77" s="20" t="n">
        <f aca="false">IF(AND(Slot13_On=1,D77=Slot13_Age),1,0)</f>
        <v>0</v>
      </c>
      <c r="EN77" s="20" t="n">
        <f aca="false">IF(AND(Slot13_On=1,Slot13_Age&gt;D77),1,0)</f>
        <v>0</v>
      </c>
      <c r="EO77" s="20" t="n">
        <f aca="false">SI76</f>
        <v>0</v>
      </c>
      <c r="EP77" s="20" t="n">
        <f aca="false">EM77*MIN(Slot13_Cost,EO77)</f>
        <v>0</v>
      </c>
      <c r="EQ77" s="20" t="n">
        <f aca="false">EM77*Slot13_SpendLike*MIN(Slot13_Cost-EP77,EI77)</f>
        <v>0</v>
      </c>
      <c r="ER77" s="20" t="n">
        <f aca="false">EP77+EQ77</f>
        <v>0</v>
      </c>
      <c r="ES77" s="20" t="n">
        <f aca="false">EI77-EQ77+EM77*IF(Slot13_SpendLike=1,EO77-EP77,IF(Slot13_PotFree=1,EO77,0))</f>
        <v>0</v>
      </c>
      <c r="ET77" s="20" t="n">
        <f aca="false">EJ77+EM77*Slot13_BufPot*EO77</f>
        <v>0</v>
      </c>
      <c r="EU77" s="20" t="n">
        <f aca="false">IF(AND(EM77=1,Slot13_IsMfree=1),IF(ER77&gt;=Slot13_Cost-1,0,MAX(0,EK77-ER77)),EK77)</f>
        <v>0</v>
      </c>
      <c r="EV77" s="20" t="n">
        <f aca="false">EM77*(Slot13_Cost-ER77)</f>
        <v>0</v>
      </c>
      <c r="EW77" s="20" t="n">
        <f aca="false">IF(AND(Slot14_On=1,D77=Slot14_Age),1,0)</f>
        <v>0</v>
      </c>
      <c r="EX77" s="20" t="n">
        <f aca="false">IF(AND(Slot14_On=1,Slot14_Age&gt;D77),1,0)</f>
        <v>0</v>
      </c>
      <c r="EY77" s="20" t="n">
        <f aca="false">SM76</f>
        <v>0</v>
      </c>
      <c r="EZ77" s="20" t="n">
        <f aca="false">EW77*MIN(Slot14_Cost,EY77)</f>
        <v>0</v>
      </c>
      <c r="FA77" s="20" t="n">
        <f aca="false">EW77*Slot14_SpendLike*MIN(Slot14_Cost-EZ77,ES77)</f>
        <v>0</v>
      </c>
      <c r="FB77" s="20" t="n">
        <f aca="false">EZ77+FA77</f>
        <v>0</v>
      </c>
      <c r="FC77" s="20" t="n">
        <f aca="false">ES77-FA77+EW77*IF(Slot14_SpendLike=1,EY77-EZ77,IF(Slot14_PotFree=1,EY77,0))</f>
        <v>0</v>
      </c>
      <c r="FD77" s="20" t="n">
        <f aca="false">ET77+EW77*Slot14_BufPot*EY77</f>
        <v>0</v>
      </c>
      <c r="FE77" s="20" t="n">
        <f aca="false">IF(AND(EW77=1,Slot14_IsMfree=1),IF(FB77&gt;=Slot14_Cost-1,0,MAX(0,EU77-FB77)),EU77)</f>
        <v>0</v>
      </c>
      <c r="FF77" s="20" t="n">
        <f aca="false">EW77*(Slot14_Cost-FB77)</f>
        <v>0</v>
      </c>
      <c r="FG77" s="20" t="n">
        <f aca="false">IF(AND(Slot15_On=1,D77=Slot15_Age),1,0)</f>
        <v>0</v>
      </c>
      <c r="FH77" s="20" t="n">
        <f aca="false">IF(AND(Slot15_On=1,Slot15_Age&gt;D77),1,0)</f>
        <v>0</v>
      </c>
      <c r="FI77" s="20" t="n">
        <f aca="false">SQ76</f>
        <v>0</v>
      </c>
      <c r="FJ77" s="20" t="n">
        <f aca="false">FG77*MIN(Slot15_Cost,FI77)</f>
        <v>0</v>
      </c>
      <c r="FK77" s="20" t="n">
        <f aca="false">FG77*Slot15_SpendLike*MIN(Slot15_Cost-FJ77,FC77)</f>
        <v>0</v>
      </c>
      <c r="FL77" s="20" t="n">
        <f aca="false">FJ77+FK77</f>
        <v>0</v>
      </c>
      <c r="FM77" s="20" t="n">
        <f aca="false">FC77-FK77+FG77*IF(Slot15_SpendLike=1,FI77-FJ77,IF(Slot15_PotFree=1,FI77,0))</f>
        <v>0</v>
      </c>
      <c r="FN77" s="20" t="n">
        <f aca="false">FD77+FG77*Slot15_BufPot*FI77</f>
        <v>0</v>
      </c>
      <c r="FO77" s="20" t="n">
        <f aca="false">IF(AND(FG77=1,Slot15_IsMfree=1),IF(FL77&gt;=Slot15_Cost-1,0,MAX(0,FE77-FL77)),FE77)</f>
        <v>0</v>
      </c>
      <c r="FP77" s="20" t="n">
        <f aca="false">FG77*(Slot15_Cost-FL77)</f>
        <v>0</v>
      </c>
      <c r="FQ77" s="20" t="n">
        <f aca="false">IF(AND(Slot16_On=1,D77=Slot16_Age),1,0)</f>
        <v>0</v>
      </c>
      <c r="FR77" s="20" t="n">
        <f aca="false">IF(AND(Slot16_On=1,Slot16_Age&gt;D77),1,0)</f>
        <v>0</v>
      </c>
      <c r="FS77" s="20" t="n">
        <f aca="false">SU76</f>
        <v>0</v>
      </c>
      <c r="FT77" s="20" t="n">
        <f aca="false">FQ77*MIN(Slot16_Cost,FS77)</f>
        <v>0</v>
      </c>
      <c r="FU77" s="20" t="n">
        <f aca="false">FQ77*Slot16_SpendLike*MIN(Slot16_Cost-FT77,FM77)</f>
        <v>0</v>
      </c>
      <c r="FV77" s="20" t="n">
        <f aca="false">FT77+FU77</f>
        <v>0</v>
      </c>
      <c r="FW77" s="20" t="n">
        <f aca="false">FM77-FU77+FQ77*IF(Slot16_SpendLike=1,FS77-FT77,IF(Slot16_PotFree=1,FS77,0))</f>
        <v>0</v>
      </c>
      <c r="FX77" s="20" t="n">
        <f aca="false">FN77+FQ77*Slot16_BufPot*FS77</f>
        <v>0</v>
      </c>
      <c r="FY77" s="20" t="n">
        <f aca="false">IF(AND(FQ77=1,Slot16_IsMfree=1),IF(FV77&gt;=Slot16_Cost-1,0,MAX(0,FO77-FV77)),FO77)</f>
        <v>0</v>
      </c>
      <c r="FZ77" s="20" t="n">
        <f aca="false">FQ77*(Slot16_Cost-FV77)</f>
        <v>0</v>
      </c>
      <c r="GA77" s="20" t="n">
        <f aca="false">IF(AND(Slot17_On=1,D77=Slot17_Age),1,0)</f>
        <v>0</v>
      </c>
      <c r="GB77" s="20" t="n">
        <f aca="false">IF(AND(Slot17_On=1,Slot17_Age&gt;D77),1,0)</f>
        <v>0</v>
      </c>
      <c r="GC77" s="20" t="n">
        <f aca="false">SY76</f>
        <v>0</v>
      </c>
      <c r="GD77" s="20" t="n">
        <f aca="false">GA77*MIN(Slot17_Cost,GC77)</f>
        <v>0</v>
      </c>
      <c r="GE77" s="20" t="n">
        <f aca="false">GA77*Slot17_SpendLike*MIN(Slot17_Cost-GD77,FW77)</f>
        <v>0</v>
      </c>
      <c r="GF77" s="20" t="n">
        <f aca="false">GD77+GE77</f>
        <v>0</v>
      </c>
      <c r="GG77" s="20" t="n">
        <f aca="false">FW77-GE77+GA77*IF(Slot17_SpendLike=1,GC77-GD77,IF(Slot17_PotFree=1,GC77,0))</f>
        <v>0</v>
      </c>
      <c r="GH77" s="20" t="n">
        <f aca="false">FX77+GA77*Slot17_BufPot*GC77</f>
        <v>0</v>
      </c>
      <c r="GI77" s="20" t="n">
        <f aca="false">IF(AND(GA77=1,Slot17_IsMfree=1),IF(GF77&gt;=Slot17_Cost-1,0,MAX(0,FY77-GF77)),FY77)</f>
        <v>0</v>
      </c>
      <c r="GJ77" s="20" t="n">
        <f aca="false">GA77*(Slot17_Cost-GF77)</f>
        <v>0</v>
      </c>
      <c r="GK77" s="20" t="n">
        <f aca="false">IF(AND(Slot18_On=1,D77=Slot18_Age),1,0)</f>
        <v>0</v>
      </c>
      <c r="GL77" s="20" t="n">
        <f aca="false">IF(AND(Slot18_On=1,Slot18_Age&gt;D77),1,0)</f>
        <v>0</v>
      </c>
      <c r="GM77" s="20" t="n">
        <f aca="false">TC76</f>
        <v>0</v>
      </c>
      <c r="GN77" s="20" t="n">
        <f aca="false">GK77*MIN(Slot18_Cost,GM77)</f>
        <v>0</v>
      </c>
      <c r="GO77" s="20" t="n">
        <f aca="false">GK77*Slot18_SpendLike*MIN(Slot18_Cost-GN77,GG77)</f>
        <v>0</v>
      </c>
      <c r="GP77" s="20" t="n">
        <f aca="false">GN77+GO77</f>
        <v>0</v>
      </c>
      <c r="GQ77" s="20" t="n">
        <f aca="false">GG77-GO77+GK77*IF(Slot18_SpendLike=1,GM77-GN77,IF(Slot18_PotFree=1,GM77,0))</f>
        <v>0</v>
      </c>
      <c r="GR77" s="20" t="n">
        <f aca="false">GH77+GK77*Slot18_BufPot*GM77</f>
        <v>0</v>
      </c>
      <c r="GS77" s="20" t="n">
        <f aca="false">IF(AND(GK77=1,Slot18_IsMfree=1),IF(GP77&gt;=Slot18_Cost-1,0,MAX(0,GI77-GP77)),GI77)</f>
        <v>0</v>
      </c>
      <c r="GT77" s="20" t="n">
        <f aca="false">GK77*(Slot18_Cost-GP77)</f>
        <v>0</v>
      </c>
      <c r="GU77" s="20" t="n">
        <f aca="false">IF(AND(Slot19_On=1,D77=Slot19_Age),1,0)</f>
        <v>0</v>
      </c>
      <c r="GV77" s="20" t="n">
        <f aca="false">IF(AND(Slot19_On=1,Slot19_Age&gt;D77),1,0)</f>
        <v>0</v>
      </c>
      <c r="GW77" s="20" t="n">
        <f aca="false">TG76</f>
        <v>0</v>
      </c>
      <c r="GX77" s="20" t="n">
        <f aca="false">GU77*MIN(Slot19_Cost,GW77)</f>
        <v>0</v>
      </c>
      <c r="GY77" s="20" t="n">
        <f aca="false">GU77*Slot19_SpendLike*MIN(Slot19_Cost-GX77,GQ77)</f>
        <v>0</v>
      </c>
      <c r="GZ77" s="20" t="n">
        <f aca="false">GX77+GY77</f>
        <v>0</v>
      </c>
      <c r="HA77" s="20" t="n">
        <f aca="false">GQ77-GY77+GU77*IF(Slot19_SpendLike=1,GW77-GX77,IF(Slot19_PotFree=1,GW77,0))</f>
        <v>0</v>
      </c>
      <c r="HB77" s="20" t="n">
        <f aca="false">GR77+GU77*Slot19_BufPot*GW77</f>
        <v>0</v>
      </c>
      <c r="HC77" s="20" t="n">
        <f aca="false">IF(AND(GU77=1,Slot19_IsMfree=1),IF(GZ77&gt;=Slot19_Cost-1,0,MAX(0,GS77-GZ77)),GS77)</f>
        <v>0</v>
      </c>
      <c r="HD77" s="20" t="n">
        <f aca="false">GU77*(Slot19_Cost-GZ77)</f>
        <v>0</v>
      </c>
      <c r="HE77" s="20" t="n">
        <f aca="false">IF(AND(Slot20_On=1,D77=Slot20_Age),1,0)</f>
        <v>0</v>
      </c>
      <c r="HF77" s="20" t="n">
        <f aca="false">IF(AND(Slot20_On=1,Slot20_Age&gt;D77),1,0)</f>
        <v>0</v>
      </c>
      <c r="HG77" s="20" t="n">
        <f aca="false">TK76</f>
        <v>0</v>
      </c>
      <c r="HH77" s="20" t="n">
        <f aca="false">HE77*MIN(Slot20_Cost,HG77)</f>
        <v>0</v>
      </c>
      <c r="HI77" s="20" t="n">
        <f aca="false">HE77*Slot20_SpendLike*MIN(Slot20_Cost-HH77,HA77)</f>
        <v>0</v>
      </c>
      <c r="HJ77" s="20" t="n">
        <f aca="false">HH77+HI77</f>
        <v>0</v>
      </c>
      <c r="HK77" s="20" t="n">
        <f aca="false">HA77-HI77+HE77*IF(Slot20_SpendLike=1,HG77-HH77,IF(Slot20_PotFree=1,HG77,0))</f>
        <v>0</v>
      </c>
      <c r="HL77" s="20" t="n">
        <f aca="false">HB77+HE77*Slot20_BufPot*HG77</f>
        <v>0</v>
      </c>
      <c r="HM77" s="20" t="n">
        <f aca="false">IF(AND(HE77=1,Slot20_IsMfree=1),IF(HJ77&gt;=Slot20_Cost-1,0,MAX(0,HC77-HJ77)),HC77)</f>
        <v>0</v>
      </c>
      <c r="HN77" s="20" t="n">
        <f aca="false">HE77*(Slot20_Cost-HJ77)</f>
        <v>0</v>
      </c>
      <c r="HO77" s="20" t="n">
        <f aca="false">V77*Slot1_SpendLike*AA77+AG77*Slot2_SpendLike*AL77+AQ77*Slot3_SpendLike*AV77+BA77*Slot4_SpendLike*BF77+BK77*Slot5_SpendLike*BP77+BU77*Slot6_SpendLike*BZ77+CE77*Slot7_SpendLike*CJ77+CO77*Slot8_SpendLike*CT77+CY77*Slot9_SpendLike*DD77+DI77*Slot10_SpendLike*DN77+DS77*Slot11_SpendLike*DX77+EC77*Slot12_SpendLike*EH77+EM77*Slot13_SpendLike*ER77+EW77*Slot14_SpendLike*FB77+FG77*Slot15_SpendLike*FL77+FQ77*Slot16_SpendLike*FV77+GA77*Slot17_SpendLike*GF77+GK77*Slot18_SpendLike*GP77+GU77*Slot19_SpendLike*GZ77+HE77*Slot20_SpendLike*HJ77</f>
        <v>0</v>
      </c>
      <c r="HP77" s="20" t="n">
        <f aca="false">AE77+AP77+AZ77+BJ77+BT77+CD77+CN77+CX77+DH77+DR77+EB77+EL77+EV77+FF77+FP77+FZ77+GJ77+GT77+HD77+HN77</f>
        <v>0</v>
      </c>
      <c r="HQ77" s="20" t="n">
        <f aca="false">V77*Slot1_Cost+AG77*Slot2_Cost+AQ77*Slot3_Cost+BA77*Slot4_Cost+BK77*Slot5_Cost+BU77*Slot6_Cost+CE77*Slot7_Cost+CO77*Slot8_Cost+CY77*Slot9_Cost+DI77*Slot10_Cost+DS77*Slot11_Cost+EC77*Slot12_Cost+EM77*Slot13_Cost+EW77*Slot14_Cost+FG77*Slot15_Cost+FQ77*Slot16_Cost+GA77*Slot17_Cost+GK77*Slot18_Cost+GU77*Slot19_Cost+HE77*Slot20_Cost</f>
        <v>0</v>
      </c>
      <c r="HR77" s="20" t="n">
        <f aca="false">HM77</f>
        <v>0</v>
      </c>
      <c r="HS77" s="20" t="n">
        <f aca="false">H77-I77-S77</f>
        <v>-75542.7146406383</v>
      </c>
      <c r="HT77" s="20" t="n">
        <f aca="false">IF(B77=0,IF(AND(Has_q6=1,In_q6=4),PR_ShareVaries*(MAX(0,HS77)/12),MIN(IF(Has_q6=1,CHOOSE(In_q6+1,PR_SaveB1,PR_SaveB2,PR_SaveB3,PR_SaveB4,0),AS_NoAnswer),AS_SaveShare*(MAX(0,HS77)/12))),HT76)</f>
        <v>62.3316893520437</v>
      </c>
      <c r="HU77" s="20" t="n">
        <f aca="false">IF(HS77&gt;=0,1,0)</f>
        <v>0</v>
      </c>
      <c r="HV77" s="20" t="n">
        <f aca="false">MAX(0,HS77/12/F77)</f>
        <v>0</v>
      </c>
      <c r="HW77" s="20" t="n">
        <f aca="false">IF(AND(Has_q6=1,In_q6=4),PR_ShareVaries*(HV77),MIN(IF(Has_q6=1,CHOOSE(In_q6+1,PR_SaveB1,PR_SaveB2,PR_SaveB3,PR_SaveB4,0),AS_NoAnswer),AS_SaveShare*(HV77)))</f>
        <v>0</v>
      </c>
      <c r="HX77" s="20" t="n">
        <f aca="false">IF(Has_saveM=1,IF(In_saveUp="Yes",1,IF(In_saveUp="No",0,IF(In_saveM&gt;=HT77-0.5,1,0))),0)</f>
        <v>0</v>
      </c>
      <c r="HY77" s="20" t="n">
        <f aca="false">IF(Has_saveM=1,MIN(HV77,IF(HX77=1,MAX(In_saveM,HW77),MIN(In_saveM,HW77))),HW77)</f>
        <v>0</v>
      </c>
      <c r="HZ77" s="20" t="n">
        <f aca="false">IF(G77=1,HY77*12*F77,0)</f>
        <v>0</v>
      </c>
      <c r="IA77" s="20" t="n">
        <f aca="false">MAX(0,HZ77+IF(AND(WI_Retire=0,WI_M&lt;0,G77=1),WI_M*12*F77,0))</f>
        <v>0</v>
      </c>
      <c r="IB77" s="20" t="n">
        <f aca="false">Slot1_IsWG*W77+Slot2_IsWG*AH77+Slot3_IsWG*AR77+Slot4_IsWG*BB77+Slot5_IsWG*BL77+Slot6_IsWG*BV77+Slot7_IsWG*CF77+Slot8_IsWG*CP77+Slot9_IsWG*CZ77+Slot10_IsWG*DJ77+Slot11_IsWG*DT77+Slot12_IsWG*ED77+Slot13_IsWG*EN77+Slot14_IsWG*EX77+Slot15_IsWG*FH77+Slot16_IsWG*FR77+Slot17_IsWG*GB77+Slot18_IsWG*GL77+Slot19_IsWG*GV77+Slot20_IsWG*HF77</f>
        <v>0</v>
      </c>
      <c r="IC77" s="20" t="n">
        <f aca="false">IF(AND(WI_Retire=0,WI_M&gt;0,G77=1,IB77&gt;=1),WI_M*12*F77,0)</f>
        <v>0</v>
      </c>
      <c r="ID77" s="20" t="n">
        <f aca="false">IF(HU77=1,MIN(IA77,HS77),0)</f>
        <v>0</v>
      </c>
      <c r="IE77" s="20" t="n">
        <f aca="false">IF(HU77=1,MIN(IC77,HS77-ID77),0)</f>
        <v>0</v>
      </c>
      <c r="IF77" s="20" t="n">
        <f aca="false">IF(W77=1,IF(ABS((1+AS_Wage)/(1+Slot1_Rate)-1)&lt;0.000000000001,(Slot1_Age-D77)*(1+Slot1_Rate)^(Slot1_Age-D77),(1+Slot1_Rate)^(Slot1_Age-D77)*(1-((1+AS_Wage)/(1+Slot1_Rate))^(Slot1_Age-D77))/(1-(1+AS_Wage)/(1+Slot1_Rate))),1)</f>
        <v>1</v>
      </c>
      <c r="IG77" s="20" t="n">
        <f aca="false">IF(AND(HU77=1,IE77&gt;0,Slot1_IsWG=1,W77=1),MAX(0,(Slot1_Cost-X77*(1+Slot1_Rate)^(Slot1_Age-D77))/IF77),0)</f>
        <v>0</v>
      </c>
      <c r="IH77" s="20" t="n">
        <f aca="false">IF(AND(HU77=1,IE77&gt;0,Slot1_IsWG=1,W77=1),MIN(IE77,IG77),0)</f>
        <v>0</v>
      </c>
      <c r="II77" s="20" t="n">
        <f aca="false">X77+IH77</f>
        <v>0</v>
      </c>
      <c r="IJ77" s="20" t="n">
        <f aca="false">IF(W77=1,MAX(0,(Slot1_Cost-II77*(1+Slot1_Rate)^(Slot1_Age-D77))/IF77),0)</f>
        <v>0</v>
      </c>
      <c r="IK77" s="20" t="n">
        <f aca="false">IF(W77=1,MAX(0,(Slot1_Cost-X77*(1+Slot1_Rate)^(Slot1_Age-D77))/IF77),0)</f>
        <v>0</v>
      </c>
      <c r="IL77" s="20" t="n">
        <f aca="false">IF(AND(HU77=1,W77=1),MIN(ID77,IJ77),0)</f>
        <v>0</v>
      </c>
      <c r="IM77" s="20" t="n">
        <f aca="false">ID77-IL77</f>
        <v>0</v>
      </c>
      <c r="IN77" s="20" t="n">
        <f aca="false">IF(AH77=1,IF(ABS((1+AS_Wage)/(1+Slot2_Rate)-1)&lt;0.000000000001,(Slot2_Age-D77)*(1+Slot2_Rate)^(Slot2_Age-D77),(1+Slot2_Rate)^(Slot2_Age-D77)*(1-((1+AS_Wage)/(1+Slot2_Rate))^(Slot2_Age-D77))/(1-(1+AS_Wage)/(1+Slot2_Rate))),1)</f>
        <v>1</v>
      </c>
      <c r="IO77" s="20" t="n">
        <f aca="false">IF(AND(HU77=1,IE77&gt;0,Slot2_IsWG=1,AH77=1),MAX(0,(Slot2_Cost-AI77*(1+Slot2_Rate)^(Slot2_Age-D77))/IN77),0)</f>
        <v>0</v>
      </c>
      <c r="IP77" s="20" t="n">
        <f aca="false">IF(AND(HU77=1,IE77&gt;0,Slot2_IsWG=1,AH77=1),MIN(IE77,IO77),0)</f>
        <v>0</v>
      </c>
      <c r="IQ77" s="20" t="n">
        <f aca="false">AI77+IP77</f>
        <v>0</v>
      </c>
      <c r="IR77" s="20" t="n">
        <f aca="false">IF(AH77=1,MAX(0,(Slot2_Cost-IQ77*(1+Slot2_Rate)^(Slot2_Age-D77))/IN77),0)</f>
        <v>0</v>
      </c>
      <c r="IS77" s="20" t="n">
        <f aca="false">IF(AH77=1,MAX(0,(Slot2_Cost-AI77*(1+Slot2_Rate)^(Slot2_Age-D77))/IN77),0)</f>
        <v>0</v>
      </c>
      <c r="IT77" s="20" t="n">
        <f aca="false">IF(AND(HU77=1,AH77=1),MIN(IM77,IR77),0)</f>
        <v>0</v>
      </c>
      <c r="IU77" s="20" t="n">
        <f aca="false">IM77-IT77</f>
        <v>0</v>
      </c>
      <c r="IV77" s="20" t="n">
        <f aca="false">IF(AR77=1,IF(ABS((1+AS_Wage)/(1+Slot3_Rate)-1)&lt;0.000000000001,(Slot3_Age-D77)*(1+Slot3_Rate)^(Slot3_Age-D77),(1+Slot3_Rate)^(Slot3_Age-D77)*(1-((1+AS_Wage)/(1+Slot3_Rate))^(Slot3_Age-D77))/(1-(1+AS_Wage)/(1+Slot3_Rate))),1)</f>
        <v>1</v>
      </c>
      <c r="IW77" s="20" t="n">
        <f aca="false">IF(AND(HU77=1,IE77&gt;0,Slot3_IsWG=1,AR77=1),MAX(0,(Slot3_Cost-AS77*(1+Slot3_Rate)^(Slot3_Age-D77))/IV77),0)</f>
        <v>0</v>
      </c>
      <c r="IX77" s="20" t="n">
        <f aca="false">IF(AND(HU77=1,IE77&gt;0,Slot3_IsWG=1,AR77=1),MIN(IE77,IW77),0)</f>
        <v>0</v>
      </c>
      <c r="IY77" s="20" t="n">
        <f aca="false">AS77+IX77</f>
        <v>0</v>
      </c>
      <c r="IZ77" s="20" t="n">
        <f aca="false">IF(AR77=1,MAX(0,(Slot3_Cost-IY77*(1+Slot3_Rate)^(Slot3_Age-D77))/IV77),0)</f>
        <v>0</v>
      </c>
      <c r="JA77" s="20" t="n">
        <f aca="false">IF(AR77=1,MAX(0,(Slot3_Cost-AS77*(1+Slot3_Rate)^(Slot3_Age-D77))/IV77),0)</f>
        <v>0</v>
      </c>
      <c r="JB77" s="20" t="n">
        <f aca="false">IF(AND(HU77=1,AR77=1),MIN(IU77,IZ77),0)</f>
        <v>0</v>
      </c>
      <c r="JC77" s="20" t="n">
        <f aca="false">IU77-JB77</f>
        <v>0</v>
      </c>
      <c r="JD77" s="20" t="n">
        <f aca="false">IF(BB77=1,IF(ABS((1+AS_Wage)/(1+Slot4_Rate)-1)&lt;0.000000000001,(Slot4_Age-D77)*(1+Slot4_Rate)^(Slot4_Age-D77),(1+Slot4_Rate)^(Slot4_Age-D77)*(1-((1+AS_Wage)/(1+Slot4_Rate))^(Slot4_Age-D77))/(1-(1+AS_Wage)/(1+Slot4_Rate))),1)</f>
        <v>1</v>
      </c>
      <c r="JE77" s="20" t="n">
        <f aca="false">IF(AND(HU77=1,IE77&gt;0,Slot4_IsWG=1,BB77=1),MAX(0,(Slot4_Cost-BC77*(1+Slot4_Rate)^(Slot4_Age-D77))/JD77),0)</f>
        <v>0</v>
      </c>
      <c r="JF77" s="20" t="n">
        <f aca="false">IF(AND(HU77=1,IE77&gt;0,Slot4_IsWG=1,BB77=1),MIN(IE77,JE77),0)</f>
        <v>0</v>
      </c>
      <c r="JG77" s="20" t="n">
        <f aca="false">BC77+JF77</f>
        <v>0</v>
      </c>
      <c r="JH77" s="20" t="n">
        <f aca="false">IF(BB77=1,MAX(0,(Slot4_Cost-JG77*(1+Slot4_Rate)^(Slot4_Age-D77))/JD77),0)</f>
        <v>0</v>
      </c>
      <c r="JI77" s="20" t="n">
        <f aca="false">IF(BB77=1,MAX(0,(Slot4_Cost-BC77*(1+Slot4_Rate)^(Slot4_Age-D77))/JD77),0)</f>
        <v>0</v>
      </c>
      <c r="JJ77" s="20" t="n">
        <f aca="false">IF(AND(HU77=1,BB77=1),MIN(JC77,JH77),0)</f>
        <v>0</v>
      </c>
      <c r="JK77" s="20" t="n">
        <f aca="false">JC77-JJ77</f>
        <v>0</v>
      </c>
      <c r="JL77" s="20" t="n">
        <f aca="false">IF(BL77=1,IF(ABS((1+AS_Wage)/(1+Slot5_Rate)-1)&lt;0.000000000001,(Slot5_Age-D77)*(1+Slot5_Rate)^(Slot5_Age-D77),(1+Slot5_Rate)^(Slot5_Age-D77)*(1-((1+AS_Wage)/(1+Slot5_Rate))^(Slot5_Age-D77))/(1-(1+AS_Wage)/(1+Slot5_Rate))),1)</f>
        <v>1</v>
      </c>
      <c r="JM77" s="20" t="n">
        <f aca="false">IF(AND(HU77=1,IE77&gt;0,Slot5_IsWG=1,BL77=1),MAX(0,(Slot5_Cost-BM77*(1+Slot5_Rate)^(Slot5_Age-D77))/JL77),0)</f>
        <v>0</v>
      </c>
      <c r="JN77" s="20" t="n">
        <f aca="false">IF(AND(HU77=1,IE77&gt;0,Slot5_IsWG=1,BL77=1),MIN(IE77,JM77),0)</f>
        <v>0</v>
      </c>
      <c r="JO77" s="20" t="n">
        <f aca="false">BM77+JN77</f>
        <v>0</v>
      </c>
      <c r="JP77" s="20" t="n">
        <f aca="false">IF(BL77=1,MAX(0,(Slot5_Cost-JO77*(1+Slot5_Rate)^(Slot5_Age-D77))/JL77),0)</f>
        <v>0</v>
      </c>
      <c r="JQ77" s="20" t="n">
        <f aca="false">IF(BL77=1,MAX(0,(Slot5_Cost-BM77*(1+Slot5_Rate)^(Slot5_Age-D77))/JL77),0)</f>
        <v>0</v>
      </c>
      <c r="JR77" s="20" t="n">
        <f aca="false">IF(AND(HU77=1,BL77=1),MIN(JK77,JP77),0)</f>
        <v>0</v>
      </c>
      <c r="JS77" s="20" t="n">
        <f aca="false">JK77-JR77</f>
        <v>0</v>
      </c>
      <c r="JT77" s="20" t="n">
        <f aca="false">IF(BV77=1,IF(ABS((1+AS_Wage)/(1+Slot6_Rate)-1)&lt;0.000000000001,(Slot6_Age-D77)*(1+Slot6_Rate)^(Slot6_Age-D77),(1+Slot6_Rate)^(Slot6_Age-D77)*(1-((1+AS_Wage)/(1+Slot6_Rate))^(Slot6_Age-D77))/(1-(1+AS_Wage)/(1+Slot6_Rate))),1)</f>
        <v>1</v>
      </c>
      <c r="JU77" s="20" t="n">
        <f aca="false">IF(AND(HU77=1,IE77&gt;0,Slot6_IsWG=1,BV77=1),MAX(0,(Slot6_Cost-BW77*(1+Slot6_Rate)^(Slot6_Age-D77))/JT77),0)</f>
        <v>0</v>
      </c>
      <c r="JV77" s="20" t="n">
        <f aca="false">IF(AND(HU77=1,IE77&gt;0,Slot6_IsWG=1,BV77=1),MIN(IE77,JU77),0)</f>
        <v>0</v>
      </c>
      <c r="JW77" s="20" t="n">
        <f aca="false">BW77+JV77</f>
        <v>0</v>
      </c>
      <c r="JX77" s="20" t="n">
        <f aca="false">IF(BV77=1,MAX(0,(Slot6_Cost-JW77*(1+Slot6_Rate)^(Slot6_Age-D77))/JT77),0)</f>
        <v>0</v>
      </c>
      <c r="JY77" s="20" t="n">
        <f aca="false">IF(BV77=1,MAX(0,(Slot6_Cost-BW77*(1+Slot6_Rate)^(Slot6_Age-D77))/JT77),0)</f>
        <v>0</v>
      </c>
      <c r="JZ77" s="20" t="n">
        <f aca="false">IF(AND(HU77=1,BV77=1),MIN(JS77,JX77),0)</f>
        <v>0</v>
      </c>
      <c r="KA77" s="20" t="n">
        <f aca="false">JS77-JZ77</f>
        <v>0</v>
      </c>
      <c r="KB77" s="20" t="n">
        <f aca="false">IF(CF77=1,IF(ABS((1+AS_Wage)/(1+Slot7_Rate)-1)&lt;0.000000000001,(Slot7_Age-D77)*(1+Slot7_Rate)^(Slot7_Age-D77),(1+Slot7_Rate)^(Slot7_Age-D77)*(1-((1+AS_Wage)/(1+Slot7_Rate))^(Slot7_Age-D77))/(1-(1+AS_Wage)/(1+Slot7_Rate))),1)</f>
        <v>1</v>
      </c>
      <c r="KC77" s="20" t="n">
        <f aca="false">IF(AND(HU77=1,IE77&gt;0,Slot7_IsWG=1,CF77=1),MAX(0,(Slot7_Cost-CG77*(1+Slot7_Rate)^(Slot7_Age-D77))/KB77),0)</f>
        <v>0</v>
      </c>
      <c r="KD77" s="20" t="n">
        <f aca="false">IF(AND(HU77=1,IE77&gt;0,Slot7_IsWG=1,CF77=1),MIN(IE77,KC77),0)</f>
        <v>0</v>
      </c>
      <c r="KE77" s="20" t="n">
        <f aca="false">CG77+KD77</f>
        <v>0</v>
      </c>
      <c r="KF77" s="20" t="n">
        <f aca="false">IF(CF77=1,MAX(0,(Slot7_Cost-KE77*(1+Slot7_Rate)^(Slot7_Age-D77))/KB77),0)</f>
        <v>0</v>
      </c>
      <c r="KG77" s="20" t="n">
        <f aca="false">IF(CF77=1,MAX(0,(Slot7_Cost-CG77*(1+Slot7_Rate)^(Slot7_Age-D77))/KB77),0)</f>
        <v>0</v>
      </c>
      <c r="KH77" s="20" t="n">
        <f aca="false">IF(AND(HU77=1,CF77=1),MIN(KA77,KF77),0)</f>
        <v>0</v>
      </c>
      <c r="KI77" s="20" t="n">
        <f aca="false">KA77-KH77</f>
        <v>0</v>
      </c>
      <c r="KJ77" s="20" t="n">
        <f aca="false">IF(CP77=1,IF(ABS((1+AS_Wage)/(1+Slot8_Rate)-1)&lt;0.000000000001,(Slot8_Age-D77)*(1+Slot8_Rate)^(Slot8_Age-D77),(1+Slot8_Rate)^(Slot8_Age-D77)*(1-((1+AS_Wage)/(1+Slot8_Rate))^(Slot8_Age-D77))/(1-(1+AS_Wage)/(1+Slot8_Rate))),1)</f>
        <v>1</v>
      </c>
      <c r="KK77" s="20" t="n">
        <f aca="false">IF(AND(HU77=1,IE77&gt;0,Slot8_IsWG=1,CP77=1),MAX(0,(Slot8_Cost-CQ77*(1+Slot8_Rate)^(Slot8_Age-D77))/KJ77),0)</f>
        <v>0</v>
      </c>
      <c r="KL77" s="20" t="n">
        <f aca="false">IF(AND(HU77=1,IE77&gt;0,Slot8_IsWG=1,CP77=1),MIN(IE77,KK77),0)</f>
        <v>0</v>
      </c>
      <c r="KM77" s="20" t="n">
        <f aca="false">CQ77+KL77</f>
        <v>0</v>
      </c>
      <c r="KN77" s="20" t="n">
        <f aca="false">IF(CP77=1,MAX(0,(Slot8_Cost-KM77*(1+Slot8_Rate)^(Slot8_Age-D77))/KJ77),0)</f>
        <v>0</v>
      </c>
      <c r="KO77" s="20" t="n">
        <f aca="false">IF(CP77=1,MAX(0,(Slot8_Cost-CQ77*(1+Slot8_Rate)^(Slot8_Age-D77))/KJ77),0)</f>
        <v>0</v>
      </c>
      <c r="KP77" s="20" t="n">
        <f aca="false">IF(AND(HU77=1,CP77=1),MIN(KI77,KN77),0)</f>
        <v>0</v>
      </c>
      <c r="KQ77" s="20" t="n">
        <f aca="false">KI77-KP77</f>
        <v>0</v>
      </c>
      <c r="KR77" s="20" t="n">
        <f aca="false">IF(CZ77=1,IF(ABS((1+AS_Wage)/(1+Slot9_Rate)-1)&lt;0.000000000001,(Slot9_Age-D77)*(1+Slot9_Rate)^(Slot9_Age-D77),(1+Slot9_Rate)^(Slot9_Age-D77)*(1-((1+AS_Wage)/(1+Slot9_Rate))^(Slot9_Age-D77))/(1-(1+AS_Wage)/(1+Slot9_Rate))),1)</f>
        <v>1</v>
      </c>
      <c r="KS77" s="20" t="n">
        <f aca="false">IF(AND(HU77=1,IE77&gt;0,Slot9_IsWG=1,CZ77=1),MAX(0,(Slot9_Cost-DA77*(1+Slot9_Rate)^(Slot9_Age-D77))/KR77),0)</f>
        <v>0</v>
      </c>
      <c r="KT77" s="20" t="n">
        <f aca="false">IF(AND(HU77=1,IE77&gt;0,Slot9_IsWG=1,CZ77=1),MIN(IE77,KS77),0)</f>
        <v>0</v>
      </c>
      <c r="KU77" s="20" t="n">
        <f aca="false">DA77+KT77</f>
        <v>0</v>
      </c>
      <c r="KV77" s="20" t="n">
        <f aca="false">IF(CZ77=1,MAX(0,(Slot9_Cost-KU77*(1+Slot9_Rate)^(Slot9_Age-D77))/KR77),0)</f>
        <v>0</v>
      </c>
      <c r="KW77" s="20" t="n">
        <f aca="false">IF(CZ77=1,MAX(0,(Slot9_Cost-DA77*(1+Slot9_Rate)^(Slot9_Age-D77))/KR77),0)</f>
        <v>0</v>
      </c>
      <c r="KX77" s="20" t="n">
        <f aca="false">IF(AND(HU77=1,CZ77=1),MIN(KQ77,KV77),0)</f>
        <v>0</v>
      </c>
      <c r="KY77" s="20" t="n">
        <f aca="false">KQ77-KX77</f>
        <v>0</v>
      </c>
      <c r="KZ77" s="20" t="n">
        <f aca="false">IF(DJ77=1,IF(ABS((1+AS_Wage)/(1+Slot10_Rate)-1)&lt;0.000000000001,(Slot10_Age-D77)*(1+Slot10_Rate)^(Slot10_Age-D77),(1+Slot10_Rate)^(Slot10_Age-D77)*(1-((1+AS_Wage)/(1+Slot10_Rate))^(Slot10_Age-D77))/(1-(1+AS_Wage)/(1+Slot10_Rate))),1)</f>
        <v>1</v>
      </c>
      <c r="LA77" s="20" t="n">
        <f aca="false">IF(AND(HU77=1,IE77&gt;0,Slot10_IsWG=1,DJ77=1),MAX(0,(Slot10_Cost-DK77*(1+Slot10_Rate)^(Slot10_Age-D77))/KZ77),0)</f>
        <v>0</v>
      </c>
      <c r="LB77" s="20" t="n">
        <f aca="false">IF(AND(HU77=1,IE77&gt;0,Slot10_IsWG=1,DJ77=1),MIN(IE77,LA77),0)</f>
        <v>0</v>
      </c>
      <c r="LC77" s="20" t="n">
        <f aca="false">DK77+LB77</f>
        <v>0</v>
      </c>
      <c r="LD77" s="20" t="n">
        <f aca="false">IF(DJ77=1,MAX(0,(Slot10_Cost-LC77*(1+Slot10_Rate)^(Slot10_Age-D77))/KZ77),0)</f>
        <v>0</v>
      </c>
      <c r="LE77" s="20" t="n">
        <f aca="false">IF(DJ77=1,MAX(0,(Slot10_Cost-DK77*(1+Slot10_Rate)^(Slot10_Age-D77))/KZ77),0)</f>
        <v>0</v>
      </c>
      <c r="LF77" s="20" t="n">
        <f aca="false">IF(AND(HU77=1,DJ77=1),MIN(KY77,LD77),0)</f>
        <v>0</v>
      </c>
      <c r="LG77" s="20" t="n">
        <f aca="false">KY77-LF77</f>
        <v>0</v>
      </c>
      <c r="LH77" s="20" t="n">
        <f aca="false">IF(DT77=1,IF(ABS((1+AS_Wage)/(1+Slot11_Rate)-1)&lt;0.000000000001,(Slot11_Age-D77)*(1+Slot11_Rate)^(Slot11_Age-D77),(1+Slot11_Rate)^(Slot11_Age-D77)*(1-((1+AS_Wage)/(1+Slot11_Rate))^(Slot11_Age-D77))/(1-(1+AS_Wage)/(1+Slot11_Rate))),1)</f>
        <v>1</v>
      </c>
      <c r="LI77" s="20" t="n">
        <f aca="false">IF(AND(HU77=1,IE77&gt;0,Slot11_IsWG=1,DT77=1),MAX(0,(Slot11_Cost-DU77*(1+Slot11_Rate)^(Slot11_Age-D77))/LH77),0)</f>
        <v>0</v>
      </c>
      <c r="LJ77" s="20" t="n">
        <f aca="false">IF(AND(HU77=1,IE77&gt;0,Slot11_IsWG=1,DT77=1),MIN(IE77,LI77),0)</f>
        <v>0</v>
      </c>
      <c r="LK77" s="20" t="n">
        <f aca="false">DU77+LJ77</f>
        <v>0</v>
      </c>
      <c r="LL77" s="20" t="n">
        <f aca="false">IF(DT77=1,MAX(0,(Slot11_Cost-LK77*(1+Slot11_Rate)^(Slot11_Age-D77))/LH77),0)</f>
        <v>0</v>
      </c>
      <c r="LM77" s="20" t="n">
        <f aca="false">IF(DT77=1,MAX(0,(Slot11_Cost-DU77*(1+Slot11_Rate)^(Slot11_Age-D77))/LH77),0)</f>
        <v>0</v>
      </c>
      <c r="LN77" s="20" t="n">
        <f aca="false">IF(AND(HU77=1,DT77=1),MIN(LG77,LL77),0)</f>
        <v>0</v>
      </c>
      <c r="LO77" s="20" t="n">
        <f aca="false">LG77-LN77</f>
        <v>0</v>
      </c>
      <c r="LP77" s="20" t="n">
        <f aca="false">IF(ED77=1,IF(ABS((1+AS_Wage)/(1+Slot12_Rate)-1)&lt;0.000000000001,(Slot12_Age-D77)*(1+Slot12_Rate)^(Slot12_Age-D77),(1+Slot12_Rate)^(Slot12_Age-D77)*(1-((1+AS_Wage)/(1+Slot12_Rate))^(Slot12_Age-D77))/(1-(1+AS_Wage)/(1+Slot12_Rate))),1)</f>
        <v>1</v>
      </c>
      <c r="LQ77" s="20" t="n">
        <f aca="false">IF(AND(HU77=1,IE77&gt;0,Slot12_IsWG=1,ED77=1),MAX(0,(Slot12_Cost-EE77*(1+Slot12_Rate)^(Slot12_Age-D77))/LP77),0)</f>
        <v>0</v>
      </c>
      <c r="LR77" s="20" t="n">
        <f aca="false">IF(AND(HU77=1,IE77&gt;0,Slot12_IsWG=1,ED77=1),MIN(IE77,LQ77),0)</f>
        <v>0</v>
      </c>
      <c r="LS77" s="20" t="n">
        <f aca="false">EE77+LR77</f>
        <v>0</v>
      </c>
      <c r="LT77" s="20" t="n">
        <f aca="false">IF(ED77=1,MAX(0,(Slot12_Cost-LS77*(1+Slot12_Rate)^(Slot12_Age-D77))/LP77),0)</f>
        <v>0</v>
      </c>
      <c r="LU77" s="20" t="n">
        <f aca="false">IF(ED77=1,MAX(0,(Slot12_Cost-EE77*(1+Slot12_Rate)^(Slot12_Age-D77))/LP77),0)</f>
        <v>0</v>
      </c>
      <c r="LV77" s="20" t="n">
        <f aca="false">IF(AND(HU77=1,ED77=1),MIN(LO77,LT77),0)</f>
        <v>0</v>
      </c>
      <c r="LW77" s="20" t="n">
        <f aca="false">LO77-LV77</f>
        <v>0</v>
      </c>
      <c r="LX77" s="20" t="n">
        <f aca="false">IF(EN77=1,IF(ABS((1+AS_Wage)/(1+Slot13_Rate)-1)&lt;0.000000000001,(Slot13_Age-D77)*(1+Slot13_Rate)^(Slot13_Age-D77),(1+Slot13_Rate)^(Slot13_Age-D77)*(1-((1+AS_Wage)/(1+Slot13_Rate))^(Slot13_Age-D77))/(1-(1+AS_Wage)/(1+Slot13_Rate))),1)</f>
        <v>1</v>
      </c>
      <c r="LY77" s="20" t="n">
        <f aca="false">IF(AND(HU77=1,IE77&gt;0,Slot13_IsWG=1,EN77=1),MAX(0,(Slot13_Cost-EO77*(1+Slot13_Rate)^(Slot13_Age-D77))/LX77),0)</f>
        <v>0</v>
      </c>
      <c r="LZ77" s="20" t="n">
        <f aca="false">IF(AND(HU77=1,IE77&gt;0,Slot13_IsWG=1,EN77=1),MIN(IE77,LY77),0)</f>
        <v>0</v>
      </c>
      <c r="MA77" s="20" t="n">
        <f aca="false">EO77+LZ77</f>
        <v>0</v>
      </c>
      <c r="MB77" s="20" t="n">
        <f aca="false">IF(EN77=1,MAX(0,(Slot13_Cost-MA77*(1+Slot13_Rate)^(Slot13_Age-D77))/LX77),0)</f>
        <v>0</v>
      </c>
      <c r="MC77" s="20" t="n">
        <f aca="false">IF(EN77=1,MAX(0,(Slot13_Cost-EO77*(1+Slot13_Rate)^(Slot13_Age-D77))/LX77),0)</f>
        <v>0</v>
      </c>
      <c r="MD77" s="20" t="n">
        <f aca="false">IF(AND(HU77=1,EN77=1),MIN(LW77,MB77),0)</f>
        <v>0</v>
      </c>
      <c r="ME77" s="20" t="n">
        <f aca="false">LW77-MD77</f>
        <v>0</v>
      </c>
      <c r="MF77" s="20" t="n">
        <f aca="false">IF(EX77=1,IF(ABS((1+AS_Wage)/(1+Slot14_Rate)-1)&lt;0.000000000001,(Slot14_Age-D77)*(1+Slot14_Rate)^(Slot14_Age-D77),(1+Slot14_Rate)^(Slot14_Age-D77)*(1-((1+AS_Wage)/(1+Slot14_Rate))^(Slot14_Age-D77))/(1-(1+AS_Wage)/(1+Slot14_Rate))),1)</f>
        <v>1</v>
      </c>
      <c r="MG77" s="20" t="n">
        <f aca="false">IF(AND(HU77=1,IE77&gt;0,Slot14_IsWG=1,EX77=1),MAX(0,(Slot14_Cost-EY77*(1+Slot14_Rate)^(Slot14_Age-D77))/MF77),0)</f>
        <v>0</v>
      </c>
      <c r="MH77" s="20" t="n">
        <f aca="false">IF(AND(HU77=1,IE77&gt;0,Slot14_IsWG=1,EX77=1),MIN(IE77,MG77),0)</f>
        <v>0</v>
      </c>
      <c r="MI77" s="20" t="n">
        <f aca="false">EY77+MH77</f>
        <v>0</v>
      </c>
      <c r="MJ77" s="20" t="n">
        <f aca="false">IF(EX77=1,MAX(0,(Slot14_Cost-MI77*(1+Slot14_Rate)^(Slot14_Age-D77))/MF77),0)</f>
        <v>0</v>
      </c>
      <c r="MK77" s="20" t="n">
        <f aca="false">IF(EX77=1,MAX(0,(Slot14_Cost-EY77*(1+Slot14_Rate)^(Slot14_Age-D77))/MF77),0)</f>
        <v>0</v>
      </c>
      <c r="ML77" s="20" t="n">
        <f aca="false">IF(AND(HU77=1,EX77=1),MIN(ME77,MJ77),0)</f>
        <v>0</v>
      </c>
      <c r="MM77" s="20" t="n">
        <f aca="false">ME77-ML77</f>
        <v>0</v>
      </c>
      <c r="MN77" s="20" t="n">
        <f aca="false">IF(FH77=1,IF(ABS((1+AS_Wage)/(1+Slot15_Rate)-1)&lt;0.000000000001,(Slot15_Age-D77)*(1+Slot15_Rate)^(Slot15_Age-D77),(1+Slot15_Rate)^(Slot15_Age-D77)*(1-((1+AS_Wage)/(1+Slot15_Rate))^(Slot15_Age-D77))/(1-(1+AS_Wage)/(1+Slot15_Rate))),1)</f>
        <v>1</v>
      </c>
      <c r="MO77" s="20" t="n">
        <f aca="false">IF(AND(HU77=1,IE77&gt;0,Slot15_IsWG=1,FH77=1),MAX(0,(Slot15_Cost-FI77*(1+Slot15_Rate)^(Slot15_Age-D77))/MN77),0)</f>
        <v>0</v>
      </c>
      <c r="MP77" s="20" t="n">
        <f aca="false">IF(AND(HU77=1,IE77&gt;0,Slot15_IsWG=1,FH77=1),MIN(IE77,MO77),0)</f>
        <v>0</v>
      </c>
      <c r="MQ77" s="20" t="n">
        <f aca="false">FI77+MP77</f>
        <v>0</v>
      </c>
      <c r="MR77" s="20" t="n">
        <f aca="false">IF(FH77=1,MAX(0,(Slot15_Cost-MQ77*(1+Slot15_Rate)^(Slot15_Age-D77))/MN77),0)</f>
        <v>0</v>
      </c>
      <c r="MS77" s="20" t="n">
        <f aca="false">IF(FH77=1,MAX(0,(Slot15_Cost-FI77*(1+Slot15_Rate)^(Slot15_Age-D77))/MN77),0)</f>
        <v>0</v>
      </c>
      <c r="MT77" s="20" t="n">
        <f aca="false">IF(AND(HU77=1,FH77=1),MIN(MM77,MR77),0)</f>
        <v>0</v>
      </c>
      <c r="MU77" s="20" t="n">
        <f aca="false">MM77-MT77</f>
        <v>0</v>
      </c>
      <c r="MV77" s="20" t="n">
        <f aca="false">IF(FR77=1,IF(ABS((1+AS_Wage)/(1+Slot16_Rate)-1)&lt;0.000000000001,(Slot16_Age-D77)*(1+Slot16_Rate)^(Slot16_Age-D77),(1+Slot16_Rate)^(Slot16_Age-D77)*(1-((1+AS_Wage)/(1+Slot16_Rate))^(Slot16_Age-D77))/(1-(1+AS_Wage)/(1+Slot16_Rate))),1)</f>
        <v>1</v>
      </c>
      <c r="MW77" s="20" t="n">
        <f aca="false">IF(AND(HU77=1,IE77&gt;0,Slot16_IsWG=1,FR77=1),MAX(0,(Slot16_Cost-FS77*(1+Slot16_Rate)^(Slot16_Age-D77))/MV77),0)</f>
        <v>0</v>
      </c>
      <c r="MX77" s="20" t="n">
        <f aca="false">IF(AND(HU77=1,IE77&gt;0,Slot16_IsWG=1,FR77=1),MIN(IE77,MW77),0)</f>
        <v>0</v>
      </c>
      <c r="MY77" s="20" t="n">
        <f aca="false">FS77+MX77</f>
        <v>0</v>
      </c>
      <c r="MZ77" s="20" t="n">
        <f aca="false">IF(FR77=1,MAX(0,(Slot16_Cost-MY77*(1+Slot16_Rate)^(Slot16_Age-D77))/MV77),0)</f>
        <v>0</v>
      </c>
      <c r="NA77" s="20" t="n">
        <f aca="false">IF(FR77=1,MAX(0,(Slot16_Cost-FS77*(1+Slot16_Rate)^(Slot16_Age-D77))/MV77),0)</f>
        <v>0</v>
      </c>
      <c r="NB77" s="20" t="n">
        <f aca="false">IF(AND(HU77=1,FR77=1),MIN(MU77,MZ77),0)</f>
        <v>0</v>
      </c>
      <c r="NC77" s="20" t="n">
        <f aca="false">MU77-NB77</f>
        <v>0</v>
      </c>
      <c r="ND77" s="20" t="n">
        <f aca="false">IF(GB77=1,IF(ABS((1+AS_Wage)/(1+Slot17_Rate)-1)&lt;0.000000000001,(Slot17_Age-D77)*(1+Slot17_Rate)^(Slot17_Age-D77),(1+Slot17_Rate)^(Slot17_Age-D77)*(1-((1+AS_Wage)/(1+Slot17_Rate))^(Slot17_Age-D77))/(1-(1+AS_Wage)/(1+Slot17_Rate))),1)</f>
        <v>1</v>
      </c>
      <c r="NE77" s="20" t="n">
        <f aca="false">IF(AND(HU77=1,IE77&gt;0,Slot17_IsWG=1,GB77=1),MAX(0,(Slot17_Cost-GC77*(1+Slot17_Rate)^(Slot17_Age-D77))/ND77),0)</f>
        <v>0</v>
      </c>
      <c r="NF77" s="20" t="n">
        <f aca="false">IF(AND(HU77=1,IE77&gt;0,Slot17_IsWG=1,GB77=1),MIN(IE77,NE77),0)</f>
        <v>0</v>
      </c>
      <c r="NG77" s="20" t="n">
        <f aca="false">GC77+NF77</f>
        <v>0</v>
      </c>
      <c r="NH77" s="20" t="n">
        <f aca="false">IF(GB77=1,MAX(0,(Slot17_Cost-NG77*(1+Slot17_Rate)^(Slot17_Age-D77))/ND77),0)</f>
        <v>0</v>
      </c>
      <c r="NI77" s="20" t="n">
        <f aca="false">IF(GB77=1,MAX(0,(Slot17_Cost-GC77*(1+Slot17_Rate)^(Slot17_Age-D77))/ND77),0)</f>
        <v>0</v>
      </c>
      <c r="NJ77" s="20" t="n">
        <f aca="false">IF(AND(HU77=1,GB77=1),MIN(NC77,NH77),0)</f>
        <v>0</v>
      </c>
      <c r="NK77" s="20" t="n">
        <f aca="false">NC77-NJ77</f>
        <v>0</v>
      </c>
      <c r="NL77" s="20" t="n">
        <f aca="false">IF(GL77=1,IF(ABS((1+AS_Wage)/(1+Slot18_Rate)-1)&lt;0.000000000001,(Slot18_Age-D77)*(1+Slot18_Rate)^(Slot18_Age-D77),(1+Slot18_Rate)^(Slot18_Age-D77)*(1-((1+AS_Wage)/(1+Slot18_Rate))^(Slot18_Age-D77))/(1-(1+AS_Wage)/(1+Slot18_Rate))),1)</f>
        <v>1</v>
      </c>
      <c r="NM77" s="20" t="n">
        <f aca="false">IF(AND(HU77=1,IE77&gt;0,Slot18_IsWG=1,GL77=1),MAX(0,(Slot18_Cost-GM77*(1+Slot18_Rate)^(Slot18_Age-D77))/NL77),0)</f>
        <v>0</v>
      </c>
      <c r="NN77" s="20" t="n">
        <f aca="false">IF(AND(HU77=1,IE77&gt;0,Slot18_IsWG=1,GL77=1),MIN(IE77,NM77),0)</f>
        <v>0</v>
      </c>
      <c r="NO77" s="20" t="n">
        <f aca="false">GM77+NN77</f>
        <v>0</v>
      </c>
      <c r="NP77" s="20" t="n">
        <f aca="false">IF(GL77=1,MAX(0,(Slot18_Cost-NO77*(1+Slot18_Rate)^(Slot18_Age-D77))/NL77),0)</f>
        <v>0</v>
      </c>
      <c r="NQ77" s="20" t="n">
        <f aca="false">IF(GL77=1,MAX(0,(Slot18_Cost-GM77*(1+Slot18_Rate)^(Slot18_Age-D77))/NL77),0)</f>
        <v>0</v>
      </c>
      <c r="NR77" s="20" t="n">
        <f aca="false">IF(AND(HU77=1,GL77=1),MIN(NK77,NP77),0)</f>
        <v>0</v>
      </c>
      <c r="NS77" s="20" t="n">
        <f aca="false">NK77-NR77</f>
        <v>0</v>
      </c>
      <c r="NT77" s="20" t="n">
        <f aca="false">IF(GV77=1,IF(ABS((1+AS_Wage)/(1+Slot19_Rate)-1)&lt;0.000000000001,(Slot19_Age-D77)*(1+Slot19_Rate)^(Slot19_Age-D77),(1+Slot19_Rate)^(Slot19_Age-D77)*(1-((1+AS_Wage)/(1+Slot19_Rate))^(Slot19_Age-D77))/(1-(1+AS_Wage)/(1+Slot19_Rate))),1)</f>
        <v>1</v>
      </c>
      <c r="NU77" s="20" t="n">
        <f aca="false">IF(AND(HU77=1,IE77&gt;0,Slot19_IsWG=1,GV77=1),MAX(0,(Slot19_Cost-GW77*(1+Slot19_Rate)^(Slot19_Age-D77))/NT77),0)</f>
        <v>0</v>
      </c>
      <c r="NV77" s="20" t="n">
        <f aca="false">IF(AND(HU77=1,IE77&gt;0,Slot19_IsWG=1,GV77=1),MIN(IE77,NU77),0)</f>
        <v>0</v>
      </c>
      <c r="NW77" s="20" t="n">
        <f aca="false">GW77+NV77</f>
        <v>0</v>
      </c>
      <c r="NX77" s="20" t="n">
        <f aca="false">IF(GV77=1,MAX(0,(Slot19_Cost-NW77*(1+Slot19_Rate)^(Slot19_Age-D77))/NT77),0)</f>
        <v>0</v>
      </c>
      <c r="NY77" s="20" t="n">
        <f aca="false">IF(GV77=1,MAX(0,(Slot19_Cost-GW77*(1+Slot19_Rate)^(Slot19_Age-D77))/NT77),0)</f>
        <v>0</v>
      </c>
      <c r="NZ77" s="20" t="n">
        <f aca="false">IF(AND(HU77=1,GV77=1),MIN(NS77,NX77),0)</f>
        <v>0</v>
      </c>
      <c r="OA77" s="20" t="n">
        <f aca="false">NS77-NZ77</f>
        <v>0</v>
      </c>
      <c r="OB77" s="20" t="n">
        <f aca="false">IF(HF77=1,IF(ABS((1+AS_Wage)/(1+Slot20_Rate)-1)&lt;0.000000000001,(Slot20_Age-D77)*(1+Slot20_Rate)^(Slot20_Age-D77),(1+Slot20_Rate)^(Slot20_Age-D77)*(1-((1+AS_Wage)/(1+Slot20_Rate))^(Slot20_Age-D77))/(1-(1+AS_Wage)/(1+Slot20_Rate))),1)</f>
        <v>1</v>
      </c>
      <c r="OC77" s="20" t="n">
        <f aca="false">IF(AND(HU77=1,IE77&gt;0,Slot20_IsWG=1,HF77=1),MAX(0,(Slot20_Cost-HG77*(1+Slot20_Rate)^(Slot20_Age-D77))/OB77),0)</f>
        <v>0</v>
      </c>
      <c r="OD77" s="20" t="n">
        <f aca="false">IF(AND(HU77=1,IE77&gt;0,Slot20_IsWG=1,HF77=1),MIN(IE77,OC77),0)</f>
        <v>0</v>
      </c>
      <c r="OE77" s="20" t="n">
        <f aca="false">HG77+OD77</f>
        <v>0</v>
      </c>
      <c r="OF77" s="20" t="n">
        <f aca="false">IF(HF77=1,MAX(0,(Slot20_Cost-OE77*(1+Slot20_Rate)^(Slot20_Age-D77))/OB77),0)</f>
        <v>0</v>
      </c>
      <c r="OG77" s="20" t="n">
        <f aca="false">IF(HF77=1,MAX(0,(Slot20_Cost-HG77*(1+Slot20_Rate)^(Slot20_Age-D77))/OB77),0)</f>
        <v>0</v>
      </c>
      <c r="OH77" s="20" t="n">
        <f aca="false">IF(AND(HU77=1,HF77=1),MIN(OA77,OF77),0)</f>
        <v>0</v>
      </c>
      <c r="OI77" s="20" t="n">
        <f aca="false">OA77-OH77</f>
        <v>0</v>
      </c>
      <c r="OJ77" s="20" t="n">
        <f aca="false">IE77-(IH77+IP77+IX77+JF77+JN77+JV77+KD77+KL77+KT77+LB77+LJ77+LR77+LZ77+MH77+MP77+MX77+NF77+NN77+NV77+OD77)</f>
        <v>0</v>
      </c>
      <c r="OK77" s="20" t="n">
        <f aca="false">IF(HU77=1,HS77-ID77-IE77,0)</f>
        <v>0</v>
      </c>
      <c r="OL77" s="20" t="n">
        <f aca="false">IF(HU77=0,-HS77,0)</f>
        <v>75542.7146406383</v>
      </c>
      <c r="OM77" s="20" t="n">
        <f aca="false">MIN(OL77,HK77)</f>
        <v>0</v>
      </c>
      <c r="ON77" s="20" t="n">
        <f aca="false">OL77-OM77</f>
        <v>75542.7146406383</v>
      </c>
      <c r="OO77" s="20" t="n">
        <f aca="false">MIN(ON77,HL77)</f>
        <v>0</v>
      </c>
      <c r="OP77" s="20" t="n">
        <f aca="false">ON77-OO77</f>
        <v>75542.7146406383</v>
      </c>
      <c r="OQ77" s="20" t="n">
        <f aca="false">IF(AND(HU77=0,HF77=1,OP77&gt;0),MIN(OP77,HG77),0)</f>
        <v>0</v>
      </c>
      <c r="OR77" s="20" t="n">
        <f aca="false">OP77-OQ77</f>
        <v>75542.7146406383</v>
      </c>
      <c r="OS77" s="20" t="n">
        <f aca="false">IF(AND(HU77=0,GV77=1,OR77&gt;0),MIN(OR77,GW77),0)</f>
        <v>0</v>
      </c>
      <c r="OT77" s="20" t="n">
        <f aca="false">OR77-OS77</f>
        <v>75542.7146406383</v>
      </c>
      <c r="OU77" s="20" t="n">
        <f aca="false">IF(AND(HU77=0,GL77=1,OT77&gt;0),MIN(OT77,GM77),0)</f>
        <v>0</v>
      </c>
      <c r="OV77" s="20" t="n">
        <f aca="false">OT77-OU77</f>
        <v>75542.7146406383</v>
      </c>
      <c r="OW77" s="20" t="n">
        <f aca="false">IF(AND(HU77=0,GB77=1,OV77&gt;0),MIN(OV77,GC77),0)</f>
        <v>0</v>
      </c>
      <c r="OX77" s="20" t="n">
        <f aca="false">OV77-OW77</f>
        <v>75542.7146406383</v>
      </c>
      <c r="OY77" s="20" t="n">
        <f aca="false">IF(AND(HU77=0,FR77=1,OX77&gt;0),MIN(OX77,FS77),0)</f>
        <v>0</v>
      </c>
      <c r="OZ77" s="20" t="n">
        <f aca="false">OX77-OY77</f>
        <v>75542.7146406383</v>
      </c>
      <c r="PA77" s="20" t="n">
        <f aca="false">IF(AND(HU77=0,FH77=1,OZ77&gt;0),MIN(OZ77,FI77),0)</f>
        <v>0</v>
      </c>
      <c r="PB77" s="20" t="n">
        <f aca="false">OZ77-PA77</f>
        <v>75542.7146406383</v>
      </c>
      <c r="PC77" s="20" t="n">
        <f aca="false">IF(AND(HU77=0,EX77=1,PB77&gt;0),MIN(PB77,EY77),0)</f>
        <v>0</v>
      </c>
      <c r="PD77" s="20" t="n">
        <f aca="false">PB77-PC77</f>
        <v>75542.7146406383</v>
      </c>
      <c r="PE77" s="20" t="n">
        <f aca="false">IF(AND(HU77=0,EN77=1,PD77&gt;0),MIN(PD77,EO77),0)</f>
        <v>0</v>
      </c>
      <c r="PF77" s="20" t="n">
        <f aca="false">PD77-PE77</f>
        <v>75542.7146406383</v>
      </c>
      <c r="PG77" s="20" t="n">
        <f aca="false">IF(AND(HU77=0,ED77=1,PF77&gt;0),MIN(PF77,EE77),0)</f>
        <v>0</v>
      </c>
      <c r="PH77" s="20" t="n">
        <f aca="false">PF77-PG77</f>
        <v>75542.7146406383</v>
      </c>
      <c r="PI77" s="20" t="n">
        <f aca="false">IF(AND(HU77=0,DT77=1,PH77&gt;0),MIN(PH77,DU77),0)</f>
        <v>0</v>
      </c>
      <c r="PJ77" s="20" t="n">
        <f aca="false">PH77-PI77</f>
        <v>75542.7146406383</v>
      </c>
      <c r="PK77" s="20" t="n">
        <f aca="false">IF(AND(HU77=0,DJ77=1,PJ77&gt;0),MIN(PJ77,DK77),0)</f>
        <v>0</v>
      </c>
      <c r="PL77" s="20" t="n">
        <f aca="false">PJ77-PK77</f>
        <v>75542.7146406383</v>
      </c>
      <c r="PM77" s="20" t="n">
        <f aca="false">IF(AND(HU77=0,CZ77=1,PL77&gt;0),MIN(PL77,DA77),0)</f>
        <v>0</v>
      </c>
      <c r="PN77" s="20" t="n">
        <f aca="false">PL77-PM77</f>
        <v>75542.7146406383</v>
      </c>
      <c r="PO77" s="20" t="n">
        <f aca="false">IF(AND(HU77=0,CP77=1,PN77&gt;0),MIN(PN77,CQ77),0)</f>
        <v>0</v>
      </c>
      <c r="PP77" s="20" t="n">
        <f aca="false">PN77-PO77</f>
        <v>75542.7146406383</v>
      </c>
      <c r="PQ77" s="20" t="n">
        <f aca="false">IF(AND(HU77=0,CF77=1,PP77&gt;0),MIN(PP77,CG77),0)</f>
        <v>0</v>
      </c>
      <c r="PR77" s="20" t="n">
        <f aca="false">PP77-PQ77</f>
        <v>75542.7146406383</v>
      </c>
      <c r="PS77" s="20" t="n">
        <f aca="false">IF(AND(HU77=0,BV77=1,PR77&gt;0),MIN(PR77,BW77),0)</f>
        <v>0</v>
      </c>
      <c r="PT77" s="20" t="n">
        <f aca="false">PR77-PS77</f>
        <v>75542.7146406383</v>
      </c>
      <c r="PU77" s="20" t="n">
        <f aca="false">IF(AND(HU77=0,BL77=1,PT77&gt;0),MIN(PT77,BM77),0)</f>
        <v>0</v>
      </c>
      <c r="PV77" s="20" t="n">
        <f aca="false">PT77-PU77</f>
        <v>75542.7146406383</v>
      </c>
      <c r="PW77" s="20" t="n">
        <f aca="false">IF(AND(HU77=0,BB77=1,PV77&gt;0),MIN(PV77,BC77),0)</f>
        <v>0</v>
      </c>
      <c r="PX77" s="20" t="n">
        <f aca="false">PV77-PW77</f>
        <v>75542.7146406383</v>
      </c>
      <c r="PY77" s="20" t="n">
        <f aca="false">IF(AND(HU77=0,AR77=1,PX77&gt;0),MIN(PX77,AS77),0)</f>
        <v>0</v>
      </c>
      <c r="PZ77" s="20" t="n">
        <f aca="false">PX77-PY77</f>
        <v>75542.7146406383</v>
      </c>
      <c r="QA77" s="20" t="n">
        <f aca="false">IF(AND(HU77=0,AH77=1,PZ77&gt;0),MIN(PZ77,AI77),0)</f>
        <v>0</v>
      </c>
      <c r="QB77" s="20" t="n">
        <f aca="false">PZ77-QA77</f>
        <v>75542.7146406383</v>
      </c>
      <c r="QC77" s="20" t="n">
        <f aca="false">IF(AND(HU77=0,W77=1,QB77&gt;0),MIN(QB77,X77),0)</f>
        <v>0</v>
      </c>
      <c r="QD77" s="20" t="n">
        <f aca="false">QB77-QC77</f>
        <v>75542.7146406383</v>
      </c>
      <c r="QE77" s="20" t="n">
        <f aca="false">IF(HU77=0,QD77,0)</f>
        <v>75542.7146406383</v>
      </c>
      <c r="QF77" s="20" t="n">
        <f aca="false">OM77+OO77+QC77+QA77+PY77+PW77+PU77+PS77+PQ77+PO77+PM77+PK77+PI77+PG77+PE77+PC77+PA77+OY77+OW77+OU77+OS77+OQ77</f>
        <v>0</v>
      </c>
      <c r="QG77" s="20" t="n">
        <f aca="false">IF(HU77=1,HK77+OJ77+OI77+IF(G77=1,0,OK77),HK77-OM77)</f>
        <v>0</v>
      </c>
      <c r="QH77" s="20" t="n">
        <f aca="false">HL77-OO77</f>
        <v>0</v>
      </c>
      <c r="QI77" s="20" t="n">
        <f aca="false">IF(HU77=1,IF(G77=1,ID77+IE77,HS77),0)</f>
        <v>0</v>
      </c>
      <c r="QJ77" s="20" t="n">
        <f aca="false">IF(HU77=1,IF(G77=1,HS77-ID77-IE77,0),0)</f>
        <v>0</v>
      </c>
      <c r="QK77" s="20" t="n">
        <f aca="false">QG77*(1+GR)</f>
        <v>0</v>
      </c>
      <c r="QL77" s="20" t="n">
        <f aca="false">QH77*(1+AS_Cash)</f>
        <v>0</v>
      </c>
      <c r="QM77" s="20" t="n">
        <f aca="false">IF(W77=1,IF(HU77=1,II77+IL77,X77-QC77)*(1+Slot1_Rate),0)</f>
        <v>0</v>
      </c>
      <c r="QN77" s="20" t="n">
        <f aca="false">IF(AND(HU77=1,W77=1),(IH77+IL77)/F77,0)</f>
        <v>0</v>
      </c>
      <c r="QO77" s="20" t="n">
        <f aca="false">IF(B77=0,IH77+IL77,0)</f>
        <v>0</v>
      </c>
      <c r="QP77" s="20" t="n">
        <f aca="false">IF(B77=0,IF(HU77=1,IJ77,IK77),0)</f>
        <v>0</v>
      </c>
      <c r="QQ77" s="20" t="n">
        <f aca="false">IF(AH77=1,IF(HU77=1,IQ77+IT77,AI77-QA77)*(1+Slot2_Rate),0)</f>
        <v>0</v>
      </c>
      <c r="QR77" s="20" t="n">
        <f aca="false">IF(AND(HU77=1,AH77=1),(IP77+IT77)/F77,0)</f>
        <v>0</v>
      </c>
      <c r="QS77" s="20" t="n">
        <f aca="false">IF(B77=0,IP77+IT77,0)</f>
        <v>0</v>
      </c>
      <c r="QT77" s="20" t="n">
        <f aca="false">IF(B77=0,IF(HU77=1,IR77,IS77),0)</f>
        <v>0</v>
      </c>
      <c r="QU77" s="20" t="n">
        <f aca="false">IF(AR77=1,IF(HU77=1,IY77+JB77,AS77-PY77)*(1+Slot3_Rate),0)</f>
        <v>0</v>
      </c>
      <c r="QV77" s="20" t="n">
        <f aca="false">IF(AND(HU77=1,AR77=1),(IX77+JB77)/F77,0)</f>
        <v>0</v>
      </c>
      <c r="QW77" s="20" t="n">
        <f aca="false">IF(B77=0,IX77+JB77,0)</f>
        <v>0</v>
      </c>
      <c r="QX77" s="20" t="n">
        <f aca="false">IF(B77=0,IF(HU77=1,IZ77,JA77),0)</f>
        <v>0</v>
      </c>
      <c r="QY77" s="20" t="n">
        <f aca="false">IF(BB77=1,IF(HU77=1,JG77+JJ77,BC77-PW77)*(1+Slot4_Rate),0)</f>
        <v>0</v>
      </c>
      <c r="QZ77" s="20" t="n">
        <f aca="false">IF(AND(HU77=1,BB77=1),(JF77+JJ77)/F77,0)</f>
        <v>0</v>
      </c>
      <c r="RA77" s="20" t="n">
        <f aca="false">IF(B77=0,JF77+JJ77,0)</f>
        <v>0</v>
      </c>
      <c r="RB77" s="20" t="n">
        <f aca="false">IF(B77=0,IF(HU77=1,JH77,JI77),0)</f>
        <v>0</v>
      </c>
      <c r="RC77" s="20" t="n">
        <f aca="false">IF(BL77=1,IF(HU77=1,JO77+JR77,BM77-PU77)*(1+Slot5_Rate),0)</f>
        <v>0</v>
      </c>
      <c r="RD77" s="20" t="n">
        <f aca="false">IF(AND(HU77=1,BL77=1),(JN77+JR77)/F77,0)</f>
        <v>0</v>
      </c>
      <c r="RE77" s="20" t="n">
        <f aca="false">IF(B77=0,JN77+JR77,0)</f>
        <v>0</v>
      </c>
      <c r="RF77" s="20" t="n">
        <f aca="false">IF(B77=0,IF(HU77=1,JP77,JQ77),0)</f>
        <v>0</v>
      </c>
      <c r="RG77" s="20" t="n">
        <f aca="false">IF(BV77=1,IF(HU77=1,JW77+JZ77,BW77-PS77)*(1+Slot6_Rate),0)</f>
        <v>0</v>
      </c>
      <c r="RH77" s="20" t="n">
        <f aca="false">IF(AND(HU77=1,BV77=1),(JV77+JZ77)/F77,0)</f>
        <v>0</v>
      </c>
      <c r="RI77" s="20" t="n">
        <f aca="false">IF(B77=0,JV77+JZ77,0)</f>
        <v>0</v>
      </c>
      <c r="RJ77" s="20" t="n">
        <f aca="false">IF(B77=0,IF(HU77=1,JX77,JY77),0)</f>
        <v>0</v>
      </c>
      <c r="RK77" s="20" t="n">
        <f aca="false">IF(CF77=1,IF(HU77=1,KE77+KH77,CG77-PQ77)*(1+Slot7_Rate),0)</f>
        <v>0</v>
      </c>
      <c r="RL77" s="20" t="n">
        <f aca="false">IF(AND(HU77=1,CF77=1),(KD77+KH77)/F77,0)</f>
        <v>0</v>
      </c>
      <c r="RM77" s="20" t="n">
        <f aca="false">IF(B77=0,KD77+KH77,0)</f>
        <v>0</v>
      </c>
      <c r="RN77" s="20" t="n">
        <f aca="false">IF(B77=0,IF(HU77=1,KF77,KG77),0)</f>
        <v>0</v>
      </c>
      <c r="RO77" s="20" t="n">
        <f aca="false">IF(CP77=1,IF(HU77=1,KM77+KP77,CQ77-PO77)*(1+Slot8_Rate),0)</f>
        <v>0</v>
      </c>
      <c r="RP77" s="20" t="n">
        <f aca="false">IF(AND(HU77=1,CP77=1),(KL77+KP77)/F77,0)</f>
        <v>0</v>
      </c>
      <c r="RQ77" s="20" t="n">
        <f aca="false">IF(B77=0,KL77+KP77,0)</f>
        <v>0</v>
      </c>
      <c r="RR77" s="20" t="n">
        <f aca="false">IF(B77=0,IF(HU77=1,KN77,KO77),0)</f>
        <v>0</v>
      </c>
      <c r="RS77" s="20" t="n">
        <f aca="false">IF(CZ77=1,IF(HU77=1,KU77+KX77,DA77-PM77)*(1+Slot9_Rate),0)</f>
        <v>0</v>
      </c>
      <c r="RT77" s="20" t="n">
        <f aca="false">IF(AND(HU77=1,CZ77=1),(KT77+KX77)/F77,0)</f>
        <v>0</v>
      </c>
      <c r="RU77" s="20" t="n">
        <f aca="false">IF(B77=0,KT77+KX77,0)</f>
        <v>0</v>
      </c>
      <c r="RV77" s="20" t="n">
        <f aca="false">IF(B77=0,IF(HU77=1,KV77,KW77),0)</f>
        <v>0</v>
      </c>
      <c r="RW77" s="20" t="n">
        <f aca="false">IF(DJ77=1,IF(HU77=1,LC77+LF77,DK77-PK77)*(1+Slot10_Rate),0)</f>
        <v>0</v>
      </c>
      <c r="RX77" s="20" t="n">
        <f aca="false">IF(AND(HU77=1,DJ77=1),(LB77+LF77)/F77,0)</f>
        <v>0</v>
      </c>
      <c r="RY77" s="20" t="n">
        <f aca="false">IF(B77=0,LB77+LF77,0)</f>
        <v>0</v>
      </c>
      <c r="RZ77" s="20" t="n">
        <f aca="false">IF(B77=0,IF(HU77=1,LD77,LE77),0)</f>
        <v>0</v>
      </c>
      <c r="SA77" s="20" t="n">
        <f aca="false">IF(DT77=1,IF(HU77=1,LK77+LN77,DU77-PI77)*(1+Slot11_Rate),0)</f>
        <v>0</v>
      </c>
      <c r="SB77" s="20" t="n">
        <f aca="false">IF(AND(HU77=1,DT77=1),(LJ77+LN77)/F77,0)</f>
        <v>0</v>
      </c>
      <c r="SC77" s="20" t="n">
        <f aca="false">IF(B77=0,LJ77+LN77,0)</f>
        <v>0</v>
      </c>
      <c r="SD77" s="20" t="n">
        <f aca="false">IF(B77=0,IF(HU77=1,LL77,LM77),0)</f>
        <v>0</v>
      </c>
      <c r="SE77" s="20" t="n">
        <f aca="false">IF(ED77=1,IF(HU77=1,LS77+LV77,EE77-PG77)*(1+Slot12_Rate),0)</f>
        <v>0</v>
      </c>
      <c r="SF77" s="20" t="n">
        <f aca="false">IF(AND(HU77=1,ED77=1),(LR77+LV77)/F77,0)</f>
        <v>0</v>
      </c>
      <c r="SG77" s="20" t="n">
        <f aca="false">IF(B77=0,LR77+LV77,0)</f>
        <v>0</v>
      </c>
      <c r="SH77" s="20" t="n">
        <f aca="false">IF(B77=0,IF(HU77=1,LT77,LU77),0)</f>
        <v>0</v>
      </c>
      <c r="SI77" s="20" t="n">
        <f aca="false">IF(EN77=1,IF(HU77=1,MA77+MD77,EO77-PE77)*(1+Slot13_Rate),0)</f>
        <v>0</v>
      </c>
      <c r="SJ77" s="20" t="n">
        <f aca="false">IF(AND(HU77=1,EN77=1),(LZ77+MD77)/F77,0)</f>
        <v>0</v>
      </c>
      <c r="SK77" s="20" t="n">
        <f aca="false">IF(B77=0,LZ77+MD77,0)</f>
        <v>0</v>
      </c>
      <c r="SL77" s="20" t="n">
        <f aca="false">IF(B77=0,IF(HU77=1,MB77,MC77),0)</f>
        <v>0</v>
      </c>
      <c r="SM77" s="20" t="n">
        <f aca="false">IF(EX77=1,IF(HU77=1,MI77+ML77,EY77-PC77)*(1+Slot14_Rate),0)</f>
        <v>0</v>
      </c>
      <c r="SN77" s="20" t="n">
        <f aca="false">IF(AND(HU77=1,EX77=1),(MH77+ML77)/F77,0)</f>
        <v>0</v>
      </c>
      <c r="SO77" s="20" t="n">
        <f aca="false">IF(B77=0,MH77+ML77,0)</f>
        <v>0</v>
      </c>
      <c r="SP77" s="20" t="n">
        <f aca="false">IF(B77=0,IF(HU77=1,MJ77,MK77),0)</f>
        <v>0</v>
      </c>
      <c r="SQ77" s="20" t="n">
        <f aca="false">IF(FH77=1,IF(HU77=1,MQ77+MT77,FI77-PA77)*(1+Slot15_Rate),0)</f>
        <v>0</v>
      </c>
      <c r="SR77" s="20" t="n">
        <f aca="false">IF(AND(HU77=1,FH77=1),(MP77+MT77)/F77,0)</f>
        <v>0</v>
      </c>
      <c r="SS77" s="20" t="n">
        <f aca="false">IF(B77=0,MP77+MT77,0)</f>
        <v>0</v>
      </c>
      <c r="ST77" s="20" t="n">
        <f aca="false">IF(B77=0,IF(HU77=1,MR77,MS77),0)</f>
        <v>0</v>
      </c>
      <c r="SU77" s="20" t="n">
        <f aca="false">IF(FR77=1,IF(HU77=1,MY77+NB77,FS77-OY77)*(1+Slot16_Rate),0)</f>
        <v>0</v>
      </c>
      <c r="SV77" s="20" t="n">
        <f aca="false">IF(AND(HU77=1,FR77=1),(MX77+NB77)/F77,0)</f>
        <v>0</v>
      </c>
      <c r="SW77" s="20" t="n">
        <f aca="false">IF(B77=0,MX77+NB77,0)</f>
        <v>0</v>
      </c>
      <c r="SX77" s="20" t="n">
        <f aca="false">IF(B77=0,IF(HU77=1,MZ77,NA77),0)</f>
        <v>0</v>
      </c>
      <c r="SY77" s="20" t="n">
        <f aca="false">IF(GB77=1,IF(HU77=1,NG77+NJ77,GC77-OW77)*(1+Slot17_Rate),0)</f>
        <v>0</v>
      </c>
      <c r="SZ77" s="20" t="n">
        <f aca="false">IF(AND(HU77=1,GB77=1),(NF77+NJ77)/F77,0)</f>
        <v>0</v>
      </c>
      <c r="TA77" s="20" t="n">
        <f aca="false">IF(B77=0,NF77+NJ77,0)</f>
        <v>0</v>
      </c>
      <c r="TB77" s="20" t="n">
        <f aca="false">IF(B77=0,IF(HU77=1,NH77,NI77),0)</f>
        <v>0</v>
      </c>
      <c r="TC77" s="20" t="n">
        <f aca="false">IF(GL77=1,IF(HU77=1,NO77+NR77,GM77-OU77)*(1+Slot18_Rate),0)</f>
        <v>0</v>
      </c>
      <c r="TD77" s="20" t="n">
        <f aca="false">IF(AND(HU77=1,GL77=1),(NN77+NR77)/F77,0)</f>
        <v>0</v>
      </c>
      <c r="TE77" s="20" t="n">
        <f aca="false">IF(B77=0,NN77+NR77,0)</f>
        <v>0</v>
      </c>
      <c r="TF77" s="20" t="n">
        <f aca="false">IF(B77=0,IF(HU77=1,NP77,NQ77),0)</f>
        <v>0</v>
      </c>
      <c r="TG77" s="20" t="n">
        <f aca="false">IF(GV77=1,IF(HU77=1,NW77+NZ77,GW77-OS77)*(1+Slot19_Rate),0)</f>
        <v>0</v>
      </c>
      <c r="TH77" s="20" t="n">
        <f aca="false">IF(AND(HU77=1,GV77=1),(NV77+NZ77)/F77,0)</f>
        <v>0</v>
      </c>
      <c r="TI77" s="20" t="n">
        <f aca="false">IF(B77=0,NV77+NZ77,0)</f>
        <v>0</v>
      </c>
      <c r="TJ77" s="20" t="n">
        <f aca="false">IF(B77=0,IF(HU77=1,NX77,NY77),0)</f>
        <v>0</v>
      </c>
      <c r="TK77" s="20" t="n">
        <f aca="false">IF(HF77=1,IF(HU77=1,OE77+OH77,HG77-OQ77)*(1+Slot20_Rate),0)</f>
        <v>0</v>
      </c>
      <c r="TL77" s="20" t="n">
        <f aca="false">IF(AND(HU77=1,HF77=1),(OD77+OH77)/F77,0)</f>
        <v>0</v>
      </c>
      <c r="TM77" s="20" t="n">
        <f aca="false">IF(B77=0,OD77+OH77,0)</f>
        <v>0</v>
      </c>
      <c r="TN77" s="20" t="n">
        <f aca="false">IF(B77=0,IF(HU77=1,OF77,OG77),0)</f>
        <v>0</v>
      </c>
      <c r="TO77" s="20" t="n">
        <f aca="false">QK77+QL77+QM77+QQ77+QU77+QY77+RC77+RG77+RK77+RO77+RS77+RW77+SA77+SE77+SI77+SM77+SQ77+SU77+SY77+TC77+TG77+TK77</f>
        <v>0</v>
      </c>
      <c r="TP77" s="20" t="n">
        <f aca="false">QE77+HP77</f>
        <v>75542.7146406383</v>
      </c>
      <c r="TQ77" s="20" t="n">
        <f aca="false">I77+S77</f>
        <v>187430.277502113</v>
      </c>
      <c r="TR77" s="20" t="n">
        <f aca="false">1-G77</f>
        <v>1</v>
      </c>
      <c r="TS77" s="20" t="n">
        <f aca="false">IF(AND(RG_Exists=1,G77=0,C77=1),I77,0)</f>
        <v>0</v>
      </c>
      <c r="TT77" s="20" t="n">
        <f aca="false">IF(AND(RG_Exists=1,G77=0,C77=1),I77-MIN(QE77,I77),0)</f>
        <v>0</v>
      </c>
      <c r="TU77" s="20" t="n">
        <f aca="false">'Plan pay &amp; tax'!AD303</f>
        <v>0</v>
      </c>
      <c r="TV77" s="20" t="n">
        <f aca="false">IF(AND(C77=1,QE77&gt;MAX(PR_Short1,TQ77*PR_Short2)),1,0)</f>
        <v>0</v>
      </c>
      <c r="TW77" s="20" t="n">
        <f aca="false">MIN(H77,I77+S77)</f>
        <v>111887.562861475</v>
      </c>
      <c r="TX77" s="20" t="n">
        <f aca="false">QF77+MAX(0,HQ77-HP77)</f>
        <v>0</v>
      </c>
      <c r="TY77" s="20" t="n">
        <f aca="false">QE77+HP77</f>
        <v>75542.7146406383</v>
      </c>
      <c r="TZ77" s="20" t="n">
        <f aca="false">IF(AND(C77=1,TY77&gt;PR_MinShort),1,0)</f>
        <v>0</v>
      </c>
      <c r="UA77" s="20" t="n">
        <f aca="false">IF(AND(C77=1,TZ77=0,TX77&gt;PR_MinShort),1,0)</f>
        <v>0</v>
      </c>
      <c r="UB77" s="20" t="n">
        <f aca="false">IF(AND(C77=1,QE77&gt;PR_MinShort),1,0)</f>
        <v>0</v>
      </c>
      <c r="UC77" s="20" t="n">
        <f aca="false">IF(AND(C77=1,QF77&gt;1,UJ77=0),1,0)</f>
        <v>0</v>
      </c>
      <c r="UD77" s="20" t="str">
        <f aca="false">IF(C77=0,"",IF(UJ77=1,"Gap to plan for: short "&amp;"€"&amp;TEXT(ROUND(TP77,0),"#,##0"),IF(QF77&gt;1,"Using savings","Comfortable")))</f>
        <v/>
      </c>
      <c r="UE77" s="20" t="n">
        <f aca="false">IF(AND(INT(D77/10)*10=90,B77&gt;0),80,INT(D77/10)*10)</f>
        <v>100</v>
      </c>
      <c r="UF77" s="20" t="n">
        <f aca="false">IF(B77=0,1,IF(UE77&lt;&gt;UE76,UF76+1,UF76))</f>
        <v>7</v>
      </c>
      <c r="UG77" s="20" t="n">
        <f aca="false">IF(AND(C77=1,G77=1,QE77&gt;MAX(PR_Short1,TQ77*PR_Short2)),1,0)</f>
        <v>0</v>
      </c>
      <c r="UH77" s="20" t="n">
        <f aca="false">TR77*TV77</f>
        <v>0</v>
      </c>
      <c r="UI77" s="20" t="n">
        <f aca="false">IF(AND(V77=1,Slot1_PctLow=1),1,0)+IF(AND(AG77=1,Slot2_PctLow=1),1,0)+IF(AND(AQ77=1,Slot3_PctLow=1),1,0)+IF(AND(BA77=1,Slot4_PctLow=1),1,0)+IF(AND(BK77=1,Slot5_PctLow=1),1,0)+IF(AND(BU77=1,Slot6_PctLow=1),1,0)+IF(AND(CE77=1,Slot7_PctLow=1),1,0)+IF(AND(CO77=1,Slot8_PctLow=1),1,0)+IF(AND(CY77=1,Slot9_PctLow=1),1,0)+IF(AND(DI77=1,Slot10_PctLow=1),1,0)+IF(AND(DS77=1,Slot11_PctLow=1),1,0)+IF(AND(EC77=1,Slot12_PctLow=1),1,0)+IF(AND(EM77=1,Slot13_PctLow=1),1,0)+IF(AND(EW77=1,Slot14_PctLow=1),1,0)+IF(AND(FG77=1,Slot15_PctLow=1),1,0)+IF(AND(FQ77=1,Slot16_PctLow=1),1,0)+IF(AND(GA77=1,Slot17_PctLow=1),1,0)+IF(AND(GK77=1,Slot18_PctLow=1),1,0)+IF(AND(GU77=1,Slot19_PctLow=1),1,0)+IF(AND(HE77=1,Slot20_PctLow=1),1,0)</f>
        <v>0</v>
      </c>
      <c r="UJ77" s="20" t="n">
        <f aca="false">IF(C77=1,IF(OR(TV77=1,UI77&gt;0),1,0),0)</f>
        <v>0</v>
      </c>
    </row>
    <row r="78" customFormat="false" ht="15" hidden="false" customHeight="true" outlineLevel="0" collapsed="false">
      <c r="B78" s="20" t="n">
        <v>70</v>
      </c>
      <c r="C78" s="20" t="n">
        <f aca="false">IF(B78&lt;=F_N,1,0)</f>
        <v>0</v>
      </c>
      <c r="D78" s="20" t="n">
        <f aca="false">'Plan pay &amp; tax'!C304</f>
        <v>108</v>
      </c>
      <c r="E78" s="20" t="str">
        <f aca="false">IF($C78=1,"Income tax "&amp;TEXT(N('Plan pay &amp; tax'!BK304),"#,##0")&amp;"; USC "&amp;TEXT(N('Plan pay &amp; tax'!BM304)+N('Plan pay &amp; tax'!BO304),"#,##0")&amp;"; PRSI "&amp;TEXT(N('Plan pay &amp; tax'!BP304)+N('Plan pay &amp; tax'!BQ304),"#,##0")&amp;". DIRT and exit tax are inside the growth rates here.","")</f>
        <v/>
      </c>
      <c r="F78" s="44" t="n">
        <f aca="false">'Plan pay &amp; tax'!E304</f>
        <v>3.99955822284844</v>
      </c>
      <c r="G78" s="20" t="n">
        <f aca="false">'Plan pay &amp; tax'!G304</f>
        <v>0</v>
      </c>
      <c r="H78" s="20" t="n">
        <f aca="false">'Plan pay &amp; tax'!BT304-'Plan pay &amp; tax'!BS304-'Plan pay &amp; tax'!R304</f>
        <v>114125.314118704</v>
      </c>
      <c r="I78" s="20" t="n">
        <f aca="false">IF(G78=1,F_CostsM*12,IF(RG_Exists=1,RG_Amount,F_CostsM*12*AS_RetireSpend))*F78+F_OneOffY*F78</f>
        <v>191178.883052155</v>
      </c>
      <c r="J78" s="20" t="n">
        <f aca="false">HR77</f>
        <v>0</v>
      </c>
      <c r="K78" s="20" t="n">
        <f aca="false">IF(J78&gt;1,'Plan debt months'!AC78,0)</f>
        <v>0</v>
      </c>
      <c r="L78" s="20" t="n">
        <f aca="false">IF(J78&gt;1,'Plan debt months'!AB78,J78)</f>
        <v>0</v>
      </c>
      <c r="M78" s="20" t="n">
        <f aca="false">O77</f>
        <v>0</v>
      </c>
      <c r="N78" s="20" t="n">
        <f aca="false">IF(M78&gt;1,'Plan debt months'!BD78,0)</f>
        <v>0</v>
      </c>
      <c r="O78" s="20" t="n">
        <f aca="false">IF(M78&gt;1,'Plan debt months'!BC78,M78)</f>
        <v>0</v>
      </c>
      <c r="P78" s="20" t="n">
        <f aca="false">R77</f>
        <v>0</v>
      </c>
      <c r="Q78" s="20" t="n">
        <f aca="false">IF(P78&gt;1,'Plan debt months'!CE78,0)</f>
        <v>0</v>
      </c>
      <c r="R78" s="20" t="n">
        <f aca="false">IF(P78&gt;1,'Plan debt months'!CD78,P78)</f>
        <v>0</v>
      </c>
      <c r="S78" s="20" t="n">
        <f aca="false">K78+N78+Q78</f>
        <v>0</v>
      </c>
      <c r="T78" s="20" t="n">
        <f aca="false">QK77+'Plan pay &amp; tax'!Y304</f>
        <v>0</v>
      </c>
      <c r="U78" s="20" t="n">
        <f aca="false">QK77</f>
        <v>0</v>
      </c>
      <c r="V78" s="20" t="n">
        <f aca="false">IF(AND(Slot1_On=1,D78=Slot1_Age),1,0)</f>
        <v>0</v>
      </c>
      <c r="W78" s="20" t="n">
        <f aca="false">IF(AND(Slot1_On=1,Slot1_Age&gt;D78),1,0)</f>
        <v>0</v>
      </c>
      <c r="X78" s="20" t="n">
        <f aca="false">QM77</f>
        <v>0</v>
      </c>
      <c r="Y78" s="20" t="n">
        <f aca="false">V78*MIN(Slot1_Cost,X78)</f>
        <v>0</v>
      </c>
      <c r="Z78" s="20" t="n">
        <f aca="false">V78*Slot1_SpendLike*MIN(Slot1_Cost-Y78,T78)</f>
        <v>0</v>
      </c>
      <c r="AA78" s="20" t="n">
        <f aca="false">Y78+Z78</f>
        <v>0</v>
      </c>
      <c r="AB78" s="20" t="n">
        <f aca="false">T78-Z78+V78*IF(Slot1_SpendLike=1,X78-Y78,IF(Slot1_PotFree=1,X78,0))</f>
        <v>0</v>
      </c>
      <c r="AC78" s="20" t="n">
        <f aca="false">AF78+V78*Slot1_BufPot*X78</f>
        <v>0</v>
      </c>
      <c r="AD78" s="20" t="n">
        <f aca="false">IF(AND(V78=1,Slot1_IsMfree=1),IF(AA78&gt;=Slot1_Cost-1,0,MAX(0,L78-AA78)),L78)</f>
        <v>0</v>
      </c>
      <c r="AE78" s="20" t="n">
        <f aca="false">V78*(Slot1_Cost-AA78)</f>
        <v>0</v>
      </c>
      <c r="AF78" s="20" t="n">
        <f aca="false">QL77</f>
        <v>0</v>
      </c>
      <c r="AG78" s="20" t="n">
        <f aca="false">IF(AND(Slot2_On=1,D78=Slot2_Age),1,0)</f>
        <v>0</v>
      </c>
      <c r="AH78" s="20" t="n">
        <f aca="false">IF(AND(Slot2_On=1,Slot2_Age&gt;D78),1,0)</f>
        <v>0</v>
      </c>
      <c r="AI78" s="20" t="n">
        <f aca="false">QQ77</f>
        <v>0</v>
      </c>
      <c r="AJ78" s="20" t="n">
        <f aca="false">AG78*MIN(Slot2_Cost,AI78)</f>
        <v>0</v>
      </c>
      <c r="AK78" s="20" t="n">
        <f aca="false">AG78*Slot2_SpendLike*MIN(Slot2_Cost-AJ78,AB78)</f>
        <v>0</v>
      </c>
      <c r="AL78" s="20" t="n">
        <f aca="false">AJ78+AK78</f>
        <v>0</v>
      </c>
      <c r="AM78" s="20" t="n">
        <f aca="false">AB78-AK78+AG78*IF(Slot2_SpendLike=1,AI78-AJ78,IF(Slot2_PotFree=1,AI78,0))</f>
        <v>0</v>
      </c>
      <c r="AN78" s="20" t="n">
        <f aca="false">AC78+AG78*Slot2_BufPot*AI78</f>
        <v>0</v>
      </c>
      <c r="AO78" s="20" t="n">
        <f aca="false">IF(AND(AG78=1,Slot2_IsMfree=1),IF(AL78&gt;=Slot2_Cost-1,0,MAX(0,AD78-AL78)),AD78)</f>
        <v>0</v>
      </c>
      <c r="AP78" s="20" t="n">
        <f aca="false">AG78*(Slot2_Cost-AL78)</f>
        <v>0</v>
      </c>
      <c r="AQ78" s="20" t="n">
        <f aca="false">IF(AND(Slot3_On=1,D78=Slot3_Age),1,0)</f>
        <v>0</v>
      </c>
      <c r="AR78" s="20" t="n">
        <f aca="false">IF(AND(Slot3_On=1,Slot3_Age&gt;D78),1,0)</f>
        <v>0</v>
      </c>
      <c r="AS78" s="20" t="n">
        <f aca="false">QU77</f>
        <v>0</v>
      </c>
      <c r="AT78" s="20" t="n">
        <f aca="false">AQ78*MIN(Slot3_Cost,AS78)</f>
        <v>0</v>
      </c>
      <c r="AU78" s="20" t="n">
        <f aca="false">AQ78*Slot3_SpendLike*MIN(Slot3_Cost-AT78,AM78)</f>
        <v>0</v>
      </c>
      <c r="AV78" s="20" t="n">
        <f aca="false">AT78+AU78</f>
        <v>0</v>
      </c>
      <c r="AW78" s="20" t="n">
        <f aca="false">AM78-AU78+AQ78*IF(Slot3_SpendLike=1,AS78-AT78,IF(Slot3_PotFree=1,AS78,0))</f>
        <v>0</v>
      </c>
      <c r="AX78" s="20" t="n">
        <f aca="false">AN78+AQ78*Slot3_BufPot*AS78</f>
        <v>0</v>
      </c>
      <c r="AY78" s="20" t="n">
        <f aca="false">IF(AND(AQ78=1,Slot3_IsMfree=1),IF(AV78&gt;=Slot3_Cost-1,0,MAX(0,AO78-AV78)),AO78)</f>
        <v>0</v>
      </c>
      <c r="AZ78" s="20" t="n">
        <f aca="false">AQ78*(Slot3_Cost-AV78)</f>
        <v>0</v>
      </c>
      <c r="BA78" s="20" t="n">
        <f aca="false">IF(AND(Slot4_On=1,D78=Slot4_Age),1,0)</f>
        <v>0</v>
      </c>
      <c r="BB78" s="20" t="n">
        <f aca="false">IF(AND(Slot4_On=1,Slot4_Age&gt;D78),1,0)</f>
        <v>0</v>
      </c>
      <c r="BC78" s="20" t="n">
        <f aca="false">QY77</f>
        <v>0</v>
      </c>
      <c r="BD78" s="20" t="n">
        <f aca="false">BA78*MIN(Slot4_Cost,BC78)</f>
        <v>0</v>
      </c>
      <c r="BE78" s="20" t="n">
        <f aca="false">BA78*Slot4_SpendLike*MIN(Slot4_Cost-BD78,AW78)</f>
        <v>0</v>
      </c>
      <c r="BF78" s="20" t="n">
        <f aca="false">BD78+BE78</f>
        <v>0</v>
      </c>
      <c r="BG78" s="20" t="n">
        <f aca="false">AW78-BE78+BA78*IF(Slot4_SpendLike=1,BC78-BD78,IF(Slot4_PotFree=1,BC78,0))</f>
        <v>0</v>
      </c>
      <c r="BH78" s="20" t="n">
        <f aca="false">AX78+BA78*Slot4_BufPot*BC78</f>
        <v>0</v>
      </c>
      <c r="BI78" s="20" t="n">
        <f aca="false">IF(AND(BA78=1,Slot4_IsMfree=1),IF(BF78&gt;=Slot4_Cost-1,0,MAX(0,AY78-BF78)),AY78)</f>
        <v>0</v>
      </c>
      <c r="BJ78" s="20" t="n">
        <f aca="false">BA78*(Slot4_Cost-BF78)</f>
        <v>0</v>
      </c>
      <c r="BK78" s="20" t="n">
        <f aca="false">IF(AND(Slot5_On=1,D78=Slot5_Age),1,0)</f>
        <v>0</v>
      </c>
      <c r="BL78" s="20" t="n">
        <f aca="false">IF(AND(Slot5_On=1,Slot5_Age&gt;D78),1,0)</f>
        <v>0</v>
      </c>
      <c r="BM78" s="20" t="n">
        <f aca="false">RC77</f>
        <v>0</v>
      </c>
      <c r="BN78" s="20" t="n">
        <f aca="false">BK78*MIN(Slot5_Cost,BM78)</f>
        <v>0</v>
      </c>
      <c r="BO78" s="20" t="n">
        <f aca="false">BK78*Slot5_SpendLike*MIN(Slot5_Cost-BN78,BG78)</f>
        <v>0</v>
      </c>
      <c r="BP78" s="20" t="n">
        <f aca="false">BN78+BO78</f>
        <v>0</v>
      </c>
      <c r="BQ78" s="20" t="n">
        <f aca="false">BG78-BO78+BK78*IF(Slot5_SpendLike=1,BM78-BN78,IF(Slot5_PotFree=1,BM78,0))</f>
        <v>0</v>
      </c>
      <c r="BR78" s="20" t="n">
        <f aca="false">BH78+BK78*Slot5_BufPot*BM78</f>
        <v>0</v>
      </c>
      <c r="BS78" s="20" t="n">
        <f aca="false">IF(AND(BK78=1,Slot5_IsMfree=1),IF(BP78&gt;=Slot5_Cost-1,0,MAX(0,BI78-BP78)),BI78)</f>
        <v>0</v>
      </c>
      <c r="BT78" s="20" t="n">
        <f aca="false">BK78*(Slot5_Cost-BP78)</f>
        <v>0</v>
      </c>
      <c r="BU78" s="20" t="n">
        <f aca="false">IF(AND(Slot6_On=1,D78=Slot6_Age),1,0)</f>
        <v>0</v>
      </c>
      <c r="BV78" s="20" t="n">
        <f aca="false">IF(AND(Slot6_On=1,Slot6_Age&gt;D78),1,0)</f>
        <v>0</v>
      </c>
      <c r="BW78" s="20" t="n">
        <f aca="false">RG77</f>
        <v>0</v>
      </c>
      <c r="BX78" s="20" t="n">
        <f aca="false">BU78*MIN(Slot6_Cost,BW78)</f>
        <v>0</v>
      </c>
      <c r="BY78" s="20" t="n">
        <f aca="false">BU78*Slot6_SpendLike*MIN(Slot6_Cost-BX78,BQ78)</f>
        <v>0</v>
      </c>
      <c r="BZ78" s="20" t="n">
        <f aca="false">BX78+BY78</f>
        <v>0</v>
      </c>
      <c r="CA78" s="20" t="n">
        <f aca="false">BQ78-BY78+BU78*IF(Slot6_SpendLike=1,BW78-BX78,IF(Slot6_PotFree=1,BW78,0))</f>
        <v>0</v>
      </c>
      <c r="CB78" s="20" t="n">
        <f aca="false">BR78+BU78*Slot6_BufPot*BW78</f>
        <v>0</v>
      </c>
      <c r="CC78" s="20" t="n">
        <f aca="false">IF(AND(BU78=1,Slot6_IsMfree=1),IF(BZ78&gt;=Slot6_Cost-1,0,MAX(0,BS78-BZ78)),BS78)</f>
        <v>0</v>
      </c>
      <c r="CD78" s="20" t="n">
        <f aca="false">BU78*(Slot6_Cost-BZ78)</f>
        <v>0</v>
      </c>
      <c r="CE78" s="20" t="n">
        <f aca="false">IF(AND(Slot7_On=1,D78=Slot7_Age),1,0)</f>
        <v>0</v>
      </c>
      <c r="CF78" s="20" t="n">
        <f aca="false">IF(AND(Slot7_On=1,Slot7_Age&gt;D78),1,0)</f>
        <v>0</v>
      </c>
      <c r="CG78" s="20" t="n">
        <f aca="false">RK77</f>
        <v>0</v>
      </c>
      <c r="CH78" s="20" t="n">
        <f aca="false">CE78*MIN(Slot7_Cost,CG78)</f>
        <v>0</v>
      </c>
      <c r="CI78" s="20" t="n">
        <f aca="false">CE78*Slot7_SpendLike*MIN(Slot7_Cost-CH78,CA78)</f>
        <v>0</v>
      </c>
      <c r="CJ78" s="20" t="n">
        <f aca="false">CH78+CI78</f>
        <v>0</v>
      </c>
      <c r="CK78" s="20" t="n">
        <f aca="false">CA78-CI78+CE78*IF(Slot7_SpendLike=1,CG78-CH78,IF(Slot7_PotFree=1,CG78,0))</f>
        <v>0</v>
      </c>
      <c r="CL78" s="20" t="n">
        <f aca="false">CB78+CE78*Slot7_BufPot*CG78</f>
        <v>0</v>
      </c>
      <c r="CM78" s="20" t="n">
        <f aca="false">IF(AND(CE78=1,Slot7_IsMfree=1),IF(CJ78&gt;=Slot7_Cost-1,0,MAX(0,CC78-CJ78)),CC78)</f>
        <v>0</v>
      </c>
      <c r="CN78" s="20" t="n">
        <f aca="false">CE78*(Slot7_Cost-CJ78)</f>
        <v>0</v>
      </c>
      <c r="CO78" s="20" t="n">
        <f aca="false">IF(AND(Slot8_On=1,D78=Slot8_Age),1,0)</f>
        <v>0</v>
      </c>
      <c r="CP78" s="20" t="n">
        <f aca="false">IF(AND(Slot8_On=1,Slot8_Age&gt;D78),1,0)</f>
        <v>0</v>
      </c>
      <c r="CQ78" s="20" t="n">
        <f aca="false">RO77</f>
        <v>0</v>
      </c>
      <c r="CR78" s="20" t="n">
        <f aca="false">CO78*MIN(Slot8_Cost,CQ78)</f>
        <v>0</v>
      </c>
      <c r="CS78" s="20" t="n">
        <f aca="false">CO78*Slot8_SpendLike*MIN(Slot8_Cost-CR78,CK78)</f>
        <v>0</v>
      </c>
      <c r="CT78" s="20" t="n">
        <f aca="false">CR78+CS78</f>
        <v>0</v>
      </c>
      <c r="CU78" s="20" t="n">
        <f aca="false">CK78-CS78+CO78*IF(Slot8_SpendLike=1,CQ78-CR78,IF(Slot8_PotFree=1,CQ78,0))</f>
        <v>0</v>
      </c>
      <c r="CV78" s="20" t="n">
        <f aca="false">CL78+CO78*Slot8_BufPot*CQ78</f>
        <v>0</v>
      </c>
      <c r="CW78" s="20" t="n">
        <f aca="false">IF(AND(CO78=1,Slot8_IsMfree=1),IF(CT78&gt;=Slot8_Cost-1,0,MAX(0,CM78-CT78)),CM78)</f>
        <v>0</v>
      </c>
      <c r="CX78" s="20" t="n">
        <f aca="false">CO78*(Slot8_Cost-CT78)</f>
        <v>0</v>
      </c>
      <c r="CY78" s="20" t="n">
        <f aca="false">IF(AND(Slot9_On=1,D78=Slot9_Age),1,0)</f>
        <v>0</v>
      </c>
      <c r="CZ78" s="20" t="n">
        <f aca="false">IF(AND(Slot9_On=1,Slot9_Age&gt;D78),1,0)</f>
        <v>0</v>
      </c>
      <c r="DA78" s="20" t="n">
        <f aca="false">RS77</f>
        <v>0</v>
      </c>
      <c r="DB78" s="20" t="n">
        <f aca="false">CY78*MIN(Slot9_Cost,DA78)</f>
        <v>0</v>
      </c>
      <c r="DC78" s="20" t="n">
        <f aca="false">CY78*Slot9_SpendLike*MIN(Slot9_Cost-DB78,CU78)</f>
        <v>0</v>
      </c>
      <c r="DD78" s="20" t="n">
        <f aca="false">DB78+DC78</f>
        <v>0</v>
      </c>
      <c r="DE78" s="20" t="n">
        <f aca="false">CU78-DC78+CY78*IF(Slot9_SpendLike=1,DA78-DB78,IF(Slot9_PotFree=1,DA78,0))</f>
        <v>0</v>
      </c>
      <c r="DF78" s="20" t="n">
        <f aca="false">CV78+CY78*Slot9_BufPot*DA78</f>
        <v>0</v>
      </c>
      <c r="DG78" s="20" t="n">
        <f aca="false">IF(AND(CY78=1,Slot9_IsMfree=1),IF(DD78&gt;=Slot9_Cost-1,0,MAX(0,CW78-DD78)),CW78)</f>
        <v>0</v>
      </c>
      <c r="DH78" s="20" t="n">
        <f aca="false">CY78*(Slot9_Cost-DD78)</f>
        <v>0</v>
      </c>
      <c r="DI78" s="20" t="n">
        <f aca="false">IF(AND(Slot10_On=1,D78=Slot10_Age),1,0)</f>
        <v>0</v>
      </c>
      <c r="DJ78" s="20" t="n">
        <f aca="false">IF(AND(Slot10_On=1,Slot10_Age&gt;D78),1,0)</f>
        <v>0</v>
      </c>
      <c r="DK78" s="20" t="n">
        <f aca="false">RW77</f>
        <v>0</v>
      </c>
      <c r="DL78" s="20" t="n">
        <f aca="false">DI78*MIN(Slot10_Cost,DK78)</f>
        <v>0</v>
      </c>
      <c r="DM78" s="20" t="n">
        <f aca="false">DI78*Slot10_SpendLike*MIN(Slot10_Cost-DL78,DE78)</f>
        <v>0</v>
      </c>
      <c r="DN78" s="20" t="n">
        <f aca="false">DL78+DM78</f>
        <v>0</v>
      </c>
      <c r="DO78" s="20" t="n">
        <f aca="false">DE78-DM78+DI78*IF(Slot10_SpendLike=1,DK78-DL78,IF(Slot10_PotFree=1,DK78,0))</f>
        <v>0</v>
      </c>
      <c r="DP78" s="20" t="n">
        <f aca="false">DF78+DI78*Slot10_BufPot*DK78</f>
        <v>0</v>
      </c>
      <c r="DQ78" s="20" t="n">
        <f aca="false">IF(AND(DI78=1,Slot10_IsMfree=1),IF(DN78&gt;=Slot10_Cost-1,0,MAX(0,DG78-DN78)),DG78)</f>
        <v>0</v>
      </c>
      <c r="DR78" s="20" t="n">
        <f aca="false">DI78*(Slot10_Cost-DN78)</f>
        <v>0</v>
      </c>
      <c r="DS78" s="20" t="n">
        <f aca="false">IF(AND(Slot11_On=1,D78=Slot11_Age),1,0)</f>
        <v>0</v>
      </c>
      <c r="DT78" s="20" t="n">
        <f aca="false">IF(AND(Slot11_On=1,Slot11_Age&gt;D78),1,0)</f>
        <v>0</v>
      </c>
      <c r="DU78" s="20" t="n">
        <f aca="false">SA77</f>
        <v>0</v>
      </c>
      <c r="DV78" s="20" t="n">
        <f aca="false">DS78*MIN(Slot11_Cost,DU78)</f>
        <v>0</v>
      </c>
      <c r="DW78" s="20" t="n">
        <f aca="false">DS78*Slot11_SpendLike*MIN(Slot11_Cost-DV78,DO78)</f>
        <v>0</v>
      </c>
      <c r="DX78" s="20" t="n">
        <f aca="false">DV78+DW78</f>
        <v>0</v>
      </c>
      <c r="DY78" s="20" t="n">
        <f aca="false">DO78-DW78+DS78*IF(Slot11_SpendLike=1,DU78-DV78,IF(Slot11_PotFree=1,DU78,0))</f>
        <v>0</v>
      </c>
      <c r="DZ78" s="20" t="n">
        <f aca="false">DP78+DS78*Slot11_BufPot*DU78</f>
        <v>0</v>
      </c>
      <c r="EA78" s="20" t="n">
        <f aca="false">IF(AND(DS78=1,Slot11_IsMfree=1),IF(DX78&gt;=Slot11_Cost-1,0,MAX(0,DQ78-DX78)),DQ78)</f>
        <v>0</v>
      </c>
      <c r="EB78" s="20" t="n">
        <f aca="false">DS78*(Slot11_Cost-DX78)</f>
        <v>0</v>
      </c>
      <c r="EC78" s="20" t="n">
        <f aca="false">IF(AND(Slot12_On=1,D78=Slot12_Age),1,0)</f>
        <v>0</v>
      </c>
      <c r="ED78" s="20" t="n">
        <f aca="false">IF(AND(Slot12_On=1,Slot12_Age&gt;D78),1,0)</f>
        <v>0</v>
      </c>
      <c r="EE78" s="20" t="n">
        <f aca="false">SE77</f>
        <v>0</v>
      </c>
      <c r="EF78" s="20" t="n">
        <f aca="false">EC78*MIN(Slot12_Cost,EE78)</f>
        <v>0</v>
      </c>
      <c r="EG78" s="20" t="n">
        <f aca="false">EC78*Slot12_SpendLike*MIN(Slot12_Cost-EF78,DY78)</f>
        <v>0</v>
      </c>
      <c r="EH78" s="20" t="n">
        <f aca="false">EF78+EG78</f>
        <v>0</v>
      </c>
      <c r="EI78" s="20" t="n">
        <f aca="false">DY78-EG78+EC78*IF(Slot12_SpendLike=1,EE78-EF78,IF(Slot12_PotFree=1,EE78,0))</f>
        <v>0</v>
      </c>
      <c r="EJ78" s="20" t="n">
        <f aca="false">DZ78+EC78*Slot12_BufPot*EE78</f>
        <v>0</v>
      </c>
      <c r="EK78" s="20" t="n">
        <f aca="false">IF(AND(EC78=1,Slot12_IsMfree=1),IF(EH78&gt;=Slot12_Cost-1,0,MAX(0,EA78-EH78)),EA78)</f>
        <v>0</v>
      </c>
      <c r="EL78" s="20" t="n">
        <f aca="false">EC78*(Slot12_Cost-EH78)</f>
        <v>0</v>
      </c>
      <c r="EM78" s="20" t="n">
        <f aca="false">IF(AND(Slot13_On=1,D78=Slot13_Age),1,0)</f>
        <v>0</v>
      </c>
      <c r="EN78" s="20" t="n">
        <f aca="false">IF(AND(Slot13_On=1,Slot13_Age&gt;D78),1,0)</f>
        <v>0</v>
      </c>
      <c r="EO78" s="20" t="n">
        <f aca="false">SI77</f>
        <v>0</v>
      </c>
      <c r="EP78" s="20" t="n">
        <f aca="false">EM78*MIN(Slot13_Cost,EO78)</f>
        <v>0</v>
      </c>
      <c r="EQ78" s="20" t="n">
        <f aca="false">EM78*Slot13_SpendLike*MIN(Slot13_Cost-EP78,EI78)</f>
        <v>0</v>
      </c>
      <c r="ER78" s="20" t="n">
        <f aca="false">EP78+EQ78</f>
        <v>0</v>
      </c>
      <c r="ES78" s="20" t="n">
        <f aca="false">EI78-EQ78+EM78*IF(Slot13_SpendLike=1,EO78-EP78,IF(Slot13_PotFree=1,EO78,0))</f>
        <v>0</v>
      </c>
      <c r="ET78" s="20" t="n">
        <f aca="false">EJ78+EM78*Slot13_BufPot*EO78</f>
        <v>0</v>
      </c>
      <c r="EU78" s="20" t="n">
        <f aca="false">IF(AND(EM78=1,Slot13_IsMfree=1),IF(ER78&gt;=Slot13_Cost-1,0,MAX(0,EK78-ER78)),EK78)</f>
        <v>0</v>
      </c>
      <c r="EV78" s="20" t="n">
        <f aca="false">EM78*(Slot13_Cost-ER78)</f>
        <v>0</v>
      </c>
      <c r="EW78" s="20" t="n">
        <f aca="false">IF(AND(Slot14_On=1,D78=Slot14_Age),1,0)</f>
        <v>0</v>
      </c>
      <c r="EX78" s="20" t="n">
        <f aca="false">IF(AND(Slot14_On=1,Slot14_Age&gt;D78),1,0)</f>
        <v>0</v>
      </c>
      <c r="EY78" s="20" t="n">
        <f aca="false">SM77</f>
        <v>0</v>
      </c>
      <c r="EZ78" s="20" t="n">
        <f aca="false">EW78*MIN(Slot14_Cost,EY78)</f>
        <v>0</v>
      </c>
      <c r="FA78" s="20" t="n">
        <f aca="false">EW78*Slot14_SpendLike*MIN(Slot14_Cost-EZ78,ES78)</f>
        <v>0</v>
      </c>
      <c r="FB78" s="20" t="n">
        <f aca="false">EZ78+FA78</f>
        <v>0</v>
      </c>
      <c r="FC78" s="20" t="n">
        <f aca="false">ES78-FA78+EW78*IF(Slot14_SpendLike=1,EY78-EZ78,IF(Slot14_PotFree=1,EY78,0))</f>
        <v>0</v>
      </c>
      <c r="FD78" s="20" t="n">
        <f aca="false">ET78+EW78*Slot14_BufPot*EY78</f>
        <v>0</v>
      </c>
      <c r="FE78" s="20" t="n">
        <f aca="false">IF(AND(EW78=1,Slot14_IsMfree=1),IF(FB78&gt;=Slot14_Cost-1,0,MAX(0,EU78-FB78)),EU78)</f>
        <v>0</v>
      </c>
      <c r="FF78" s="20" t="n">
        <f aca="false">EW78*(Slot14_Cost-FB78)</f>
        <v>0</v>
      </c>
      <c r="FG78" s="20" t="n">
        <f aca="false">IF(AND(Slot15_On=1,D78=Slot15_Age),1,0)</f>
        <v>0</v>
      </c>
      <c r="FH78" s="20" t="n">
        <f aca="false">IF(AND(Slot15_On=1,Slot15_Age&gt;D78),1,0)</f>
        <v>0</v>
      </c>
      <c r="FI78" s="20" t="n">
        <f aca="false">SQ77</f>
        <v>0</v>
      </c>
      <c r="FJ78" s="20" t="n">
        <f aca="false">FG78*MIN(Slot15_Cost,FI78)</f>
        <v>0</v>
      </c>
      <c r="FK78" s="20" t="n">
        <f aca="false">FG78*Slot15_SpendLike*MIN(Slot15_Cost-FJ78,FC78)</f>
        <v>0</v>
      </c>
      <c r="FL78" s="20" t="n">
        <f aca="false">FJ78+FK78</f>
        <v>0</v>
      </c>
      <c r="FM78" s="20" t="n">
        <f aca="false">FC78-FK78+FG78*IF(Slot15_SpendLike=1,FI78-FJ78,IF(Slot15_PotFree=1,FI78,0))</f>
        <v>0</v>
      </c>
      <c r="FN78" s="20" t="n">
        <f aca="false">FD78+FG78*Slot15_BufPot*FI78</f>
        <v>0</v>
      </c>
      <c r="FO78" s="20" t="n">
        <f aca="false">IF(AND(FG78=1,Slot15_IsMfree=1),IF(FL78&gt;=Slot15_Cost-1,0,MAX(0,FE78-FL78)),FE78)</f>
        <v>0</v>
      </c>
      <c r="FP78" s="20" t="n">
        <f aca="false">FG78*(Slot15_Cost-FL78)</f>
        <v>0</v>
      </c>
      <c r="FQ78" s="20" t="n">
        <f aca="false">IF(AND(Slot16_On=1,D78=Slot16_Age),1,0)</f>
        <v>0</v>
      </c>
      <c r="FR78" s="20" t="n">
        <f aca="false">IF(AND(Slot16_On=1,Slot16_Age&gt;D78),1,0)</f>
        <v>0</v>
      </c>
      <c r="FS78" s="20" t="n">
        <f aca="false">SU77</f>
        <v>0</v>
      </c>
      <c r="FT78" s="20" t="n">
        <f aca="false">FQ78*MIN(Slot16_Cost,FS78)</f>
        <v>0</v>
      </c>
      <c r="FU78" s="20" t="n">
        <f aca="false">FQ78*Slot16_SpendLike*MIN(Slot16_Cost-FT78,FM78)</f>
        <v>0</v>
      </c>
      <c r="FV78" s="20" t="n">
        <f aca="false">FT78+FU78</f>
        <v>0</v>
      </c>
      <c r="FW78" s="20" t="n">
        <f aca="false">FM78-FU78+FQ78*IF(Slot16_SpendLike=1,FS78-FT78,IF(Slot16_PotFree=1,FS78,0))</f>
        <v>0</v>
      </c>
      <c r="FX78" s="20" t="n">
        <f aca="false">FN78+FQ78*Slot16_BufPot*FS78</f>
        <v>0</v>
      </c>
      <c r="FY78" s="20" t="n">
        <f aca="false">IF(AND(FQ78=1,Slot16_IsMfree=1),IF(FV78&gt;=Slot16_Cost-1,0,MAX(0,FO78-FV78)),FO78)</f>
        <v>0</v>
      </c>
      <c r="FZ78" s="20" t="n">
        <f aca="false">FQ78*(Slot16_Cost-FV78)</f>
        <v>0</v>
      </c>
      <c r="GA78" s="20" t="n">
        <f aca="false">IF(AND(Slot17_On=1,D78=Slot17_Age),1,0)</f>
        <v>0</v>
      </c>
      <c r="GB78" s="20" t="n">
        <f aca="false">IF(AND(Slot17_On=1,Slot17_Age&gt;D78),1,0)</f>
        <v>0</v>
      </c>
      <c r="GC78" s="20" t="n">
        <f aca="false">SY77</f>
        <v>0</v>
      </c>
      <c r="GD78" s="20" t="n">
        <f aca="false">GA78*MIN(Slot17_Cost,GC78)</f>
        <v>0</v>
      </c>
      <c r="GE78" s="20" t="n">
        <f aca="false">GA78*Slot17_SpendLike*MIN(Slot17_Cost-GD78,FW78)</f>
        <v>0</v>
      </c>
      <c r="GF78" s="20" t="n">
        <f aca="false">GD78+GE78</f>
        <v>0</v>
      </c>
      <c r="GG78" s="20" t="n">
        <f aca="false">FW78-GE78+GA78*IF(Slot17_SpendLike=1,GC78-GD78,IF(Slot17_PotFree=1,GC78,0))</f>
        <v>0</v>
      </c>
      <c r="GH78" s="20" t="n">
        <f aca="false">FX78+GA78*Slot17_BufPot*GC78</f>
        <v>0</v>
      </c>
      <c r="GI78" s="20" t="n">
        <f aca="false">IF(AND(GA78=1,Slot17_IsMfree=1),IF(GF78&gt;=Slot17_Cost-1,0,MAX(0,FY78-GF78)),FY78)</f>
        <v>0</v>
      </c>
      <c r="GJ78" s="20" t="n">
        <f aca="false">GA78*(Slot17_Cost-GF78)</f>
        <v>0</v>
      </c>
      <c r="GK78" s="20" t="n">
        <f aca="false">IF(AND(Slot18_On=1,D78=Slot18_Age),1,0)</f>
        <v>0</v>
      </c>
      <c r="GL78" s="20" t="n">
        <f aca="false">IF(AND(Slot18_On=1,Slot18_Age&gt;D78),1,0)</f>
        <v>0</v>
      </c>
      <c r="GM78" s="20" t="n">
        <f aca="false">TC77</f>
        <v>0</v>
      </c>
      <c r="GN78" s="20" t="n">
        <f aca="false">GK78*MIN(Slot18_Cost,GM78)</f>
        <v>0</v>
      </c>
      <c r="GO78" s="20" t="n">
        <f aca="false">GK78*Slot18_SpendLike*MIN(Slot18_Cost-GN78,GG78)</f>
        <v>0</v>
      </c>
      <c r="GP78" s="20" t="n">
        <f aca="false">GN78+GO78</f>
        <v>0</v>
      </c>
      <c r="GQ78" s="20" t="n">
        <f aca="false">GG78-GO78+GK78*IF(Slot18_SpendLike=1,GM78-GN78,IF(Slot18_PotFree=1,GM78,0))</f>
        <v>0</v>
      </c>
      <c r="GR78" s="20" t="n">
        <f aca="false">GH78+GK78*Slot18_BufPot*GM78</f>
        <v>0</v>
      </c>
      <c r="GS78" s="20" t="n">
        <f aca="false">IF(AND(GK78=1,Slot18_IsMfree=1),IF(GP78&gt;=Slot18_Cost-1,0,MAX(0,GI78-GP78)),GI78)</f>
        <v>0</v>
      </c>
      <c r="GT78" s="20" t="n">
        <f aca="false">GK78*(Slot18_Cost-GP78)</f>
        <v>0</v>
      </c>
      <c r="GU78" s="20" t="n">
        <f aca="false">IF(AND(Slot19_On=1,D78=Slot19_Age),1,0)</f>
        <v>0</v>
      </c>
      <c r="GV78" s="20" t="n">
        <f aca="false">IF(AND(Slot19_On=1,Slot19_Age&gt;D78),1,0)</f>
        <v>0</v>
      </c>
      <c r="GW78" s="20" t="n">
        <f aca="false">TG77</f>
        <v>0</v>
      </c>
      <c r="GX78" s="20" t="n">
        <f aca="false">GU78*MIN(Slot19_Cost,GW78)</f>
        <v>0</v>
      </c>
      <c r="GY78" s="20" t="n">
        <f aca="false">GU78*Slot19_SpendLike*MIN(Slot19_Cost-GX78,GQ78)</f>
        <v>0</v>
      </c>
      <c r="GZ78" s="20" t="n">
        <f aca="false">GX78+GY78</f>
        <v>0</v>
      </c>
      <c r="HA78" s="20" t="n">
        <f aca="false">GQ78-GY78+GU78*IF(Slot19_SpendLike=1,GW78-GX78,IF(Slot19_PotFree=1,GW78,0))</f>
        <v>0</v>
      </c>
      <c r="HB78" s="20" t="n">
        <f aca="false">GR78+GU78*Slot19_BufPot*GW78</f>
        <v>0</v>
      </c>
      <c r="HC78" s="20" t="n">
        <f aca="false">IF(AND(GU78=1,Slot19_IsMfree=1),IF(GZ78&gt;=Slot19_Cost-1,0,MAX(0,GS78-GZ78)),GS78)</f>
        <v>0</v>
      </c>
      <c r="HD78" s="20" t="n">
        <f aca="false">GU78*(Slot19_Cost-GZ78)</f>
        <v>0</v>
      </c>
      <c r="HE78" s="20" t="n">
        <f aca="false">IF(AND(Slot20_On=1,D78=Slot20_Age),1,0)</f>
        <v>0</v>
      </c>
      <c r="HF78" s="20" t="n">
        <f aca="false">IF(AND(Slot20_On=1,Slot20_Age&gt;D78),1,0)</f>
        <v>0</v>
      </c>
      <c r="HG78" s="20" t="n">
        <f aca="false">TK77</f>
        <v>0</v>
      </c>
      <c r="HH78" s="20" t="n">
        <f aca="false">HE78*MIN(Slot20_Cost,HG78)</f>
        <v>0</v>
      </c>
      <c r="HI78" s="20" t="n">
        <f aca="false">HE78*Slot20_SpendLike*MIN(Slot20_Cost-HH78,HA78)</f>
        <v>0</v>
      </c>
      <c r="HJ78" s="20" t="n">
        <f aca="false">HH78+HI78</f>
        <v>0</v>
      </c>
      <c r="HK78" s="20" t="n">
        <f aca="false">HA78-HI78+HE78*IF(Slot20_SpendLike=1,HG78-HH78,IF(Slot20_PotFree=1,HG78,0))</f>
        <v>0</v>
      </c>
      <c r="HL78" s="20" t="n">
        <f aca="false">HB78+HE78*Slot20_BufPot*HG78</f>
        <v>0</v>
      </c>
      <c r="HM78" s="20" t="n">
        <f aca="false">IF(AND(HE78=1,Slot20_IsMfree=1),IF(HJ78&gt;=Slot20_Cost-1,0,MAX(0,HC78-HJ78)),HC78)</f>
        <v>0</v>
      </c>
      <c r="HN78" s="20" t="n">
        <f aca="false">HE78*(Slot20_Cost-HJ78)</f>
        <v>0</v>
      </c>
      <c r="HO78" s="20" t="n">
        <f aca="false">V78*Slot1_SpendLike*AA78+AG78*Slot2_SpendLike*AL78+AQ78*Slot3_SpendLike*AV78+BA78*Slot4_SpendLike*BF78+BK78*Slot5_SpendLike*BP78+BU78*Slot6_SpendLike*BZ78+CE78*Slot7_SpendLike*CJ78+CO78*Slot8_SpendLike*CT78+CY78*Slot9_SpendLike*DD78+DI78*Slot10_SpendLike*DN78+DS78*Slot11_SpendLike*DX78+EC78*Slot12_SpendLike*EH78+EM78*Slot13_SpendLike*ER78+EW78*Slot14_SpendLike*FB78+FG78*Slot15_SpendLike*FL78+FQ78*Slot16_SpendLike*FV78+GA78*Slot17_SpendLike*GF78+GK78*Slot18_SpendLike*GP78+GU78*Slot19_SpendLike*GZ78+HE78*Slot20_SpendLike*HJ78</f>
        <v>0</v>
      </c>
      <c r="HP78" s="20" t="n">
        <f aca="false">AE78+AP78+AZ78+BJ78+BT78+CD78+CN78+CX78+DH78+DR78+EB78+EL78+EV78+FF78+FP78+FZ78+GJ78+GT78+HD78+HN78</f>
        <v>0</v>
      </c>
      <c r="HQ78" s="20" t="n">
        <f aca="false">V78*Slot1_Cost+AG78*Slot2_Cost+AQ78*Slot3_Cost+BA78*Slot4_Cost+BK78*Slot5_Cost+BU78*Slot6_Cost+CE78*Slot7_Cost+CO78*Slot8_Cost+CY78*Slot9_Cost+DI78*Slot10_Cost+DS78*Slot11_Cost+EC78*Slot12_Cost+EM78*Slot13_Cost+EW78*Slot14_Cost+FG78*Slot15_Cost+FQ78*Slot16_Cost+GA78*Slot17_Cost+GK78*Slot18_Cost+GU78*Slot19_Cost+HE78*Slot20_Cost</f>
        <v>0</v>
      </c>
      <c r="HR78" s="20" t="n">
        <f aca="false">HM78</f>
        <v>0</v>
      </c>
      <c r="HS78" s="20" t="n">
        <f aca="false">H78-I78-S78</f>
        <v>-77053.5689334511</v>
      </c>
      <c r="HT78" s="20" t="n">
        <f aca="false">IF(B78=0,IF(AND(Has_q6=1,In_q6=4),PR_ShareVaries*(MAX(0,HS78)/12),MIN(IF(Has_q6=1,CHOOSE(In_q6+1,PR_SaveB1,PR_SaveB2,PR_SaveB3,PR_SaveB4,0),AS_NoAnswer),AS_SaveShare*(MAX(0,HS78)/12))),HT77)</f>
        <v>62.3316893520437</v>
      </c>
      <c r="HU78" s="20" t="n">
        <f aca="false">IF(HS78&gt;=0,1,0)</f>
        <v>0</v>
      </c>
      <c r="HV78" s="20" t="n">
        <f aca="false">MAX(0,HS78/12/F78)</f>
        <v>0</v>
      </c>
      <c r="HW78" s="20" t="n">
        <f aca="false">IF(AND(Has_q6=1,In_q6=4),PR_ShareVaries*(HV78),MIN(IF(Has_q6=1,CHOOSE(In_q6+1,PR_SaveB1,PR_SaveB2,PR_SaveB3,PR_SaveB4,0),AS_NoAnswer),AS_SaveShare*(HV78)))</f>
        <v>0</v>
      </c>
      <c r="HX78" s="20" t="n">
        <f aca="false">IF(Has_saveM=1,IF(In_saveUp="Yes",1,IF(In_saveUp="No",0,IF(In_saveM&gt;=HT78-0.5,1,0))),0)</f>
        <v>0</v>
      </c>
      <c r="HY78" s="20" t="n">
        <f aca="false">IF(Has_saveM=1,MIN(HV78,IF(HX78=1,MAX(In_saveM,HW78),MIN(In_saveM,HW78))),HW78)</f>
        <v>0</v>
      </c>
      <c r="HZ78" s="20" t="n">
        <f aca="false">IF(G78=1,HY78*12*F78,0)</f>
        <v>0</v>
      </c>
      <c r="IA78" s="20" t="n">
        <f aca="false">MAX(0,HZ78+IF(AND(WI_Retire=0,WI_M&lt;0,G78=1),WI_M*12*F78,0))</f>
        <v>0</v>
      </c>
      <c r="IB78" s="20" t="n">
        <f aca="false">Slot1_IsWG*W78+Slot2_IsWG*AH78+Slot3_IsWG*AR78+Slot4_IsWG*BB78+Slot5_IsWG*BL78+Slot6_IsWG*BV78+Slot7_IsWG*CF78+Slot8_IsWG*CP78+Slot9_IsWG*CZ78+Slot10_IsWG*DJ78+Slot11_IsWG*DT78+Slot12_IsWG*ED78+Slot13_IsWG*EN78+Slot14_IsWG*EX78+Slot15_IsWG*FH78+Slot16_IsWG*FR78+Slot17_IsWG*GB78+Slot18_IsWG*GL78+Slot19_IsWG*GV78+Slot20_IsWG*HF78</f>
        <v>0</v>
      </c>
      <c r="IC78" s="20" t="n">
        <f aca="false">IF(AND(WI_Retire=0,WI_M&gt;0,G78=1,IB78&gt;=1),WI_M*12*F78,0)</f>
        <v>0</v>
      </c>
      <c r="ID78" s="20" t="n">
        <f aca="false">IF(HU78=1,MIN(IA78,HS78),0)</f>
        <v>0</v>
      </c>
      <c r="IE78" s="20" t="n">
        <f aca="false">IF(HU78=1,MIN(IC78,HS78-ID78),0)</f>
        <v>0</v>
      </c>
      <c r="IF78" s="20" t="n">
        <f aca="false">IF(W78=1,IF(ABS((1+AS_Wage)/(1+Slot1_Rate)-1)&lt;0.000000000001,(Slot1_Age-D78)*(1+Slot1_Rate)^(Slot1_Age-D78),(1+Slot1_Rate)^(Slot1_Age-D78)*(1-((1+AS_Wage)/(1+Slot1_Rate))^(Slot1_Age-D78))/(1-(1+AS_Wage)/(1+Slot1_Rate))),1)</f>
        <v>1</v>
      </c>
      <c r="IG78" s="20" t="n">
        <f aca="false">IF(AND(HU78=1,IE78&gt;0,Slot1_IsWG=1,W78=1),MAX(0,(Slot1_Cost-X78*(1+Slot1_Rate)^(Slot1_Age-D78))/IF78),0)</f>
        <v>0</v>
      </c>
      <c r="IH78" s="20" t="n">
        <f aca="false">IF(AND(HU78=1,IE78&gt;0,Slot1_IsWG=1,W78=1),MIN(IE78,IG78),0)</f>
        <v>0</v>
      </c>
      <c r="II78" s="20" t="n">
        <f aca="false">X78+IH78</f>
        <v>0</v>
      </c>
      <c r="IJ78" s="20" t="n">
        <f aca="false">IF(W78=1,MAX(0,(Slot1_Cost-II78*(1+Slot1_Rate)^(Slot1_Age-D78))/IF78),0)</f>
        <v>0</v>
      </c>
      <c r="IK78" s="20" t="n">
        <f aca="false">IF(W78=1,MAX(0,(Slot1_Cost-X78*(1+Slot1_Rate)^(Slot1_Age-D78))/IF78),0)</f>
        <v>0</v>
      </c>
      <c r="IL78" s="20" t="n">
        <f aca="false">IF(AND(HU78=1,W78=1),MIN(ID78,IJ78),0)</f>
        <v>0</v>
      </c>
      <c r="IM78" s="20" t="n">
        <f aca="false">ID78-IL78</f>
        <v>0</v>
      </c>
      <c r="IN78" s="20" t="n">
        <f aca="false">IF(AH78=1,IF(ABS((1+AS_Wage)/(1+Slot2_Rate)-1)&lt;0.000000000001,(Slot2_Age-D78)*(1+Slot2_Rate)^(Slot2_Age-D78),(1+Slot2_Rate)^(Slot2_Age-D78)*(1-((1+AS_Wage)/(1+Slot2_Rate))^(Slot2_Age-D78))/(1-(1+AS_Wage)/(1+Slot2_Rate))),1)</f>
        <v>1</v>
      </c>
      <c r="IO78" s="20" t="n">
        <f aca="false">IF(AND(HU78=1,IE78&gt;0,Slot2_IsWG=1,AH78=1),MAX(0,(Slot2_Cost-AI78*(1+Slot2_Rate)^(Slot2_Age-D78))/IN78),0)</f>
        <v>0</v>
      </c>
      <c r="IP78" s="20" t="n">
        <f aca="false">IF(AND(HU78=1,IE78&gt;0,Slot2_IsWG=1,AH78=1),MIN(IE78,IO78),0)</f>
        <v>0</v>
      </c>
      <c r="IQ78" s="20" t="n">
        <f aca="false">AI78+IP78</f>
        <v>0</v>
      </c>
      <c r="IR78" s="20" t="n">
        <f aca="false">IF(AH78=1,MAX(0,(Slot2_Cost-IQ78*(1+Slot2_Rate)^(Slot2_Age-D78))/IN78),0)</f>
        <v>0</v>
      </c>
      <c r="IS78" s="20" t="n">
        <f aca="false">IF(AH78=1,MAX(0,(Slot2_Cost-AI78*(1+Slot2_Rate)^(Slot2_Age-D78))/IN78),0)</f>
        <v>0</v>
      </c>
      <c r="IT78" s="20" t="n">
        <f aca="false">IF(AND(HU78=1,AH78=1),MIN(IM78,IR78),0)</f>
        <v>0</v>
      </c>
      <c r="IU78" s="20" t="n">
        <f aca="false">IM78-IT78</f>
        <v>0</v>
      </c>
      <c r="IV78" s="20" t="n">
        <f aca="false">IF(AR78=1,IF(ABS((1+AS_Wage)/(1+Slot3_Rate)-1)&lt;0.000000000001,(Slot3_Age-D78)*(1+Slot3_Rate)^(Slot3_Age-D78),(1+Slot3_Rate)^(Slot3_Age-D78)*(1-((1+AS_Wage)/(1+Slot3_Rate))^(Slot3_Age-D78))/(1-(1+AS_Wage)/(1+Slot3_Rate))),1)</f>
        <v>1</v>
      </c>
      <c r="IW78" s="20" t="n">
        <f aca="false">IF(AND(HU78=1,IE78&gt;0,Slot3_IsWG=1,AR78=1),MAX(0,(Slot3_Cost-AS78*(1+Slot3_Rate)^(Slot3_Age-D78))/IV78),0)</f>
        <v>0</v>
      </c>
      <c r="IX78" s="20" t="n">
        <f aca="false">IF(AND(HU78=1,IE78&gt;0,Slot3_IsWG=1,AR78=1),MIN(IE78,IW78),0)</f>
        <v>0</v>
      </c>
      <c r="IY78" s="20" t="n">
        <f aca="false">AS78+IX78</f>
        <v>0</v>
      </c>
      <c r="IZ78" s="20" t="n">
        <f aca="false">IF(AR78=1,MAX(0,(Slot3_Cost-IY78*(1+Slot3_Rate)^(Slot3_Age-D78))/IV78),0)</f>
        <v>0</v>
      </c>
      <c r="JA78" s="20" t="n">
        <f aca="false">IF(AR78=1,MAX(0,(Slot3_Cost-AS78*(1+Slot3_Rate)^(Slot3_Age-D78))/IV78),0)</f>
        <v>0</v>
      </c>
      <c r="JB78" s="20" t="n">
        <f aca="false">IF(AND(HU78=1,AR78=1),MIN(IU78,IZ78),0)</f>
        <v>0</v>
      </c>
      <c r="JC78" s="20" t="n">
        <f aca="false">IU78-JB78</f>
        <v>0</v>
      </c>
      <c r="JD78" s="20" t="n">
        <f aca="false">IF(BB78=1,IF(ABS((1+AS_Wage)/(1+Slot4_Rate)-1)&lt;0.000000000001,(Slot4_Age-D78)*(1+Slot4_Rate)^(Slot4_Age-D78),(1+Slot4_Rate)^(Slot4_Age-D78)*(1-((1+AS_Wage)/(1+Slot4_Rate))^(Slot4_Age-D78))/(1-(1+AS_Wage)/(1+Slot4_Rate))),1)</f>
        <v>1</v>
      </c>
      <c r="JE78" s="20" t="n">
        <f aca="false">IF(AND(HU78=1,IE78&gt;0,Slot4_IsWG=1,BB78=1),MAX(0,(Slot4_Cost-BC78*(1+Slot4_Rate)^(Slot4_Age-D78))/JD78),0)</f>
        <v>0</v>
      </c>
      <c r="JF78" s="20" t="n">
        <f aca="false">IF(AND(HU78=1,IE78&gt;0,Slot4_IsWG=1,BB78=1),MIN(IE78,JE78),0)</f>
        <v>0</v>
      </c>
      <c r="JG78" s="20" t="n">
        <f aca="false">BC78+JF78</f>
        <v>0</v>
      </c>
      <c r="JH78" s="20" t="n">
        <f aca="false">IF(BB78=1,MAX(0,(Slot4_Cost-JG78*(1+Slot4_Rate)^(Slot4_Age-D78))/JD78),0)</f>
        <v>0</v>
      </c>
      <c r="JI78" s="20" t="n">
        <f aca="false">IF(BB78=1,MAX(0,(Slot4_Cost-BC78*(1+Slot4_Rate)^(Slot4_Age-D78))/JD78),0)</f>
        <v>0</v>
      </c>
      <c r="JJ78" s="20" t="n">
        <f aca="false">IF(AND(HU78=1,BB78=1),MIN(JC78,JH78),0)</f>
        <v>0</v>
      </c>
      <c r="JK78" s="20" t="n">
        <f aca="false">JC78-JJ78</f>
        <v>0</v>
      </c>
      <c r="JL78" s="20" t="n">
        <f aca="false">IF(BL78=1,IF(ABS((1+AS_Wage)/(1+Slot5_Rate)-1)&lt;0.000000000001,(Slot5_Age-D78)*(1+Slot5_Rate)^(Slot5_Age-D78),(1+Slot5_Rate)^(Slot5_Age-D78)*(1-((1+AS_Wage)/(1+Slot5_Rate))^(Slot5_Age-D78))/(1-(1+AS_Wage)/(1+Slot5_Rate))),1)</f>
        <v>1</v>
      </c>
      <c r="JM78" s="20" t="n">
        <f aca="false">IF(AND(HU78=1,IE78&gt;0,Slot5_IsWG=1,BL78=1),MAX(0,(Slot5_Cost-BM78*(1+Slot5_Rate)^(Slot5_Age-D78))/JL78),0)</f>
        <v>0</v>
      </c>
      <c r="JN78" s="20" t="n">
        <f aca="false">IF(AND(HU78=1,IE78&gt;0,Slot5_IsWG=1,BL78=1),MIN(IE78,JM78),0)</f>
        <v>0</v>
      </c>
      <c r="JO78" s="20" t="n">
        <f aca="false">BM78+JN78</f>
        <v>0</v>
      </c>
      <c r="JP78" s="20" t="n">
        <f aca="false">IF(BL78=1,MAX(0,(Slot5_Cost-JO78*(1+Slot5_Rate)^(Slot5_Age-D78))/JL78),0)</f>
        <v>0</v>
      </c>
      <c r="JQ78" s="20" t="n">
        <f aca="false">IF(BL78=1,MAX(0,(Slot5_Cost-BM78*(1+Slot5_Rate)^(Slot5_Age-D78))/JL78),0)</f>
        <v>0</v>
      </c>
      <c r="JR78" s="20" t="n">
        <f aca="false">IF(AND(HU78=1,BL78=1),MIN(JK78,JP78),0)</f>
        <v>0</v>
      </c>
      <c r="JS78" s="20" t="n">
        <f aca="false">JK78-JR78</f>
        <v>0</v>
      </c>
      <c r="JT78" s="20" t="n">
        <f aca="false">IF(BV78=1,IF(ABS((1+AS_Wage)/(1+Slot6_Rate)-1)&lt;0.000000000001,(Slot6_Age-D78)*(1+Slot6_Rate)^(Slot6_Age-D78),(1+Slot6_Rate)^(Slot6_Age-D78)*(1-((1+AS_Wage)/(1+Slot6_Rate))^(Slot6_Age-D78))/(1-(1+AS_Wage)/(1+Slot6_Rate))),1)</f>
        <v>1</v>
      </c>
      <c r="JU78" s="20" t="n">
        <f aca="false">IF(AND(HU78=1,IE78&gt;0,Slot6_IsWG=1,BV78=1),MAX(0,(Slot6_Cost-BW78*(1+Slot6_Rate)^(Slot6_Age-D78))/JT78),0)</f>
        <v>0</v>
      </c>
      <c r="JV78" s="20" t="n">
        <f aca="false">IF(AND(HU78=1,IE78&gt;0,Slot6_IsWG=1,BV78=1),MIN(IE78,JU78),0)</f>
        <v>0</v>
      </c>
      <c r="JW78" s="20" t="n">
        <f aca="false">BW78+JV78</f>
        <v>0</v>
      </c>
      <c r="JX78" s="20" t="n">
        <f aca="false">IF(BV78=1,MAX(0,(Slot6_Cost-JW78*(1+Slot6_Rate)^(Slot6_Age-D78))/JT78),0)</f>
        <v>0</v>
      </c>
      <c r="JY78" s="20" t="n">
        <f aca="false">IF(BV78=1,MAX(0,(Slot6_Cost-BW78*(1+Slot6_Rate)^(Slot6_Age-D78))/JT78),0)</f>
        <v>0</v>
      </c>
      <c r="JZ78" s="20" t="n">
        <f aca="false">IF(AND(HU78=1,BV78=1),MIN(JS78,JX78),0)</f>
        <v>0</v>
      </c>
      <c r="KA78" s="20" t="n">
        <f aca="false">JS78-JZ78</f>
        <v>0</v>
      </c>
      <c r="KB78" s="20" t="n">
        <f aca="false">IF(CF78=1,IF(ABS((1+AS_Wage)/(1+Slot7_Rate)-1)&lt;0.000000000001,(Slot7_Age-D78)*(1+Slot7_Rate)^(Slot7_Age-D78),(1+Slot7_Rate)^(Slot7_Age-D78)*(1-((1+AS_Wage)/(1+Slot7_Rate))^(Slot7_Age-D78))/(1-(1+AS_Wage)/(1+Slot7_Rate))),1)</f>
        <v>1</v>
      </c>
      <c r="KC78" s="20" t="n">
        <f aca="false">IF(AND(HU78=1,IE78&gt;0,Slot7_IsWG=1,CF78=1),MAX(0,(Slot7_Cost-CG78*(1+Slot7_Rate)^(Slot7_Age-D78))/KB78),0)</f>
        <v>0</v>
      </c>
      <c r="KD78" s="20" t="n">
        <f aca="false">IF(AND(HU78=1,IE78&gt;0,Slot7_IsWG=1,CF78=1),MIN(IE78,KC78),0)</f>
        <v>0</v>
      </c>
      <c r="KE78" s="20" t="n">
        <f aca="false">CG78+KD78</f>
        <v>0</v>
      </c>
      <c r="KF78" s="20" t="n">
        <f aca="false">IF(CF78=1,MAX(0,(Slot7_Cost-KE78*(1+Slot7_Rate)^(Slot7_Age-D78))/KB78),0)</f>
        <v>0</v>
      </c>
      <c r="KG78" s="20" t="n">
        <f aca="false">IF(CF78=1,MAX(0,(Slot7_Cost-CG78*(1+Slot7_Rate)^(Slot7_Age-D78))/KB78),0)</f>
        <v>0</v>
      </c>
      <c r="KH78" s="20" t="n">
        <f aca="false">IF(AND(HU78=1,CF78=1),MIN(KA78,KF78),0)</f>
        <v>0</v>
      </c>
      <c r="KI78" s="20" t="n">
        <f aca="false">KA78-KH78</f>
        <v>0</v>
      </c>
      <c r="KJ78" s="20" t="n">
        <f aca="false">IF(CP78=1,IF(ABS((1+AS_Wage)/(1+Slot8_Rate)-1)&lt;0.000000000001,(Slot8_Age-D78)*(1+Slot8_Rate)^(Slot8_Age-D78),(1+Slot8_Rate)^(Slot8_Age-D78)*(1-((1+AS_Wage)/(1+Slot8_Rate))^(Slot8_Age-D78))/(1-(1+AS_Wage)/(1+Slot8_Rate))),1)</f>
        <v>1</v>
      </c>
      <c r="KK78" s="20" t="n">
        <f aca="false">IF(AND(HU78=1,IE78&gt;0,Slot8_IsWG=1,CP78=1),MAX(0,(Slot8_Cost-CQ78*(1+Slot8_Rate)^(Slot8_Age-D78))/KJ78),0)</f>
        <v>0</v>
      </c>
      <c r="KL78" s="20" t="n">
        <f aca="false">IF(AND(HU78=1,IE78&gt;0,Slot8_IsWG=1,CP78=1),MIN(IE78,KK78),0)</f>
        <v>0</v>
      </c>
      <c r="KM78" s="20" t="n">
        <f aca="false">CQ78+KL78</f>
        <v>0</v>
      </c>
      <c r="KN78" s="20" t="n">
        <f aca="false">IF(CP78=1,MAX(0,(Slot8_Cost-KM78*(1+Slot8_Rate)^(Slot8_Age-D78))/KJ78),0)</f>
        <v>0</v>
      </c>
      <c r="KO78" s="20" t="n">
        <f aca="false">IF(CP78=1,MAX(0,(Slot8_Cost-CQ78*(1+Slot8_Rate)^(Slot8_Age-D78))/KJ78),0)</f>
        <v>0</v>
      </c>
      <c r="KP78" s="20" t="n">
        <f aca="false">IF(AND(HU78=1,CP78=1),MIN(KI78,KN78),0)</f>
        <v>0</v>
      </c>
      <c r="KQ78" s="20" t="n">
        <f aca="false">KI78-KP78</f>
        <v>0</v>
      </c>
      <c r="KR78" s="20" t="n">
        <f aca="false">IF(CZ78=1,IF(ABS((1+AS_Wage)/(1+Slot9_Rate)-1)&lt;0.000000000001,(Slot9_Age-D78)*(1+Slot9_Rate)^(Slot9_Age-D78),(1+Slot9_Rate)^(Slot9_Age-D78)*(1-((1+AS_Wage)/(1+Slot9_Rate))^(Slot9_Age-D78))/(1-(1+AS_Wage)/(1+Slot9_Rate))),1)</f>
        <v>1</v>
      </c>
      <c r="KS78" s="20" t="n">
        <f aca="false">IF(AND(HU78=1,IE78&gt;0,Slot9_IsWG=1,CZ78=1),MAX(0,(Slot9_Cost-DA78*(1+Slot9_Rate)^(Slot9_Age-D78))/KR78),0)</f>
        <v>0</v>
      </c>
      <c r="KT78" s="20" t="n">
        <f aca="false">IF(AND(HU78=1,IE78&gt;0,Slot9_IsWG=1,CZ78=1),MIN(IE78,KS78),0)</f>
        <v>0</v>
      </c>
      <c r="KU78" s="20" t="n">
        <f aca="false">DA78+KT78</f>
        <v>0</v>
      </c>
      <c r="KV78" s="20" t="n">
        <f aca="false">IF(CZ78=1,MAX(0,(Slot9_Cost-KU78*(1+Slot9_Rate)^(Slot9_Age-D78))/KR78),0)</f>
        <v>0</v>
      </c>
      <c r="KW78" s="20" t="n">
        <f aca="false">IF(CZ78=1,MAX(0,(Slot9_Cost-DA78*(1+Slot9_Rate)^(Slot9_Age-D78))/KR78),0)</f>
        <v>0</v>
      </c>
      <c r="KX78" s="20" t="n">
        <f aca="false">IF(AND(HU78=1,CZ78=1),MIN(KQ78,KV78),0)</f>
        <v>0</v>
      </c>
      <c r="KY78" s="20" t="n">
        <f aca="false">KQ78-KX78</f>
        <v>0</v>
      </c>
      <c r="KZ78" s="20" t="n">
        <f aca="false">IF(DJ78=1,IF(ABS((1+AS_Wage)/(1+Slot10_Rate)-1)&lt;0.000000000001,(Slot10_Age-D78)*(1+Slot10_Rate)^(Slot10_Age-D78),(1+Slot10_Rate)^(Slot10_Age-D78)*(1-((1+AS_Wage)/(1+Slot10_Rate))^(Slot10_Age-D78))/(1-(1+AS_Wage)/(1+Slot10_Rate))),1)</f>
        <v>1</v>
      </c>
      <c r="LA78" s="20" t="n">
        <f aca="false">IF(AND(HU78=1,IE78&gt;0,Slot10_IsWG=1,DJ78=1),MAX(0,(Slot10_Cost-DK78*(1+Slot10_Rate)^(Slot10_Age-D78))/KZ78),0)</f>
        <v>0</v>
      </c>
      <c r="LB78" s="20" t="n">
        <f aca="false">IF(AND(HU78=1,IE78&gt;0,Slot10_IsWG=1,DJ78=1),MIN(IE78,LA78),0)</f>
        <v>0</v>
      </c>
      <c r="LC78" s="20" t="n">
        <f aca="false">DK78+LB78</f>
        <v>0</v>
      </c>
      <c r="LD78" s="20" t="n">
        <f aca="false">IF(DJ78=1,MAX(0,(Slot10_Cost-LC78*(1+Slot10_Rate)^(Slot10_Age-D78))/KZ78),0)</f>
        <v>0</v>
      </c>
      <c r="LE78" s="20" t="n">
        <f aca="false">IF(DJ78=1,MAX(0,(Slot10_Cost-DK78*(1+Slot10_Rate)^(Slot10_Age-D78))/KZ78),0)</f>
        <v>0</v>
      </c>
      <c r="LF78" s="20" t="n">
        <f aca="false">IF(AND(HU78=1,DJ78=1),MIN(KY78,LD78),0)</f>
        <v>0</v>
      </c>
      <c r="LG78" s="20" t="n">
        <f aca="false">KY78-LF78</f>
        <v>0</v>
      </c>
      <c r="LH78" s="20" t="n">
        <f aca="false">IF(DT78=1,IF(ABS((1+AS_Wage)/(1+Slot11_Rate)-1)&lt;0.000000000001,(Slot11_Age-D78)*(1+Slot11_Rate)^(Slot11_Age-D78),(1+Slot11_Rate)^(Slot11_Age-D78)*(1-((1+AS_Wage)/(1+Slot11_Rate))^(Slot11_Age-D78))/(1-(1+AS_Wage)/(1+Slot11_Rate))),1)</f>
        <v>1</v>
      </c>
      <c r="LI78" s="20" t="n">
        <f aca="false">IF(AND(HU78=1,IE78&gt;0,Slot11_IsWG=1,DT78=1),MAX(0,(Slot11_Cost-DU78*(1+Slot11_Rate)^(Slot11_Age-D78))/LH78),0)</f>
        <v>0</v>
      </c>
      <c r="LJ78" s="20" t="n">
        <f aca="false">IF(AND(HU78=1,IE78&gt;0,Slot11_IsWG=1,DT78=1),MIN(IE78,LI78),0)</f>
        <v>0</v>
      </c>
      <c r="LK78" s="20" t="n">
        <f aca="false">DU78+LJ78</f>
        <v>0</v>
      </c>
      <c r="LL78" s="20" t="n">
        <f aca="false">IF(DT78=1,MAX(0,(Slot11_Cost-LK78*(1+Slot11_Rate)^(Slot11_Age-D78))/LH78),0)</f>
        <v>0</v>
      </c>
      <c r="LM78" s="20" t="n">
        <f aca="false">IF(DT78=1,MAX(0,(Slot11_Cost-DU78*(1+Slot11_Rate)^(Slot11_Age-D78))/LH78),0)</f>
        <v>0</v>
      </c>
      <c r="LN78" s="20" t="n">
        <f aca="false">IF(AND(HU78=1,DT78=1),MIN(LG78,LL78),0)</f>
        <v>0</v>
      </c>
      <c r="LO78" s="20" t="n">
        <f aca="false">LG78-LN78</f>
        <v>0</v>
      </c>
      <c r="LP78" s="20" t="n">
        <f aca="false">IF(ED78=1,IF(ABS((1+AS_Wage)/(1+Slot12_Rate)-1)&lt;0.000000000001,(Slot12_Age-D78)*(1+Slot12_Rate)^(Slot12_Age-D78),(1+Slot12_Rate)^(Slot12_Age-D78)*(1-((1+AS_Wage)/(1+Slot12_Rate))^(Slot12_Age-D78))/(1-(1+AS_Wage)/(1+Slot12_Rate))),1)</f>
        <v>1</v>
      </c>
      <c r="LQ78" s="20" t="n">
        <f aca="false">IF(AND(HU78=1,IE78&gt;0,Slot12_IsWG=1,ED78=1),MAX(0,(Slot12_Cost-EE78*(1+Slot12_Rate)^(Slot12_Age-D78))/LP78),0)</f>
        <v>0</v>
      </c>
      <c r="LR78" s="20" t="n">
        <f aca="false">IF(AND(HU78=1,IE78&gt;0,Slot12_IsWG=1,ED78=1),MIN(IE78,LQ78),0)</f>
        <v>0</v>
      </c>
      <c r="LS78" s="20" t="n">
        <f aca="false">EE78+LR78</f>
        <v>0</v>
      </c>
      <c r="LT78" s="20" t="n">
        <f aca="false">IF(ED78=1,MAX(0,(Slot12_Cost-LS78*(1+Slot12_Rate)^(Slot12_Age-D78))/LP78),0)</f>
        <v>0</v>
      </c>
      <c r="LU78" s="20" t="n">
        <f aca="false">IF(ED78=1,MAX(0,(Slot12_Cost-EE78*(1+Slot12_Rate)^(Slot12_Age-D78))/LP78),0)</f>
        <v>0</v>
      </c>
      <c r="LV78" s="20" t="n">
        <f aca="false">IF(AND(HU78=1,ED78=1),MIN(LO78,LT78),0)</f>
        <v>0</v>
      </c>
      <c r="LW78" s="20" t="n">
        <f aca="false">LO78-LV78</f>
        <v>0</v>
      </c>
      <c r="LX78" s="20" t="n">
        <f aca="false">IF(EN78=1,IF(ABS((1+AS_Wage)/(1+Slot13_Rate)-1)&lt;0.000000000001,(Slot13_Age-D78)*(1+Slot13_Rate)^(Slot13_Age-D78),(1+Slot13_Rate)^(Slot13_Age-D78)*(1-((1+AS_Wage)/(1+Slot13_Rate))^(Slot13_Age-D78))/(1-(1+AS_Wage)/(1+Slot13_Rate))),1)</f>
        <v>1</v>
      </c>
      <c r="LY78" s="20" t="n">
        <f aca="false">IF(AND(HU78=1,IE78&gt;0,Slot13_IsWG=1,EN78=1),MAX(0,(Slot13_Cost-EO78*(1+Slot13_Rate)^(Slot13_Age-D78))/LX78),0)</f>
        <v>0</v>
      </c>
      <c r="LZ78" s="20" t="n">
        <f aca="false">IF(AND(HU78=1,IE78&gt;0,Slot13_IsWG=1,EN78=1),MIN(IE78,LY78),0)</f>
        <v>0</v>
      </c>
      <c r="MA78" s="20" t="n">
        <f aca="false">EO78+LZ78</f>
        <v>0</v>
      </c>
      <c r="MB78" s="20" t="n">
        <f aca="false">IF(EN78=1,MAX(0,(Slot13_Cost-MA78*(1+Slot13_Rate)^(Slot13_Age-D78))/LX78),0)</f>
        <v>0</v>
      </c>
      <c r="MC78" s="20" t="n">
        <f aca="false">IF(EN78=1,MAX(0,(Slot13_Cost-EO78*(1+Slot13_Rate)^(Slot13_Age-D78))/LX78),0)</f>
        <v>0</v>
      </c>
      <c r="MD78" s="20" t="n">
        <f aca="false">IF(AND(HU78=1,EN78=1),MIN(LW78,MB78),0)</f>
        <v>0</v>
      </c>
      <c r="ME78" s="20" t="n">
        <f aca="false">LW78-MD78</f>
        <v>0</v>
      </c>
      <c r="MF78" s="20" t="n">
        <f aca="false">IF(EX78=1,IF(ABS((1+AS_Wage)/(1+Slot14_Rate)-1)&lt;0.000000000001,(Slot14_Age-D78)*(1+Slot14_Rate)^(Slot14_Age-D78),(1+Slot14_Rate)^(Slot14_Age-D78)*(1-((1+AS_Wage)/(1+Slot14_Rate))^(Slot14_Age-D78))/(1-(1+AS_Wage)/(1+Slot14_Rate))),1)</f>
        <v>1</v>
      </c>
      <c r="MG78" s="20" t="n">
        <f aca="false">IF(AND(HU78=1,IE78&gt;0,Slot14_IsWG=1,EX78=1),MAX(0,(Slot14_Cost-EY78*(1+Slot14_Rate)^(Slot14_Age-D78))/MF78),0)</f>
        <v>0</v>
      </c>
      <c r="MH78" s="20" t="n">
        <f aca="false">IF(AND(HU78=1,IE78&gt;0,Slot14_IsWG=1,EX78=1),MIN(IE78,MG78),0)</f>
        <v>0</v>
      </c>
      <c r="MI78" s="20" t="n">
        <f aca="false">EY78+MH78</f>
        <v>0</v>
      </c>
      <c r="MJ78" s="20" t="n">
        <f aca="false">IF(EX78=1,MAX(0,(Slot14_Cost-MI78*(1+Slot14_Rate)^(Slot14_Age-D78))/MF78),0)</f>
        <v>0</v>
      </c>
      <c r="MK78" s="20" t="n">
        <f aca="false">IF(EX78=1,MAX(0,(Slot14_Cost-EY78*(1+Slot14_Rate)^(Slot14_Age-D78))/MF78),0)</f>
        <v>0</v>
      </c>
      <c r="ML78" s="20" t="n">
        <f aca="false">IF(AND(HU78=1,EX78=1),MIN(ME78,MJ78),0)</f>
        <v>0</v>
      </c>
      <c r="MM78" s="20" t="n">
        <f aca="false">ME78-ML78</f>
        <v>0</v>
      </c>
      <c r="MN78" s="20" t="n">
        <f aca="false">IF(FH78=1,IF(ABS((1+AS_Wage)/(1+Slot15_Rate)-1)&lt;0.000000000001,(Slot15_Age-D78)*(1+Slot15_Rate)^(Slot15_Age-D78),(1+Slot15_Rate)^(Slot15_Age-D78)*(1-((1+AS_Wage)/(1+Slot15_Rate))^(Slot15_Age-D78))/(1-(1+AS_Wage)/(1+Slot15_Rate))),1)</f>
        <v>1</v>
      </c>
      <c r="MO78" s="20" t="n">
        <f aca="false">IF(AND(HU78=1,IE78&gt;0,Slot15_IsWG=1,FH78=1),MAX(0,(Slot15_Cost-FI78*(1+Slot15_Rate)^(Slot15_Age-D78))/MN78),0)</f>
        <v>0</v>
      </c>
      <c r="MP78" s="20" t="n">
        <f aca="false">IF(AND(HU78=1,IE78&gt;0,Slot15_IsWG=1,FH78=1),MIN(IE78,MO78),0)</f>
        <v>0</v>
      </c>
      <c r="MQ78" s="20" t="n">
        <f aca="false">FI78+MP78</f>
        <v>0</v>
      </c>
      <c r="MR78" s="20" t="n">
        <f aca="false">IF(FH78=1,MAX(0,(Slot15_Cost-MQ78*(1+Slot15_Rate)^(Slot15_Age-D78))/MN78),0)</f>
        <v>0</v>
      </c>
      <c r="MS78" s="20" t="n">
        <f aca="false">IF(FH78=1,MAX(0,(Slot15_Cost-FI78*(1+Slot15_Rate)^(Slot15_Age-D78))/MN78),0)</f>
        <v>0</v>
      </c>
      <c r="MT78" s="20" t="n">
        <f aca="false">IF(AND(HU78=1,FH78=1),MIN(MM78,MR78),0)</f>
        <v>0</v>
      </c>
      <c r="MU78" s="20" t="n">
        <f aca="false">MM78-MT78</f>
        <v>0</v>
      </c>
      <c r="MV78" s="20" t="n">
        <f aca="false">IF(FR78=1,IF(ABS((1+AS_Wage)/(1+Slot16_Rate)-1)&lt;0.000000000001,(Slot16_Age-D78)*(1+Slot16_Rate)^(Slot16_Age-D78),(1+Slot16_Rate)^(Slot16_Age-D78)*(1-((1+AS_Wage)/(1+Slot16_Rate))^(Slot16_Age-D78))/(1-(1+AS_Wage)/(1+Slot16_Rate))),1)</f>
        <v>1</v>
      </c>
      <c r="MW78" s="20" t="n">
        <f aca="false">IF(AND(HU78=1,IE78&gt;0,Slot16_IsWG=1,FR78=1),MAX(0,(Slot16_Cost-FS78*(1+Slot16_Rate)^(Slot16_Age-D78))/MV78),0)</f>
        <v>0</v>
      </c>
      <c r="MX78" s="20" t="n">
        <f aca="false">IF(AND(HU78=1,IE78&gt;0,Slot16_IsWG=1,FR78=1),MIN(IE78,MW78),0)</f>
        <v>0</v>
      </c>
      <c r="MY78" s="20" t="n">
        <f aca="false">FS78+MX78</f>
        <v>0</v>
      </c>
      <c r="MZ78" s="20" t="n">
        <f aca="false">IF(FR78=1,MAX(0,(Slot16_Cost-MY78*(1+Slot16_Rate)^(Slot16_Age-D78))/MV78),0)</f>
        <v>0</v>
      </c>
      <c r="NA78" s="20" t="n">
        <f aca="false">IF(FR78=1,MAX(0,(Slot16_Cost-FS78*(1+Slot16_Rate)^(Slot16_Age-D78))/MV78),0)</f>
        <v>0</v>
      </c>
      <c r="NB78" s="20" t="n">
        <f aca="false">IF(AND(HU78=1,FR78=1),MIN(MU78,MZ78),0)</f>
        <v>0</v>
      </c>
      <c r="NC78" s="20" t="n">
        <f aca="false">MU78-NB78</f>
        <v>0</v>
      </c>
      <c r="ND78" s="20" t="n">
        <f aca="false">IF(GB78=1,IF(ABS((1+AS_Wage)/(1+Slot17_Rate)-1)&lt;0.000000000001,(Slot17_Age-D78)*(1+Slot17_Rate)^(Slot17_Age-D78),(1+Slot17_Rate)^(Slot17_Age-D78)*(1-((1+AS_Wage)/(1+Slot17_Rate))^(Slot17_Age-D78))/(1-(1+AS_Wage)/(1+Slot17_Rate))),1)</f>
        <v>1</v>
      </c>
      <c r="NE78" s="20" t="n">
        <f aca="false">IF(AND(HU78=1,IE78&gt;0,Slot17_IsWG=1,GB78=1),MAX(0,(Slot17_Cost-GC78*(1+Slot17_Rate)^(Slot17_Age-D78))/ND78),0)</f>
        <v>0</v>
      </c>
      <c r="NF78" s="20" t="n">
        <f aca="false">IF(AND(HU78=1,IE78&gt;0,Slot17_IsWG=1,GB78=1),MIN(IE78,NE78),0)</f>
        <v>0</v>
      </c>
      <c r="NG78" s="20" t="n">
        <f aca="false">GC78+NF78</f>
        <v>0</v>
      </c>
      <c r="NH78" s="20" t="n">
        <f aca="false">IF(GB78=1,MAX(0,(Slot17_Cost-NG78*(1+Slot17_Rate)^(Slot17_Age-D78))/ND78),0)</f>
        <v>0</v>
      </c>
      <c r="NI78" s="20" t="n">
        <f aca="false">IF(GB78=1,MAX(0,(Slot17_Cost-GC78*(1+Slot17_Rate)^(Slot17_Age-D78))/ND78),0)</f>
        <v>0</v>
      </c>
      <c r="NJ78" s="20" t="n">
        <f aca="false">IF(AND(HU78=1,GB78=1),MIN(NC78,NH78),0)</f>
        <v>0</v>
      </c>
      <c r="NK78" s="20" t="n">
        <f aca="false">NC78-NJ78</f>
        <v>0</v>
      </c>
      <c r="NL78" s="20" t="n">
        <f aca="false">IF(GL78=1,IF(ABS((1+AS_Wage)/(1+Slot18_Rate)-1)&lt;0.000000000001,(Slot18_Age-D78)*(1+Slot18_Rate)^(Slot18_Age-D78),(1+Slot18_Rate)^(Slot18_Age-D78)*(1-((1+AS_Wage)/(1+Slot18_Rate))^(Slot18_Age-D78))/(1-(1+AS_Wage)/(1+Slot18_Rate))),1)</f>
        <v>1</v>
      </c>
      <c r="NM78" s="20" t="n">
        <f aca="false">IF(AND(HU78=1,IE78&gt;0,Slot18_IsWG=1,GL78=1),MAX(0,(Slot18_Cost-GM78*(1+Slot18_Rate)^(Slot18_Age-D78))/NL78),0)</f>
        <v>0</v>
      </c>
      <c r="NN78" s="20" t="n">
        <f aca="false">IF(AND(HU78=1,IE78&gt;0,Slot18_IsWG=1,GL78=1),MIN(IE78,NM78),0)</f>
        <v>0</v>
      </c>
      <c r="NO78" s="20" t="n">
        <f aca="false">GM78+NN78</f>
        <v>0</v>
      </c>
      <c r="NP78" s="20" t="n">
        <f aca="false">IF(GL78=1,MAX(0,(Slot18_Cost-NO78*(1+Slot18_Rate)^(Slot18_Age-D78))/NL78),0)</f>
        <v>0</v>
      </c>
      <c r="NQ78" s="20" t="n">
        <f aca="false">IF(GL78=1,MAX(0,(Slot18_Cost-GM78*(1+Slot18_Rate)^(Slot18_Age-D78))/NL78),0)</f>
        <v>0</v>
      </c>
      <c r="NR78" s="20" t="n">
        <f aca="false">IF(AND(HU78=1,GL78=1),MIN(NK78,NP78),0)</f>
        <v>0</v>
      </c>
      <c r="NS78" s="20" t="n">
        <f aca="false">NK78-NR78</f>
        <v>0</v>
      </c>
      <c r="NT78" s="20" t="n">
        <f aca="false">IF(GV78=1,IF(ABS((1+AS_Wage)/(1+Slot19_Rate)-1)&lt;0.000000000001,(Slot19_Age-D78)*(1+Slot19_Rate)^(Slot19_Age-D78),(1+Slot19_Rate)^(Slot19_Age-D78)*(1-((1+AS_Wage)/(1+Slot19_Rate))^(Slot19_Age-D78))/(1-(1+AS_Wage)/(1+Slot19_Rate))),1)</f>
        <v>1</v>
      </c>
      <c r="NU78" s="20" t="n">
        <f aca="false">IF(AND(HU78=1,IE78&gt;0,Slot19_IsWG=1,GV78=1),MAX(0,(Slot19_Cost-GW78*(1+Slot19_Rate)^(Slot19_Age-D78))/NT78),0)</f>
        <v>0</v>
      </c>
      <c r="NV78" s="20" t="n">
        <f aca="false">IF(AND(HU78=1,IE78&gt;0,Slot19_IsWG=1,GV78=1),MIN(IE78,NU78),0)</f>
        <v>0</v>
      </c>
      <c r="NW78" s="20" t="n">
        <f aca="false">GW78+NV78</f>
        <v>0</v>
      </c>
      <c r="NX78" s="20" t="n">
        <f aca="false">IF(GV78=1,MAX(0,(Slot19_Cost-NW78*(1+Slot19_Rate)^(Slot19_Age-D78))/NT78),0)</f>
        <v>0</v>
      </c>
      <c r="NY78" s="20" t="n">
        <f aca="false">IF(GV78=1,MAX(0,(Slot19_Cost-GW78*(1+Slot19_Rate)^(Slot19_Age-D78))/NT78),0)</f>
        <v>0</v>
      </c>
      <c r="NZ78" s="20" t="n">
        <f aca="false">IF(AND(HU78=1,GV78=1),MIN(NS78,NX78),0)</f>
        <v>0</v>
      </c>
      <c r="OA78" s="20" t="n">
        <f aca="false">NS78-NZ78</f>
        <v>0</v>
      </c>
      <c r="OB78" s="20" t="n">
        <f aca="false">IF(HF78=1,IF(ABS((1+AS_Wage)/(1+Slot20_Rate)-1)&lt;0.000000000001,(Slot20_Age-D78)*(1+Slot20_Rate)^(Slot20_Age-D78),(1+Slot20_Rate)^(Slot20_Age-D78)*(1-((1+AS_Wage)/(1+Slot20_Rate))^(Slot20_Age-D78))/(1-(1+AS_Wage)/(1+Slot20_Rate))),1)</f>
        <v>1</v>
      </c>
      <c r="OC78" s="20" t="n">
        <f aca="false">IF(AND(HU78=1,IE78&gt;0,Slot20_IsWG=1,HF78=1),MAX(0,(Slot20_Cost-HG78*(1+Slot20_Rate)^(Slot20_Age-D78))/OB78),0)</f>
        <v>0</v>
      </c>
      <c r="OD78" s="20" t="n">
        <f aca="false">IF(AND(HU78=1,IE78&gt;0,Slot20_IsWG=1,HF78=1),MIN(IE78,OC78),0)</f>
        <v>0</v>
      </c>
      <c r="OE78" s="20" t="n">
        <f aca="false">HG78+OD78</f>
        <v>0</v>
      </c>
      <c r="OF78" s="20" t="n">
        <f aca="false">IF(HF78=1,MAX(0,(Slot20_Cost-OE78*(1+Slot20_Rate)^(Slot20_Age-D78))/OB78),0)</f>
        <v>0</v>
      </c>
      <c r="OG78" s="20" t="n">
        <f aca="false">IF(HF78=1,MAX(0,(Slot20_Cost-HG78*(1+Slot20_Rate)^(Slot20_Age-D78))/OB78),0)</f>
        <v>0</v>
      </c>
      <c r="OH78" s="20" t="n">
        <f aca="false">IF(AND(HU78=1,HF78=1),MIN(OA78,OF78),0)</f>
        <v>0</v>
      </c>
      <c r="OI78" s="20" t="n">
        <f aca="false">OA78-OH78</f>
        <v>0</v>
      </c>
      <c r="OJ78" s="20" t="n">
        <f aca="false">IE78-(IH78+IP78+IX78+JF78+JN78+JV78+KD78+KL78+KT78+LB78+LJ78+LR78+LZ78+MH78+MP78+MX78+NF78+NN78+NV78+OD78)</f>
        <v>0</v>
      </c>
      <c r="OK78" s="20" t="n">
        <f aca="false">IF(HU78=1,HS78-ID78-IE78,0)</f>
        <v>0</v>
      </c>
      <c r="OL78" s="20" t="n">
        <f aca="false">IF(HU78=0,-HS78,0)</f>
        <v>77053.5689334511</v>
      </c>
      <c r="OM78" s="20" t="n">
        <f aca="false">MIN(OL78,HK78)</f>
        <v>0</v>
      </c>
      <c r="ON78" s="20" t="n">
        <f aca="false">OL78-OM78</f>
        <v>77053.5689334511</v>
      </c>
      <c r="OO78" s="20" t="n">
        <f aca="false">MIN(ON78,HL78)</f>
        <v>0</v>
      </c>
      <c r="OP78" s="20" t="n">
        <f aca="false">ON78-OO78</f>
        <v>77053.5689334511</v>
      </c>
      <c r="OQ78" s="20" t="n">
        <f aca="false">IF(AND(HU78=0,HF78=1,OP78&gt;0),MIN(OP78,HG78),0)</f>
        <v>0</v>
      </c>
      <c r="OR78" s="20" t="n">
        <f aca="false">OP78-OQ78</f>
        <v>77053.5689334511</v>
      </c>
      <c r="OS78" s="20" t="n">
        <f aca="false">IF(AND(HU78=0,GV78=1,OR78&gt;0),MIN(OR78,GW78),0)</f>
        <v>0</v>
      </c>
      <c r="OT78" s="20" t="n">
        <f aca="false">OR78-OS78</f>
        <v>77053.5689334511</v>
      </c>
      <c r="OU78" s="20" t="n">
        <f aca="false">IF(AND(HU78=0,GL78=1,OT78&gt;0),MIN(OT78,GM78),0)</f>
        <v>0</v>
      </c>
      <c r="OV78" s="20" t="n">
        <f aca="false">OT78-OU78</f>
        <v>77053.5689334511</v>
      </c>
      <c r="OW78" s="20" t="n">
        <f aca="false">IF(AND(HU78=0,GB78=1,OV78&gt;0),MIN(OV78,GC78),0)</f>
        <v>0</v>
      </c>
      <c r="OX78" s="20" t="n">
        <f aca="false">OV78-OW78</f>
        <v>77053.5689334511</v>
      </c>
      <c r="OY78" s="20" t="n">
        <f aca="false">IF(AND(HU78=0,FR78=1,OX78&gt;0),MIN(OX78,FS78),0)</f>
        <v>0</v>
      </c>
      <c r="OZ78" s="20" t="n">
        <f aca="false">OX78-OY78</f>
        <v>77053.5689334511</v>
      </c>
      <c r="PA78" s="20" t="n">
        <f aca="false">IF(AND(HU78=0,FH78=1,OZ78&gt;0),MIN(OZ78,FI78),0)</f>
        <v>0</v>
      </c>
      <c r="PB78" s="20" t="n">
        <f aca="false">OZ78-PA78</f>
        <v>77053.5689334511</v>
      </c>
      <c r="PC78" s="20" t="n">
        <f aca="false">IF(AND(HU78=0,EX78=1,PB78&gt;0),MIN(PB78,EY78),0)</f>
        <v>0</v>
      </c>
      <c r="PD78" s="20" t="n">
        <f aca="false">PB78-PC78</f>
        <v>77053.5689334511</v>
      </c>
      <c r="PE78" s="20" t="n">
        <f aca="false">IF(AND(HU78=0,EN78=1,PD78&gt;0),MIN(PD78,EO78),0)</f>
        <v>0</v>
      </c>
      <c r="PF78" s="20" t="n">
        <f aca="false">PD78-PE78</f>
        <v>77053.5689334511</v>
      </c>
      <c r="PG78" s="20" t="n">
        <f aca="false">IF(AND(HU78=0,ED78=1,PF78&gt;0),MIN(PF78,EE78),0)</f>
        <v>0</v>
      </c>
      <c r="PH78" s="20" t="n">
        <f aca="false">PF78-PG78</f>
        <v>77053.5689334511</v>
      </c>
      <c r="PI78" s="20" t="n">
        <f aca="false">IF(AND(HU78=0,DT78=1,PH78&gt;0),MIN(PH78,DU78),0)</f>
        <v>0</v>
      </c>
      <c r="PJ78" s="20" t="n">
        <f aca="false">PH78-PI78</f>
        <v>77053.5689334511</v>
      </c>
      <c r="PK78" s="20" t="n">
        <f aca="false">IF(AND(HU78=0,DJ78=1,PJ78&gt;0),MIN(PJ78,DK78),0)</f>
        <v>0</v>
      </c>
      <c r="PL78" s="20" t="n">
        <f aca="false">PJ78-PK78</f>
        <v>77053.5689334511</v>
      </c>
      <c r="PM78" s="20" t="n">
        <f aca="false">IF(AND(HU78=0,CZ78=1,PL78&gt;0),MIN(PL78,DA78),0)</f>
        <v>0</v>
      </c>
      <c r="PN78" s="20" t="n">
        <f aca="false">PL78-PM78</f>
        <v>77053.5689334511</v>
      </c>
      <c r="PO78" s="20" t="n">
        <f aca="false">IF(AND(HU78=0,CP78=1,PN78&gt;0),MIN(PN78,CQ78),0)</f>
        <v>0</v>
      </c>
      <c r="PP78" s="20" t="n">
        <f aca="false">PN78-PO78</f>
        <v>77053.5689334511</v>
      </c>
      <c r="PQ78" s="20" t="n">
        <f aca="false">IF(AND(HU78=0,CF78=1,PP78&gt;0),MIN(PP78,CG78),0)</f>
        <v>0</v>
      </c>
      <c r="PR78" s="20" t="n">
        <f aca="false">PP78-PQ78</f>
        <v>77053.5689334511</v>
      </c>
      <c r="PS78" s="20" t="n">
        <f aca="false">IF(AND(HU78=0,BV78=1,PR78&gt;0),MIN(PR78,BW78),0)</f>
        <v>0</v>
      </c>
      <c r="PT78" s="20" t="n">
        <f aca="false">PR78-PS78</f>
        <v>77053.5689334511</v>
      </c>
      <c r="PU78" s="20" t="n">
        <f aca="false">IF(AND(HU78=0,BL78=1,PT78&gt;0),MIN(PT78,BM78),0)</f>
        <v>0</v>
      </c>
      <c r="PV78" s="20" t="n">
        <f aca="false">PT78-PU78</f>
        <v>77053.5689334511</v>
      </c>
      <c r="PW78" s="20" t="n">
        <f aca="false">IF(AND(HU78=0,BB78=1,PV78&gt;0),MIN(PV78,BC78),0)</f>
        <v>0</v>
      </c>
      <c r="PX78" s="20" t="n">
        <f aca="false">PV78-PW78</f>
        <v>77053.5689334511</v>
      </c>
      <c r="PY78" s="20" t="n">
        <f aca="false">IF(AND(HU78=0,AR78=1,PX78&gt;0),MIN(PX78,AS78),0)</f>
        <v>0</v>
      </c>
      <c r="PZ78" s="20" t="n">
        <f aca="false">PX78-PY78</f>
        <v>77053.5689334511</v>
      </c>
      <c r="QA78" s="20" t="n">
        <f aca="false">IF(AND(HU78=0,AH78=1,PZ78&gt;0),MIN(PZ78,AI78),0)</f>
        <v>0</v>
      </c>
      <c r="QB78" s="20" t="n">
        <f aca="false">PZ78-QA78</f>
        <v>77053.5689334511</v>
      </c>
      <c r="QC78" s="20" t="n">
        <f aca="false">IF(AND(HU78=0,W78=1,QB78&gt;0),MIN(QB78,X78),0)</f>
        <v>0</v>
      </c>
      <c r="QD78" s="20" t="n">
        <f aca="false">QB78-QC78</f>
        <v>77053.5689334511</v>
      </c>
      <c r="QE78" s="20" t="n">
        <f aca="false">IF(HU78=0,QD78,0)</f>
        <v>77053.5689334511</v>
      </c>
      <c r="QF78" s="20" t="n">
        <f aca="false">OM78+OO78+QC78+QA78+PY78+PW78+PU78+PS78+PQ78+PO78+PM78+PK78+PI78+PG78+PE78+PC78+PA78+OY78+OW78+OU78+OS78+OQ78</f>
        <v>0</v>
      </c>
      <c r="QG78" s="20" t="n">
        <f aca="false">IF(HU78=1,HK78+OJ78+OI78+IF(G78=1,0,OK78),HK78-OM78)</f>
        <v>0</v>
      </c>
      <c r="QH78" s="20" t="n">
        <f aca="false">HL78-OO78</f>
        <v>0</v>
      </c>
      <c r="QI78" s="20" t="n">
        <f aca="false">IF(HU78=1,IF(G78=1,ID78+IE78,HS78),0)</f>
        <v>0</v>
      </c>
      <c r="QJ78" s="20" t="n">
        <f aca="false">IF(HU78=1,IF(G78=1,HS78-ID78-IE78,0),0)</f>
        <v>0</v>
      </c>
      <c r="QK78" s="20" t="n">
        <f aca="false">QG78*(1+GR)</f>
        <v>0</v>
      </c>
      <c r="QL78" s="20" t="n">
        <f aca="false">QH78*(1+AS_Cash)</f>
        <v>0</v>
      </c>
      <c r="QM78" s="20" t="n">
        <f aca="false">IF(W78=1,IF(HU78=1,II78+IL78,X78-QC78)*(1+Slot1_Rate),0)</f>
        <v>0</v>
      </c>
      <c r="QN78" s="20" t="n">
        <f aca="false">IF(AND(HU78=1,W78=1),(IH78+IL78)/F78,0)</f>
        <v>0</v>
      </c>
      <c r="QO78" s="20" t="n">
        <f aca="false">IF(B78=0,IH78+IL78,0)</f>
        <v>0</v>
      </c>
      <c r="QP78" s="20" t="n">
        <f aca="false">IF(B78=0,IF(HU78=1,IJ78,IK78),0)</f>
        <v>0</v>
      </c>
      <c r="QQ78" s="20" t="n">
        <f aca="false">IF(AH78=1,IF(HU78=1,IQ78+IT78,AI78-QA78)*(1+Slot2_Rate),0)</f>
        <v>0</v>
      </c>
      <c r="QR78" s="20" t="n">
        <f aca="false">IF(AND(HU78=1,AH78=1),(IP78+IT78)/F78,0)</f>
        <v>0</v>
      </c>
      <c r="QS78" s="20" t="n">
        <f aca="false">IF(B78=0,IP78+IT78,0)</f>
        <v>0</v>
      </c>
      <c r="QT78" s="20" t="n">
        <f aca="false">IF(B78=0,IF(HU78=1,IR78,IS78),0)</f>
        <v>0</v>
      </c>
      <c r="QU78" s="20" t="n">
        <f aca="false">IF(AR78=1,IF(HU78=1,IY78+JB78,AS78-PY78)*(1+Slot3_Rate),0)</f>
        <v>0</v>
      </c>
      <c r="QV78" s="20" t="n">
        <f aca="false">IF(AND(HU78=1,AR78=1),(IX78+JB78)/F78,0)</f>
        <v>0</v>
      </c>
      <c r="QW78" s="20" t="n">
        <f aca="false">IF(B78=0,IX78+JB78,0)</f>
        <v>0</v>
      </c>
      <c r="QX78" s="20" t="n">
        <f aca="false">IF(B78=0,IF(HU78=1,IZ78,JA78),0)</f>
        <v>0</v>
      </c>
      <c r="QY78" s="20" t="n">
        <f aca="false">IF(BB78=1,IF(HU78=1,JG78+JJ78,BC78-PW78)*(1+Slot4_Rate),0)</f>
        <v>0</v>
      </c>
      <c r="QZ78" s="20" t="n">
        <f aca="false">IF(AND(HU78=1,BB78=1),(JF78+JJ78)/F78,0)</f>
        <v>0</v>
      </c>
      <c r="RA78" s="20" t="n">
        <f aca="false">IF(B78=0,JF78+JJ78,0)</f>
        <v>0</v>
      </c>
      <c r="RB78" s="20" t="n">
        <f aca="false">IF(B78=0,IF(HU78=1,JH78,JI78),0)</f>
        <v>0</v>
      </c>
      <c r="RC78" s="20" t="n">
        <f aca="false">IF(BL78=1,IF(HU78=1,JO78+JR78,BM78-PU78)*(1+Slot5_Rate),0)</f>
        <v>0</v>
      </c>
      <c r="RD78" s="20" t="n">
        <f aca="false">IF(AND(HU78=1,BL78=1),(JN78+JR78)/F78,0)</f>
        <v>0</v>
      </c>
      <c r="RE78" s="20" t="n">
        <f aca="false">IF(B78=0,JN78+JR78,0)</f>
        <v>0</v>
      </c>
      <c r="RF78" s="20" t="n">
        <f aca="false">IF(B78=0,IF(HU78=1,JP78,JQ78),0)</f>
        <v>0</v>
      </c>
      <c r="RG78" s="20" t="n">
        <f aca="false">IF(BV78=1,IF(HU78=1,JW78+JZ78,BW78-PS78)*(1+Slot6_Rate),0)</f>
        <v>0</v>
      </c>
      <c r="RH78" s="20" t="n">
        <f aca="false">IF(AND(HU78=1,BV78=1),(JV78+JZ78)/F78,0)</f>
        <v>0</v>
      </c>
      <c r="RI78" s="20" t="n">
        <f aca="false">IF(B78=0,JV78+JZ78,0)</f>
        <v>0</v>
      </c>
      <c r="RJ78" s="20" t="n">
        <f aca="false">IF(B78=0,IF(HU78=1,JX78,JY78),0)</f>
        <v>0</v>
      </c>
      <c r="RK78" s="20" t="n">
        <f aca="false">IF(CF78=1,IF(HU78=1,KE78+KH78,CG78-PQ78)*(1+Slot7_Rate),0)</f>
        <v>0</v>
      </c>
      <c r="RL78" s="20" t="n">
        <f aca="false">IF(AND(HU78=1,CF78=1),(KD78+KH78)/F78,0)</f>
        <v>0</v>
      </c>
      <c r="RM78" s="20" t="n">
        <f aca="false">IF(B78=0,KD78+KH78,0)</f>
        <v>0</v>
      </c>
      <c r="RN78" s="20" t="n">
        <f aca="false">IF(B78=0,IF(HU78=1,KF78,KG78),0)</f>
        <v>0</v>
      </c>
      <c r="RO78" s="20" t="n">
        <f aca="false">IF(CP78=1,IF(HU78=1,KM78+KP78,CQ78-PO78)*(1+Slot8_Rate),0)</f>
        <v>0</v>
      </c>
      <c r="RP78" s="20" t="n">
        <f aca="false">IF(AND(HU78=1,CP78=1),(KL78+KP78)/F78,0)</f>
        <v>0</v>
      </c>
      <c r="RQ78" s="20" t="n">
        <f aca="false">IF(B78=0,KL78+KP78,0)</f>
        <v>0</v>
      </c>
      <c r="RR78" s="20" t="n">
        <f aca="false">IF(B78=0,IF(HU78=1,KN78,KO78),0)</f>
        <v>0</v>
      </c>
      <c r="RS78" s="20" t="n">
        <f aca="false">IF(CZ78=1,IF(HU78=1,KU78+KX78,DA78-PM78)*(1+Slot9_Rate),0)</f>
        <v>0</v>
      </c>
      <c r="RT78" s="20" t="n">
        <f aca="false">IF(AND(HU78=1,CZ78=1),(KT78+KX78)/F78,0)</f>
        <v>0</v>
      </c>
      <c r="RU78" s="20" t="n">
        <f aca="false">IF(B78=0,KT78+KX78,0)</f>
        <v>0</v>
      </c>
      <c r="RV78" s="20" t="n">
        <f aca="false">IF(B78=0,IF(HU78=1,KV78,KW78),0)</f>
        <v>0</v>
      </c>
      <c r="RW78" s="20" t="n">
        <f aca="false">IF(DJ78=1,IF(HU78=1,LC78+LF78,DK78-PK78)*(1+Slot10_Rate),0)</f>
        <v>0</v>
      </c>
      <c r="RX78" s="20" t="n">
        <f aca="false">IF(AND(HU78=1,DJ78=1),(LB78+LF78)/F78,0)</f>
        <v>0</v>
      </c>
      <c r="RY78" s="20" t="n">
        <f aca="false">IF(B78=0,LB78+LF78,0)</f>
        <v>0</v>
      </c>
      <c r="RZ78" s="20" t="n">
        <f aca="false">IF(B78=0,IF(HU78=1,LD78,LE78),0)</f>
        <v>0</v>
      </c>
      <c r="SA78" s="20" t="n">
        <f aca="false">IF(DT78=1,IF(HU78=1,LK78+LN78,DU78-PI78)*(1+Slot11_Rate),0)</f>
        <v>0</v>
      </c>
      <c r="SB78" s="20" t="n">
        <f aca="false">IF(AND(HU78=1,DT78=1),(LJ78+LN78)/F78,0)</f>
        <v>0</v>
      </c>
      <c r="SC78" s="20" t="n">
        <f aca="false">IF(B78=0,LJ78+LN78,0)</f>
        <v>0</v>
      </c>
      <c r="SD78" s="20" t="n">
        <f aca="false">IF(B78=0,IF(HU78=1,LL78,LM78),0)</f>
        <v>0</v>
      </c>
      <c r="SE78" s="20" t="n">
        <f aca="false">IF(ED78=1,IF(HU78=1,LS78+LV78,EE78-PG78)*(1+Slot12_Rate),0)</f>
        <v>0</v>
      </c>
      <c r="SF78" s="20" t="n">
        <f aca="false">IF(AND(HU78=1,ED78=1),(LR78+LV78)/F78,0)</f>
        <v>0</v>
      </c>
      <c r="SG78" s="20" t="n">
        <f aca="false">IF(B78=0,LR78+LV78,0)</f>
        <v>0</v>
      </c>
      <c r="SH78" s="20" t="n">
        <f aca="false">IF(B78=0,IF(HU78=1,LT78,LU78),0)</f>
        <v>0</v>
      </c>
      <c r="SI78" s="20" t="n">
        <f aca="false">IF(EN78=1,IF(HU78=1,MA78+MD78,EO78-PE78)*(1+Slot13_Rate),0)</f>
        <v>0</v>
      </c>
      <c r="SJ78" s="20" t="n">
        <f aca="false">IF(AND(HU78=1,EN78=1),(LZ78+MD78)/F78,0)</f>
        <v>0</v>
      </c>
      <c r="SK78" s="20" t="n">
        <f aca="false">IF(B78=0,LZ78+MD78,0)</f>
        <v>0</v>
      </c>
      <c r="SL78" s="20" t="n">
        <f aca="false">IF(B78=0,IF(HU78=1,MB78,MC78),0)</f>
        <v>0</v>
      </c>
      <c r="SM78" s="20" t="n">
        <f aca="false">IF(EX78=1,IF(HU78=1,MI78+ML78,EY78-PC78)*(1+Slot14_Rate),0)</f>
        <v>0</v>
      </c>
      <c r="SN78" s="20" t="n">
        <f aca="false">IF(AND(HU78=1,EX78=1),(MH78+ML78)/F78,0)</f>
        <v>0</v>
      </c>
      <c r="SO78" s="20" t="n">
        <f aca="false">IF(B78=0,MH78+ML78,0)</f>
        <v>0</v>
      </c>
      <c r="SP78" s="20" t="n">
        <f aca="false">IF(B78=0,IF(HU78=1,MJ78,MK78),0)</f>
        <v>0</v>
      </c>
      <c r="SQ78" s="20" t="n">
        <f aca="false">IF(FH78=1,IF(HU78=1,MQ78+MT78,FI78-PA78)*(1+Slot15_Rate),0)</f>
        <v>0</v>
      </c>
      <c r="SR78" s="20" t="n">
        <f aca="false">IF(AND(HU78=1,FH78=1),(MP78+MT78)/F78,0)</f>
        <v>0</v>
      </c>
      <c r="SS78" s="20" t="n">
        <f aca="false">IF(B78=0,MP78+MT78,0)</f>
        <v>0</v>
      </c>
      <c r="ST78" s="20" t="n">
        <f aca="false">IF(B78=0,IF(HU78=1,MR78,MS78),0)</f>
        <v>0</v>
      </c>
      <c r="SU78" s="20" t="n">
        <f aca="false">IF(FR78=1,IF(HU78=1,MY78+NB78,FS78-OY78)*(1+Slot16_Rate),0)</f>
        <v>0</v>
      </c>
      <c r="SV78" s="20" t="n">
        <f aca="false">IF(AND(HU78=1,FR78=1),(MX78+NB78)/F78,0)</f>
        <v>0</v>
      </c>
      <c r="SW78" s="20" t="n">
        <f aca="false">IF(B78=0,MX78+NB78,0)</f>
        <v>0</v>
      </c>
      <c r="SX78" s="20" t="n">
        <f aca="false">IF(B78=0,IF(HU78=1,MZ78,NA78),0)</f>
        <v>0</v>
      </c>
      <c r="SY78" s="20" t="n">
        <f aca="false">IF(GB78=1,IF(HU78=1,NG78+NJ78,GC78-OW78)*(1+Slot17_Rate),0)</f>
        <v>0</v>
      </c>
      <c r="SZ78" s="20" t="n">
        <f aca="false">IF(AND(HU78=1,GB78=1),(NF78+NJ78)/F78,0)</f>
        <v>0</v>
      </c>
      <c r="TA78" s="20" t="n">
        <f aca="false">IF(B78=0,NF78+NJ78,0)</f>
        <v>0</v>
      </c>
      <c r="TB78" s="20" t="n">
        <f aca="false">IF(B78=0,IF(HU78=1,NH78,NI78),0)</f>
        <v>0</v>
      </c>
      <c r="TC78" s="20" t="n">
        <f aca="false">IF(GL78=1,IF(HU78=1,NO78+NR78,GM78-OU78)*(1+Slot18_Rate),0)</f>
        <v>0</v>
      </c>
      <c r="TD78" s="20" t="n">
        <f aca="false">IF(AND(HU78=1,GL78=1),(NN78+NR78)/F78,0)</f>
        <v>0</v>
      </c>
      <c r="TE78" s="20" t="n">
        <f aca="false">IF(B78=0,NN78+NR78,0)</f>
        <v>0</v>
      </c>
      <c r="TF78" s="20" t="n">
        <f aca="false">IF(B78=0,IF(HU78=1,NP78,NQ78),0)</f>
        <v>0</v>
      </c>
      <c r="TG78" s="20" t="n">
        <f aca="false">IF(GV78=1,IF(HU78=1,NW78+NZ78,GW78-OS78)*(1+Slot19_Rate),0)</f>
        <v>0</v>
      </c>
      <c r="TH78" s="20" t="n">
        <f aca="false">IF(AND(HU78=1,GV78=1),(NV78+NZ78)/F78,0)</f>
        <v>0</v>
      </c>
      <c r="TI78" s="20" t="n">
        <f aca="false">IF(B78=0,NV78+NZ78,0)</f>
        <v>0</v>
      </c>
      <c r="TJ78" s="20" t="n">
        <f aca="false">IF(B78=0,IF(HU78=1,NX78,NY78),0)</f>
        <v>0</v>
      </c>
      <c r="TK78" s="20" t="n">
        <f aca="false">IF(HF78=1,IF(HU78=1,OE78+OH78,HG78-OQ78)*(1+Slot20_Rate),0)</f>
        <v>0</v>
      </c>
      <c r="TL78" s="20" t="n">
        <f aca="false">IF(AND(HU78=1,HF78=1),(OD78+OH78)/F78,0)</f>
        <v>0</v>
      </c>
      <c r="TM78" s="20" t="n">
        <f aca="false">IF(B78=0,OD78+OH78,0)</f>
        <v>0</v>
      </c>
      <c r="TN78" s="20" t="n">
        <f aca="false">IF(B78=0,IF(HU78=1,OF78,OG78),0)</f>
        <v>0</v>
      </c>
      <c r="TO78" s="20" t="n">
        <f aca="false">QK78+QL78+QM78+QQ78+QU78+QY78+RC78+RG78+RK78+RO78+RS78+RW78+SA78+SE78+SI78+SM78+SQ78+SU78+SY78+TC78+TG78+TK78</f>
        <v>0</v>
      </c>
      <c r="TP78" s="20" t="n">
        <f aca="false">QE78+HP78</f>
        <v>77053.5689334511</v>
      </c>
      <c r="TQ78" s="20" t="n">
        <f aca="false">I78+S78</f>
        <v>191178.883052155</v>
      </c>
      <c r="TR78" s="20" t="n">
        <f aca="false">1-G78</f>
        <v>1</v>
      </c>
      <c r="TS78" s="20" t="n">
        <f aca="false">IF(AND(RG_Exists=1,G78=0,C78=1),I78,0)</f>
        <v>0</v>
      </c>
      <c r="TT78" s="20" t="n">
        <f aca="false">IF(AND(RG_Exists=1,G78=0,C78=1),I78-MIN(QE78,I78),0)</f>
        <v>0</v>
      </c>
      <c r="TU78" s="20" t="n">
        <f aca="false">'Plan pay &amp; tax'!AD304</f>
        <v>0</v>
      </c>
      <c r="TV78" s="20" t="n">
        <f aca="false">IF(AND(C78=1,QE78&gt;MAX(PR_Short1,TQ78*PR_Short2)),1,0)</f>
        <v>0</v>
      </c>
      <c r="TW78" s="20" t="n">
        <f aca="false">MIN(H78,I78+S78)</f>
        <v>114125.314118704</v>
      </c>
      <c r="TX78" s="20" t="n">
        <f aca="false">QF78+MAX(0,HQ78-HP78)</f>
        <v>0</v>
      </c>
      <c r="TY78" s="20" t="n">
        <f aca="false">QE78+HP78</f>
        <v>77053.5689334511</v>
      </c>
      <c r="TZ78" s="20" t="n">
        <f aca="false">IF(AND(C78=1,TY78&gt;PR_MinShort),1,0)</f>
        <v>0</v>
      </c>
      <c r="UA78" s="20" t="n">
        <f aca="false">IF(AND(C78=1,TZ78=0,TX78&gt;PR_MinShort),1,0)</f>
        <v>0</v>
      </c>
      <c r="UB78" s="20" t="n">
        <f aca="false">IF(AND(C78=1,QE78&gt;PR_MinShort),1,0)</f>
        <v>0</v>
      </c>
      <c r="UC78" s="20" t="n">
        <f aca="false">IF(AND(C78=1,QF78&gt;1,UJ78=0),1,0)</f>
        <v>0</v>
      </c>
      <c r="UD78" s="20" t="str">
        <f aca="false">IF(C78=0,"",IF(UJ78=1,"Gap to plan for: short "&amp;"€"&amp;TEXT(ROUND(TP78,0),"#,##0"),IF(QF78&gt;1,"Using savings","Comfortable")))</f>
        <v/>
      </c>
      <c r="UE78" s="20" t="n">
        <f aca="false">IF(AND(INT(D78/10)*10=90,B78&gt;0),80,INT(D78/10)*10)</f>
        <v>100</v>
      </c>
      <c r="UF78" s="20" t="n">
        <f aca="false">IF(B78=0,1,IF(UE78&lt;&gt;UE77,UF77+1,UF77))</f>
        <v>7</v>
      </c>
      <c r="UG78" s="20" t="n">
        <f aca="false">IF(AND(C78=1,G78=1,QE78&gt;MAX(PR_Short1,TQ78*PR_Short2)),1,0)</f>
        <v>0</v>
      </c>
      <c r="UH78" s="20" t="n">
        <f aca="false">TR78*TV78</f>
        <v>0</v>
      </c>
      <c r="UI78" s="20" t="n">
        <f aca="false">IF(AND(V78=1,Slot1_PctLow=1),1,0)+IF(AND(AG78=1,Slot2_PctLow=1),1,0)+IF(AND(AQ78=1,Slot3_PctLow=1),1,0)+IF(AND(BA78=1,Slot4_PctLow=1),1,0)+IF(AND(BK78=1,Slot5_PctLow=1),1,0)+IF(AND(BU78=1,Slot6_PctLow=1),1,0)+IF(AND(CE78=1,Slot7_PctLow=1),1,0)+IF(AND(CO78=1,Slot8_PctLow=1),1,0)+IF(AND(CY78=1,Slot9_PctLow=1),1,0)+IF(AND(DI78=1,Slot10_PctLow=1),1,0)+IF(AND(DS78=1,Slot11_PctLow=1),1,0)+IF(AND(EC78=1,Slot12_PctLow=1),1,0)+IF(AND(EM78=1,Slot13_PctLow=1),1,0)+IF(AND(EW78=1,Slot14_PctLow=1),1,0)+IF(AND(FG78=1,Slot15_PctLow=1),1,0)+IF(AND(FQ78=1,Slot16_PctLow=1),1,0)+IF(AND(GA78=1,Slot17_PctLow=1),1,0)+IF(AND(GK78=1,Slot18_PctLow=1),1,0)+IF(AND(GU78=1,Slot19_PctLow=1),1,0)+IF(AND(HE78=1,Slot20_PctLow=1),1,0)</f>
        <v>0</v>
      </c>
      <c r="UJ78" s="20" t="n">
        <f aca="false">IF(C78=1,IF(OR(TV78=1,UI78&gt;0),1,0),0)</f>
        <v>0</v>
      </c>
    </row>
    <row r="79" customFormat="false" ht="15" hidden="false" customHeight="true" outlineLevel="0" collapsed="false">
      <c r="B79" s="20" t="n">
        <v>71</v>
      </c>
      <c r="C79" s="20" t="n">
        <f aca="false">IF(B79&lt;=F_N,1,0)</f>
        <v>0</v>
      </c>
      <c r="D79" s="20" t="n">
        <f aca="false">'Plan pay &amp; tax'!C305</f>
        <v>109</v>
      </c>
      <c r="E79" s="20" t="str">
        <f aca="false">IF($C79=1,"Income tax "&amp;TEXT(N('Plan pay &amp; tax'!BK305),"#,##0")&amp;"; USC "&amp;TEXT(N('Plan pay &amp; tax'!BM305)+N('Plan pay &amp; tax'!BO305),"#,##0")&amp;"; PRSI "&amp;TEXT(N('Plan pay &amp; tax'!BP305)+N('Plan pay &amp; tax'!BQ305),"#,##0")&amp;". DIRT and exit tax are inside the growth rates here.","")</f>
        <v/>
      </c>
      <c r="F79" s="44" t="n">
        <f aca="false">'Plan pay &amp; tax'!E305</f>
        <v>4.07954938730541</v>
      </c>
      <c r="G79" s="20" t="n">
        <f aca="false">'Plan pay &amp; tax'!G305</f>
        <v>0</v>
      </c>
      <c r="H79" s="20" t="n">
        <f aca="false">'Plan pay &amp; tax'!BT305-'Plan pay &amp; tax'!BS305-'Plan pay &amp; tax'!R305</f>
        <v>116407.820401078</v>
      </c>
      <c r="I79" s="20" t="n">
        <f aca="false">IF(G79=1,F_CostsM*12,IF(RG_Exists=1,RG_Amount,F_CostsM*12*AS_RetireSpend))*F79+F_OneOffY*F79</f>
        <v>195002.460713199</v>
      </c>
      <c r="J79" s="20" t="n">
        <f aca="false">HR78</f>
        <v>0</v>
      </c>
      <c r="K79" s="20" t="n">
        <f aca="false">IF(J79&gt;1,'Plan debt months'!AC79,0)</f>
        <v>0</v>
      </c>
      <c r="L79" s="20" t="n">
        <f aca="false">IF(J79&gt;1,'Plan debt months'!AB79,J79)</f>
        <v>0</v>
      </c>
      <c r="M79" s="20" t="n">
        <f aca="false">O78</f>
        <v>0</v>
      </c>
      <c r="N79" s="20" t="n">
        <f aca="false">IF(M79&gt;1,'Plan debt months'!BD79,0)</f>
        <v>0</v>
      </c>
      <c r="O79" s="20" t="n">
        <f aca="false">IF(M79&gt;1,'Plan debt months'!BC79,M79)</f>
        <v>0</v>
      </c>
      <c r="P79" s="20" t="n">
        <f aca="false">R78</f>
        <v>0</v>
      </c>
      <c r="Q79" s="20" t="n">
        <f aca="false">IF(P79&gt;1,'Plan debt months'!CE79,0)</f>
        <v>0</v>
      </c>
      <c r="R79" s="20" t="n">
        <f aca="false">IF(P79&gt;1,'Plan debt months'!CD79,P79)</f>
        <v>0</v>
      </c>
      <c r="S79" s="20" t="n">
        <f aca="false">K79+N79+Q79</f>
        <v>0</v>
      </c>
      <c r="T79" s="20" t="n">
        <f aca="false">QK78+'Plan pay &amp; tax'!Y305</f>
        <v>0</v>
      </c>
      <c r="U79" s="20" t="n">
        <f aca="false">QK78</f>
        <v>0</v>
      </c>
      <c r="V79" s="20" t="n">
        <f aca="false">IF(AND(Slot1_On=1,D79=Slot1_Age),1,0)</f>
        <v>0</v>
      </c>
      <c r="W79" s="20" t="n">
        <f aca="false">IF(AND(Slot1_On=1,Slot1_Age&gt;D79),1,0)</f>
        <v>0</v>
      </c>
      <c r="X79" s="20" t="n">
        <f aca="false">QM78</f>
        <v>0</v>
      </c>
      <c r="Y79" s="20" t="n">
        <f aca="false">V79*MIN(Slot1_Cost,X79)</f>
        <v>0</v>
      </c>
      <c r="Z79" s="20" t="n">
        <f aca="false">V79*Slot1_SpendLike*MIN(Slot1_Cost-Y79,T79)</f>
        <v>0</v>
      </c>
      <c r="AA79" s="20" t="n">
        <f aca="false">Y79+Z79</f>
        <v>0</v>
      </c>
      <c r="AB79" s="20" t="n">
        <f aca="false">T79-Z79+V79*IF(Slot1_SpendLike=1,X79-Y79,IF(Slot1_PotFree=1,X79,0))</f>
        <v>0</v>
      </c>
      <c r="AC79" s="20" t="n">
        <f aca="false">AF79+V79*Slot1_BufPot*X79</f>
        <v>0</v>
      </c>
      <c r="AD79" s="20" t="n">
        <f aca="false">IF(AND(V79=1,Slot1_IsMfree=1),IF(AA79&gt;=Slot1_Cost-1,0,MAX(0,L79-AA79)),L79)</f>
        <v>0</v>
      </c>
      <c r="AE79" s="20" t="n">
        <f aca="false">V79*(Slot1_Cost-AA79)</f>
        <v>0</v>
      </c>
      <c r="AF79" s="20" t="n">
        <f aca="false">QL78</f>
        <v>0</v>
      </c>
      <c r="AG79" s="20" t="n">
        <f aca="false">IF(AND(Slot2_On=1,D79=Slot2_Age),1,0)</f>
        <v>0</v>
      </c>
      <c r="AH79" s="20" t="n">
        <f aca="false">IF(AND(Slot2_On=1,Slot2_Age&gt;D79),1,0)</f>
        <v>0</v>
      </c>
      <c r="AI79" s="20" t="n">
        <f aca="false">QQ78</f>
        <v>0</v>
      </c>
      <c r="AJ79" s="20" t="n">
        <f aca="false">AG79*MIN(Slot2_Cost,AI79)</f>
        <v>0</v>
      </c>
      <c r="AK79" s="20" t="n">
        <f aca="false">AG79*Slot2_SpendLike*MIN(Slot2_Cost-AJ79,AB79)</f>
        <v>0</v>
      </c>
      <c r="AL79" s="20" t="n">
        <f aca="false">AJ79+AK79</f>
        <v>0</v>
      </c>
      <c r="AM79" s="20" t="n">
        <f aca="false">AB79-AK79+AG79*IF(Slot2_SpendLike=1,AI79-AJ79,IF(Slot2_PotFree=1,AI79,0))</f>
        <v>0</v>
      </c>
      <c r="AN79" s="20" t="n">
        <f aca="false">AC79+AG79*Slot2_BufPot*AI79</f>
        <v>0</v>
      </c>
      <c r="AO79" s="20" t="n">
        <f aca="false">IF(AND(AG79=1,Slot2_IsMfree=1),IF(AL79&gt;=Slot2_Cost-1,0,MAX(0,AD79-AL79)),AD79)</f>
        <v>0</v>
      </c>
      <c r="AP79" s="20" t="n">
        <f aca="false">AG79*(Slot2_Cost-AL79)</f>
        <v>0</v>
      </c>
      <c r="AQ79" s="20" t="n">
        <f aca="false">IF(AND(Slot3_On=1,D79=Slot3_Age),1,0)</f>
        <v>0</v>
      </c>
      <c r="AR79" s="20" t="n">
        <f aca="false">IF(AND(Slot3_On=1,Slot3_Age&gt;D79),1,0)</f>
        <v>0</v>
      </c>
      <c r="AS79" s="20" t="n">
        <f aca="false">QU78</f>
        <v>0</v>
      </c>
      <c r="AT79" s="20" t="n">
        <f aca="false">AQ79*MIN(Slot3_Cost,AS79)</f>
        <v>0</v>
      </c>
      <c r="AU79" s="20" t="n">
        <f aca="false">AQ79*Slot3_SpendLike*MIN(Slot3_Cost-AT79,AM79)</f>
        <v>0</v>
      </c>
      <c r="AV79" s="20" t="n">
        <f aca="false">AT79+AU79</f>
        <v>0</v>
      </c>
      <c r="AW79" s="20" t="n">
        <f aca="false">AM79-AU79+AQ79*IF(Slot3_SpendLike=1,AS79-AT79,IF(Slot3_PotFree=1,AS79,0))</f>
        <v>0</v>
      </c>
      <c r="AX79" s="20" t="n">
        <f aca="false">AN79+AQ79*Slot3_BufPot*AS79</f>
        <v>0</v>
      </c>
      <c r="AY79" s="20" t="n">
        <f aca="false">IF(AND(AQ79=1,Slot3_IsMfree=1),IF(AV79&gt;=Slot3_Cost-1,0,MAX(0,AO79-AV79)),AO79)</f>
        <v>0</v>
      </c>
      <c r="AZ79" s="20" t="n">
        <f aca="false">AQ79*(Slot3_Cost-AV79)</f>
        <v>0</v>
      </c>
      <c r="BA79" s="20" t="n">
        <f aca="false">IF(AND(Slot4_On=1,D79=Slot4_Age),1,0)</f>
        <v>0</v>
      </c>
      <c r="BB79" s="20" t="n">
        <f aca="false">IF(AND(Slot4_On=1,Slot4_Age&gt;D79),1,0)</f>
        <v>0</v>
      </c>
      <c r="BC79" s="20" t="n">
        <f aca="false">QY78</f>
        <v>0</v>
      </c>
      <c r="BD79" s="20" t="n">
        <f aca="false">BA79*MIN(Slot4_Cost,BC79)</f>
        <v>0</v>
      </c>
      <c r="BE79" s="20" t="n">
        <f aca="false">BA79*Slot4_SpendLike*MIN(Slot4_Cost-BD79,AW79)</f>
        <v>0</v>
      </c>
      <c r="BF79" s="20" t="n">
        <f aca="false">BD79+BE79</f>
        <v>0</v>
      </c>
      <c r="BG79" s="20" t="n">
        <f aca="false">AW79-BE79+BA79*IF(Slot4_SpendLike=1,BC79-BD79,IF(Slot4_PotFree=1,BC79,0))</f>
        <v>0</v>
      </c>
      <c r="BH79" s="20" t="n">
        <f aca="false">AX79+BA79*Slot4_BufPot*BC79</f>
        <v>0</v>
      </c>
      <c r="BI79" s="20" t="n">
        <f aca="false">IF(AND(BA79=1,Slot4_IsMfree=1),IF(BF79&gt;=Slot4_Cost-1,0,MAX(0,AY79-BF79)),AY79)</f>
        <v>0</v>
      </c>
      <c r="BJ79" s="20" t="n">
        <f aca="false">BA79*(Slot4_Cost-BF79)</f>
        <v>0</v>
      </c>
      <c r="BK79" s="20" t="n">
        <f aca="false">IF(AND(Slot5_On=1,D79=Slot5_Age),1,0)</f>
        <v>0</v>
      </c>
      <c r="BL79" s="20" t="n">
        <f aca="false">IF(AND(Slot5_On=1,Slot5_Age&gt;D79),1,0)</f>
        <v>0</v>
      </c>
      <c r="BM79" s="20" t="n">
        <f aca="false">RC78</f>
        <v>0</v>
      </c>
      <c r="BN79" s="20" t="n">
        <f aca="false">BK79*MIN(Slot5_Cost,BM79)</f>
        <v>0</v>
      </c>
      <c r="BO79" s="20" t="n">
        <f aca="false">BK79*Slot5_SpendLike*MIN(Slot5_Cost-BN79,BG79)</f>
        <v>0</v>
      </c>
      <c r="BP79" s="20" t="n">
        <f aca="false">BN79+BO79</f>
        <v>0</v>
      </c>
      <c r="BQ79" s="20" t="n">
        <f aca="false">BG79-BO79+BK79*IF(Slot5_SpendLike=1,BM79-BN79,IF(Slot5_PotFree=1,BM79,0))</f>
        <v>0</v>
      </c>
      <c r="BR79" s="20" t="n">
        <f aca="false">BH79+BK79*Slot5_BufPot*BM79</f>
        <v>0</v>
      </c>
      <c r="BS79" s="20" t="n">
        <f aca="false">IF(AND(BK79=1,Slot5_IsMfree=1),IF(BP79&gt;=Slot5_Cost-1,0,MAX(0,BI79-BP79)),BI79)</f>
        <v>0</v>
      </c>
      <c r="BT79" s="20" t="n">
        <f aca="false">BK79*(Slot5_Cost-BP79)</f>
        <v>0</v>
      </c>
      <c r="BU79" s="20" t="n">
        <f aca="false">IF(AND(Slot6_On=1,D79=Slot6_Age),1,0)</f>
        <v>0</v>
      </c>
      <c r="BV79" s="20" t="n">
        <f aca="false">IF(AND(Slot6_On=1,Slot6_Age&gt;D79),1,0)</f>
        <v>0</v>
      </c>
      <c r="BW79" s="20" t="n">
        <f aca="false">RG78</f>
        <v>0</v>
      </c>
      <c r="BX79" s="20" t="n">
        <f aca="false">BU79*MIN(Slot6_Cost,BW79)</f>
        <v>0</v>
      </c>
      <c r="BY79" s="20" t="n">
        <f aca="false">BU79*Slot6_SpendLike*MIN(Slot6_Cost-BX79,BQ79)</f>
        <v>0</v>
      </c>
      <c r="BZ79" s="20" t="n">
        <f aca="false">BX79+BY79</f>
        <v>0</v>
      </c>
      <c r="CA79" s="20" t="n">
        <f aca="false">BQ79-BY79+BU79*IF(Slot6_SpendLike=1,BW79-BX79,IF(Slot6_PotFree=1,BW79,0))</f>
        <v>0</v>
      </c>
      <c r="CB79" s="20" t="n">
        <f aca="false">BR79+BU79*Slot6_BufPot*BW79</f>
        <v>0</v>
      </c>
      <c r="CC79" s="20" t="n">
        <f aca="false">IF(AND(BU79=1,Slot6_IsMfree=1),IF(BZ79&gt;=Slot6_Cost-1,0,MAX(0,BS79-BZ79)),BS79)</f>
        <v>0</v>
      </c>
      <c r="CD79" s="20" t="n">
        <f aca="false">BU79*(Slot6_Cost-BZ79)</f>
        <v>0</v>
      </c>
      <c r="CE79" s="20" t="n">
        <f aca="false">IF(AND(Slot7_On=1,D79=Slot7_Age),1,0)</f>
        <v>0</v>
      </c>
      <c r="CF79" s="20" t="n">
        <f aca="false">IF(AND(Slot7_On=1,Slot7_Age&gt;D79),1,0)</f>
        <v>0</v>
      </c>
      <c r="CG79" s="20" t="n">
        <f aca="false">RK78</f>
        <v>0</v>
      </c>
      <c r="CH79" s="20" t="n">
        <f aca="false">CE79*MIN(Slot7_Cost,CG79)</f>
        <v>0</v>
      </c>
      <c r="CI79" s="20" t="n">
        <f aca="false">CE79*Slot7_SpendLike*MIN(Slot7_Cost-CH79,CA79)</f>
        <v>0</v>
      </c>
      <c r="CJ79" s="20" t="n">
        <f aca="false">CH79+CI79</f>
        <v>0</v>
      </c>
      <c r="CK79" s="20" t="n">
        <f aca="false">CA79-CI79+CE79*IF(Slot7_SpendLike=1,CG79-CH79,IF(Slot7_PotFree=1,CG79,0))</f>
        <v>0</v>
      </c>
      <c r="CL79" s="20" t="n">
        <f aca="false">CB79+CE79*Slot7_BufPot*CG79</f>
        <v>0</v>
      </c>
      <c r="CM79" s="20" t="n">
        <f aca="false">IF(AND(CE79=1,Slot7_IsMfree=1),IF(CJ79&gt;=Slot7_Cost-1,0,MAX(0,CC79-CJ79)),CC79)</f>
        <v>0</v>
      </c>
      <c r="CN79" s="20" t="n">
        <f aca="false">CE79*(Slot7_Cost-CJ79)</f>
        <v>0</v>
      </c>
      <c r="CO79" s="20" t="n">
        <f aca="false">IF(AND(Slot8_On=1,D79=Slot8_Age),1,0)</f>
        <v>0</v>
      </c>
      <c r="CP79" s="20" t="n">
        <f aca="false">IF(AND(Slot8_On=1,Slot8_Age&gt;D79),1,0)</f>
        <v>0</v>
      </c>
      <c r="CQ79" s="20" t="n">
        <f aca="false">RO78</f>
        <v>0</v>
      </c>
      <c r="CR79" s="20" t="n">
        <f aca="false">CO79*MIN(Slot8_Cost,CQ79)</f>
        <v>0</v>
      </c>
      <c r="CS79" s="20" t="n">
        <f aca="false">CO79*Slot8_SpendLike*MIN(Slot8_Cost-CR79,CK79)</f>
        <v>0</v>
      </c>
      <c r="CT79" s="20" t="n">
        <f aca="false">CR79+CS79</f>
        <v>0</v>
      </c>
      <c r="CU79" s="20" t="n">
        <f aca="false">CK79-CS79+CO79*IF(Slot8_SpendLike=1,CQ79-CR79,IF(Slot8_PotFree=1,CQ79,0))</f>
        <v>0</v>
      </c>
      <c r="CV79" s="20" t="n">
        <f aca="false">CL79+CO79*Slot8_BufPot*CQ79</f>
        <v>0</v>
      </c>
      <c r="CW79" s="20" t="n">
        <f aca="false">IF(AND(CO79=1,Slot8_IsMfree=1),IF(CT79&gt;=Slot8_Cost-1,0,MAX(0,CM79-CT79)),CM79)</f>
        <v>0</v>
      </c>
      <c r="CX79" s="20" t="n">
        <f aca="false">CO79*(Slot8_Cost-CT79)</f>
        <v>0</v>
      </c>
      <c r="CY79" s="20" t="n">
        <f aca="false">IF(AND(Slot9_On=1,D79=Slot9_Age),1,0)</f>
        <v>0</v>
      </c>
      <c r="CZ79" s="20" t="n">
        <f aca="false">IF(AND(Slot9_On=1,Slot9_Age&gt;D79),1,0)</f>
        <v>0</v>
      </c>
      <c r="DA79" s="20" t="n">
        <f aca="false">RS78</f>
        <v>0</v>
      </c>
      <c r="DB79" s="20" t="n">
        <f aca="false">CY79*MIN(Slot9_Cost,DA79)</f>
        <v>0</v>
      </c>
      <c r="DC79" s="20" t="n">
        <f aca="false">CY79*Slot9_SpendLike*MIN(Slot9_Cost-DB79,CU79)</f>
        <v>0</v>
      </c>
      <c r="DD79" s="20" t="n">
        <f aca="false">DB79+DC79</f>
        <v>0</v>
      </c>
      <c r="DE79" s="20" t="n">
        <f aca="false">CU79-DC79+CY79*IF(Slot9_SpendLike=1,DA79-DB79,IF(Slot9_PotFree=1,DA79,0))</f>
        <v>0</v>
      </c>
      <c r="DF79" s="20" t="n">
        <f aca="false">CV79+CY79*Slot9_BufPot*DA79</f>
        <v>0</v>
      </c>
      <c r="DG79" s="20" t="n">
        <f aca="false">IF(AND(CY79=1,Slot9_IsMfree=1),IF(DD79&gt;=Slot9_Cost-1,0,MAX(0,CW79-DD79)),CW79)</f>
        <v>0</v>
      </c>
      <c r="DH79" s="20" t="n">
        <f aca="false">CY79*(Slot9_Cost-DD79)</f>
        <v>0</v>
      </c>
      <c r="DI79" s="20" t="n">
        <f aca="false">IF(AND(Slot10_On=1,D79=Slot10_Age),1,0)</f>
        <v>0</v>
      </c>
      <c r="DJ79" s="20" t="n">
        <f aca="false">IF(AND(Slot10_On=1,Slot10_Age&gt;D79),1,0)</f>
        <v>0</v>
      </c>
      <c r="DK79" s="20" t="n">
        <f aca="false">RW78</f>
        <v>0</v>
      </c>
      <c r="DL79" s="20" t="n">
        <f aca="false">DI79*MIN(Slot10_Cost,DK79)</f>
        <v>0</v>
      </c>
      <c r="DM79" s="20" t="n">
        <f aca="false">DI79*Slot10_SpendLike*MIN(Slot10_Cost-DL79,DE79)</f>
        <v>0</v>
      </c>
      <c r="DN79" s="20" t="n">
        <f aca="false">DL79+DM79</f>
        <v>0</v>
      </c>
      <c r="DO79" s="20" t="n">
        <f aca="false">DE79-DM79+DI79*IF(Slot10_SpendLike=1,DK79-DL79,IF(Slot10_PotFree=1,DK79,0))</f>
        <v>0</v>
      </c>
      <c r="DP79" s="20" t="n">
        <f aca="false">DF79+DI79*Slot10_BufPot*DK79</f>
        <v>0</v>
      </c>
      <c r="DQ79" s="20" t="n">
        <f aca="false">IF(AND(DI79=1,Slot10_IsMfree=1),IF(DN79&gt;=Slot10_Cost-1,0,MAX(0,DG79-DN79)),DG79)</f>
        <v>0</v>
      </c>
      <c r="DR79" s="20" t="n">
        <f aca="false">DI79*(Slot10_Cost-DN79)</f>
        <v>0</v>
      </c>
      <c r="DS79" s="20" t="n">
        <f aca="false">IF(AND(Slot11_On=1,D79=Slot11_Age),1,0)</f>
        <v>0</v>
      </c>
      <c r="DT79" s="20" t="n">
        <f aca="false">IF(AND(Slot11_On=1,Slot11_Age&gt;D79),1,0)</f>
        <v>0</v>
      </c>
      <c r="DU79" s="20" t="n">
        <f aca="false">SA78</f>
        <v>0</v>
      </c>
      <c r="DV79" s="20" t="n">
        <f aca="false">DS79*MIN(Slot11_Cost,DU79)</f>
        <v>0</v>
      </c>
      <c r="DW79" s="20" t="n">
        <f aca="false">DS79*Slot11_SpendLike*MIN(Slot11_Cost-DV79,DO79)</f>
        <v>0</v>
      </c>
      <c r="DX79" s="20" t="n">
        <f aca="false">DV79+DW79</f>
        <v>0</v>
      </c>
      <c r="DY79" s="20" t="n">
        <f aca="false">DO79-DW79+DS79*IF(Slot11_SpendLike=1,DU79-DV79,IF(Slot11_PotFree=1,DU79,0))</f>
        <v>0</v>
      </c>
      <c r="DZ79" s="20" t="n">
        <f aca="false">DP79+DS79*Slot11_BufPot*DU79</f>
        <v>0</v>
      </c>
      <c r="EA79" s="20" t="n">
        <f aca="false">IF(AND(DS79=1,Slot11_IsMfree=1),IF(DX79&gt;=Slot11_Cost-1,0,MAX(0,DQ79-DX79)),DQ79)</f>
        <v>0</v>
      </c>
      <c r="EB79" s="20" t="n">
        <f aca="false">DS79*(Slot11_Cost-DX79)</f>
        <v>0</v>
      </c>
      <c r="EC79" s="20" t="n">
        <f aca="false">IF(AND(Slot12_On=1,D79=Slot12_Age),1,0)</f>
        <v>0</v>
      </c>
      <c r="ED79" s="20" t="n">
        <f aca="false">IF(AND(Slot12_On=1,Slot12_Age&gt;D79),1,0)</f>
        <v>0</v>
      </c>
      <c r="EE79" s="20" t="n">
        <f aca="false">SE78</f>
        <v>0</v>
      </c>
      <c r="EF79" s="20" t="n">
        <f aca="false">EC79*MIN(Slot12_Cost,EE79)</f>
        <v>0</v>
      </c>
      <c r="EG79" s="20" t="n">
        <f aca="false">EC79*Slot12_SpendLike*MIN(Slot12_Cost-EF79,DY79)</f>
        <v>0</v>
      </c>
      <c r="EH79" s="20" t="n">
        <f aca="false">EF79+EG79</f>
        <v>0</v>
      </c>
      <c r="EI79" s="20" t="n">
        <f aca="false">DY79-EG79+EC79*IF(Slot12_SpendLike=1,EE79-EF79,IF(Slot12_PotFree=1,EE79,0))</f>
        <v>0</v>
      </c>
      <c r="EJ79" s="20" t="n">
        <f aca="false">DZ79+EC79*Slot12_BufPot*EE79</f>
        <v>0</v>
      </c>
      <c r="EK79" s="20" t="n">
        <f aca="false">IF(AND(EC79=1,Slot12_IsMfree=1),IF(EH79&gt;=Slot12_Cost-1,0,MAX(0,EA79-EH79)),EA79)</f>
        <v>0</v>
      </c>
      <c r="EL79" s="20" t="n">
        <f aca="false">EC79*(Slot12_Cost-EH79)</f>
        <v>0</v>
      </c>
      <c r="EM79" s="20" t="n">
        <f aca="false">IF(AND(Slot13_On=1,D79=Slot13_Age),1,0)</f>
        <v>0</v>
      </c>
      <c r="EN79" s="20" t="n">
        <f aca="false">IF(AND(Slot13_On=1,Slot13_Age&gt;D79),1,0)</f>
        <v>0</v>
      </c>
      <c r="EO79" s="20" t="n">
        <f aca="false">SI78</f>
        <v>0</v>
      </c>
      <c r="EP79" s="20" t="n">
        <f aca="false">EM79*MIN(Slot13_Cost,EO79)</f>
        <v>0</v>
      </c>
      <c r="EQ79" s="20" t="n">
        <f aca="false">EM79*Slot13_SpendLike*MIN(Slot13_Cost-EP79,EI79)</f>
        <v>0</v>
      </c>
      <c r="ER79" s="20" t="n">
        <f aca="false">EP79+EQ79</f>
        <v>0</v>
      </c>
      <c r="ES79" s="20" t="n">
        <f aca="false">EI79-EQ79+EM79*IF(Slot13_SpendLike=1,EO79-EP79,IF(Slot13_PotFree=1,EO79,0))</f>
        <v>0</v>
      </c>
      <c r="ET79" s="20" t="n">
        <f aca="false">EJ79+EM79*Slot13_BufPot*EO79</f>
        <v>0</v>
      </c>
      <c r="EU79" s="20" t="n">
        <f aca="false">IF(AND(EM79=1,Slot13_IsMfree=1),IF(ER79&gt;=Slot13_Cost-1,0,MAX(0,EK79-ER79)),EK79)</f>
        <v>0</v>
      </c>
      <c r="EV79" s="20" t="n">
        <f aca="false">EM79*(Slot13_Cost-ER79)</f>
        <v>0</v>
      </c>
      <c r="EW79" s="20" t="n">
        <f aca="false">IF(AND(Slot14_On=1,D79=Slot14_Age),1,0)</f>
        <v>0</v>
      </c>
      <c r="EX79" s="20" t="n">
        <f aca="false">IF(AND(Slot14_On=1,Slot14_Age&gt;D79),1,0)</f>
        <v>0</v>
      </c>
      <c r="EY79" s="20" t="n">
        <f aca="false">SM78</f>
        <v>0</v>
      </c>
      <c r="EZ79" s="20" t="n">
        <f aca="false">EW79*MIN(Slot14_Cost,EY79)</f>
        <v>0</v>
      </c>
      <c r="FA79" s="20" t="n">
        <f aca="false">EW79*Slot14_SpendLike*MIN(Slot14_Cost-EZ79,ES79)</f>
        <v>0</v>
      </c>
      <c r="FB79" s="20" t="n">
        <f aca="false">EZ79+FA79</f>
        <v>0</v>
      </c>
      <c r="FC79" s="20" t="n">
        <f aca="false">ES79-FA79+EW79*IF(Slot14_SpendLike=1,EY79-EZ79,IF(Slot14_PotFree=1,EY79,0))</f>
        <v>0</v>
      </c>
      <c r="FD79" s="20" t="n">
        <f aca="false">ET79+EW79*Slot14_BufPot*EY79</f>
        <v>0</v>
      </c>
      <c r="FE79" s="20" t="n">
        <f aca="false">IF(AND(EW79=1,Slot14_IsMfree=1),IF(FB79&gt;=Slot14_Cost-1,0,MAX(0,EU79-FB79)),EU79)</f>
        <v>0</v>
      </c>
      <c r="FF79" s="20" t="n">
        <f aca="false">EW79*(Slot14_Cost-FB79)</f>
        <v>0</v>
      </c>
      <c r="FG79" s="20" t="n">
        <f aca="false">IF(AND(Slot15_On=1,D79=Slot15_Age),1,0)</f>
        <v>0</v>
      </c>
      <c r="FH79" s="20" t="n">
        <f aca="false">IF(AND(Slot15_On=1,Slot15_Age&gt;D79),1,0)</f>
        <v>0</v>
      </c>
      <c r="FI79" s="20" t="n">
        <f aca="false">SQ78</f>
        <v>0</v>
      </c>
      <c r="FJ79" s="20" t="n">
        <f aca="false">FG79*MIN(Slot15_Cost,FI79)</f>
        <v>0</v>
      </c>
      <c r="FK79" s="20" t="n">
        <f aca="false">FG79*Slot15_SpendLike*MIN(Slot15_Cost-FJ79,FC79)</f>
        <v>0</v>
      </c>
      <c r="FL79" s="20" t="n">
        <f aca="false">FJ79+FK79</f>
        <v>0</v>
      </c>
      <c r="FM79" s="20" t="n">
        <f aca="false">FC79-FK79+FG79*IF(Slot15_SpendLike=1,FI79-FJ79,IF(Slot15_PotFree=1,FI79,0))</f>
        <v>0</v>
      </c>
      <c r="FN79" s="20" t="n">
        <f aca="false">FD79+FG79*Slot15_BufPot*FI79</f>
        <v>0</v>
      </c>
      <c r="FO79" s="20" t="n">
        <f aca="false">IF(AND(FG79=1,Slot15_IsMfree=1),IF(FL79&gt;=Slot15_Cost-1,0,MAX(0,FE79-FL79)),FE79)</f>
        <v>0</v>
      </c>
      <c r="FP79" s="20" t="n">
        <f aca="false">FG79*(Slot15_Cost-FL79)</f>
        <v>0</v>
      </c>
      <c r="FQ79" s="20" t="n">
        <f aca="false">IF(AND(Slot16_On=1,D79=Slot16_Age),1,0)</f>
        <v>0</v>
      </c>
      <c r="FR79" s="20" t="n">
        <f aca="false">IF(AND(Slot16_On=1,Slot16_Age&gt;D79),1,0)</f>
        <v>0</v>
      </c>
      <c r="FS79" s="20" t="n">
        <f aca="false">SU78</f>
        <v>0</v>
      </c>
      <c r="FT79" s="20" t="n">
        <f aca="false">FQ79*MIN(Slot16_Cost,FS79)</f>
        <v>0</v>
      </c>
      <c r="FU79" s="20" t="n">
        <f aca="false">FQ79*Slot16_SpendLike*MIN(Slot16_Cost-FT79,FM79)</f>
        <v>0</v>
      </c>
      <c r="FV79" s="20" t="n">
        <f aca="false">FT79+FU79</f>
        <v>0</v>
      </c>
      <c r="FW79" s="20" t="n">
        <f aca="false">FM79-FU79+FQ79*IF(Slot16_SpendLike=1,FS79-FT79,IF(Slot16_PotFree=1,FS79,0))</f>
        <v>0</v>
      </c>
      <c r="FX79" s="20" t="n">
        <f aca="false">FN79+FQ79*Slot16_BufPot*FS79</f>
        <v>0</v>
      </c>
      <c r="FY79" s="20" t="n">
        <f aca="false">IF(AND(FQ79=1,Slot16_IsMfree=1),IF(FV79&gt;=Slot16_Cost-1,0,MAX(0,FO79-FV79)),FO79)</f>
        <v>0</v>
      </c>
      <c r="FZ79" s="20" t="n">
        <f aca="false">FQ79*(Slot16_Cost-FV79)</f>
        <v>0</v>
      </c>
      <c r="GA79" s="20" t="n">
        <f aca="false">IF(AND(Slot17_On=1,D79=Slot17_Age),1,0)</f>
        <v>0</v>
      </c>
      <c r="GB79" s="20" t="n">
        <f aca="false">IF(AND(Slot17_On=1,Slot17_Age&gt;D79),1,0)</f>
        <v>0</v>
      </c>
      <c r="GC79" s="20" t="n">
        <f aca="false">SY78</f>
        <v>0</v>
      </c>
      <c r="GD79" s="20" t="n">
        <f aca="false">GA79*MIN(Slot17_Cost,GC79)</f>
        <v>0</v>
      </c>
      <c r="GE79" s="20" t="n">
        <f aca="false">GA79*Slot17_SpendLike*MIN(Slot17_Cost-GD79,FW79)</f>
        <v>0</v>
      </c>
      <c r="GF79" s="20" t="n">
        <f aca="false">GD79+GE79</f>
        <v>0</v>
      </c>
      <c r="GG79" s="20" t="n">
        <f aca="false">FW79-GE79+GA79*IF(Slot17_SpendLike=1,GC79-GD79,IF(Slot17_PotFree=1,GC79,0))</f>
        <v>0</v>
      </c>
      <c r="GH79" s="20" t="n">
        <f aca="false">FX79+GA79*Slot17_BufPot*GC79</f>
        <v>0</v>
      </c>
      <c r="GI79" s="20" t="n">
        <f aca="false">IF(AND(GA79=1,Slot17_IsMfree=1),IF(GF79&gt;=Slot17_Cost-1,0,MAX(0,FY79-GF79)),FY79)</f>
        <v>0</v>
      </c>
      <c r="GJ79" s="20" t="n">
        <f aca="false">GA79*(Slot17_Cost-GF79)</f>
        <v>0</v>
      </c>
      <c r="GK79" s="20" t="n">
        <f aca="false">IF(AND(Slot18_On=1,D79=Slot18_Age),1,0)</f>
        <v>0</v>
      </c>
      <c r="GL79" s="20" t="n">
        <f aca="false">IF(AND(Slot18_On=1,Slot18_Age&gt;D79),1,0)</f>
        <v>0</v>
      </c>
      <c r="GM79" s="20" t="n">
        <f aca="false">TC78</f>
        <v>0</v>
      </c>
      <c r="GN79" s="20" t="n">
        <f aca="false">GK79*MIN(Slot18_Cost,GM79)</f>
        <v>0</v>
      </c>
      <c r="GO79" s="20" t="n">
        <f aca="false">GK79*Slot18_SpendLike*MIN(Slot18_Cost-GN79,GG79)</f>
        <v>0</v>
      </c>
      <c r="GP79" s="20" t="n">
        <f aca="false">GN79+GO79</f>
        <v>0</v>
      </c>
      <c r="GQ79" s="20" t="n">
        <f aca="false">GG79-GO79+GK79*IF(Slot18_SpendLike=1,GM79-GN79,IF(Slot18_PotFree=1,GM79,0))</f>
        <v>0</v>
      </c>
      <c r="GR79" s="20" t="n">
        <f aca="false">GH79+GK79*Slot18_BufPot*GM79</f>
        <v>0</v>
      </c>
      <c r="GS79" s="20" t="n">
        <f aca="false">IF(AND(GK79=1,Slot18_IsMfree=1),IF(GP79&gt;=Slot18_Cost-1,0,MAX(0,GI79-GP79)),GI79)</f>
        <v>0</v>
      </c>
      <c r="GT79" s="20" t="n">
        <f aca="false">GK79*(Slot18_Cost-GP79)</f>
        <v>0</v>
      </c>
      <c r="GU79" s="20" t="n">
        <f aca="false">IF(AND(Slot19_On=1,D79=Slot19_Age),1,0)</f>
        <v>0</v>
      </c>
      <c r="GV79" s="20" t="n">
        <f aca="false">IF(AND(Slot19_On=1,Slot19_Age&gt;D79),1,0)</f>
        <v>0</v>
      </c>
      <c r="GW79" s="20" t="n">
        <f aca="false">TG78</f>
        <v>0</v>
      </c>
      <c r="GX79" s="20" t="n">
        <f aca="false">GU79*MIN(Slot19_Cost,GW79)</f>
        <v>0</v>
      </c>
      <c r="GY79" s="20" t="n">
        <f aca="false">GU79*Slot19_SpendLike*MIN(Slot19_Cost-GX79,GQ79)</f>
        <v>0</v>
      </c>
      <c r="GZ79" s="20" t="n">
        <f aca="false">GX79+GY79</f>
        <v>0</v>
      </c>
      <c r="HA79" s="20" t="n">
        <f aca="false">GQ79-GY79+GU79*IF(Slot19_SpendLike=1,GW79-GX79,IF(Slot19_PotFree=1,GW79,0))</f>
        <v>0</v>
      </c>
      <c r="HB79" s="20" t="n">
        <f aca="false">GR79+GU79*Slot19_BufPot*GW79</f>
        <v>0</v>
      </c>
      <c r="HC79" s="20" t="n">
        <f aca="false">IF(AND(GU79=1,Slot19_IsMfree=1),IF(GZ79&gt;=Slot19_Cost-1,0,MAX(0,GS79-GZ79)),GS79)</f>
        <v>0</v>
      </c>
      <c r="HD79" s="20" t="n">
        <f aca="false">GU79*(Slot19_Cost-GZ79)</f>
        <v>0</v>
      </c>
      <c r="HE79" s="20" t="n">
        <f aca="false">IF(AND(Slot20_On=1,D79=Slot20_Age),1,0)</f>
        <v>0</v>
      </c>
      <c r="HF79" s="20" t="n">
        <f aca="false">IF(AND(Slot20_On=1,Slot20_Age&gt;D79),1,0)</f>
        <v>0</v>
      </c>
      <c r="HG79" s="20" t="n">
        <f aca="false">TK78</f>
        <v>0</v>
      </c>
      <c r="HH79" s="20" t="n">
        <f aca="false">HE79*MIN(Slot20_Cost,HG79)</f>
        <v>0</v>
      </c>
      <c r="HI79" s="20" t="n">
        <f aca="false">HE79*Slot20_SpendLike*MIN(Slot20_Cost-HH79,HA79)</f>
        <v>0</v>
      </c>
      <c r="HJ79" s="20" t="n">
        <f aca="false">HH79+HI79</f>
        <v>0</v>
      </c>
      <c r="HK79" s="20" t="n">
        <f aca="false">HA79-HI79+HE79*IF(Slot20_SpendLike=1,HG79-HH79,IF(Slot20_PotFree=1,HG79,0))</f>
        <v>0</v>
      </c>
      <c r="HL79" s="20" t="n">
        <f aca="false">HB79+HE79*Slot20_BufPot*HG79</f>
        <v>0</v>
      </c>
      <c r="HM79" s="20" t="n">
        <f aca="false">IF(AND(HE79=1,Slot20_IsMfree=1),IF(HJ79&gt;=Slot20_Cost-1,0,MAX(0,HC79-HJ79)),HC79)</f>
        <v>0</v>
      </c>
      <c r="HN79" s="20" t="n">
        <f aca="false">HE79*(Slot20_Cost-HJ79)</f>
        <v>0</v>
      </c>
      <c r="HO79" s="20" t="n">
        <f aca="false">V79*Slot1_SpendLike*AA79+AG79*Slot2_SpendLike*AL79+AQ79*Slot3_SpendLike*AV79+BA79*Slot4_SpendLike*BF79+BK79*Slot5_SpendLike*BP79+BU79*Slot6_SpendLike*BZ79+CE79*Slot7_SpendLike*CJ79+CO79*Slot8_SpendLike*CT79+CY79*Slot9_SpendLike*DD79+DI79*Slot10_SpendLike*DN79+DS79*Slot11_SpendLike*DX79+EC79*Slot12_SpendLike*EH79+EM79*Slot13_SpendLike*ER79+EW79*Slot14_SpendLike*FB79+FG79*Slot15_SpendLike*FL79+FQ79*Slot16_SpendLike*FV79+GA79*Slot17_SpendLike*GF79+GK79*Slot18_SpendLike*GP79+GU79*Slot19_SpendLike*GZ79+HE79*Slot20_SpendLike*HJ79</f>
        <v>0</v>
      </c>
      <c r="HP79" s="20" t="n">
        <f aca="false">AE79+AP79+AZ79+BJ79+BT79+CD79+CN79+CX79+DH79+DR79+EB79+EL79+EV79+FF79+FP79+FZ79+GJ79+GT79+HD79+HN79</f>
        <v>0</v>
      </c>
      <c r="HQ79" s="20" t="n">
        <f aca="false">V79*Slot1_Cost+AG79*Slot2_Cost+AQ79*Slot3_Cost+BA79*Slot4_Cost+BK79*Slot5_Cost+BU79*Slot6_Cost+CE79*Slot7_Cost+CO79*Slot8_Cost+CY79*Slot9_Cost+DI79*Slot10_Cost+DS79*Slot11_Cost+EC79*Slot12_Cost+EM79*Slot13_Cost+EW79*Slot14_Cost+FG79*Slot15_Cost+FQ79*Slot16_Cost+GA79*Slot17_Cost+GK79*Slot18_Cost+GU79*Slot19_Cost+HE79*Slot20_Cost</f>
        <v>0</v>
      </c>
      <c r="HR79" s="20" t="n">
        <f aca="false">HM79</f>
        <v>0</v>
      </c>
      <c r="HS79" s="20" t="n">
        <f aca="false">H79-I79-S79</f>
        <v>-78594.6403121201</v>
      </c>
      <c r="HT79" s="20" t="n">
        <f aca="false">IF(B79=0,IF(AND(Has_q6=1,In_q6=4),PR_ShareVaries*(MAX(0,HS79)/12),MIN(IF(Has_q6=1,CHOOSE(In_q6+1,PR_SaveB1,PR_SaveB2,PR_SaveB3,PR_SaveB4,0),AS_NoAnswer),AS_SaveShare*(MAX(0,HS79)/12))),HT78)</f>
        <v>62.3316893520437</v>
      </c>
      <c r="HU79" s="20" t="n">
        <f aca="false">IF(HS79&gt;=0,1,0)</f>
        <v>0</v>
      </c>
      <c r="HV79" s="20" t="n">
        <f aca="false">MAX(0,HS79/12/F79)</f>
        <v>0</v>
      </c>
      <c r="HW79" s="20" t="n">
        <f aca="false">IF(AND(Has_q6=1,In_q6=4),PR_ShareVaries*(HV79),MIN(IF(Has_q6=1,CHOOSE(In_q6+1,PR_SaveB1,PR_SaveB2,PR_SaveB3,PR_SaveB4,0),AS_NoAnswer),AS_SaveShare*(HV79)))</f>
        <v>0</v>
      </c>
      <c r="HX79" s="20" t="n">
        <f aca="false">IF(Has_saveM=1,IF(In_saveUp="Yes",1,IF(In_saveUp="No",0,IF(In_saveM&gt;=HT79-0.5,1,0))),0)</f>
        <v>0</v>
      </c>
      <c r="HY79" s="20" t="n">
        <f aca="false">IF(Has_saveM=1,MIN(HV79,IF(HX79=1,MAX(In_saveM,HW79),MIN(In_saveM,HW79))),HW79)</f>
        <v>0</v>
      </c>
      <c r="HZ79" s="20" t="n">
        <f aca="false">IF(G79=1,HY79*12*F79,0)</f>
        <v>0</v>
      </c>
      <c r="IA79" s="20" t="n">
        <f aca="false">MAX(0,HZ79+IF(AND(WI_Retire=0,WI_M&lt;0,G79=1),WI_M*12*F79,0))</f>
        <v>0</v>
      </c>
      <c r="IB79" s="20" t="n">
        <f aca="false">Slot1_IsWG*W79+Slot2_IsWG*AH79+Slot3_IsWG*AR79+Slot4_IsWG*BB79+Slot5_IsWG*BL79+Slot6_IsWG*BV79+Slot7_IsWG*CF79+Slot8_IsWG*CP79+Slot9_IsWG*CZ79+Slot10_IsWG*DJ79+Slot11_IsWG*DT79+Slot12_IsWG*ED79+Slot13_IsWG*EN79+Slot14_IsWG*EX79+Slot15_IsWG*FH79+Slot16_IsWG*FR79+Slot17_IsWG*GB79+Slot18_IsWG*GL79+Slot19_IsWG*GV79+Slot20_IsWG*HF79</f>
        <v>0</v>
      </c>
      <c r="IC79" s="20" t="n">
        <f aca="false">IF(AND(WI_Retire=0,WI_M&gt;0,G79=1,IB79&gt;=1),WI_M*12*F79,0)</f>
        <v>0</v>
      </c>
      <c r="ID79" s="20" t="n">
        <f aca="false">IF(HU79=1,MIN(IA79,HS79),0)</f>
        <v>0</v>
      </c>
      <c r="IE79" s="20" t="n">
        <f aca="false">IF(HU79=1,MIN(IC79,HS79-ID79),0)</f>
        <v>0</v>
      </c>
      <c r="IF79" s="20" t="n">
        <f aca="false">IF(W79=1,IF(ABS((1+AS_Wage)/(1+Slot1_Rate)-1)&lt;0.000000000001,(Slot1_Age-D79)*(1+Slot1_Rate)^(Slot1_Age-D79),(1+Slot1_Rate)^(Slot1_Age-D79)*(1-((1+AS_Wage)/(1+Slot1_Rate))^(Slot1_Age-D79))/(1-(1+AS_Wage)/(1+Slot1_Rate))),1)</f>
        <v>1</v>
      </c>
      <c r="IG79" s="20" t="n">
        <f aca="false">IF(AND(HU79=1,IE79&gt;0,Slot1_IsWG=1,W79=1),MAX(0,(Slot1_Cost-X79*(1+Slot1_Rate)^(Slot1_Age-D79))/IF79),0)</f>
        <v>0</v>
      </c>
      <c r="IH79" s="20" t="n">
        <f aca="false">IF(AND(HU79=1,IE79&gt;0,Slot1_IsWG=1,W79=1),MIN(IE79,IG79),0)</f>
        <v>0</v>
      </c>
      <c r="II79" s="20" t="n">
        <f aca="false">X79+IH79</f>
        <v>0</v>
      </c>
      <c r="IJ79" s="20" t="n">
        <f aca="false">IF(W79=1,MAX(0,(Slot1_Cost-II79*(1+Slot1_Rate)^(Slot1_Age-D79))/IF79),0)</f>
        <v>0</v>
      </c>
      <c r="IK79" s="20" t="n">
        <f aca="false">IF(W79=1,MAX(0,(Slot1_Cost-X79*(1+Slot1_Rate)^(Slot1_Age-D79))/IF79),0)</f>
        <v>0</v>
      </c>
      <c r="IL79" s="20" t="n">
        <f aca="false">IF(AND(HU79=1,W79=1),MIN(ID79,IJ79),0)</f>
        <v>0</v>
      </c>
      <c r="IM79" s="20" t="n">
        <f aca="false">ID79-IL79</f>
        <v>0</v>
      </c>
      <c r="IN79" s="20" t="n">
        <f aca="false">IF(AH79=1,IF(ABS((1+AS_Wage)/(1+Slot2_Rate)-1)&lt;0.000000000001,(Slot2_Age-D79)*(1+Slot2_Rate)^(Slot2_Age-D79),(1+Slot2_Rate)^(Slot2_Age-D79)*(1-((1+AS_Wage)/(1+Slot2_Rate))^(Slot2_Age-D79))/(1-(1+AS_Wage)/(1+Slot2_Rate))),1)</f>
        <v>1</v>
      </c>
      <c r="IO79" s="20" t="n">
        <f aca="false">IF(AND(HU79=1,IE79&gt;0,Slot2_IsWG=1,AH79=1),MAX(0,(Slot2_Cost-AI79*(1+Slot2_Rate)^(Slot2_Age-D79))/IN79),0)</f>
        <v>0</v>
      </c>
      <c r="IP79" s="20" t="n">
        <f aca="false">IF(AND(HU79=1,IE79&gt;0,Slot2_IsWG=1,AH79=1),MIN(IE79,IO79),0)</f>
        <v>0</v>
      </c>
      <c r="IQ79" s="20" t="n">
        <f aca="false">AI79+IP79</f>
        <v>0</v>
      </c>
      <c r="IR79" s="20" t="n">
        <f aca="false">IF(AH79=1,MAX(0,(Slot2_Cost-IQ79*(1+Slot2_Rate)^(Slot2_Age-D79))/IN79),0)</f>
        <v>0</v>
      </c>
      <c r="IS79" s="20" t="n">
        <f aca="false">IF(AH79=1,MAX(0,(Slot2_Cost-AI79*(1+Slot2_Rate)^(Slot2_Age-D79))/IN79),0)</f>
        <v>0</v>
      </c>
      <c r="IT79" s="20" t="n">
        <f aca="false">IF(AND(HU79=1,AH79=1),MIN(IM79,IR79),0)</f>
        <v>0</v>
      </c>
      <c r="IU79" s="20" t="n">
        <f aca="false">IM79-IT79</f>
        <v>0</v>
      </c>
      <c r="IV79" s="20" t="n">
        <f aca="false">IF(AR79=1,IF(ABS((1+AS_Wage)/(1+Slot3_Rate)-1)&lt;0.000000000001,(Slot3_Age-D79)*(1+Slot3_Rate)^(Slot3_Age-D79),(1+Slot3_Rate)^(Slot3_Age-D79)*(1-((1+AS_Wage)/(1+Slot3_Rate))^(Slot3_Age-D79))/(1-(1+AS_Wage)/(1+Slot3_Rate))),1)</f>
        <v>1</v>
      </c>
      <c r="IW79" s="20" t="n">
        <f aca="false">IF(AND(HU79=1,IE79&gt;0,Slot3_IsWG=1,AR79=1),MAX(0,(Slot3_Cost-AS79*(1+Slot3_Rate)^(Slot3_Age-D79))/IV79),0)</f>
        <v>0</v>
      </c>
      <c r="IX79" s="20" t="n">
        <f aca="false">IF(AND(HU79=1,IE79&gt;0,Slot3_IsWG=1,AR79=1),MIN(IE79,IW79),0)</f>
        <v>0</v>
      </c>
      <c r="IY79" s="20" t="n">
        <f aca="false">AS79+IX79</f>
        <v>0</v>
      </c>
      <c r="IZ79" s="20" t="n">
        <f aca="false">IF(AR79=1,MAX(0,(Slot3_Cost-IY79*(1+Slot3_Rate)^(Slot3_Age-D79))/IV79),0)</f>
        <v>0</v>
      </c>
      <c r="JA79" s="20" t="n">
        <f aca="false">IF(AR79=1,MAX(0,(Slot3_Cost-AS79*(1+Slot3_Rate)^(Slot3_Age-D79))/IV79),0)</f>
        <v>0</v>
      </c>
      <c r="JB79" s="20" t="n">
        <f aca="false">IF(AND(HU79=1,AR79=1),MIN(IU79,IZ79),0)</f>
        <v>0</v>
      </c>
      <c r="JC79" s="20" t="n">
        <f aca="false">IU79-JB79</f>
        <v>0</v>
      </c>
      <c r="JD79" s="20" t="n">
        <f aca="false">IF(BB79=1,IF(ABS((1+AS_Wage)/(1+Slot4_Rate)-1)&lt;0.000000000001,(Slot4_Age-D79)*(1+Slot4_Rate)^(Slot4_Age-D79),(1+Slot4_Rate)^(Slot4_Age-D79)*(1-((1+AS_Wage)/(1+Slot4_Rate))^(Slot4_Age-D79))/(1-(1+AS_Wage)/(1+Slot4_Rate))),1)</f>
        <v>1</v>
      </c>
      <c r="JE79" s="20" t="n">
        <f aca="false">IF(AND(HU79=1,IE79&gt;0,Slot4_IsWG=1,BB79=1),MAX(0,(Slot4_Cost-BC79*(1+Slot4_Rate)^(Slot4_Age-D79))/JD79),0)</f>
        <v>0</v>
      </c>
      <c r="JF79" s="20" t="n">
        <f aca="false">IF(AND(HU79=1,IE79&gt;0,Slot4_IsWG=1,BB79=1),MIN(IE79,JE79),0)</f>
        <v>0</v>
      </c>
      <c r="JG79" s="20" t="n">
        <f aca="false">BC79+JF79</f>
        <v>0</v>
      </c>
      <c r="JH79" s="20" t="n">
        <f aca="false">IF(BB79=1,MAX(0,(Slot4_Cost-JG79*(1+Slot4_Rate)^(Slot4_Age-D79))/JD79),0)</f>
        <v>0</v>
      </c>
      <c r="JI79" s="20" t="n">
        <f aca="false">IF(BB79=1,MAX(0,(Slot4_Cost-BC79*(1+Slot4_Rate)^(Slot4_Age-D79))/JD79),0)</f>
        <v>0</v>
      </c>
      <c r="JJ79" s="20" t="n">
        <f aca="false">IF(AND(HU79=1,BB79=1),MIN(JC79,JH79),0)</f>
        <v>0</v>
      </c>
      <c r="JK79" s="20" t="n">
        <f aca="false">JC79-JJ79</f>
        <v>0</v>
      </c>
      <c r="JL79" s="20" t="n">
        <f aca="false">IF(BL79=1,IF(ABS((1+AS_Wage)/(1+Slot5_Rate)-1)&lt;0.000000000001,(Slot5_Age-D79)*(1+Slot5_Rate)^(Slot5_Age-D79),(1+Slot5_Rate)^(Slot5_Age-D79)*(1-((1+AS_Wage)/(1+Slot5_Rate))^(Slot5_Age-D79))/(1-(1+AS_Wage)/(1+Slot5_Rate))),1)</f>
        <v>1</v>
      </c>
      <c r="JM79" s="20" t="n">
        <f aca="false">IF(AND(HU79=1,IE79&gt;0,Slot5_IsWG=1,BL79=1),MAX(0,(Slot5_Cost-BM79*(1+Slot5_Rate)^(Slot5_Age-D79))/JL79),0)</f>
        <v>0</v>
      </c>
      <c r="JN79" s="20" t="n">
        <f aca="false">IF(AND(HU79=1,IE79&gt;0,Slot5_IsWG=1,BL79=1),MIN(IE79,JM79),0)</f>
        <v>0</v>
      </c>
      <c r="JO79" s="20" t="n">
        <f aca="false">BM79+JN79</f>
        <v>0</v>
      </c>
      <c r="JP79" s="20" t="n">
        <f aca="false">IF(BL79=1,MAX(0,(Slot5_Cost-JO79*(1+Slot5_Rate)^(Slot5_Age-D79))/JL79),0)</f>
        <v>0</v>
      </c>
      <c r="JQ79" s="20" t="n">
        <f aca="false">IF(BL79=1,MAX(0,(Slot5_Cost-BM79*(1+Slot5_Rate)^(Slot5_Age-D79))/JL79),0)</f>
        <v>0</v>
      </c>
      <c r="JR79" s="20" t="n">
        <f aca="false">IF(AND(HU79=1,BL79=1),MIN(JK79,JP79),0)</f>
        <v>0</v>
      </c>
      <c r="JS79" s="20" t="n">
        <f aca="false">JK79-JR79</f>
        <v>0</v>
      </c>
      <c r="JT79" s="20" t="n">
        <f aca="false">IF(BV79=1,IF(ABS((1+AS_Wage)/(1+Slot6_Rate)-1)&lt;0.000000000001,(Slot6_Age-D79)*(1+Slot6_Rate)^(Slot6_Age-D79),(1+Slot6_Rate)^(Slot6_Age-D79)*(1-((1+AS_Wage)/(1+Slot6_Rate))^(Slot6_Age-D79))/(1-(1+AS_Wage)/(1+Slot6_Rate))),1)</f>
        <v>1</v>
      </c>
      <c r="JU79" s="20" t="n">
        <f aca="false">IF(AND(HU79=1,IE79&gt;0,Slot6_IsWG=1,BV79=1),MAX(0,(Slot6_Cost-BW79*(1+Slot6_Rate)^(Slot6_Age-D79))/JT79),0)</f>
        <v>0</v>
      </c>
      <c r="JV79" s="20" t="n">
        <f aca="false">IF(AND(HU79=1,IE79&gt;0,Slot6_IsWG=1,BV79=1),MIN(IE79,JU79),0)</f>
        <v>0</v>
      </c>
      <c r="JW79" s="20" t="n">
        <f aca="false">BW79+JV79</f>
        <v>0</v>
      </c>
      <c r="JX79" s="20" t="n">
        <f aca="false">IF(BV79=1,MAX(0,(Slot6_Cost-JW79*(1+Slot6_Rate)^(Slot6_Age-D79))/JT79),0)</f>
        <v>0</v>
      </c>
      <c r="JY79" s="20" t="n">
        <f aca="false">IF(BV79=1,MAX(0,(Slot6_Cost-BW79*(1+Slot6_Rate)^(Slot6_Age-D79))/JT79),0)</f>
        <v>0</v>
      </c>
      <c r="JZ79" s="20" t="n">
        <f aca="false">IF(AND(HU79=1,BV79=1),MIN(JS79,JX79),0)</f>
        <v>0</v>
      </c>
      <c r="KA79" s="20" t="n">
        <f aca="false">JS79-JZ79</f>
        <v>0</v>
      </c>
      <c r="KB79" s="20" t="n">
        <f aca="false">IF(CF79=1,IF(ABS((1+AS_Wage)/(1+Slot7_Rate)-1)&lt;0.000000000001,(Slot7_Age-D79)*(1+Slot7_Rate)^(Slot7_Age-D79),(1+Slot7_Rate)^(Slot7_Age-D79)*(1-((1+AS_Wage)/(1+Slot7_Rate))^(Slot7_Age-D79))/(1-(1+AS_Wage)/(1+Slot7_Rate))),1)</f>
        <v>1</v>
      </c>
      <c r="KC79" s="20" t="n">
        <f aca="false">IF(AND(HU79=1,IE79&gt;0,Slot7_IsWG=1,CF79=1),MAX(0,(Slot7_Cost-CG79*(1+Slot7_Rate)^(Slot7_Age-D79))/KB79),0)</f>
        <v>0</v>
      </c>
      <c r="KD79" s="20" t="n">
        <f aca="false">IF(AND(HU79=1,IE79&gt;0,Slot7_IsWG=1,CF79=1),MIN(IE79,KC79),0)</f>
        <v>0</v>
      </c>
      <c r="KE79" s="20" t="n">
        <f aca="false">CG79+KD79</f>
        <v>0</v>
      </c>
      <c r="KF79" s="20" t="n">
        <f aca="false">IF(CF79=1,MAX(0,(Slot7_Cost-KE79*(1+Slot7_Rate)^(Slot7_Age-D79))/KB79),0)</f>
        <v>0</v>
      </c>
      <c r="KG79" s="20" t="n">
        <f aca="false">IF(CF79=1,MAX(0,(Slot7_Cost-CG79*(1+Slot7_Rate)^(Slot7_Age-D79))/KB79),0)</f>
        <v>0</v>
      </c>
      <c r="KH79" s="20" t="n">
        <f aca="false">IF(AND(HU79=1,CF79=1),MIN(KA79,KF79),0)</f>
        <v>0</v>
      </c>
      <c r="KI79" s="20" t="n">
        <f aca="false">KA79-KH79</f>
        <v>0</v>
      </c>
      <c r="KJ79" s="20" t="n">
        <f aca="false">IF(CP79=1,IF(ABS((1+AS_Wage)/(1+Slot8_Rate)-1)&lt;0.000000000001,(Slot8_Age-D79)*(1+Slot8_Rate)^(Slot8_Age-D79),(1+Slot8_Rate)^(Slot8_Age-D79)*(1-((1+AS_Wage)/(1+Slot8_Rate))^(Slot8_Age-D79))/(1-(1+AS_Wage)/(1+Slot8_Rate))),1)</f>
        <v>1</v>
      </c>
      <c r="KK79" s="20" t="n">
        <f aca="false">IF(AND(HU79=1,IE79&gt;0,Slot8_IsWG=1,CP79=1),MAX(0,(Slot8_Cost-CQ79*(1+Slot8_Rate)^(Slot8_Age-D79))/KJ79),0)</f>
        <v>0</v>
      </c>
      <c r="KL79" s="20" t="n">
        <f aca="false">IF(AND(HU79=1,IE79&gt;0,Slot8_IsWG=1,CP79=1),MIN(IE79,KK79),0)</f>
        <v>0</v>
      </c>
      <c r="KM79" s="20" t="n">
        <f aca="false">CQ79+KL79</f>
        <v>0</v>
      </c>
      <c r="KN79" s="20" t="n">
        <f aca="false">IF(CP79=1,MAX(0,(Slot8_Cost-KM79*(1+Slot8_Rate)^(Slot8_Age-D79))/KJ79),0)</f>
        <v>0</v>
      </c>
      <c r="KO79" s="20" t="n">
        <f aca="false">IF(CP79=1,MAX(0,(Slot8_Cost-CQ79*(1+Slot8_Rate)^(Slot8_Age-D79))/KJ79),0)</f>
        <v>0</v>
      </c>
      <c r="KP79" s="20" t="n">
        <f aca="false">IF(AND(HU79=1,CP79=1),MIN(KI79,KN79),0)</f>
        <v>0</v>
      </c>
      <c r="KQ79" s="20" t="n">
        <f aca="false">KI79-KP79</f>
        <v>0</v>
      </c>
      <c r="KR79" s="20" t="n">
        <f aca="false">IF(CZ79=1,IF(ABS((1+AS_Wage)/(1+Slot9_Rate)-1)&lt;0.000000000001,(Slot9_Age-D79)*(1+Slot9_Rate)^(Slot9_Age-D79),(1+Slot9_Rate)^(Slot9_Age-D79)*(1-((1+AS_Wage)/(1+Slot9_Rate))^(Slot9_Age-D79))/(1-(1+AS_Wage)/(1+Slot9_Rate))),1)</f>
        <v>1</v>
      </c>
      <c r="KS79" s="20" t="n">
        <f aca="false">IF(AND(HU79=1,IE79&gt;0,Slot9_IsWG=1,CZ79=1),MAX(0,(Slot9_Cost-DA79*(1+Slot9_Rate)^(Slot9_Age-D79))/KR79),0)</f>
        <v>0</v>
      </c>
      <c r="KT79" s="20" t="n">
        <f aca="false">IF(AND(HU79=1,IE79&gt;0,Slot9_IsWG=1,CZ79=1),MIN(IE79,KS79),0)</f>
        <v>0</v>
      </c>
      <c r="KU79" s="20" t="n">
        <f aca="false">DA79+KT79</f>
        <v>0</v>
      </c>
      <c r="KV79" s="20" t="n">
        <f aca="false">IF(CZ79=1,MAX(0,(Slot9_Cost-KU79*(1+Slot9_Rate)^(Slot9_Age-D79))/KR79),0)</f>
        <v>0</v>
      </c>
      <c r="KW79" s="20" t="n">
        <f aca="false">IF(CZ79=1,MAX(0,(Slot9_Cost-DA79*(1+Slot9_Rate)^(Slot9_Age-D79))/KR79),0)</f>
        <v>0</v>
      </c>
      <c r="KX79" s="20" t="n">
        <f aca="false">IF(AND(HU79=1,CZ79=1),MIN(KQ79,KV79),0)</f>
        <v>0</v>
      </c>
      <c r="KY79" s="20" t="n">
        <f aca="false">KQ79-KX79</f>
        <v>0</v>
      </c>
      <c r="KZ79" s="20" t="n">
        <f aca="false">IF(DJ79=1,IF(ABS((1+AS_Wage)/(1+Slot10_Rate)-1)&lt;0.000000000001,(Slot10_Age-D79)*(1+Slot10_Rate)^(Slot10_Age-D79),(1+Slot10_Rate)^(Slot10_Age-D79)*(1-((1+AS_Wage)/(1+Slot10_Rate))^(Slot10_Age-D79))/(1-(1+AS_Wage)/(1+Slot10_Rate))),1)</f>
        <v>1</v>
      </c>
      <c r="LA79" s="20" t="n">
        <f aca="false">IF(AND(HU79=1,IE79&gt;0,Slot10_IsWG=1,DJ79=1),MAX(0,(Slot10_Cost-DK79*(1+Slot10_Rate)^(Slot10_Age-D79))/KZ79),0)</f>
        <v>0</v>
      </c>
      <c r="LB79" s="20" t="n">
        <f aca="false">IF(AND(HU79=1,IE79&gt;0,Slot10_IsWG=1,DJ79=1),MIN(IE79,LA79),0)</f>
        <v>0</v>
      </c>
      <c r="LC79" s="20" t="n">
        <f aca="false">DK79+LB79</f>
        <v>0</v>
      </c>
      <c r="LD79" s="20" t="n">
        <f aca="false">IF(DJ79=1,MAX(0,(Slot10_Cost-LC79*(1+Slot10_Rate)^(Slot10_Age-D79))/KZ79),0)</f>
        <v>0</v>
      </c>
      <c r="LE79" s="20" t="n">
        <f aca="false">IF(DJ79=1,MAX(0,(Slot10_Cost-DK79*(1+Slot10_Rate)^(Slot10_Age-D79))/KZ79),0)</f>
        <v>0</v>
      </c>
      <c r="LF79" s="20" t="n">
        <f aca="false">IF(AND(HU79=1,DJ79=1),MIN(KY79,LD79),0)</f>
        <v>0</v>
      </c>
      <c r="LG79" s="20" t="n">
        <f aca="false">KY79-LF79</f>
        <v>0</v>
      </c>
      <c r="LH79" s="20" t="n">
        <f aca="false">IF(DT79=1,IF(ABS((1+AS_Wage)/(1+Slot11_Rate)-1)&lt;0.000000000001,(Slot11_Age-D79)*(1+Slot11_Rate)^(Slot11_Age-D79),(1+Slot11_Rate)^(Slot11_Age-D79)*(1-((1+AS_Wage)/(1+Slot11_Rate))^(Slot11_Age-D79))/(1-(1+AS_Wage)/(1+Slot11_Rate))),1)</f>
        <v>1</v>
      </c>
      <c r="LI79" s="20" t="n">
        <f aca="false">IF(AND(HU79=1,IE79&gt;0,Slot11_IsWG=1,DT79=1),MAX(0,(Slot11_Cost-DU79*(1+Slot11_Rate)^(Slot11_Age-D79))/LH79),0)</f>
        <v>0</v>
      </c>
      <c r="LJ79" s="20" t="n">
        <f aca="false">IF(AND(HU79=1,IE79&gt;0,Slot11_IsWG=1,DT79=1),MIN(IE79,LI79),0)</f>
        <v>0</v>
      </c>
      <c r="LK79" s="20" t="n">
        <f aca="false">DU79+LJ79</f>
        <v>0</v>
      </c>
      <c r="LL79" s="20" t="n">
        <f aca="false">IF(DT79=1,MAX(0,(Slot11_Cost-LK79*(1+Slot11_Rate)^(Slot11_Age-D79))/LH79),0)</f>
        <v>0</v>
      </c>
      <c r="LM79" s="20" t="n">
        <f aca="false">IF(DT79=1,MAX(0,(Slot11_Cost-DU79*(1+Slot11_Rate)^(Slot11_Age-D79))/LH79),0)</f>
        <v>0</v>
      </c>
      <c r="LN79" s="20" t="n">
        <f aca="false">IF(AND(HU79=1,DT79=1),MIN(LG79,LL79),0)</f>
        <v>0</v>
      </c>
      <c r="LO79" s="20" t="n">
        <f aca="false">LG79-LN79</f>
        <v>0</v>
      </c>
      <c r="LP79" s="20" t="n">
        <f aca="false">IF(ED79=1,IF(ABS((1+AS_Wage)/(1+Slot12_Rate)-1)&lt;0.000000000001,(Slot12_Age-D79)*(1+Slot12_Rate)^(Slot12_Age-D79),(1+Slot12_Rate)^(Slot12_Age-D79)*(1-((1+AS_Wage)/(1+Slot12_Rate))^(Slot12_Age-D79))/(1-(1+AS_Wage)/(1+Slot12_Rate))),1)</f>
        <v>1</v>
      </c>
      <c r="LQ79" s="20" t="n">
        <f aca="false">IF(AND(HU79=1,IE79&gt;0,Slot12_IsWG=1,ED79=1),MAX(0,(Slot12_Cost-EE79*(1+Slot12_Rate)^(Slot12_Age-D79))/LP79),0)</f>
        <v>0</v>
      </c>
      <c r="LR79" s="20" t="n">
        <f aca="false">IF(AND(HU79=1,IE79&gt;0,Slot12_IsWG=1,ED79=1),MIN(IE79,LQ79),0)</f>
        <v>0</v>
      </c>
      <c r="LS79" s="20" t="n">
        <f aca="false">EE79+LR79</f>
        <v>0</v>
      </c>
      <c r="LT79" s="20" t="n">
        <f aca="false">IF(ED79=1,MAX(0,(Slot12_Cost-LS79*(1+Slot12_Rate)^(Slot12_Age-D79))/LP79),0)</f>
        <v>0</v>
      </c>
      <c r="LU79" s="20" t="n">
        <f aca="false">IF(ED79=1,MAX(0,(Slot12_Cost-EE79*(1+Slot12_Rate)^(Slot12_Age-D79))/LP79),0)</f>
        <v>0</v>
      </c>
      <c r="LV79" s="20" t="n">
        <f aca="false">IF(AND(HU79=1,ED79=1),MIN(LO79,LT79),0)</f>
        <v>0</v>
      </c>
      <c r="LW79" s="20" t="n">
        <f aca="false">LO79-LV79</f>
        <v>0</v>
      </c>
      <c r="LX79" s="20" t="n">
        <f aca="false">IF(EN79=1,IF(ABS((1+AS_Wage)/(1+Slot13_Rate)-1)&lt;0.000000000001,(Slot13_Age-D79)*(1+Slot13_Rate)^(Slot13_Age-D79),(1+Slot13_Rate)^(Slot13_Age-D79)*(1-((1+AS_Wage)/(1+Slot13_Rate))^(Slot13_Age-D79))/(1-(1+AS_Wage)/(1+Slot13_Rate))),1)</f>
        <v>1</v>
      </c>
      <c r="LY79" s="20" t="n">
        <f aca="false">IF(AND(HU79=1,IE79&gt;0,Slot13_IsWG=1,EN79=1),MAX(0,(Slot13_Cost-EO79*(1+Slot13_Rate)^(Slot13_Age-D79))/LX79),0)</f>
        <v>0</v>
      </c>
      <c r="LZ79" s="20" t="n">
        <f aca="false">IF(AND(HU79=1,IE79&gt;0,Slot13_IsWG=1,EN79=1),MIN(IE79,LY79),0)</f>
        <v>0</v>
      </c>
      <c r="MA79" s="20" t="n">
        <f aca="false">EO79+LZ79</f>
        <v>0</v>
      </c>
      <c r="MB79" s="20" t="n">
        <f aca="false">IF(EN79=1,MAX(0,(Slot13_Cost-MA79*(1+Slot13_Rate)^(Slot13_Age-D79))/LX79),0)</f>
        <v>0</v>
      </c>
      <c r="MC79" s="20" t="n">
        <f aca="false">IF(EN79=1,MAX(0,(Slot13_Cost-EO79*(1+Slot13_Rate)^(Slot13_Age-D79))/LX79),0)</f>
        <v>0</v>
      </c>
      <c r="MD79" s="20" t="n">
        <f aca="false">IF(AND(HU79=1,EN79=1),MIN(LW79,MB79),0)</f>
        <v>0</v>
      </c>
      <c r="ME79" s="20" t="n">
        <f aca="false">LW79-MD79</f>
        <v>0</v>
      </c>
      <c r="MF79" s="20" t="n">
        <f aca="false">IF(EX79=1,IF(ABS((1+AS_Wage)/(1+Slot14_Rate)-1)&lt;0.000000000001,(Slot14_Age-D79)*(1+Slot14_Rate)^(Slot14_Age-D79),(1+Slot14_Rate)^(Slot14_Age-D79)*(1-((1+AS_Wage)/(1+Slot14_Rate))^(Slot14_Age-D79))/(1-(1+AS_Wage)/(1+Slot14_Rate))),1)</f>
        <v>1</v>
      </c>
      <c r="MG79" s="20" t="n">
        <f aca="false">IF(AND(HU79=1,IE79&gt;0,Slot14_IsWG=1,EX79=1),MAX(0,(Slot14_Cost-EY79*(1+Slot14_Rate)^(Slot14_Age-D79))/MF79),0)</f>
        <v>0</v>
      </c>
      <c r="MH79" s="20" t="n">
        <f aca="false">IF(AND(HU79=1,IE79&gt;0,Slot14_IsWG=1,EX79=1),MIN(IE79,MG79),0)</f>
        <v>0</v>
      </c>
      <c r="MI79" s="20" t="n">
        <f aca="false">EY79+MH79</f>
        <v>0</v>
      </c>
      <c r="MJ79" s="20" t="n">
        <f aca="false">IF(EX79=1,MAX(0,(Slot14_Cost-MI79*(1+Slot14_Rate)^(Slot14_Age-D79))/MF79),0)</f>
        <v>0</v>
      </c>
      <c r="MK79" s="20" t="n">
        <f aca="false">IF(EX79=1,MAX(0,(Slot14_Cost-EY79*(1+Slot14_Rate)^(Slot14_Age-D79))/MF79),0)</f>
        <v>0</v>
      </c>
      <c r="ML79" s="20" t="n">
        <f aca="false">IF(AND(HU79=1,EX79=1),MIN(ME79,MJ79),0)</f>
        <v>0</v>
      </c>
      <c r="MM79" s="20" t="n">
        <f aca="false">ME79-ML79</f>
        <v>0</v>
      </c>
      <c r="MN79" s="20" t="n">
        <f aca="false">IF(FH79=1,IF(ABS((1+AS_Wage)/(1+Slot15_Rate)-1)&lt;0.000000000001,(Slot15_Age-D79)*(1+Slot15_Rate)^(Slot15_Age-D79),(1+Slot15_Rate)^(Slot15_Age-D79)*(1-((1+AS_Wage)/(1+Slot15_Rate))^(Slot15_Age-D79))/(1-(1+AS_Wage)/(1+Slot15_Rate))),1)</f>
        <v>1</v>
      </c>
      <c r="MO79" s="20" t="n">
        <f aca="false">IF(AND(HU79=1,IE79&gt;0,Slot15_IsWG=1,FH79=1),MAX(0,(Slot15_Cost-FI79*(1+Slot15_Rate)^(Slot15_Age-D79))/MN79),0)</f>
        <v>0</v>
      </c>
      <c r="MP79" s="20" t="n">
        <f aca="false">IF(AND(HU79=1,IE79&gt;0,Slot15_IsWG=1,FH79=1),MIN(IE79,MO79),0)</f>
        <v>0</v>
      </c>
      <c r="MQ79" s="20" t="n">
        <f aca="false">FI79+MP79</f>
        <v>0</v>
      </c>
      <c r="MR79" s="20" t="n">
        <f aca="false">IF(FH79=1,MAX(0,(Slot15_Cost-MQ79*(1+Slot15_Rate)^(Slot15_Age-D79))/MN79),0)</f>
        <v>0</v>
      </c>
      <c r="MS79" s="20" t="n">
        <f aca="false">IF(FH79=1,MAX(0,(Slot15_Cost-FI79*(1+Slot15_Rate)^(Slot15_Age-D79))/MN79),0)</f>
        <v>0</v>
      </c>
      <c r="MT79" s="20" t="n">
        <f aca="false">IF(AND(HU79=1,FH79=1),MIN(MM79,MR79),0)</f>
        <v>0</v>
      </c>
      <c r="MU79" s="20" t="n">
        <f aca="false">MM79-MT79</f>
        <v>0</v>
      </c>
      <c r="MV79" s="20" t="n">
        <f aca="false">IF(FR79=1,IF(ABS((1+AS_Wage)/(1+Slot16_Rate)-1)&lt;0.000000000001,(Slot16_Age-D79)*(1+Slot16_Rate)^(Slot16_Age-D79),(1+Slot16_Rate)^(Slot16_Age-D79)*(1-((1+AS_Wage)/(1+Slot16_Rate))^(Slot16_Age-D79))/(1-(1+AS_Wage)/(1+Slot16_Rate))),1)</f>
        <v>1</v>
      </c>
      <c r="MW79" s="20" t="n">
        <f aca="false">IF(AND(HU79=1,IE79&gt;0,Slot16_IsWG=1,FR79=1),MAX(0,(Slot16_Cost-FS79*(1+Slot16_Rate)^(Slot16_Age-D79))/MV79),0)</f>
        <v>0</v>
      </c>
      <c r="MX79" s="20" t="n">
        <f aca="false">IF(AND(HU79=1,IE79&gt;0,Slot16_IsWG=1,FR79=1),MIN(IE79,MW79),0)</f>
        <v>0</v>
      </c>
      <c r="MY79" s="20" t="n">
        <f aca="false">FS79+MX79</f>
        <v>0</v>
      </c>
      <c r="MZ79" s="20" t="n">
        <f aca="false">IF(FR79=1,MAX(0,(Slot16_Cost-MY79*(1+Slot16_Rate)^(Slot16_Age-D79))/MV79),0)</f>
        <v>0</v>
      </c>
      <c r="NA79" s="20" t="n">
        <f aca="false">IF(FR79=1,MAX(0,(Slot16_Cost-FS79*(1+Slot16_Rate)^(Slot16_Age-D79))/MV79),0)</f>
        <v>0</v>
      </c>
      <c r="NB79" s="20" t="n">
        <f aca="false">IF(AND(HU79=1,FR79=1),MIN(MU79,MZ79),0)</f>
        <v>0</v>
      </c>
      <c r="NC79" s="20" t="n">
        <f aca="false">MU79-NB79</f>
        <v>0</v>
      </c>
      <c r="ND79" s="20" t="n">
        <f aca="false">IF(GB79=1,IF(ABS((1+AS_Wage)/(1+Slot17_Rate)-1)&lt;0.000000000001,(Slot17_Age-D79)*(1+Slot17_Rate)^(Slot17_Age-D79),(1+Slot17_Rate)^(Slot17_Age-D79)*(1-((1+AS_Wage)/(1+Slot17_Rate))^(Slot17_Age-D79))/(1-(1+AS_Wage)/(1+Slot17_Rate))),1)</f>
        <v>1</v>
      </c>
      <c r="NE79" s="20" t="n">
        <f aca="false">IF(AND(HU79=1,IE79&gt;0,Slot17_IsWG=1,GB79=1),MAX(0,(Slot17_Cost-GC79*(1+Slot17_Rate)^(Slot17_Age-D79))/ND79),0)</f>
        <v>0</v>
      </c>
      <c r="NF79" s="20" t="n">
        <f aca="false">IF(AND(HU79=1,IE79&gt;0,Slot17_IsWG=1,GB79=1),MIN(IE79,NE79),0)</f>
        <v>0</v>
      </c>
      <c r="NG79" s="20" t="n">
        <f aca="false">GC79+NF79</f>
        <v>0</v>
      </c>
      <c r="NH79" s="20" t="n">
        <f aca="false">IF(GB79=1,MAX(0,(Slot17_Cost-NG79*(1+Slot17_Rate)^(Slot17_Age-D79))/ND79),0)</f>
        <v>0</v>
      </c>
      <c r="NI79" s="20" t="n">
        <f aca="false">IF(GB79=1,MAX(0,(Slot17_Cost-GC79*(1+Slot17_Rate)^(Slot17_Age-D79))/ND79),0)</f>
        <v>0</v>
      </c>
      <c r="NJ79" s="20" t="n">
        <f aca="false">IF(AND(HU79=1,GB79=1),MIN(NC79,NH79),0)</f>
        <v>0</v>
      </c>
      <c r="NK79" s="20" t="n">
        <f aca="false">NC79-NJ79</f>
        <v>0</v>
      </c>
      <c r="NL79" s="20" t="n">
        <f aca="false">IF(GL79=1,IF(ABS((1+AS_Wage)/(1+Slot18_Rate)-1)&lt;0.000000000001,(Slot18_Age-D79)*(1+Slot18_Rate)^(Slot18_Age-D79),(1+Slot18_Rate)^(Slot18_Age-D79)*(1-((1+AS_Wage)/(1+Slot18_Rate))^(Slot18_Age-D79))/(1-(1+AS_Wage)/(1+Slot18_Rate))),1)</f>
        <v>1</v>
      </c>
      <c r="NM79" s="20" t="n">
        <f aca="false">IF(AND(HU79=1,IE79&gt;0,Slot18_IsWG=1,GL79=1),MAX(0,(Slot18_Cost-GM79*(1+Slot18_Rate)^(Slot18_Age-D79))/NL79),0)</f>
        <v>0</v>
      </c>
      <c r="NN79" s="20" t="n">
        <f aca="false">IF(AND(HU79=1,IE79&gt;0,Slot18_IsWG=1,GL79=1),MIN(IE79,NM79),0)</f>
        <v>0</v>
      </c>
      <c r="NO79" s="20" t="n">
        <f aca="false">GM79+NN79</f>
        <v>0</v>
      </c>
      <c r="NP79" s="20" t="n">
        <f aca="false">IF(GL79=1,MAX(0,(Slot18_Cost-NO79*(1+Slot18_Rate)^(Slot18_Age-D79))/NL79),0)</f>
        <v>0</v>
      </c>
      <c r="NQ79" s="20" t="n">
        <f aca="false">IF(GL79=1,MAX(0,(Slot18_Cost-GM79*(1+Slot18_Rate)^(Slot18_Age-D79))/NL79),0)</f>
        <v>0</v>
      </c>
      <c r="NR79" s="20" t="n">
        <f aca="false">IF(AND(HU79=1,GL79=1),MIN(NK79,NP79),0)</f>
        <v>0</v>
      </c>
      <c r="NS79" s="20" t="n">
        <f aca="false">NK79-NR79</f>
        <v>0</v>
      </c>
      <c r="NT79" s="20" t="n">
        <f aca="false">IF(GV79=1,IF(ABS((1+AS_Wage)/(1+Slot19_Rate)-1)&lt;0.000000000001,(Slot19_Age-D79)*(1+Slot19_Rate)^(Slot19_Age-D79),(1+Slot19_Rate)^(Slot19_Age-D79)*(1-((1+AS_Wage)/(1+Slot19_Rate))^(Slot19_Age-D79))/(1-(1+AS_Wage)/(1+Slot19_Rate))),1)</f>
        <v>1</v>
      </c>
      <c r="NU79" s="20" t="n">
        <f aca="false">IF(AND(HU79=1,IE79&gt;0,Slot19_IsWG=1,GV79=1),MAX(0,(Slot19_Cost-GW79*(1+Slot19_Rate)^(Slot19_Age-D79))/NT79),0)</f>
        <v>0</v>
      </c>
      <c r="NV79" s="20" t="n">
        <f aca="false">IF(AND(HU79=1,IE79&gt;0,Slot19_IsWG=1,GV79=1),MIN(IE79,NU79),0)</f>
        <v>0</v>
      </c>
      <c r="NW79" s="20" t="n">
        <f aca="false">GW79+NV79</f>
        <v>0</v>
      </c>
      <c r="NX79" s="20" t="n">
        <f aca="false">IF(GV79=1,MAX(0,(Slot19_Cost-NW79*(1+Slot19_Rate)^(Slot19_Age-D79))/NT79),0)</f>
        <v>0</v>
      </c>
      <c r="NY79" s="20" t="n">
        <f aca="false">IF(GV79=1,MAX(0,(Slot19_Cost-GW79*(1+Slot19_Rate)^(Slot19_Age-D79))/NT79),0)</f>
        <v>0</v>
      </c>
      <c r="NZ79" s="20" t="n">
        <f aca="false">IF(AND(HU79=1,GV79=1),MIN(NS79,NX79),0)</f>
        <v>0</v>
      </c>
      <c r="OA79" s="20" t="n">
        <f aca="false">NS79-NZ79</f>
        <v>0</v>
      </c>
      <c r="OB79" s="20" t="n">
        <f aca="false">IF(HF79=1,IF(ABS((1+AS_Wage)/(1+Slot20_Rate)-1)&lt;0.000000000001,(Slot20_Age-D79)*(1+Slot20_Rate)^(Slot20_Age-D79),(1+Slot20_Rate)^(Slot20_Age-D79)*(1-((1+AS_Wage)/(1+Slot20_Rate))^(Slot20_Age-D79))/(1-(1+AS_Wage)/(1+Slot20_Rate))),1)</f>
        <v>1</v>
      </c>
      <c r="OC79" s="20" t="n">
        <f aca="false">IF(AND(HU79=1,IE79&gt;0,Slot20_IsWG=1,HF79=1),MAX(0,(Slot20_Cost-HG79*(1+Slot20_Rate)^(Slot20_Age-D79))/OB79),0)</f>
        <v>0</v>
      </c>
      <c r="OD79" s="20" t="n">
        <f aca="false">IF(AND(HU79=1,IE79&gt;0,Slot20_IsWG=1,HF79=1),MIN(IE79,OC79),0)</f>
        <v>0</v>
      </c>
      <c r="OE79" s="20" t="n">
        <f aca="false">HG79+OD79</f>
        <v>0</v>
      </c>
      <c r="OF79" s="20" t="n">
        <f aca="false">IF(HF79=1,MAX(0,(Slot20_Cost-OE79*(1+Slot20_Rate)^(Slot20_Age-D79))/OB79),0)</f>
        <v>0</v>
      </c>
      <c r="OG79" s="20" t="n">
        <f aca="false">IF(HF79=1,MAX(0,(Slot20_Cost-HG79*(1+Slot20_Rate)^(Slot20_Age-D79))/OB79),0)</f>
        <v>0</v>
      </c>
      <c r="OH79" s="20" t="n">
        <f aca="false">IF(AND(HU79=1,HF79=1),MIN(OA79,OF79),0)</f>
        <v>0</v>
      </c>
      <c r="OI79" s="20" t="n">
        <f aca="false">OA79-OH79</f>
        <v>0</v>
      </c>
      <c r="OJ79" s="20" t="n">
        <f aca="false">IE79-(IH79+IP79+IX79+JF79+JN79+JV79+KD79+KL79+KT79+LB79+LJ79+LR79+LZ79+MH79+MP79+MX79+NF79+NN79+NV79+OD79)</f>
        <v>0</v>
      </c>
      <c r="OK79" s="20" t="n">
        <f aca="false">IF(HU79=1,HS79-ID79-IE79,0)</f>
        <v>0</v>
      </c>
      <c r="OL79" s="20" t="n">
        <f aca="false">IF(HU79=0,-HS79,0)</f>
        <v>78594.6403121201</v>
      </c>
      <c r="OM79" s="20" t="n">
        <f aca="false">MIN(OL79,HK79)</f>
        <v>0</v>
      </c>
      <c r="ON79" s="20" t="n">
        <f aca="false">OL79-OM79</f>
        <v>78594.6403121201</v>
      </c>
      <c r="OO79" s="20" t="n">
        <f aca="false">MIN(ON79,HL79)</f>
        <v>0</v>
      </c>
      <c r="OP79" s="20" t="n">
        <f aca="false">ON79-OO79</f>
        <v>78594.6403121201</v>
      </c>
      <c r="OQ79" s="20" t="n">
        <f aca="false">IF(AND(HU79=0,HF79=1,OP79&gt;0),MIN(OP79,HG79),0)</f>
        <v>0</v>
      </c>
      <c r="OR79" s="20" t="n">
        <f aca="false">OP79-OQ79</f>
        <v>78594.6403121201</v>
      </c>
      <c r="OS79" s="20" t="n">
        <f aca="false">IF(AND(HU79=0,GV79=1,OR79&gt;0),MIN(OR79,GW79),0)</f>
        <v>0</v>
      </c>
      <c r="OT79" s="20" t="n">
        <f aca="false">OR79-OS79</f>
        <v>78594.6403121201</v>
      </c>
      <c r="OU79" s="20" t="n">
        <f aca="false">IF(AND(HU79=0,GL79=1,OT79&gt;0),MIN(OT79,GM79),0)</f>
        <v>0</v>
      </c>
      <c r="OV79" s="20" t="n">
        <f aca="false">OT79-OU79</f>
        <v>78594.6403121201</v>
      </c>
      <c r="OW79" s="20" t="n">
        <f aca="false">IF(AND(HU79=0,GB79=1,OV79&gt;0),MIN(OV79,GC79),0)</f>
        <v>0</v>
      </c>
      <c r="OX79" s="20" t="n">
        <f aca="false">OV79-OW79</f>
        <v>78594.6403121201</v>
      </c>
      <c r="OY79" s="20" t="n">
        <f aca="false">IF(AND(HU79=0,FR79=1,OX79&gt;0),MIN(OX79,FS79),0)</f>
        <v>0</v>
      </c>
      <c r="OZ79" s="20" t="n">
        <f aca="false">OX79-OY79</f>
        <v>78594.6403121201</v>
      </c>
      <c r="PA79" s="20" t="n">
        <f aca="false">IF(AND(HU79=0,FH79=1,OZ79&gt;0),MIN(OZ79,FI79),0)</f>
        <v>0</v>
      </c>
      <c r="PB79" s="20" t="n">
        <f aca="false">OZ79-PA79</f>
        <v>78594.6403121201</v>
      </c>
      <c r="PC79" s="20" t="n">
        <f aca="false">IF(AND(HU79=0,EX79=1,PB79&gt;0),MIN(PB79,EY79),0)</f>
        <v>0</v>
      </c>
      <c r="PD79" s="20" t="n">
        <f aca="false">PB79-PC79</f>
        <v>78594.6403121201</v>
      </c>
      <c r="PE79" s="20" t="n">
        <f aca="false">IF(AND(HU79=0,EN79=1,PD79&gt;0),MIN(PD79,EO79),0)</f>
        <v>0</v>
      </c>
      <c r="PF79" s="20" t="n">
        <f aca="false">PD79-PE79</f>
        <v>78594.6403121201</v>
      </c>
      <c r="PG79" s="20" t="n">
        <f aca="false">IF(AND(HU79=0,ED79=1,PF79&gt;0),MIN(PF79,EE79),0)</f>
        <v>0</v>
      </c>
      <c r="PH79" s="20" t="n">
        <f aca="false">PF79-PG79</f>
        <v>78594.6403121201</v>
      </c>
      <c r="PI79" s="20" t="n">
        <f aca="false">IF(AND(HU79=0,DT79=1,PH79&gt;0),MIN(PH79,DU79),0)</f>
        <v>0</v>
      </c>
      <c r="PJ79" s="20" t="n">
        <f aca="false">PH79-PI79</f>
        <v>78594.6403121201</v>
      </c>
      <c r="PK79" s="20" t="n">
        <f aca="false">IF(AND(HU79=0,DJ79=1,PJ79&gt;0),MIN(PJ79,DK79),0)</f>
        <v>0</v>
      </c>
      <c r="PL79" s="20" t="n">
        <f aca="false">PJ79-PK79</f>
        <v>78594.6403121201</v>
      </c>
      <c r="PM79" s="20" t="n">
        <f aca="false">IF(AND(HU79=0,CZ79=1,PL79&gt;0),MIN(PL79,DA79),0)</f>
        <v>0</v>
      </c>
      <c r="PN79" s="20" t="n">
        <f aca="false">PL79-PM79</f>
        <v>78594.6403121201</v>
      </c>
      <c r="PO79" s="20" t="n">
        <f aca="false">IF(AND(HU79=0,CP79=1,PN79&gt;0),MIN(PN79,CQ79),0)</f>
        <v>0</v>
      </c>
      <c r="PP79" s="20" t="n">
        <f aca="false">PN79-PO79</f>
        <v>78594.6403121201</v>
      </c>
      <c r="PQ79" s="20" t="n">
        <f aca="false">IF(AND(HU79=0,CF79=1,PP79&gt;0),MIN(PP79,CG79),0)</f>
        <v>0</v>
      </c>
      <c r="PR79" s="20" t="n">
        <f aca="false">PP79-PQ79</f>
        <v>78594.6403121201</v>
      </c>
      <c r="PS79" s="20" t="n">
        <f aca="false">IF(AND(HU79=0,BV79=1,PR79&gt;0),MIN(PR79,BW79),0)</f>
        <v>0</v>
      </c>
      <c r="PT79" s="20" t="n">
        <f aca="false">PR79-PS79</f>
        <v>78594.6403121201</v>
      </c>
      <c r="PU79" s="20" t="n">
        <f aca="false">IF(AND(HU79=0,BL79=1,PT79&gt;0),MIN(PT79,BM79),0)</f>
        <v>0</v>
      </c>
      <c r="PV79" s="20" t="n">
        <f aca="false">PT79-PU79</f>
        <v>78594.6403121201</v>
      </c>
      <c r="PW79" s="20" t="n">
        <f aca="false">IF(AND(HU79=0,BB79=1,PV79&gt;0),MIN(PV79,BC79),0)</f>
        <v>0</v>
      </c>
      <c r="PX79" s="20" t="n">
        <f aca="false">PV79-PW79</f>
        <v>78594.6403121201</v>
      </c>
      <c r="PY79" s="20" t="n">
        <f aca="false">IF(AND(HU79=0,AR79=1,PX79&gt;0),MIN(PX79,AS79),0)</f>
        <v>0</v>
      </c>
      <c r="PZ79" s="20" t="n">
        <f aca="false">PX79-PY79</f>
        <v>78594.6403121201</v>
      </c>
      <c r="QA79" s="20" t="n">
        <f aca="false">IF(AND(HU79=0,AH79=1,PZ79&gt;0),MIN(PZ79,AI79),0)</f>
        <v>0</v>
      </c>
      <c r="QB79" s="20" t="n">
        <f aca="false">PZ79-QA79</f>
        <v>78594.6403121201</v>
      </c>
      <c r="QC79" s="20" t="n">
        <f aca="false">IF(AND(HU79=0,W79=1,QB79&gt;0),MIN(QB79,X79),0)</f>
        <v>0</v>
      </c>
      <c r="QD79" s="20" t="n">
        <f aca="false">QB79-QC79</f>
        <v>78594.6403121201</v>
      </c>
      <c r="QE79" s="20" t="n">
        <f aca="false">IF(HU79=0,QD79,0)</f>
        <v>78594.6403121201</v>
      </c>
      <c r="QF79" s="20" t="n">
        <f aca="false">OM79+OO79+QC79+QA79+PY79+PW79+PU79+PS79+PQ79+PO79+PM79+PK79+PI79+PG79+PE79+PC79+PA79+OY79+OW79+OU79+OS79+OQ79</f>
        <v>0</v>
      </c>
      <c r="QG79" s="20" t="n">
        <f aca="false">IF(HU79=1,HK79+OJ79+OI79+IF(G79=1,0,OK79),HK79-OM79)</f>
        <v>0</v>
      </c>
      <c r="QH79" s="20" t="n">
        <f aca="false">HL79-OO79</f>
        <v>0</v>
      </c>
      <c r="QI79" s="20" t="n">
        <f aca="false">IF(HU79=1,IF(G79=1,ID79+IE79,HS79),0)</f>
        <v>0</v>
      </c>
      <c r="QJ79" s="20" t="n">
        <f aca="false">IF(HU79=1,IF(G79=1,HS79-ID79-IE79,0),0)</f>
        <v>0</v>
      </c>
      <c r="QK79" s="20" t="n">
        <f aca="false">QG79*(1+GR)</f>
        <v>0</v>
      </c>
      <c r="QL79" s="20" t="n">
        <f aca="false">QH79*(1+AS_Cash)</f>
        <v>0</v>
      </c>
      <c r="QM79" s="20" t="n">
        <f aca="false">IF(W79=1,IF(HU79=1,II79+IL79,X79-QC79)*(1+Slot1_Rate),0)</f>
        <v>0</v>
      </c>
      <c r="QN79" s="20" t="n">
        <f aca="false">IF(AND(HU79=1,W79=1),(IH79+IL79)/F79,0)</f>
        <v>0</v>
      </c>
      <c r="QO79" s="20" t="n">
        <f aca="false">IF(B79=0,IH79+IL79,0)</f>
        <v>0</v>
      </c>
      <c r="QP79" s="20" t="n">
        <f aca="false">IF(B79=0,IF(HU79=1,IJ79,IK79),0)</f>
        <v>0</v>
      </c>
      <c r="QQ79" s="20" t="n">
        <f aca="false">IF(AH79=1,IF(HU79=1,IQ79+IT79,AI79-QA79)*(1+Slot2_Rate),0)</f>
        <v>0</v>
      </c>
      <c r="QR79" s="20" t="n">
        <f aca="false">IF(AND(HU79=1,AH79=1),(IP79+IT79)/F79,0)</f>
        <v>0</v>
      </c>
      <c r="QS79" s="20" t="n">
        <f aca="false">IF(B79=0,IP79+IT79,0)</f>
        <v>0</v>
      </c>
      <c r="QT79" s="20" t="n">
        <f aca="false">IF(B79=0,IF(HU79=1,IR79,IS79),0)</f>
        <v>0</v>
      </c>
      <c r="QU79" s="20" t="n">
        <f aca="false">IF(AR79=1,IF(HU79=1,IY79+JB79,AS79-PY79)*(1+Slot3_Rate),0)</f>
        <v>0</v>
      </c>
      <c r="QV79" s="20" t="n">
        <f aca="false">IF(AND(HU79=1,AR79=1),(IX79+JB79)/F79,0)</f>
        <v>0</v>
      </c>
      <c r="QW79" s="20" t="n">
        <f aca="false">IF(B79=0,IX79+JB79,0)</f>
        <v>0</v>
      </c>
      <c r="QX79" s="20" t="n">
        <f aca="false">IF(B79=0,IF(HU79=1,IZ79,JA79),0)</f>
        <v>0</v>
      </c>
      <c r="QY79" s="20" t="n">
        <f aca="false">IF(BB79=1,IF(HU79=1,JG79+JJ79,BC79-PW79)*(1+Slot4_Rate),0)</f>
        <v>0</v>
      </c>
      <c r="QZ79" s="20" t="n">
        <f aca="false">IF(AND(HU79=1,BB79=1),(JF79+JJ79)/F79,0)</f>
        <v>0</v>
      </c>
      <c r="RA79" s="20" t="n">
        <f aca="false">IF(B79=0,JF79+JJ79,0)</f>
        <v>0</v>
      </c>
      <c r="RB79" s="20" t="n">
        <f aca="false">IF(B79=0,IF(HU79=1,JH79,JI79),0)</f>
        <v>0</v>
      </c>
      <c r="RC79" s="20" t="n">
        <f aca="false">IF(BL79=1,IF(HU79=1,JO79+JR79,BM79-PU79)*(1+Slot5_Rate),0)</f>
        <v>0</v>
      </c>
      <c r="RD79" s="20" t="n">
        <f aca="false">IF(AND(HU79=1,BL79=1),(JN79+JR79)/F79,0)</f>
        <v>0</v>
      </c>
      <c r="RE79" s="20" t="n">
        <f aca="false">IF(B79=0,JN79+JR79,0)</f>
        <v>0</v>
      </c>
      <c r="RF79" s="20" t="n">
        <f aca="false">IF(B79=0,IF(HU79=1,JP79,JQ79),0)</f>
        <v>0</v>
      </c>
      <c r="RG79" s="20" t="n">
        <f aca="false">IF(BV79=1,IF(HU79=1,JW79+JZ79,BW79-PS79)*(1+Slot6_Rate),0)</f>
        <v>0</v>
      </c>
      <c r="RH79" s="20" t="n">
        <f aca="false">IF(AND(HU79=1,BV79=1),(JV79+JZ79)/F79,0)</f>
        <v>0</v>
      </c>
      <c r="RI79" s="20" t="n">
        <f aca="false">IF(B79=0,JV79+JZ79,0)</f>
        <v>0</v>
      </c>
      <c r="RJ79" s="20" t="n">
        <f aca="false">IF(B79=0,IF(HU79=1,JX79,JY79),0)</f>
        <v>0</v>
      </c>
      <c r="RK79" s="20" t="n">
        <f aca="false">IF(CF79=1,IF(HU79=1,KE79+KH79,CG79-PQ79)*(1+Slot7_Rate),0)</f>
        <v>0</v>
      </c>
      <c r="RL79" s="20" t="n">
        <f aca="false">IF(AND(HU79=1,CF79=1),(KD79+KH79)/F79,0)</f>
        <v>0</v>
      </c>
      <c r="RM79" s="20" t="n">
        <f aca="false">IF(B79=0,KD79+KH79,0)</f>
        <v>0</v>
      </c>
      <c r="RN79" s="20" t="n">
        <f aca="false">IF(B79=0,IF(HU79=1,KF79,KG79),0)</f>
        <v>0</v>
      </c>
      <c r="RO79" s="20" t="n">
        <f aca="false">IF(CP79=1,IF(HU79=1,KM79+KP79,CQ79-PO79)*(1+Slot8_Rate),0)</f>
        <v>0</v>
      </c>
      <c r="RP79" s="20" t="n">
        <f aca="false">IF(AND(HU79=1,CP79=1),(KL79+KP79)/F79,0)</f>
        <v>0</v>
      </c>
      <c r="RQ79" s="20" t="n">
        <f aca="false">IF(B79=0,KL79+KP79,0)</f>
        <v>0</v>
      </c>
      <c r="RR79" s="20" t="n">
        <f aca="false">IF(B79=0,IF(HU79=1,KN79,KO79),0)</f>
        <v>0</v>
      </c>
      <c r="RS79" s="20" t="n">
        <f aca="false">IF(CZ79=1,IF(HU79=1,KU79+KX79,DA79-PM79)*(1+Slot9_Rate),0)</f>
        <v>0</v>
      </c>
      <c r="RT79" s="20" t="n">
        <f aca="false">IF(AND(HU79=1,CZ79=1),(KT79+KX79)/F79,0)</f>
        <v>0</v>
      </c>
      <c r="RU79" s="20" t="n">
        <f aca="false">IF(B79=0,KT79+KX79,0)</f>
        <v>0</v>
      </c>
      <c r="RV79" s="20" t="n">
        <f aca="false">IF(B79=0,IF(HU79=1,KV79,KW79),0)</f>
        <v>0</v>
      </c>
      <c r="RW79" s="20" t="n">
        <f aca="false">IF(DJ79=1,IF(HU79=1,LC79+LF79,DK79-PK79)*(1+Slot10_Rate),0)</f>
        <v>0</v>
      </c>
      <c r="RX79" s="20" t="n">
        <f aca="false">IF(AND(HU79=1,DJ79=1),(LB79+LF79)/F79,0)</f>
        <v>0</v>
      </c>
      <c r="RY79" s="20" t="n">
        <f aca="false">IF(B79=0,LB79+LF79,0)</f>
        <v>0</v>
      </c>
      <c r="RZ79" s="20" t="n">
        <f aca="false">IF(B79=0,IF(HU79=1,LD79,LE79),0)</f>
        <v>0</v>
      </c>
      <c r="SA79" s="20" t="n">
        <f aca="false">IF(DT79=1,IF(HU79=1,LK79+LN79,DU79-PI79)*(1+Slot11_Rate),0)</f>
        <v>0</v>
      </c>
      <c r="SB79" s="20" t="n">
        <f aca="false">IF(AND(HU79=1,DT79=1),(LJ79+LN79)/F79,0)</f>
        <v>0</v>
      </c>
      <c r="SC79" s="20" t="n">
        <f aca="false">IF(B79=0,LJ79+LN79,0)</f>
        <v>0</v>
      </c>
      <c r="SD79" s="20" t="n">
        <f aca="false">IF(B79=0,IF(HU79=1,LL79,LM79),0)</f>
        <v>0</v>
      </c>
      <c r="SE79" s="20" t="n">
        <f aca="false">IF(ED79=1,IF(HU79=1,LS79+LV79,EE79-PG79)*(1+Slot12_Rate),0)</f>
        <v>0</v>
      </c>
      <c r="SF79" s="20" t="n">
        <f aca="false">IF(AND(HU79=1,ED79=1),(LR79+LV79)/F79,0)</f>
        <v>0</v>
      </c>
      <c r="SG79" s="20" t="n">
        <f aca="false">IF(B79=0,LR79+LV79,0)</f>
        <v>0</v>
      </c>
      <c r="SH79" s="20" t="n">
        <f aca="false">IF(B79=0,IF(HU79=1,LT79,LU79),0)</f>
        <v>0</v>
      </c>
      <c r="SI79" s="20" t="n">
        <f aca="false">IF(EN79=1,IF(HU79=1,MA79+MD79,EO79-PE79)*(1+Slot13_Rate),0)</f>
        <v>0</v>
      </c>
      <c r="SJ79" s="20" t="n">
        <f aca="false">IF(AND(HU79=1,EN79=1),(LZ79+MD79)/F79,0)</f>
        <v>0</v>
      </c>
      <c r="SK79" s="20" t="n">
        <f aca="false">IF(B79=0,LZ79+MD79,0)</f>
        <v>0</v>
      </c>
      <c r="SL79" s="20" t="n">
        <f aca="false">IF(B79=0,IF(HU79=1,MB79,MC79),0)</f>
        <v>0</v>
      </c>
      <c r="SM79" s="20" t="n">
        <f aca="false">IF(EX79=1,IF(HU79=1,MI79+ML79,EY79-PC79)*(1+Slot14_Rate),0)</f>
        <v>0</v>
      </c>
      <c r="SN79" s="20" t="n">
        <f aca="false">IF(AND(HU79=1,EX79=1),(MH79+ML79)/F79,0)</f>
        <v>0</v>
      </c>
      <c r="SO79" s="20" t="n">
        <f aca="false">IF(B79=0,MH79+ML79,0)</f>
        <v>0</v>
      </c>
      <c r="SP79" s="20" t="n">
        <f aca="false">IF(B79=0,IF(HU79=1,MJ79,MK79),0)</f>
        <v>0</v>
      </c>
      <c r="SQ79" s="20" t="n">
        <f aca="false">IF(FH79=1,IF(HU79=1,MQ79+MT79,FI79-PA79)*(1+Slot15_Rate),0)</f>
        <v>0</v>
      </c>
      <c r="SR79" s="20" t="n">
        <f aca="false">IF(AND(HU79=1,FH79=1),(MP79+MT79)/F79,0)</f>
        <v>0</v>
      </c>
      <c r="SS79" s="20" t="n">
        <f aca="false">IF(B79=0,MP79+MT79,0)</f>
        <v>0</v>
      </c>
      <c r="ST79" s="20" t="n">
        <f aca="false">IF(B79=0,IF(HU79=1,MR79,MS79),0)</f>
        <v>0</v>
      </c>
      <c r="SU79" s="20" t="n">
        <f aca="false">IF(FR79=1,IF(HU79=1,MY79+NB79,FS79-OY79)*(1+Slot16_Rate),0)</f>
        <v>0</v>
      </c>
      <c r="SV79" s="20" t="n">
        <f aca="false">IF(AND(HU79=1,FR79=1),(MX79+NB79)/F79,0)</f>
        <v>0</v>
      </c>
      <c r="SW79" s="20" t="n">
        <f aca="false">IF(B79=0,MX79+NB79,0)</f>
        <v>0</v>
      </c>
      <c r="SX79" s="20" t="n">
        <f aca="false">IF(B79=0,IF(HU79=1,MZ79,NA79),0)</f>
        <v>0</v>
      </c>
      <c r="SY79" s="20" t="n">
        <f aca="false">IF(GB79=1,IF(HU79=1,NG79+NJ79,GC79-OW79)*(1+Slot17_Rate),0)</f>
        <v>0</v>
      </c>
      <c r="SZ79" s="20" t="n">
        <f aca="false">IF(AND(HU79=1,GB79=1),(NF79+NJ79)/F79,0)</f>
        <v>0</v>
      </c>
      <c r="TA79" s="20" t="n">
        <f aca="false">IF(B79=0,NF79+NJ79,0)</f>
        <v>0</v>
      </c>
      <c r="TB79" s="20" t="n">
        <f aca="false">IF(B79=0,IF(HU79=1,NH79,NI79),0)</f>
        <v>0</v>
      </c>
      <c r="TC79" s="20" t="n">
        <f aca="false">IF(GL79=1,IF(HU79=1,NO79+NR79,GM79-OU79)*(1+Slot18_Rate),0)</f>
        <v>0</v>
      </c>
      <c r="TD79" s="20" t="n">
        <f aca="false">IF(AND(HU79=1,GL79=1),(NN79+NR79)/F79,0)</f>
        <v>0</v>
      </c>
      <c r="TE79" s="20" t="n">
        <f aca="false">IF(B79=0,NN79+NR79,0)</f>
        <v>0</v>
      </c>
      <c r="TF79" s="20" t="n">
        <f aca="false">IF(B79=0,IF(HU79=1,NP79,NQ79),0)</f>
        <v>0</v>
      </c>
      <c r="TG79" s="20" t="n">
        <f aca="false">IF(GV79=1,IF(HU79=1,NW79+NZ79,GW79-OS79)*(1+Slot19_Rate),0)</f>
        <v>0</v>
      </c>
      <c r="TH79" s="20" t="n">
        <f aca="false">IF(AND(HU79=1,GV79=1),(NV79+NZ79)/F79,0)</f>
        <v>0</v>
      </c>
      <c r="TI79" s="20" t="n">
        <f aca="false">IF(B79=0,NV79+NZ79,0)</f>
        <v>0</v>
      </c>
      <c r="TJ79" s="20" t="n">
        <f aca="false">IF(B79=0,IF(HU79=1,NX79,NY79),0)</f>
        <v>0</v>
      </c>
      <c r="TK79" s="20" t="n">
        <f aca="false">IF(HF79=1,IF(HU79=1,OE79+OH79,HG79-OQ79)*(1+Slot20_Rate),0)</f>
        <v>0</v>
      </c>
      <c r="TL79" s="20" t="n">
        <f aca="false">IF(AND(HU79=1,HF79=1),(OD79+OH79)/F79,0)</f>
        <v>0</v>
      </c>
      <c r="TM79" s="20" t="n">
        <f aca="false">IF(B79=0,OD79+OH79,0)</f>
        <v>0</v>
      </c>
      <c r="TN79" s="20" t="n">
        <f aca="false">IF(B79=0,IF(HU79=1,OF79,OG79),0)</f>
        <v>0</v>
      </c>
      <c r="TO79" s="20" t="n">
        <f aca="false">QK79+QL79+QM79+QQ79+QU79+QY79+RC79+RG79+RK79+RO79+RS79+RW79+SA79+SE79+SI79+SM79+SQ79+SU79+SY79+TC79+TG79+TK79</f>
        <v>0</v>
      </c>
      <c r="TP79" s="20" t="n">
        <f aca="false">QE79+HP79</f>
        <v>78594.6403121201</v>
      </c>
      <c r="TQ79" s="20" t="n">
        <f aca="false">I79+S79</f>
        <v>195002.460713199</v>
      </c>
      <c r="TR79" s="20" t="n">
        <f aca="false">1-G79</f>
        <v>1</v>
      </c>
      <c r="TS79" s="20" t="n">
        <f aca="false">IF(AND(RG_Exists=1,G79=0,C79=1),I79,0)</f>
        <v>0</v>
      </c>
      <c r="TT79" s="20" t="n">
        <f aca="false">IF(AND(RG_Exists=1,G79=0,C79=1),I79-MIN(QE79,I79),0)</f>
        <v>0</v>
      </c>
      <c r="TU79" s="20" t="n">
        <f aca="false">'Plan pay &amp; tax'!AD305</f>
        <v>0</v>
      </c>
      <c r="TV79" s="20" t="n">
        <f aca="false">IF(AND(C79=1,QE79&gt;MAX(PR_Short1,TQ79*PR_Short2)),1,0)</f>
        <v>0</v>
      </c>
      <c r="TW79" s="20" t="n">
        <f aca="false">MIN(H79,I79+S79)</f>
        <v>116407.820401078</v>
      </c>
      <c r="TX79" s="20" t="n">
        <f aca="false">QF79+MAX(0,HQ79-HP79)</f>
        <v>0</v>
      </c>
      <c r="TY79" s="20" t="n">
        <f aca="false">QE79+HP79</f>
        <v>78594.6403121201</v>
      </c>
      <c r="TZ79" s="20" t="n">
        <f aca="false">IF(AND(C79=1,TY79&gt;PR_MinShort),1,0)</f>
        <v>0</v>
      </c>
      <c r="UA79" s="20" t="n">
        <f aca="false">IF(AND(C79=1,TZ79=0,TX79&gt;PR_MinShort),1,0)</f>
        <v>0</v>
      </c>
      <c r="UB79" s="20" t="n">
        <f aca="false">IF(AND(C79=1,QE79&gt;PR_MinShort),1,0)</f>
        <v>0</v>
      </c>
      <c r="UC79" s="20" t="n">
        <f aca="false">IF(AND(C79=1,QF79&gt;1,UJ79=0),1,0)</f>
        <v>0</v>
      </c>
      <c r="UD79" s="20" t="str">
        <f aca="false">IF(C79=0,"",IF(UJ79=1,"Gap to plan for: short "&amp;"€"&amp;TEXT(ROUND(TP79,0),"#,##0"),IF(QF79&gt;1,"Using savings","Comfortable")))</f>
        <v/>
      </c>
      <c r="UE79" s="20" t="n">
        <f aca="false">IF(AND(INT(D79/10)*10=90,B79&gt;0),80,INT(D79/10)*10)</f>
        <v>100</v>
      </c>
      <c r="UF79" s="20" t="n">
        <f aca="false">IF(B79=0,1,IF(UE79&lt;&gt;UE78,UF78+1,UF78))</f>
        <v>7</v>
      </c>
      <c r="UG79" s="20" t="n">
        <f aca="false">IF(AND(C79=1,G79=1,QE79&gt;MAX(PR_Short1,TQ79*PR_Short2)),1,0)</f>
        <v>0</v>
      </c>
      <c r="UH79" s="20" t="n">
        <f aca="false">TR79*TV79</f>
        <v>0</v>
      </c>
      <c r="UI79" s="20" t="n">
        <f aca="false">IF(AND(V79=1,Slot1_PctLow=1),1,0)+IF(AND(AG79=1,Slot2_PctLow=1),1,0)+IF(AND(AQ79=1,Slot3_PctLow=1),1,0)+IF(AND(BA79=1,Slot4_PctLow=1),1,0)+IF(AND(BK79=1,Slot5_PctLow=1),1,0)+IF(AND(BU79=1,Slot6_PctLow=1),1,0)+IF(AND(CE79=1,Slot7_PctLow=1),1,0)+IF(AND(CO79=1,Slot8_PctLow=1),1,0)+IF(AND(CY79=1,Slot9_PctLow=1),1,0)+IF(AND(DI79=1,Slot10_PctLow=1),1,0)+IF(AND(DS79=1,Slot11_PctLow=1),1,0)+IF(AND(EC79=1,Slot12_PctLow=1),1,0)+IF(AND(EM79=1,Slot13_PctLow=1),1,0)+IF(AND(EW79=1,Slot14_PctLow=1),1,0)+IF(AND(FG79=1,Slot15_PctLow=1),1,0)+IF(AND(FQ79=1,Slot16_PctLow=1),1,0)+IF(AND(GA79=1,Slot17_PctLow=1),1,0)+IF(AND(GK79=1,Slot18_PctLow=1),1,0)+IF(AND(GU79=1,Slot19_PctLow=1),1,0)+IF(AND(HE79=1,Slot20_PctLow=1),1,0)</f>
        <v>0</v>
      </c>
      <c r="UJ79" s="20" t="n">
        <f aca="false">IF(C79=1,IF(OR(TV79=1,UI79&gt;0),1,0),0)</f>
        <v>0</v>
      </c>
    </row>
    <row r="80" customFormat="false" ht="15" hidden="false" customHeight="true" outlineLevel="0" collapsed="false">
      <c r="B80" s="20" t="n">
        <v>72</v>
      </c>
      <c r="C80" s="20" t="n">
        <f aca="false">IF(B80&lt;=F_N,1,0)</f>
        <v>0</v>
      </c>
      <c r="D80" s="20" t="n">
        <f aca="false">'Plan pay &amp; tax'!C306</f>
        <v>110</v>
      </c>
      <c r="E80" s="20" t="str">
        <f aca="false">IF($C80=1,"Income tax "&amp;TEXT(N('Plan pay &amp; tax'!BK306),"#,##0")&amp;"; USC "&amp;TEXT(N('Plan pay &amp; tax'!BM306)+N('Plan pay &amp; tax'!BO306),"#,##0")&amp;"; PRSI "&amp;TEXT(N('Plan pay &amp; tax'!BP306)+N('Plan pay &amp; tax'!BQ306),"#,##0")&amp;". DIRT and exit tax are inside the growth rates here.","")</f>
        <v/>
      </c>
      <c r="F80" s="44" t="n">
        <f aca="false">'Plan pay &amp; tax'!E306</f>
        <v>4.16114037505152</v>
      </c>
      <c r="G80" s="20" t="n">
        <f aca="false">'Plan pay &amp; tax'!G306</f>
        <v>0</v>
      </c>
      <c r="H80" s="20" t="n">
        <f aca="false">'Plan pay &amp; tax'!BT306-'Plan pay &amp; tax'!BS306-'Plan pay &amp; tax'!R306</f>
        <v>118735.9768091</v>
      </c>
      <c r="I80" s="20" t="n">
        <f aca="false">IF(G80=1,F_CostsM*12,IF(RG_Exists=1,RG_Amount,F_CostsM*12*AS_RetireSpend))*F80+F_OneOffY*F80</f>
        <v>198902.509927463</v>
      </c>
      <c r="J80" s="20" t="n">
        <f aca="false">HR79</f>
        <v>0</v>
      </c>
      <c r="K80" s="20" t="n">
        <f aca="false">IF(J80&gt;1,'Plan debt months'!AC80,0)</f>
        <v>0</v>
      </c>
      <c r="L80" s="20" t="n">
        <f aca="false">IF(J80&gt;1,'Plan debt months'!AB80,J80)</f>
        <v>0</v>
      </c>
      <c r="M80" s="20" t="n">
        <f aca="false">O79</f>
        <v>0</v>
      </c>
      <c r="N80" s="20" t="n">
        <f aca="false">IF(M80&gt;1,'Plan debt months'!BD80,0)</f>
        <v>0</v>
      </c>
      <c r="O80" s="20" t="n">
        <f aca="false">IF(M80&gt;1,'Plan debt months'!BC80,M80)</f>
        <v>0</v>
      </c>
      <c r="P80" s="20" t="n">
        <f aca="false">R79</f>
        <v>0</v>
      </c>
      <c r="Q80" s="20" t="n">
        <f aca="false">IF(P80&gt;1,'Plan debt months'!CE80,0)</f>
        <v>0</v>
      </c>
      <c r="R80" s="20" t="n">
        <f aca="false">IF(P80&gt;1,'Plan debt months'!CD80,P80)</f>
        <v>0</v>
      </c>
      <c r="S80" s="20" t="n">
        <f aca="false">K80+N80+Q80</f>
        <v>0</v>
      </c>
      <c r="T80" s="20" t="n">
        <f aca="false">QK79+'Plan pay &amp; tax'!Y306</f>
        <v>0</v>
      </c>
      <c r="U80" s="20" t="n">
        <f aca="false">QK79</f>
        <v>0</v>
      </c>
      <c r="V80" s="20" t="n">
        <f aca="false">IF(AND(Slot1_On=1,D80=Slot1_Age),1,0)</f>
        <v>0</v>
      </c>
      <c r="W80" s="20" t="n">
        <f aca="false">IF(AND(Slot1_On=1,Slot1_Age&gt;D80),1,0)</f>
        <v>0</v>
      </c>
      <c r="X80" s="20" t="n">
        <f aca="false">QM79</f>
        <v>0</v>
      </c>
      <c r="Y80" s="20" t="n">
        <f aca="false">V80*MIN(Slot1_Cost,X80)</f>
        <v>0</v>
      </c>
      <c r="Z80" s="20" t="n">
        <f aca="false">V80*Slot1_SpendLike*MIN(Slot1_Cost-Y80,T80)</f>
        <v>0</v>
      </c>
      <c r="AA80" s="20" t="n">
        <f aca="false">Y80+Z80</f>
        <v>0</v>
      </c>
      <c r="AB80" s="20" t="n">
        <f aca="false">T80-Z80+V80*IF(Slot1_SpendLike=1,X80-Y80,IF(Slot1_PotFree=1,X80,0))</f>
        <v>0</v>
      </c>
      <c r="AC80" s="20" t="n">
        <f aca="false">AF80+V80*Slot1_BufPot*X80</f>
        <v>0</v>
      </c>
      <c r="AD80" s="20" t="n">
        <f aca="false">IF(AND(V80=1,Slot1_IsMfree=1),IF(AA80&gt;=Slot1_Cost-1,0,MAX(0,L80-AA80)),L80)</f>
        <v>0</v>
      </c>
      <c r="AE80" s="20" t="n">
        <f aca="false">V80*(Slot1_Cost-AA80)</f>
        <v>0</v>
      </c>
      <c r="AF80" s="20" t="n">
        <f aca="false">QL79</f>
        <v>0</v>
      </c>
      <c r="AG80" s="20" t="n">
        <f aca="false">IF(AND(Slot2_On=1,D80=Slot2_Age),1,0)</f>
        <v>0</v>
      </c>
      <c r="AH80" s="20" t="n">
        <f aca="false">IF(AND(Slot2_On=1,Slot2_Age&gt;D80),1,0)</f>
        <v>0</v>
      </c>
      <c r="AI80" s="20" t="n">
        <f aca="false">QQ79</f>
        <v>0</v>
      </c>
      <c r="AJ80" s="20" t="n">
        <f aca="false">AG80*MIN(Slot2_Cost,AI80)</f>
        <v>0</v>
      </c>
      <c r="AK80" s="20" t="n">
        <f aca="false">AG80*Slot2_SpendLike*MIN(Slot2_Cost-AJ80,AB80)</f>
        <v>0</v>
      </c>
      <c r="AL80" s="20" t="n">
        <f aca="false">AJ80+AK80</f>
        <v>0</v>
      </c>
      <c r="AM80" s="20" t="n">
        <f aca="false">AB80-AK80+AG80*IF(Slot2_SpendLike=1,AI80-AJ80,IF(Slot2_PotFree=1,AI80,0))</f>
        <v>0</v>
      </c>
      <c r="AN80" s="20" t="n">
        <f aca="false">AC80+AG80*Slot2_BufPot*AI80</f>
        <v>0</v>
      </c>
      <c r="AO80" s="20" t="n">
        <f aca="false">IF(AND(AG80=1,Slot2_IsMfree=1),IF(AL80&gt;=Slot2_Cost-1,0,MAX(0,AD80-AL80)),AD80)</f>
        <v>0</v>
      </c>
      <c r="AP80" s="20" t="n">
        <f aca="false">AG80*(Slot2_Cost-AL80)</f>
        <v>0</v>
      </c>
      <c r="AQ80" s="20" t="n">
        <f aca="false">IF(AND(Slot3_On=1,D80=Slot3_Age),1,0)</f>
        <v>0</v>
      </c>
      <c r="AR80" s="20" t="n">
        <f aca="false">IF(AND(Slot3_On=1,Slot3_Age&gt;D80),1,0)</f>
        <v>0</v>
      </c>
      <c r="AS80" s="20" t="n">
        <f aca="false">QU79</f>
        <v>0</v>
      </c>
      <c r="AT80" s="20" t="n">
        <f aca="false">AQ80*MIN(Slot3_Cost,AS80)</f>
        <v>0</v>
      </c>
      <c r="AU80" s="20" t="n">
        <f aca="false">AQ80*Slot3_SpendLike*MIN(Slot3_Cost-AT80,AM80)</f>
        <v>0</v>
      </c>
      <c r="AV80" s="20" t="n">
        <f aca="false">AT80+AU80</f>
        <v>0</v>
      </c>
      <c r="AW80" s="20" t="n">
        <f aca="false">AM80-AU80+AQ80*IF(Slot3_SpendLike=1,AS80-AT80,IF(Slot3_PotFree=1,AS80,0))</f>
        <v>0</v>
      </c>
      <c r="AX80" s="20" t="n">
        <f aca="false">AN80+AQ80*Slot3_BufPot*AS80</f>
        <v>0</v>
      </c>
      <c r="AY80" s="20" t="n">
        <f aca="false">IF(AND(AQ80=1,Slot3_IsMfree=1),IF(AV80&gt;=Slot3_Cost-1,0,MAX(0,AO80-AV80)),AO80)</f>
        <v>0</v>
      </c>
      <c r="AZ80" s="20" t="n">
        <f aca="false">AQ80*(Slot3_Cost-AV80)</f>
        <v>0</v>
      </c>
      <c r="BA80" s="20" t="n">
        <f aca="false">IF(AND(Slot4_On=1,D80=Slot4_Age),1,0)</f>
        <v>0</v>
      </c>
      <c r="BB80" s="20" t="n">
        <f aca="false">IF(AND(Slot4_On=1,Slot4_Age&gt;D80),1,0)</f>
        <v>0</v>
      </c>
      <c r="BC80" s="20" t="n">
        <f aca="false">QY79</f>
        <v>0</v>
      </c>
      <c r="BD80" s="20" t="n">
        <f aca="false">BA80*MIN(Slot4_Cost,BC80)</f>
        <v>0</v>
      </c>
      <c r="BE80" s="20" t="n">
        <f aca="false">BA80*Slot4_SpendLike*MIN(Slot4_Cost-BD80,AW80)</f>
        <v>0</v>
      </c>
      <c r="BF80" s="20" t="n">
        <f aca="false">BD80+BE80</f>
        <v>0</v>
      </c>
      <c r="BG80" s="20" t="n">
        <f aca="false">AW80-BE80+BA80*IF(Slot4_SpendLike=1,BC80-BD80,IF(Slot4_PotFree=1,BC80,0))</f>
        <v>0</v>
      </c>
      <c r="BH80" s="20" t="n">
        <f aca="false">AX80+BA80*Slot4_BufPot*BC80</f>
        <v>0</v>
      </c>
      <c r="BI80" s="20" t="n">
        <f aca="false">IF(AND(BA80=1,Slot4_IsMfree=1),IF(BF80&gt;=Slot4_Cost-1,0,MAX(0,AY80-BF80)),AY80)</f>
        <v>0</v>
      </c>
      <c r="BJ80" s="20" t="n">
        <f aca="false">BA80*(Slot4_Cost-BF80)</f>
        <v>0</v>
      </c>
      <c r="BK80" s="20" t="n">
        <f aca="false">IF(AND(Slot5_On=1,D80=Slot5_Age),1,0)</f>
        <v>0</v>
      </c>
      <c r="BL80" s="20" t="n">
        <f aca="false">IF(AND(Slot5_On=1,Slot5_Age&gt;D80),1,0)</f>
        <v>0</v>
      </c>
      <c r="BM80" s="20" t="n">
        <f aca="false">RC79</f>
        <v>0</v>
      </c>
      <c r="BN80" s="20" t="n">
        <f aca="false">BK80*MIN(Slot5_Cost,BM80)</f>
        <v>0</v>
      </c>
      <c r="BO80" s="20" t="n">
        <f aca="false">BK80*Slot5_SpendLike*MIN(Slot5_Cost-BN80,BG80)</f>
        <v>0</v>
      </c>
      <c r="BP80" s="20" t="n">
        <f aca="false">BN80+BO80</f>
        <v>0</v>
      </c>
      <c r="BQ80" s="20" t="n">
        <f aca="false">BG80-BO80+BK80*IF(Slot5_SpendLike=1,BM80-BN80,IF(Slot5_PotFree=1,BM80,0))</f>
        <v>0</v>
      </c>
      <c r="BR80" s="20" t="n">
        <f aca="false">BH80+BK80*Slot5_BufPot*BM80</f>
        <v>0</v>
      </c>
      <c r="BS80" s="20" t="n">
        <f aca="false">IF(AND(BK80=1,Slot5_IsMfree=1),IF(BP80&gt;=Slot5_Cost-1,0,MAX(0,BI80-BP80)),BI80)</f>
        <v>0</v>
      </c>
      <c r="BT80" s="20" t="n">
        <f aca="false">BK80*(Slot5_Cost-BP80)</f>
        <v>0</v>
      </c>
      <c r="BU80" s="20" t="n">
        <f aca="false">IF(AND(Slot6_On=1,D80=Slot6_Age),1,0)</f>
        <v>0</v>
      </c>
      <c r="BV80" s="20" t="n">
        <f aca="false">IF(AND(Slot6_On=1,Slot6_Age&gt;D80),1,0)</f>
        <v>0</v>
      </c>
      <c r="BW80" s="20" t="n">
        <f aca="false">RG79</f>
        <v>0</v>
      </c>
      <c r="BX80" s="20" t="n">
        <f aca="false">BU80*MIN(Slot6_Cost,BW80)</f>
        <v>0</v>
      </c>
      <c r="BY80" s="20" t="n">
        <f aca="false">BU80*Slot6_SpendLike*MIN(Slot6_Cost-BX80,BQ80)</f>
        <v>0</v>
      </c>
      <c r="BZ80" s="20" t="n">
        <f aca="false">BX80+BY80</f>
        <v>0</v>
      </c>
      <c r="CA80" s="20" t="n">
        <f aca="false">BQ80-BY80+BU80*IF(Slot6_SpendLike=1,BW80-BX80,IF(Slot6_PotFree=1,BW80,0))</f>
        <v>0</v>
      </c>
      <c r="CB80" s="20" t="n">
        <f aca="false">BR80+BU80*Slot6_BufPot*BW80</f>
        <v>0</v>
      </c>
      <c r="CC80" s="20" t="n">
        <f aca="false">IF(AND(BU80=1,Slot6_IsMfree=1),IF(BZ80&gt;=Slot6_Cost-1,0,MAX(0,BS80-BZ80)),BS80)</f>
        <v>0</v>
      </c>
      <c r="CD80" s="20" t="n">
        <f aca="false">BU80*(Slot6_Cost-BZ80)</f>
        <v>0</v>
      </c>
      <c r="CE80" s="20" t="n">
        <f aca="false">IF(AND(Slot7_On=1,D80=Slot7_Age),1,0)</f>
        <v>0</v>
      </c>
      <c r="CF80" s="20" t="n">
        <f aca="false">IF(AND(Slot7_On=1,Slot7_Age&gt;D80),1,0)</f>
        <v>0</v>
      </c>
      <c r="CG80" s="20" t="n">
        <f aca="false">RK79</f>
        <v>0</v>
      </c>
      <c r="CH80" s="20" t="n">
        <f aca="false">CE80*MIN(Slot7_Cost,CG80)</f>
        <v>0</v>
      </c>
      <c r="CI80" s="20" t="n">
        <f aca="false">CE80*Slot7_SpendLike*MIN(Slot7_Cost-CH80,CA80)</f>
        <v>0</v>
      </c>
      <c r="CJ80" s="20" t="n">
        <f aca="false">CH80+CI80</f>
        <v>0</v>
      </c>
      <c r="CK80" s="20" t="n">
        <f aca="false">CA80-CI80+CE80*IF(Slot7_SpendLike=1,CG80-CH80,IF(Slot7_PotFree=1,CG80,0))</f>
        <v>0</v>
      </c>
      <c r="CL80" s="20" t="n">
        <f aca="false">CB80+CE80*Slot7_BufPot*CG80</f>
        <v>0</v>
      </c>
      <c r="CM80" s="20" t="n">
        <f aca="false">IF(AND(CE80=1,Slot7_IsMfree=1),IF(CJ80&gt;=Slot7_Cost-1,0,MAX(0,CC80-CJ80)),CC80)</f>
        <v>0</v>
      </c>
      <c r="CN80" s="20" t="n">
        <f aca="false">CE80*(Slot7_Cost-CJ80)</f>
        <v>0</v>
      </c>
      <c r="CO80" s="20" t="n">
        <f aca="false">IF(AND(Slot8_On=1,D80=Slot8_Age),1,0)</f>
        <v>0</v>
      </c>
      <c r="CP80" s="20" t="n">
        <f aca="false">IF(AND(Slot8_On=1,Slot8_Age&gt;D80),1,0)</f>
        <v>0</v>
      </c>
      <c r="CQ80" s="20" t="n">
        <f aca="false">RO79</f>
        <v>0</v>
      </c>
      <c r="CR80" s="20" t="n">
        <f aca="false">CO80*MIN(Slot8_Cost,CQ80)</f>
        <v>0</v>
      </c>
      <c r="CS80" s="20" t="n">
        <f aca="false">CO80*Slot8_SpendLike*MIN(Slot8_Cost-CR80,CK80)</f>
        <v>0</v>
      </c>
      <c r="CT80" s="20" t="n">
        <f aca="false">CR80+CS80</f>
        <v>0</v>
      </c>
      <c r="CU80" s="20" t="n">
        <f aca="false">CK80-CS80+CO80*IF(Slot8_SpendLike=1,CQ80-CR80,IF(Slot8_PotFree=1,CQ80,0))</f>
        <v>0</v>
      </c>
      <c r="CV80" s="20" t="n">
        <f aca="false">CL80+CO80*Slot8_BufPot*CQ80</f>
        <v>0</v>
      </c>
      <c r="CW80" s="20" t="n">
        <f aca="false">IF(AND(CO80=1,Slot8_IsMfree=1),IF(CT80&gt;=Slot8_Cost-1,0,MAX(0,CM80-CT80)),CM80)</f>
        <v>0</v>
      </c>
      <c r="CX80" s="20" t="n">
        <f aca="false">CO80*(Slot8_Cost-CT80)</f>
        <v>0</v>
      </c>
      <c r="CY80" s="20" t="n">
        <f aca="false">IF(AND(Slot9_On=1,D80=Slot9_Age),1,0)</f>
        <v>0</v>
      </c>
      <c r="CZ80" s="20" t="n">
        <f aca="false">IF(AND(Slot9_On=1,Slot9_Age&gt;D80),1,0)</f>
        <v>0</v>
      </c>
      <c r="DA80" s="20" t="n">
        <f aca="false">RS79</f>
        <v>0</v>
      </c>
      <c r="DB80" s="20" t="n">
        <f aca="false">CY80*MIN(Slot9_Cost,DA80)</f>
        <v>0</v>
      </c>
      <c r="DC80" s="20" t="n">
        <f aca="false">CY80*Slot9_SpendLike*MIN(Slot9_Cost-DB80,CU80)</f>
        <v>0</v>
      </c>
      <c r="DD80" s="20" t="n">
        <f aca="false">DB80+DC80</f>
        <v>0</v>
      </c>
      <c r="DE80" s="20" t="n">
        <f aca="false">CU80-DC80+CY80*IF(Slot9_SpendLike=1,DA80-DB80,IF(Slot9_PotFree=1,DA80,0))</f>
        <v>0</v>
      </c>
      <c r="DF80" s="20" t="n">
        <f aca="false">CV80+CY80*Slot9_BufPot*DA80</f>
        <v>0</v>
      </c>
      <c r="DG80" s="20" t="n">
        <f aca="false">IF(AND(CY80=1,Slot9_IsMfree=1),IF(DD80&gt;=Slot9_Cost-1,0,MAX(0,CW80-DD80)),CW80)</f>
        <v>0</v>
      </c>
      <c r="DH80" s="20" t="n">
        <f aca="false">CY80*(Slot9_Cost-DD80)</f>
        <v>0</v>
      </c>
      <c r="DI80" s="20" t="n">
        <f aca="false">IF(AND(Slot10_On=1,D80=Slot10_Age),1,0)</f>
        <v>0</v>
      </c>
      <c r="DJ80" s="20" t="n">
        <f aca="false">IF(AND(Slot10_On=1,Slot10_Age&gt;D80),1,0)</f>
        <v>0</v>
      </c>
      <c r="DK80" s="20" t="n">
        <f aca="false">RW79</f>
        <v>0</v>
      </c>
      <c r="DL80" s="20" t="n">
        <f aca="false">DI80*MIN(Slot10_Cost,DK80)</f>
        <v>0</v>
      </c>
      <c r="DM80" s="20" t="n">
        <f aca="false">DI80*Slot10_SpendLike*MIN(Slot10_Cost-DL80,DE80)</f>
        <v>0</v>
      </c>
      <c r="DN80" s="20" t="n">
        <f aca="false">DL80+DM80</f>
        <v>0</v>
      </c>
      <c r="DO80" s="20" t="n">
        <f aca="false">DE80-DM80+DI80*IF(Slot10_SpendLike=1,DK80-DL80,IF(Slot10_PotFree=1,DK80,0))</f>
        <v>0</v>
      </c>
      <c r="DP80" s="20" t="n">
        <f aca="false">DF80+DI80*Slot10_BufPot*DK80</f>
        <v>0</v>
      </c>
      <c r="DQ80" s="20" t="n">
        <f aca="false">IF(AND(DI80=1,Slot10_IsMfree=1),IF(DN80&gt;=Slot10_Cost-1,0,MAX(0,DG80-DN80)),DG80)</f>
        <v>0</v>
      </c>
      <c r="DR80" s="20" t="n">
        <f aca="false">DI80*(Slot10_Cost-DN80)</f>
        <v>0</v>
      </c>
      <c r="DS80" s="20" t="n">
        <f aca="false">IF(AND(Slot11_On=1,D80=Slot11_Age),1,0)</f>
        <v>0</v>
      </c>
      <c r="DT80" s="20" t="n">
        <f aca="false">IF(AND(Slot11_On=1,Slot11_Age&gt;D80),1,0)</f>
        <v>0</v>
      </c>
      <c r="DU80" s="20" t="n">
        <f aca="false">SA79</f>
        <v>0</v>
      </c>
      <c r="DV80" s="20" t="n">
        <f aca="false">DS80*MIN(Slot11_Cost,DU80)</f>
        <v>0</v>
      </c>
      <c r="DW80" s="20" t="n">
        <f aca="false">DS80*Slot11_SpendLike*MIN(Slot11_Cost-DV80,DO80)</f>
        <v>0</v>
      </c>
      <c r="DX80" s="20" t="n">
        <f aca="false">DV80+DW80</f>
        <v>0</v>
      </c>
      <c r="DY80" s="20" t="n">
        <f aca="false">DO80-DW80+DS80*IF(Slot11_SpendLike=1,DU80-DV80,IF(Slot11_PotFree=1,DU80,0))</f>
        <v>0</v>
      </c>
      <c r="DZ80" s="20" t="n">
        <f aca="false">DP80+DS80*Slot11_BufPot*DU80</f>
        <v>0</v>
      </c>
      <c r="EA80" s="20" t="n">
        <f aca="false">IF(AND(DS80=1,Slot11_IsMfree=1),IF(DX80&gt;=Slot11_Cost-1,0,MAX(0,DQ80-DX80)),DQ80)</f>
        <v>0</v>
      </c>
      <c r="EB80" s="20" t="n">
        <f aca="false">DS80*(Slot11_Cost-DX80)</f>
        <v>0</v>
      </c>
      <c r="EC80" s="20" t="n">
        <f aca="false">IF(AND(Slot12_On=1,D80=Slot12_Age),1,0)</f>
        <v>0</v>
      </c>
      <c r="ED80" s="20" t="n">
        <f aca="false">IF(AND(Slot12_On=1,Slot12_Age&gt;D80),1,0)</f>
        <v>0</v>
      </c>
      <c r="EE80" s="20" t="n">
        <f aca="false">SE79</f>
        <v>0</v>
      </c>
      <c r="EF80" s="20" t="n">
        <f aca="false">EC80*MIN(Slot12_Cost,EE80)</f>
        <v>0</v>
      </c>
      <c r="EG80" s="20" t="n">
        <f aca="false">EC80*Slot12_SpendLike*MIN(Slot12_Cost-EF80,DY80)</f>
        <v>0</v>
      </c>
      <c r="EH80" s="20" t="n">
        <f aca="false">EF80+EG80</f>
        <v>0</v>
      </c>
      <c r="EI80" s="20" t="n">
        <f aca="false">DY80-EG80+EC80*IF(Slot12_SpendLike=1,EE80-EF80,IF(Slot12_PotFree=1,EE80,0))</f>
        <v>0</v>
      </c>
      <c r="EJ80" s="20" t="n">
        <f aca="false">DZ80+EC80*Slot12_BufPot*EE80</f>
        <v>0</v>
      </c>
      <c r="EK80" s="20" t="n">
        <f aca="false">IF(AND(EC80=1,Slot12_IsMfree=1),IF(EH80&gt;=Slot12_Cost-1,0,MAX(0,EA80-EH80)),EA80)</f>
        <v>0</v>
      </c>
      <c r="EL80" s="20" t="n">
        <f aca="false">EC80*(Slot12_Cost-EH80)</f>
        <v>0</v>
      </c>
      <c r="EM80" s="20" t="n">
        <f aca="false">IF(AND(Slot13_On=1,D80=Slot13_Age),1,0)</f>
        <v>0</v>
      </c>
      <c r="EN80" s="20" t="n">
        <f aca="false">IF(AND(Slot13_On=1,Slot13_Age&gt;D80),1,0)</f>
        <v>0</v>
      </c>
      <c r="EO80" s="20" t="n">
        <f aca="false">SI79</f>
        <v>0</v>
      </c>
      <c r="EP80" s="20" t="n">
        <f aca="false">EM80*MIN(Slot13_Cost,EO80)</f>
        <v>0</v>
      </c>
      <c r="EQ80" s="20" t="n">
        <f aca="false">EM80*Slot13_SpendLike*MIN(Slot13_Cost-EP80,EI80)</f>
        <v>0</v>
      </c>
      <c r="ER80" s="20" t="n">
        <f aca="false">EP80+EQ80</f>
        <v>0</v>
      </c>
      <c r="ES80" s="20" t="n">
        <f aca="false">EI80-EQ80+EM80*IF(Slot13_SpendLike=1,EO80-EP80,IF(Slot13_PotFree=1,EO80,0))</f>
        <v>0</v>
      </c>
      <c r="ET80" s="20" t="n">
        <f aca="false">EJ80+EM80*Slot13_BufPot*EO80</f>
        <v>0</v>
      </c>
      <c r="EU80" s="20" t="n">
        <f aca="false">IF(AND(EM80=1,Slot13_IsMfree=1),IF(ER80&gt;=Slot13_Cost-1,0,MAX(0,EK80-ER80)),EK80)</f>
        <v>0</v>
      </c>
      <c r="EV80" s="20" t="n">
        <f aca="false">EM80*(Slot13_Cost-ER80)</f>
        <v>0</v>
      </c>
      <c r="EW80" s="20" t="n">
        <f aca="false">IF(AND(Slot14_On=1,D80=Slot14_Age),1,0)</f>
        <v>0</v>
      </c>
      <c r="EX80" s="20" t="n">
        <f aca="false">IF(AND(Slot14_On=1,Slot14_Age&gt;D80),1,0)</f>
        <v>0</v>
      </c>
      <c r="EY80" s="20" t="n">
        <f aca="false">SM79</f>
        <v>0</v>
      </c>
      <c r="EZ80" s="20" t="n">
        <f aca="false">EW80*MIN(Slot14_Cost,EY80)</f>
        <v>0</v>
      </c>
      <c r="FA80" s="20" t="n">
        <f aca="false">EW80*Slot14_SpendLike*MIN(Slot14_Cost-EZ80,ES80)</f>
        <v>0</v>
      </c>
      <c r="FB80" s="20" t="n">
        <f aca="false">EZ80+FA80</f>
        <v>0</v>
      </c>
      <c r="FC80" s="20" t="n">
        <f aca="false">ES80-FA80+EW80*IF(Slot14_SpendLike=1,EY80-EZ80,IF(Slot14_PotFree=1,EY80,0))</f>
        <v>0</v>
      </c>
      <c r="FD80" s="20" t="n">
        <f aca="false">ET80+EW80*Slot14_BufPot*EY80</f>
        <v>0</v>
      </c>
      <c r="FE80" s="20" t="n">
        <f aca="false">IF(AND(EW80=1,Slot14_IsMfree=1),IF(FB80&gt;=Slot14_Cost-1,0,MAX(0,EU80-FB80)),EU80)</f>
        <v>0</v>
      </c>
      <c r="FF80" s="20" t="n">
        <f aca="false">EW80*(Slot14_Cost-FB80)</f>
        <v>0</v>
      </c>
      <c r="FG80" s="20" t="n">
        <f aca="false">IF(AND(Slot15_On=1,D80=Slot15_Age),1,0)</f>
        <v>0</v>
      </c>
      <c r="FH80" s="20" t="n">
        <f aca="false">IF(AND(Slot15_On=1,Slot15_Age&gt;D80),1,0)</f>
        <v>0</v>
      </c>
      <c r="FI80" s="20" t="n">
        <f aca="false">SQ79</f>
        <v>0</v>
      </c>
      <c r="FJ80" s="20" t="n">
        <f aca="false">FG80*MIN(Slot15_Cost,FI80)</f>
        <v>0</v>
      </c>
      <c r="FK80" s="20" t="n">
        <f aca="false">FG80*Slot15_SpendLike*MIN(Slot15_Cost-FJ80,FC80)</f>
        <v>0</v>
      </c>
      <c r="FL80" s="20" t="n">
        <f aca="false">FJ80+FK80</f>
        <v>0</v>
      </c>
      <c r="FM80" s="20" t="n">
        <f aca="false">FC80-FK80+FG80*IF(Slot15_SpendLike=1,FI80-FJ80,IF(Slot15_PotFree=1,FI80,0))</f>
        <v>0</v>
      </c>
      <c r="FN80" s="20" t="n">
        <f aca="false">FD80+FG80*Slot15_BufPot*FI80</f>
        <v>0</v>
      </c>
      <c r="FO80" s="20" t="n">
        <f aca="false">IF(AND(FG80=1,Slot15_IsMfree=1),IF(FL80&gt;=Slot15_Cost-1,0,MAX(0,FE80-FL80)),FE80)</f>
        <v>0</v>
      </c>
      <c r="FP80" s="20" t="n">
        <f aca="false">FG80*(Slot15_Cost-FL80)</f>
        <v>0</v>
      </c>
      <c r="FQ80" s="20" t="n">
        <f aca="false">IF(AND(Slot16_On=1,D80=Slot16_Age),1,0)</f>
        <v>0</v>
      </c>
      <c r="FR80" s="20" t="n">
        <f aca="false">IF(AND(Slot16_On=1,Slot16_Age&gt;D80),1,0)</f>
        <v>0</v>
      </c>
      <c r="FS80" s="20" t="n">
        <f aca="false">SU79</f>
        <v>0</v>
      </c>
      <c r="FT80" s="20" t="n">
        <f aca="false">FQ80*MIN(Slot16_Cost,FS80)</f>
        <v>0</v>
      </c>
      <c r="FU80" s="20" t="n">
        <f aca="false">FQ80*Slot16_SpendLike*MIN(Slot16_Cost-FT80,FM80)</f>
        <v>0</v>
      </c>
      <c r="FV80" s="20" t="n">
        <f aca="false">FT80+FU80</f>
        <v>0</v>
      </c>
      <c r="FW80" s="20" t="n">
        <f aca="false">FM80-FU80+FQ80*IF(Slot16_SpendLike=1,FS80-FT80,IF(Slot16_PotFree=1,FS80,0))</f>
        <v>0</v>
      </c>
      <c r="FX80" s="20" t="n">
        <f aca="false">FN80+FQ80*Slot16_BufPot*FS80</f>
        <v>0</v>
      </c>
      <c r="FY80" s="20" t="n">
        <f aca="false">IF(AND(FQ80=1,Slot16_IsMfree=1),IF(FV80&gt;=Slot16_Cost-1,0,MAX(0,FO80-FV80)),FO80)</f>
        <v>0</v>
      </c>
      <c r="FZ80" s="20" t="n">
        <f aca="false">FQ80*(Slot16_Cost-FV80)</f>
        <v>0</v>
      </c>
      <c r="GA80" s="20" t="n">
        <f aca="false">IF(AND(Slot17_On=1,D80=Slot17_Age),1,0)</f>
        <v>0</v>
      </c>
      <c r="GB80" s="20" t="n">
        <f aca="false">IF(AND(Slot17_On=1,Slot17_Age&gt;D80),1,0)</f>
        <v>0</v>
      </c>
      <c r="GC80" s="20" t="n">
        <f aca="false">SY79</f>
        <v>0</v>
      </c>
      <c r="GD80" s="20" t="n">
        <f aca="false">GA80*MIN(Slot17_Cost,GC80)</f>
        <v>0</v>
      </c>
      <c r="GE80" s="20" t="n">
        <f aca="false">GA80*Slot17_SpendLike*MIN(Slot17_Cost-GD80,FW80)</f>
        <v>0</v>
      </c>
      <c r="GF80" s="20" t="n">
        <f aca="false">GD80+GE80</f>
        <v>0</v>
      </c>
      <c r="GG80" s="20" t="n">
        <f aca="false">FW80-GE80+GA80*IF(Slot17_SpendLike=1,GC80-GD80,IF(Slot17_PotFree=1,GC80,0))</f>
        <v>0</v>
      </c>
      <c r="GH80" s="20" t="n">
        <f aca="false">FX80+GA80*Slot17_BufPot*GC80</f>
        <v>0</v>
      </c>
      <c r="GI80" s="20" t="n">
        <f aca="false">IF(AND(GA80=1,Slot17_IsMfree=1),IF(GF80&gt;=Slot17_Cost-1,0,MAX(0,FY80-GF80)),FY80)</f>
        <v>0</v>
      </c>
      <c r="GJ80" s="20" t="n">
        <f aca="false">GA80*(Slot17_Cost-GF80)</f>
        <v>0</v>
      </c>
      <c r="GK80" s="20" t="n">
        <f aca="false">IF(AND(Slot18_On=1,D80=Slot18_Age),1,0)</f>
        <v>0</v>
      </c>
      <c r="GL80" s="20" t="n">
        <f aca="false">IF(AND(Slot18_On=1,Slot18_Age&gt;D80),1,0)</f>
        <v>0</v>
      </c>
      <c r="GM80" s="20" t="n">
        <f aca="false">TC79</f>
        <v>0</v>
      </c>
      <c r="GN80" s="20" t="n">
        <f aca="false">GK80*MIN(Slot18_Cost,GM80)</f>
        <v>0</v>
      </c>
      <c r="GO80" s="20" t="n">
        <f aca="false">GK80*Slot18_SpendLike*MIN(Slot18_Cost-GN80,GG80)</f>
        <v>0</v>
      </c>
      <c r="GP80" s="20" t="n">
        <f aca="false">GN80+GO80</f>
        <v>0</v>
      </c>
      <c r="GQ80" s="20" t="n">
        <f aca="false">GG80-GO80+GK80*IF(Slot18_SpendLike=1,GM80-GN80,IF(Slot18_PotFree=1,GM80,0))</f>
        <v>0</v>
      </c>
      <c r="GR80" s="20" t="n">
        <f aca="false">GH80+GK80*Slot18_BufPot*GM80</f>
        <v>0</v>
      </c>
      <c r="GS80" s="20" t="n">
        <f aca="false">IF(AND(GK80=1,Slot18_IsMfree=1),IF(GP80&gt;=Slot18_Cost-1,0,MAX(0,GI80-GP80)),GI80)</f>
        <v>0</v>
      </c>
      <c r="GT80" s="20" t="n">
        <f aca="false">GK80*(Slot18_Cost-GP80)</f>
        <v>0</v>
      </c>
      <c r="GU80" s="20" t="n">
        <f aca="false">IF(AND(Slot19_On=1,D80=Slot19_Age),1,0)</f>
        <v>0</v>
      </c>
      <c r="GV80" s="20" t="n">
        <f aca="false">IF(AND(Slot19_On=1,Slot19_Age&gt;D80),1,0)</f>
        <v>0</v>
      </c>
      <c r="GW80" s="20" t="n">
        <f aca="false">TG79</f>
        <v>0</v>
      </c>
      <c r="GX80" s="20" t="n">
        <f aca="false">GU80*MIN(Slot19_Cost,GW80)</f>
        <v>0</v>
      </c>
      <c r="GY80" s="20" t="n">
        <f aca="false">GU80*Slot19_SpendLike*MIN(Slot19_Cost-GX80,GQ80)</f>
        <v>0</v>
      </c>
      <c r="GZ80" s="20" t="n">
        <f aca="false">GX80+GY80</f>
        <v>0</v>
      </c>
      <c r="HA80" s="20" t="n">
        <f aca="false">GQ80-GY80+GU80*IF(Slot19_SpendLike=1,GW80-GX80,IF(Slot19_PotFree=1,GW80,0))</f>
        <v>0</v>
      </c>
      <c r="HB80" s="20" t="n">
        <f aca="false">GR80+GU80*Slot19_BufPot*GW80</f>
        <v>0</v>
      </c>
      <c r="HC80" s="20" t="n">
        <f aca="false">IF(AND(GU80=1,Slot19_IsMfree=1),IF(GZ80&gt;=Slot19_Cost-1,0,MAX(0,GS80-GZ80)),GS80)</f>
        <v>0</v>
      </c>
      <c r="HD80" s="20" t="n">
        <f aca="false">GU80*(Slot19_Cost-GZ80)</f>
        <v>0</v>
      </c>
      <c r="HE80" s="20" t="n">
        <f aca="false">IF(AND(Slot20_On=1,D80=Slot20_Age),1,0)</f>
        <v>0</v>
      </c>
      <c r="HF80" s="20" t="n">
        <f aca="false">IF(AND(Slot20_On=1,Slot20_Age&gt;D80),1,0)</f>
        <v>0</v>
      </c>
      <c r="HG80" s="20" t="n">
        <f aca="false">TK79</f>
        <v>0</v>
      </c>
      <c r="HH80" s="20" t="n">
        <f aca="false">HE80*MIN(Slot20_Cost,HG80)</f>
        <v>0</v>
      </c>
      <c r="HI80" s="20" t="n">
        <f aca="false">HE80*Slot20_SpendLike*MIN(Slot20_Cost-HH80,HA80)</f>
        <v>0</v>
      </c>
      <c r="HJ80" s="20" t="n">
        <f aca="false">HH80+HI80</f>
        <v>0</v>
      </c>
      <c r="HK80" s="20" t="n">
        <f aca="false">HA80-HI80+HE80*IF(Slot20_SpendLike=1,HG80-HH80,IF(Slot20_PotFree=1,HG80,0))</f>
        <v>0</v>
      </c>
      <c r="HL80" s="20" t="n">
        <f aca="false">HB80+HE80*Slot20_BufPot*HG80</f>
        <v>0</v>
      </c>
      <c r="HM80" s="20" t="n">
        <f aca="false">IF(AND(HE80=1,Slot20_IsMfree=1),IF(HJ80&gt;=Slot20_Cost-1,0,MAX(0,HC80-HJ80)),HC80)</f>
        <v>0</v>
      </c>
      <c r="HN80" s="20" t="n">
        <f aca="false">HE80*(Slot20_Cost-HJ80)</f>
        <v>0</v>
      </c>
      <c r="HO80" s="20" t="n">
        <f aca="false">V80*Slot1_SpendLike*AA80+AG80*Slot2_SpendLike*AL80+AQ80*Slot3_SpendLike*AV80+BA80*Slot4_SpendLike*BF80+BK80*Slot5_SpendLike*BP80+BU80*Slot6_SpendLike*BZ80+CE80*Slot7_SpendLike*CJ80+CO80*Slot8_SpendLike*CT80+CY80*Slot9_SpendLike*DD80+DI80*Slot10_SpendLike*DN80+DS80*Slot11_SpendLike*DX80+EC80*Slot12_SpendLike*EH80+EM80*Slot13_SpendLike*ER80+EW80*Slot14_SpendLike*FB80+FG80*Slot15_SpendLike*FL80+FQ80*Slot16_SpendLike*FV80+GA80*Slot17_SpendLike*GF80+GK80*Slot18_SpendLike*GP80+GU80*Slot19_SpendLike*GZ80+HE80*Slot20_SpendLike*HJ80</f>
        <v>0</v>
      </c>
      <c r="HP80" s="20" t="n">
        <f aca="false">AE80+AP80+AZ80+BJ80+BT80+CD80+CN80+CX80+DH80+DR80+EB80+EL80+EV80+FF80+FP80+FZ80+GJ80+GT80+HD80+HN80</f>
        <v>0</v>
      </c>
      <c r="HQ80" s="20" t="n">
        <f aca="false">V80*Slot1_Cost+AG80*Slot2_Cost+AQ80*Slot3_Cost+BA80*Slot4_Cost+BK80*Slot5_Cost+BU80*Slot6_Cost+CE80*Slot7_Cost+CO80*Slot8_Cost+CY80*Slot9_Cost+DI80*Slot10_Cost+DS80*Slot11_Cost+EC80*Slot12_Cost+EM80*Slot13_Cost+EW80*Slot14_Cost+FG80*Slot15_Cost+FQ80*Slot16_Cost+GA80*Slot17_Cost+GK80*Slot18_Cost+GU80*Slot19_Cost+HE80*Slot20_Cost</f>
        <v>0</v>
      </c>
      <c r="HR80" s="20" t="n">
        <f aca="false">HM80</f>
        <v>0</v>
      </c>
      <c r="HS80" s="20" t="n">
        <f aca="false">H80-I80-S80</f>
        <v>-80166.5331183625</v>
      </c>
      <c r="HT80" s="20" t="n">
        <f aca="false">IF(B80=0,IF(AND(Has_q6=1,In_q6=4),PR_ShareVaries*(MAX(0,HS80)/12),MIN(IF(Has_q6=1,CHOOSE(In_q6+1,PR_SaveB1,PR_SaveB2,PR_SaveB3,PR_SaveB4,0),AS_NoAnswer),AS_SaveShare*(MAX(0,HS80)/12))),HT79)</f>
        <v>62.3316893520437</v>
      </c>
      <c r="HU80" s="20" t="n">
        <f aca="false">IF(HS80&gt;=0,1,0)</f>
        <v>0</v>
      </c>
      <c r="HV80" s="20" t="n">
        <f aca="false">MAX(0,HS80/12/F80)</f>
        <v>0</v>
      </c>
      <c r="HW80" s="20" t="n">
        <f aca="false">IF(AND(Has_q6=1,In_q6=4),PR_ShareVaries*(HV80),MIN(IF(Has_q6=1,CHOOSE(In_q6+1,PR_SaveB1,PR_SaveB2,PR_SaveB3,PR_SaveB4,0),AS_NoAnswer),AS_SaveShare*(HV80)))</f>
        <v>0</v>
      </c>
      <c r="HX80" s="20" t="n">
        <f aca="false">IF(Has_saveM=1,IF(In_saveUp="Yes",1,IF(In_saveUp="No",0,IF(In_saveM&gt;=HT80-0.5,1,0))),0)</f>
        <v>0</v>
      </c>
      <c r="HY80" s="20" t="n">
        <f aca="false">IF(Has_saveM=1,MIN(HV80,IF(HX80=1,MAX(In_saveM,HW80),MIN(In_saveM,HW80))),HW80)</f>
        <v>0</v>
      </c>
      <c r="HZ80" s="20" t="n">
        <f aca="false">IF(G80=1,HY80*12*F80,0)</f>
        <v>0</v>
      </c>
      <c r="IA80" s="20" t="n">
        <f aca="false">MAX(0,HZ80+IF(AND(WI_Retire=0,WI_M&lt;0,G80=1),WI_M*12*F80,0))</f>
        <v>0</v>
      </c>
      <c r="IB80" s="20" t="n">
        <f aca="false">Slot1_IsWG*W80+Slot2_IsWG*AH80+Slot3_IsWG*AR80+Slot4_IsWG*BB80+Slot5_IsWG*BL80+Slot6_IsWG*BV80+Slot7_IsWG*CF80+Slot8_IsWG*CP80+Slot9_IsWG*CZ80+Slot10_IsWG*DJ80+Slot11_IsWG*DT80+Slot12_IsWG*ED80+Slot13_IsWG*EN80+Slot14_IsWG*EX80+Slot15_IsWG*FH80+Slot16_IsWG*FR80+Slot17_IsWG*GB80+Slot18_IsWG*GL80+Slot19_IsWG*GV80+Slot20_IsWG*HF80</f>
        <v>0</v>
      </c>
      <c r="IC80" s="20" t="n">
        <f aca="false">IF(AND(WI_Retire=0,WI_M&gt;0,G80=1,IB80&gt;=1),WI_M*12*F80,0)</f>
        <v>0</v>
      </c>
      <c r="ID80" s="20" t="n">
        <f aca="false">IF(HU80=1,MIN(IA80,HS80),0)</f>
        <v>0</v>
      </c>
      <c r="IE80" s="20" t="n">
        <f aca="false">IF(HU80=1,MIN(IC80,HS80-ID80),0)</f>
        <v>0</v>
      </c>
      <c r="IF80" s="20" t="n">
        <f aca="false">IF(W80=1,IF(ABS((1+AS_Wage)/(1+Slot1_Rate)-1)&lt;0.000000000001,(Slot1_Age-D80)*(1+Slot1_Rate)^(Slot1_Age-D80),(1+Slot1_Rate)^(Slot1_Age-D80)*(1-((1+AS_Wage)/(1+Slot1_Rate))^(Slot1_Age-D80))/(1-(1+AS_Wage)/(1+Slot1_Rate))),1)</f>
        <v>1</v>
      </c>
      <c r="IG80" s="20" t="n">
        <f aca="false">IF(AND(HU80=1,IE80&gt;0,Slot1_IsWG=1,W80=1),MAX(0,(Slot1_Cost-X80*(1+Slot1_Rate)^(Slot1_Age-D80))/IF80),0)</f>
        <v>0</v>
      </c>
      <c r="IH80" s="20" t="n">
        <f aca="false">IF(AND(HU80=1,IE80&gt;0,Slot1_IsWG=1,W80=1),MIN(IE80,IG80),0)</f>
        <v>0</v>
      </c>
      <c r="II80" s="20" t="n">
        <f aca="false">X80+IH80</f>
        <v>0</v>
      </c>
      <c r="IJ80" s="20" t="n">
        <f aca="false">IF(W80=1,MAX(0,(Slot1_Cost-II80*(1+Slot1_Rate)^(Slot1_Age-D80))/IF80),0)</f>
        <v>0</v>
      </c>
      <c r="IK80" s="20" t="n">
        <f aca="false">IF(W80=1,MAX(0,(Slot1_Cost-X80*(1+Slot1_Rate)^(Slot1_Age-D80))/IF80),0)</f>
        <v>0</v>
      </c>
      <c r="IL80" s="20" t="n">
        <f aca="false">IF(AND(HU80=1,W80=1),MIN(ID80,IJ80),0)</f>
        <v>0</v>
      </c>
      <c r="IM80" s="20" t="n">
        <f aca="false">ID80-IL80</f>
        <v>0</v>
      </c>
      <c r="IN80" s="20" t="n">
        <f aca="false">IF(AH80=1,IF(ABS((1+AS_Wage)/(1+Slot2_Rate)-1)&lt;0.000000000001,(Slot2_Age-D80)*(1+Slot2_Rate)^(Slot2_Age-D80),(1+Slot2_Rate)^(Slot2_Age-D80)*(1-((1+AS_Wage)/(1+Slot2_Rate))^(Slot2_Age-D80))/(1-(1+AS_Wage)/(1+Slot2_Rate))),1)</f>
        <v>1</v>
      </c>
      <c r="IO80" s="20" t="n">
        <f aca="false">IF(AND(HU80=1,IE80&gt;0,Slot2_IsWG=1,AH80=1),MAX(0,(Slot2_Cost-AI80*(1+Slot2_Rate)^(Slot2_Age-D80))/IN80),0)</f>
        <v>0</v>
      </c>
      <c r="IP80" s="20" t="n">
        <f aca="false">IF(AND(HU80=1,IE80&gt;0,Slot2_IsWG=1,AH80=1),MIN(IE80,IO80),0)</f>
        <v>0</v>
      </c>
      <c r="IQ80" s="20" t="n">
        <f aca="false">AI80+IP80</f>
        <v>0</v>
      </c>
      <c r="IR80" s="20" t="n">
        <f aca="false">IF(AH80=1,MAX(0,(Slot2_Cost-IQ80*(1+Slot2_Rate)^(Slot2_Age-D80))/IN80),0)</f>
        <v>0</v>
      </c>
      <c r="IS80" s="20" t="n">
        <f aca="false">IF(AH80=1,MAX(0,(Slot2_Cost-AI80*(1+Slot2_Rate)^(Slot2_Age-D80))/IN80),0)</f>
        <v>0</v>
      </c>
      <c r="IT80" s="20" t="n">
        <f aca="false">IF(AND(HU80=1,AH80=1),MIN(IM80,IR80),0)</f>
        <v>0</v>
      </c>
      <c r="IU80" s="20" t="n">
        <f aca="false">IM80-IT80</f>
        <v>0</v>
      </c>
      <c r="IV80" s="20" t="n">
        <f aca="false">IF(AR80=1,IF(ABS((1+AS_Wage)/(1+Slot3_Rate)-1)&lt;0.000000000001,(Slot3_Age-D80)*(1+Slot3_Rate)^(Slot3_Age-D80),(1+Slot3_Rate)^(Slot3_Age-D80)*(1-((1+AS_Wage)/(1+Slot3_Rate))^(Slot3_Age-D80))/(1-(1+AS_Wage)/(1+Slot3_Rate))),1)</f>
        <v>1</v>
      </c>
      <c r="IW80" s="20" t="n">
        <f aca="false">IF(AND(HU80=1,IE80&gt;0,Slot3_IsWG=1,AR80=1),MAX(0,(Slot3_Cost-AS80*(1+Slot3_Rate)^(Slot3_Age-D80))/IV80),0)</f>
        <v>0</v>
      </c>
      <c r="IX80" s="20" t="n">
        <f aca="false">IF(AND(HU80=1,IE80&gt;0,Slot3_IsWG=1,AR80=1),MIN(IE80,IW80),0)</f>
        <v>0</v>
      </c>
      <c r="IY80" s="20" t="n">
        <f aca="false">AS80+IX80</f>
        <v>0</v>
      </c>
      <c r="IZ80" s="20" t="n">
        <f aca="false">IF(AR80=1,MAX(0,(Slot3_Cost-IY80*(1+Slot3_Rate)^(Slot3_Age-D80))/IV80),0)</f>
        <v>0</v>
      </c>
      <c r="JA80" s="20" t="n">
        <f aca="false">IF(AR80=1,MAX(0,(Slot3_Cost-AS80*(1+Slot3_Rate)^(Slot3_Age-D80))/IV80),0)</f>
        <v>0</v>
      </c>
      <c r="JB80" s="20" t="n">
        <f aca="false">IF(AND(HU80=1,AR80=1),MIN(IU80,IZ80),0)</f>
        <v>0</v>
      </c>
      <c r="JC80" s="20" t="n">
        <f aca="false">IU80-JB80</f>
        <v>0</v>
      </c>
      <c r="JD80" s="20" t="n">
        <f aca="false">IF(BB80=1,IF(ABS((1+AS_Wage)/(1+Slot4_Rate)-1)&lt;0.000000000001,(Slot4_Age-D80)*(1+Slot4_Rate)^(Slot4_Age-D80),(1+Slot4_Rate)^(Slot4_Age-D80)*(1-((1+AS_Wage)/(1+Slot4_Rate))^(Slot4_Age-D80))/(1-(1+AS_Wage)/(1+Slot4_Rate))),1)</f>
        <v>1</v>
      </c>
      <c r="JE80" s="20" t="n">
        <f aca="false">IF(AND(HU80=1,IE80&gt;0,Slot4_IsWG=1,BB80=1),MAX(0,(Slot4_Cost-BC80*(1+Slot4_Rate)^(Slot4_Age-D80))/JD80),0)</f>
        <v>0</v>
      </c>
      <c r="JF80" s="20" t="n">
        <f aca="false">IF(AND(HU80=1,IE80&gt;0,Slot4_IsWG=1,BB80=1),MIN(IE80,JE80),0)</f>
        <v>0</v>
      </c>
      <c r="JG80" s="20" t="n">
        <f aca="false">BC80+JF80</f>
        <v>0</v>
      </c>
      <c r="JH80" s="20" t="n">
        <f aca="false">IF(BB80=1,MAX(0,(Slot4_Cost-JG80*(1+Slot4_Rate)^(Slot4_Age-D80))/JD80),0)</f>
        <v>0</v>
      </c>
      <c r="JI80" s="20" t="n">
        <f aca="false">IF(BB80=1,MAX(0,(Slot4_Cost-BC80*(1+Slot4_Rate)^(Slot4_Age-D80))/JD80),0)</f>
        <v>0</v>
      </c>
      <c r="JJ80" s="20" t="n">
        <f aca="false">IF(AND(HU80=1,BB80=1),MIN(JC80,JH80),0)</f>
        <v>0</v>
      </c>
      <c r="JK80" s="20" t="n">
        <f aca="false">JC80-JJ80</f>
        <v>0</v>
      </c>
      <c r="JL80" s="20" t="n">
        <f aca="false">IF(BL80=1,IF(ABS((1+AS_Wage)/(1+Slot5_Rate)-1)&lt;0.000000000001,(Slot5_Age-D80)*(1+Slot5_Rate)^(Slot5_Age-D80),(1+Slot5_Rate)^(Slot5_Age-D80)*(1-((1+AS_Wage)/(1+Slot5_Rate))^(Slot5_Age-D80))/(1-(1+AS_Wage)/(1+Slot5_Rate))),1)</f>
        <v>1</v>
      </c>
      <c r="JM80" s="20" t="n">
        <f aca="false">IF(AND(HU80=1,IE80&gt;0,Slot5_IsWG=1,BL80=1),MAX(0,(Slot5_Cost-BM80*(1+Slot5_Rate)^(Slot5_Age-D80))/JL80),0)</f>
        <v>0</v>
      </c>
      <c r="JN80" s="20" t="n">
        <f aca="false">IF(AND(HU80=1,IE80&gt;0,Slot5_IsWG=1,BL80=1),MIN(IE80,JM80),0)</f>
        <v>0</v>
      </c>
      <c r="JO80" s="20" t="n">
        <f aca="false">BM80+JN80</f>
        <v>0</v>
      </c>
      <c r="JP80" s="20" t="n">
        <f aca="false">IF(BL80=1,MAX(0,(Slot5_Cost-JO80*(1+Slot5_Rate)^(Slot5_Age-D80))/JL80),0)</f>
        <v>0</v>
      </c>
      <c r="JQ80" s="20" t="n">
        <f aca="false">IF(BL80=1,MAX(0,(Slot5_Cost-BM80*(1+Slot5_Rate)^(Slot5_Age-D80))/JL80),0)</f>
        <v>0</v>
      </c>
      <c r="JR80" s="20" t="n">
        <f aca="false">IF(AND(HU80=1,BL80=1),MIN(JK80,JP80),0)</f>
        <v>0</v>
      </c>
      <c r="JS80" s="20" t="n">
        <f aca="false">JK80-JR80</f>
        <v>0</v>
      </c>
      <c r="JT80" s="20" t="n">
        <f aca="false">IF(BV80=1,IF(ABS((1+AS_Wage)/(1+Slot6_Rate)-1)&lt;0.000000000001,(Slot6_Age-D80)*(1+Slot6_Rate)^(Slot6_Age-D80),(1+Slot6_Rate)^(Slot6_Age-D80)*(1-((1+AS_Wage)/(1+Slot6_Rate))^(Slot6_Age-D80))/(1-(1+AS_Wage)/(1+Slot6_Rate))),1)</f>
        <v>1</v>
      </c>
      <c r="JU80" s="20" t="n">
        <f aca="false">IF(AND(HU80=1,IE80&gt;0,Slot6_IsWG=1,BV80=1),MAX(0,(Slot6_Cost-BW80*(1+Slot6_Rate)^(Slot6_Age-D80))/JT80),0)</f>
        <v>0</v>
      </c>
      <c r="JV80" s="20" t="n">
        <f aca="false">IF(AND(HU80=1,IE80&gt;0,Slot6_IsWG=1,BV80=1),MIN(IE80,JU80),0)</f>
        <v>0</v>
      </c>
      <c r="JW80" s="20" t="n">
        <f aca="false">BW80+JV80</f>
        <v>0</v>
      </c>
      <c r="JX80" s="20" t="n">
        <f aca="false">IF(BV80=1,MAX(0,(Slot6_Cost-JW80*(1+Slot6_Rate)^(Slot6_Age-D80))/JT80),0)</f>
        <v>0</v>
      </c>
      <c r="JY80" s="20" t="n">
        <f aca="false">IF(BV80=1,MAX(0,(Slot6_Cost-BW80*(1+Slot6_Rate)^(Slot6_Age-D80))/JT80),0)</f>
        <v>0</v>
      </c>
      <c r="JZ80" s="20" t="n">
        <f aca="false">IF(AND(HU80=1,BV80=1),MIN(JS80,JX80),0)</f>
        <v>0</v>
      </c>
      <c r="KA80" s="20" t="n">
        <f aca="false">JS80-JZ80</f>
        <v>0</v>
      </c>
      <c r="KB80" s="20" t="n">
        <f aca="false">IF(CF80=1,IF(ABS((1+AS_Wage)/(1+Slot7_Rate)-1)&lt;0.000000000001,(Slot7_Age-D80)*(1+Slot7_Rate)^(Slot7_Age-D80),(1+Slot7_Rate)^(Slot7_Age-D80)*(1-((1+AS_Wage)/(1+Slot7_Rate))^(Slot7_Age-D80))/(1-(1+AS_Wage)/(1+Slot7_Rate))),1)</f>
        <v>1</v>
      </c>
      <c r="KC80" s="20" t="n">
        <f aca="false">IF(AND(HU80=1,IE80&gt;0,Slot7_IsWG=1,CF80=1),MAX(0,(Slot7_Cost-CG80*(1+Slot7_Rate)^(Slot7_Age-D80))/KB80),0)</f>
        <v>0</v>
      </c>
      <c r="KD80" s="20" t="n">
        <f aca="false">IF(AND(HU80=1,IE80&gt;0,Slot7_IsWG=1,CF80=1),MIN(IE80,KC80),0)</f>
        <v>0</v>
      </c>
      <c r="KE80" s="20" t="n">
        <f aca="false">CG80+KD80</f>
        <v>0</v>
      </c>
      <c r="KF80" s="20" t="n">
        <f aca="false">IF(CF80=1,MAX(0,(Slot7_Cost-KE80*(1+Slot7_Rate)^(Slot7_Age-D80))/KB80),0)</f>
        <v>0</v>
      </c>
      <c r="KG80" s="20" t="n">
        <f aca="false">IF(CF80=1,MAX(0,(Slot7_Cost-CG80*(1+Slot7_Rate)^(Slot7_Age-D80))/KB80),0)</f>
        <v>0</v>
      </c>
      <c r="KH80" s="20" t="n">
        <f aca="false">IF(AND(HU80=1,CF80=1),MIN(KA80,KF80),0)</f>
        <v>0</v>
      </c>
      <c r="KI80" s="20" t="n">
        <f aca="false">KA80-KH80</f>
        <v>0</v>
      </c>
      <c r="KJ80" s="20" t="n">
        <f aca="false">IF(CP80=1,IF(ABS((1+AS_Wage)/(1+Slot8_Rate)-1)&lt;0.000000000001,(Slot8_Age-D80)*(1+Slot8_Rate)^(Slot8_Age-D80),(1+Slot8_Rate)^(Slot8_Age-D80)*(1-((1+AS_Wage)/(1+Slot8_Rate))^(Slot8_Age-D80))/(1-(1+AS_Wage)/(1+Slot8_Rate))),1)</f>
        <v>1</v>
      </c>
      <c r="KK80" s="20" t="n">
        <f aca="false">IF(AND(HU80=1,IE80&gt;0,Slot8_IsWG=1,CP80=1),MAX(0,(Slot8_Cost-CQ80*(1+Slot8_Rate)^(Slot8_Age-D80))/KJ80),0)</f>
        <v>0</v>
      </c>
      <c r="KL80" s="20" t="n">
        <f aca="false">IF(AND(HU80=1,IE80&gt;0,Slot8_IsWG=1,CP80=1),MIN(IE80,KK80),0)</f>
        <v>0</v>
      </c>
      <c r="KM80" s="20" t="n">
        <f aca="false">CQ80+KL80</f>
        <v>0</v>
      </c>
      <c r="KN80" s="20" t="n">
        <f aca="false">IF(CP80=1,MAX(0,(Slot8_Cost-KM80*(1+Slot8_Rate)^(Slot8_Age-D80))/KJ80),0)</f>
        <v>0</v>
      </c>
      <c r="KO80" s="20" t="n">
        <f aca="false">IF(CP80=1,MAX(0,(Slot8_Cost-CQ80*(1+Slot8_Rate)^(Slot8_Age-D80))/KJ80),0)</f>
        <v>0</v>
      </c>
      <c r="KP80" s="20" t="n">
        <f aca="false">IF(AND(HU80=1,CP80=1),MIN(KI80,KN80),0)</f>
        <v>0</v>
      </c>
      <c r="KQ80" s="20" t="n">
        <f aca="false">KI80-KP80</f>
        <v>0</v>
      </c>
      <c r="KR80" s="20" t="n">
        <f aca="false">IF(CZ80=1,IF(ABS((1+AS_Wage)/(1+Slot9_Rate)-1)&lt;0.000000000001,(Slot9_Age-D80)*(1+Slot9_Rate)^(Slot9_Age-D80),(1+Slot9_Rate)^(Slot9_Age-D80)*(1-((1+AS_Wage)/(1+Slot9_Rate))^(Slot9_Age-D80))/(1-(1+AS_Wage)/(1+Slot9_Rate))),1)</f>
        <v>1</v>
      </c>
      <c r="KS80" s="20" t="n">
        <f aca="false">IF(AND(HU80=1,IE80&gt;0,Slot9_IsWG=1,CZ80=1),MAX(0,(Slot9_Cost-DA80*(1+Slot9_Rate)^(Slot9_Age-D80))/KR80),0)</f>
        <v>0</v>
      </c>
      <c r="KT80" s="20" t="n">
        <f aca="false">IF(AND(HU80=1,IE80&gt;0,Slot9_IsWG=1,CZ80=1),MIN(IE80,KS80),0)</f>
        <v>0</v>
      </c>
      <c r="KU80" s="20" t="n">
        <f aca="false">DA80+KT80</f>
        <v>0</v>
      </c>
      <c r="KV80" s="20" t="n">
        <f aca="false">IF(CZ80=1,MAX(0,(Slot9_Cost-KU80*(1+Slot9_Rate)^(Slot9_Age-D80))/KR80),0)</f>
        <v>0</v>
      </c>
      <c r="KW80" s="20" t="n">
        <f aca="false">IF(CZ80=1,MAX(0,(Slot9_Cost-DA80*(1+Slot9_Rate)^(Slot9_Age-D80))/KR80),0)</f>
        <v>0</v>
      </c>
      <c r="KX80" s="20" t="n">
        <f aca="false">IF(AND(HU80=1,CZ80=1),MIN(KQ80,KV80),0)</f>
        <v>0</v>
      </c>
      <c r="KY80" s="20" t="n">
        <f aca="false">KQ80-KX80</f>
        <v>0</v>
      </c>
      <c r="KZ80" s="20" t="n">
        <f aca="false">IF(DJ80=1,IF(ABS((1+AS_Wage)/(1+Slot10_Rate)-1)&lt;0.000000000001,(Slot10_Age-D80)*(1+Slot10_Rate)^(Slot10_Age-D80),(1+Slot10_Rate)^(Slot10_Age-D80)*(1-((1+AS_Wage)/(1+Slot10_Rate))^(Slot10_Age-D80))/(1-(1+AS_Wage)/(1+Slot10_Rate))),1)</f>
        <v>1</v>
      </c>
      <c r="LA80" s="20" t="n">
        <f aca="false">IF(AND(HU80=1,IE80&gt;0,Slot10_IsWG=1,DJ80=1),MAX(0,(Slot10_Cost-DK80*(1+Slot10_Rate)^(Slot10_Age-D80))/KZ80),0)</f>
        <v>0</v>
      </c>
      <c r="LB80" s="20" t="n">
        <f aca="false">IF(AND(HU80=1,IE80&gt;0,Slot10_IsWG=1,DJ80=1),MIN(IE80,LA80),0)</f>
        <v>0</v>
      </c>
      <c r="LC80" s="20" t="n">
        <f aca="false">DK80+LB80</f>
        <v>0</v>
      </c>
      <c r="LD80" s="20" t="n">
        <f aca="false">IF(DJ80=1,MAX(0,(Slot10_Cost-LC80*(1+Slot10_Rate)^(Slot10_Age-D80))/KZ80),0)</f>
        <v>0</v>
      </c>
      <c r="LE80" s="20" t="n">
        <f aca="false">IF(DJ80=1,MAX(0,(Slot10_Cost-DK80*(1+Slot10_Rate)^(Slot10_Age-D80))/KZ80),0)</f>
        <v>0</v>
      </c>
      <c r="LF80" s="20" t="n">
        <f aca="false">IF(AND(HU80=1,DJ80=1),MIN(KY80,LD80),0)</f>
        <v>0</v>
      </c>
      <c r="LG80" s="20" t="n">
        <f aca="false">KY80-LF80</f>
        <v>0</v>
      </c>
      <c r="LH80" s="20" t="n">
        <f aca="false">IF(DT80=1,IF(ABS((1+AS_Wage)/(1+Slot11_Rate)-1)&lt;0.000000000001,(Slot11_Age-D80)*(1+Slot11_Rate)^(Slot11_Age-D80),(1+Slot11_Rate)^(Slot11_Age-D80)*(1-((1+AS_Wage)/(1+Slot11_Rate))^(Slot11_Age-D80))/(1-(1+AS_Wage)/(1+Slot11_Rate))),1)</f>
        <v>1</v>
      </c>
      <c r="LI80" s="20" t="n">
        <f aca="false">IF(AND(HU80=1,IE80&gt;0,Slot11_IsWG=1,DT80=1),MAX(0,(Slot11_Cost-DU80*(1+Slot11_Rate)^(Slot11_Age-D80))/LH80),0)</f>
        <v>0</v>
      </c>
      <c r="LJ80" s="20" t="n">
        <f aca="false">IF(AND(HU80=1,IE80&gt;0,Slot11_IsWG=1,DT80=1),MIN(IE80,LI80),0)</f>
        <v>0</v>
      </c>
      <c r="LK80" s="20" t="n">
        <f aca="false">DU80+LJ80</f>
        <v>0</v>
      </c>
      <c r="LL80" s="20" t="n">
        <f aca="false">IF(DT80=1,MAX(0,(Slot11_Cost-LK80*(1+Slot11_Rate)^(Slot11_Age-D80))/LH80),0)</f>
        <v>0</v>
      </c>
      <c r="LM80" s="20" t="n">
        <f aca="false">IF(DT80=1,MAX(0,(Slot11_Cost-DU80*(1+Slot11_Rate)^(Slot11_Age-D80))/LH80),0)</f>
        <v>0</v>
      </c>
      <c r="LN80" s="20" t="n">
        <f aca="false">IF(AND(HU80=1,DT80=1),MIN(LG80,LL80),0)</f>
        <v>0</v>
      </c>
      <c r="LO80" s="20" t="n">
        <f aca="false">LG80-LN80</f>
        <v>0</v>
      </c>
      <c r="LP80" s="20" t="n">
        <f aca="false">IF(ED80=1,IF(ABS((1+AS_Wage)/(1+Slot12_Rate)-1)&lt;0.000000000001,(Slot12_Age-D80)*(1+Slot12_Rate)^(Slot12_Age-D80),(1+Slot12_Rate)^(Slot12_Age-D80)*(1-((1+AS_Wage)/(1+Slot12_Rate))^(Slot12_Age-D80))/(1-(1+AS_Wage)/(1+Slot12_Rate))),1)</f>
        <v>1</v>
      </c>
      <c r="LQ80" s="20" t="n">
        <f aca="false">IF(AND(HU80=1,IE80&gt;0,Slot12_IsWG=1,ED80=1),MAX(0,(Slot12_Cost-EE80*(1+Slot12_Rate)^(Slot12_Age-D80))/LP80),0)</f>
        <v>0</v>
      </c>
      <c r="LR80" s="20" t="n">
        <f aca="false">IF(AND(HU80=1,IE80&gt;0,Slot12_IsWG=1,ED80=1),MIN(IE80,LQ80),0)</f>
        <v>0</v>
      </c>
      <c r="LS80" s="20" t="n">
        <f aca="false">EE80+LR80</f>
        <v>0</v>
      </c>
      <c r="LT80" s="20" t="n">
        <f aca="false">IF(ED80=1,MAX(0,(Slot12_Cost-LS80*(1+Slot12_Rate)^(Slot12_Age-D80))/LP80),0)</f>
        <v>0</v>
      </c>
      <c r="LU80" s="20" t="n">
        <f aca="false">IF(ED80=1,MAX(0,(Slot12_Cost-EE80*(1+Slot12_Rate)^(Slot12_Age-D80))/LP80),0)</f>
        <v>0</v>
      </c>
      <c r="LV80" s="20" t="n">
        <f aca="false">IF(AND(HU80=1,ED80=1),MIN(LO80,LT80),0)</f>
        <v>0</v>
      </c>
      <c r="LW80" s="20" t="n">
        <f aca="false">LO80-LV80</f>
        <v>0</v>
      </c>
      <c r="LX80" s="20" t="n">
        <f aca="false">IF(EN80=1,IF(ABS((1+AS_Wage)/(1+Slot13_Rate)-1)&lt;0.000000000001,(Slot13_Age-D80)*(1+Slot13_Rate)^(Slot13_Age-D80),(1+Slot13_Rate)^(Slot13_Age-D80)*(1-((1+AS_Wage)/(1+Slot13_Rate))^(Slot13_Age-D80))/(1-(1+AS_Wage)/(1+Slot13_Rate))),1)</f>
        <v>1</v>
      </c>
      <c r="LY80" s="20" t="n">
        <f aca="false">IF(AND(HU80=1,IE80&gt;0,Slot13_IsWG=1,EN80=1),MAX(0,(Slot13_Cost-EO80*(1+Slot13_Rate)^(Slot13_Age-D80))/LX80),0)</f>
        <v>0</v>
      </c>
      <c r="LZ80" s="20" t="n">
        <f aca="false">IF(AND(HU80=1,IE80&gt;0,Slot13_IsWG=1,EN80=1),MIN(IE80,LY80),0)</f>
        <v>0</v>
      </c>
      <c r="MA80" s="20" t="n">
        <f aca="false">EO80+LZ80</f>
        <v>0</v>
      </c>
      <c r="MB80" s="20" t="n">
        <f aca="false">IF(EN80=1,MAX(0,(Slot13_Cost-MA80*(1+Slot13_Rate)^(Slot13_Age-D80))/LX80),0)</f>
        <v>0</v>
      </c>
      <c r="MC80" s="20" t="n">
        <f aca="false">IF(EN80=1,MAX(0,(Slot13_Cost-EO80*(1+Slot13_Rate)^(Slot13_Age-D80))/LX80),0)</f>
        <v>0</v>
      </c>
      <c r="MD80" s="20" t="n">
        <f aca="false">IF(AND(HU80=1,EN80=1),MIN(LW80,MB80),0)</f>
        <v>0</v>
      </c>
      <c r="ME80" s="20" t="n">
        <f aca="false">LW80-MD80</f>
        <v>0</v>
      </c>
      <c r="MF80" s="20" t="n">
        <f aca="false">IF(EX80=1,IF(ABS((1+AS_Wage)/(1+Slot14_Rate)-1)&lt;0.000000000001,(Slot14_Age-D80)*(1+Slot14_Rate)^(Slot14_Age-D80),(1+Slot14_Rate)^(Slot14_Age-D80)*(1-((1+AS_Wage)/(1+Slot14_Rate))^(Slot14_Age-D80))/(1-(1+AS_Wage)/(1+Slot14_Rate))),1)</f>
        <v>1</v>
      </c>
      <c r="MG80" s="20" t="n">
        <f aca="false">IF(AND(HU80=1,IE80&gt;0,Slot14_IsWG=1,EX80=1),MAX(0,(Slot14_Cost-EY80*(1+Slot14_Rate)^(Slot14_Age-D80))/MF80),0)</f>
        <v>0</v>
      </c>
      <c r="MH80" s="20" t="n">
        <f aca="false">IF(AND(HU80=1,IE80&gt;0,Slot14_IsWG=1,EX80=1),MIN(IE80,MG80),0)</f>
        <v>0</v>
      </c>
      <c r="MI80" s="20" t="n">
        <f aca="false">EY80+MH80</f>
        <v>0</v>
      </c>
      <c r="MJ80" s="20" t="n">
        <f aca="false">IF(EX80=1,MAX(0,(Slot14_Cost-MI80*(1+Slot14_Rate)^(Slot14_Age-D80))/MF80),0)</f>
        <v>0</v>
      </c>
      <c r="MK80" s="20" t="n">
        <f aca="false">IF(EX80=1,MAX(0,(Slot14_Cost-EY80*(1+Slot14_Rate)^(Slot14_Age-D80))/MF80),0)</f>
        <v>0</v>
      </c>
      <c r="ML80" s="20" t="n">
        <f aca="false">IF(AND(HU80=1,EX80=1),MIN(ME80,MJ80),0)</f>
        <v>0</v>
      </c>
      <c r="MM80" s="20" t="n">
        <f aca="false">ME80-ML80</f>
        <v>0</v>
      </c>
      <c r="MN80" s="20" t="n">
        <f aca="false">IF(FH80=1,IF(ABS((1+AS_Wage)/(1+Slot15_Rate)-1)&lt;0.000000000001,(Slot15_Age-D80)*(1+Slot15_Rate)^(Slot15_Age-D80),(1+Slot15_Rate)^(Slot15_Age-D80)*(1-((1+AS_Wage)/(1+Slot15_Rate))^(Slot15_Age-D80))/(1-(1+AS_Wage)/(1+Slot15_Rate))),1)</f>
        <v>1</v>
      </c>
      <c r="MO80" s="20" t="n">
        <f aca="false">IF(AND(HU80=1,IE80&gt;0,Slot15_IsWG=1,FH80=1),MAX(0,(Slot15_Cost-FI80*(1+Slot15_Rate)^(Slot15_Age-D80))/MN80),0)</f>
        <v>0</v>
      </c>
      <c r="MP80" s="20" t="n">
        <f aca="false">IF(AND(HU80=1,IE80&gt;0,Slot15_IsWG=1,FH80=1),MIN(IE80,MO80),0)</f>
        <v>0</v>
      </c>
      <c r="MQ80" s="20" t="n">
        <f aca="false">FI80+MP80</f>
        <v>0</v>
      </c>
      <c r="MR80" s="20" t="n">
        <f aca="false">IF(FH80=1,MAX(0,(Slot15_Cost-MQ80*(1+Slot15_Rate)^(Slot15_Age-D80))/MN80),0)</f>
        <v>0</v>
      </c>
      <c r="MS80" s="20" t="n">
        <f aca="false">IF(FH80=1,MAX(0,(Slot15_Cost-FI80*(1+Slot15_Rate)^(Slot15_Age-D80))/MN80),0)</f>
        <v>0</v>
      </c>
      <c r="MT80" s="20" t="n">
        <f aca="false">IF(AND(HU80=1,FH80=1),MIN(MM80,MR80),0)</f>
        <v>0</v>
      </c>
      <c r="MU80" s="20" t="n">
        <f aca="false">MM80-MT80</f>
        <v>0</v>
      </c>
      <c r="MV80" s="20" t="n">
        <f aca="false">IF(FR80=1,IF(ABS((1+AS_Wage)/(1+Slot16_Rate)-1)&lt;0.000000000001,(Slot16_Age-D80)*(1+Slot16_Rate)^(Slot16_Age-D80),(1+Slot16_Rate)^(Slot16_Age-D80)*(1-((1+AS_Wage)/(1+Slot16_Rate))^(Slot16_Age-D80))/(1-(1+AS_Wage)/(1+Slot16_Rate))),1)</f>
        <v>1</v>
      </c>
      <c r="MW80" s="20" t="n">
        <f aca="false">IF(AND(HU80=1,IE80&gt;0,Slot16_IsWG=1,FR80=1),MAX(0,(Slot16_Cost-FS80*(1+Slot16_Rate)^(Slot16_Age-D80))/MV80),0)</f>
        <v>0</v>
      </c>
      <c r="MX80" s="20" t="n">
        <f aca="false">IF(AND(HU80=1,IE80&gt;0,Slot16_IsWG=1,FR80=1),MIN(IE80,MW80),0)</f>
        <v>0</v>
      </c>
      <c r="MY80" s="20" t="n">
        <f aca="false">FS80+MX80</f>
        <v>0</v>
      </c>
      <c r="MZ80" s="20" t="n">
        <f aca="false">IF(FR80=1,MAX(0,(Slot16_Cost-MY80*(1+Slot16_Rate)^(Slot16_Age-D80))/MV80),0)</f>
        <v>0</v>
      </c>
      <c r="NA80" s="20" t="n">
        <f aca="false">IF(FR80=1,MAX(0,(Slot16_Cost-FS80*(1+Slot16_Rate)^(Slot16_Age-D80))/MV80),0)</f>
        <v>0</v>
      </c>
      <c r="NB80" s="20" t="n">
        <f aca="false">IF(AND(HU80=1,FR80=1),MIN(MU80,MZ80),0)</f>
        <v>0</v>
      </c>
      <c r="NC80" s="20" t="n">
        <f aca="false">MU80-NB80</f>
        <v>0</v>
      </c>
      <c r="ND80" s="20" t="n">
        <f aca="false">IF(GB80=1,IF(ABS((1+AS_Wage)/(1+Slot17_Rate)-1)&lt;0.000000000001,(Slot17_Age-D80)*(1+Slot17_Rate)^(Slot17_Age-D80),(1+Slot17_Rate)^(Slot17_Age-D80)*(1-((1+AS_Wage)/(1+Slot17_Rate))^(Slot17_Age-D80))/(1-(1+AS_Wage)/(1+Slot17_Rate))),1)</f>
        <v>1</v>
      </c>
      <c r="NE80" s="20" t="n">
        <f aca="false">IF(AND(HU80=1,IE80&gt;0,Slot17_IsWG=1,GB80=1),MAX(0,(Slot17_Cost-GC80*(1+Slot17_Rate)^(Slot17_Age-D80))/ND80),0)</f>
        <v>0</v>
      </c>
      <c r="NF80" s="20" t="n">
        <f aca="false">IF(AND(HU80=1,IE80&gt;0,Slot17_IsWG=1,GB80=1),MIN(IE80,NE80),0)</f>
        <v>0</v>
      </c>
      <c r="NG80" s="20" t="n">
        <f aca="false">GC80+NF80</f>
        <v>0</v>
      </c>
      <c r="NH80" s="20" t="n">
        <f aca="false">IF(GB80=1,MAX(0,(Slot17_Cost-NG80*(1+Slot17_Rate)^(Slot17_Age-D80))/ND80),0)</f>
        <v>0</v>
      </c>
      <c r="NI80" s="20" t="n">
        <f aca="false">IF(GB80=1,MAX(0,(Slot17_Cost-GC80*(1+Slot17_Rate)^(Slot17_Age-D80))/ND80),0)</f>
        <v>0</v>
      </c>
      <c r="NJ80" s="20" t="n">
        <f aca="false">IF(AND(HU80=1,GB80=1),MIN(NC80,NH80),0)</f>
        <v>0</v>
      </c>
      <c r="NK80" s="20" t="n">
        <f aca="false">NC80-NJ80</f>
        <v>0</v>
      </c>
      <c r="NL80" s="20" t="n">
        <f aca="false">IF(GL80=1,IF(ABS((1+AS_Wage)/(1+Slot18_Rate)-1)&lt;0.000000000001,(Slot18_Age-D80)*(1+Slot18_Rate)^(Slot18_Age-D80),(1+Slot18_Rate)^(Slot18_Age-D80)*(1-((1+AS_Wage)/(1+Slot18_Rate))^(Slot18_Age-D80))/(1-(1+AS_Wage)/(1+Slot18_Rate))),1)</f>
        <v>1</v>
      </c>
      <c r="NM80" s="20" t="n">
        <f aca="false">IF(AND(HU80=1,IE80&gt;0,Slot18_IsWG=1,GL80=1),MAX(0,(Slot18_Cost-GM80*(1+Slot18_Rate)^(Slot18_Age-D80))/NL80),0)</f>
        <v>0</v>
      </c>
      <c r="NN80" s="20" t="n">
        <f aca="false">IF(AND(HU80=1,IE80&gt;0,Slot18_IsWG=1,GL80=1),MIN(IE80,NM80),0)</f>
        <v>0</v>
      </c>
      <c r="NO80" s="20" t="n">
        <f aca="false">GM80+NN80</f>
        <v>0</v>
      </c>
      <c r="NP80" s="20" t="n">
        <f aca="false">IF(GL80=1,MAX(0,(Slot18_Cost-NO80*(1+Slot18_Rate)^(Slot18_Age-D80))/NL80),0)</f>
        <v>0</v>
      </c>
      <c r="NQ80" s="20" t="n">
        <f aca="false">IF(GL80=1,MAX(0,(Slot18_Cost-GM80*(1+Slot18_Rate)^(Slot18_Age-D80))/NL80),0)</f>
        <v>0</v>
      </c>
      <c r="NR80" s="20" t="n">
        <f aca="false">IF(AND(HU80=1,GL80=1),MIN(NK80,NP80),0)</f>
        <v>0</v>
      </c>
      <c r="NS80" s="20" t="n">
        <f aca="false">NK80-NR80</f>
        <v>0</v>
      </c>
      <c r="NT80" s="20" t="n">
        <f aca="false">IF(GV80=1,IF(ABS((1+AS_Wage)/(1+Slot19_Rate)-1)&lt;0.000000000001,(Slot19_Age-D80)*(1+Slot19_Rate)^(Slot19_Age-D80),(1+Slot19_Rate)^(Slot19_Age-D80)*(1-((1+AS_Wage)/(1+Slot19_Rate))^(Slot19_Age-D80))/(1-(1+AS_Wage)/(1+Slot19_Rate))),1)</f>
        <v>1</v>
      </c>
      <c r="NU80" s="20" t="n">
        <f aca="false">IF(AND(HU80=1,IE80&gt;0,Slot19_IsWG=1,GV80=1),MAX(0,(Slot19_Cost-GW80*(1+Slot19_Rate)^(Slot19_Age-D80))/NT80),0)</f>
        <v>0</v>
      </c>
      <c r="NV80" s="20" t="n">
        <f aca="false">IF(AND(HU80=1,IE80&gt;0,Slot19_IsWG=1,GV80=1),MIN(IE80,NU80),0)</f>
        <v>0</v>
      </c>
      <c r="NW80" s="20" t="n">
        <f aca="false">GW80+NV80</f>
        <v>0</v>
      </c>
      <c r="NX80" s="20" t="n">
        <f aca="false">IF(GV80=1,MAX(0,(Slot19_Cost-NW80*(1+Slot19_Rate)^(Slot19_Age-D80))/NT80),0)</f>
        <v>0</v>
      </c>
      <c r="NY80" s="20" t="n">
        <f aca="false">IF(GV80=1,MAX(0,(Slot19_Cost-GW80*(1+Slot19_Rate)^(Slot19_Age-D80))/NT80),0)</f>
        <v>0</v>
      </c>
      <c r="NZ80" s="20" t="n">
        <f aca="false">IF(AND(HU80=1,GV80=1),MIN(NS80,NX80),0)</f>
        <v>0</v>
      </c>
      <c r="OA80" s="20" t="n">
        <f aca="false">NS80-NZ80</f>
        <v>0</v>
      </c>
      <c r="OB80" s="20" t="n">
        <f aca="false">IF(HF80=1,IF(ABS((1+AS_Wage)/(1+Slot20_Rate)-1)&lt;0.000000000001,(Slot20_Age-D80)*(1+Slot20_Rate)^(Slot20_Age-D80),(1+Slot20_Rate)^(Slot20_Age-D80)*(1-((1+AS_Wage)/(1+Slot20_Rate))^(Slot20_Age-D80))/(1-(1+AS_Wage)/(1+Slot20_Rate))),1)</f>
        <v>1</v>
      </c>
      <c r="OC80" s="20" t="n">
        <f aca="false">IF(AND(HU80=1,IE80&gt;0,Slot20_IsWG=1,HF80=1),MAX(0,(Slot20_Cost-HG80*(1+Slot20_Rate)^(Slot20_Age-D80))/OB80),0)</f>
        <v>0</v>
      </c>
      <c r="OD80" s="20" t="n">
        <f aca="false">IF(AND(HU80=1,IE80&gt;0,Slot20_IsWG=1,HF80=1),MIN(IE80,OC80),0)</f>
        <v>0</v>
      </c>
      <c r="OE80" s="20" t="n">
        <f aca="false">HG80+OD80</f>
        <v>0</v>
      </c>
      <c r="OF80" s="20" t="n">
        <f aca="false">IF(HF80=1,MAX(0,(Slot20_Cost-OE80*(1+Slot20_Rate)^(Slot20_Age-D80))/OB80),0)</f>
        <v>0</v>
      </c>
      <c r="OG80" s="20" t="n">
        <f aca="false">IF(HF80=1,MAX(0,(Slot20_Cost-HG80*(1+Slot20_Rate)^(Slot20_Age-D80))/OB80),0)</f>
        <v>0</v>
      </c>
      <c r="OH80" s="20" t="n">
        <f aca="false">IF(AND(HU80=1,HF80=1),MIN(OA80,OF80),0)</f>
        <v>0</v>
      </c>
      <c r="OI80" s="20" t="n">
        <f aca="false">OA80-OH80</f>
        <v>0</v>
      </c>
      <c r="OJ80" s="20" t="n">
        <f aca="false">IE80-(IH80+IP80+IX80+JF80+JN80+JV80+KD80+KL80+KT80+LB80+LJ80+LR80+LZ80+MH80+MP80+MX80+NF80+NN80+NV80+OD80)</f>
        <v>0</v>
      </c>
      <c r="OK80" s="20" t="n">
        <f aca="false">IF(HU80=1,HS80-ID80-IE80,0)</f>
        <v>0</v>
      </c>
      <c r="OL80" s="20" t="n">
        <f aca="false">IF(HU80=0,-HS80,0)</f>
        <v>80166.5331183625</v>
      </c>
      <c r="OM80" s="20" t="n">
        <f aca="false">MIN(OL80,HK80)</f>
        <v>0</v>
      </c>
      <c r="ON80" s="20" t="n">
        <f aca="false">OL80-OM80</f>
        <v>80166.5331183625</v>
      </c>
      <c r="OO80" s="20" t="n">
        <f aca="false">MIN(ON80,HL80)</f>
        <v>0</v>
      </c>
      <c r="OP80" s="20" t="n">
        <f aca="false">ON80-OO80</f>
        <v>80166.5331183625</v>
      </c>
      <c r="OQ80" s="20" t="n">
        <f aca="false">IF(AND(HU80=0,HF80=1,OP80&gt;0),MIN(OP80,HG80),0)</f>
        <v>0</v>
      </c>
      <c r="OR80" s="20" t="n">
        <f aca="false">OP80-OQ80</f>
        <v>80166.5331183625</v>
      </c>
      <c r="OS80" s="20" t="n">
        <f aca="false">IF(AND(HU80=0,GV80=1,OR80&gt;0),MIN(OR80,GW80),0)</f>
        <v>0</v>
      </c>
      <c r="OT80" s="20" t="n">
        <f aca="false">OR80-OS80</f>
        <v>80166.5331183625</v>
      </c>
      <c r="OU80" s="20" t="n">
        <f aca="false">IF(AND(HU80=0,GL80=1,OT80&gt;0),MIN(OT80,GM80),0)</f>
        <v>0</v>
      </c>
      <c r="OV80" s="20" t="n">
        <f aca="false">OT80-OU80</f>
        <v>80166.5331183625</v>
      </c>
      <c r="OW80" s="20" t="n">
        <f aca="false">IF(AND(HU80=0,GB80=1,OV80&gt;0),MIN(OV80,GC80),0)</f>
        <v>0</v>
      </c>
      <c r="OX80" s="20" t="n">
        <f aca="false">OV80-OW80</f>
        <v>80166.5331183625</v>
      </c>
      <c r="OY80" s="20" t="n">
        <f aca="false">IF(AND(HU80=0,FR80=1,OX80&gt;0),MIN(OX80,FS80),0)</f>
        <v>0</v>
      </c>
      <c r="OZ80" s="20" t="n">
        <f aca="false">OX80-OY80</f>
        <v>80166.5331183625</v>
      </c>
      <c r="PA80" s="20" t="n">
        <f aca="false">IF(AND(HU80=0,FH80=1,OZ80&gt;0),MIN(OZ80,FI80),0)</f>
        <v>0</v>
      </c>
      <c r="PB80" s="20" t="n">
        <f aca="false">OZ80-PA80</f>
        <v>80166.5331183625</v>
      </c>
      <c r="PC80" s="20" t="n">
        <f aca="false">IF(AND(HU80=0,EX80=1,PB80&gt;0),MIN(PB80,EY80),0)</f>
        <v>0</v>
      </c>
      <c r="PD80" s="20" t="n">
        <f aca="false">PB80-PC80</f>
        <v>80166.5331183625</v>
      </c>
      <c r="PE80" s="20" t="n">
        <f aca="false">IF(AND(HU80=0,EN80=1,PD80&gt;0),MIN(PD80,EO80),0)</f>
        <v>0</v>
      </c>
      <c r="PF80" s="20" t="n">
        <f aca="false">PD80-PE80</f>
        <v>80166.5331183625</v>
      </c>
      <c r="PG80" s="20" t="n">
        <f aca="false">IF(AND(HU80=0,ED80=1,PF80&gt;0),MIN(PF80,EE80),0)</f>
        <v>0</v>
      </c>
      <c r="PH80" s="20" t="n">
        <f aca="false">PF80-PG80</f>
        <v>80166.5331183625</v>
      </c>
      <c r="PI80" s="20" t="n">
        <f aca="false">IF(AND(HU80=0,DT80=1,PH80&gt;0),MIN(PH80,DU80),0)</f>
        <v>0</v>
      </c>
      <c r="PJ80" s="20" t="n">
        <f aca="false">PH80-PI80</f>
        <v>80166.5331183625</v>
      </c>
      <c r="PK80" s="20" t="n">
        <f aca="false">IF(AND(HU80=0,DJ80=1,PJ80&gt;0),MIN(PJ80,DK80),0)</f>
        <v>0</v>
      </c>
      <c r="PL80" s="20" t="n">
        <f aca="false">PJ80-PK80</f>
        <v>80166.5331183625</v>
      </c>
      <c r="PM80" s="20" t="n">
        <f aca="false">IF(AND(HU80=0,CZ80=1,PL80&gt;0),MIN(PL80,DA80),0)</f>
        <v>0</v>
      </c>
      <c r="PN80" s="20" t="n">
        <f aca="false">PL80-PM80</f>
        <v>80166.5331183625</v>
      </c>
      <c r="PO80" s="20" t="n">
        <f aca="false">IF(AND(HU80=0,CP80=1,PN80&gt;0),MIN(PN80,CQ80),0)</f>
        <v>0</v>
      </c>
      <c r="PP80" s="20" t="n">
        <f aca="false">PN80-PO80</f>
        <v>80166.5331183625</v>
      </c>
      <c r="PQ80" s="20" t="n">
        <f aca="false">IF(AND(HU80=0,CF80=1,PP80&gt;0),MIN(PP80,CG80),0)</f>
        <v>0</v>
      </c>
      <c r="PR80" s="20" t="n">
        <f aca="false">PP80-PQ80</f>
        <v>80166.5331183625</v>
      </c>
      <c r="PS80" s="20" t="n">
        <f aca="false">IF(AND(HU80=0,BV80=1,PR80&gt;0),MIN(PR80,BW80),0)</f>
        <v>0</v>
      </c>
      <c r="PT80" s="20" t="n">
        <f aca="false">PR80-PS80</f>
        <v>80166.5331183625</v>
      </c>
      <c r="PU80" s="20" t="n">
        <f aca="false">IF(AND(HU80=0,BL80=1,PT80&gt;0),MIN(PT80,BM80),0)</f>
        <v>0</v>
      </c>
      <c r="PV80" s="20" t="n">
        <f aca="false">PT80-PU80</f>
        <v>80166.5331183625</v>
      </c>
      <c r="PW80" s="20" t="n">
        <f aca="false">IF(AND(HU80=0,BB80=1,PV80&gt;0),MIN(PV80,BC80),0)</f>
        <v>0</v>
      </c>
      <c r="PX80" s="20" t="n">
        <f aca="false">PV80-PW80</f>
        <v>80166.5331183625</v>
      </c>
      <c r="PY80" s="20" t="n">
        <f aca="false">IF(AND(HU80=0,AR80=1,PX80&gt;0),MIN(PX80,AS80),0)</f>
        <v>0</v>
      </c>
      <c r="PZ80" s="20" t="n">
        <f aca="false">PX80-PY80</f>
        <v>80166.5331183625</v>
      </c>
      <c r="QA80" s="20" t="n">
        <f aca="false">IF(AND(HU80=0,AH80=1,PZ80&gt;0),MIN(PZ80,AI80),0)</f>
        <v>0</v>
      </c>
      <c r="QB80" s="20" t="n">
        <f aca="false">PZ80-QA80</f>
        <v>80166.5331183625</v>
      </c>
      <c r="QC80" s="20" t="n">
        <f aca="false">IF(AND(HU80=0,W80=1,QB80&gt;0),MIN(QB80,X80),0)</f>
        <v>0</v>
      </c>
      <c r="QD80" s="20" t="n">
        <f aca="false">QB80-QC80</f>
        <v>80166.5331183625</v>
      </c>
      <c r="QE80" s="20" t="n">
        <f aca="false">IF(HU80=0,QD80,0)</f>
        <v>80166.5331183625</v>
      </c>
      <c r="QF80" s="20" t="n">
        <f aca="false">OM80+OO80+QC80+QA80+PY80+PW80+PU80+PS80+PQ80+PO80+PM80+PK80+PI80+PG80+PE80+PC80+PA80+OY80+OW80+OU80+OS80+OQ80</f>
        <v>0</v>
      </c>
      <c r="QG80" s="20" t="n">
        <f aca="false">IF(HU80=1,HK80+OJ80+OI80+IF(G80=1,0,OK80),HK80-OM80)</f>
        <v>0</v>
      </c>
      <c r="QH80" s="20" t="n">
        <f aca="false">HL80-OO80</f>
        <v>0</v>
      </c>
      <c r="QI80" s="20" t="n">
        <f aca="false">IF(HU80=1,IF(G80=1,ID80+IE80,HS80),0)</f>
        <v>0</v>
      </c>
      <c r="QJ80" s="20" t="n">
        <f aca="false">IF(HU80=1,IF(G80=1,HS80-ID80-IE80,0),0)</f>
        <v>0</v>
      </c>
      <c r="QK80" s="20" t="n">
        <f aca="false">QG80*(1+GR)</f>
        <v>0</v>
      </c>
      <c r="QL80" s="20" t="n">
        <f aca="false">QH80*(1+AS_Cash)</f>
        <v>0</v>
      </c>
      <c r="QM80" s="20" t="n">
        <f aca="false">IF(W80=1,IF(HU80=1,II80+IL80,X80-QC80)*(1+Slot1_Rate),0)</f>
        <v>0</v>
      </c>
      <c r="QN80" s="20" t="n">
        <f aca="false">IF(AND(HU80=1,W80=1),(IH80+IL80)/F80,0)</f>
        <v>0</v>
      </c>
      <c r="QO80" s="20" t="n">
        <f aca="false">IF(B80=0,IH80+IL80,0)</f>
        <v>0</v>
      </c>
      <c r="QP80" s="20" t="n">
        <f aca="false">IF(B80=0,IF(HU80=1,IJ80,IK80),0)</f>
        <v>0</v>
      </c>
      <c r="QQ80" s="20" t="n">
        <f aca="false">IF(AH80=1,IF(HU80=1,IQ80+IT80,AI80-QA80)*(1+Slot2_Rate),0)</f>
        <v>0</v>
      </c>
      <c r="QR80" s="20" t="n">
        <f aca="false">IF(AND(HU80=1,AH80=1),(IP80+IT80)/F80,0)</f>
        <v>0</v>
      </c>
      <c r="QS80" s="20" t="n">
        <f aca="false">IF(B80=0,IP80+IT80,0)</f>
        <v>0</v>
      </c>
      <c r="QT80" s="20" t="n">
        <f aca="false">IF(B80=0,IF(HU80=1,IR80,IS80),0)</f>
        <v>0</v>
      </c>
      <c r="QU80" s="20" t="n">
        <f aca="false">IF(AR80=1,IF(HU80=1,IY80+JB80,AS80-PY80)*(1+Slot3_Rate),0)</f>
        <v>0</v>
      </c>
      <c r="QV80" s="20" t="n">
        <f aca="false">IF(AND(HU80=1,AR80=1),(IX80+JB80)/F80,0)</f>
        <v>0</v>
      </c>
      <c r="QW80" s="20" t="n">
        <f aca="false">IF(B80=0,IX80+JB80,0)</f>
        <v>0</v>
      </c>
      <c r="QX80" s="20" t="n">
        <f aca="false">IF(B80=0,IF(HU80=1,IZ80,JA80),0)</f>
        <v>0</v>
      </c>
      <c r="QY80" s="20" t="n">
        <f aca="false">IF(BB80=1,IF(HU80=1,JG80+JJ80,BC80-PW80)*(1+Slot4_Rate),0)</f>
        <v>0</v>
      </c>
      <c r="QZ80" s="20" t="n">
        <f aca="false">IF(AND(HU80=1,BB80=1),(JF80+JJ80)/F80,0)</f>
        <v>0</v>
      </c>
      <c r="RA80" s="20" t="n">
        <f aca="false">IF(B80=0,JF80+JJ80,0)</f>
        <v>0</v>
      </c>
      <c r="RB80" s="20" t="n">
        <f aca="false">IF(B80=0,IF(HU80=1,JH80,JI80),0)</f>
        <v>0</v>
      </c>
      <c r="RC80" s="20" t="n">
        <f aca="false">IF(BL80=1,IF(HU80=1,JO80+JR80,BM80-PU80)*(1+Slot5_Rate),0)</f>
        <v>0</v>
      </c>
      <c r="RD80" s="20" t="n">
        <f aca="false">IF(AND(HU80=1,BL80=1),(JN80+JR80)/F80,0)</f>
        <v>0</v>
      </c>
      <c r="RE80" s="20" t="n">
        <f aca="false">IF(B80=0,JN80+JR80,0)</f>
        <v>0</v>
      </c>
      <c r="RF80" s="20" t="n">
        <f aca="false">IF(B80=0,IF(HU80=1,JP80,JQ80),0)</f>
        <v>0</v>
      </c>
      <c r="RG80" s="20" t="n">
        <f aca="false">IF(BV80=1,IF(HU80=1,JW80+JZ80,BW80-PS80)*(1+Slot6_Rate),0)</f>
        <v>0</v>
      </c>
      <c r="RH80" s="20" t="n">
        <f aca="false">IF(AND(HU80=1,BV80=1),(JV80+JZ80)/F80,0)</f>
        <v>0</v>
      </c>
      <c r="RI80" s="20" t="n">
        <f aca="false">IF(B80=0,JV80+JZ80,0)</f>
        <v>0</v>
      </c>
      <c r="RJ80" s="20" t="n">
        <f aca="false">IF(B80=0,IF(HU80=1,JX80,JY80),0)</f>
        <v>0</v>
      </c>
      <c r="RK80" s="20" t="n">
        <f aca="false">IF(CF80=1,IF(HU80=1,KE80+KH80,CG80-PQ80)*(1+Slot7_Rate),0)</f>
        <v>0</v>
      </c>
      <c r="RL80" s="20" t="n">
        <f aca="false">IF(AND(HU80=1,CF80=1),(KD80+KH80)/F80,0)</f>
        <v>0</v>
      </c>
      <c r="RM80" s="20" t="n">
        <f aca="false">IF(B80=0,KD80+KH80,0)</f>
        <v>0</v>
      </c>
      <c r="RN80" s="20" t="n">
        <f aca="false">IF(B80=0,IF(HU80=1,KF80,KG80),0)</f>
        <v>0</v>
      </c>
      <c r="RO80" s="20" t="n">
        <f aca="false">IF(CP80=1,IF(HU80=1,KM80+KP80,CQ80-PO80)*(1+Slot8_Rate),0)</f>
        <v>0</v>
      </c>
      <c r="RP80" s="20" t="n">
        <f aca="false">IF(AND(HU80=1,CP80=1),(KL80+KP80)/F80,0)</f>
        <v>0</v>
      </c>
      <c r="RQ80" s="20" t="n">
        <f aca="false">IF(B80=0,KL80+KP80,0)</f>
        <v>0</v>
      </c>
      <c r="RR80" s="20" t="n">
        <f aca="false">IF(B80=0,IF(HU80=1,KN80,KO80),0)</f>
        <v>0</v>
      </c>
      <c r="RS80" s="20" t="n">
        <f aca="false">IF(CZ80=1,IF(HU80=1,KU80+KX80,DA80-PM80)*(1+Slot9_Rate),0)</f>
        <v>0</v>
      </c>
      <c r="RT80" s="20" t="n">
        <f aca="false">IF(AND(HU80=1,CZ80=1),(KT80+KX80)/F80,0)</f>
        <v>0</v>
      </c>
      <c r="RU80" s="20" t="n">
        <f aca="false">IF(B80=0,KT80+KX80,0)</f>
        <v>0</v>
      </c>
      <c r="RV80" s="20" t="n">
        <f aca="false">IF(B80=0,IF(HU80=1,KV80,KW80),0)</f>
        <v>0</v>
      </c>
      <c r="RW80" s="20" t="n">
        <f aca="false">IF(DJ80=1,IF(HU80=1,LC80+LF80,DK80-PK80)*(1+Slot10_Rate),0)</f>
        <v>0</v>
      </c>
      <c r="RX80" s="20" t="n">
        <f aca="false">IF(AND(HU80=1,DJ80=1),(LB80+LF80)/F80,0)</f>
        <v>0</v>
      </c>
      <c r="RY80" s="20" t="n">
        <f aca="false">IF(B80=0,LB80+LF80,0)</f>
        <v>0</v>
      </c>
      <c r="RZ80" s="20" t="n">
        <f aca="false">IF(B80=0,IF(HU80=1,LD80,LE80),0)</f>
        <v>0</v>
      </c>
      <c r="SA80" s="20" t="n">
        <f aca="false">IF(DT80=1,IF(HU80=1,LK80+LN80,DU80-PI80)*(1+Slot11_Rate),0)</f>
        <v>0</v>
      </c>
      <c r="SB80" s="20" t="n">
        <f aca="false">IF(AND(HU80=1,DT80=1),(LJ80+LN80)/F80,0)</f>
        <v>0</v>
      </c>
      <c r="SC80" s="20" t="n">
        <f aca="false">IF(B80=0,LJ80+LN80,0)</f>
        <v>0</v>
      </c>
      <c r="SD80" s="20" t="n">
        <f aca="false">IF(B80=0,IF(HU80=1,LL80,LM80),0)</f>
        <v>0</v>
      </c>
      <c r="SE80" s="20" t="n">
        <f aca="false">IF(ED80=1,IF(HU80=1,LS80+LV80,EE80-PG80)*(1+Slot12_Rate),0)</f>
        <v>0</v>
      </c>
      <c r="SF80" s="20" t="n">
        <f aca="false">IF(AND(HU80=1,ED80=1),(LR80+LV80)/F80,0)</f>
        <v>0</v>
      </c>
      <c r="SG80" s="20" t="n">
        <f aca="false">IF(B80=0,LR80+LV80,0)</f>
        <v>0</v>
      </c>
      <c r="SH80" s="20" t="n">
        <f aca="false">IF(B80=0,IF(HU80=1,LT80,LU80),0)</f>
        <v>0</v>
      </c>
      <c r="SI80" s="20" t="n">
        <f aca="false">IF(EN80=1,IF(HU80=1,MA80+MD80,EO80-PE80)*(1+Slot13_Rate),0)</f>
        <v>0</v>
      </c>
      <c r="SJ80" s="20" t="n">
        <f aca="false">IF(AND(HU80=1,EN80=1),(LZ80+MD80)/F80,0)</f>
        <v>0</v>
      </c>
      <c r="SK80" s="20" t="n">
        <f aca="false">IF(B80=0,LZ80+MD80,0)</f>
        <v>0</v>
      </c>
      <c r="SL80" s="20" t="n">
        <f aca="false">IF(B80=0,IF(HU80=1,MB80,MC80),0)</f>
        <v>0</v>
      </c>
      <c r="SM80" s="20" t="n">
        <f aca="false">IF(EX80=1,IF(HU80=1,MI80+ML80,EY80-PC80)*(1+Slot14_Rate),0)</f>
        <v>0</v>
      </c>
      <c r="SN80" s="20" t="n">
        <f aca="false">IF(AND(HU80=1,EX80=1),(MH80+ML80)/F80,0)</f>
        <v>0</v>
      </c>
      <c r="SO80" s="20" t="n">
        <f aca="false">IF(B80=0,MH80+ML80,0)</f>
        <v>0</v>
      </c>
      <c r="SP80" s="20" t="n">
        <f aca="false">IF(B80=0,IF(HU80=1,MJ80,MK80),0)</f>
        <v>0</v>
      </c>
      <c r="SQ80" s="20" t="n">
        <f aca="false">IF(FH80=1,IF(HU80=1,MQ80+MT80,FI80-PA80)*(1+Slot15_Rate),0)</f>
        <v>0</v>
      </c>
      <c r="SR80" s="20" t="n">
        <f aca="false">IF(AND(HU80=1,FH80=1),(MP80+MT80)/F80,0)</f>
        <v>0</v>
      </c>
      <c r="SS80" s="20" t="n">
        <f aca="false">IF(B80=0,MP80+MT80,0)</f>
        <v>0</v>
      </c>
      <c r="ST80" s="20" t="n">
        <f aca="false">IF(B80=0,IF(HU80=1,MR80,MS80),0)</f>
        <v>0</v>
      </c>
      <c r="SU80" s="20" t="n">
        <f aca="false">IF(FR80=1,IF(HU80=1,MY80+NB80,FS80-OY80)*(1+Slot16_Rate),0)</f>
        <v>0</v>
      </c>
      <c r="SV80" s="20" t="n">
        <f aca="false">IF(AND(HU80=1,FR80=1),(MX80+NB80)/F80,0)</f>
        <v>0</v>
      </c>
      <c r="SW80" s="20" t="n">
        <f aca="false">IF(B80=0,MX80+NB80,0)</f>
        <v>0</v>
      </c>
      <c r="SX80" s="20" t="n">
        <f aca="false">IF(B80=0,IF(HU80=1,MZ80,NA80),0)</f>
        <v>0</v>
      </c>
      <c r="SY80" s="20" t="n">
        <f aca="false">IF(GB80=1,IF(HU80=1,NG80+NJ80,GC80-OW80)*(1+Slot17_Rate),0)</f>
        <v>0</v>
      </c>
      <c r="SZ80" s="20" t="n">
        <f aca="false">IF(AND(HU80=1,GB80=1),(NF80+NJ80)/F80,0)</f>
        <v>0</v>
      </c>
      <c r="TA80" s="20" t="n">
        <f aca="false">IF(B80=0,NF80+NJ80,0)</f>
        <v>0</v>
      </c>
      <c r="TB80" s="20" t="n">
        <f aca="false">IF(B80=0,IF(HU80=1,NH80,NI80),0)</f>
        <v>0</v>
      </c>
      <c r="TC80" s="20" t="n">
        <f aca="false">IF(GL80=1,IF(HU80=1,NO80+NR80,GM80-OU80)*(1+Slot18_Rate),0)</f>
        <v>0</v>
      </c>
      <c r="TD80" s="20" t="n">
        <f aca="false">IF(AND(HU80=1,GL80=1),(NN80+NR80)/F80,0)</f>
        <v>0</v>
      </c>
      <c r="TE80" s="20" t="n">
        <f aca="false">IF(B80=0,NN80+NR80,0)</f>
        <v>0</v>
      </c>
      <c r="TF80" s="20" t="n">
        <f aca="false">IF(B80=0,IF(HU80=1,NP80,NQ80),0)</f>
        <v>0</v>
      </c>
      <c r="TG80" s="20" t="n">
        <f aca="false">IF(GV80=1,IF(HU80=1,NW80+NZ80,GW80-OS80)*(1+Slot19_Rate),0)</f>
        <v>0</v>
      </c>
      <c r="TH80" s="20" t="n">
        <f aca="false">IF(AND(HU80=1,GV80=1),(NV80+NZ80)/F80,0)</f>
        <v>0</v>
      </c>
      <c r="TI80" s="20" t="n">
        <f aca="false">IF(B80=0,NV80+NZ80,0)</f>
        <v>0</v>
      </c>
      <c r="TJ80" s="20" t="n">
        <f aca="false">IF(B80=0,IF(HU80=1,NX80,NY80),0)</f>
        <v>0</v>
      </c>
      <c r="TK80" s="20" t="n">
        <f aca="false">IF(HF80=1,IF(HU80=1,OE80+OH80,HG80-OQ80)*(1+Slot20_Rate),0)</f>
        <v>0</v>
      </c>
      <c r="TL80" s="20" t="n">
        <f aca="false">IF(AND(HU80=1,HF80=1),(OD80+OH80)/F80,0)</f>
        <v>0</v>
      </c>
      <c r="TM80" s="20" t="n">
        <f aca="false">IF(B80=0,OD80+OH80,0)</f>
        <v>0</v>
      </c>
      <c r="TN80" s="20" t="n">
        <f aca="false">IF(B80=0,IF(HU80=1,OF80,OG80),0)</f>
        <v>0</v>
      </c>
      <c r="TO80" s="20" t="n">
        <f aca="false">QK80+QL80+QM80+QQ80+QU80+QY80+RC80+RG80+RK80+RO80+RS80+RW80+SA80+SE80+SI80+SM80+SQ80+SU80+SY80+TC80+TG80+TK80</f>
        <v>0</v>
      </c>
      <c r="TP80" s="20" t="n">
        <f aca="false">QE80+HP80</f>
        <v>80166.5331183625</v>
      </c>
      <c r="TQ80" s="20" t="n">
        <f aca="false">I80+S80</f>
        <v>198902.509927463</v>
      </c>
      <c r="TR80" s="20" t="n">
        <f aca="false">1-G80</f>
        <v>1</v>
      </c>
      <c r="TS80" s="20" t="n">
        <f aca="false">IF(AND(RG_Exists=1,G80=0,C80=1),I80,0)</f>
        <v>0</v>
      </c>
      <c r="TT80" s="20" t="n">
        <f aca="false">IF(AND(RG_Exists=1,G80=0,C80=1),I80-MIN(QE80,I80),0)</f>
        <v>0</v>
      </c>
      <c r="TU80" s="20" t="n">
        <f aca="false">'Plan pay &amp; tax'!AD306</f>
        <v>0</v>
      </c>
      <c r="TV80" s="20" t="n">
        <f aca="false">IF(AND(C80=1,QE80&gt;MAX(PR_Short1,TQ80*PR_Short2)),1,0)</f>
        <v>0</v>
      </c>
      <c r="TW80" s="20" t="n">
        <f aca="false">MIN(H80,I80+S80)</f>
        <v>118735.9768091</v>
      </c>
      <c r="TX80" s="20" t="n">
        <f aca="false">QF80+MAX(0,HQ80-HP80)</f>
        <v>0</v>
      </c>
      <c r="TY80" s="20" t="n">
        <f aca="false">QE80+HP80</f>
        <v>80166.5331183625</v>
      </c>
      <c r="TZ80" s="20" t="n">
        <f aca="false">IF(AND(C80=1,TY80&gt;PR_MinShort),1,0)</f>
        <v>0</v>
      </c>
      <c r="UA80" s="20" t="n">
        <f aca="false">IF(AND(C80=1,TZ80=0,TX80&gt;PR_MinShort),1,0)</f>
        <v>0</v>
      </c>
      <c r="UB80" s="20" t="n">
        <f aca="false">IF(AND(C80=1,QE80&gt;PR_MinShort),1,0)</f>
        <v>0</v>
      </c>
      <c r="UC80" s="20" t="n">
        <f aca="false">IF(AND(C80=1,QF80&gt;1,UJ80=0),1,0)</f>
        <v>0</v>
      </c>
      <c r="UD80" s="20" t="str">
        <f aca="false">IF(C80=0,"",IF(UJ80=1,"Gap to plan for: short "&amp;"€"&amp;TEXT(ROUND(TP80,0),"#,##0"),IF(QF80&gt;1,"Using savings","Comfortable")))</f>
        <v/>
      </c>
      <c r="UE80" s="20" t="n">
        <f aca="false">IF(AND(INT(D80/10)*10=90,B80&gt;0),80,INT(D80/10)*10)</f>
        <v>110</v>
      </c>
      <c r="UF80" s="20" t="n">
        <f aca="false">IF(B80=0,1,IF(UE80&lt;&gt;UE79,UF79+1,UF79))</f>
        <v>8</v>
      </c>
      <c r="UG80" s="20" t="n">
        <f aca="false">IF(AND(C80=1,G80=1,QE80&gt;MAX(PR_Short1,TQ80*PR_Short2)),1,0)</f>
        <v>0</v>
      </c>
      <c r="UH80" s="20" t="n">
        <f aca="false">TR80*TV80</f>
        <v>0</v>
      </c>
      <c r="UI80" s="20" t="n">
        <f aca="false">IF(AND(V80=1,Slot1_PctLow=1),1,0)+IF(AND(AG80=1,Slot2_PctLow=1),1,0)+IF(AND(AQ80=1,Slot3_PctLow=1),1,0)+IF(AND(BA80=1,Slot4_PctLow=1),1,0)+IF(AND(BK80=1,Slot5_PctLow=1),1,0)+IF(AND(BU80=1,Slot6_PctLow=1),1,0)+IF(AND(CE80=1,Slot7_PctLow=1),1,0)+IF(AND(CO80=1,Slot8_PctLow=1),1,0)+IF(AND(CY80=1,Slot9_PctLow=1),1,0)+IF(AND(DI80=1,Slot10_PctLow=1),1,0)+IF(AND(DS80=1,Slot11_PctLow=1),1,0)+IF(AND(EC80=1,Slot12_PctLow=1),1,0)+IF(AND(EM80=1,Slot13_PctLow=1),1,0)+IF(AND(EW80=1,Slot14_PctLow=1),1,0)+IF(AND(FG80=1,Slot15_PctLow=1),1,0)+IF(AND(FQ80=1,Slot16_PctLow=1),1,0)+IF(AND(GA80=1,Slot17_PctLow=1),1,0)+IF(AND(GK80=1,Slot18_PctLow=1),1,0)+IF(AND(GU80=1,Slot19_PctLow=1),1,0)+IF(AND(HE80=1,Slot20_PctLow=1),1,0)</f>
        <v>0</v>
      </c>
      <c r="UJ80" s="20" t="n">
        <f aca="false">IF(C80=1,IF(OR(TV80=1,UI80&gt;0),1,0),0)</f>
        <v>0</v>
      </c>
    </row>
    <row r="81" customFormat="false" ht="15" hidden="false" customHeight="true" outlineLevel="0" collapsed="false">
      <c r="B81" s="20" t="n">
        <v>73</v>
      </c>
      <c r="C81" s="20" t="n">
        <f aca="false">IF(B81&lt;=F_N,1,0)</f>
        <v>0</v>
      </c>
      <c r="D81" s="20" t="n">
        <f aca="false">'Plan pay &amp; tax'!C307</f>
        <v>111</v>
      </c>
      <c r="E81" s="20" t="str">
        <f aca="false">IF($C81=1,"Income tax "&amp;TEXT(N('Plan pay &amp; tax'!BK307),"#,##0")&amp;"; USC "&amp;TEXT(N('Plan pay &amp; tax'!BM307)+N('Plan pay &amp; tax'!BO307),"#,##0")&amp;"; PRSI "&amp;TEXT(N('Plan pay &amp; tax'!BP307)+N('Plan pay &amp; tax'!BQ307),"#,##0")&amp;". DIRT and exit tax are inside the growth rates here.","")</f>
        <v/>
      </c>
      <c r="F81" s="44" t="n">
        <f aca="false">'Plan pay &amp; tax'!E307</f>
        <v>4.24436318255255</v>
      </c>
      <c r="G81" s="20" t="n">
        <f aca="false">'Plan pay &amp; tax'!G307</f>
        <v>0</v>
      </c>
      <c r="H81" s="20" t="n">
        <f aca="false">'Plan pay &amp; tax'!BT307-'Plan pay &amp; tax'!BS307-'Plan pay &amp; tax'!R307</f>
        <v>121110.696345282</v>
      </c>
      <c r="I81" s="20" t="n">
        <f aca="false">IF(G81=1,F_CostsM*12,IF(RG_Exists=1,RG_Amount,F_CostsM*12*AS_RetireSpend))*F81+F_OneOffY*F81</f>
        <v>202880.560126012</v>
      </c>
      <c r="J81" s="20" t="n">
        <f aca="false">HR80</f>
        <v>0</v>
      </c>
      <c r="K81" s="20" t="n">
        <f aca="false">IF(J81&gt;1,'Plan debt months'!AC81,0)</f>
        <v>0</v>
      </c>
      <c r="L81" s="20" t="n">
        <f aca="false">IF(J81&gt;1,'Plan debt months'!AB81,J81)</f>
        <v>0</v>
      </c>
      <c r="M81" s="20" t="n">
        <f aca="false">O80</f>
        <v>0</v>
      </c>
      <c r="N81" s="20" t="n">
        <f aca="false">IF(M81&gt;1,'Plan debt months'!BD81,0)</f>
        <v>0</v>
      </c>
      <c r="O81" s="20" t="n">
        <f aca="false">IF(M81&gt;1,'Plan debt months'!BC81,M81)</f>
        <v>0</v>
      </c>
      <c r="P81" s="20" t="n">
        <f aca="false">R80</f>
        <v>0</v>
      </c>
      <c r="Q81" s="20" t="n">
        <f aca="false">IF(P81&gt;1,'Plan debt months'!CE81,0)</f>
        <v>0</v>
      </c>
      <c r="R81" s="20" t="n">
        <f aca="false">IF(P81&gt;1,'Plan debt months'!CD81,P81)</f>
        <v>0</v>
      </c>
      <c r="S81" s="20" t="n">
        <f aca="false">K81+N81+Q81</f>
        <v>0</v>
      </c>
      <c r="T81" s="20" t="n">
        <f aca="false">QK80+'Plan pay &amp; tax'!Y307</f>
        <v>0</v>
      </c>
      <c r="U81" s="20" t="n">
        <f aca="false">QK80</f>
        <v>0</v>
      </c>
      <c r="V81" s="20" t="n">
        <f aca="false">IF(AND(Slot1_On=1,D81=Slot1_Age),1,0)</f>
        <v>0</v>
      </c>
      <c r="W81" s="20" t="n">
        <f aca="false">IF(AND(Slot1_On=1,Slot1_Age&gt;D81),1,0)</f>
        <v>0</v>
      </c>
      <c r="X81" s="20" t="n">
        <f aca="false">QM80</f>
        <v>0</v>
      </c>
      <c r="Y81" s="20" t="n">
        <f aca="false">V81*MIN(Slot1_Cost,X81)</f>
        <v>0</v>
      </c>
      <c r="Z81" s="20" t="n">
        <f aca="false">V81*Slot1_SpendLike*MIN(Slot1_Cost-Y81,T81)</f>
        <v>0</v>
      </c>
      <c r="AA81" s="20" t="n">
        <f aca="false">Y81+Z81</f>
        <v>0</v>
      </c>
      <c r="AB81" s="20" t="n">
        <f aca="false">T81-Z81+V81*IF(Slot1_SpendLike=1,X81-Y81,IF(Slot1_PotFree=1,X81,0))</f>
        <v>0</v>
      </c>
      <c r="AC81" s="20" t="n">
        <f aca="false">AF81+V81*Slot1_BufPot*X81</f>
        <v>0</v>
      </c>
      <c r="AD81" s="20" t="n">
        <f aca="false">IF(AND(V81=1,Slot1_IsMfree=1),IF(AA81&gt;=Slot1_Cost-1,0,MAX(0,L81-AA81)),L81)</f>
        <v>0</v>
      </c>
      <c r="AE81" s="20" t="n">
        <f aca="false">V81*(Slot1_Cost-AA81)</f>
        <v>0</v>
      </c>
      <c r="AF81" s="20" t="n">
        <f aca="false">QL80</f>
        <v>0</v>
      </c>
      <c r="AG81" s="20" t="n">
        <f aca="false">IF(AND(Slot2_On=1,D81=Slot2_Age),1,0)</f>
        <v>0</v>
      </c>
      <c r="AH81" s="20" t="n">
        <f aca="false">IF(AND(Slot2_On=1,Slot2_Age&gt;D81),1,0)</f>
        <v>0</v>
      </c>
      <c r="AI81" s="20" t="n">
        <f aca="false">QQ80</f>
        <v>0</v>
      </c>
      <c r="AJ81" s="20" t="n">
        <f aca="false">AG81*MIN(Slot2_Cost,AI81)</f>
        <v>0</v>
      </c>
      <c r="AK81" s="20" t="n">
        <f aca="false">AG81*Slot2_SpendLike*MIN(Slot2_Cost-AJ81,AB81)</f>
        <v>0</v>
      </c>
      <c r="AL81" s="20" t="n">
        <f aca="false">AJ81+AK81</f>
        <v>0</v>
      </c>
      <c r="AM81" s="20" t="n">
        <f aca="false">AB81-AK81+AG81*IF(Slot2_SpendLike=1,AI81-AJ81,IF(Slot2_PotFree=1,AI81,0))</f>
        <v>0</v>
      </c>
      <c r="AN81" s="20" t="n">
        <f aca="false">AC81+AG81*Slot2_BufPot*AI81</f>
        <v>0</v>
      </c>
      <c r="AO81" s="20" t="n">
        <f aca="false">IF(AND(AG81=1,Slot2_IsMfree=1),IF(AL81&gt;=Slot2_Cost-1,0,MAX(0,AD81-AL81)),AD81)</f>
        <v>0</v>
      </c>
      <c r="AP81" s="20" t="n">
        <f aca="false">AG81*(Slot2_Cost-AL81)</f>
        <v>0</v>
      </c>
      <c r="AQ81" s="20" t="n">
        <f aca="false">IF(AND(Slot3_On=1,D81=Slot3_Age),1,0)</f>
        <v>0</v>
      </c>
      <c r="AR81" s="20" t="n">
        <f aca="false">IF(AND(Slot3_On=1,Slot3_Age&gt;D81),1,0)</f>
        <v>0</v>
      </c>
      <c r="AS81" s="20" t="n">
        <f aca="false">QU80</f>
        <v>0</v>
      </c>
      <c r="AT81" s="20" t="n">
        <f aca="false">AQ81*MIN(Slot3_Cost,AS81)</f>
        <v>0</v>
      </c>
      <c r="AU81" s="20" t="n">
        <f aca="false">AQ81*Slot3_SpendLike*MIN(Slot3_Cost-AT81,AM81)</f>
        <v>0</v>
      </c>
      <c r="AV81" s="20" t="n">
        <f aca="false">AT81+AU81</f>
        <v>0</v>
      </c>
      <c r="AW81" s="20" t="n">
        <f aca="false">AM81-AU81+AQ81*IF(Slot3_SpendLike=1,AS81-AT81,IF(Slot3_PotFree=1,AS81,0))</f>
        <v>0</v>
      </c>
      <c r="AX81" s="20" t="n">
        <f aca="false">AN81+AQ81*Slot3_BufPot*AS81</f>
        <v>0</v>
      </c>
      <c r="AY81" s="20" t="n">
        <f aca="false">IF(AND(AQ81=1,Slot3_IsMfree=1),IF(AV81&gt;=Slot3_Cost-1,0,MAX(0,AO81-AV81)),AO81)</f>
        <v>0</v>
      </c>
      <c r="AZ81" s="20" t="n">
        <f aca="false">AQ81*(Slot3_Cost-AV81)</f>
        <v>0</v>
      </c>
      <c r="BA81" s="20" t="n">
        <f aca="false">IF(AND(Slot4_On=1,D81=Slot4_Age),1,0)</f>
        <v>0</v>
      </c>
      <c r="BB81" s="20" t="n">
        <f aca="false">IF(AND(Slot4_On=1,Slot4_Age&gt;D81),1,0)</f>
        <v>0</v>
      </c>
      <c r="BC81" s="20" t="n">
        <f aca="false">QY80</f>
        <v>0</v>
      </c>
      <c r="BD81" s="20" t="n">
        <f aca="false">BA81*MIN(Slot4_Cost,BC81)</f>
        <v>0</v>
      </c>
      <c r="BE81" s="20" t="n">
        <f aca="false">BA81*Slot4_SpendLike*MIN(Slot4_Cost-BD81,AW81)</f>
        <v>0</v>
      </c>
      <c r="BF81" s="20" t="n">
        <f aca="false">BD81+BE81</f>
        <v>0</v>
      </c>
      <c r="BG81" s="20" t="n">
        <f aca="false">AW81-BE81+BA81*IF(Slot4_SpendLike=1,BC81-BD81,IF(Slot4_PotFree=1,BC81,0))</f>
        <v>0</v>
      </c>
      <c r="BH81" s="20" t="n">
        <f aca="false">AX81+BA81*Slot4_BufPot*BC81</f>
        <v>0</v>
      </c>
      <c r="BI81" s="20" t="n">
        <f aca="false">IF(AND(BA81=1,Slot4_IsMfree=1),IF(BF81&gt;=Slot4_Cost-1,0,MAX(0,AY81-BF81)),AY81)</f>
        <v>0</v>
      </c>
      <c r="BJ81" s="20" t="n">
        <f aca="false">BA81*(Slot4_Cost-BF81)</f>
        <v>0</v>
      </c>
      <c r="BK81" s="20" t="n">
        <f aca="false">IF(AND(Slot5_On=1,D81=Slot5_Age),1,0)</f>
        <v>0</v>
      </c>
      <c r="BL81" s="20" t="n">
        <f aca="false">IF(AND(Slot5_On=1,Slot5_Age&gt;D81),1,0)</f>
        <v>0</v>
      </c>
      <c r="BM81" s="20" t="n">
        <f aca="false">RC80</f>
        <v>0</v>
      </c>
      <c r="BN81" s="20" t="n">
        <f aca="false">BK81*MIN(Slot5_Cost,BM81)</f>
        <v>0</v>
      </c>
      <c r="BO81" s="20" t="n">
        <f aca="false">BK81*Slot5_SpendLike*MIN(Slot5_Cost-BN81,BG81)</f>
        <v>0</v>
      </c>
      <c r="BP81" s="20" t="n">
        <f aca="false">BN81+BO81</f>
        <v>0</v>
      </c>
      <c r="BQ81" s="20" t="n">
        <f aca="false">BG81-BO81+BK81*IF(Slot5_SpendLike=1,BM81-BN81,IF(Slot5_PotFree=1,BM81,0))</f>
        <v>0</v>
      </c>
      <c r="BR81" s="20" t="n">
        <f aca="false">BH81+BK81*Slot5_BufPot*BM81</f>
        <v>0</v>
      </c>
      <c r="BS81" s="20" t="n">
        <f aca="false">IF(AND(BK81=1,Slot5_IsMfree=1),IF(BP81&gt;=Slot5_Cost-1,0,MAX(0,BI81-BP81)),BI81)</f>
        <v>0</v>
      </c>
      <c r="BT81" s="20" t="n">
        <f aca="false">BK81*(Slot5_Cost-BP81)</f>
        <v>0</v>
      </c>
      <c r="BU81" s="20" t="n">
        <f aca="false">IF(AND(Slot6_On=1,D81=Slot6_Age),1,0)</f>
        <v>0</v>
      </c>
      <c r="BV81" s="20" t="n">
        <f aca="false">IF(AND(Slot6_On=1,Slot6_Age&gt;D81),1,0)</f>
        <v>0</v>
      </c>
      <c r="BW81" s="20" t="n">
        <f aca="false">RG80</f>
        <v>0</v>
      </c>
      <c r="BX81" s="20" t="n">
        <f aca="false">BU81*MIN(Slot6_Cost,BW81)</f>
        <v>0</v>
      </c>
      <c r="BY81" s="20" t="n">
        <f aca="false">BU81*Slot6_SpendLike*MIN(Slot6_Cost-BX81,BQ81)</f>
        <v>0</v>
      </c>
      <c r="BZ81" s="20" t="n">
        <f aca="false">BX81+BY81</f>
        <v>0</v>
      </c>
      <c r="CA81" s="20" t="n">
        <f aca="false">BQ81-BY81+BU81*IF(Slot6_SpendLike=1,BW81-BX81,IF(Slot6_PotFree=1,BW81,0))</f>
        <v>0</v>
      </c>
      <c r="CB81" s="20" t="n">
        <f aca="false">BR81+BU81*Slot6_BufPot*BW81</f>
        <v>0</v>
      </c>
      <c r="CC81" s="20" t="n">
        <f aca="false">IF(AND(BU81=1,Slot6_IsMfree=1),IF(BZ81&gt;=Slot6_Cost-1,0,MAX(0,BS81-BZ81)),BS81)</f>
        <v>0</v>
      </c>
      <c r="CD81" s="20" t="n">
        <f aca="false">BU81*(Slot6_Cost-BZ81)</f>
        <v>0</v>
      </c>
      <c r="CE81" s="20" t="n">
        <f aca="false">IF(AND(Slot7_On=1,D81=Slot7_Age),1,0)</f>
        <v>0</v>
      </c>
      <c r="CF81" s="20" t="n">
        <f aca="false">IF(AND(Slot7_On=1,Slot7_Age&gt;D81),1,0)</f>
        <v>0</v>
      </c>
      <c r="CG81" s="20" t="n">
        <f aca="false">RK80</f>
        <v>0</v>
      </c>
      <c r="CH81" s="20" t="n">
        <f aca="false">CE81*MIN(Slot7_Cost,CG81)</f>
        <v>0</v>
      </c>
      <c r="CI81" s="20" t="n">
        <f aca="false">CE81*Slot7_SpendLike*MIN(Slot7_Cost-CH81,CA81)</f>
        <v>0</v>
      </c>
      <c r="CJ81" s="20" t="n">
        <f aca="false">CH81+CI81</f>
        <v>0</v>
      </c>
      <c r="CK81" s="20" t="n">
        <f aca="false">CA81-CI81+CE81*IF(Slot7_SpendLike=1,CG81-CH81,IF(Slot7_PotFree=1,CG81,0))</f>
        <v>0</v>
      </c>
      <c r="CL81" s="20" t="n">
        <f aca="false">CB81+CE81*Slot7_BufPot*CG81</f>
        <v>0</v>
      </c>
      <c r="CM81" s="20" t="n">
        <f aca="false">IF(AND(CE81=1,Slot7_IsMfree=1),IF(CJ81&gt;=Slot7_Cost-1,0,MAX(0,CC81-CJ81)),CC81)</f>
        <v>0</v>
      </c>
      <c r="CN81" s="20" t="n">
        <f aca="false">CE81*(Slot7_Cost-CJ81)</f>
        <v>0</v>
      </c>
      <c r="CO81" s="20" t="n">
        <f aca="false">IF(AND(Slot8_On=1,D81=Slot8_Age),1,0)</f>
        <v>0</v>
      </c>
      <c r="CP81" s="20" t="n">
        <f aca="false">IF(AND(Slot8_On=1,Slot8_Age&gt;D81),1,0)</f>
        <v>0</v>
      </c>
      <c r="CQ81" s="20" t="n">
        <f aca="false">RO80</f>
        <v>0</v>
      </c>
      <c r="CR81" s="20" t="n">
        <f aca="false">CO81*MIN(Slot8_Cost,CQ81)</f>
        <v>0</v>
      </c>
      <c r="CS81" s="20" t="n">
        <f aca="false">CO81*Slot8_SpendLike*MIN(Slot8_Cost-CR81,CK81)</f>
        <v>0</v>
      </c>
      <c r="CT81" s="20" t="n">
        <f aca="false">CR81+CS81</f>
        <v>0</v>
      </c>
      <c r="CU81" s="20" t="n">
        <f aca="false">CK81-CS81+CO81*IF(Slot8_SpendLike=1,CQ81-CR81,IF(Slot8_PotFree=1,CQ81,0))</f>
        <v>0</v>
      </c>
      <c r="CV81" s="20" t="n">
        <f aca="false">CL81+CO81*Slot8_BufPot*CQ81</f>
        <v>0</v>
      </c>
      <c r="CW81" s="20" t="n">
        <f aca="false">IF(AND(CO81=1,Slot8_IsMfree=1),IF(CT81&gt;=Slot8_Cost-1,0,MAX(0,CM81-CT81)),CM81)</f>
        <v>0</v>
      </c>
      <c r="CX81" s="20" t="n">
        <f aca="false">CO81*(Slot8_Cost-CT81)</f>
        <v>0</v>
      </c>
      <c r="CY81" s="20" t="n">
        <f aca="false">IF(AND(Slot9_On=1,D81=Slot9_Age),1,0)</f>
        <v>0</v>
      </c>
      <c r="CZ81" s="20" t="n">
        <f aca="false">IF(AND(Slot9_On=1,Slot9_Age&gt;D81),1,0)</f>
        <v>0</v>
      </c>
      <c r="DA81" s="20" t="n">
        <f aca="false">RS80</f>
        <v>0</v>
      </c>
      <c r="DB81" s="20" t="n">
        <f aca="false">CY81*MIN(Slot9_Cost,DA81)</f>
        <v>0</v>
      </c>
      <c r="DC81" s="20" t="n">
        <f aca="false">CY81*Slot9_SpendLike*MIN(Slot9_Cost-DB81,CU81)</f>
        <v>0</v>
      </c>
      <c r="DD81" s="20" t="n">
        <f aca="false">DB81+DC81</f>
        <v>0</v>
      </c>
      <c r="DE81" s="20" t="n">
        <f aca="false">CU81-DC81+CY81*IF(Slot9_SpendLike=1,DA81-DB81,IF(Slot9_PotFree=1,DA81,0))</f>
        <v>0</v>
      </c>
      <c r="DF81" s="20" t="n">
        <f aca="false">CV81+CY81*Slot9_BufPot*DA81</f>
        <v>0</v>
      </c>
      <c r="DG81" s="20" t="n">
        <f aca="false">IF(AND(CY81=1,Slot9_IsMfree=1),IF(DD81&gt;=Slot9_Cost-1,0,MAX(0,CW81-DD81)),CW81)</f>
        <v>0</v>
      </c>
      <c r="DH81" s="20" t="n">
        <f aca="false">CY81*(Slot9_Cost-DD81)</f>
        <v>0</v>
      </c>
      <c r="DI81" s="20" t="n">
        <f aca="false">IF(AND(Slot10_On=1,D81=Slot10_Age),1,0)</f>
        <v>0</v>
      </c>
      <c r="DJ81" s="20" t="n">
        <f aca="false">IF(AND(Slot10_On=1,Slot10_Age&gt;D81),1,0)</f>
        <v>0</v>
      </c>
      <c r="DK81" s="20" t="n">
        <f aca="false">RW80</f>
        <v>0</v>
      </c>
      <c r="DL81" s="20" t="n">
        <f aca="false">DI81*MIN(Slot10_Cost,DK81)</f>
        <v>0</v>
      </c>
      <c r="DM81" s="20" t="n">
        <f aca="false">DI81*Slot10_SpendLike*MIN(Slot10_Cost-DL81,DE81)</f>
        <v>0</v>
      </c>
      <c r="DN81" s="20" t="n">
        <f aca="false">DL81+DM81</f>
        <v>0</v>
      </c>
      <c r="DO81" s="20" t="n">
        <f aca="false">DE81-DM81+DI81*IF(Slot10_SpendLike=1,DK81-DL81,IF(Slot10_PotFree=1,DK81,0))</f>
        <v>0</v>
      </c>
      <c r="DP81" s="20" t="n">
        <f aca="false">DF81+DI81*Slot10_BufPot*DK81</f>
        <v>0</v>
      </c>
      <c r="DQ81" s="20" t="n">
        <f aca="false">IF(AND(DI81=1,Slot10_IsMfree=1),IF(DN81&gt;=Slot10_Cost-1,0,MAX(0,DG81-DN81)),DG81)</f>
        <v>0</v>
      </c>
      <c r="DR81" s="20" t="n">
        <f aca="false">DI81*(Slot10_Cost-DN81)</f>
        <v>0</v>
      </c>
      <c r="DS81" s="20" t="n">
        <f aca="false">IF(AND(Slot11_On=1,D81=Slot11_Age),1,0)</f>
        <v>0</v>
      </c>
      <c r="DT81" s="20" t="n">
        <f aca="false">IF(AND(Slot11_On=1,Slot11_Age&gt;D81),1,0)</f>
        <v>0</v>
      </c>
      <c r="DU81" s="20" t="n">
        <f aca="false">SA80</f>
        <v>0</v>
      </c>
      <c r="DV81" s="20" t="n">
        <f aca="false">DS81*MIN(Slot11_Cost,DU81)</f>
        <v>0</v>
      </c>
      <c r="DW81" s="20" t="n">
        <f aca="false">DS81*Slot11_SpendLike*MIN(Slot11_Cost-DV81,DO81)</f>
        <v>0</v>
      </c>
      <c r="DX81" s="20" t="n">
        <f aca="false">DV81+DW81</f>
        <v>0</v>
      </c>
      <c r="DY81" s="20" t="n">
        <f aca="false">DO81-DW81+DS81*IF(Slot11_SpendLike=1,DU81-DV81,IF(Slot11_PotFree=1,DU81,0))</f>
        <v>0</v>
      </c>
      <c r="DZ81" s="20" t="n">
        <f aca="false">DP81+DS81*Slot11_BufPot*DU81</f>
        <v>0</v>
      </c>
      <c r="EA81" s="20" t="n">
        <f aca="false">IF(AND(DS81=1,Slot11_IsMfree=1),IF(DX81&gt;=Slot11_Cost-1,0,MAX(0,DQ81-DX81)),DQ81)</f>
        <v>0</v>
      </c>
      <c r="EB81" s="20" t="n">
        <f aca="false">DS81*(Slot11_Cost-DX81)</f>
        <v>0</v>
      </c>
      <c r="EC81" s="20" t="n">
        <f aca="false">IF(AND(Slot12_On=1,D81=Slot12_Age),1,0)</f>
        <v>0</v>
      </c>
      <c r="ED81" s="20" t="n">
        <f aca="false">IF(AND(Slot12_On=1,Slot12_Age&gt;D81),1,0)</f>
        <v>0</v>
      </c>
      <c r="EE81" s="20" t="n">
        <f aca="false">SE80</f>
        <v>0</v>
      </c>
      <c r="EF81" s="20" t="n">
        <f aca="false">EC81*MIN(Slot12_Cost,EE81)</f>
        <v>0</v>
      </c>
      <c r="EG81" s="20" t="n">
        <f aca="false">EC81*Slot12_SpendLike*MIN(Slot12_Cost-EF81,DY81)</f>
        <v>0</v>
      </c>
      <c r="EH81" s="20" t="n">
        <f aca="false">EF81+EG81</f>
        <v>0</v>
      </c>
      <c r="EI81" s="20" t="n">
        <f aca="false">DY81-EG81+EC81*IF(Slot12_SpendLike=1,EE81-EF81,IF(Slot12_PotFree=1,EE81,0))</f>
        <v>0</v>
      </c>
      <c r="EJ81" s="20" t="n">
        <f aca="false">DZ81+EC81*Slot12_BufPot*EE81</f>
        <v>0</v>
      </c>
      <c r="EK81" s="20" t="n">
        <f aca="false">IF(AND(EC81=1,Slot12_IsMfree=1),IF(EH81&gt;=Slot12_Cost-1,0,MAX(0,EA81-EH81)),EA81)</f>
        <v>0</v>
      </c>
      <c r="EL81" s="20" t="n">
        <f aca="false">EC81*(Slot12_Cost-EH81)</f>
        <v>0</v>
      </c>
      <c r="EM81" s="20" t="n">
        <f aca="false">IF(AND(Slot13_On=1,D81=Slot13_Age),1,0)</f>
        <v>0</v>
      </c>
      <c r="EN81" s="20" t="n">
        <f aca="false">IF(AND(Slot13_On=1,Slot13_Age&gt;D81),1,0)</f>
        <v>0</v>
      </c>
      <c r="EO81" s="20" t="n">
        <f aca="false">SI80</f>
        <v>0</v>
      </c>
      <c r="EP81" s="20" t="n">
        <f aca="false">EM81*MIN(Slot13_Cost,EO81)</f>
        <v>0</v>
      </c>
      <c r="EQ81" s="20" t="n">
        <f aca="false">EM81*Slot13_SpendLike*MIN(Slot13_Cost-EP81,EI81)</f>
        <v>0</v>
      </c>
      <c r="ER81" s="20" t="n">
        <f aca="false">EP81+EQ81</f>
        <v>0</v>
      </c>
      <c r="ES81" s="20" t="n">
        <f aca="false">EI81-EQ81+EM81*IF(Slot13_SpendLike=1,EO81-EP81,IF(Slot13_PotFree=1,EO81,0))</f>
        <v>0</v>
      </c>
      <c r="ET81" s="20" t="n">
        <f aca="false">EJ81+EM81*Slot13_BufPot*EO81</f>
        <v>0</v>
      </c>
      <c r="EU81" s="20" t="n">
        <f aca="false">IF(AND(EM81=1,Slot13_IsMfree=1),IF(ER81&gt;=Slot13_Cost-1,0,MAX(0,EK81-ER81)),EK81)</f>
        <v>0</v>
      </c>
      <c r="EV81" s="20" t="n">
        <f aca="false">EM81*(Slot13_Cost-ER81)</f>
        <v>0</v>
      </c>
      <c r="EW81" s="20" t="n">
        <f aca="false">IF(AND(Slot14_On=1,D81=Slot14_Age),1,0)</f>
        <v>0</v>
      </c>
      <c r="EX81" s="20" t="n">
        <f aca="false">IF(AND(Slot14_On=1,Slot14_Age&gt;D81),1,0)</f>
        <v>0</v>
      </c>
      <c r="EY81" s="20" t="n">
        <f aca="false">SM80</f>
        <v>0</v>
      </c>
      <c r="EZ81" s="20" t="n">
        <f aca="false">EW81*MIN(Slot14_Cost,EY81)</f>
        <v>0</v>
      </c>
      <c r="FA81" s="20" t="n">
        <f aca="false">EW81*Slot14_SpendLike*MIN(Slot14_Cost-EZ81,ES81)</f>
        <v>0</v>
      </c>
      <c r="FB81" s="20" t="n">
        <f aca="false">EZ81+FA81</f>
        <v>0</v>
      </c>
      <c r="FC81" s="20" t="n">
        <f aca="false">ES81-FA81+EW81*IF(Slot14_SpendLike=1,EY81-EZ81,IF(Slot14_PotFree=1,EY81,0))</f>
        <v>0</v>
      </c>
      <c r="FD81" s="20" t="n">
        <f aca="false">ET81+EW81*Slot14_BufPot*EY81</f>
        <v>0</v>
      </c>
      <c r="FE81" s="20" t="n">
        <f aca="false">IF(AND(EW81=1,Slot14_IsMfree=1),IF(FB81&gt;=Slot14_Cost-1,0,MAX(0,EU81-FB81)),EU81)</f>
        <v>0</v>
      </c>
      <c r="FF81" s="20" t="n">
        <f aca="false">EW81*(Slot14_Cost-FB81)</f>
        <v>0</v>
      </c>
      <c r="FG81" s="20" t="n">
        <f aca="false">IF(AND(Slot15_On=1,D81=Slot15_Age),1,0)</f>
        <v>0</v>
      </c>
      <c r="FH81" s="20" t="n">
        <f aca="false">IF(AND(Slot15_On=1,Slot15_Age&gt;D81),1,0)</f>
        <v>0</v>
      </c>
      <c r="FI81" s="20" t="n">
        <f aca="false">SQ80</f>
        <v>0</v>
      </c>
      <c r="FJ81" s="20" t="n">
        <f aca="false">FG81*MIN(Slot15_Cost,FI81)</f>
        <v>0</v>
      </c>
      <c r="FK81" s="20" t="n">
        <f aca="false">FG81*Slot15_SpendLike*MIN(Slot15_Cost-FJ81,FC81)</f>
        <v>0</v>
      </c>
      <c r="FL81" s="20" t="n">
        <f aca="false">FJ81+FK81</f>
        <v>0</v>
      </c>
      <c r="FM81" s="20" t="n">
        <f aca="false">FC81-FK81+FG81*IF(Slot15_SpendLike=1,FI81-FJ81,IF(Slot15_PotFree=1,FI81,0))</f>
        <v>0</v>
      </c>
      <c r="FN81" s="20" t="n">
        <f aca="false">FD81+FG81*Slot15_BufPot*FI81</f>
        <v>0</v>
      </c>
      <c r="FO81" s="20" t="n">
        <f aca="false">IF(AND(FG81=1,Slot15_IsMfree=1),IF(FL81&gt;=Slot15_Cost-1,0,MAX(0,FE81-FL81)),FE81)</f>
        <v>0</v>
      </c>
      <c r="FP81" s="20" t="n">
        <f aca="false">FG81*(Slot15_Cost-FL81)</f>
        <v>0</v>
      </c>
      <c r="FQ81" s="20" t="n">
        <f aca="false">IF(AND(Slot16_On=1,D81=Slot16_Age),1,0)</f>
        <v>0</v>
      </c>
      <c r="FR81" s="20" t="n">
        <f aca="false">IF(AND(Slot16_On=1,Slot16_Age&gt;D81),1,0)</f>
        <v>0</v>
      </c>
      <c r="FS81" s="20" t="n">
        <f aca="false">SU80</f>
        <v>0</v>
      </c>
      <c r="FT81" s="20" t="n">
        <f aca="false">FQ81*MIN(Slot16_Cost,FS81)</f>
        <v>0</v>
      </c>
      <c r="FU81" s="20" t="n">
        <f aca="false">FQ81*Slot16_SpendLike*MIN(Slot16_Cost-FT81,FM81)</f>
        <v>0</v>
      </c>
      <c r="FV81" s="20" t="n">
        <f aca="false">FT81+FU81</f>
        <v>0</v>
      </c>
      <c r="FW81" s="20" t="n">
        <f aca="false">FM81-FU81+FQ81*IF(Slot16_SpendLike=1,FS81-FT81,IF(Slot16_PotFree=1,FS81,0))</f>
        <v>0</v>
      </c>
      <c r="FX81" s="20" t="n">
        <f aca="false">FN81+FQ81*Slot16_BufPot*FS81</f>
        <v>0</v>
      </c>
      <c r="FY81" s="20" t="n">
        <f aca="false">IF(AND(FQ81=1,Slot16_IsMfree=1),IF(FV81&gt;=Slot16_Cost-1,0,MAX(0,FO81-FV81)),FO81)</f>
        <v>0</v>
      </c>
      <c r="FZ81" s="20" t="n">
        <f aca="false">FQ81*(Slot16_Cost-FV81)</f>
        <v>0</v>
      </c>
      <c r="GA81" s="20" t="n">
        <f aca="false">IF(AND(Slot17_On=1,D81=Slot17_Age),1,0)</f>
        <v>0</v>
      </c>
      <c r="GB81" s="20" t="n">
        <f aca="false">IF(AND(Slot17_On=1,Slot17_Age&gt;D81),1,0)</f>
        <v>0</v>
      </c>
      <c r="GC81" s="20" t="n">
        <f aca="false">SY80</f>
        <v>0</v>
      </c>
      <c r="GD81" s="20" t="n">
        <f aca="false">GA81*MIN(Slot17_Cost,GC81)</f>
        <v>0</v>
      </c>
      <c r="GE81" s="20" t="n">
        <f aca="false">GA81*Slot17_SpendLike*MIN(Slot17_Cost-GD81,FW81)</f>
        <v>0</v>
      </c>
      <c r="GF81" s="20" t="n">
        <f aca="false">GD81+GE81</f>
        <v>0</v>
      </c>
      <c r="GG81" s="20" t="n">
        <f aca="false">FW81-GE81+GA81*IF(Slot17_SpendLike=1,GC81-GD81,IF(Slot17_PotFree=1,GC81,0))</f>
        <v>0</v>
      </c>
      <c r="GH81" s="20" t="n">
        <f aca="false">FX81+GA81*Slot17_BufPot*GC81</f>
        <v>0</v>
      </c>
      <c r="GI81" s="20" t="n">
        <f aca="false">IF(AND(GA81=1,Slot17_IsMfree=1),IF(GF81&gt;=Slot17_Cost-1,0,MAX(0,FY81-GF81)),FY81)</f>
        <v>0</v>
      </c>
      <c r="GJ81" s="20" t="n">
        <f aca="false">GA81*(Slot17_Cost-GF81)</f>
        <v>0</v>
      </c>
      <c r="GK81" s="20" t="n">
        <f aca="false">IF(AND(Slot18_On=1,D81=Slot18_Age),1,0)</f>
        <v>0</v>
      </c>
      <c r="GL81" s="20" t="n">
        <f aca="false">IF(AND(Slot18_On=1,Slot18_Age&gt;D81),1,0)</f>
        <v>0</v>
      </c>
      <c r="GM81" s="20" t="n">
        <f aca="false">TC80</f>
        <v>0</v>
      </c>
      <c r="GN81" s="20" t="n">
        <f aca="false">GK81*MIN(Slot18_Cost,GM81)</f>
        <v>0</v>
      </c>
      <c r="GO81" s="20" t="n">
        <f aca="false">GK81*Slot18_SpendLike*MIN(Slot18_Cost-GN81,GG81)</f>
        <v>0</v>
      </c>
      <c r="GP81" s="20" t="n">
        <f aca="false">GN81+GO81</f>
        <v>0</v>
      </c>
      <c r="GQ81" s="20" t="n">
        <f aca="false">GG81-GO81+GK81*IF(Slot18_SpendLike=1,GM81-GN81,IF(Slot18_PotFree=1,GM81,0))</f>
        <v>0</v>
      </c>
      <c r="GR81" s="20" t="n">
        <f aca="false">GH81+GK81*Slot18_BufPot*GM81</f>
        <v>0</v>
      </c>
      <c r="GS81" s="20" t="n">
        <f aca="false">IF(AND(GK81=1,Slot18_IsMfree=1),IF(GP81&gt;=Slot18_Cost-1,0,MAX(0,GI81-GP81)),GI81)</f>
        <v>0</v>
      </c>
      <c r="GT81" s="20" t="n">
        <f aca="false">GK81*(Slot18_Cost-GP81)</f>
        <v>0</v>
      </c>
      <c r="GU81" s="20" t="n">
        <f aca="false">IF(AND(Slot19_On=1,D81=Slot19_Age),1,0)</f>
        <v>0</v>
      </c>
      <c r="GV81" s="20" t="n">
        <f aca="false">IF(AND(Slot19_On=1,Slot19_Age&gt;D81),1,0)</f>
        <v>0</v>
      </c>
      <c r="GW81" s="20" t="n">
        <f aca="false">TG80</f>
        <v>0</v>
      </c>
      <c r="GX81" s="20" t="n">
        <f aca="false">GU81*MIN(Slot19_Cost,GW81)</f>
        <v>0</v>
      </c>
      <c r="GY81" s="20" t="n">
        <f aca="false">GU81*Slot19_SpendLike*MIN(Slot19_Cost-GX81,GQ81)</f>
        <v>0</v>
      </c>
      <c r="GZ81" s="20" t="n">
        <f aca="false">GX81+GY81</f>
        <v>0</v>
      </c>
      <c r="HA81" s="20" t="n">
        <f aca="false">GQ81-GY81+GU81*IF(Slot19_SpendLike=1,GW81-GX81,IF(Slot19_PotFree=1,GW81,0))</f>
        <v>0</v>
      </c>
      <c r="HB81" s="20" t="n">
        <f aca="false">GR81+GU81*Slot19_BufPot*GW81</f>
        <v>0</v>
      </c>
      <c r="HC81" s="20" t="n">
        <f aca="false">IF(AND(GU81=1,Slot19_IsMfree=1),IF(GZ81&gt;=Slot19_Cost-1,0,MAX(0,GS81-GZ81)),GS81)</f>
        <v>0</v>
      </c>
      <c r="HD81" s="20" t="n">
        <f aca="false">GU81*(Slot19_Cost-GZ81)</f>
        <v>0</v>
      </c>
      <c r="HE81" s="20" t="n">
        <f aca="false">IF(AND(Slot20_On=1,D81=Slot20_Age),1,0)</f>
        <v>0</v>
      </c>
      <c r="HF81" s="20" t="n">
        <f aca="false">IF(AND(Slot20_On=1,Slot20_Age&gt;D81),1,0)</f>
        <v>0</v>
      </c>
      <c r="HG81" s="20" t="n">
        <f aca="false">TK80</f>
        <v>0</v>
      </c>
      <c r="HH81" s="20" t="n">
        <f aca="false">HE81*MIN(Slot20_Cost,HG81)</f>
        <v>0</v>
      </c>
      <c r="HI81" s="20" t="n">
        <f aca="false">HE81*Slot20_SpendLike*MIN(Slot20_Cost-HH81,HA81)</f>
        <v>0</v>
      </c>
      <c r="HJ81" s="20" t="n">
        <f aca="false">HH81+HI81</f>
        <v>0</v>
      </c>
      <c r="HK81" s="20" t="n">
        <f aca="false">HA81-HI81+HE81*IF(Slot20_SpendLike=1,HG81-HH81,IF(Slot20_PotFree=1,HG81,0))</f>
        <v>0</v>
      </c>
      <c r="HL81" s="20" t="n">
        <f aca="false">HB81+HE81*Slot20_BufPot*HG81</f>
        <v>0</v>
      </c>
      <c r="HM81" s="20" t="n">
        <f aca="false">IF(AND(HE81=1,Slot20_IsMfree=1),IF(HJ81&gt;=Slot20_Cost-1,0,MAX(0,HC81-HJ81)),HC81)</f>
        <v>0</v>
      </c>
      <c r="HN81" s="20" t="n">
        <f aca="false">HE81*(Slot20_Cost-HJ81)</f>
        <v>0</v>
      </c>
      <c r="HO81" s="20" t="n">
        <f aca="false">V81*Slot1_SpendLike*AA81+AG81*Slot2_SpendLike*AL81+AQ81*Slot3_SpendLike*AV81+BA81*Slot4_SpendLike*BF81+BK81*Slot5_SpendLike*BP81+BU81*Slot6_SpendLike*BZ81+CE81*Slot7_SpendLike*CJ81+CO81*Slot8_SpendLike*CT81+CY81*Slot9_SpendLike*DD81+DI81*Slot10_SpendLike*DN81+DS81*Slot11_SpendLike*DX81+EC81*Slot12_SpendLike*EH81+EM81*Slot13_SpendLike*ER81+EW81*Slot14_SpendLike*FB81+FG81*Slot15_SpendLike*FL81+FQ81*Slot16_SpendLike*FV81+GA81*Slot17_SpendLike*GF81+GK81*Slot18_SpendLike*GP81+GU81*Slot19_SpendLike*GZ81+HE81*Slot20_SpendLike*HJ81</f>
        <v>0</v>
      </c>
      <c r="HP81" s="20" t="n">
        <f aca="false">AE81+AP81+AZ81+BJ81+BT81+CD81+CN81+CX81+DH81+DR81+EB81+EL81+EV81+FF81+FP81+FZ81+GJ81+GT81+HD81+HN81</f>
        <v>0</v>
      </c>
      <c r="HQ81" s="20" t="n">
        <f aca="false">V81*Slot1_Cost+AG81*Slot2_Cost+AQ81*Slot3_Cost+BA81*Slot4_Cost+BK81*Slot5_Cost+BU81*Slot6_Cost+CE81*Slot7_Cost+CO81*Slot8_Cost+CY81*Slot9_Cost+DI81*Slot10_Cost+DS81*Slot11_Cost+EC81*Slot12_Cost+EM81*Slot13_Cost+EW81*Slot14_Cost+FG81*Slot15_Cost+FQ81*Slot16_Cost+GA81*Slot17_Cost+GK81*Slot18_Cost+GU81*Slot19_Cost+HE81*Slot20_Cost</f>
        <v>0</v>
      </c>
      <c r="HR81" s="20" t="n">
        <f aca="false">HM81</f>
        <v>0</v>
      </c>
      <c r="HS81" s="20" t="n">
        <f aca="false">H81-I81-S81</f>
        <v>-81769.8637807298</v>
      </c>
      <c r="HT81" s="20" t="n">
        <f aca="false">IF(B81=0,IF(AND(Has_q6=1,In_q6=4),PR_ShareVaries*(MAX(0,HS81)/12),MIN(IF(Has_q6=1,CHOOSE(In_q6+1,PR_SaveB1,PR_SaveB2,PR_SaveB3,PR_SaveB4,0),AS_NoAnswer),AS_SaveShare*(MAX(0,HS81)/12))),HT80)</f>
        <v>62.3316893520437</v>
      </c>
      <c r="HU81" s="20" t="n">
        <f aca="false">IF(HS81&gt;=0,1,0)</f>
        <v>0</v>
      </c>
      <c r="HV81" s="20" t="n">
        <f aca="false">MAX(0,HS81/12/F81)</f>
        <v>0</v>
      </c>
      <c r="HW81" s="20" t="n">
        <f aca="false">IF(AND(Has_q6=1,In_q6=4),PR_ShareVaries*(HV81),MIN(IF(Has_q6=1,CHOOSE(In_q6+1,PR_SaveB1,PR_SaveB2,PR_SaveB3,PR_SaveB4,0),AS_NoAnswer),AS_SaveShare*(HV81)))</f>
        <v>0</v>
      </c>
      <c r="HX81" s="20" t="n">
        <f aca="false">IF(Has_saveM=1,IF(In_saveUp="Yes",1,IF(In_saveUp="No",0,IF(In_saveM&gt;=HT81-0.5,1,0))),0)</f>
        <v>0</v>
      </c>
      <c r="HY81" s="20" t="n">
        <f aca="false">IF(Has_saveM=1,MIN(HV81,IF(HX81=1,MAX(In_saveM,HW81),MIN(In_saveM,HW81))),HW81)</f>
        <v>0</v>
      </c>
      <c r="HZ81" s="20" t="n">
        <f aca="false">IF(G81=1,HY81*12*F81,0)</f>
        <v>0</v>
      </c>
      <c r="IA81" s="20" t="n">
        <f aca="false">MAX(0,HZ81+IF(AND(WI_Retire=0,WI_M&lt;0,G81=1),WI_M*12*F81,0))</f>
        <v>0</v>
      </c>
      <c r="IB81" s="20" t="n">
        <f aca="false">Slot1_IsWG*W81+Slot2_IsWG*AH81+Slot3_IsWG*AR81+Slot4_IsWG*BB81+Slot5_IsWG*BL81+Slot6_IsWG*BV81+Slot7_IsWG*CF81+Slot8_IsWG*CP81+Slot9_IsWG*CZ81+Slot10_IsWG*DJ81+Slot11_IsWG*DT81+Slot12_IsWG*ED81+Slot13_IsWG*EN81+Slot14_IsWG*EX81+Slot15_IsWG*FH81+Slot16_IsWG*FR81+Slot17_IsWG*GB81+Slot18_IsWG*GL81+Slot19_IsWG*GV81+Slot20_IsWG*HF81</f>
        <v>0</v>
      </c>
      <c r="IC81" s="20" t="n">
        <f aca="false">IF(AND(WI_Retire=0,WI_M&gt;0,G81=1,IB81&gt;=1),WI_M*12*F81,0)</f>
        <v>0</v>
      </c>
      <c r="ID81" s="20" t="n">
        <f aca="false">IF(HU81=1,MIN(IA81,HS81),0)</f>
        <v>0</v>
      </c>
      <c r="IE81" s="20" t="n">
        <f aca="false">IF(HU81=1,MIN(IC81,HS81-ID81),0)</f>
        <v>0</v>
      </c>
      <c r="IF81" s="20" t="n">
        <f aca="false">IF(W81=1,IF(ABS((1+AS_Wage)/(1+Slot1_Rate)-1)&lt;0.000000000001,(Slot1_Age-D81)*(1+Slot1_Rate)^(Slot1_Age-D81),(1+Slot1_Rate)^(Slot1_Age-D81)*(1-((1+AS_Wage)/(1+Slot1_Rate))^(Slot1_Age-D81))/(1-(1+AS_Wage)/(1+Slot1_Rate))),1)</f>
        <v>1</v>
      </c>
      <c r="IG81" s="20" t="n">
        <f aca="false">IF(AND(HU81=1,IE81&gt;0,Slot1_IsWG=1,W81=1),MAX(0,(Slot1_Cost-X81*(1+Slot1_Rate)^(Slot1_Age-D81))/IF81),0)</f>
        <v>0</v>
      </c>
      <c r="IH81" s="20" t="n">
        <f aca="false">IF(AND(HU81=1,IE81&gt;0,Slot1_IsWG=1,W81=1),MIN(IE81,IG81),0)</f>
        <v>0</v>
      </c>
      <c r="II81" s="20" t="n">
        <f aca="false">X81+IH81</f>
        <v>0</v>
      </c>
      <c r="IJ81" s="20" t="n">
        <f aca="false">IF(W81=1,MAX(0,(Slot1_Cost-II81*(1+Slot1_Rate)^(Slot1_Age-D81))/IF81),0)</f>
        <v>0</v>
      </c>
      <c r="IK81" s="20" t="n">
        <f aca="false">IF(W81=1,MAX(0,(Slot1_Cost-X81*(1+Slot1_Rate)^(Slot1_Age-D81))/IF81),0)</f>
        <v>0</v>
      </c>
      <c r="IL81" s="20" t="n">
        <f aca="false">IF(AND(HU81=1,W81=1),MIN(ID81,IJ81),0)</f>
        <v>0</v>
      </c>
      <c r="IM81" s="20" t="n">
        <f aca="false">ID81-IL81</f>
        <v>0</v>
      </c>
      <c r="IN81" s="20" t="n">
        <f aca="false">IF(AH81=1,IF(ABS((1+AS_Wage)/(1+Slot2_Rate)-1)&lt;0.000000000001,(Slot2_Age-D81)*(1+Slot2_Rate)^(Slot2_Age-D81),(1+Slot2_Rate)^(Slot2_Age-D81)*(1-((1+AS_Wage)/(1+Slot2_Rate))^(Slot2_Age-D81))/(1-(1+AS_Wage)/(1+Slot2_Rate))),1)</f>
        <v>1</v>
      </c>
      <c r="IO81" s="20" t="n">
        <f aca="false">IF(AND(HU81=1,IE81&gt;0,Slot2_IsWG=1,AH81=1),MAX(0,(Slot2_Cost-AI81*(1+Slot2_Rate)^(Slot2_Age-D81))/IN81),0)</f>
        <v>0</v>
      </c>
      <c r="IP81" s="20" t="n">
        <f aca="false">IF(AND(HU81=1,IE81&gt;0,Slot2_IsWG=1,AH81=1),MIN(IE81,IO81),0)</f>
        <v>0</v>
      </c>
      <c r="IQ81" s="20" t="n">
        <f aca="false">AI81+IP81</f>
        <v>0</v>
      </c>
      <c r="IR81" s="20" t="n">
        <f aca="false">IF(AH81=1,MAX(0,(Slot2_Cost-IQ81*(1+Slot2_Rate)^(Slot2_Age-D81))/IN81),0)</f>
        <v>0</v>
      </c>
      <c r="IS81" s="20" t="n">
        <f aca="false">IF(AH81=1,MAX(0,(Slot2_Cost-AI81*(1+Slot2_Rate)^(Slot2_Age-D81))/IN81),0)</f>
        <v>0</v>
      </c>
      <c r="IT81" s="20" t="n">
        <f aca="false">IF(AND(HU81=1,AH81=1),MIN(IM81,IR81),0)</f>
        <v>0</v>
      </c>
      <c r="IU81" s="20" t="n">
        <f aca="false">IM81-IT81</f>
        <v>0</v>
      </c>
      <c r="IV81" s="20" t="n">
        <f aca="false">IF(AR81=1,IF(ABS((1+AS_Wage)/(1+Slot3_Rate)-1)&lt;0.000000000001,(Slot3_Age-D81)*(1+Slot3_Rate)^(Slot3_Age-D81),(1+Slot3_Rate)^(Slot3_Age-D81)*(1-((1+AS_Wage)/(1+Slot3_Rate))^(Slot3_Age-D81))/(1-(1+AS_Wage)/(1+Slot3_Rate))),1)</f>
        <v>1</v>
      </c>
      <c r="IW81" s="20" t="n">
        <f aca="false">IF(AND(HU81=1,IE81&gt;0,Slot3_IsWG=1,AR81=1),MAX(0,(Slot3_Cost-AS81*(1+Slot3_Rate)^(Slot3_Age-D81))/IV81),0)</f>
        <v>0</v>
      </c>
      <c r="IX81" s="20" t="n">
        <f aca="false">IF(AND(HU81=1,IE81&gt;0,Slot3_IsWG=1,AR81=1),MIN(IE81,IW81),0)</f>
        <v>0</v>
      </c>
      <c r="IY81" s="20" t="n">
        <f aca="false">AS81+IX81</f>
        <v>0</v>
      </c>
      <c r="IZ81" s="20" t="n">
        <f aca="false">IF(AR81=1,MAX(0,(Slot3_Cost-IY81*(1+Slot3_Rate)^(Slot3_Age-D81))/IV81),0)</f>
        <v>0</v>
      </c>
      <c r="JA81" s="20" t="n">
        <f aca="false">IF(AR81=1,MAX(0,(Slot3_Cost-AS81*(1+Slot3_Rate)^(Slot3_Age-D81))/IV81),0)</f>
        <v>0</v>
      </c>
      <c r="JB81" s="20" t="n">
        <f aca="false">IF(AND(HU81=1,AR81=1),MIN(IU81,IZ81),0)</f>
        <v>0</v>
      </c>
      <c r="JC81" s="20" t="n">
        <f aca="false">IU81-JB81</f>
        <v>0</v>
      </c>
      <c r="JD81" s="20" t="n">
        <f aca="false">IF(BB81=1,IF(ABS((1+AS_Wage)/(1+Slot4_Rate)-1)&lt;0.000000000001,(Slot4_Age-D81)*(1+Slot4_Rate)^(Slot4_Age-D81),(1+Slot4_Rate)^(Slot4_Age-D81)*(1-((1+AS_Wage)/(1+Slot4_Rate))^(Slot4_Age-D81))/(1-(1+AS_Wage)/(1+Slot4_Rate))),1)</f>
        <v>1</v>
      </c>
      <c r="JE81" s="20" t="n">
        <f aca="false">IF(AND(HU81=1,IE81&gt;0,Slot4_IsWG=1,BB81=1),MAX(0,(Slot4_Cost-BC81*(1+Slot4_Rate)^(Slot4_Age-D81))/JD81),0)</f>
        <v>0</v>
      </c>
      <c r="JF81" s="20" t="n">
        <f aca="false">IF(AND(HU81=1,IE81&gt;0,Slot4_IsWG=1,BB81=1),MIN(IE81,JE81),0)</f>
        <v>0</v>
      </c>
      <c r="JG81" s="20" t="n">
        <f aca="false">BC81+JF81</f>
        <v>0</v>
      </c>
      <c r="JH81" s="20" t="n">
        <f aca="false">IF(BB81=1,MAX(0,(Slot4_Cost-JG81*(1+Slot4_Rate)^(Slot4_Age-D81))/JD81),0)</f>
        <v>0</v>
      </c>
      <c r="JI81" s="20" t="n">
        <f aca="false">IF(BB81=1,MAX(0,(Slot4_Cost-BC81*(1+Slot4_Rate)^(Slot4_Age-D81))/JD81),0)</f>
        <v>0</v>
      </c>
      <c r="JJ81" s="20" t="n">
        <f aca="false">IF(AND(HU81=1,BB81=1),MIN(JC81,JH81),0)</f>
        <v>0</v>
      </c>
      <c r="JK81" s="20" t="n">
        <f aca="false">JC81-JJ81</f>
        <v>0</v>
      </c>
      <c r="JL81" s="20" t="n">
        <f aca="false">IF(BL81=1,IF(ABS((1+AS_Wage)/(1+Slot5_Rate)-1)&lt;0.000000000001,(Slot5_Age-D81)*(1+Slot5_Rate)^(Slot5_Age-D81),(1+Slot5_Rate)^(Slot5_Age-D81)*(1-((1+AS_Wage)/(1+Slot5_Rate))^(Slot5_Age-D81))/(1-(1+AS_Wage)/(1+Slot5_Rate))),1)</f>
        <v>1</v>
      </c>
      <c r="JM81" s="20" t="n">
        <f aca="false">IF(AND(HU81=1,IE81&gt;0,Slot5_IsWG=1,BL81=1),MAX(0,(Slot5_Cost-BM81*(1+Slot5_Rate)^(Slot5_Age-D81))/JL81),0)</f>
        <v>0</v>
      </c>
      <c r="JN81" s="20" t="n">
        <f aca="false">IF(AND(HU81=1,IE81&gt;0,Slot5_IsWG=1,BL81=1),MIN(IE81,JM81),0)</f>
        <v>0</v>
      </c>
      <c r="JO81" s="20" t="n">
        <f aca="false">BM81+JN81</f>
        <v>0</v>
      </c>
      <c r="JP81" s="20" t="n">
        <f aca="false">IF(BL81=1,MAX(0,(Slot5_Cost-JO81*(1+Slot5_Rate)^(Slot5_Age-D81))/JL81),0)</f>
        <v>0</v>
      </c>
      <c r="JQ81" s="20" t="n">
        <f aca="false">IF(BL81=1,MAX(0,(Slot5_Cost-BM81*(1+Slot5_Rate)^(Slot5_Age-D81))/JL81),0)</f>
        <v>0</v>
      </c>
      <c r="JR81" s="20" t="n">
        <f aca="false">IF(AND(HU81=1,BL81=1),MIN(JK81,JP81),0)</f>
        <v>0</v>
      </c>
      <c r="JS81" s="20" t="n">
        <f aca="false">JK81-JR81</f>
        <v>0</v>
      </c>
      <c r="JT81" s="20" t="n">
        <f aca="false">IF(BV81=1,IF(ABS((1+AS_Wage)/(1+Slot6_Rate)-1)&lt;0.000000000001,(Slot6_Age-D81)*(1+Slot6_Rate)^(Slot6_Age-D81),(1+Slot6_Rate)^(Slot6_Age-D81)*(1-((1+AS_Wage)/(1+Slot6_Rate))^(Slot6_Age-D81))/(1-(1+AS_Wage)/(1+Slot6_Rate))),1)</f>
        <v>1</v>
      </c>
      <c r="JU81" s="20" t="n">
        <f aca="false">IF(AND(HU81=1,IE81&gt;0,Slot6_IsWG=1,BV81=1),MAX(0,(Slot6_Cost-BW81*(1+Slot6_Rate)^(Slot6_Age-D81))/JT81),0)</f>
        <v>0</v>
      </c>
      <c r="JV81" s="20" t="n">
        <f aca="false">IF(AND(HU81=1,IE81&gt;0,Slot6_IsWG=1,BV81=1),MIN(IE81,JU81),0)</f>
        <v>0</v>
      </c>
      <c r="JW81" s="20" t="n">
        <f aca="false">BW81+JV81</f>
        <v>0</v>
      </c>
      <c r="JX81" s="20" t="n">
        <f aca="false">IF(BV81=1,MAX(0,(Slot6_Cost-JW81*(1+Slot6_Rate)^(Slot6_Age-D81))/JT81),0)</f>
        <v>0</v>
      </c>
      <c r="JY81" s="20" t="n">
        <f aca="false">IF(BV81=1,MAX(0,(Slot6_Cost-BW81*(1+Slot6_Rate)^(Slot6_Age-D81))/JT81),0)</f>
        <v>0</v>
      </c>
      <c r="JZ81" s="20" t="n">
        <f aca="false">IF(AND(HU81=1,BV81=1),MIN(JS81,JX81),0)</f>
        <v>0</v>
      </c>
      <c r="KA81" s="20" t="n">
        <f aca="false">JS81-JZ81</f>
        <v>0</v>
      </c>
      <c r="KB81" s="20" t="n">
        <f aca="false">IF(CF81=1,IF(ABS((1+AS_Wage)/(1+Slot7_Rate)-1)&lt;0.000000000001,(Slot7_Age-D81)*(1+Slot7_Rate)^(Slot7_Age-D81),(1+Slot7_Rate)^(Slot7_Age-D81)*(1-((1+AS_Wage)/(1+Slot7_Rate))^(Slot7_Age-D81))/(1-(1+AS_Wage)/(1+Slot7_Rate))),1)</f>
        <v>1</v>
      </c>
      <c r="KC81" s="20" t="n">
        <f aca="false">IF(AND(HU81=1,IE81&gt;0,Slot7_IsWG=1,CF81=1),MAX(0,(Slot7_Cost-CG81*(1+Slot7_Rate)^(Slot7_Age-D81))/KB81),0)</f>
        <v>0</v>
      </c>
      <c r="KD81" s="20" t="n">
        <f aca="false">IF(AND(HU81=1,IE81&gt;0,Slot7_IsWG=1,CF81=1),MIN(IE81,KC81),0)</f>
        <v>0</v>
      </c>
      <c r="KE81" s="20" t="n">
        <f aca="false">CG81+KD81</f>
        <v>0</v>
      </c>
      <c r="KF81" s="20" t="n">
        <f aca="false">IF(CF81=1,MAX(0,(Slot7_Cost-KE81*(1+Slot7_Rate)^(Slot7_Age-D81))/KB81),0)</f>
        <v>0</v>
      </c>
      <c r="KG81" s="20" t="n">
        <f aca="false">IF(CF81=1,MAX(0,(Slot7_Cost-CG81*(1+Slot7_Rate)^(Slot7_Age-D81))/KB81),0)</f>
        <v>0</v>
      </c>
      <c r="KH81" s="20" t="n">
        <f aca="false">IF(AND(HU81=1,CF81=1),MIN(KA81,KF81),0)</f>
        <v>0</v>
      </c>
      <c r="KI81" s="20" t="n">
        <f aca="false">KA81-KH81</f>
        <v>0</v>
      </c>
      <c r="KJ81" s="20" t="n">
        <f aca="false">IF(CP81=1,IF(ABS((1+AS_Wage)/(1+Slot8_Rate)-1)&lt;0.000000000001,(Slot8_Age-D81)*(1+Slot8_Rate)^(Slot8_Age-D81),(1+Slot8_Rate)^(Slot8_Age-D81)*(1-((1+AS_Wage)/(1+Slot8_Rate))^(Slot8_Age-D81))/(1-(1+AS_Wage)/(1+Slot8_Rate))),1)</f>
        <v>1</v>
      </c>
      <c r="KK81" s="20" t="n">
        <f aca="false">IF(AND(HU81=1,IE81&gt;0,Slot8_IsWG=1,CP81=1),MAX(0,(Slot8_Cost-CQ81*(1+Slot8_Rate)^(Slot8_Age-D81))/KJ81),0)</f>
        <v>0</v>
      </c>
      <c r="KL81" s="20" t="n">
        <f aca="false">IF(AND(HU81=1,IE81&gt;0,Slot8_IsWG=1,CP81=1),MIN(IE81,KK81),0)</f>
        <v>0</v>
      </c>
      <c r="KM81" s="20" t="n">
        <f aca="false">CQ81+KL81</f>
        <v>0</v>
      </c>
      <c r="KN81" s="20" t="n">
        <f aca="false">IF(CP81=1,MAX(0,(Slot8_Cost-KM81*(1+Slot8_Rate)^(Slot8_Age-D81))/KJ81),0)</f>
        <v>0</v>
      </c>
      <c r="KO81" s="20" t="n">
        <f aca="false">IF(CP81=1,MAX(0,(Slot8_Cost-CQ81*(1+Slot8_Rate)^(Slot8_Age-D81))/KJ81),0)</f>
        <v>0</v>
      </c>
      <c r="KP81" s="20" t="n">
        <f aca="false">IF(AND(HU81=1,CP81=1),MIN(KI81,KN81),0)</f>
        <v>0</v>
      </c>
      <c r="KQ81" s="20" t="n">
        <f aca="false">KI81-KP81</f>
        <v>0</v>
      </c>
      <c r="KR81" s="20" t="n">
        <f aca="false">IF(CZ81=1,IF(ABS((1+AS_Wage)/(1+Slot9_Rate)-1)&lt;0.000000000001,(Slot9_Age-D81)*(1+Slot9_Rate)^(Slot9_Age-D81),(1+Slot9_Rate)^(Slot9_Age-D81)*(1-((1+AS_Wage)/(1+Slot9_Rate))^(Slot9_Age-D81))/(1-(1+AS_Wage)/(1+Slot9_Rate))),1)</f>
        <v>1</v>
      </c>
      <c r="KS81" s="20" t="n">
        <f aca="false">IF(AND(HU81=1,IE81&gt;0,Slot9_IsWG=1,CZ81=1),MAX(0,(Slot9_Cost-DA81*(1+Slot9_Rate)^(Slot9_Age-D81))/KR81),0)</f>
        <v>0</v>
      </c>
      <c r="KT81" s="20" t="n">
        <f aca="false">IF(AND(HU81=1,IE81&gt;0,Slot9_IsWG=1,CZ81=1),MIN(IE81,KS81),0)</f>
        <v>0</v>
      </c>
      <c r="KU81" s="20" t="n">
        <f aca="false">DA81+KT81</f>
        <v>0</v>
      </c>
      <c r="KV81" s="20" t="n">
        <f aca="false">IF(CZ81=1,MAX(0,(Slot9_Cost-KU81*(1+Slot9_Rate)^(Slot9_Age-D81))/KR81),0)</f>
        <v>0</v>
      </c>
      <c r="KW81" s="20" t="n">
        <f aca="false">IF(CZ81=1,MAX(0,(Slot9_Cost-DA81*(1+Slot9_Rate)^(Slot9_Age-D81))/KR81),0)</f>
        <v>0</v>
      </c>
      <c r="KX81" s="20" t="n">
        <f aca="false">IF(AND(HU81=1,CZ81=1),MIN(KQ81,KV81),0)</f>
        <v>0</v>
      </c>
      <c r="KY81" s="20" t="n">
        <f aca="false">KQ81-KX81</f>
        <v>0</v>
      </c>
      <c r="KZ81" s="20" t="n">
        <f aca="false">IF(DJ81=1,IF(ABS((1+AS_Wage)/(1+Slot10_Rate)-1)&lt;0.000000000001,(Slot10_Age-D81)*(1+Slot10_Rate)^(Slot10_Age-D81),(1+Slot10_Rate)^(Slot10_Age-D81)*(1-((1+AS_Wage)/(1+Slot10_Rate))^(Slot10_Age-D81))/(1-(1+AS_Wage)/(1+Slot10_Rate))),1)</f>
        <v>1</v>
      </c>
      <c r="LA81" s="20" t="n">
        <f aca="false">IF(AND(HU81=1,IE81&gt;0,Slot10_IsWG=1,DJ81=1),MAX(0,(Slot10_Cost-DK81*(1+Slot10_Rate)^(Slot10_Age-D81))/KZ81),0)</f>
        <v>0</v>
      </c>
      <c r="LB81" s="20" t="n">
        <f aca="false">IF(AND(HU81=1,IE81&gt;0,Slot10_IsWG=1,DJ81=1),MIN(IE81,LA81),0)</f>
        <v>0</v>
      </c>
      <c r="LC81" s="20" t="n">
        <f aca="false">DK81+LB81</f>
        <v>0</v>
      </c>
      <c r="LD81" s="20" t="n">
        <f aca="false">IF(DJ81=1,MAX(0,(Slot10_Cost-LC81*(1+Slot10_Rate)^(Slot10_Age-D81))/KZ81),0)</f>
        <v>0</v>
      </c>
      <c r="LE81" s="20" t="n">
        <f aca="false">IF(DJ81=1,MAX(0,(Slot10_Cost-DK81*(1+Slot10_Rate)^(Slot10_Age-D81))/KZ81),0)</f>
        <v>0</v>
      </c>
      <c r="LF81" s="20" t="n">
        <f aca="false">IF(AND(HU81=1,DJ81=1),MIN(KY81,LD81),0)</f>
        <v>0</v>
      </c>
      <c r="LG81" s="20" t="n">
        <f aca="false">KY81-LF81</f>
        <v>0</v>
      </c>
      <c r="LH81" s="20" t="n">
        <f aca="false">IF(DT81=1,IF(ABS((1+AS_Wage)/(1+Slot11_Rate)-1)&lt;0.000000000001,(Slot11_Age-D81)*(1+Slot11_Rate)^(Slot11_Age-D81),(1+Slot11_Rate)^(Slot11_Age-D81)*(1-((1+AS_Wage)/(1+Slot11_Rate))^(Slot11_Age-D81))/(1-(1+AS_Wage)/(1+Slot11_Rate))),1)</f>
        <v>1</v>
      </c>
      <c r="LI81" s="20" t="n">
        <f aca="false">IF(AND(HU81=1,IE81&gt;0,Slot11_IsWG=1,DT81=1),MAX(0,(Slot11_Cost-DU81*(1+Slot11_Rate)^(Slot11_Age-D81))/LH81),0)</f>
        <v>0</v>
      </c>
      <c r="LJ81" s="20" t="n">
        <f aca="false">IF(AND(HU81=1,IE81&gt;0,Slot11_IsWG=1,DT81=1),MIN(IE81,LI81),0)</f>
        <v>0</v>
      </c>
      <c r="LK81" s="20" t="n">
        <f aca="false">DU81+LJ81</f>
        <v>0</v>
      </c>
      <c r="LL81" s="20" t="n">
        <f aca="false">IF(DT81=1,MAX(0,(Slot11_Cost-LK81*(1+Slot11_Rate)^(Slot11_Age-D81))/LH81),0)</f>
        <v>0</v>
      </c>
      <c r="LM81" s="20" t="n">
        <f aca="false">IF(DT81=1,MAX(0,(Slot11_Cost-DU81*(1+Slot11_Rate)^(Slot11_Age-D81))/LH81),0)</f>
        <v>0</v>
      </c>
      <c r="LN81" s="20" t="n">
        <f aca="false">IF(AND(HU81=1,DT81=1),MIN(LG81,LL81),0)</f>
        <v>0</v>
      </c>
      <c r="LO81" s="20" t="n">
        <f aca="false">LG81-LN81</f>
        <v>0</v>
      </c>
      <c r="LP81" s="20" t="n">
        <f aca="false">IF(ED81=1,IF(ABS((1+AS_Wage)/(1+Slot12_Rate)-1)&lt;0.000000000001,(Slot12_Age-D81)*(1+Slot12_Rate)^(Slot12_Age-D81),(1+Slot12_Rate)^(Slot12_Age-D81)*(1-((1+AS_Wage)/(1+Slot12_Rate))^(Slot12_Age-D81))/(1-(1+AS_Wage)/(1+Slot12_Rate))),1)</f>
        <v>1</v>
      </c>
      <c r="LQ81" s="20" t="n">
        <f aca="false">IF(AND(HU81=1,IE81&gt;0,Slot12_IsWG=1,ED81=1),MAX(0,(Slot12_Cost-EE81*(1+Slot12_Rate)^(Slot12_Age-D81))/LP81),0)</f>
        <v>0</v>
      </c>
      <c r="LR81" s="20" t="n">
        <f aca="false">IF(AND(HU81=1,IE81&gt;0,Slot12_IsWG=1,ED81=1),MIN(IE81,LQ81),0)</f>
        <v>0</v>
      </c>
      <c r="LS81" s="20" t="n">
        <f aca="false">EE81+LR81</f>
        <v>0</v>
      </c>
      <c r="LT81" s="20" t="n">
        <f aca="false">IF(ED81=1,MAX(0,(Slot12_Cost-LS81*(1+Slot12_Rate)^(Slot12_Age-D81))/LP81),0)</f>
        <v>0</v>
      </c>
      <c r="LU81" s="20" t="n">
        <f aca="false">IF(ED81=1,MAX(0,(Slot12_Cost-EE81*(1+Slot12_Rate)^(Slot12_Age-D81))/LP81),0)</f>
        <v>0</v>
      </c>
      <c r="LV81" s="20" t="n">
        <f aca="false">IF(AND(HU81=1,ED81=1),MIN(LO81,LT81),0)</f>
        <v>0</v>
      </c>
      <c r="LW81" s="20" t="n">
        <f aca="false">LO81-LV81</f>
        <v>0</v>
      </c>
      <c r="LX81" s="20" t="n">
        <f aca="false">IF(EN81=1,IF(ABS((1+AS_Wage)/(1+Slot13_Rate)-1)&lt;0.000000000001,(Slot13_Age-D81)*(1+Slot13_Rate)^(Slot13_Age-D81),(1+Slot13_Rate)^(Slot13_Age-D81)*(1-((1+AS_Wage)/(1+Slot13_Rate))^(Slot13_Age-D81))/(1-(1+AS_Wage)/(1+Slot13_Rate))),1)</f>
        <v>1</v>
      </c>
      <c r="LY81" s="20" t="n">
        <f aca="false">IF(AND(HU81=1,IE81&gt;0,Slot13_IsWG=1,EN81=1),MAX(0,(Slot13_Cost-EO81*(1+Slot13_Rate)^(Slot13_Age-D81))/LX81),0)</f>
        <v>0</v>
      </c>
      <c r="LZ81" s="20" t="n">
        <f aca="false">IF(AND(HU81=1,IE81&gt;0,Slot13_IsWG=1,EN81=1),MIN(IE81,LY81),0)</f>
        <v>0</v>
      </c>
      <c r="MA81" s="20" t="n">
        <f aca="false">EO81+LZ81</f>
        <v>0</v>
      </c>
      <c r="MB81" s="20" t="n">
        <f aca="false">IF(EN81=1,MAX(0,(Slot13_Cost-MA81*(1+Slot13_Rate)^(Slot13_Age-D81))/LX81),0)</f>
        <v>0</v>
      </c>
      <c r="MC81" s="20" t="n">
        <f aca="false">IF(EN81=1,MAX(0,(Slot13_Cost-EO81*(1+Slot13_Rate)^(Slot13_Age-D81))/LX81),0)</f>
        <v>0</v>
      </c>
      <c r="MD81" s="20" t="n">
        <f aca="false">IF(AND(HU81=1,EN81=1),MIN(LW81,MB81),0)</f>
        <v>0</v>
      </c>
      <c r="ME81" s="20" t="n">
        <f aca="false">LW81-MD81</f>
        <v>0</v>
      </c>
      <c r="MF81" s="20" t="n">
        <f aca="false">IF(EX81=1,IF(ABS((1+AS_Wage)/(1+Slot14_Rate)-1)&lt;0.000000000001,(Slot14_Age-D81)*(1+Slot14_Rate)^(Slot14_Age-D81),(1+Slot14_Rate)^(Slot14_Age-D81)*(1-((1+AS_Wage)/(1+Slot14_Rate))^(Slot14_Age-D81))/(1-(1+AS_Wage)/(1+Slot14_Rate))),1)</f>
        <v>1</v>
      </c>
      <c r="MG81" s="20" t="n">
        <f aca="false">IF(AND(HU81=1,IE81&gt;0,Slot14_IsWG=1,EX81=1),MAX(0,(Slot14_Cost-EY81*(1+Slot14_Rate)^(Slot14_Age-D81))/MF81),0)</f>
        <v>0</v>
      </c>
      <c r="MH81" s="20" t="n">
        <f aca="false">IF(AND(HU81=1,IE81&gt;0,Slot14_IsWG=1,EX81=1),MIN(IE81,MG81),0)</f>
        <v>0</v>
      </c>
      <c r="MI81" s="20" t="n">
        <f aca="false">EY81+MH81</f>
        <v>0</v>
      </c>
      <c r="MJ81" s="20" t="n">
        <f aca="false">IF(EX81=1,MAX(0,(Slot14_Cost-MI81*(1+Slot14_Rate)^(Slot14_Age-D81))/MF81),0)</f>
        <v>0</v>
      </c>
      <c r="MK81" s="20" t="n">
        <f aca="false">IF(EX81=1,MAX(0,(Slot14_Cost-EY81*(1+Slot14_Rate)^(Slot14_Age-D81))/MF81),0)</f>
        <v>0</v>
      </c>
      <c r="ML81" s="20" t="n">
        <f aca="false">IF(AND(HU81=1,EX81=1),MIN(ME81,MJ81),0)</f>
        <v>0</v>
      </c>
      <c r="MM81" s="20" t="n">
        <f aca="false">ME81-ML81</f>
        <v>0</v>
      </c>
      <c r="MN81" s="20" t="n">
        <f aca="false">IF(FH81=1,IF(ABS((1+AS_Wage)/(1+Slot15_Rate)-1)&lt;0.000000000001,(Slot15_Age-D81)*(1+Slot15_Rate)^(Slot15_Age-D81),(1+Slot15_Rate)^(Slot15_Age-D81)*(1-((1+AS_Wage)/(1+Slot15_Rate))^(Slot15_Age-D81))/(1-(1+AS_Wage)/(1+Slot15_Rate))),1)</f>
        <v>1</v>
      </c>
      <c r="MO81" s="20" t="n">
        <f aca="false">IF(AND(HU81=1,IE81&gt;0,Slot15_IsWG=1,FH81=1),MAX(0,(Slot15_Cost-FI81*(1+Slot15_Rate)^(Slot15_Age-D81))/MN81),0)</f>
        <v>0</v>
      </c>
      <c r="MP81" s="20" t="n">
        <f aca="false">IF(AND(HU81=1,IE81&gt;0,Slot15_IsWG=1,FH81=1),MIN(IE81,MO81),0)</f>
        <v>0</v>
      </c>
      <c r="MQ81" s="20" t="n">
        <f aca="false">FI81+MP81</f>
        <v>0</v>
      </c>
      <c r="MR81" s="20" t="n">
        <f aca="false">IF(FH81=1,MAX(0,(Slot15_Cost-MQ81*(1+Slot15_Rate)^(Slot15_Age-D81))/MN81),0)</f>
        <v>0</v>
      </c>
      <c r="MS81" s="20" t="n">
        <f aca="false">IF(FH81=1,MAX(0,(Slot15_Cost-FI81*(1+Slot15_Rate)^(Slot15_Age-D81))/MN81),0)</f>
        <v>0</v>
      </c>
      <c r="MT81" s="20" t="n">
        <f aca="false">IF(AND(HU81=1,FH81=1),MIN(MM81,MR81),0)</f>
        <v>0</v>
      </c>
      <c r="MU81" s="20" t="n">
        <f aca="false">MM81-MT81</f>
        <v>0</v>
      </c>
      <c r="MV81" s="20" t="n">
        <f aca="false">IF(FR81=1,IF(ABS((1+AS_Wage)/(1+Slot16_Rate)-1)&lt;0.000000000001,(Slot16_Age-D81)*(1+Slot16_Rate)^(Slot16_Age-D81),(1+Slot16_Rate)^(Slot16_Age-D81)*(1-((1+AS_Wage)/(1+Slot16_Rate))^(Slot16_Age-D81))/(1-(1+AS_Wage)/(1+Slot16_Rate))),1)</f>
        <v>1</v>
      </c>
      <c r="MW81" s="20" t="n">
        <f aca="false">IF(AND(HU81=1,IE81&gt;0,Slot16_IsWG=1,FR81=1),MAX(0,(Slot16_Cost-FS81*(1+Slot16_Rate)^(Slot16_Age-D81))/MV81),0)</f>
        <v>0</v>
      </c>
      <c r="MX81" s="20" t="n">
        <f aca="false">IF(AND(HU81=1,IE81&gt;0,Slot16_IsWG=1,FR81=1),MIN(IE81,MW81),0)</f>
        <v>0</v>
      </c>
      <c r="MY81" s="20" t="n">
        <f aca="false">FS81+MX81</f>
        <v>0</v>
      </c>
      <c r="MZ81" s="20" t="n">
        <f aca="false">IF(FR81=1,MAX(0,(Slot16_Cost-MY81*(1+Slot16_Rate)^(Slot16_Age-D81))/MV81),0)</f>
        <v>0</v>
      </c>
      <c r="NA81" s="20" t="n">
        <f aca="false">IF(FR81=1,MAX(0,(Slot16_Cost-FS81*(1+Slot16_Rate)^(Slot16_Age-D81))/MV81),0)</f>
        <v>0</v>
      </c>
      <c r="NB81" s="20" t="n">
        <f aca="false">IF(AND(HU81=1,FR81=1),MIN(MU81,MZ81),0)</f>
        <v>0</v>
      </c>
      <c r="NC81" s="20" t="n">
        <f aca="false">MU81-NB81</f>
        <v>0</v>
      </c>
      <c r="ND81" s="20" t="n">
        <f aca="false">IF(GB81=1,IF(ABS((1+AS_Wage)/(1+Slot17_Rate)-1)&lt;0.000000000001,(Slot17_Age-D81)*(1+Slot17_Rate)^(Slot17_Age-D81),(1+Slot17_Rate)^(Slot17_Age-D81)*(1-((1+AS_Wage)/(1+Slot17_Rate))^(Slot17_Age-D81))/(1-(1+AS_Wage)/(1+Slot17_Rate))),1)</f>
        <v>1</v>
      </c>
      <c r="NE81" s="20" t="n">
        <f aca="false">IF(AND(HU81=1,IE81&gt;0,Slot17_IsWG=1,GB81=1),MAX(0,(Slot17_Cost-GC81*(1+Slot17_Rate)^(Slot17_Age-D81))/ND81),0)</f>
        <v>0</v>
      </c>
      <c r="NF81" s="20" t="n">
        <f aca="false">IF(AND(HU81=1,IE81&gt;0,Slot17_IsWG=1,GB81=1),MIN(IE81,NE81),0)</f>
        <v>0</v>
      </c>
      <c r="NG81" s="20" t="n">
        <f aca="false">GC81+NF81</f>
        <v>0</v>
      </c>
      <c r="NH81" s="20" t="n">
        <f aca="false">IF(GB81=1,MAX(0,(Slot17_Cost-NG81*(1+Slot17_Rate)^(Slot17_Age-D81))/ND81),0)</f>
        <v>0</v>
      </c>
      <c r="NI81" s="20" t="n">
        <f aca="false">IF(GB81=1,MAX(0,(Slot17_Cost-GC81*(1+Slot17_Rate)^(Slot17_Age-D81))/ND81),0)</f>
        <v>0</v>
      </c>
      <c r="NJ81" s="20" t="n">
        <f aca="false">IF(AND(HU81=1,GB81=1),MIN(NC81,NH81),0)</f>
        <v>0</v>
      </c>
      <c r="NK81" s="20" t="n">
        <f aca="false">NC81-NJ81</f>
        <v>0</v>
      </c>
      <c r="NL81" s="20" t="n">
        <f aca="false">IF(GL81=1,IF(ABS((1+AS_Wage)/(1+Slot18_Rate)-1)&lt;0.000000000001,(Slot18_Age-D81)*(1+Slot18_Rate)^(Slot18_Age-D81),(1+Slot18_Rate)^(Slot18_Age-D81)*(1-((1+AS_Wage)/(1+Slot18_Rate))^(Slot18_Age-D81))/(1-(1+AS_Wage)/(1+Slot18_Rate))),1)</f>
        <v>1</v>
      </c>
      <c r="NM81" s="20" t="n">
        <f aca="false">IF(AND(HU81=1,IE81&gt;0,Slot18_IsWG=1,GL81=1),MAX(0,(Slot18_Cost-GM81*(1+Slot18_Rate)^(Slot18_Age-D81))/NL81),0)</f>
        <v>0</v>
      </c>
      <c r="NN81" s="20" t="n">
        <f aca="false">IF(AND(HU81=1,IE81&gt;0,Slot18_IsWG=1,GL81=1),MIN(IE81,NM81),0)</f>
        <v>0</v>
      </c>
      <c r="NO81" s="20" t="n">
        <f aca="false">GM81+NN81</f>
        <v>0</v>
      </c>
      <c r="NP81" s="20" t="n">
        <f aca="false">IF(GL81=1,MAX(0,(Slot18_Cost-NO81*(1+Slot18_Rate)^(Slot18_Age-D81))/NL81),0)</f>
        <v>0</v>
      </c>
      <c r="NQ81" s="20" t="n">
        <f aca="false">IF(GL81=1,MAX(0,(Slot18_Cost-GM81*(1+Slot18_Rate)^(Slot18_Age-D81))/NL81),0)</f>
        <v>0</v>
      </c>
      <c r="NR81" s="20" t="n">
        <f aca="false">IF(AND(HU81=1,GL81=1),MIN(NK81,NP81),0)</f>
        <v>0</v>
      </c>
      <c r="NS81" s="20" t="n">
        <f aca="false">NK81-NR81</f>
        <v>0</v>
      </c>
      <c r="NT81" s="20" t="n">
        <f aca="false">IF(GV81=1,IF(ABS((1+AS_Wage)/(1+Slot19_Rate)-1)&lt;0.000000000001,(Slot19_Age-D81)*(1+Slot19_Rate)^(Slot19_Age-D81),(1+Slot19_Rate)^(Slot19_Age-D81)*(1-((1+AS_Wage)/(1+Slot19_Rate))^(Slot19_Age-D81))/(1-(1+AS_Wage)/(1+Slot19_Rate))),1)</f>
        <v>1</v>
      </c>
      <c r="NU81" s="20" t="n">
        <f aca="false">IF(AND(HU81=1,IE81&gt;0,Slot19_IsWG=1,GV81=1),MAX(0,(Slot19_Cost-GW81*(1+Slot19_Rate)^(Slot19_Age-D81))/NT81),0)</f>
        <v>0</v>
      </c>
      <c r="NV81" s="20" t="n">
        <f aca="false">IF(AND(HU81=1,IE81&gt;0,Slot19_IsWG=1,GV81=1),MIN(IE81,NU81),0)</f>
        <v>0</v>
      </c>
      <c r="NW81" s="20" t="n">
        <f aca="false">GW81+NV81</f>
        <v>0</v>
      </c>
      <c r="NX81" s="20" t="n">
        <f aca="false">IF(GV81=1,MAX(0,(Slot19_Cost-NW81*(1+Slot19_Rate)^(Slot19_Age-D81))/NT81),0)</f>
        <v>0</v>
      </c>
      <c r="NY81" s="20" t="n">
        <f aca="false">IF(GV81=1,MAX(0,(Slot19_Cost-GW81*(1+Slot19_Rate)^(Slot19_Age-D81))/NT81),0)</f>
        <v>0</v>
      </c>
      <c r="NZ81" s="20" t="n">
        <f aca="false">IF(AND(HU81=1,GV81=1),MIN(NS81,NX81),0)</f>
        <v>0</v>
      </c>
      <c r="OA81" s="20" t="n">
        <f aca="false">NS81-NZ81</f>
        <v>0</v>
      </c>
      <c r="OB81" s="20" t="n">
        <f aca="false">IF(HF81=1,IF(ABS((1+AS_Wage)/(1+Slot20_Rate)-1)&lt;0.000000000001,(Slot20_Age-D81)*(1+Slot20_Rate)^(Slot20_Age-D81),(1+Slot20_Rate)^(Slot20_Age-D81)*(1-((1+AS_Wage)/(1+Slot20_Rate))^(Slot20_Age-D81))/(1-(1+AS_Wage)/(1+Slot20_Rate))),1)</f>
        <v>1</v>
      </c>
      <c r="OC81" s="20" t="n">
        <f aca="false">IF(AND(HU81=1,IE81&gt;0,Slot20_IsWG=1,HF81=1),MAX(0,(Slot20_Cost-HG81*(1+Slot20_Rate)^(Slot20_Age-D81))/OB81),0)</f>
        <v>0</v>
      </c>
      <c r="OD81" s="20" t="n">
        <f aca="false">IF(AND(HU81=1,IE81&gt;0,Slot20_IsWG=1,HF81=1),MIN(IE81,OC81),0)</f>
        <v>0</v>
      </c>
      <c r="OE81" s="20" t="n">
        <f aca="false">HG81+OD81</f>
        <v>0</v>
      </c>
      <c r="OF81" s="20" t="n">
        <f aca="false">IF(HF81=1,MAX(0,(Slot20_Cost-OE81*(1+Slot20_Rate)^(Slot20_Age-D81))/OB81),0)</f>
        <v>0</v>
      </c>
      <c r="OG81" s="20" t="n">
        <f aca="false">IF(HF81=1,MAX(0,(Slot20_Cost-HG81*(1+Slot20_Rate)^(Slot20_Age-D81))/OB81),0)</f>
        <v>0</v>
      </c>
      <c r="OH81" s="20" t="n">
        <f aca="false">IF(AND(HU81=1,HF81=1),MIN(OA81,OF81),0)</f>
        <v>0</v>
      </c>
      <c r="OI81" s="20" t="n">
        <f aca="false">OA81-OH81</f>
        <v>0</v>
      </c>
      <c r="OJ81" s="20" t="n">
        <f aca="false">IE81-(IH81+IP81+IX81+JF81+JN81+JV81+KD81+KL81+KT81+LB81+LJ81+LR81+LZ81+MH81+MP81+MX81+NF81+NN81+NV81+OD81)</f>
        <v>0</v>
      </c>
      <c r="OK81" s="20" t="n">
        <f aca="false">IF(HU81=1,HS81-ID81-IE81,0)</f>
        <v>0</v>
      </c>
      <c r="OL81" s="20" t="n">
        <f aca="false">IF(HU81=0,-HS81,0)</f>
        <v>81769.8637807298</v>
      </c>
      <c r="OM81" s="20" t="n">
        <f aca="false">MIN(OL81,HK81)</f>
        <v>0</v>
      </c>
      <c r="ON81" s="20" t="n">
        <f aca="false">OL81-OM81</f>
        <v>81769.8637807298</v>
      </c>
      <c r="OO81" s="20" t="n">
        <f aca="false">MIN(ON81,HL81)</f>
        <v>0</v>
      </c>
      <c r="OP81" s="20" t="n">
        <f aca="false">ON81-OO81</f>
        <v>81769.8637807298</v>
      </c>
      <c r="OQ81" s="20" t="n">
        <f aca="false">IF(AND(HU81=0,HF81=1,OP81&gt;0),MIN(OP81,HG81),0)</f>
        <v>0</v>
      </c>
      <c r="OR81" s="20" t="n">
        <f aca="false">OP81-OQ81</f>
        <v>81769.8637807298</v>
      </c>
      <c r="OS81" s="20" t="n">
        <f aca="false">IF(AND(HU81=0,GV81=1,OR81&gt;0),MIN(OR81,GW81),0)</f>
        <v>0</v>
      </c>
      <c r="OT81" s="20" t="n">
        <f aca="false">OR81-OS81</f>
        <v>81769.8637807298</v>
      </c>
      <c r="OU81" s="20" t="n">
        <f aca="false">IF(AND(HU81=0,GL81=1,OT81&gt;0),MIN(OT81,GM81),0)</f>
        <v>0</v>
      </c>
      <c r="OV81" s="20" t="n">
        <f aca="false">OT81-OU81</f>
        <v>81769.8637807298</v>
      </c>
      <c r="OW81" s="20" t="n">
        <f aca="false">IF(AND(HU81=0,GB81=1,OV81&gt;0),MIN(OV81,GC81),0)</f>
        <v>0</v>
      </c>
      <c r="OX81" s="20" t="n">
        <f aca="false">OV81-OW81</f>
        <v>81769.8637807298</v>
      </c>
      <c r="OY81" s="20" t="n">
        <f aca="false">IF(AND(HU81=0,FR81=1,OX81&gt;0),MIN(OX81,FS81),0)</f>
        <v>0</v>
      </c>
      <c r="OZ81" s="20" t="n">
        <f aca="false">OX81-OY81</f>
        <v>81769.8637807298</v>
      </c>
      <c r="PA81" s="20" t="n">
        <f aca="false">IF(AND(HU81=0,FH81=1,OZ81&gt;0),MIN(OZ81,FI81),0)</f>
        <v>0</v>
      </c>
      <c r="PB81" s="20" t="n">
        <f aca="false">OZ81-PA81</f>
        <v>81769.8637807298</v>
      </c>
      <c r="PC81" s="20" t="n">
        <f aca="false">IF(AND(HU81=0,EX81=1,PB81&gt;0),MIN(PB81,EY81),0)</f>
        <v>0</v>
      </c>
      <c r="PD81" s="20" t="n">
        <f aca="false">PB81-PC81</f>
        <v>81769.8637807298</v>
      </c>
      <c r="PE81" s="20" t="n">
        <f aca="false">IF(AND(HU81=0,EN81=1,PD81&gt;0),MIN(PD81,EO81),0)</f>
        <v>0</v>
      </c>
      <c r="PF81" s="20" t="n">
        <f aca="false">PD81-PE81</f>
        <v>81769.8637807298</v>
      </c>
      <c r="PG81" s="20" t="n">
        <f aca="false">IF(AND(HU81=0,ED81=1,PF81&gt;0),MIN(PF81,EE81),0)</f>
        <v>0</v>
      </c>
      <c r="PH81" s="20" t="n">
        <f aca="false">PF81-PG81</f>
        <v>81769.8637807298</v>
      </c>
      <c r="PI81" s="20" t="n">
        <f aca="false">IF(AND(HU81=0,DT81=1,PH81&gt;0),MIN(PH81,DU81),0)</f>
        <v>0</v>
      </c>
      <c r="PJ81" s="20" t="n">
        <f aca="false">PH81-PI81</f>
        <v>81769.8637807298</v>
      </c>
      <c r="PK81" s="20" t="n">
        <f aca="false">IF(AND(HU81=0,DJ81=1,PJ81&gt;0),MIN(PJ81,DK81),0)</f>
        <v>0</v>
      </c>
      <c r="PL81" s="20" t="n">
        <f aca="false">PJ81-PK81</f>
        <v>81769.8637807298</v>
      </c>
      <c r="PM81" s="20" t="n">
        <f aca="false">IF(AND(HU81=0,CZ81=1,PL81&gt;0),MIN(PL81,DA81),0)</f>
        <v>0</v>
      </c>
      <c r="PN81" s="20" t="n">
        <f aca="false">PL81-PM81</f>
        <v>81769.8637807298</v>
      </c>
      <c r="PO81" s="20" t="n">
        <f aca="false">IF(AND(HU81=0,CP81=1,PN81&gt;0),MIN(PN81,CQ81),0)</f>
        <v>0</v>
      </c>
      <c r="PP81" s="20" t="n">
        <f aca="false">PN81-PO81</f>
        <v>81769.8637807298</v>
      </c>
      <c r="PQ81" s="20" t="n">
        <f aca="false">IF(AND(HU81=0,CF81=1,PP81&gt;0),MIN(PP81,CG81),0)</f>
        <v>0</v>
      </c>
      <c r="PR81" s="20" t="n">
        <f aca="false">PP81-PQ81</f>
        <v>81769.8637807298</v>
      </c>
      <c r="PS81" s="20" t="n">
        <f aca="false">IF(AND(HU81=0,BV81=1,PR81&gt;0),MIN(PR81,BW81),0)</f>
        <v>0</v>
      </c>
      <c r="PT81" s="20" t="n">
        <f aca="false">PR81-PS81</f>
        <v>81769.8637807298</v>
      </c>
      <c r="PU81" s="20" t="n">
        <f aca="false">IF(AND(HU81=0,BL81=1,PT81&gt;0),MIN(PT81,BM81),0)</f>
        <v>0</v>
      </c>
      <c r="PV81" s="20" t="n">
        <f aca="false">PT81-PU81</f>
        <v>81769.8637807298</v>
      </c>
      <c r="PW81" s="20" t="n">
        <f aca="false">IF(AND(HU81=0,BB81=1,PV81&gt;0),MIN(PV81,BC81),0)</f>
        <v>0</v>
      </c>
      <c r="PX81" s="20" t="n">
        <f aca="false">PV81-PW81</f>
        <v>81769.8637807298</v>
      </c>
      <c r="PY81" s="20" t="n">
        <f aca="false">IF(AND(HU81=0,AR81=1,PX81&gt;0),MIN(PX81,AS81),0)</f>
        <v>0</v>
      </c>
      <c r="PZ81" s="20" t="n">
        <f aca="false">PX81-PY81</f>
        <v>81769.8637807298</v>
      </c>
      <c r="QA81" s="20" t="n">
        <f aca="false">IF(AND(HU81=0,AH81=1,PZ81&gt;0),MIN(PZ81,AI81),0)</f>
        <v>0</v>
      </c>
      <c r="QB81" s="20" t="n">
        <f aca="false">PZ81-QA81</f>
        <v>81769.8637807298</v>
      </c>
      <c r="QC81" s="20" t="n">
        <f aca="false">IF(AND(HU81=0,W81=1,QB81&gt;0),MIN(QB81,X81),0)</f>
        <v>0</v>
      </c>
      <c r="QD81" s="20" t="n">
        <f aca="false">QB81-QC81</f>
        <v>81769.8637807298</v>
      </c>
      <c r="QE81" s="20" t="n">
        <f aca="false">IF(HU81=0,QD81,0)</f>
        <v>81769.8637807298</v>
      </c>
      <c r="QF81" s="20" t="n">
        <f aca="false">OM81+OO81+QC81+QA81+PY81+PW81+PU81+PS81+PQ81+PO81+PM81+PK81+PI81+PG81+PE81+PC81+PA81+OY81+OW81+OU81+OS81+OQ81</f>
        <v>0</v>
      </c>
      <c r="QG81" s="20" t="n">
        <f aca="false">IF(HU81=1,HK81+OJ81+OI81+IF(G81=1,0,OK81),HK81-OM81)</f>
        <v>0</v>
      </c>
      <c r="QH81" s="20" t="n">
        <f aca="false">HL81-OO81</f>
        <v>0</v>
      </c>
      <c r="QI81" s="20" t="n">
        <f aca="false">IF(HU81=1,IF(G81=1,ID81+IE81,HS81),0)</f>
        <v>0</v>
      </c>
      <c r="QJ81" s="20" t="n">
        <f aca="false">IF(HU81=1,IF(G81=1,HS81-ID81-IE81,0),0)</f>
        <v>0</v>
      </c>
      <c r="QK81" s="20" t="n">
        <f aca="false">QG81*(1+GR)</f>
        <v>0</v>
      </c>
      <c r="QL81" s="20" t="n">
        <f aca="false">QH81*(1+AS_Cash)</f>
        <v>0</v>
      </c>
      <c r="QM81" s="20" t="n">
        <f aca="false">IF(W81=1,IF(HU81=1,II81+IL81,X81-QC81)*(1+Slot1_Rate),0)</f>
        <v>0</v>
      </c>
      <c r="QN81" s="20" t="n">
        <f aca="false">IF(AND(HU81=1,W81=1),(IH81+IL81)/F81,0)</f>
        <v>0</v>
      </c>
      <c r="QO81" s="20" t="n">
        <f aca="false">IF(B81=0,IH81+IL81,0)</f>
        <v>0</v>
      </c>
      <c r="QP81" s="20" t="n">
        <f aca="false">IF(B81=0,IF(HU81=1,IJ81,IK81),0)</f>
        <v>0</v>
      </c>
      <c r="QQ81" s="20" t="n">
        <f aca="false">IF(AH81=1,IF(HU81=1,IQ81+IT81,AI81-QA81)*(1+Slot2_Rate),0)</f>
        <v>0</v>
      </c>
      <c r="QR81" s="20" t="n">
        <f aca="false">IF(AND(HU81=1,AH81=1),(IP81+IT81)/F81,0)</f>
        <v>0</v>
      </c>
      <c r="QS81" s="20" t="n">
        <f aca="false">IF(B81=0,IP81+IT81,0)</f>
        <v>0</v>
      </c>
      <c r="QT81" s="20" t="n">
        <f aca="false">IF(B81=0,IF(HU81=1,IR81,IS81),0)</f>
        <v>0</v>
      </c>
      <c r="QU81" s="20" t="n">
        <f aca="false">IF(AR81=1,IF(HU81=1,IY81+JB81,AS81-PY81)*(1+Slot3_Rate),0)</f>
        <v>0</v>
      </c>
      <c r="QV81" s="20" t="n">
        <f aca="false">IF(AND(HU81=1,AR81=1),(IX81+JB81)/F81,0)</f>
        <v>0</v>
      </c>
      <c r="QW81" s="20" t="n">
        <f aca="false">IF(B81=0,IX81+JB81,0)</f>
        <v>0</v>
      </c>
      <c r="QX81" s="20" t="n">
        <f aca="false">IF(B81=0,IF(HU81=1,IZ81,JA81),0)</f>
        <v>0</v>
      </c>
      <c r="QY81" s="20" t="n">
        <f aca="false">IF(BB81=1,IF(HU81=1,JG81+JJ81,BC81-PW81)*(1+Slot4_Rate),0)</f>
        <v>0</v>
      </c>
      <c r="QZ81" s="20" t="n">
        <f aca="false">IF(AND(HU81=1,BB81=1),(JF81+JJ81)/F81,0)</f>
        <v>0</v>
      </c>
      <c r="RA81" s="20" t="n">
        <f aca="false">IF(B81=0,JF81+JJ81,0)</f>
        <v>0</v>
      </c>
      <c r="RB81" s="20" t="n">
        <f aca="false">IF(B81=0,IF(HU81=1,JH81,JI81),0)</f>
        <v>0</v>
      </c>
      <c r="RC81" s="20" t="n">
        <f aca="false">IF(BL81=1,IF(HU81=1,JO81+JR81,BM81-PU81)*(1+Slot5_Rate),0)</f>
        <v>0</v>
      </c>
      <c r="RD81" s="20" t="n">
        <f aca="false">IF(AND(HU81=1,BL81=1),(JN81+JR81)/F81,0)</f>
        <v>0</v>
      </c>
      <c r="RE81" s="20" t="n">
        <f aca="false">IF(B81=0,JN81+JR81,0)</f>
        <v>0</v>
      </c>
      <c r="RF81" s="20" t="n">
        <f aca="false">IF(B81=0,IF(HU81=1,JP81,JQ81),0)</f>
        <v>0</v>
      </c>
      <c r="RG81" s="20" t="n">
        <f aca="false">IF(BV81=1,IF(HU81=1,JW81+JZ81,BW81-PS81)*(1+Slot6_Rate),0)</f>
        <v>0</v>
      </c>
      <c r="RH81" s="20" t="n">
        <f aca="false">IF(AND(HU81=1,BV81=1),(JV81+JZ81)/F81,0)</f>
        <v>0</v>
      </c>
      <c r="RI81" s="20" t="n">
        <f aca="false">IF(B81=0,JV81+JZ81,0)</f>
        <v>0</v>
      </c>
      <c r="RJ81" s="20" t="n">
        <f aca="false">IF(B81=0,IF(HU81=1,JX81,JY81),0)</f>
        <v>0</v>
      </c>
      <c r="RK81" s="20" t="n">
        <f aca="false">IF(CF81=1,IF(HU81=1,KE81+KH81,CG81-PQ81)*(1+Slot7_Rate),0)</f>
        <v>0</v>
      </c>
      <c r="RL81" s="20" t="n">
        <f aca="false">IF(AND(HU81=1,CF81=1),(KD81+KH81)/F81,0)</f>
        <v>0</v>
      </c>
      <c r="RM81" s="20" t="n">
        <f aca="false">IF(B81=0,KD81+KH81,0)</f>
        <v>0</v>
      </c>
      <c r="RN81" s="20" t="n">
        <f aca="false">IF(B81=0,IF(HU81=1,KF81,KG81),0)</f>
        <v>0</v>
      </c>
      <c r="RO81" s="20" t="n">
        <f aca="false">IF(CP81=1,IF(HU81=1,KM81+KP81,CQ81-PO81)*(1+Slot8_Rate),0)</f>
        <v>0</v>
      </c>
      <c r="RP81" s="20" t="n">
        <f aca="false">IF(AND(HU81=1,CP81=1),(KL81+KP81)/F81,0)</f>
        <v>0</v>
      </c>
      <c r="RQ81" s="20" t="n">
        <f aca="false">IF(B81=0,KL81+KP81,0)</f>
        <v>0</v>
      </c>
      <c r="RR81" s="20" t="n">
        <f aca="false">IF(B81=0,IF(HU81=1,KN81,KO81),0)</f>
        <v>0</v>
      </c>
      <c r="RS81" s="20" t="n">
        <f aca="false">IF(CZ81=1,IF(HU81=1,KU81+KX81,DA81-PM81)*(1+Slot9_Rate),0)</f>
        <v>0</v>
      </c>
      <c r="RT81" s="20" t="n">
        <f aca="false">IF(AND(HU81=1,CZ81=1),(KT81+KX81)/F81,0)</f>
        <v>0</v>
      </c>
      <c r="RU81" s="20" t="n">
        <f aca="false">IF(B81=0,KT81+KX81,0)</f>
        <v>0</v>
      </c>
      <c r="RV81" s="20" t="n">
        <f aca="false">IF(B81=0,IF(HU81=1,KV81,KW81),0)</f>
        <v>0</v>
      </c>
      <c r="RW81" s="20" t="n">
        <f aca="false">IF(DJ81=1,IF(HU81=1,LC81+LF81,DK81-PK81)*(1+Slot10_Rate),0)</f>
        <v>0</v>
      </c>
      <c r="RX81" s="20" t="n">
        <f aca="false">IF(AND(HU81=1,DJ81=1),(LB81+LF81)/F81,0)</f>
        <v>0</v>
      </c>
      <c r="RY81" s="20" t="n">
        <f aca="false">IF(B81=0,LB81+LF81,0)</f>
        <v>0</v>
      </c>
      <c r="RZ81" s="20" t="n">
        <f aca="false">IF(B81=0,IF(HU81=1,LD81,LE81),0)</f>
        <v>0</v>
      </c>
      <c r="SA81" s="20" t="n">
        <f aca="false">IF(DT81=1,IF(HU81=1,LK81+LN81,DU81-PI81)*(1+Slot11_Rate),0)</f>
        <v>0</v>
      </c>
      <c r="SB81" s="20" t="n">
        <f aca="false">IF(AND(HU81=1,DT81=1),(LJ81+LN81)/F81,0)</f>
        <v>0</v>
      </c>
      <c r="SC81" s="20" t="n">
        <f aca="false">IF(B81=0,LJ81+LN81,0)</f>
        <v>0</v>
      </c>
      <c r="SD81" s="20" t="n">
        <f aca="false">IF(B81=0,IF(HU81=1,LL81,LM81),0)</f>
        <v>0</v>
      </c>
      <c r="SE81" s="20" t="n">
        <f aca="false">IF(ED81=1,IF(HU81=1,LS81+LV81,EE81-PG81)*(1+Slot12_Rate),0)</f>
        <v>0</v>
      </c>
      <c r="SF81" s="20" t="n">
        <f aca="false">IF(AND(HU81=1,ED81=1),(LR81+LV81)/F81,0)</f>
        <v>0</v>
      </c>
      <c r="SG81" s="20" t="n">
        <f aca="false">IF(B81=0,LR81+LV81,0)</f>
        <v>0</v>
      </c>
      <c r="SH81" s="20" t="n">
        <f aca="false">IF(B81=0,IF(HU81=1,LT81,LU81),0)</f>
        <v>0</v>
      </c>
      <c r="SI81" s="20" t="n">
        <f aca="false">IF(EN81=1,IF(HU81=1,MA81+MD81,EO81-PE81)*(1+Slot13_Rate),0)</f>
        <v>0</v>
      </c>
      <c r="SJ81" s="20" t="n">
        <f aca="false">IF(AND(HU81=1,EN81=1),(LZ81+MD81)/F81,0)</f>
        <v>0</v>
      </c>
      <c r="SK81" s="20" t="n">
        <f aca="false">IF(B81=0,LZ81+MD81,0)</f>
        <v>0</v>
      </c>
      <c r="SL81" s="20" t="n">
        <f aca="false">IF(B81=0,IF(HU81=1,MB81,MC81),0)</f>
        <v>0</v>
      </c>
      <c r="SM81" s="20" t="n">
        <f aca="false">IF(EX81=1,IF(HU81=1,MI81+ML81,EY81-PC81)*(1+Slot14_Rate),0)</f>
        <v>0</v>
      </c>
      <c r="SN81" s="20" t="n">
        <f aca="false">IF(AND(HU81=1,EX81=1),(MH81+ML81)/F81,0)</f>
        <v>0</v>
      </c>
      <c r="SO81" s="20" t="n">
        <f aca="false">IF(B81=0,MH81+ML81,0)</f>
        <v>0</v>
      </c>
      <c r="SP81" s="20" t="n">
        <f aca="false">IF(B81=0,IF(HU81=1,MJ81,MK81),0)</f>
        <v>0</v>
      </c>
      <c r="SQ81" s="20" t="n">
        <f aca="false">IF(FH81=1,IF(HU81=1,MQ81+MT81,FI81-PA81)*(1+Slot15_Rate),0)</f>
        <v>0</v>
      </c>
      <c r="SR81" s="20" t="n">
        <f aca="false">IF(AND(HU81=1,FH81=1),(MP81+MT81)/F81,0)</f>
        <v>0</v>
      </c>
      <c r="SS81" s="20" t="n">
        <f aca="false">IF(B81=0,MP81+MT81,0)</f>
        <v>0</v>
      </c>
      <c r="ST81" s="20" t="n">
        <f aca="false">IF(B81=0,IF(HU81=1,MR81,MS81),0)</f>
        <v>0</v>
      </c>
      <c r="SU81" s="20" t="n">
        <f aca="false">IF(FR81=1,IF(HU81=1,MY81+NB81,FS81-OY81)*(1+Slot16_Rate),0)</f>
        <v>0</v>
      </c>
      <c r="SV81" s="20" t="n">
        <f aca="false">IF(AND(HU81=1,FR81=1),(MX81+NB81)/F81,0)</f>
        <v>0</v>
      </c>
      <c r="SW81" s="20" t="n">
        <f aca="false">IF(B81=0,MX81+NB81,0)</f>
        <v>0</v>
      </c>
      <c r="SX81" s="20" t="n">
        <f aca="false">IF(B81=0,IF(HU81=1,MZ81,NA81),0)</f>
        <v>0</v>
      </c>
      <c r="SY81" s="20" t="n">
        <f aca="false">IF(GB81=1,IF(HU81=1,NG81+NJ81,GC81-OW81)*(1+Slot17_Rate),0)</f>
        <v>0</v>
      </c>
      <c r="SZ81" s="20" t="n">
        <f aca="false">IF(AND(HU81=1,GB81=1),(NF81+NJ81)/F81,0)</f>
        <v>0</v>
      </c>
      <c r="TA81" s="20" t="n">
        <f aca="false">IF(B81=0,NF81+NJ81,0)</f>
        <v>0</v>
      </c>
      <c r="TB81" s="20" t="n">
        <f aca="false">IF(B81=0,IF(HU81=1,NH81,NI81),0)</f>
        <v>0</v>
      </c>
      <c r="TC81" s="20" t="n">
        <f aca="false">IF(GL81=1,IF(HU81=1,NO81+NR81,GM81-OU81)*(1+Slot18_Rate),0)</f>
        <v>0</v>
      </c>
      <c r="TD81" s="20" t="n">
        <f aca="false">IF(AND(HU81=1,GL81=1),(NN81+NR81)/F81,0)</f>
        <v>0</v>
      </c>
      <c r="TE81" s="20" t="n">
        <f aca="false">IF(B81=0,NN81+NR81,0)</f>
        <v>0</v>
      </c>
      <c r="TF81" s="20" t="n">
        <f aca="false">IF(B81=0,IF(HU81=1,NP81,NQ81),0)</f>
        <v>0</v>
      </c>
      <c r="TG81" s="20" t="n">
        <f aca="false">IF(GV81=1,IF(HU81=1,NW81+NZ81,GW81-OS81)*(1+Slot19_Rate),0)</f>
        <v>0</v>
      </c>
      <c r="TH81" s="20" t="n">
        <f aca="false">IF(AND(HU81=1,GV81=1),(NV81+NZ81)/F81,0)</f>
        <v>0</v>
      </c>
      <c r="TI81" s="20" t="n">
        <f aca="false">IF(B81=0,NV81+NZ81,0)</f>
        <v>0</v>
      </c>
      <c r="TJ81" s="20" t="n">
        <f aca="false">IF(B81=0,IF(HU81=1,NX81,NY81),0)</f>
        <v>0</v>
      </c>
      <c r="TK81" s="20" t="n">
        <f aca="false">IF(HF81=1,IF(HU81=1,OE81+OH81,HG81-OQ81)*(1+Slot20_Rate),0)</f>
        <v>0</v>
      </c>
      <c r="TL81" s="20" t="n">
        <f aca="false">IF(AND(HU81=1,HF81=1),(OD81+OH81)/F81,0)</f>
        <v>0</v>
      </c>
      <c r="TM81" s="20" t="n">
        <f aca="false">IF(B81=0,OD81+OH81,0)</f>
        <v>0</v>
      </c>
      <c r="TN81" s="20" t="n">
        <f aca="false">IF(B81=0,IF(HU81=1,OF81,OG81),0)</f>
        <v>0</v>
      </c>
      <c r="TO81" s="20" t="n">
        <f aca="false">QK81+QL81+QM81+QQ81+QU81+QY81+RC81+RG81+RK81+RO81+RS81+RW81+SA81+SE81+SI81+SM81+SQ81+SU81+SY81+TC81+TG81+TK81</f>
        <v>0</v>
      </c>
      <c r="TP81" s="20" t="n">
        <f aca="false">QE81+HP81</f>
        <v>81769.8637807298</v>
      </c>
      <c r="TQ81" s="20" t="n">
        <f aca="false">I81+S81</f>
        <v>202880.560126012</v>
      </c>
      <c r="TR81" s="20" t="n">
        <f aca="false">1-G81</f>
        <v>1</v>
      </c>
      <c r="TS81" s="20" t="n">
        <f aca="false">IF(AND(RG_Exists=1,G81=0,C81=1),I81,0)</f>
        <v>0</v>
      </c>
      <c r="TT81" s="20" t="n">
        <f aca="false">IF(AND(RG_Exists=1,G81=0,C81=1),I81-MIN(QE81,I81),0)</f>
        <v>0</v>
      </c>
      <c r="TU81" s="20" t="n">
        <f aca="false">'Plan pay &amp; tax'!AD307</f>
        <v>0</v>
      </c>
      <c r="TV81" s="20" t="n">
        <f aca="false">IF(AND(C81=1,QE81&gt;MAX(PR_Short1,TQ81*PR_Short2)),1,0)</f>
        <v>0</v>
      </c>
      <c r="TW81" s="20" t="n">
        <f aca="false">MIN(H81,I81+S81)</f>
        <v>121110.696345282</v>
      </c>
      <c r="TX81" s="20" t="n">
        <f aca="false">QF81+MAX(0,HQ81-HP81)</f>
        <v>0</v>
      </c>
      <c r="TY81" s="20" t="n">
        <f aca="false">QE81+HP81</f>
        <v>81769.8637807298</v>
      </c>
      <c r="TZ81" s="20" t="n">
        <f aca="false">IF(AND(C81=1,TY81&gt;PR_MinShort),1,0)</f>
        <v>0</v>
      </c>
      <c r="UA81" s="20" t="n">
        <f aca="false">IF(AND(C81=1,TZ81=0,TX81&gt;PR_MinShort),1,0)</f>
        <v>0</v>
      </c>
      <c r="UB81" s="20" t="n">
        <f aca="false">IF(AND(C81=1,QE81&gt;PR_MinShort),1,0)</f>
        <v>0</v>
      </c>
      <c r="UC81" s="20" t="n">
        <f aca="false">IF(AND(C81=1,QF81&gt;1,UJ81=0),1,0)</f>
        <v>0</v>
      </c>
      <c r="UD81" s="20" t="str">
        <f aca="false">IF(C81=0,"",IF(UJ81=1,"Gap to plan for: short "&amp;"€"&amp;TEXT(ROUND(TP81,0),"#,##0"),IF(QF81&gt;1,"Using savings","Comfortable")))</f>
        <v/>
      </c>
      <c r="UE81" s="20" t="n">
        <f aca="false">IF(AND(INT(D81/10)*10=90,B81&gt;0),80,INT(D81/10)*10)</f>
        <v>110</v>
      </c>
      <c r="UF81" s="20" t="n">
        <f aca="false">IF(B81=0,1,IF(UE81&lt;&gt;UE80,UF80+1,UF80))</f>
        <v>8</v>
      </c>
      <c r="UG81" s="20" t="n">
        <f aca="false">IF(AND(C81=1,G81=1,QE81&gt;MAX(PR_Short1,TQ81*PR_Short2)),1,0)</f>
        <v>0</v>
      </c>
      <c r="UH81" s="20" t="n">
        <f aca="false">TR81*TV81</f>
        <v>0</v>
      </c>
      <c r="UI81" s="20" t="n">
        <f aca="false">IF(AND(V81=1,Slot1_PctLow=1),1,0)+IF(AND(AG81=1,Slot2_PctLow=1),1,0)+IF(AND(AQ81=1,Slot3_PctLow=1),1,0)+IF(AND(BA81=1,Slot4_PctLow=1),1,0)+IF(AND(BK81=1,Slot5_PctLow=1),1,0)+IF(AND(BU81=1,Slot6_PctLow=1),1,0)+IF(AND(CE81=1,Slot7_PctLow=1),1,0)+IF(AND(CO81=1,Slot8_PctLow=1),1,0)+IF(AND(CY81=1,Slot9_PctLow=1),1,0)+IF(AND(DI81=1,Slot10_PctLow=1),1,0)+IF(AND(DS81=1,Slot11_PctLow=1),1,0)+IF(AND(EC81=1,Slot12_PctLow=1),1,0)+IF(AND(EM81=1,Slot13_PctLow=1),1,0)+IF(AND(EW81=1,Slot14_PctLow=1),1,0)+IF(AND(FG81=1,Slot15_PctLow=1),1,0)+IF(AND(FQ81=1,Slot16_PctLow=1),1,0)+IF(AND(GA81=1,Slot17_PctLow=1),1,0)+IF(AND(GK81=1,Slot18_PctLow=1),1,0)+IF(AND(GU81=1,Slot19_PctLow=1),1,0)+IF(AND(HE81=1,Slot20_PctLow=1),1,0)</f>
        <v>0</v>
      </c>
      <c r="UJ81" s="20" t="n">
        <f aca="false">IF(C81=1,IF(OR(TV81=1,UI81&gt;0),1,0),0)</f>
        <v>0</v>
      </c>
    </row>
    <row r="82" customFormat="false" ht="15" hidden="false" customHeight="true" outlineLevel="0" collapsed="false">
      <c r="B82" s="20" t="n">
        <v>74</v>
      </c>
      <c r="C82" s="20" t="n">
        <f aca="false">IF(B82&lt;=F_N,1,0)</f>
        <v>0</v>
      </c>
      <c r="D82" s="20" t="n">
        <f aca="false">'Plan pay &amp; tax'!C308</f>
        <v>112</v>
      </c>
      <c r="E82" s="20" t="str">
        <f aca="false">IF($C82=1,"Income tax "&amp;TEXT(N('Plan pay &amp; tax'!BK308),"#,##0")&amp;"; USC "&amp;TEXT(N('Plan pay &amp; tax'!BM308)+N('Plan pay &amp; tax'!BO308),"#,##0")&amp;"; PRSI "&amp;TEXT(N('Plan pay &amp; tax'!BP308)+N('Plan pay &amp; tax'!BQ308),"#,##0")&amp;". DIRT and exit tax are inside the growth rates here.","")</f>
        <v/>
      </c>
      <c r="F82" s="44" t="n">
        <f aca="false">'Plan pay &amp; tax'!E308</f>
        <v>4.3292504462036</v>
      </c>
      <c r="G82" s="20" t="n">
        <f aca="false">'Plan pay &amp; tax'!G308</f>
        <v>0</v>
      </c>
      <c r="H82" s="20" t="n">
        <f aca="false">'Plan pay &amp; tax'!BT308-'Plan pay &amp; tax'!BS308-'Plan pay &amp; tax'!R308</f>
        <v>123532.910272188</v>
      </c>
      <c r="I82" s="20" t="n">
        <f aca="false">IF(G82=1,F_CostsM*12,IF(RG_Exists=1,RG_Amount,F_CostsM*12*AS_RetireSpend))*F82+F_OneOffY*F82</f>
        <v>206938.171328532</v>
      </c>
      <c r="J82" s="20" t="n">
        <f aca="false">HR81</f>
        <v>0</v>
      </c>
      <c r="K82" s="20" t="n">
        <f aca="false">IF(J82&gt;1,'Plan debt months'!AC82,0)</f>
        <v>0</v>
      </c>
      <c r="L82" s="20" t="n">
        <f aca="false">IF(J82&gt;1,'Plan debt months'!AB82,J82)</f>
        <v>0</v>
      </c>
      <c r="M82" s="20" t="n">
        <f aca="false">O81</f>
        <v>0</v>
      </c>
      <c r="N82" s="20" t="n">
        <f aca="false">IF(M82&gt;1,'Plan debt months'!BD82,0)</f>
        <v>0</v>
      </c>
      <c r="O82" s="20" t="n">
        <f aca="false">IF(M82&gt;1,'Plan debt months'!BC82,M82)</f>
        <v>0</v>
      </c>
      <c r="P82" s="20" t="n">
        <f aca="false">R81</f>
        <v>0</v>
      </c>
      <c r="Q82" s="20" t="n">
        <f aca="false">IF(P82&gt;1,'Plan debt months'!CE82,0)</f>
        <v>0</v>
      </c>
      <c r="R82" s="20" t="n">
        <f aca="false">IF(P82&gt;1,'Plan debt months'!CD82,P82)</f>
        <v>0</v>
      </c>
      <c r="S82" s="20" t="n">
        <f aca="false">K82+N82+Q82</f>
        <v>0</v>
      </c>
      <c r="T82" s="20" t="n">
        <f aca="false">QK81+'Plan pay &amp; tax'!Y308</f>
        <v>0</v>
      </c>
      <c r="U82" s="20" t="n">
        <f aca="false">QK81</f>
        <v>0</v>
      </c>
      <c r="V82" s="20" t="n">
        <f aca="false">IF(AND(Slot1_On=1,D82=Slot1_Age),1,0)</f>
        <v>0</v>
      </c>
      <c r="W82" s="20" t="n">
        <f aca="false">IF(AND(Slot1_On=1,Slot1_Age&gt;D82),1,0)</f>
        <v>0</v>
      </c>
      <c r="X82" s="20" t="n">
        <f aca="false">QM81</f>
        <v>0</v>
      </c>
      <c r="Y82" s="20" t="n">
        <f aca="false">V82*MIN(Slot1_Cost,X82)</f>
        <v>0</v>
      </c>
      <c r="Z82" s="20" t="n">
        <f aca="false">V82*Slot1_SpendLike*MIN(Slot1_Cost-Y82,T82)</f>
        <v>0</v>
      </c>
      <c r="AA82" s="20" t="n">
        <f aca="false">Y82+Z82</f>
        <v>0</v>
      </c>
      <c r="AB82" s="20" t="n">
        <f aca="false">T82-Z82+V82*IF(Slot1_SpendLike=1,X82-Y82,IF(Slot1_PotFree=1,X82,0))</f>
        <v>0</v>
      </c>
      <c r="AC82" s="20" t="n">
        <f aca="false">AF82+V82*Slot1_BufPot*X82</f>
        <v>0</v>
      </c>
      <c r="AD82" s="20" t="n">
        <f aca="false">IF(AND(V82=1,Slot1_IsMfree=1),IF(AA82&gt;=Slot1_Cost-1,0,MAX(0,L82-AA82)),L82)</f>
        <v>0</v>
      </c>
      <c r="AE82" s="20" t="n">
        <f aca="false">V82*(Slot1_Cost-AA82)</f>
        <v>0</v>
      </c>
      <c r="AF82" s="20" t="n">
        <f aca="false">QL81</f>
        <v>0</v>
      </c>
      <c r="AG82" s="20" t="n">
        <f aca="false">IF(AND(Slot2_On=1,D82=Slot2_Age),1,0)</f>
        <v>0</v>
      </c>
      <c r="AH82" s="20" t="n">
        <f aca="false">IF(AND(Slot2_On=1,Slot2_Age&gt;D82),1,0)</f>
        <v>0</v>
      </c>
      <c r="AI82" s="20" t="n">
        <f aca="false">QQ81</f>
        <v>0</v>
      </c>
      <c r="AJ82" s="20" t="n">
        <f aca="false">AG82*MIN(Slot2_Cost,AI82)</f>
        <v>0</v>
      </c>
      <c r="AK82" s="20" t="n">
        <f aca="false">AG82*Slot2_SpendLike*MIN(Slot2_Cost-AJ82,AB82)</f>
        <v>0</v>
      </c>
      <c r="AL82" s="20" t="n">
        <f aca="false">AJ82+AK82</f>
        <v>0</v>
      </c>
      <c r="AM82" s="20" t="n">
        <f aca="false">AB82-AK82+AG82*IF(Slot2_SpendLike=1,AI82-AJ82,IF(Slot2_PotFree=1,AI82,0))</f>
        <v>0</v>
      </c>
      <c r="AN82" s="20" t="n">
        <f aca="false">AC82+AG82*Slot2_BufPot*AI82</f>
        <v>0</v>
      </c>
      <c r="AO82" s="20" t="n">
        <f aca="false">IF(AND(AG82=1,Slot2_IsMfree=1),IF(AL82&gt;=Slot2_Cost-1,0,MAX(0,AD82-AL82)),AD82)</f>
        <v>0</v>
      </c>
      <c r="AP82" s="20" t="n">
        <f aca="false">AG82*(Slot2_Cost-AL82)</f>
        <v>0</v>
      </c>
      <c r="AQ82" s="20" t="n">
        <f aca="false">IF(AND(Slot3_On=1,D82=Slot3_Age),1,0)</f>
        <v>0</v>
      </c>
      <c r="AR82" s="20" t="n">
        <f aca="false">IF(AND(Slot3_On=1,Slot3_Age&gt;D82),1,0)</f>
        <v>0</v>
      </c>
      <c r="AS82" s="20" t="n">
        <f aca="false">QU81</f>
        <v>0</v>
      </c>
      <c r="AT82" s="20" t="n">
        <f aca="false">AQ82*MIN(Slot3_Cost,AS82)</f>
        <v>0</v>
      </c>
      <c r="AU82" s="20" t="n">
        <f aca="false">AQ82*Slot3_SpendLike*MIN(Slot3_Cost-AT82,AM82)</f>
        <v>0</v>
      </c>
      <c r="AV82" s="20" t="n">
        <f aca="false">AT82+AU82</f>
        <v>0</v>
      </c>
      <c r="AW82" s="20" t="n">
        <f aca="false">AM82-AU82+AQ82*IF(Slot3_SpendLike=1,AS82-AT82,IF(Slot3_PotFree=1,AS82,0))</f>
        <v>0</v>
      </c>
      <c r="AX82" s="20" t="n">
        <f aca="false">AN82+AQ82*Slot3_BufPot*AS82</f>
        <v>0</v>
      </c>
      <c r="AY82" s="20" t="n">
        <f aca="false">IF(AND(AQ82=1,Slot3_IsMfree=1),IF(AV82&gt;=Slot3_Cost-1,0,MAX(0,AO82-AV82)),AO82)</f>
        <v>0</v>
      </c>
      <c r="AZ82" s="20" t="n">
        <f aca="false">AQ82*(Slot3_Cost-AV82)</f>
        <v>0</v>
      </c>
      <c r="BA82" s="20" t="n">
        <f aca="false">IF(AND(Slot4_On=1,D82=Slot4_Age),1,0)</f>
        <v>0</v>
      </c>
      <c r="BB82" s="20" t="n">
        <f aca="false">IF(AND(Slot4_On=1,Slot4_Age&gt;D82),1,0)</f>
        <v>0</v>
      </c>
      <c r="BC82" s="20" t="n">
        <f aca="false">QY81</f>
        <v>0</v>
      </c>
      <c r="BD82" s="20" t="n">
        <f aca="false">BA82*MIN(Slot4_Cost,BC82)</f>
        <v>0</v>
      </c>
      <c r="BE82" s="20" t="n">
        <f aca="false">BA82*Slot4_SpendLike*MIN(Slot4_Cost-BD82,AW82)</f>
        <v>0</v>
      </c>
      <c r="BF82" s="20" t="n">
        <f aca="false">BD82+BE82</f>
        <v>0</v>
      </c>
      <c r="BG82" s="20" t="n">
        <f aca="false">AW82-BE82+BA82*IF(Slot4_SpendLike=1,BC82-BD82,IF(Slot4_PotFree=1,BC82,0))</f>
        <v>0</v>
      </c>
      <c r="BH82" s="20" t="n">
        <f aca="false">AX82+BA82*Slot4_BufPot*BC82</f>
        <v>0</v>
      </c>
      <c r="BI82" s="20" t="n">
        <f aca="false">IF(AND(BA82=1,Slot4_IsMfree=1),IF(BF82&gt;=Slot4_Cost-1,0,MAX(0,AY82-BF82)),AY82)</f>
        <v>0</v>
      </c>
      <c r="BJ82" s="20" t="n">
        <f aca="false">BA82*(Slot4_Cost-BF82)</f>
        <v>0</v>
      </c>
      <c r="BK82" s="20" t="n">
        <f aca="false">IF(AND(Slot5_On=1,D82=Slot5_Age),1,0)</f>
        <v>0</v>
      </c>
      <c r="BL82" s="20" t="n">
        <f aca="false">IF(AND(Slot5_On=1,Slot5_Age&gt;D82),1,0)</f>
        <v>0</v>
      </c>
      <c r="BM82" s="20" t="n">
        <f aca="false">RC81</f>
        <v>0</v>
      </c>
      <c r="BN82" s="20" t="n">
        <f aca="false">BK82*MIN(Slot5_Cost,BM82)</f>
        <v>0</v>
      </c>
      <c r="BO82" s="20" t="n">
        <f aca="false">BK82*Slot5_SpendLike*MIN(Slot5_Cost-BN82,BG82)</f>
        <v>0</v>
      </c>
      <c r="BP82" s="20" t="n">
        <f aca="false">BN82+BO82</f>
        <v>0</v>
      </c>
      <c r="BQ82" s="20" t="n">
        <f aca="false">BG82-BO82+BK82*IF(Slot5_SpendLike=1,BM82-BN82,IF(Slot5_PotFree=1,BM82,0))</f>
        <v>0</v>
      </c>
      <c r="BR82" s="20" t="n">
        <f aca="false">BH82+BK82*Slot5_BufPot*BM82</f>
        <v>0</v>
      </c>
      <c r="BS82" s="20" t="n">
        <f aca="false">IF(AND(BK82=1,Slot5_IsMfree=1),IF(BP82&gt;=Slot5_Cost-1,0,MAX(0,BI82-BP82)),BI82)</f>
        <v>0</v>
      </c>
      <c r="BT82" s="20" t="n">
        <f aca="false">BK82*(Slot5_Cost-BP82)</f>
        <v>0</v>
      </c>
      <c r="BU82" s="20" t="n">
        <f aca="false">IF(AND(Slot6_On=1,D82=Slot6_Age),1,0)</f>
        <v>0</v>
      </c>
      <c r="BV82" s="20" t="n">
        <f aca="false">IF(AND(Slot6_On=1,Slot6_Age&gt;D82),1,0)</f>
        <v>0</v>
      </c>
      <c r="BW82" s="20" t="n">
        <f aca="false">RG81</f>
        <v>0</v>
      </c>
      <c r="BX82" s="20" t="n">
        <f aca="false">BU82*MIN(Slot6_Cost,BW82)</f>
        <v>0</v>
      </c>
      <c r="BY82" s="20" t="n">
        <f aca="false">BU82*Slot6_SpendLike*MIN(Slot6_Cost-BX82,BQ82)</f>
        <v>0</v>
      </c>
      <c r="BZ82" s="20" t="n">
        <f aca="false">BX82+BY82</f>
        <v>0</v>
      </c>
      <c r="CA82" s="20" t="n">
        <f aca="false">BQ82-BY82+BU82*IF(Slot6_SpendLike=1,BW82-BX82,IF(Slot6_PotFree=1,BW82,0))</f>
        <v>0</v>
      </c>
      <c r="CB82" s="20" t="n">
        <f aca="false">BR82+BU82*Slot6_BufPot*BW82</f>
        <v>0</v>
      </c>
      <c r="CC82" s="20" t="n">
        <f aca="false">IF(AND(BU82=1,Slot6_IsMfree=1),IF(BZ82&gt;=Slot6_Cost-1,0,MAX(0,BS82-BZ82)),BS82)</f>
        <v>0</v>
      </c>
      <c r="CD82" s="20" t="n">
        <f aca="false">BU82*(Slot6_Cost-BZ82)</f>
        <v>0</v>
      </c>
      <c r="CE82" s="20" t="n">
        <f aca="false">IF(AND(Slot7_On=1,D82=Slot7_Age),1,0)</f>
        <v>0</v>
      </c>
      <c r="CF82" s="20" t="n">
        <f aca="false">IF(AND(Slot7_On=1,Slot7_Age&gt;D82),1,0)</f>
        <v>0</v>
      </c>
      <c r="CG82" s="20" t="n">
        <f aca="false">RK81</f>
        <v>0</v>
      </c>
      <c r="CH82" s="20" t="n">
        <f aca="false">CE82*MIN(Slot7_Cost,CG82)</f>
        <v>0</v>
      </c>
      <c r="CI82" s="20" t="n">
        <f aca="false">CE82*Slot7_SpendLike*MIN(Slot7_Cost-CH82,CA82)</f>
        <v>0</v>
      </c>
      <c r="CJ82" s="20" t="n">
        <f aca="false">CH82+CI82</f>
        <v>0</v>
      </c>
      <c r="CK82" s="20" t="n">
        <f aca="false">CA82-CI82+CE82*IF(Slot7_SpendLike=1,CG82-CH82,IF(Slot7_PotFree=1,CG82,0))</f>
        <v>0</v>
      </c>
      <c r="CL82" s="20" t="n">
        <f aca="false">CB82+CE82*Slot7_BufPot*CG82</f>
        <v>0</v>
      </c>
      <c r="CM82" s="20" t="n">
        <f aca="false">IF(AND(CE82=1,Slot7_IsMfree=1),IF(CJ82&gt;=Slot7_Cost-1,0,MAX(0,CC82-CJ82)),CC82)</f>
        <v>0</v>
      </c>
      <c r="CN82" s="20" t="n">
        <f aca="false">CE82*(Slot7_Cost-CJ82)</f>
        <v>0</v>
      </c>
      <c r="CO82" s="20" t="n">
        <f aca="false">IF(AND(Slot8_On=1,D82=Slot8_Age),1,0)</f>
        <v>0</v>
      </c>
      <c r="CP82" s="20" t="n">
        <f aca="false">IF(AND(Slot8_On=1,Slot8_Age&gt;D82),1,0)</f>
        <v>0</v>
      </c>
      <c r="CQ82" s="20" t="n">
        <f aca="false">RO81</f>
        <v>0</v>
      </c>
      <c r="CR82" s="20" t="n">
        <f aca="false">CO82*MIN(Slot8_Cost,CQ82)</f>
        <v>0</v>
      </c>
      <c r="CS82" s="20" t="n">
        <f aca="false">CO82*Slot8_SpendLike*MIN(Slot8_Cost-CR82,CK82)</f>
        <v>0</v>
      </c>
      <c r="CT82" s="20" t="n">
        <f aca="false">CR82+CS82</f>
        <v>0</v>
      </c>
      <c r="CU82" s="20" t="n">
        <f aca="false">CK82-CS82+CO82*IF(Slot8_SpendLike=1,CQ82-CR82,IF(Slot8_PotFree=1,CQ82,0))</f>
        <v>0</v>
      </c>
      <c r="CV82" s="20" t="n">
        <f aca="false">CL82+CO82*Slot8_BufPot*CQ82</f>
        <v>0</v>
      </c>
      <c r="CW82" s="20" t="n">
        <f aca="false">IF(AND(CO82=1,Slot8_IsMfree=1),IF(CT82&gt;=Slot8_Cost-1,0,MAX(0,CM82-CT82)),CM82)</f>
        <v>0</v>
      </c>
      <c r="CX82" s="20" t="n">
        <f aca="false">CO82*(Slot8_Cost-CT82)</f>
        <v>0</v>
      </c>
      <c r="CY82" s="20" t="n">
        <f aca="false">IF(AND(Slot9_On=1,D82=Slot9_Age),1,0)</f>
        <v>0</v>
      </c>
      <c r="CZ82" s="20" t="n">
        <f aca="false">IF(AND(Slot9_On=1,Slot9_Age&gt;D82),1,0)</f>
        <v>0</v>
      </c>
      <c r="DA82" s="20" t="n">
        <f aca="false">RS81</f>
        <v>0</v>
      </c>
      <c r="DB82" s="20" t="n">
        <f aca="false">CY82*MIN(Slot9_Cost,DA82)</f>
        <v>0</v>
      </c>
      <c r="DC82" s="20" t="n">
        <f aca="false">CY82*Slot9_SpendLike*MIN(Slot9_Cost-DB82,CU82)</f>
        <v>0</v>
      </c>
      <c r="DD82" s="20" t="n">
        <f aca="false">DB82+DC82</f>
        <v>0</v>
      </c>
      <c r="DE82" s="20" t="n">
        <f aca="false">CU82-DC82+CY82*IF(Slot9_SpendLike=1,DA82-DB82,IF(Slot9_PotFree=1,DA82,0))</f>
        <v>0</v>
      </c>
      <c r="DF82" s="20" t="n">
        <f aca="false">CV82+CY82*Slot9_BufPot*DA82</f>
        <v>0</v>
      </c>
      <c r="DG82" s="20" t="n">
        <f aca="false">IF(AND(CY82=1,Slot9_IsMfree=1),IF(DD82&gt;=Slot9_Cost-1,0,MAX(0,CW82-DD82)),CW82)</f>
        <v>0</v>
      </c>
      <c r="DH82" s="20" t="n">
        <f aca="false">CY82*(Slot9_Cost-DD82)</f>
        <v>0</v>
      </c>
      <c r="DI82" s="20" t="n">
        <f aca="false">IF(AND(Slot10_On=1,D82=Slot10_Age),1,0)</f>
        <v>0</v>
      </c>
      <c r="DJ82" s="20" t="n">
        <f aca="false">IF(AND(Slot10_On=1,Slot10_Age&gt;D82),1,0)</f>
        <v>0</v>
      </c>
      <c r="DK82" s="20" t="n">
        <f aca="false">RW81</f>
        <v>0</v>
      </c>
      <c r="DL82" s="20" t="n">
        <f aca="false">DI82*MIN(Slot10_Cost,DK82)</f>
        <v>0</v>
      </c>
      <c r="DM82" s="20" t="n">
        <f aca="false">DI82*Slot10_SpendLike*MIN(Slot10_Cost-DL82,DE82)</f>
        <v>0</v>
      </c>
      <c r="DN82" s="20" t="n">
        <f aca="false">DL82+DM82</f>
        <v>0</v>
      </c>
      <c r="DO82" s="20" t="n">
        <f aca="false">DE82-DM82+DI82*IF(Slot10_SpendLike=1,DK82-DL82,IF(Slot10_PotFree=1,DK82,0))</f>
        <v>0</v>
      </c>
      <c r="DP82" s="20" t="n">
        <f aca="false">DF82+DI82*Slot10_BufPot*DK82</f>
        <v>0</v>
      </c>
      <c r="DQ82" s="20" t="n">
        <f aca="false">IF(AND(DI82=1,Slot10_IsMfree=1),IF(DN82&gt;=Slot10_Cost-1,0,MAX(0,DG82-DN82)),DG82)</f>
        <v>0</v>
      </c>
      <c r="DR82" s="20" t="n">
        <f aca="false">DI82*(Slot10_Cost-DN82)</f>
        <v>0</v>
      </c>
      <c r="DS82" s="20" t="n">
        <f aca="false">IF(AND(Slot11_On=1,D82=Slot11_Age),1,0)</f>
        <v>0</v>
      </c>
      <c r="DT82" s="20" t="n">
        <f aca="false">IF(AND(Slot11_On=1,Slot11_Age&gt;D82),1,0)</f>
        <v>0</v>
      </c>
      <c r="DU82" s="20" t="n">
        <f aca="false">SA81</f>
        <v>0</v>
      </c>
      <c r="DV82" s="20" t="n">
        <f aca="false">DS82*MIN(Slot11_Cost,DU82)</f>
        <v>0</v>
      </c>
      <c r="DW82" s="20" t="n">
        <f aca="false">DS82*Slot11_SpendLike*MIN(Slot11_Cost-DV82,DO82)</f>
        <v>0</v>
      </c>
      <c r="DX82" s="20" t="n">
        <f aca="false">DV82+DW82</f>
        <v>0</v>
      </c>
      <c r="DY82" s="20" t="n">
        <f aca="false">DO82-DW82+DS82*IF(Slot11_SpendLike=1,DU82-DV82,IF(Slot11_PotFree=1,DU82,0))</f>
        <v>0</v>
      </c>
      <c r="DZ82" s="20" t="n">
        <f aca="false">DP82+DS82*Slot11_BufPot*DU82</f>
        <v>0</v>
      </c>
      <c r="EA82" s="20" t="n">
        <f aca="false">IF(AND(DS82=1,Slot11_IsMfree=1),IF(DX82&gt;=Slot11_Cost-1,0,MAX(0,DQ82-DX82)),DQ82)</f>
        <v>0</v>
      </c>
      <c r="EB82" s="20" t="n">
        <f aca="false">DS82*(Slot11_Cost-DX82)</f>
        <v>0</v>
      </c>
      <c r="EC82" s="20" t="n">
        <f aca="false">IF(AND(Slot12_On=1,D82=Slot12_Age),1,0)</f>
        <v>0</v>
      </c>
      <c r="ED82" s="20" t="n">
        <f aca="false">IF(AND(Slot12_On=1,Slot12_Age&gt;D82),1,0)</f>
        <v>0</v>
      </c>
      <c r="EE82" s="20" t="n">
        <f aca="false">SE81</f>
        <v>0</v>
      </c>
      <c r="EF82" s="20" t="n">
        <f aca="false">EC82*MIN(Slot12_Cost,EE82)</f>
        <v>0</v>
      </c>
      <c r="EG82" s="20" t="n">
        <f aca="false">EC82*Slot12_SpendLike*MIN(Slot12_Cost-EF82,DY82)</f>
        <v>0</v>
      </c>
      <c r="EH82" s="20" t="n">
        <f aca="false">EF82+EG82</f>
        <v>0</v>
      </c>
      <c r="EI82" s="20" t="n">
        <f aca="false">DY82-EG82+EC82*IF(Slot12_SpendLike=1,EE82-EF82,IF(Slot12_PotFree=1,EE82,0))</f>
        <v>0</v>
      </c>
      <c r="EJ82" s="20" t="n">
        <f aca="false">DZ82+EC82*Slot12_BufPot*EE82</f>
        <v>0</v>
      </c>
      <c r="EK82" s="20" t="n">
        <f aca="false">IF(AND(EC82=1,Slot12_IsMfree=1),IF(EH82&gt;=Slot12_Cost-1,0,MAX(0,EA82-EH82)),EA82)</f>
        <v>0</v>
      </c>
      <c r="EL82" s="20" t="n">
        <f aca="false">EC82*(Slot12_Cost-EH82)</f>
        <v>0</v>
      </c>
      <c r="EM82" s="20" t="n">
        <f aca="false">IF(AND(Slot13_On=1,D82=Slot13_Age),1,0)</f>
        <v>0</v>
      </c>
      <c r="EN82" s="20" t="n">
        <f aca="false">IF(AND(Slot13_On=1,Slot13_Age&gt;D82),1,0)</f>
        <v>0</v>
      </c>
      <c r="EO82" s="20" t="n">
        <f aca="false">SI81</f>
        <v>0</v>
      </c>
      <c r="EP82" s="20" t="n">
        <f aca="false">EM82*MIN(Slot13_Cost,EO82)</f>
        <v>0</v>
      </c>
      <c r="EQ82" s="20" t="n">
        <f aca="false">EM82*Slot13_SpendLike*MIN(Slot13_Cost-EP82,EI82)</f>
        <v>0</v>
      </c>
      <c r="ER82" s="20" t="n">
        <f aca="false">EP82+EQ82</f>
        <v>0</v>
      </c>
      <c r="ES82" s="20" t="n">
        <f aca="false">EI82-EQ82+EM82*IF(Slot13_SpendLike=1,EO82-EP82,IF(Slot13_PotFree=1,EO82,0))</f>
        <v>0</v>
      </c>
      <c r="ET82" s="20" t="n">
        <f aca="false">EJ82+EM82*Slot13_BufPot*EO82</f>
        <v>0</v>
      </c>
      <c r="EU82" s="20" t="n">
        <f aca="false">IF(AND(EM82=1,Slot13_IsMfree=1),IF(ER82&gt;=Slot13_Cost-1,0,MAX(0,EK82-ER82)),EK82)</f>
        <v>0</v>
      </c>
      <c r="EV82" s="20" t="n">
        <f aca="false">EM82*(Slot13_Cost-ER82)</f>
        <v>0</v>
      </c>
      <c r="EW82" s="20" t="n">
        <f aca="false">IF(AND(Slot14_On=1,D82=Slot14_Age),1,0)</f>
        <v>0</v>
      </c>
      <c r="EX82" s="20" t="n">
        <f aca="false">IF(AND(Slot14_On=1,Slot14_Age&gt;D82),1,0)</f>
        <v>0</v>
      </c>
      <c r="EY82" s="20" t="n">
        <f aca="false">SM81</f>
        <v>0</v>
      </c>
      <c r="EZ82" s="20" t="n">
        <f aca="false">EW82*MIN(Slot14_Cost,EY82)</f>
        <v>0</v>
      </c>
      <c r="FA82" s="20" t="n">
        <f aca="false">EW82*Slot14_SpendLike*MIN(Slot14_Cost-EZ82,ES82)</f>
        <v>0</v>
      </c>
      <c r="FB82" s="20" t="n">
        <f aca="false">EZ82+FA82</f>
        <v>0</v>
      </c>
      <c r="FC82" s="20" t="n">
        <f aca="false">ES82-FA82+EW82*IF(Slot14_SpendLike=1,EY82-EZ82,IF(Slot14_PotFree=1,EY82,0))</f>
        <v>0</v>
      </c>
      <c r="FD82" s="20" t="n">
        <f aca="false">ET82+EW82*Slot14_BufPot*EY82</f>
        <v>0</v>
      </c>
      <c r="FE82" s="20" t="n">
        <f aca="false">IF(AND(EW82=1,Slot14_IsMfree=1),IF(FB82&gt;=Slot14_Cost-1,0,MAX(0,EU82-FB82)),EU82)</f>
        <v>0</v>
      </c>
      <c r="FF82" s="20" t="n">
        <f aca="false">EW82*(Slot14_Cost-FB82)</f>
        <v>0</v>
      </c>
      <c r="FG82" s="20" t="n">
        <f aca="false">IF(AND(Slot15_On=1,D82=Slot15_Age),1,0)</f>
        <v>0</v>
      </c>
      <c r="FH82" s="20" t="n">
        <f aca="false">IF(AND(Slot15_On=1,Slot15_Age&gt;D82),1,0)</f>
        <v>0</v>
      </c>
      <c r="FI82" s="20" t="n">
        <f aca="false">SQ81</f>
        <v>0</v>
      </c>
      <c r="FJ82" s="20" t="n">
        <f aca="false">FG82*MIN(Slot15_Cost,FI82)</f>
        <v>0</v>
      </c>
      <c r="FK82" s="20" t="n">
        <f aca="false">FG82*Slot15_SpendLike*MIN(Slot15_Cost-FJ82,FC82)</f>
        <v>0</v>
      </c>
      <c r="FL82" s="20" t="n">
        <f aca="false">FJ82+FK82</f>
        <v>0</v>
      </c>
      <c r="FM82" s="20" t="n">
        <f aca="false">FC82-FK82+FG82*IF(Slot15_SpendLike=1,FI82-FJ82,IF(Slot15_PotFree=1,FI82,0))</f>
        <v>0</v>
      </c>
      <c r="FN82" s="20" t="n">
        <f aca="false">FD82+FG82*Slot15_BufPot*FI82</f>
        <v>0</v>
      </c>
      <c r="FO82" s="20" t="n">
        <f aca="false">IF(AND(FG82=1,Slot15_IsMfree=1),IF(FL82&gt;=Slot15_Cost-1,0,MAX(0,FE82-FL82)),FE82)</f>
        <v>0</v>
      </c>
      <c r="FP82" s="20" t="n">
        <f aca="false">FG82*(Slot15_Cost-FL82)</f>
        <v>0</v>
      </c>
      <c r="FQ82" s="20" t="n">
        <f aca="false">IF(AND(Slot16_On=1,D82=Slot16_Age),1,0)</f>
        <v>0</v>
      </c>
      <c r="FR82" s="20" t="n">
        <f aca="false">IF(AND(Slot16_On=1,Slot16_Age&gt;D82),1,0)</f>
        <v>0</v>
      </c>
      <c r="FS82" s="20" t="n">
        <f aca="false">SU81</f>
        <v>0</v>
      </c>
      <c r="FT82" s="20" t="n">
        <f aca="false">FQ82*MIN(Slot16_Cost,FS82)</f>
        <v>0</v>
      </c>
      <c r="FU82" s="20" t="n">
        <f aca="false">FQ82*Slot16_SpendLike*MIN(Slot16_Cost-FT82,FM82)</f>
        <v>0</v>
      </c>
      <c r="FV82" s="20" t="n">
        <f aca="false">FT82+FU82</f>
        <v>0</v>
      </c>
      <c r="FW82" s="20" t="n">
        <f aca="false">FM82-FU82+FQ82*IF(Slot16_SpendLike=1,FS82-FT82,IF(Slot16_PotFree=1,FS82,0))</f>
        <v>0</v>
      </c>
      <c r="FX82" s="20" t="n">
        <f aca="false">FN82+FQ82*Slot16_BufPot*FS82</f>
        <v>0</v>
      </c>
      <c r="FY82" s="20" t="n">
        <f aca="false">IF(AND(FQ82=1,Slot16_IsMfree=1),IF(FV82&gt;=Slot16_Cost-1,0,MAX(0,FO82-FV82)),FO82)</f>
        <v>0</v>
      </c>
      <c r="FZ82" s="20" t="n">
        <f aca="false">FQ82*(Slot16_Cost-FV82)</f>
        <v>0</v>
      </c>
      <c r="GA82" s="20" t="n">
        <f aca="false">IF(AND(Slot17_On=1,D82=Slot17_Age),1,0)</f>
        <v>0</v>
      </c>
      <c r="GB82" s="20" t="n">
        <f aca="false">IF(AND(Slot17_On=1,Slot17_Age&gt;D82),1,0)</f>
        <v>0</v>
      </c>
      <c r="GC82" s="20" t="n">
        <f aca="false">SY81</f>
        <v>0</v>
      </c>
      <c r="GD82" s="20" t="n">
        <f aca="false">GA82*MIN(Slot17_Cost,GC82)</f>
        <v>0</v>
      </c>
      <c r="GE82" s="20" t="n">
        <f aca="false">GA82*Slot17_SpendLike*MIN(Slot17_Cost-GD82,FW82)</f>
        <v>0</v>
      </c>
      <c r="GF82" s="20" t="n">
        <f aca="false">GD82+GE82</f>
        <v>0</v>
      </c>
      <c r="GG82" s="20" t="n">
        <f aca="false">FW82-GE82+GA82*IF(Slot17_SpendLike=1,GC82-GD82,IF(Slot17_PotFree=1,GC82,0))</f>
        <v>0</v>
      </c>
      <c r="GH82" s="20" t="n">
        <f aca="false">FX82+GA82*Slot17_BufPot*GC82</f>
        <v>0</v>
      </c>
      <c r="GI82" s="20" t="n">
        <f aca="false">IF(AND(GA82=1,Slot17_IsMfree=1),IF(GF82&gt;=Slot17_Cost-1,0,MAX(0,FY82-GF82)),FY82)</f>
        <v>0</v>
      </c>
      <c r="GJ82" s="20" t="n">
        <f aca="false">GA82*(Slot17_Cost-GF82)</f>
        <v>0</v>
      </c>
      <c r="GK82" s="20" t="n">
        <f aca="false">IF(AND(Slot18_On=1,D82=Slot18_Age),1,0)</f>
        <v>0</v>
      </c>
      <c r="GL82" s="20" t="n">
        <f aca="false">IF(AND(Slot18_On=1,Slot18_Age&gt;D82),1,0)</f>
        <v>0</v>
      </c>
      <c r="GM82" s="20" t="n">
        <f aca="false">TC81</f>
        <v>0</v>
      </c>
      <c r="GN82" s="20" t="n">
        <f aca="false">GK82*MIN(Slot18_Cost,GM82)</f>
        <v>0</v>
      </c>
      <c r="GO82" s="20" t="n">
        <f aca="false">GK82*Slot18_SpendLike*MIN(Slot18_Cost-GN82,GG82)</f>
        <v>0</v>
      </c>
      <c r="GP82" s="20" t="n">
        <f aca="false">GN82+GO82</f>
        <v>0</v>
      </c>
      <c r="GQ82" s="20" t="n">
        <f aca="false">GG82-GO82+GK82*IF(Slot18_SpendLike=1,GM82-GN82,IF(Slot18_PotFree=1,GM82,0))</f>
        <v>0</v>
      </c>
      <c r="GR82" s="20" t="n">
        <f aca="false">GH82+GK82*Slot18_BufPot*GM82</f>
        <v>0</v>
      </c>
      <c r="GS82" s="20" t="n">
        <f aca="false">IF(AND(GK82=1,Slot18_IsMfree=1),IF(GP82&gt;=Slot18_Cost-1,0,MAX(0,GI82-GP82)),GI82)</f>
        <v>0</v>
      </c>
      <c r="GT82" s="20" t="n">
        <f aca="false">GK82*(Slot18_Cost-GP82)</f>
        <v>0</v>
      </c>
      <c r="GU82" s="20" t="n">
        <f aca="false">IF(AND(Slot19_On=1,D82=Slot19_Age),1,0)</f>
        <v>0</v>
      </c>
      <c r="GV82" s="20" t="n">
        <f aca="false">IF(AND(Slot19_On=1,Slot19_Age&gt;D82),1,0)</f>
        <v>0</v>
      </c>
      <c r="GW82" s="20" t="n">
        <f aca="false">TG81</f>
        <v>0</v>
      </c>
      <c r="GX82" s="20" t="n">
        <f aca="false">GU82*MIN(Slot19_Cost,GW82)</f>
        <v>0</v>
      </c>
      <c r="GY82" s="20" t="n">
        <f aca="false">GU82*Slot19_SpendLike*MIN(Slot19_Cost-GX82,GQ82)</f>
        <v>0</v>
      </c>
      <c r="GZ82" s="20" t="n">
        <f aca="false">GX82+GY82</f>
        <v>0</v>
      </c>
      <c r="HA82" s="20" t="n">
        <f aca="false">GQ82-GY82+GU82*IF(Slot19_SpendLike=1,GW82-GX82,IF(Slot19_PotFree=1,GW82,0))</f>
        <v>0</v>
      </c>
      <c r="HB82" s="20" t="n">
        <f aca="false">GR82+GU82*Slot19_BufPot*GW82</f>
        <v>0</v>
      </c>
      <c r="HC82" s="20" t="n">
        <f aca="false">IF(AND(GU82=1,Slot19_IsMfree=1),IF(GZ82&gt;=Slot19_Cost-1,0,MAX(0,GS82-GZ82)),GS82)</f>
        <v>0</v>
      </c>
      <c r="HD82" s="20" t="n">
        <f aca="false">GU82*(Slot19_Cost-GZ82)</f>
        <v>0</v>
      </c>
      <c r="HE82" s="20" t="n">
        <f aca="false">IF(AND(Slot20_On=1,D82=Slot20_Age),1,0)</f>
        <v>0</v>
      </c>
      <c r="HF82" s="20" t="n">
        <f aca="false">IF(AND(Slot20_On=1,Slot20_Age&gt;D82),1,0)</f>
        <v>0</v>
      </c>
      <c r="HG82" s="20" t="n">
        <f aca="false">TK81</f>
        <v>0</v>
      </c>
      <c r="HH82" s="20" t="n">
        <f aca="false">HE82*MIN(Slot20_Cost,HG82)</f>
        <v>0</v>
      </c>
      <c r="HI82" s="20" t="n">
        <f aca="false">HE82*Slot20_SpendLike*MIN(Slot20_Cost-HH82,HA82)</f>
        <v>0</v>
      </c>
      <c r="HJ82" s="20" t="n">
        <f aca="false">HH82+HI82</f>
        <v>0</v>
      </c>
      <c r="HK82" s="20" t="n">
        <f aca="false">HA82-HI82+HE82*IF(Slot20_SpendLike=1,HG82-HH82,IF(Slot20_PotFree=1,HG82,0))</f>
        <v>0</v>
      </c>
      <c r="HL82" s="20" t="n">
        <f aca="false">HB82+HE82*Slot20_BufPot*HG82</f>
        <v>0</v>
      </c>
      <c r="HM82" s="20" t="n">
        <f aca="false">IF(AND(HE82=1,Slot20_IsMfree=1),IF(HJ82&gt;=Slot20_Cost-1,0,MAX(0,HC82-HJ82)),HC82)</f>
        <v>0</v>
      </c>
      <c r="HN82" s="20" t="n">
        <f aca="false">HE82*(Slot20_Cost-HJ82)</f>
        <v>0</v>
      </c>
      <c r="HO82" s="20" t="n">
        <f aca="false">V82*Slot1_SpendLike*AA82+AG82*Slot2_SpendLike*AL82+AQ82*Slot3_SpendLike*AV82+BA82*Slot4_SpendLike*BF82+BK82*Slot5_SpendLike*BP82+BU82*Slot6_SpendLike*BZ82+CE82*Slot7_SpendLike*CJ82+CO82*Slot8_SpendLike*CT82+CY82*Slot9_SpendLike*DD82+DI82*Slot10_SpendLike*DN82+DS82*Slot11_SpendLike*DX82+EC82*Slot12_SpendLike*EH82+EM82*Slot13_SpendLike*ER82+EW82*Slot14_SpendLike*FB82+FG82*Slot15_SpendLike*FL82+FQ82*Slot16_SpendLike*FV82+GA82*Slot17_SpendLike*GF82+GK82*Slot18_SpendLike*GP82+GU82*Slot19_SpendLike*GZ82+HE82*Slot20_SpendLike*HJ82</f>
        <v>0</v>
      </c>
      <c r="HP82" s="20" t="n">
        <f aca="false">AE82+AP82+AZ82+BJ82+BT82+CD82+CN82+CX82+DH82+DR82+EB82+EL82+EV82+FF82+FP82+FZ82+GJ82+GT82+HD82+HN82</f>
        <v>0</v>
      </c>
      <c r="HQ82" s="20" t="n">
        <f aca="false">V82*Slot1_Cost+AG82*Slot2_Cost+AQ82*Slot3_Cost+BA82*Slot4_Cost+BK82*Slot5_Cost+BU82*Slot6_Cost+CE82*Slot7_Cost+CO82*Slot8_Cost+CY82*Slot9_Cost+DI82*Slot10_Cost+DS82*Slot11_Cost+EC82*Slot12_Cost+EM82*Slot13_Cost+EW82*Slot14_Cost+FG82*Slot15_Cost+FQ82*Slot16_Cost+GA82*Slot17_Cost+GK82*Slot18_Cost+GU82*Slot19_Cost+HE82*Slot20_Cost</f>
        <v>0</v>
      </c>
      <c r="HR82" s="20" t="n">
        <f aca="false">HM82</f>
        <v>0</v>
      </c>
      <c r="HS82" s="20" t="n">
        <f aca="false">H82-I82-S82</f>
        <v>-83405.2610563444</v>
      </c>
      <c r="HT82" s="20" t="n">
        <f aca="false">IF(B82=0,IF(AND(Has_q6=1,In_q6=4),PR_ShareVaries*(MAX(0,HS82)/12),MIN(IF(Has_q6=1,CHOOSE(In_q6+1,PR_SaveB1,PR_SaveB2,PR_SaveB3,PR_SaveB4,0),AS_NoAnswer),AS_SaveShare*(MAX(0,HS82)/12))),HT81)</f>
        <v>62.3316893520437</v>
      </c>
      <c r="HU82" s="20" t="n">
        <f aca="false">IF(HS82&gt;=0,1,0)</f>
        <v>0</v>
      </c>
      <c r="HV82" s="20" t="n">
        <f aca="false">MAX(0,HS82/12/F82)</f>
        <v>0</v>
      </c>
      <c r="HW82" s="20" t="n">
        <f aca="false">IF(AND(Has_q6=1,In_q6=4),PR_ShareVaries*(HV82),MIN(IF(Has_q6=1,CHOOSE(In_q6+1,PR_SaveB1,PR_SaveB2,PR_SaveB3,PR_SaveB4,0),AS_NoAnswer),AS_SaveShare*(HV82)))</f>
        <v>0</v>
      </c>
      <c r="HX82" s="20" t="n">
        <f aca="false">IF(Has_saveM=1,IF(In_saveUp="Yes",1,IF(In_saveUp="No",0,IF(In_saveM&gt;=HT82-0.5,1,0))),0)</f>
        <v>0</v>
      </c>
      <c r="HY82" s="20" t="n">
        <f aca="false">IF(Has_saveM=1,MIN(HV82,IF(HX82=1,MAX(In_saveM,HW82),MIN(In_saveM,HW82))),HW82)</f>
        <v>0</v>
      </c>
      <c r="HZ82" s="20" t="n">
        <f aca="false">IF(G82=1,HY82*12*F82,0)</f>
        <v>0</v>
      </c>
      <c r="IA82" s="20" t="n">
        <f aca="false">MAX(0,HZ82+IF(AND(WI_Retire=0,WI_M&lt;0,G82=1),WI_M*12*F82,0))</f>
        <v>0</v>
      </c>
      <c r="IB82" s="20" t="n">
        <f aca="false">Slot1_IsWG*W82+Slot2_IsWG*AH82+Slot3_IsWG*AR82+Slot4_IsWG*BB82+Slot5_IsWG*BL82+Slot6_IsWG*BV82+Slot7_IsWG*CF82+Slot8_IsWG*CP82+Slot9_IsWG*CZ82+Slot10_IsWG*DJ82+Slot11_IsWG*DT82+Slot12_IsWG*ED82+Slot13_IsWG*EN82+Slot14_IsWG*EX82+Slot15_IsWG*FH82+Slot16_IsWG*FR82+Slot17_IsWG*GB82+Slot18_IsWG*GL82+Slot19_IsWG*GV82+Slot20_IsWG*HF82</f>
        <v>0</v>
      </c>
      <c r="IC82" s="20" t="n">
        <f aca="false">IF(AND(WI_Retire=0,WI_M&gt;0,G82=1,IB82&gt;=1),WI_M*12*F82,0)</f>
        <v>0</v>
      </c>
      <c r="ID82" s="20" t="n">
        <f aca="false">IF(HU82=1,MIN(IA82,HS82),0)</f>
        <v>0</v>
      </c>
      <c r="IE82" s="20" t="n">
        <f aca="false">IF(HU82=1,MIN(IC82,HS82-ID82),0)</f>
        <v>0</v>
      </c>
      <c r="IF82" s="20" t="n">
        <f aca="false">IF(W82=1,IF(ABS((1+AS_Wage)/(1+Slot1_Rate)-1)&lt;0.000000000001,(Slot1_Age-D82)*(1+Slot1_Rate)^(Slot1_Age-D82),(1+Slot1_Rate)^(Slot1_Age-D82)*(1-((1+AS_Wage)/(1+Slot1_Rate))^(Slot1_Age-D82))/(1-(1+AS_Wage)/(1+Slot1_Rate))),1)</f>
        <v>1</v>
      </c>
      <c r="IG82" s="20" t="n">
        <f aca="false">IF(AND(HU82=1,IE82&gt;0,Slot1_IsWG=1,W82=1),MAX(0,(Slot1_Cost-X82*(1+Slot1_Rate)^(Slot1_Age-D82))/IF82),0)</f>
        <v>0</v>
      </c>
      <c r="IH82" s="20" t="n">
        <f aca="false">IF(AND(HU82=1,IE82&gt;0,Slot1_IsWG=1,W82=1),MIN(IE82,IG82),0)</f>
        <v>0</v>
      </c>
      <c r="II82" s="20" t="n">
        <f aca="false">X82+IH82</f>
        <v>0</v>
      </c>
      <c r="IJ82" s="20" t="n">
        <f aca="false">IF(W82=1,MAX(0,(Slot1_Cost-II82*(1+Slot1_Rate)^(Slot1_Age-D82))/IF82),0)</f>
        <v>0</v>
      </c>
      <c r="IK82" s="20" t="n">
        <f aca="false">IF(W82=1,MAX(0,(Slot1_Cost-X82*(1+Slot1_Rate)^(Slot1_Age-D82))/IF82),0)</f>
        <v>0</v>
      </c>
      <c r="IL82" s="20" t="n">
        <f aca="false">IF(AND(HU82=1,W82=1),MIN(ID82,IJ82),0)</f>
        <v>0</v>
      </c>
      <c r="IM82" s="20" t="n">
        <f aca="false">ID82-IL82</f>
        <v>0</v>
      </c>
      <c r="IN82" s="20" t="n">
        <f aca="false">IF(AH82=1,IF(ABS((1+AS_Wage)/(1+Slot2_Rate)-1)&lt;0.000000000001,(Slot2_Age-D82)*(1+Slot2_Rate)^(Slot2_Age-D82),(1+Slot2_Rate)^(Slot2_Age-D82)*(1-((1+AS_Wage)/(1+Slot2_Rate))^(Slot2_Age-D82))/(1-(1+AS_Wage)/(1+Slot2_Rate))),1)</f>
        <v>1</v>
      </c>
      <c r="IO82" s="20" t="n">
        <f aca="false">IF(AND(HU82=1,IE82&gt;0,Slot2_IsWG=1,AH82=1),MAX(0,(Slot2_Cost-AI82*(1+Slot2_Rate)^(Slot2_Age-D82))/IN82),0)</f>
        <v>0</v>
      </c>
      <c r="IP82" s="20" t="n">
        <f aca="false">IF(AND(HU82=1,IE82&gt;0,Slot2_IsWG=1,AH82=1),MIN(IE82,IO82),0)</f>
        <v>0</v>
      </c>
      <c r="IQ82" s="20" t="n">
        <f aca="false">AI82+IP82</f>
        <v>0</v>
      </c>
      <c r="IR82" s="20" t="n">
        <f aca="false">IF(AH82=1,MAX(0,(Slot2_Cost-IQ82*(1+Slot2_Rate)^(Slot2_Age-D82))/IN82),0)</f>
        <v>0</v>
      </c>
      <c r="IS82" s="20" t="n">
        <f aca="false">IF(AH82=1,MAX(0,(Slot2_Cost-AI82*(1+Slot2_Rate)^(Slot2_Age-D82))/IN82),0)</f>
        <v>0</v>
      </c>
      <c r="IT82" s="20" t="n">
        <f aca="false">IF(AND(HU82=1,AH82=1),MIN(IM82,IR82),0)</f>
        <v>0</v>
      </c>
      <c r="IU82" s="20" t="n">
        <f aca="false">IM82-IT82</f>
        <v>0</v>
      </c>
      <c r="IV82" s="20" t="n">
        <f aca="false">IF(AR82=1,IF(ABS((1+AS_Wage)/(1+Slot3_Rate)-1)&lt;0.000000000001,(Slot3_Age-D82)*(1+Slot3_Rate)^(Slot3_Age-D82),(1+Slot3_Rate)^(Slot3_Age-D82)*(1-((1+AS_Wage)/(1+Slot3_Rate))^(Slot3_Age-D82))/(1-(1+AS_Wage)/(1+Slot3_Rate))),1)</f>
        <v>1</v>
      </c>
      <c r="IW82" s="20" t="n">
        <f aca="false">IF(AND(HU82=1,IE82&gt;0,Slot3_IsWG=1,AR82=1),MAX(0,(Slot3_Cost-AS82*(1+Slot3_Rate)^(Slot3_Age-D82))/IV82),0)</f>
        <v>0</v>
      </c>
      <c r="IX82" s="20" t="n">
        <f aca="false">IF(AND(HU82=1,IE82&gt;0,Slot3_IsWG=1,AR82=1),MIN(IE82,IW82),0)</f>
        <v>0</v>
      </c>
      <c r="IY82" s="20" t="n">
        <f aca="false">AS82+IX82</f>
        <v>0</v>
      </c>
      <c r="IZ82" s="20" t="n">
        <f aca="false">IF(AR82=1,MAX(0,(Slot3_Cost-IY82*(1+Slot3_Rate)^(Slot3_Age-D82))/IV82),0)</f>
        <v>0</v>
      </c>
      <c r="JA82" s="20" t="n">
        <f aca="false">IF(AR82=1,MAX(0,(Slot3_Cost-AS82*(1+Slot3_Rate)^(Slot3_Age-D82))/IV82),0)</f>
        <v>0</v>
      </c>
      <c r="JB82" s="20" t="n">
        <f aca="false">IF(AND(HU82=1,AR82=1),MIN(IU82,IZ82),0)</f>
        <v>0</v>
      </c>
      <c r="JC82" s="20" t="n">
        <f aca="false">IU82-JB82</f>
        <v>0</v>
      </c>
      <c r="JD82" s="20" t="n">
        <f aca="false">IF(BB82=1,IF(ABS((1+AS_Wage)/(1+Slot4_Rate)-1)&lt;0.000000000001,(Slot4_Age-D82)*(1+Slot4_Rate)^(Slot4_Age-D82),(1+Slot4_Rate)^(Slot4_Age-D82)*(1-((1+AS_Wage)/(1+Slot4_Rate))^(Slot4_Age-D82))/(1-(1+AS_Wage)/(1+Slot4_Rate))),1)</f>
        <v>1</v>
      </c>
      <c r="JE82" s="20" t="n">
        <f aca="false">IF(AND(HU82=1,IE82&gt;0,Slot4_IsWG=1,BB82=1),MAX(0,(Slot4_Cost-BC82*(1+Slot4_Rate)^(Slot4_Age-D82))/JD82),0)</f>
        <v>0</v>
      </c>
      <c r="JF82" s="20" t="n">
        <f aca="false">IF(AND(HU82=1,IE82&gt;0,Slot4_IsWG=1,BB82=1),MIN(IE82,JE82),0)</f>
        <v>0</v>
      </c>
      <c r="JG82" s="20" t="n">
        <f aca="false">BC82+JF82</f>
        <v>0</v>
      </c>
      <c r="JH82" s="20" t="n">
        <f aca="false">IF(BB82=1,MAX(0,(Slot4_Cost-JG82*(1+Slot4_Rate)^(Slot4_Age-D82))/JD82),0)</f>
        <v>0</v>
      </c>
      <c r="JI82" s="20" t="n">
        <f aca="false">IF(BB82=1,MAX(0,(Slot4_Cost-BC82*(1+Slot4_Rate)^(Slot4_Age-D82))/JD82),0)</f>
        <v>0</v>
      </c>
      <c r="JJ82" s="20" t="n">
        <f aca="false">IF(AND(HU82=1,BB82=1),MIN(JC82,JH82),0)</f>
        <v>0</v>
      </c>
      <c r="JK82" s="20" t="n">
        <f aca="false">JC82-JJ82</f>
        <v>0</v>
      </c>
      <c r="JL82" s="20" t="n">
        <f aca="false">IF(BL82=1,IF(ABS((1+AS_Wage)/(1+Slot5_Rate)-1)&lt;0.000000000001,(Slot5_Age-D82)*(1+Slot5_Rate)^(Slot5_Age-D82),(1+Slot5_Rate)^(Slot5_Age-D82)*(1-((1+AS_Wage)/(1+Slot5_Rate))^(Slot5_Age-D82))/(1-(1+AS_Wage)/(1+Slot5_Rate))),1)</f>
        <v>1</v>
      </c>
      <c r="JM82" s="20" t="n">
        <f aca="false">IF(AND(HU82=1,IE82&gt;0,Slot5_IsWG=1,BL82=1),MAX(0,(Slot5_Cost-BM82*(1+Slot5_Rate)^(Slot5_Age-D82))/JL82),0)</f>
        <v>0</v>
      </c>
      <c r="JN82" s="20" t="n">
        <f aca="false">IF(AND(HU82=1,IE82&gt;0,Slot5_IsWG=1,BL82=1),MIN(IE82,JM82),0)</f>
        <v>0</v>
      </c>
      <c r="JO82" s="20" t="n">
        <f aca="false">BM82+JN82</f>
        <v>0</v>
      </c>
      <c r="JP82" s="20" t="n">
        <f aca="false">IF(BL82=1,MAX(0,(Slot5_Cost-JO82*(1+Slot5_Rate)^(Slot5_Age-D82))/JL82),0)</f>
        <v>0</v>
      </c>
      <c r="JQ82" s="20" t="n">
        <f aca="false">IF(BL82=1,MAX(0,(Slot5_Cost-BM82*(1+Slot5_Rate)^(Slot5_Age-D82))/JL82),0)</f>
        <v>0</v>
      </c>
      <c r="JR82" s="20" t="n">
        <f aca="false">IF(AND(HU82=1,BL82=1),MIN(JK82,JP82),0)</f>
        <v>0</v>
      </c>
      <c r="JS82" s="20" t="n">
        <f aca="false">JK82-JR82</f>
        <v>0</v>
      </c>
      <c r="JT82" s="20" t="n">
        <f aca="false">IF(BV82=1,IF(ABS((1+AS_Wage)/(1+Slot6_Rate)-1)&lt;0.000000000001,(Slot6_Age-D82)*(1+Slot6_Rate)^(Slot6_Age-D82),(1+Slot6_Rate)^(Slot6_Age-D82)*(1-((1+AS_Wage)/(1+Slot6_Rate))^(Slot6_Age-D82))/(1-(1+AS_Wage)/(1+Slot6_Rate))),1)</f>
        <v>1</v>
      </c>
      <c r="JU82" s="20" t="n">
        <f aca="false">IF(AND(HU82=1,IE82&gt;0,Slot6_IsWG=1,BV82=1),MAX(0,(Slot6_Cost-BW82*(1+Slot6_Rate)^(Slot6_Age-D82))/JT82),0)</f>
        <v>0</v>
      </c>
      <c r="JV82" s="20" t="n">
        <f aca="false">IF(AND(HU82=1,IE82&gt;0,Slot6_IsWG=1,BV82=1),MIN(IE82,JU82),0)</f>
        <v>0</v>
      </c>
      <c r="JW82" s="20" t="n">
        <f aca="false">BW82+JV82</f>
        <v>0</v>
      </c>
      <c r="JX82" s="20" t="n">
        <f aca="false">IF(BV82=1,MAX(0,(Slot6_Cost-JW82*(1+Slot6_Rate)^(Slot6_Age-D82))/JT82),0)</f>
        <v>0</v>
      </c>
      <c r="JY82" s="20" t="n">
        <f aca="false">IF(BV82=1,MAX(0,(Slot6_Cost-BW82*(1+Slot6_Rate)^(Slot6_Age-D82))/JT82),0)</f>
        <v>0</v>
      </c>
      <c r="JZ82" s="20" t="n">
        <f aca="false">IF(AND(HU82=1,BV82=1),MIN(JS82,JX82),0)</f>
        <v>0</v>
      </c>
      <c r="KA82" s="20" t="n">
        <f aca="false">JS82-JZ82</f>
        <v>0</v>
      </c>
      <c r="KB82" s="20" t="n">
        <f aca="false">IF(CF82=1,IF(ABS((1+AS_Wage)/(1+Slot7_Rate)-1)&lt;0.000000000001,(Slot7_Age-D82)*(1+Slot7_Rate)^(Slot7_Age-D82),(1+Slot7_Rate)^(Slot7_Age-D82)*(1-((1+AS_Wage)/(1+Slot7_Rate))^(Slot7_Age-D82))/(1-(1+AS_Wage)/(1+Slot7_Rate))),1)</f>
        <v>1</v>
      </c>
      <c r="KC82" s="20" t="n">
        <f aca="false">IF(AND(HU82=1,IE82&gt;0,Slot7_IsWG=1,CF82=1),MAX(0,(Slot7_Cost-CG82*(1+Slot7_Rate)^(Slot7_Age-D82))/KB82),0)</f>
        <v>0</v>
      </c>
      <c r="KD82" s="20" t="n">
        <f aca="false">IF(AND(HU82=1,IE82&gt;0,Slot7_IsWG=1,CF82=1),MIN(IE82,KC82),0)</f>
        <v>0</v>
      </c>
      <c r="KE82" s="20" t="n">
        <f aca="false">CG82+KD82</f>
        <v>0</v>
      </c>
      <c r="KF82" s="20" t="n">
        <f aca="false">IF(CF82=1,MAX(0,(Slot7_Cost-KE82*(1+Slot7_Rate)^(Slot7_Age-D82))/KB82),0)</f>
        <v>0</v>
      </c>
      <c r="KG82" s="20" t="n">
        <f aca="false">IF(CF82=1,MAX(0,(Slot7_Cost-CG82*(1+Slot7_Rate)^(Slot7_Age-D82))/KB82),0)</f>
        <v>0</v>
      </c>
      <c r="KH82" s="20" t="n">
        <f aca="false">IF(AND(HU82=1,CF82=1),MIN(KA82,KF82),0)</f>
        <v>0</v>
      </c>
      <c r="KI82" s="20" t="n">
        <f aca="false">KA82-KH82</f>
        <v>0</v>
      </c>
      <c r="KJ82" s="20" t="n">
        <f aca="false">IF(CP82=1,IF(ABS((1+AS_Wage)/(1+Slot8_Rate)-1)&lt;0.000000000001,(Slot8_Age-D82)*(1+Slot8_Rate)^(Slot8_Age-D82),(1+Slot8_Rate)^(Slot8_Age-D82)*(1-((1+AS_Wage)/(1+Slot8_Rate))^(Slot8_Age-D82))/(1-(1+AS_Wage)/(1+Slot8_Rate))),1)</f>
        <v>1</v>
      </c>
      <c r="KK82" s="20" t="n">
        <f aca="false">IF(AND(HU82=1,IE82&gt;0,Slot8_IsWG=1,CP82=1),MAX(0,(Slot8_Cost-CQ82*(1+Slot8_Rate)^(Slot8_Age-D82))/KJ82),0)</f>
        <v>0</v>
      </c>
      <c r="KL82" s="20" t="n">
        <f aca="false">IF(AND(HU82=1,IE82&gt;0,Slot8_IsWG=1,CP82=1),MIN(IE82,KK82),0)</f>
        <v>0</v>
      </c>
      <c r="KM82" s="20" t="n">
        <f aca="false">CQ82+KL82</f>
        <v>0</v>
      </c>
      <c r="KN82" s="20" t="n">
        <f aca="false">IF(CP82=1,MAX(0,(Slot8_Cost-KM82*(1+Slot8_Rate)^(Slot8_Age-D82))/KJ82),0)</f>
        <v>0</v>
      </c>
      <c r="KO82" s="20" t="n">
        <f aca="false">IF(CP82=1,MAX(0,(Slot8_Cost-CQ82*(1+Slot8_Rate)^(Slot8_Age-D82))/KJ82),0)</f>
        <v>0</v>
      </c>
      <c r="KP82" s="20" t="n">
        <f aca="false">IF(AND(HU82=1,CP82=1),MIN(KI82,KN82),0)</f>
        <v>0</v>
      </c>
      <c r="KQ82" s="20" t="n">
        <f aca="false">KI82-KP82</f>
        <v>0</v>
      </c>
      <c r="KR82" s="20" t="n">
        <f aca="false">IF(CZ82=1,IF(ABS((1+AS_Wage)/(1+Slot9_Rate)-1)&lt;0.000000000001,(Slot9_Age-D82)*(1+Slot9_Rate)^(Slot9_Age-D82),(1+Slot9_Rate)^(Slot9_Age-D82)*(1-((1+AS_Wage)/(1+Slot9_Rate))^(Slot9_Age-D82))/(1-(1+AS_Wage)/(1+Slot9_Rate))),1)</f>
        <v>1</v>
      </c>
      <c r="KS82" s="20" t="n">
        <f aca="false">IF(AND(HU82=1,IE82&gt;0,Slot9_IsWG=1,CZ82=1),MAX(0,(Slot9_Cost-DA82*(1+Slot9_Rate)^(Slot9_Age-D82))/KR82),0)</f>
        <v>0</v>
      </c>
      <c r="KT82" s="20" t="n">
        <f aca="false">IF(AND(HU82=1,IE82&gt;0,Slot9_IsWG=1,CZ82=1),MIN(IE82,KS82),0)</f>
        <v>0</v>
      </c>
      <c r="KU82" s="20" t="n">
        <f aca="false">DA82+KT82</f>
        <v>0</v>
      </c>
      <c r="KV82" s="20" t="n">
        <f aca="false">IF(CZ82=1,MAX(0,(Slot9_Cost-KU82*(1+Slot9_Rate)^(Slot9_Age-D82))/KR82),0)</f>
        <v>0</v>
      </c>
      <c r="KW82" s="20" t="n">
        <f aca="false">IF(CZ82=1,MAX(0,(Slot9_Cost-DA82*(1+Slot9_Rate)^(Slot9_Age-D82))/KR82),0)</f>
        <v>0</v>
      </c>
      <c r="KX82" s="20" t="n">
        <f aca="false">IF(AND(HU82=1,CZ82=1),MIN(KQ82,KV82),0)</f>
        <v>0</v>
      </c>
      <c r="KY82" s="20" t="n">
        <f aca="false">KQ82-KX82</f>
        <v>0</v>
      </c>
      <c r="KZ82" s="20" t="n">
        <f aca="false">IF(DJ82=1,IF(ABS((1+AS_Wage)/(1+Slot10_Rate)-1)&lt;0.000000000001,(Slot10_Age-D82)*(1+Slot10_Rate)^(Slot10_Age-D82),(1+Slot10_Rate)^(Slot10_Age-D82)*(1-((1+AS_Wage)/(1+Slot10_Rate))^(Slot10_Age-D82))/(1-(1+AS_Wage)/(1+Slot10_Rate))),1)</f>
        <v>1</v>
      </c>
      <c r="LA82" s="20" t="n">
        <f aca="false">IF(AND(HU82=1,IE82&gt;0,Slot10_IsWG=1,DJ82=1),MAX(0,(Slot10_Cost-DK82*(1+Slot10_Rate)^(Slot10_Age-D82))/KZ82),0)</f>
        <v>0</v>
      </c>
      <c r="LB82" s="20" t="n">
        <f aca="false">IF(AND(HU82=1,IE82&gt;0,Slot10_IsWG=1,DJ82=1),MIN(IE82,LA82),0)</f>
        <v>0</v>
      </c>
      <c r="LC82" s="20" t="n">
        <f aca="false">DK82+LB82</f>
        <v>0</v>
      </c>
      <c r="LD82" s="20" t="n">
        <f aca="false">IF(DJ82=1,MAX(0,(Slot10_Cost-LC82*(1+Slot10_Rate)^(Slot10_Age-D82))/KZ82),0)</f>
        <v>0</v>
      </c>
      <c r="LE82" s="20" t="n">
        <f aca="false">IF(DJ82=1,MAX(0,(Slot10_Cost-DK82*(1+Slot10_Rate)^(Slot10_Age-D82))/KZ82),0)</f>
        <v>0</v>
      </c>
      <c r="LF82" s="20" t="n">
        <f aca="false">IF(AND(HU82=1,DJ82=1),MIN(KY82,LD82),0)</f>
        <v>0</v>
      </c>
      <c r="LG82" s="20" t="n">
        <f aca="false">KY82-LF82</f>
        <v>0</v>
      </c>
      <c r="LH82" s="20" t="n">
        <f aca="false">IF(DT82=1,IF(ABS((1+AS_Wage)/(1+Slot11_Rate)-1)&lt;0.000000000001,(Slot11_Age-D82)*(1+Slot11_Rate)^(Slot11_Age-D82),(1+Slot11_Rate)^(Slot11_Age-D82)*(1-((1+AS_Wage)/(1+Slot11_Rate))^(Slot11_Age-D82))/(1-(1+AS_Wage)/(1+Slot11_Rate))),1)</f>
        <v>1</v>
      </c>
      <c r="LI82" s="20" t="n">
        <f aca="false">IF(AND(HU82=1,IE82&gt;0,Slot11_IsWG=1,DT82=1),MAX(0,(Slot11_Cost-DU82*(1+Slot11_Rate)^(Slot11_Age-D82))/LH82),0)</f>
        <v>0</v>
      </c>
      <c r="LJ82" s="20" t="n">
        <f aca="false">IF(AND(HU82=1,IE82&gt;0,Slot11_IsWG=1,DT82=1),MIN(IE82,LI82),0)</f>
        <v>0</v>
      </c>
      <c r="LK82" s="20" t="n">
        <f aca="false">DU82+LJ82</f>
        <v>0</v>
      </c>
      <c r="LL82" s="20" t="n">
        <f aca="false">IF(DT82=1,MAX(0,(Slot11_Cost-LK82*(1+Slot11_Rate)^(Slot11_Age-D82))/LH82),0)</f>
        <v>0</v>
      </c>
      <c r="LM82" s="20" t="n">
        <f aca="false">IF(DT82=1,MAX(0,(Slot11_Cost-DU82*(1+Slot11_Rate)^(Slot11_Age-D82))/LH82),0)</f>
        <v>0</v>
      </c>
      <c r="LN82" s="20" t="n">
        <f aca="false">IF(AND(HU82=1,DT82=1),MIN(LG82,LL82),0)</f>
        <v>0</v>
      </c>
      <c r="LO82" s="20" t="n">
        <f aca="false">LG82-LN82</f>
        <v>0</v>
      </c>
      <c r="LP82" s="20" t="n">
        <f aca="false">IF(ED82=1,IF(ABS((1+AS_Wage)/(1+Slot12_Rate)-1)&lt;0.000000000001,(Slot12_Age-D82)*(1+Slot12_Rate)^(Slot12_Age-D82),(1+Slot12_Rate)^(Slot12_Age-D82)*(1-((1+AS_Wage)/(1+Slot12_Rate))^(Slot12_Age-D82))/(1-(1+AS_Wage)/(1+Slot12_Rate))),1)</f>
        <v>1</v>
      </c>
      <c r="LQ82" s="20" t="n">
        <f aca="false">IF(AND(HU82=1,IE82&gt;0,Slot12_IsWG=1,ED82=1),MAX(0,(Slot12_Cost-EE82*(1+Slot12_Rate)^(Slot12_Age-D82))/LP82),0)</f>
        <v>0</v>
      </c>
      <c r="LR82" s="20" t="n">
        <f aca="false">IF(AND(HU82=1,IE82&gt;0,Slot12_IsWG=1,ED82=1),MIN(IE82,LQ82),0)</f>
        <v>0</v>
      </c>
      <c r="LS82" s="20" t="n">
        <f aca="false">EE82+LR82</f>
        <v>0</v>
      </c>
      <c r="LT82" s="20" t="n">
        <f aca="false">IF(ED82=1,MAX(0,(Slot12_Cost-LS82*(1+Slot12_Rate)^(Slot12_Age-D82))/LP82),0)</f>
        <v>0</v>
      </c>
      <c r="LU82" s="20" t="n">
        <f aca="false">IF(ED82=1,MAX(0,(Slot12_Cost-EE82*(1+Slot12_Rate)^(Slot12_Age-D82))/LP82),0)</f>
        <v>0</v>
      </c>
      <c r="LV82" s="20" t="n">
        <f aca="false">IF(AND(HU82=1,ED82=1),MIN(LO82,LT82),0)</f>
        <v>0</v>
      </c>
      <c r="LW82" s="20" t="n">
        <f aca="false">LO82-LV82</f>
        <v>0</v>
      </c>
      <c r="LX82" s="20" t="n">
        <f aca="false">IF(EN82=1,IF(ABS((1+AS_Wage)/(1+Slot13_Rate)-1)&lt;0.000000000001,(Slot13_Age-D82)*(1+Slot13_Rate)^(Slot13_Age-D82),(1+Slot13_Rate)^(Slot13_Age-D82)*(1-((1+AS_Wage)/(1+Slot13_Rate))^(Slot13_Age-D82))/(1-(1+AS_Wage)/(1+Slot13_Rate))),1)</f>
        <v>1</v>
      </c>
      <c r="LY82" s="20" t="n">
        <f aca="false">IF(AND(HU82=1,IE82&gt;0,Slot13_IsWG=1,EN82=1),MAX(0,(Slot13_Cost-EO82*(1+Slot13_Rate)^(Slot13_Age-D82))/LX82),0)</f>
        <v>0</v>
      </c>
      <c r="LZ82" s="20" t="n">
        <f aca="false">IF(AND(HU82=1,IE82&gt;0,Slot13_IsWG=1,EN82=1),MIN(IE82,LY82),0)</f>
        <v>0</v>
      </c>
      <c r="MA82" s="20" t="n">
        <f aca="false">EO82+LZ82</f>
        <v>0</v>
      </c>
      <c r="MB82" s="20" t="n">
        <f aca="false">IF(EN82=1,MAX(0,(Slot13_Cost-MA82*(1+Slot13_Rate)^(Slot13_Age-D82))/LX82),0)</f>
        <v>0</v>
      </c>
      <c r="MC82" s="20" t="n">
        <f aca="false">IF(EN82=1,MAX(0,(Slot13_Cost-EO82*(1+Slot13_Rate)^(Slot13_Age-D82))/LX82),0)</f>
        <v>0</v>
      </c>
      <c r="MD82" s="20" t="n">
        <f aca="false">IF(AND(HU82=1,EN82=1),MIN(LW82,MB82),0)</f>
        <v>0</v>
      </c>
      <c r="ME82" s="20" t="n">
        <f aca="false">LW82-MD82</f>
        <v>0</v>
      </c>
      <c r="MF82" s="20" t="n">
        <f aca="false">IF(EX82=1,IF(ABS((1+AS_Wage)/(1+Slot14_Rate)-1)&lt;0.000000000001,(Slot14_Age-D82)*(1+Slot14_Rate)^(Slot14_Age-D82),(1+Slot14_Rate)^(Slot14_Age-D82)*(1-((1+AS_Wage)/(1+Slot14_Rate))^(Slot14_Age-D82))/(1-(1+AS_Wage)/(1+Slot14_Rate))),1)</f>
        <v>1</v>
      </c>
      <c r="MG82" s="20" t="n">
        <f aca="false">IF(AND(HU82=1,IE82&gt;0,Slot14_IsWG=1,EX82=1),MAX(0,(Slot14_Cost-EY82*(1+Slot14_Rate)^(Slot14_Age-D82))/MF82),0)</f>
        <v>0</v>
      </c>
      <c r="MH82" s="20" t="n">
        <f aca="false">IF(AND(HU82=1,IE82&gt;0,Slot14_IsWG=1,EX82=1),MIN(IE82,MG82),0)</f>
        <v>0</v>
      </c>
      <c r="MI82" s="20" t="n">
        <f aca="false">EY82+MH82</f>
        <v>0</v>
      </c>
      <c r="MJ82" s="20" t="n">
        <f aca="false">IF(EX82=1,MAX(0,(Slot14_Cost-MI82*(1+Slot14_Rate)^(Slot14_Age-D82))/MF82),0)</f>
        <v>0</v>
      </c>
      <c r="MK82" s="20" t="n">
        <f aca="false">IF(EX82=1,MAX(0,(Slot14_Cost-EY82*(1+Slot14_Rate)^(Slot14_Age-D82))/MF82),0)</f>
        <v>0</v>
      </c>
      <c r="ML82" s="20" t="n">
        <f aca="false">IF(AND(HU82=1,EX82=1),MIN(ME82,MJ82),0)</f>
        <v>0</v>
      </c>
      <c r="MM82" s="20" t="n">
        <f aca="false">ME82-ML82</f>
        <v>0</v>
      </c>
      <c r="MN82" s="20" t="n">
        <f aca="false">IF(FH82=1,IF(ABS((1+AS_Wage)/(1+Slot15_Rate)-1)&lt;0.000000000001,(Slot15_Age-D82)*(1+Slot15_Rate)^(Slot15_Age-D82),(1+Slot15_Rate)^(Slot15_Age-D82)*(1-((1+AS_Wage)/(1+Slot15_Rate))^(Slot15_Age-D82))/(1-(1+AS_Wage)/(1+Slot15_Rate))),1)</f>
        <v>1</v>
      </c>
      <c r="MO82" s="20" t="n">
        <f aca="false">IF(AND(HU82=1,IE82&gt;0,Slot15_IsWG=1,FH82=1),MAX(0,(Slot15_Cost-FI82*(1+Slot15_Rate)^(Slot15_Age-D82))/MN82),0)</f>
        <v>0</v>
      </c>
      <c r="MP82" s="20" t="n">
        <f aca="false">IF(AND(HU82=1,IE82&gt;0,Slot15_IsWG=1,FH82=1),MIN(IE82,MO82),0)</f>
        <v>0</v>
      </c>
      <c r="MQ82" s="20" t="n">
        <f aca="false">FI82+MP82</f>
        <v>0</v>
      </c>
      <c r="MR82" s="20" t="n">
        <f aca="false">IF(FH82=1,MAX(0,(Slot15_Cost-MQ82*(1+Slot15_Rate)^(Slot15_Age-D82))/MN82),0)</f>
        <v>0</v>
      </c>
      <c r="MS82" s="20" t="n">
        <f aca="false">IF(FH82=1,MAX(0,(Slot15_Cost-FI82*(1+Slot15_Rate)^(Slot15_Age-D82))/MN82),0)</f>
        <v>0</v>
      </c>
      <c r="MT82" s="20" t="n">
        <f aca="false">IF(AND(HU82=1,FH82=1),MIN(MM82,MR82),0)</f>
        <v>0</v>
      </c>
      <c r="MU82" s="20" t="n">
        <f aca="false">MM82-MT82</f>
        <v>0</v>
      </c>
      <c r="MV82" s="20" t="n">
        <f aca="false">IF(FR82=1,IF(ABS((1+AS_Wage)/(1+Slot16_Rate)-1)&lt;0.000000000001,(Slot16_Age-D82)*(1+Slot16_Rate)^(Slot16_Age-D82),(1+Slot16_Rate)^(Slot16_Age-D82)*(1-((1+AS_Wage)/(1+Slot16_Rate))^(Slot16_Age-D82))/(1-(1+AS_Wage)/(1+Slot16_Rate))),1)</f>
        <v>1</v>
      </c>
      <c r="MW82" s="20" t="n">
        <f aca="false">IF(AND(HU82=1,IE82&gt;0,Slot16_IsWG=1,FR82=1),MAX(0,(Slot16_Cost-FS82*(1+Slot16_Rate)^(Slot16_Age-D82))/MV82),0)</f>
        <v>0</v>
      </c>
      <c r="MX82" s="20" t="n">
        <f aca="false">IF(AND(HU82=1,IE82&gt;0,Slot16_IsWG=1,FR82=1),MIN(IE82,MW82),0)</f>
        <v>0</v>
      </c>
      <c r="MY82" s="20" t="n">
        <f aca="false">FS82+MX82</f>
        <v>0</v>
      </c>
      <c r="MZ82" s="20" t="n">
        <f aca="false">IF(FR82=1,MAX(0,(Slot16_Cost-MY82*(1+Slot16_Rate)^(Slot16_Age-D82))/MV82),0)</f>
        <v>0</v>
      </c>
      <c r="NA82" s="20" t="n">
        <f aca="false">IF(FR82=1,MAX(0,(Slot16_Cost-FS82*(1+Slot16_Rate)^(Slot16_Age-D82))/MV82),0)</f>
        <v>0</v>
      </c>
      <c r="NB82" s="20" t="n">
        <f aca="false">IF(AND(HU82=1,FR82=1),MIN(MU82,MZ82),0)</f>
        <v>0</v>
      </c>
      <c r="NC82" s="20" t="n">
        <f aca="false">MU82-NB82</f>
        <v>0</v>
      </c>
      <c r="ND82" s="20" t="n">
        <f aca="false">IF(GB82=1,IF(ABS((1+AS_Wage)/(1+Slot17_Rate)-1)&lt;0.000000000001,(Slot17_Age-D82)*(1+Slot17_Rate)^(Slot17_Age-D82),(1+Slot17_Rate)^(Slot17_Age-D82)*(1-((1+AS_Wage)/(1+Slot17_Rate))^(Slot17_Age-D82))/(1-(1+AS_Wage)/(1+Slot17_Rate))),1)</f>
        <v>1</v>
      </c>
      <c r="NE82" s="20" t="n">
        <f aca="false">IF(AND(HU82=1,IE82&gt;0,Slot17_IsWG=1,GB82=1),MAX(0,(Slot17_Cost-GC82*(1+Slot17_Rate)^(Slot17_Age-D82))/ND82),0)</f>
        <v>0</v>
      </c>
      <c r="NF82" s="20" t="n">
        <f aca="false">IF(AND(HU82=1,IE82&gt;0,Slot17_IsWG=1,GB82=1),MIN(IE82,NE82),0)</f>
        <v>0</v>
      </c>
      <c r="NG82" s="20" t="n">
        <f aca="false">GC82+NF82</f>
        <v>0</v>
      </c>
      <c r="NH82" s="20" t="n">
        <f aca="false">IF(GB82=1,MAX(0,(Slot17_Cost-NG82*(1+Slot17_Rate)^(Slot17_Age-D82))/ND82),0)</f>
        <v>0</v>
      </c>
      <c r="NI82" s="20" t="n">
        <f aca="false">IF(GB82=1,MAX(0,(Slot17_Cost-GC82*(1+Slot17_Rate)^(Slot17_Age-D82))/ND82),0)</f>
        <v>0</v>
      </c>
      <c r="NJ82" s="20" t="n">
        <f aca="false">IF(AND(HU82=1,GB82=1),MIN(NC82,NH82),0)</f>
        <v>0</v>
      </c>
      <c r="NK82" s="20" t="n">
        <f aca="false">NC82-NJ82</f>
        <v>0</v>
      </c>
      <c r="NL82" s="20" t="n">
        <f aca="false">IF(GL82=1,IF(ABS((1+AS_Wage)/(1+Slot18_Rate)-1)&lt;0.000000000001,(Slot18_Age-D82)*(1+Slot18_Rate)^(Slot18_Age-D82),(1+Slot18_Rate)^(Slot18_Age-D82)*(1-((1+AS_Wage)/(1+Slot18_Rate))^(Slot18_Age-D82))/(1-(1+AS_Wage)/(1+Slot18_Rate))),1)</f>
        <v>1</v>
      </c>
      <c r="NM82" s="20" t="n">
        <f aca="false">IF(AND(HU82=1,IE82&gt;0,Slot18_IsWG=1,GL82=1),MAX(0,(Slot18_Cost-GM82*(1+Slot18_Rate)^(Slot18_Age-D82))/NL82),0)</f>
        <v>0</v>
      </c>
      <c r="NN82" s="20" t="n">
        <f aca="false">IF(AND(HU82=1,IE82&gt;0,Slot18_IsWG=1,GL82=1),MIN(IE82,NM82),0)</f>
        <v>0</v>
      </c>
      <c r="NO82" s="20" t="n">
        <f aca="false">GM82+NN82</f>
        <v>0</v>
      </c>
      <c r="NP82" s="20" t="n">
        <f aca="false">IF(GL82=1,MAX(0,(Slot18_Cost-NO82*(1+Slot18_Rate)^(Slot18_Age-D82))/NL82),0)</f>
        <v>0</v>
      </c>
      <c r="NQ82" s="20" t="n">
        <f aca="false">IF(GL82=1,MAX(0,(Slot18_Cost-GM82*(1+Slot18_Rate)^(Slot18_Age-D82))/NL82),0)</f>
        <v>0</v>
      </c>
      <c r="NR82" s="20" t="n">
        <f aca="false">IF(AND(HU82=1,GL82=1),MIN(NK82,NP82),0)</f>
        <v>0</v>
      </c>
      <c r="NS82" s="20" t="n">
        <f aca="false">NK82-NR82</f>
        <v>0</v>
      </c>
      <c r="NT82" s="20" t="n">
        <f aca="false">IF(GV82=1,IF(ABS((1+AS_Wage)/(1+Slot19_Rate)-1)&lt;0.000000000001,(Slot19_Age-D82)*(1+Slot19_Rate)^(Slot19_Age-D82),(1+Slot19_Rate)^(Slot19_Age-D82)*(1-((1+AS_Wage)/(1+Slot19_Rate))^(Slot19_Age-D82))/(1-(1+AS_Wage)/(1+Slot19_Rate))),1)</f>
        <v>1</v>
      </c>
      <c r="NU82" s="20" t="n">
        <f aca="false">IF(AND(HU82=1,IE82&gt;0,Slot19_IsWG=1,GV82=1),MAX(0,(Slot19_Cost-GW82*(1+Slot19_Rate)^(Slot19_Age-D82))/NT82),0)</f>
        <v>0</v>
      </c>
      <c r="NV82" s="20" t="n">
        <f aca="false">IF(AND(HU82=1,IE82&gt;0,Slot19_IsWG=1,GV82=1),MIN(IE82,NU82),0)</f>
        <v>0</v>
      </c>
      <c r="NW82" s="20" t="n">
        <f aca="false">GW82+NV82</f>
        <v>0</v>
      </c>
      <c r="NX82" s="20" t="n">
        <f aca="false">IF(GV82=1,MAX(0,(Slot19_Cost-NW82*(1+Slot19_Rate)^(Slot19_Age-D82))/NT82),0)</f>
        <v>0</v>
      </c>
      <c r="NY82" s="20" t="n">
        <f aca="false">IF(GV82=1,MAX(0,(Slot19_Cost-GW82*(1+Slot19_Rate)^(Slot19_Age-D82))/NT82),0)</f>
        <v>0</v>
      </c>
      <c r="NZ82" s="20" t="n">
        <f aca="false">IF(AND(HU82=1,GV82=1),MIN(NS82,NX82),0)</f>
        <v>0</v>
      </c>
      <c r="OA82" s="20" t="n">
        <f aca="false">NS82-NZ82</f>
        <v>0</v>
      </c>
      <c r="OB82" s="20" t="n">
        <f aca="false">IF(HF82=1,IF(ABS((1+AS_Wage)/(1+Slot20_Rate)-1)&lt;0.000000000001,(Slot20_Age-D82)*(1+Slot20_Rate)^(Slot20_Age-D82),(1+Slot20_Rate)^(Slot20_Age-D82)*(1-((1+AS_Wage)/(1+Slot20_Rate))^(Slot20_Age-D82))/(1-(1+AS_Wage)/(1+Slot20_Rate))),1)</f>
        <v>1</v>
      </c>
      <c r="OC82" s="20" t="n">
        <f aca="false">IF(AND(HU82=1,IE82&gt;0,Slot20_IsWG=1,HF82=1),MAX(0,(Slot20_Cost-HG82*(1+Slot20_Rate)^(Slot20_Age-D82))/OB82),0)</f>
        <v>0</v>
      </c>
      <c r="OD82" s="20" t="n">
        <f aca="false">IF(AND(HU82=1,IE82&gt;0,Slot20_IsWG=1,HF82=1),MIN(IE82,OC82),0)</f>
        <v>0</v>
      </c>
      <c r="OE82" s="20" t="n">
        <f aca="false">HG82+OD82</f>
        <v>0</v>
      </c>
      <c r="OF82" s="20" t="n">
        <f aca="false">IF(HF82=1,MAX(0,(Slot20_Cost-OE82*(1+Slot20_Rate)^(Slot20_Age-D82))/OB82),0)</f>
        <v>0</v>
      </c>
      <c r="OG82" s="20" t="n">
        <f aca="false">IF(HF82=1,MAX(0,(Slot20_Cost-HG82*(1+Slot20_Rate)^(Slot20_Age-D82))/OB82),0)</f>
        <v>0</v>
      </c>
      <c r="OH82" s="20" t="n">
        <f aca="false">IF(AND(HU82=1,HF82=1),MIN(OA82,OF82),0)</f>
        <v>0</v>
      </c>
      <c r="OI82" s="20" t="n">
        <f aca="false">OA82-OH82</f>
        <v>0</v>
      </c>
      <c r="OJ82" s="20" t="n">
        <f aca="false">IE82-(IH82+IP82+IX82+JF82+JN82+JV82+KD82+KL82+KT82+LB82+LJ82+LR82+LZ82+MH82+MP82+MX82+NF82+NN82+NV82+OD82)</f>
        <v>0</v>
      </c>
      <c r="OK82" s="20" t="n">
        <f aca="false">IF(HU82=1,HS82-ID82-IE82,0)</f>
        <v>0</v>
      </c>
      <c r="OL82" s="20" t="n">
        <f aca="false">IF(HU82=0,-HS82,0)</f>
        <v>83405.2610563444</v>
      </c>
      <c r="OM82" s="20" t="n">
        <f aca="false">MIN(OL82,HK82)</f>
        <v>0</v>
      </c>
      <c r="ON82" s="20" t="n">
        <f aca="false">OL82-OM82</f>
        <v>83405.2610563444</v>
      </c>
      <c r="OO82" s="20" t="n">
        <f aca="false">MIN(ON82,HL82)</f>
        <v>0</v>
      </c>
      <c r="OP82" s="20" t="n">
        <f aca="false">ON82-OO82</f>
        <v>83405.2610563444</v>
      </c>
      <c r="OQ82" s="20" t="n">
        <f aca="false">IF(AND(HU82=0,HF82=1,OP82&gt;0),MIN(OP82,HG82),0)</f>
        <v>0</v>
      </c>
      <c r="OR82" s="20" t="n">
        <f aca="false">OP82-OQ82</f>
        <v>83405.2610563444</v>
      </c>
      <c r="OS82" s="20" t="n">
        <f aca="false">IF(AND(HU82=0,GV82=1,OR82&gt;0),MIN(OR82,GW82),0)</f>
        <v>0</v>
      </c>
      <c r="OT82" s="20" t="n">
        <f aca="false">OR82-OS82</f>
        <v>83405.2610563444</v>
      </c>
      <c r="OU82" s="20" t="n">
        <f aca="false">IF(AND(HU82=0,GL82=1,OT82&gt;0),MIN(OT82,GM82),0)</f>
        <v>0</v>
      </c>
      <c r="OV82" s="20" t="n">
        <f aca="false">OT82-OU82</f>
        <v>83405.2610563444</v>
      </c>
      <c r="OW82" s="20" t="n">
        <f aca="false">IF(AND(HU82=0,GB82=1,OV82&gt;0),MIN(OV82,GC82),0)</f>
        <v>0</v>
      </c>
      <c r="OX82" s="20" t="n">
        <f aca="false">OV82-OW82</f>
        <v>83405.2610563444</v>
      </c>
      <c r="OY82" s="20" t="n">
        <f aca="false">IF(AND(HU82=0,FR82=1,OX82&gt;0),MIN(OX82,FS82),0)</f>
        <v>0</v>
      </c>
      <c r="OZ82" s="20" t="n">
        <f aca="false">OX82-OY82</f>
        <v>83405.2610563444</v>
      </c>
      <c r="PA82" s="20" t="n">
        <f aca="false">IF(AND(HU82=0,FH82=1,OZ82&gt;0),MIN(OZ82,FI82),0)</f>
        <v>0</v>
      </c>
      <c r="PB82" s="20" t="n">
        <f aca="false">OZ82-PA82</f>
        <v>83405.2610563444</v>
      </c>
      <c r="PC82" s="20" t="n">
        <f aca="false">IF(AND(HU82=0,EX82=1,PB82&gt;0),MIN(PB82,EY82),0)</f>
        <v>0</v>
      </c>
      <c r="PD82" s="20" t="n">
        <f aca="false">PB82-PC82</f>
        <v>83405.2610563444</v>
      </c>
      <c r="PE82" s="20" t="n">
        <f aca="false">IF(AND(HU82=0,EN82=1,PD82&gt;0),MIN(PD82,EO82),0)</f>
        <v>0</v>
      </c>
      <c r="PF82" s="20" t="n">
        <f aca="false">PD82-PE82</f>
        <v>83405.2610563444</v>
      </c>
      <c r="PG82" s="20" t="n">
        <f aca="false">IF(AND(HU82=0,ED82=1,PF82&gt;0),MIN(PF82,EE82),0)</f>
        <v>0</v>
      </c>
      <c r="PH82" s="20" t="n">
        <f aca="false">PF82-PG82</f>
        <v>83405.2610563444</v>
      </c>
      <c r="PI82" s="20" t="n">
        <f aca="false">IF(AND(HU82=0,DT82=1,PH82&gt;0),MIN(PH82,DU82),0)</f>
        <v>0</v>
      </c>
      <c r="PJ82" s="20" t="n">
        <f aca="false">PH82-PI82</f>
        <v>83405.2610563444</v>
      </c>
      <c r="PK82" s="20" t="n">
        <f aca="false">IF(AND(HU82=0,DJ82=1,PJ82&gt;0),MIN(PJ82,DK82),0)</f>
        <v>0</v>
      </c>
      <c r="PL82" s="20" t="n">
        <f aca="false">PJ82-PK82</f>
        <v>83405.2610563444</v>
      </c>
      <c r="PM82" s="20" t="n">
        <f aca="false">IF(AND(HU82=0,CZ82=1,PL82&gt;0),MIN(PL82,DA82),0)</f>
        <v>0</v>
      </c>
      <c r="PN82" s="20" t="n">
        <f aca="false">PL82-PM82</f>
        <v>83405.2610563444</v>
      </c>
      <c r="PO82" s="20" t="n">
        <f aca="false">IF(AND(HU82=0,CP82=1,PN82&gt;0),MIN(PN82,CQ82),0)</f>
        <v>0</v>
      </c>
      <c r="PP82" s="20" t="n">
        <f aca="false">PN82-PO82</f>
        <v>83405.2610563444</v>
      </c>
      <c r="PQ82" s="20" t="n">
        <f aca="false">IF(AND(HU82=0,CF82=1,PP82&gt;0),MIN(PP82,CG82),0)</f>
        <v>0</v>
      </c>
      <c r="PR82" s="20" t="n">
        <f aca="false">PP82-PQ82</f>
        <v>83405.2610563444</v>
      </c>
      <c r="PS82" s="20" t="n">
        <f aca="false">IF(AND(HU82=0,BV82=1,PR82&gt;0),MIN(PR82,BW82),0)</f>
        <v>0</v>
      </c>
      <c r="PT82" s="20" t="n">
        <f aca="false">PR82-PS82</f>
        <v>83405.2610563444</v>
      </c>
      <c r="PU82" s="20" t="n">
        <f aca="false">IF(AND(HU82=0,BL82=1,PT82&gt;0),MIN(PT82,BM82),0)</f>
        <v>0</v>
      </c>
      <c r="PV82" s="20" t="n">
        <f aca="false">PT82-PU82</f>
        <v>83405.2610563444</v>
      </c>
      <c r="PW82" s="20" t="n">
        <f aca="false">IF(AND(HU82=0,BB82=1,PV82&gt;0),MIN(PV82,BC82),0)</f>
        <v>0</v>
      </c>
      <c r="PX82" s="20" t="n">
        <f aca="false">PV82-PW82</f>
        <v>83405.2610563444</v>
      </c>
      <c r="PY82" s="20" t="n">
        <f aca="false">IF(AND(HU82=0,AR82=1,PX82&gt;0),MIN(PX82,AS82),0)</f>
        <v>0</v>
      </c>
      <c r="PZ82" s="20" t="n">
        <f aca="false">PX82-PY82</f>
        <v>83405.2610563444</v>
      </c>
      <c r="QA82" s="20" t="n">
        <f aca="false">IF(AND(HU82=0,AH82=1,PZ82&gt;0),MIN(PZ82,AI82),0)</f>
        <v>0</v>
      </c>
      <c r="QB82" s="20" t="n">
        <f aca="false">PZ82-QA82</f>
        <v>83405.2610563444</v>
      </c>
      <c r="QC82" s="20" t="n">
        <f aca="false">IF(AND(HU82=0,W82=1,QB82&gt;0),MIN(QB82,X82),0)</f>
        <v>0</v>
      </c>
      <c r="QD82" s="20" t="n">
        <f aca="false">QB82-QC82</f>
        <v>83405.2610563444</v>
      </c>
      <c r="QE82" s="20" t="n">
        <f aca="false">IF(HU82=0,QD82,0)</f>
        <v>83405.2610563444</v>
      </c>
      <c r="QF82" s="20" t="n">
        <f aca="false">OM82+OO82+QC82+QA82+PY82+PW82+PU82+PS82+PQ82+PO82+PM82+PK82+PI82+PG82+PE82+PC82+PA82+OY82+OW82+OU82+OS82+OQ82</f>
        <v>0</v>
      </c>
      <c r="QG82" s="20" t="n">
        <f aca="false">IF(HU82=1,HK82+OJ82+OI82+IF(G82=1,0,OK82),HK82-OM82)</f>
        <v>0</v>
      </c>
      <c r="QH82" s="20" t="n">
        <f aca="false">HL82-OO82</f>
        <v>0</v>
      </c>
      <c r="QI82" s="20" t="n">
        <f aca="false">IF(HU82=1,IF(G82=1,ID82+IE82,HS82),0)</f>
        <v>0</v>
      </c>
      <c r="QJ82" s="20" t="n">
        <f aca="false">IF(HU82=1,IF(G82=1,HS82-ID82-IE82,0),0)</f>
        <v>0</v>
      </c>
      <c r="QK82" s="20" t="n">
        <f aca="false">QG82*(1+GR)</f>
        <v>0</v>
      </c>
      <c r="QL82" s="20" t="n">
        <f aca="false">QH82*(1+AS_Cash)</f>
        <v>0</v>
      </c>
      <c r="QM82" s="20" t="n">
        <f aca="false">IF(W82=1,IF(HU82=1,II82+IL82,X82-QC82)*(1+Slot1_Rate),0)</f>
        <v>0</v>
      </c>
      <c r="QN82" s="20" t="n">
        <f aca="false">IF(AND(HU82=1,W82=1),(IH82+IL82)/F82,0)</f>
        <v>0</v>
      </c>
      <c r="QO82" s="20" t="n">
        <f aca="false">IF(B82=0,IH82+IL82,0)</f>
        <v>0</v>
      </c>
      <c r="QP82" s="20" t="n">
        <f aca="false">IF(B82=0,IF(HU82=1,IJ82,IK82),0)</f>
        <v>0</v>
      </c>
      <c r="QQ82" s="20" t="n">
        <f aca="false">IF(AH82=1,IF(HU82=1,IQ82+IT82,AI82-QA82)*(1+Slot2_Rate),0)</f>
        <v>0</v>
      </c>
      <c r="QR82" s="20" t="n">
        <f aca="false">IF(AND(HU82=1,AH82=1),(IP82+IT82)/F82,0)</f>
        <v>0</v>
      </c>
      <c r="QS82" s="20" t="n">
        <f aca="false">IF(B82=0,IP82+IT82,0)</f>
        <v>0</v>
      </c>
      <c r="QT82" s="20" t="n">
        <f aca="false">IF(B82=0,IF(HU82=1,IR82,IS82),0)</f>
        <v>0</v>
      </c>
      <c r="QU82" s="20" t="n">
        <f aca="false">IF(AR82=1,IF(HU82=1,IY82+JB82,AS82-PY82)*(1+Slot3_Rate),0)</f>
        <v>0</v>
      </c>
      <c r="QV82" s="20" t="n">
        <f aca="false">IF(AND(HU82=1,AR82=1),(IX82+JB82)/F82,0)</f>
        <v>0</v>
      </c>
      <c r="QW82" s="20" t="n">
        <f aca="false">IF(B82=0,IX82+JB82,0)</f>
        <v>0</v>
      </c>
      <c r="QX82" s="20" t="n">
        <f aca="false">IF(B82=0,IF(HU82=1,IZ82,JA82),0)</f>
        <v>0</v>
      </c>
      <c r="QY82" s="20" t="n">
        <f aca="false">IF(BB82=1,IF(HU82=1,JG82+JJ82,BC82-PW82)*(1+Slot4_Rate),0)</f>
        <v>0</v>
      </c>
      <c r="QZ82" s="20" t="n">
        <f aca="false">IF(AND(HU82=1,BB82=1),(JF82+JJ82)/F82,0)</f>
        <v>0</v>
      </c>
      <c r="RA82" s="20" t="n">
        <f aca="false">IF(B82=0,JF82+JJ82,0)</f>
        <v>0</v>
      </c>
      <c r="RB82" s="20" t="n">
        <f aca="false">IF(B82=0,IF(HU82=1,JH82,JI82),0)</f>
        <v>0</v>
      </c>
      <c r="RC82" s="20" t="n">
        <f aca="false">IF(BL82=1,IF(HU82=1,JO82+JR82,BM82-PU82)*(1+Slot5_Rate),0)</f>
        <v>0</v>
      </c>
      <c r="RD82" s="20" t="n">
        <f aca="false">IF(AND(HU82=1,BL82=1),(JN82+JR82)/F82,0)</f>
        <v>0</v>
      </c>
      <c r="RE82" s="20" t="n">
        <f aca="false">IF(B82=0,JN82+JR82,0)</f>
        <v>0</v>
      </c>
      <c r="RF82" s="20" t="n">
        <f aca="false">IF(B82=0,IF(HU82=1,JP82,JQ82),0)</f>
        <v>0</v>
      </c>
      <c r="RG82" s="20" t="n">
        <f aca="false">IF(BV82=1,IF(HU82=1,JW82+JZ82,BW82-PS82)*(1+Slot6_Rate),0)</f>
        <v>0</v>
      </c>
      <c r="RH82" s="20" t="n">
        <f aca="false">IF(AND(HU82=1,BV82=1),(JV82+JZ82)/F82,0)</f>
        <v>0</v>
      </c>
      <c r="RI82" s="20" t="n">
        <f aca="false">IF(B82=0,JV82+JZ82,0)</f>
        <v>0</v>
      </c>
      <c r="RJ82" s="20" t="n">
        <f aca="false">IF(B82=0,IF(HU82=1,JX82,JY82),0)</f>
        <v>0</v>
      </c>
      <c r="RK82" s="20" t="n">
        <f aca="false">IF(CF82=1,IF(HU82=1,KE82+KH82,CG82-PQ82)*(1+Slot7_Rate),0)</f>
        <v>0</v>
      </c>
      <c r="RL82" s="20" t="n">
        <f aca="false">IF(AND(HU82=1,CF82=1),(KD82+KH82)/F82,0)</f>
        <v>0</v>
      </c>
      <c r="RM82" s="20" t="n">
        <f aca="false">IF(B82=0,KD82+KH82,0)</f>
        <v>0</v>
      </c>
      <c r="RN82" s="20" t="n">
        <f aca="false">IF(B82=0,IF(HU82=1,KF82,KG82),0)</f>
        <v>0</v>
      </c>
      <c r="RO82" s="20" t="n">
        <f aca="false">IF(CP82=1,IF(HU82=1,KM82+KP82,CQ82-PO82)*(1+Slot8_Rate),0)</f>
        <v>0</v>
      </c>
      <c r="RP82" s="20" t="n">
        <f aca="false">IF(AND(HU82=1,CP82=1),(KL82+KP82)/F82,0)</f>
        <v>0</v>
      </c>
      <c r="RQ82" s="20" t="n">
        <f aca="false">IF(B82=0,KL82+KP82,0)</f>
        <v>0</v>
      </c>
      <c r="RR82" s="20" t="n">
        <f aca="false">IF(B82=0,IF(HU82=1,KN82,KO82),0)</f>
        <v>0</v>
      </c>
      <c r="RS82" s="20" t="n">
        <f aca="false">IF(CZ82=1,IF(HU82=1,KU82+KX82,DA82-PM82)*(1+Slot9_Rate),0)</f>
        <v>0</v>
      </c>
      <c r="RT82" s="20" t="n">
        <f aca="false">IF(AND(HU82=1,CZ82=1),(KT82+KX82)/F82,0)</f>
        <v>0</v>
      </c>
      <c r="RU82" s="20" t="n">
        <f aca="false">IF(B82=0,KT82+KX82,0)</f>
        <v>0</v>
      </c>
      <c r="RV82" s="20" t="n">
        <f aca="false">IF(B82=0,IF(HU82=1,KV82,KW82),0)</f>
        <v>0</v>
      </c>
      <c r="RW82" s="20" t="n">
        <f aca="false">IF(DJ82=1,IF(HU82=1,LC82+LF82,DK82-PK82)*(1+Slot10_Rate),0)</f>
        <v>0</v>
      </c>
      <c r="RX82" s="20" t="n">
        <f aca="false">IF(AND(HU82=1,DJ82=1),(LB82+LF82)/F82,0)</f>
        <v>0</v>
      </c>
      <c r="RY82" s="20" t="n">
        <f aca="false">IF(B82=0,LB82+LF82,0)</f>
        <v>0</v>
      </c>
      <c r="RZ82" s="20" t="n">
        <f aca="false">IF(B82=0,IF(HU82=1,LD82,LE82),0)</f>
        <v>0</v>
      </c>
      <c r="SA82" s="20" t="n">
        <f aca="false">IF(DT82=1,IF(HU82=1,LK82+LN82,DU82-PI82)*(1+Slot11_Rate),0)</f>
        <v>0</v>
      </c>
      <c r="SB82" s="20" t="n">
        <f aca="false">IF(AND(HU82=1,DT82=1),(LJ82+LN82)/F82,0)</f>
        <v>0</v>
      </c>
      <c r="SC82" s="20" t="n">
        <f aca="false">IF(B82=0,LJ82+LN82,0)</f>
        <v>0</v>
      </c>
      <c r="SD82" s="20" t="n">
        <f aca="false">IF(B82=0,IF(HU82=1,LL82,LM82),0)</f>
        <v>0</v>
      </c>
      <c r="SE82" s="20" t="n">
        <f aca="false">IF(ED82=1,IF(HU82=1,LS82+LV82,EE82-PG82)*(1+Slot12_Rate),0)</f>
        <v>0</v>
      </c>
      <c r="SF82" s="20" t="n">
        <f aca="false">IF(AND(HU82=1,ED82=1),(LR82+LV82)/F82,0)</f>
        <v>0</v>
      </c>
      <c r="SG82" s="20" t="n">
        <f aca="false">IF(B82=0,LR82+LV82,0)</f>
        <v>0</v>
      </c>
      <c r="SH82" s="20" t="n">
        <f aca="false">IF(B82=0,IF(HU82=1,LT82,LU82),0)</f>
        <v>0</v>
      </c>
      <c r="SI82" s="20" t="n">
        <f aca="false">IF(EN82=1,IF(HU82=1,MA82+MD82,EO82-PE82)*(1+Slot13_Rate),0)</f>
        <v>0</v>
      </c>
      <c r="SJ82" s="20" t="n">
        <f aca="false">IF(AND(HU82=1,EN82=1),(LZ82+MD82)/F82,0)</f>
        <v>0</v>
      </c>
      <c r="SK82" s="20" t="n">
        <f aca="false">IF(B82=0,LZ82+MD82,0)</f>
        <v>0</v>
      </c>
      <c r="SL82" s="20" t="n">
        <f aca="false">IF(B82=0,IF(HU82=1,MB82,MC82),0)</f>
        <v>0</v>
      </c>
      <c r="SM82" s="20" t="n">
        <f aca="false">IF(EX82=1,IF(HU82=1,MI82+ML82,EY82-PC82)*(1+Slot14_Rate),0)</f>
        <v>0</v>
      </c>
      <c r="SN82" s="20" t="n">
        <f aca="false">IF(AND(HU82=1,EX82=1),(MH82+ML82)/F82,0)</f>
        <v>0</v>
      </c>
      <c r="SO82" s="20" t="n">
        <f aca="false">IF(B82=0,MH82+ML82,0)</f>
        <v>0</v>
      </c>
      <c r="SP82" s="20" t="n">
        <f aca="false">IF(B82=0,IF(HU82=1,MJ82,MK82),0)</f>
        <v>0</v>
      </c>
      <c r="SQ82" s="20" t="n">
        <f aca="false">IF(FH82=1,IF(HU82=1,MQ82+MT82,FI82-PA82)*(1+Slot15_Rate),0)</f>
        <v>0</v>
      </c>
      <c r="SR82" s="20" t="n">
        <f aca="false">IF(AND(HU82=1,FH82=1),(MP82+MT82)/F82,0)</f>
        <v>0</v>
      </c>
      <c r="SS82" s="20" t="n">
        <f aca="false">IF(B82=0,MP82+MT82,0)</f>
        <v>0</v>
      </c>
      <c r="ST82" s="20" t="n">
        <f aca="false">IF(B82=0,IF(HU82=1,MR82,MS82),0)</f>
        <v>0</v>
      </c>
      <c r="SU82" s="20" t="n">
        <f aca="false">IF(FR82=1,IF(HU82=1,MY82+NB82,FS82-OY82)*(1+Slot16_Rate),0)</f>
        <v>0</v>
      </c>
      <c r="SV82" s="20" t="n">
        <f aca="false">IF(AND(HU82=1,FR82=1),(MX82+NB82)/F82,0)</f>
        <v>0</v>
      </c>
      <c r="SW82" s="20" t="n">
        <f aca="false">IF(B82=0,MX82+NB82,0)</f>
        <v>0</v>
      </c>
      <c r="SX82" s="20" t="n">
        <f aca="false">IF(B82=0,IF(HU82=1,MZ82,NA82),0)</f>
        <v>0</v>
      </c>
      <c r="SY82" s="20" t="n">
        <f aca="false">IF(GB82=1,IF(HU82=1,NG82+NJ82,GC82-OW82)*(1+Slot17_Rate),0)</f>
        <v>0</v>
      </c>
      <c r="SZ82" s="20" t="n">
        <f aca="false">IF(AND(HU82=1,GB82=1),(NF82+NJ82)/F82,0)</f>
        <v>0</v>
      </c>
      <c r="TA82" s="20" t="n">
        <f aca="false">IF(B82=0,NF82+NJ82,0)</f>
        <v>0</v>
      </c>
      <c r="TB82" s="20" t="n">
        <f aca="false">IF(B82=0,IF(HU82=1,NH82,NI82),0)</f>
        <v>0</v>
      </c>
      <c r="TC82" s="20" t="n">
        <f aca="false">IF(GL82=1,IF(HU82=1,NO82+NR82,GM82-OU82)*(1+Slot18_Rate),0)</f>
        <v>0</v>
      </c>
      <c r="TD82" s="20" t="n">
        <f aca="false">IF(AND(HU82=1,GL82=1),(NN82+NR82)/F82,0)</f>
        <v>0</v>
      </c>
      <c r="TE82" s="20" t="n">
        <f aca="false">IF(B82=0,NN82+NR82,0)</f>
        <v>0</v>
      </c>
      <c r="TF82" s="20" t="n">
        <f aca="false">IF(B82=0,IF(HU82=1,NP82,NQ82),0)</f>
        <v>0</v>
      </c>
      <c r="TG82" s="20" t="n">
        <f aca="false">IF(GV82=1,IF(HU82=1,NW82+NZ82,GW82-OS82)*(1+Slot19_Rate),0)</f>
        <v>0</v>
      </c>
      <c r="TH82" s="20" t="n">
        <f aca="false">IF(AND(HU82=1,GV82=1),(NV82+NZ82)/F82,0)</f>
        <v>0</v>
      </c>
      <c r="TI82" s="20" t="n">
        <f aca="false">IF(B82=0,NV82+NZ82,0)</f>
        <v>0</v>
      </c>
      <c r="TJ82" s="20" t="n">
        <f aca="false">IF(B82=0,IF(HU82=1,NX82,NY82),0)</f>
        <v>0</v>
      </c>
      <c r="TK82" s="20" t="n">
        <f aca="false">IF(HF82=1,IF(HU82=1,OE82+OH82,HG82-OQ82)*(1+Slot20_Rate),0)</f>
        <v>0</v>
      </c>
      <c r="TL82" s="20" t="n">
        <f aca="false">IF(AND(HU82=1,HF82=1),(OD82+OH82)/F82,0)</f>
        <v>0</v>
      </c>
      <c r="TM82" s="20" t="n">
        <f aca="false">IF(B82=0,OD82+OH82,0)</f>
        <v>0</v>
      </c>
      <c r="TN82" s="20" t="n">
        <f aca="false">IF(B82=0,IF(HU82=1,OF82,OG82),0)</f>
        <v>0</v>
      </c>
      <c r="TO82" s="20" t="n">
        <f aca="false">QK82+QL82+QM82+QQ82+QU82+QY82+RC82+RG82+RK82+RO82+RS82+RW82+SA82+SE82+SI82+SM82+SQ82+SU82+SY82+TC82+TG82+TK82</f>
        <v>0</v>
      </c>
      <c r="TP82" s="20" t="n">
        <f aca="false">QE82+HP82</f>
        <v>83405.2610563444</v>
      </c>
      <c r="TQ82" s="20" t="n">
        <f aca="false">I82+S82</f>
        <v>206938.171328532</v>
      </c>
      <c r="TR82" s="20" t="n">
        <f aca="false">1-G82</f>
        <v>1</v>
      </c>
      <c r="TS82" s="20" t="n">
        <f aca="false">IF(AND(RG_Exists=1,G82=0,C82=1),I82,0)</f>
        <v>0</v>
      </c>
      <c r="TT82" s="20" t="n">
        <f aca="false">IF(AND(RG_Exists=1,G82=0,C82=1),I82-MIN(QE82,I82),0)</f>
        <v>0</v>
      </c>
      <c r="TU82" s="20" t="n">
        <f aca="false">'Plan pay &amp; tax'!AD308</f>
        <v>0</v>
      </c>
      <c r="TV82" s="20" t="n">
        <f aca="false">IF(AND(C82=1,QE82&gt;MAX(PR_Short1,TQ82*PR_Short2)),1,0)</f>
        <v>0</v>
      </c>
      <c r="TW82" s="20" t="n">
        <f aca="false">MIN(H82,I82+S82)</f>
        <v>123532.910272188</v>
      </c>
      <c r="TX82" s="20" t="n">
        <f aca="false">QF82+MAX(0,HQ82-HP82)</f>
        <v>0</v>
      </c>
      <c r="TY82" s="20" t="n">
        <f aca="false">QE82+HP82</f>
        <v>83405.2610563444</v>
      </c>
      <c r="TZ82" s="20" t="n">
        <f aca="false">IF(AND(C82=1,TY82&gt;PR_MinShort),1,0)</f>
        <v>0</v>
      </c>
      <c r="UA82" s="20" t="n">
        <f aca="false">IF(AND(C82=1,TZ82=0,TX82&gt;PR_MinShort),1,0)</f>
        <v>0</v>
      </c>
      <c r="UB82" s="20" t="n">
        <f aca="false">IF(AND(C82=1,QE82&gt;PR_MinShort),1,0)</f>
        <v>0</v>
      </c>
      <c r="UC82" s="20" t="n">
        <f aca="false">IF(AND(C82=1,QF82&gt;1,UJ82=0),1,0)</f>
        <v>0</v>
      </c>
      <c r="UD82" s="20" t="str">
        <f aca="false">IF(C82=0,"",IF(UJ82=1,"Gap to plan for: short "&amp;"€"&amp;TEXT(ROUND(TP82,0),"#,##0"),IF(QF82&gt;1,"Using savings","Comfortable")))</f>
        <v/>
      </c>
      <c r="UE82" s="20" t="n">
        <f aca="false">IF(AND(INT(D82/10)*10=90,B82&gt;0),80,INT(D82/10)*10)</f>
        <v>110</v>
      </c>
      <c r="UF82" s="20" t="n">
        <f aca="false">IF(B82=0,1,IF(UE82&lt;&gt;UE81,UF81+1,UF81))</f>
        <v>8</v>
      </c>
      <c r="UG82" s="20" t="n">
        <f aca="false">IF(AND(C82=1,G82=1,QE82&gt;MAX(PR_Short1,TQ82*PR_Short2)),1,0)</f>
        <v>0</v>
      </c>
      <c r="UH82" s="20" t="n">
        <f aca="false">TR82*TV82</f>
        <v>0</v>
      </c>
      <c r="UI82" s="20" t="n">
        <f aca="false">IF(AND(V82=1,Slot1_PctLow=1),1,0)+IF(AND(AG82=1,Slot2_PctLow=1),1,0)+IF(AND(AQ82=1,Slot3_PctLow=1),1,0)+IF(AND(BA82=1,Slot4_PctLow=1),1,0)+IF(AND(BK82=1,Slot5_PctLow=1),1,0)+IF(AND(BU82=1,Slot6_PctLow=1),1,0)+IF(AND(CE82=1,Slot7_PctLow=1),1,0)+IF(AND(CO82=1,Slot8_PctLow=1),1,0)+IF(AND(CY82=1,Slot9_PctLow=1),1,0)+IF(AND(DI82=1,Slot10_PctLow=1),1,0)+IF(AND(DS82=1,Slot11_PctLow=1),1,0)+IF(AND(EC82=1,Slot12_PctLow=1),1,0)+IF(AND(EM82=1,Slot13_PctLow=1),1,0)+IF(AND(EW82=1,Slot14_PctLow=1),1,0)+IF(AND(FG82=1,Slot15_PctLow=1),1,0)+IF(AND(FQ82=1,Slot16_PctLow=1),1,0)+IF(AND(GA82=1,Slot17_PctLow=1),1,0)+IF(AND(GK82=1,Slot18_PctLow=1),1,0)+IF(AND(GU82=1,Slot19_PctLow=1),1,0)+IF(AND(HE82=1,Slot20_PctLow=1),1,0)</f>
        <v>0</v>
      </c>
      <c r="UJ82" s="20" t="n">
        <f aca="false">IF(C82=1,IF(OR(TV82=1,UI82&gt;0),1,0),0)</f>
        <v>0</v>
      </c>
    </row>
    <row r="83" customFormat="false" ht="15" hidden="false" customHeight="true" outlineLevel="0" collapsed="false">
      <c r="B83" s="20" t="n">
        <v>75</v>
      </c>
      <c r="C83" s="20" t="n">
        <f aca="false">IF(B83&lt;=F_N,1,0)</f>
        <v>0</v>
      </c>
      <c r="D83" s="20" t="n">
        <f aca="false">'Plan pay &amp; tax'!C309</f>
        <v>113</v>
      </c>
      <c r="E83" s="20" t="str">
        <f aca="false">IF($C83=1,"Income tax "&amp;TEXT(N('Plan pay &amp; tax'!BK309),"#,##0")&amp;"; USC "&amp;TEXT(N('Plan pay &amp; tax'!BM309)+N('Plan pay &amp; tax'!BO309),"#,##0")&amp;"; PRSI "&amp;TEXT(N('Plan pay &amp; tax'!BP309)+N('Plan pay &amp; tax'!BQ309),"#,##0")&amp;". DIRT and exit tax are inside the growth rates here.","")</f>
        <v/>
      </c>
      <c r="F83" s="44" t="n">
        <f aca="false">'Plan pay &amp; tax'!E309</f>
        <v>4.41583545512767</v>
      </c>
      <c r="G83" s="20" t="n">
        <f aca="false">'Plan pay &amp; tax'!G309</f>
        <v>0</v>
      </c>
      <c r="H83" s="20" t="n">
        <f aca="false">'Plan pay &amp; tax'!BT309-'Plan pay &amp; tax'!BS309-'Plan pay &amp; tax'!R309</f>
        <v>126003.568477631</v>
      </c>
      <c r="I83" s="20" t="n">
        <f aca="false">IF(G83=1,F_CostsM*12,IF(RG_Exists=1,RG_Amount,F_CostsM*12*AS_RetireSpend))*F83+F_OneOffY*F83</f>
        <v>211076.934755103</v>
      </c>
      <c r="J83" s="20" t="n">
        <f aca="false">HR82</f>
        <v>0</v>
      </c>
      <c r="K83" s="20" t="n">
        <f aca="false">IF(J83&gt;1,'Plan debt months'!AC83,0)</f>
        <v>0</v>
      </c>
      <c r="L83" s="20" t="n">
        <f aca="false">IF(J83&gt;1,'Plan debt months'!AB83,J83)</f>
        <v>0</v>
      </c>
      <c r="M83" s="20" t="n">
        <f aca="false">O82</f>
        <v>0</v>
      </c>
      <c r="N83" s="20" t="n">
        <f aca="false">IF(M83&gt;1,'Plan debt months'!BD83,0)</f>
        <v>0</v>
      </c>
      <c r="O83" s="20" t="n">
        <f aca="false">IF(M83&gt;1,'Plan debt months'!BC83,M83)</f>
        <v>0</v>
      </c>
      <c r="P83" s="20" t="n">
        <f aca="false">R82</f>
        <v>0</v>
      </c>
      <c r="Q83" s="20" t="n">
        <f aca="false">IF(P83&gt;1,'Plan debt months'!CE83,0)</f>
        <v>0</v>
      </c>
      <c r="R83" s="20" t="n">
        <f aca="false">IF(P83&gt;1,'Plan debt months'!CD83,P83)</f>
        <v>0</v>
      </c>
      <c r="S83" s="20" t="n">
        <f aca="false">K83+N83+Q83</f>
        <v>0</v>
      </c>
      <c r="T83" s="20" t="n">
        <f aca="false">QK82+'Plan pay &amp; tax'!Y309</f>
        <v>0</v>
      </c>
      <c r="U83" s="20" t="n">
        <f aca="false">QK82</f>
        <v>0</v>
      </c>
      <c r="V83" s="20" t="n">
        <f aca="false">IF(AND(Slot1_On=1,D83=Slot1_Age),1,0)</f>
        <v>0</v>
      </c>
      <c r="W83" s="20" t="n">
        <f aca="false">IF(AND(Slot1_On=1,Slot1_Age&gt;D83),1,0)</f>
        <v>0</v>
      </c>
      <c r="X83" s="20" t="n">
        <f aca="false">QM82</f>
        <v>0</v>
      </c>
      <c r="Y83" s="20" t="n">
        <f aca="false">V83*MIN(Slot1_Cost,X83)</f>
        <v>0</v>
      </c>
      <c r="Z83" s="20" t="n">
        <f aca="false">V83*Slot1_SpendLike*MIN(Slot1_Cost-Y83,T83)</f>
        <v>0</v>
      </c>
      <c r="AA83" s="20" t="n">
        <f aca="false">Y83+Z83</f>
        <v>0</v>
      </c>
      <c r="AB83" s="20" t="n">
        <f aca="false">T83-Z83+V83*IF(Slot1_SpendLike=1,X83-Y83,IF(Slot1_PotFree=1,X83,0))</f>
        <v>0</v>
      </c>
      <c r="AC83" s="20" t="n">
        <f aca="false">AF83+V83*Slot1_BufPot*X83</f>
        <v>0</v>
      </c>
      <c r="AD83" s="20" t="n">
        <f aca="false">IF(AND(V83=1,Slot1_IsMfree=1),IF(AA83&gt;=Slot1_Cost-1,0,MAX(0,L83-AA83)),L83)</f>
        <v>0</v>
      </c>
      <c r="AE83" s="20" t="n">
        <f aca="false">V83*(Slot1_Cost-AA83)</f>
        <v>0</v>
      </c>
      <c r="AF83" s="20" t="n">
        <f aca="false">QL82</f>
        <v>0</v>
      </c>
      <c r="AG83" s="20" t="n">
        <f aca="false">IF(AND(Slot2_On=1,D83=Slot2_Age),1,0)</f>
        <v>0</v>
      </c>
      <c r="AH83" s="20" t="n">
        <f aca="false">IF(AND(Slot2_On=1,Slot2_Age&gt;D83),1,0)</f>
        <v>0</v>
      </c>
      <c r="AI83" s="20" t="n">
        <f aca="false">QQ82</f>
        <v>0</v>
      </c>
      <c r="AJ83" s="20" t="n">
        <f aca="false">AG83*MIN(Slot2_Cost,AI83)</f>
        <v>0</v>
      </c>
      <c r="AK83" s="20" t="n">
        <f aca="false">AG83*Slot2_SpendLike*MIN(Slot2_Cost-AJ83,AB83)</f>
        <v>0</v>
      </c>
      <c r="AL83" s="20" t="n">
        <f aca="false">AJ83+AK83</f>
        <v>0</v>
      </c>
      <c r="AM83" s="20" t="n">
        <f aca="false">AB83-AK83+AG83*IF(Slot2_SpendLike=1,AI83-AJ83,IF(Slot2_PotFree=1,AI83,0))</f>
        <v>0</v>
      </c>
      <c r="AN83" s="20" t="n">
        <f aca="false">AC83+AG83*Slot2_BufPot*AI83</f>
        <v>0</v>
      </c>
      <c r="AO83" s="20" t="n">
        <f aca="false">IF(AND(AG83=1,Slot2_IsMfree=1),IF(AL83&gt;=Slot2_Cost-1,0,MAX(0,AD83-AL83)),AD83)</f>
        <v>0</v>
      </c>
      <c r="AP83" s="20" t="n">
        <f aca="false">AG83*(Slot2_Cost-AL83)</f>
        <v>0</v>
      </c>
      <c r="AQ83" s="20" t="n">
        <f aca="false">IF(AND(Slot3_On=1,D83=Slot3_Age),1,0)</f>
        <v>0</v>
      </c>
      <c r="AR83" s="20" t="n">
        <f aca="false">IF(AND(Slot3_On=1,Slot3_Age&gt;D83),1,0)</f>
        <v>0</v>
      </c>
      <c r="AS83" s="20" t="n">
        <f aca="false">QU82</f>
        <v>0</v>
      </c>
      <c r="AT83" s="20" t="n">
        <f aca="false">AQ83*MIN(Slot3_Cost,AS83)</f>
        <v>0</v>
      </c>
      <c r="AU83" s="20" t="n">
        <f aca="false">AQ83*Slot3_SpendLike*MIN(Slot3_Cost-AT83,AM83)</f>
        <v>0</v>
      </c>
      <c r="AV83" s="20" t="n">
        <f aca="false">AT83+AU83</f>
        <v>0</v>
      </c>
      <c r="AW83" s="20" t="n">
        <f aca="false">AM83-AU83+AQ83*IF(Slot3_SpendLike=1,AS83-AT83,IF(Slot3_PotFree=1,AS83,0))</f>
        <v>0</v>
      </c>
      <c r="AX83" s="20" t="n">
        <f aca="false">AN83+AQ83*Slot3_BufPot*AS83</f>
        <v>0</v>
      </c>
      <c r="AY83" s="20" t="n">
        <f aca="false">IF(AND(AQ83=1,Slot3_IsMfree=1),IF(AV83&gt;=Slot3_Cost-1,0,MAX(0,AO83-AV83)),AO83)</f>
        <v>0</v>
      </c>
      <c r="AZ83" s="20" t="n">
        <f aca="false">AQ83*(Slot3_Cost-AV83)</f>
        <v>0</v>
      </c>
      <c r="BA83" s="20" t="n">
        <f aca="false">IF(AND(Slot4_On=1,D83=Slot4_Age),1,0)</f>
        <v>0</v>
      </c>
      <c r="BB83" s="20" t="n">
        <f aca="false">IF(AND(Slot4_On=1,Slot4_Age&gt;D83),1,0)</f>
        <v>0</v>
      </c>
      <c r="BC83" s="20" t="n">
        <f aca="false">QY82</f>
        <v>0</v>
      </c>
      <c r="BD83" s="20" t="n">
        <f aca="false">BA83*MIN(Slot4_Cost,BC83)</f>
        <v>0</v>
      </c>
      <c r="BE83" s="20" t="n">
        <f aca="false">BA83*Slot4_SpendLike*MIN(Slot4_Cost-BD83,AW83)</f>
        <v>0</v>
      </c>
      <c r="BF83" s="20" t="n">
        <f aca="false">BD83+BE83</f>
        <v>0</v>
      </c>
      <c r="BG83" s="20" t="n">
        <f aca="false">AW83-BE83+BA83*IF(Slot4_SpendLike=1,BC83-BD83,IF(Slot4_PotFree=1,BC83,0))</f>
        <v>0</v>
      </c>
      <c r="BH83" s="20" t="n">
        <f aca="false">AX83+BA83*Slot4_BufPot*BC83</f>
        <v>0</v>
      </c>
      <c r="BI83" s="20" t="n">
        <f aca="false">IF(AND(BA83=1,Slot4_IsMfree=1),IF(BF83&gt;=Slot4_Cost-1,0,MAX(0,AY83-BF83)),AY83)</f>
        <v>0</v>
      </c>
      <c r="BJ83" s="20" t="n">
        <f aca="false">BA83*(Slot4_Cost-BF83)</f>
        <v>0</v>
      </c>
      <c r="BK83" s="20" t="n">
        <f aca="false">IF(AND(Slot5_On=1,D83=Slot5_Age),1,0)</f>
        <v>0</v>
      </c>
      <c r="BL83" s="20" t="n">
        <f aca="false">IF(AND(Slot5_On=1,Slot5_Age&gt;D83),1,0)</f>
        <v>0</v>
      </c>
      <c r="BM83" s="20" t="n">
        <f aca="false">RC82</f>
        <v>0</v>
      </c>
      <c r="BN83" s="20" t="n">
        <f aca="false">BK83*MIN(Slot5_Cost,BM83)</f>
        <v>0</v>
      </c>
      <c r="BO83" s="20" t="n">
        <f aca="false">BK83*Slot5_SpendLike*MIN(Slot5_Cost-BN83,BG83)</f>
        <v>0</v>
      </c>
      <c r="BP83" s="20" t="n">
        <f aca="false">BN83+BO83</f>
        <v>0</v>
      </c>
      <c r="BQ83" s="20" t="n">
        <f aca="false">BG83-BO83+BK83*IF(Slot5_SpendLike=1,BM83-BN83,IF(Slot5_PotFree=1,BM83,0))</f>
        <v>0</v>
      </c>
      <c r="BR83" s="20" t="n">
        <f aca="false">BH83+BK83*Slot5_BufPot*BM83</f>
        <v>0</v>
      </c>
      <c r="BS83" s="20" t="n">
        <f aca="false">IF(AND(BK83=1,Slot5_IsMfree=1),IF(BP83&gt;=Slot5_Cost-1,0,MAX(0,BI83-BP83)),BI83)</f>
        <v>0</v>
      </c>
      <c r="BT83" s="20" t="n">
        <f aca="false">BK83*(Slot5_Cost-BP83)</f>
        <v>0</v>
      </c>
      <c r="BU83" s="20" t="n">
        <f aca="false">IF(AND(Slot6_On=1,D83=Slot6_Age),1,0)</f>
        <v>0</v>
      </c>
      <c r="BV83" s="20" t="n">
        <f aca="false">IF(AND(Slot6_On=1,Slot6_Age&gt;D83),1,0)</f>
        <v>0</v>
      </c>
      <c r="BW83" s="20" t="n">
        <f aca="false">RG82</f>
        <v>0</v>
      </c>
      <c r="BX83" s="20" t="n">
        <f aca="false">BU83*MIN(Slot6_Cost,BW83)</f>
        <v>0</v>
      </c>
      <c r="BY83" s="20" t="n">
        <f aca="false">BU83*Slot6_SpendLike*MIN(Slot6_Cost-BX83,BQ83)</f>
        <v>0</v>
      </c>
      <c r="BZ83" s="20" t="n">
        <f aca="false">BX83+BY83</f>
        <v>0</v>
      </c>
      <c r="CA83" s="20" t="n">
        <f aca="false">BQ83-BY83+BU83*IF(Slot6_SpendLike=1,BW83-BX83,IF(Slot6_PotFree=1,BW83,0))</f>
        <v>0</v>
      </c>
      <c r="CB83" s="20" t="n">
        <f aca="false">BR83+BU83*Slot6_BufPot*BW83</f>
        <v>0</v>
      </c>
      <c r="CC83" s="20" t="n">
        <f aca="false">IF(AND(BU83=1,Slot6_IsMfree=1),IF(BZ83&gt;=Slot6_Cost-1,0,MAX(0,BS83-BZ83)),BS83)</f>
        <v>0</v>
      </c>
      <c r="CD83" s="20" t="n">
        <f aca="false">BU83*(Slot6_Cost-BZ83)</f>
        <v>0</v>
      </c>
      <c r="CE83" s="20" t="n">
        <f aca="false">IF(AND(Slot7_On=1,D83=Slot7_Age),1,0)</f>
        <v>0</v>
      </c>
      <c r="CF83" s="20" t="n">
        <f aca="false">IF(AND(Slot7_On=1,Slot7_Age&gt;D83),1,0)</f>
        <v>0</v>
      </c>
      <c r="CG83" s="20" t="n">
        <f aca="false">RK82</f>
        <v>0</v>
      </c>
      <c r="CH83" s="20" t="n">
        <f aca="false">CE83*MIN(Slot7_Cost,CG83)</f>
        <v>0</v>
      </c>
      <c r="CI83" s="20" t="n">
        <f aca="false">CE83*Slot7_SpendLike*MIN(Slot7_Cost-CH83,CA83)</f>
        <v>0</v>
      </c>
      <c r="CJ83" s="20" t="n">
        <f aca="false">CH83+CI83</f>
        <v>0</v>
      </c>
      <c r="CK83" s="20" t="n">
        <f aca="false">CA83-CI83+CE83*IF(Slot7_SpendLike=1,CG83-CH83,IF(Slot7_PotFree=1,CG83,0))</f>
        <v>0</v>
      </c>
      <c r="CL83" s="20" t="n">
        <f aca="false">CB83+CE83*Slot7_BufPot*CG83</f>
        <v>0</v>
      </c>
      <c r="CM83" s="20" t="n">
        <f aca="false">IF(AND(CE83=1,Slot7_IsMfree=1),IF(CJ83&gt;=Slot7_Cost-1,0,MAX(0,CC83-CJ83)),CC83)</f>
        <v>0</v>
      </c>
      <c r="CN83" s="20" t="n">
        <f aca="false">CE83*(Slot7_Cost-CJ83)</f>
        <v>0</v>
      </c>
      <c r="CO83" s="20" t="n">
        <f aca="false">IF(AND(Slot8_On=1,D83=Slot8_Age),1,0)</f>
        <v>0</v>
      </c>
      <c r="CP83" s="20" t="n">
        <f aca="false">IF(AND(Slot8_On=1,Slot8_Age&gt;D83),1,0)</f>
        <v>0</v>
      </c>
      <c r="CQ83" s="20" t="n">
        <f aca="false">RO82</f>
        <v>0</v>
      </c>
      <c r="CR83" s="20" t="n">
        <f aca="false">CO83*MIN(Slot8_Cost,CQ83)</f>
        <v>0</v>
      </c>
      <c r="CS83" s="20" t="n">
        <f aca="false">CO83*Slot8_SpendLike*MIN(Slot8_Cost-CR83,CK83)</f>
        <v>0</v>
      </c>
      <c r="CT83" s="20" t="n">
        <f aca="false">CR83+CS83</f>
        <v>0</v>
      </c>
      <c r="CU83" s="20" t="n">
        <f aca="false">CK83-CS83+CO83*IF(Slot8_SpendLike=1,CQ83-CR83,IF(Slot8_PotFree=1,CQ83,0))</f>
        <v>0</v>
      </c>
      <c r="CV83" s="20" t="n">
        <f aca="false">CL83+CO83*Slot8_BufPot*CQ83</f>
        <v>0</v>
      </c>
      <c r="CW83" s="20" t="n">
        <f aca="false">IF(AND(CO83=1,Slot8_IsMfree=1),IF(CT83&gt;=Slot8_Cost-1,0,MAX(0,CM83-CT83)),CM83)</f>
        <v>0</v>
      </c>
      <c r="CX83" s="20" t="n">
        <f aca="false">CO83*(Slot8_Cost-CT83)</f>
        <v>0</v>
      </c>
      <c r="CY83" s="20" t="n">
        <f aca="false">IF(AND(Slot9_On=1,D83=Slot9_Age),1,0)</f>
        <v>0</v>
      </c>
      <c r="CZ83" s="20" t="n">
        <f aca="false">IF(AND(Slot9_On=1,Slot9_Age&gt;D83),1,0)</f>
        <v>0</v>
      </c>
      <c r="DA83" s="20" t="n">
        <f aca="false">RS82</f>
        <v>0</v>
      </c>
      <c r="DB83" s="20" t="n">
        <f aca="false">CY83*MIN(Slot9_Cost,DA83)</f>
        <v>0</v>
      </c>
      <c r="DC83" s="20" t="n">
        <f aca="false">CY83*Slot9_SpendLike*MIN(Slot9_Cost-DB83,CU83)</f>
        <v>0</v>
      </c>
      <c r="DD83" s="20" t="n">
        <f aca="false">DB83+DC83</f>
        <v>0</v>
      </c>
      <c r="DE83" s="20" t="n">
        <f aca="false">CU83-DC83+CY83*IF(Slot9_SpendLike=1,DA83-DB83,IF(Slot9_PotFree=1,DA83,0))</f>
        <v>0</v>
      </c>
      <c r="DF83" s="20" t="n">
        <f aca="false">CV83+CY83*Slot9_BufPot*DA83</f>
        <v>0</v>
      </c>
      <c r="DG83" s="20" t="n">
        <f aca="false">IF(AND(CY83=1,Slot9_IsMfree=1),IF(DD83&gt;=Slot9_Cost-1,0,MAX(0,CW83-DD83)),CW83)</f>
        <v>0</v>
      </c>
      <c r="DH83" s="20" t="n">
        <f aca="false">CY83*(Slot9_Cost-DD83)</f>
        <v>0</v>
      </c>
      <c r="DI83" s="20" t="n">
        <f aca="false">IF(AND(Slot10_On=1,D83=Slot10_Age),1,0)</f>
        <v>0</v>
      </c>
      <c r="DJ83" s="20" t="n">
        <f aca="false">IF(AND(Slot10_On=1,Slot10_Age&gt;D83),1,0)</f>
        <v>0</v>
      </c>
      <c r="DK83" s="20" t="n">
        <f aca="false">RW82</f>
        <v>0</v>
      </c>
      <c r="DL83" s="20" t="n">
        <f aca="false">DI83*MIN(Slot10_Cost,DK83)</f>
        <v>0</v>
      </c>
      <c r="DM83" s="20" t="n">
        <f aca="false">DI83*Slot10_SpendLike*MIN(Slot10_Cost-DL83,DE83)</f>
        <v>0</v>
      </c>
      <c r="DN83" s="20" t="n">
        <f aca="false">DL83+DM83</f>
        <v>0</v>
      </c>
      <c r="DO83" s="20" t="n">
        <f aca="false">DE83-DM83+DI83*IF(Slot10_SpendLike=1,DK83-DL83,IF(Slot10_PotFree=1,DK83,0))</f>
        <v>0</v>
      </c>
      <c r="DP83" s="20" t="n">
        <f aca="false">DF83+DI83*Slot10_BufPot*DK83</f>
        <v>0</v>
      </c>
      <c r="DQ83" s="20" t="n">
        <f aca="false">IF(AND(DI83=1,Slot10_IsMfree=1),IF(DN83&gt;=Slot10_Cost-1,0,MAX(0,DG83-DN83)),DG83)</f>
        <v>0</v>
      </c>
      <c r="DR83" s="20" t="n">
        <f aca="false">DI83*(Slot10_Cost-DN83)</f>
        <v>0</v>
      </c>
      <c r="DS83" s="20" t="n">
        <f aca="false">IF(AND(Slot11_On=1,D83=Slot11_Age),1,0)</f>
        <v>0</v>
      </c>
      <c r="DT83" s="20" t="n">
        <f aca="false">IF(AND(Slot11_On=1,Slot11_Age&gt;D83),1,0)</f>
        <v>0</v>
      </c>
      <c r="DU83" s="20" t="n">
        <f aca="false">SA82</f>
        <v>0</v>
      </c>
      <c r="DV83" s="20" t="n">
        <f aca="false">DS83*MIN(Slot11_Cost,DU83)</f>
        <v>0</v>
      </c>
      <c r="DW83" s="20" t="n">
        <f aca="false">DS83*Slot11_SpendLike*MIN(Slot11_Cost-DV83,DO83)</f>
        <v>0</v>
      </c>
      <c r="DX83" s="20" t="n">
        <f aca="false">DV83+DW83</f>
        <v>0</v>
      </c>
      <c r="DY83" s="20" t="n">
        <f aca="false">DO83-DW83+DS83*IF(Slot11_SpendLike=1,DU83-DV83,IF(Slot11_PotFree=1,DU83,0))</f>
        <v>0</v>
      </c>
      <c r="DZ83" s="20" t="n">
        <f aca="false">DP83+DS83*Slot11_BufPot*DU83</f>
        <v>0</v>
      </c>
      <c r="EA83" s="20" t="n">
        <f aca="false">IF(AND(DS83=1,Slot11_IsMfree=1),IF(DX83&gt;=Slot11_Cost-1,0,MAX(0,DQ83-DX83)),DQ83)</f>
        <v>0</v>
      </c>
      <c r="EB83" s="20" t="n">
        <f aca="false">DS83*(Slot11_Cost-DX83)</f>
        <v>0</v>
      </c>
      <c r="EC83" s="20" t="n">
        <f aca="false">IF(AND(Slot12_On=1,D83=Slot12_Age),1,0)</f>
        <v>0</v>
      </c>
      <c r="ED83" s="20" t="n">
        <f aca="false">IF(AND(Slot12_On=1,Slot12_Age&gt;D83),1,0)</f>
        <v>0</v>
      </c>
      <c r="EE83" s="20" t="n">
        <f aca="false">SE82</f>
        <v>0</v>
      </c>
      <c r="EF83" s="20" t="n">
        <f aca="false">EC83*MIN(Slot12_Cost,EE83)</f>
        <v>0</v>
      </c>
      <c r="EG83" s="20" t="n">
        <f aca="false">EC83*Slot12_SpendLike*MIN(Slot12_Cost-EF83,DY83)</f>
        <v>0</v>
      </c>
      <c r="EH83" s="20" t="n">
        <f aca="false">EF83+EG83</f>
        <v>0</v>
      </c>
      <c r="EI83" s="20" t="n">
        <f aca="false">DY83-EG83+EC83*IF(Slot12_SpendLike=1,EE83-EF83,IF(Slot12_PotFree=1,EE83,0))</f>
        <v>0</v>
      </c>
      <c r="EJ83" s="20" t="n">
        <f aca="false">DZ83+EC83*Slot12_BufPot*EE83</f>
        <v>0</v>
      </c>
      <c r="EK83" s="20" t="n">
        <f aca="false">IF(AND(EC83=1,Slot12_IsMfree=1),IF(EH83&gt;=Slot12_Cost-1,0,MAX(0,EA83-EH83)),EA83)</f>
        <v>0</v>
      </c>
      <c r="EL83" s="20" t="n">
        <f aca="false">EC83*(Slot12_Cost-EH83)</f>
        <v>0</v>
      </c>
      <c r="EM83" s="20" t="n">
        <f aca="false">IF(AND(Slot13_On=1,D83=Slot13_Age),1,0)</f>
        <v>0</v>
      </c>
      <c r="EN83" s="20" t="n">
        <f aca="false">IF(AND(Slot13_On=1,Slot13_Age&gt;D83),1,0)</f>
        <v>0</v>
      </c>
      <c r="EO83" s="20" t="n">
        <f aca="false">SI82</f>
        <v>0</v>
      </c>
      <c r="EP83" s="20" t="n">
        <f aca="false">EM83*MIN(Slot13_Cost,EO83)</f>
        <v>0</v>
      </c>
      <c r="EQ83" s="20" t="n">
        <f aca="false">EM83*Slot13_SpendLike*MIN(Slot13_Cost-EP83,EI83)</f>
        <v>0</v>
      </c>
      <c r="ER83" s="20" t="n">
        <f aca="false">EP83+EQ83</f>
        <v>0</v>
      </c>
      <c r="ES83" s="20" t="n">
        <f aca="false">EI83-EQ83+EM83*IF(Slot13_SpendLike=1,EO83-EP83,IF(Slot13_PotFree=1,EO83,0))</f>
        <v>0</v>
      </c>
      <c r="ET83" s="20" t="n">
        <f aca="false">EJ83+EM83*Slot13_BufPot*EO83</f>
        <v>0</v>
      </c>
      <c r="EU83" s="20" t="n">
        <f aca="false">IF(AND(EM83=1,Slot13_IsMfree=1),IF(ER83&gt;=Slot13_Cost-1,0,MAX(0,EK83-ER83)),EK83)</f>
        <v>0</v>
      </c>
      <c r="EV83" s="20" t="n">
        <f aca="false">EM83*(Slot13_Cost-ER83)</f>
        <v>0</v>
      </c>
      <c r="EW83" s="20" t="n">
        <f aca="false">IF(AND(Slot14_On=1,D83=Slot14_Age),1,0)</f>
        <v>0</v>
      </c>
      <c r="EX83" s="20" t="n">
        <f aca="false">IF(AND(Slot14_On=1,Slot14_Age&gt;D83),1,0)</f>
        <v>0</v>
      </c>
      <c r="EY83" s="20" t="n">
        <f aca="false">SM82</f>
        <v>0</v>
      </c>
      <c r="EZ83" s="20" t="n">
        <f aca="false">EW83*MIN(Slot14_Cost,EY83)</f>
        <v>0</v>
      </c>
      <c r="FA83" s="20" t="n">
        <f aca="false">EW83*Slot14_SpendLike*MIN(Slot14_Cost-EZ83,ES83)</f>
        <v>0</v>
      </c>
      <c r="FB83" s="20" t="n">
        <f aca="false">EZ83+FA83</f>
        <v>0</v>
      </c>
      <c r="FC83" s="20" t="n">
        <f aca="false">ES83-FA83+EW83*IF(Slot14_SpendLike=1,EY83-EZ83,IF(Slot14_PotFree=1,EY83,0))</f>
        <v>0</v>
      </c>
      <c r="FD83" s="20" t="n">
        <f aca="false">ET83+EW83*Slot14_BufPot*EY83</f>
        <v>0</v>
      </c>
      <c r="FE83" s="20" t="n">
        <f aca="false">IF(AND(EW83=1,Slot14_IsMfree=1),IF(FB83&gt;=Slot14_Cost-1,0,MAX(0,EU83-FB83)),EU83)</f>
        <v>0</v>
      </c>
      <c r="FF83" s="20" t="n">
        <f aca="false">EW83*(Slot14_Cost-FB83)</f>
        <v>0</v>
      </c>
      <c r="FG83" s="20" t="n">
        <f aca="false">IF(AND(Slot15_On=1,D83=Slot15_Age),1,0)</f>
        <v>0</v>
      </c>
      <c r="FH83" s="20" t="n">
        <f aca="false">IF(AND(Slot15_On=1,Slot15_Age&gt;D83),1,0)</f>
        <v>0</v>
      </c>
      <c r="FI83" s="20" t="n">
        <f aca="false">SQ82</f>
        <v>0</v>
      </c>
      <c r="FJ83" s="20" t="n">
        <f aca="false">FG83*MIN(Slot15_Cost,FI83)</f>
        <v>0</v>
      </c>
      <c r="FK83" s="20" t="n">
        <f aca="false">FG83*Slot15_SpendLike*MIN(Slot15_Cost-FJ83,FC83)</f>
        <v>0</v>
      </c>
      <c r="FL83" s="20" t="n">
        <f aca="false">FJ83+FK83</f>
        <v>0</v>
      </c>
      <c r="FM83" s="20" t="n">
        <f aca="false">FC83-FK83+FG83*IF(Slot15_SpendLike=1,FI83-FJ83,IF(Slot15_PotFree=1,FI83,0))</f>
        <v>0</v>
      </c>
      <c r="FN83" s="20" t="n">
        <f aca="false">FD83+FG83*Slot15_BufPot*FI83</f>
        <v>0</v>
      </c>
      <c r="FO83" s="20" t="n">
        <f aca="false">IF(AND(FG83=1,Slot15_IsMfree=1),IF(FL83&gt;=Slot15_Cost-1,0,MAX(0,FE83-FL83)),FE83)</f>
        <v>0</v>
      </c>
      <c r="FP83" s="20" t="n">
        <f aca="false">FG83*(Slot15_Cost-FL83)</f>
        <v>0</v>
      </c>
      <c r="FQ83" s="20" t="n">
        <f aca="false">IF(AND(Slot16_On=1,D83=Slot16_Age),1,0)</f>
        <v>0</v>
      </c>
      <c r="FR83" s="20" t="n">
        <f aca="false">IF(AND(Slot16_On=1,Slot16_Age&gt;D83),1,0)</f>
        <v>0</v>
      </c>
      <c r="FS83" s="20" t="n">
        <f aca="false">SU82</f>
        <v>0</v>
      </c>
      <c r="FT83" s="20" t="n">
        <f aca="false">FQ83*MIN(Slot16_Cost,FS83)</f>
        <v>0</v>
      </c>
      <c r="FU83" s="20" t="n">
        <f aca="false">FQ83*Slot16_SpendLike*MIN(Slot16_Cost-FT83,FM83)</f>
        <v>0</v>
      </c>
      <c r="FV83" s="20" t="n">
        <f aca="false">FT83+FU83</f>
        <v>0</v>
      </c>
      <c r="FW83" s="20" t="n">
        <f aca="false">FM83-FU83+FQ83*IF(Slot16_SpendLike=1,FS83-FT83,IF(Slot16_PotFree=1,FS83,0))</f>
        <v>0</v>
      </c>
      <c r="FX83" s="20" t="n">
        <f aca="false">FN83+FQ83*Slot16_BufPot*FS83</f>
        <v>0</v>
      </c>
      <c r="FY83" s="20" t="n">
        <f aca="false">IF(AND(FQ83=1,Slot16_IsMfree=1),IF(FV83&gt;=Slot16_Cost-1,0,MAX(0,FO83-FV83)),FO83)</f>
        <v>0</v>
      </c>
      <c r="FZ83" s="20" t="n">
        <f aca="false">FQ83*(Slot16_Cost-FV83)</f>
        <v>0</v>
      </c>
      <c r="GA83" s="20" t="n">
        <f aca="false">IF(AND(Slot17_On=1,D83=Slot17_Age),1,0)</f>
        <v>0</v>
      </c>
      <c r="GB83" s="20" t="n">
        <f aca="false">IF(AND(Slot17_On=1,Slot17_Age&gt;D83),1,0)</f>
        <v>0</v>
      </c>
      <c r="GC83" s="20" t="n">
        <f aca="false">SY82</f>
        <v>0</v>
      </c>
      <c r="GD83" s="20" t="n">
        <f aca="false">GA83*MIN(Slot17_Cost,GC83)</f>
        <v>0</v>
      </c>
      <c r="GE83" s="20" t="n">
        <f aca="false">GA83*Slot17_SpendLike*MIN(Slot17_Cost-GD83,FW83)</f>
        <v>0</v>
      </c>
      <c r="GF83" s="20" t="n">
        <f aca="false">GD83+GE83</f>
        <v>0</v>
      </c>
      <c r="GG83" s="20" t="n">
        <f aca="false">FW83-GE83+GA83*IF(Slot17_SpendLike=1,GC83-GD83,IF(Slot17_PotFree=1,GC83,0))</f>
        <v>0</v>
      </c>
      <c r="GH83" s="20" t="n">
        <f aca="false">FX83+GA83*Slot17_BufPot*GC83</f>
        <v>0</v>
      </c>
      <c r="GI83" s="20" t="n">
        <f aca="false">IF(AND(GA83=1,Slot17_IsMfree=1),IF(GF83&gt;=Slot17_Cost-1,0,MAX(0,FY83-GF83)),FY83)</f>
        <v>0</v>
      </c>
      <c r="GJ83" s="20" t="n">
        <f aca="false">GA83*(Slot17_Cost-GF83)</f>
        <v>0</v>
      </c>
      <c r="GK83" s="20" t="n">
        <f aca="false">IF(AND(Slot18_On=1,D83=Slot18_Age),1,0)</f>
        <v>0</v>
      </c>
      <c r="GL83" s="20" t="n">
        <f aca="false">IF(AND(Slot18_On=1,Slot18_Age&gt;D83),1,0)</f>
        <v>0</v>
      </c>
      <c r="GM83" s="20" t="n">
        <f aca="false">TC82</f>
        <v>0</v>
      </c>
      <c r="GN83" s="20" t="n">
        <f aca="false">GK83*MIN(Slot18_Cost,GM83)</f>
        <v>0</v>
      </c>
      <c r="GO83" s="20" t="n">
        <f aca="false">GK83*Slot18_SpendLike*MIN(Slot18_Cost-GN83,GG83)</f>
        <v>0</v>
      </c>
      <c r="GP83" s="20" t="n">
        <f aca="false">GN83+GO83</f>
        <v>0</v>
      </c>
      <c r="GQ83" s="20" t="n">
        <f aca="false">GG83-GO83+GK83*IF(Slot18_SpendLike=1,GM83-GN83,IF(Slot18_PotFree=1,GM83,0))</f>
        <v>0</v>
      </c>
      <c r="GR83" s="20" t="n">
        <f aca="false">GH83+GK83*Slot18_BufPot*GM83</f>
        <v>0</v>
      </c>
      <c r="GS83" s="20" t="n">
        <f aca="false">IF(AND(GK83=1,Slot18_IsMfree=1),IF(GP83&gt;=Slot18_Cost-1,0,MAX(0,GI83-GP83)),GI83)</f>
        <v>0</v>
      </c>
      <c r="GT83" s="20" t="n">
        <f aca="false">GK83*(Slot18_Cost-GP83)</f>
        <v>0</v>
      </c>
      <c r="GU83" s="20" t="n">
        <f aca="false">IF(AND(Slot19_On=1,D83=Slot19_Age),1,0)</f>
        <v>0</v>
      </c>
      <c r="GV83" s="20" t="n">
        <f aca="false">IF(AND(Slot19_On=1,Slot19_Age&gt;D83),1,0)</f>
        <v>0</v>
      </c>
      <c r="GW83" s="20" t="n">
        <f aca="false">TG82</f>
        <v>0</v>
      </c>
      <c r="GX83" s="20" t="n">
        <f aca="false">GU83*MIN(Slot19_Cost,GW83)</f>
        <v>0</v>
      </c>
      <c r="GY83" s="20" t="n">
        <f aca="false">GU83*Slot19_SpendLike*MIN(Slot19_Cost-GX83,GQ83)</f>
        <v>0</v>
      </c>
      <c r="GZ83" s="20" t="n">
        <f aca="false">GX83+GY83</f>
        <v>0</v>
      </c>
      <c r="HA83" s="20" t="n">
        <f aca="false">GQ83-GY83+GU83*IF(Slot19_SpendLike=1,GW83-GX83,IF(Slot19_PotFree=1,GW83,0))</f>
        <v>0</v>
      </c>
      <c r="HB83" s="20" t="n">
        <f aca="false">GR83+GU83*Slot19_BufPot*GW83</f>
        <v>0</v>
      </c>
      <c r="HC83" s="20" t="n">
        <f aca="false">IF(AND(GU83=1,Slot19_IsMfree=1),IF(GZ83&gt;=Slot19_Cost-1,0,MAX(0,GS83-GZ83)),GS83)</f>
        <v>0</v>
      </c>
      <c r="HD83" s="20" t="n">
        <f aca="false">GU83*(Slot19_Cost-GZ83)</f>
        <v>0</v>
      </c>
      <c r="HE83" s="20" t="n">
        <f aca="false">IF(AND(Slot20_On=1,D83=Slot20_Age),1,0)</f>
        <v>0</v>
      </c>
      <c r="HF83" s="20" t="n">
        <f aca="false">IF(AND(Slot20_On=1,Slot20_Age&gt;D83),1,0)</f>
        <v>0</v>
      </c>
      <c r="HG83" s="20" t="n">
        <f aca="false">TK82</f>
        <v>0</v>
      </c>
      <c r="HH83" s="20" t="n">
        <f aca="false">HE83*MIN(Slot20_Cost,HG83)</f>
        <v>0</v>
      </c>
      <c r="HI83" s="20" t="n">
        <f aca="false">HE83*Slot20_SpendLike*MIN(Slot20_Cost-HH83,HA83)</f>
        <v>0</v>
      </c>
      <c r="HJ83" s="20" t="n">
        <f aca="false">HH83+HI83</f>
        <v>0</v>
      </c>
      <c r="HK83" s="20" t="n">
        <f aca="false">HA83-HI83+HE83*IF(Slot20_SpendLike=1,HG83-HH83,IF(Slot20_PotFree=1,HG83,0))</f>
        <v>0</v>
      </c>
      <c r="HL83" s="20" t="n">
        <f aca="false">HB83+HE83*Slot20_BufPot*HG83</f>
        <v>0</v>
      </c>
      <c r="HM83" s="20" t="n">
        <f aca="false">IF(AND(HE83=1,Slot20_IsMfree=1),IF(HJ83&gt;=Slot20_Cost-1,0,MAX(0,HC83-HJ83)),HC83)</f>
        <v>0</v>
      </c>
      <c r="HN83" s="20" t="n">
        <f aca="false">HE83*(Slot20_Cost-HJ83)</f>
        <v>0</v>
      </c>
      <c r="HO83" s="20" t="n">
        <f aca="false">V83*Slot1_SpendLike*AA83+AG83*Slot2_SpendLike*AL83+AQ83*Slot3_SpendLike*AV83+BA83*Slot4_SpendLike*BF83+BK83*Slot5_SpendLike*BP83+BU83*Slot6_SpendLike*BZ83+CE83*Slot7_SpendLike*CJ83+CO83*Slot8_SpendLike*CT83+CY83*Slot9_SpendLike*DD83+DI83*Slot10_SpendLike*DN83+DS83*Slot11_SpendLike*DX83+EC83*Slot12_SpendLike*EH83+EM83*Slot13_SpendLike*ER83+EW83*Slot14_SpendLike*FB83+FG83*Slot15_SpendLike*FL83+FQ83*Slot16_SpendLike*FV83+GA83*Slot17_SpendLike*GF83+GK83*Slot18_SpendLike*GP83+GU83*Slot19_SpendLike*GZ83+HE83*Slot20_SpendLike*HJ83</f>
        <v>0</v>
      </c>
      <c r="HP83" s="20" t="n">
        <f aca="false">AE83+AP83+AZ83+BJ83+BT83+CD83+CN83+CX83+DH83+DR83+EB83+EL83+EV83+FF83+FP83+FZ83+GJ83+GT83+HD83+HN83</f>
        <v>0</v>
      </c>
      <c r="HQ83" s="20" t="n">
        <f aca="false">V83*Slot1_Cost+AG83*Slot2_Cost+AQ83*Slot3_Cost+BA83*Slot4_Cost+BK83*Slot5_Cost+BU83*Slot6_Cost+CE83*Slot7_Cost+CO83*Slot8_Cost+CY83*Slot9_Cost+DI83*Slot10_Cost+DS83*Slot11_Cost+EC83*Slot12_Cost+EM83*Slot13_Cost+EW83*Slot14_Cost+FG83*Slot15_Cost+FQ83*Slot16_Cost+GA83*Slot17_Cost+GK83*Slot18_Cost+GU83*Slot19_Cost+HE83*Slot20_Cost</f>
        <v>0</v>
      </c>
      <c r="HR83" s="20" t="n">
        <f aca="false">HM83</f>
        <v>0</v>
      </c>
      <c r="HS83" s="20" t="n">
        <f aca="false">H83-I83-S83</f>
        <v>-85073.3662774712</v>
      </c>
      <c r="HT83" s="20" t="n">
        <f aca="false">IF(B83=0,IF(AND(Has_q6=1,In_q6=4),PR_ShareVaries*(MAX(0,HS83)/12),MIN(IF(Has_q6=1,CHOOSE(In_q6+1,PR_SaveB1,PR_SaveB2,PR_SaveB3,PR_SaveB4,0),AS_NoAnswer),AS_SaveShare*(MAX(0,HS83)/12))),HT82)</f>
        <v>62.3316893520437</v>
      </c>
      <c r="HU83" s="20" t="n">
        <f aca="false">IF(HS83&gt;=0,1,0)</f>
        <v>0</v>
      </c>
      <c r="HV83" s="20" t="n">
        <f aca="false">MAX(0,HS83/12/F83)</f>
        <v>0</v>
      </c>
      <c r="HW83" s="20" t="n">
        <f aca="false">IF(AND(Has_q6=1,In_q6=4),PR_ShareVaries*(HV83),MIN(IF(Has_q6=1,CHOOSE(In_q6+1,PR_SaveB1,PR_SaveB2,PR_SaveB3,PR_SaveB4,0),AS_NoAnswer),AS_SaveShare*(HV83)))</f>
        <v>0</v>
      </c>
      <c r="HX83" s="20" t="n">
        <f aca="false">IF(Has_saveM=1,IF(In_saveUp="Yes",1,IF(In_saveUp="No",0,IF(In_saveM&gt;=HT83-0.5,1,0))),0)</f>
        <v>0</v>
      </c>
      <c r="HY83" s="20" t="n">
        <f aca="false">IF(Has_saveM=1,MIN(HV83,IF(HX83=1,MAX(In_saveM,HW83),MIN(In_saveM,HW83))),HW83)</f>
        <v>0</v>
      </c>
      <c r="HZ83" s="20" t="n">
        <f aca="false">IF(G83=1,HY83*12*F83,0)</f>
        <v>0</v>
      </c>
      <c r="IA83" s="20" t="n">
        <f aca="false">MAX(0,HZ83+IF(AND(WI_Retire=0,WI_M&lt;0,G83=1),WI_M*12*F83,0))</f>
        <v>0</v>
      </c>
      <c r="IB83" s="20" t="n">
        <f aca="false">Slot1_IsWG*W83+Slot2_IsWG*AH83+Slot3_IsWG*AR83+Slot4_IsWG*BB83+Slot5_IsWG*BL83+Slot6_IsWG*BV83+Slot7_IsWG*CF83+Slot8_IsWG*CP83+Slot9_IsWG*CZ83+Slot10_IsWG*DJ83+Slot11_IsWG*DT83+Slot12_IsWG*ED83+Slot13_IsWG*EN83+Slot14_IsWG*EX83+Slot15_IsWG*FH83+Slot16_IsWG*FR83+Slot17_IsWG*GB83+Slot18_IsWG*GL83+Slot19_IsWG*GV83+Slot20_IsWG*HF83</f>
        <v>0</v>
      </c>
      <c r="IC83" s="20" t="n">
        <f aca="false">IF(AND(WI_Retire=0,WI_M&gt;0,G83=1,IB83&gt;=1),WI_M*12*F83,0)</f>
        <v>0</v>
      </c>
      <c r="ID83" s="20" t="n">
        <f aca="false">IF(HU83=1,MIN(IA83,HS83),0)</f>
        <v>0</v>
      </c>
      <c r="IE83" s="20" t="n">
        <f aca="false">IF(HU83=1,MIN(IC83,HS83-ID83),0)</f>
        <v>0</v>
      </c>
      <c r="IF83" s="20" t="n">
        <f aca="false">IF(W83=1,IF(ABS((1+AS_Wage)/(1+Slot1_Rate)-1)&lt;0.000000000001,(Slot1_Age-D83)*(1+Slot1_Rate)^(Slot1_Age-D83),(1+Slot1_Rate)^(Slot1_Age-D83)*(1-((1+AS_Wage)/(1+Slot1_Rate))^(Slot1_Age-D83))/(1-(1+AS_Wage)/(1+Slot1_Rate))),1)</f>
        <v>1</v>
      </c>
      <c r="IG83" s="20" t="n">
        <f aca="false">IF(AND(HU83=1,IE83&gt;0,Slot1_IsWG=1,W83=1),MAX(0,(Slot1_Cost-X83*(1+Slot1_Rate)^(Slot1_Age-D83))/IF83),0)</f>
        <v>0</v>
      </c>
      <c r="IH83" s="20" t="n">
        <f aca="false">IF(AND(HU83=1,IE83&gt;0,Slot1_IsWG=1,W83=1),MIN(IE83,IG83),0)</f>
        <v>0</v>
      </c>
      <c r="II83" s="20" t="n">
        <f aca="false">X83+IH83</f>
        <v>0</v>
      </c>
      <c r="IJ83" s="20" t="n">
        <f aca="false">IF(W83=1,MAX(0,(Slot1_Cost-II83*(1+Slot1_Rate)^(Slot1_Age-D83))/IF83),0)</f>
        <v>0</v>
      </c>
      <c r="IK83" s="20" t="n">
        <f aca="false">IF(W83=1,MAX(0,(Slot1_Cost-X83*(1+Slot1_Rate)^(Slot1_Age-D83))/IF83),0)</f>
        <v>0</v>
      </c>
      <c r="IL83" s="20" t="n">
        <f aca="false">IF(AND(HU83=1,W83=1),MIN(ID83,IJ83),0)</f>
        <v>0</v>
      </c>
      <c r="IM83" s="20" t="n">
        <f aca="false">ID83-IL83</f>
        <v>0</v>
      </c>
      <c r="IN83" s="20" t="n">
        <f aca="false">IF(AH83=1,IF(ABS((1+AS_Wage)/(1+Slot2_Rate)-1)&lt;0.000000000001,(Slot2_Age-D83)*(1+Slot2_Rate)^(Slot2_Age-D83),(1+Slot2_Rate)^(Slot2_Age-D83)*(1-((1+AS_Wage)/(1+Slot2_Rate))^(Slot2_Age-D83))/(1-(1+AS_Wage)/(1+Slot2_Rate))),1)</f>
        <v>1</v>
      </c>
      <c r="IO83" s="20" t="n">
        <f aca="false">IF(AND(HU83=1,IE83&gt;0,Slot2_IsWG=1,AH83=1),MAX(0,(Slot2_Cost-AI83*(1+Slot2_Rate)^(Slot2_Age-D83))/IN83),0)</f>
        <v>0</v>
      </c>
      <c r="IP83" s="20" t="n">
        <f aca="false">IF(AND(HU83=1,IE83&gt;0,Slot2_IsWG=1,AH83=1),MIN(IE83,IO83),0)</f>
        <v>0</v>
      </c>
      <c r="IQ83" s="20" t="n">
        <f aca="false">AI83+IP83</f>
        <v>0</v>
      </c>
      <c r="IR83" s="20" t="n">
        <f aca="false">IF(AH83=1,MAX(0,(Slot2_Cost-IQ83*(1+Slot2_Rate)^(Slot2_Age-D83))/IN83),0)</f>
        <v>0</v>
      </c>
      <c r="IS83" s="20" t="n">
        <f aca="false">IF(AH83=1,MAX(0,(Slot2_Cost-AI83*(1+Slot2_Rate)^(Slot2_Age-D83))/IN83),0)</f>
        <v>0</v>
      </c>
      <c r="IT83" s="20" t="n">
        <f aca="false">IF(AND(HU83=1,AH83=1),MIN(IM83,IR83),0)</f>
        <v>0</v>
      </c>
      <c r="IU83" s="20" t="n">
        <f aca="false">IM83-IT83</f>
        <v>0</v>
      </c>
      <c r="IV83" s="20" t="n">
        <f aca="false">IF(AR83=1,IF(ABS((1+AS_Wage)/(1+Slot3_Rate)-1)&lt;0.000000000001,(Slot3_Age-D83)*(1+Slot3_Rate)^(Slot3_Age-D83),(1+Slot3_Rate)^(Slot3_Age-D83)*(1-((1+AS_Wage)/(1+Slot3_Rate))^(Slot3_Age-D83))/(1-(1+AS_Wage)/(1+Slot3_Rate))),1)</f>
        <v>1</v>
      </c>
      <c r="IW83" s="20" t="n">
        <f aca="false">IF(AND(HU83=1,IE83&gt;0,Slot3_IsWG=1,AR83=1),MAX(0,(Slot3_Cost-AS83*(1+Slot3_Rate)^(Slot3_Age-D83))/IV83),0)</f>
        <v>0</v>
      </c>
      <c r="IX83" s="20" t="n">
        <f aca="false">IF(AND(HU83=1,IE83&gt;0,Slot3_IsWG=1,AR83=1),MIN(IE83,IW83),0)</f>
        <v>0</v>
      </c>
      <c r="IY83" s="20" t="n">
        <f aca="false">AS83+IX83</f>
        <v>0</v>
      </c>
      <c r="IZ83" s="20" t="n">
        <f aca="false">IF(AR83=1,MAX(0,(Slot3_Cost-IY83*(1+Slot3_Rate)^(Slot3_Age-D83))/IV83),0)</f>
        <v>0</v>
      </c>
      <c r="JA83" s="20" t="n">
        <f aca="false">IF(AR83=1,MAX(0,(Slot3_Cost-AS83*(1+Slot3_Rate)^(Slot3_Age-D83))/IV83),0)</f>
        <v>0</v>
      </c>
      <c r="JB83" s="20" t="n">
        <f aca="false">IF(AND(HU83=1,AR83=1),MIN(IU83,IZ83),0)</f>
        <v>0</v>
      </c>
      <c r="JC83" s="20" t="n">
        <f aca="false">IU83-JB83</f>
        <v>0</v>
      </c>
      <c r="JD83" s="20" t="n">
        <f aca="false">IF(BB83=1,IF(ABS((1+AS_Wage)/(1+Slot4_Rate)-1)&lt;0.000000000001,(Slot4_Age-D83)*(1+Slot4_Rate)^(Slot4_Age-D83),(1+Slot4_Rate)^(Slot4_Age-D83)*(1-((1+AS_Wage)/(1+Slot4_Rate))^(Slot4_Age-D83))/(1-(1+AS_Wage)/(1+Slot4_Rate))),1)</f>
        <v>1</v>
      </c>
      <c r="JE83" s="20" t="n">
        <f aca="false">IF(AND(HU83=1,IE83&gt;0,Slot4_IsWG=1,BB83=1),MAX(0,(Slot4_Cost-BC83*(1+Slot4_Rate)^(Slot4_Age-D83))/JD83),0)</f>
        <v>0</v>
      </c>
      <c r="JF83" s="20" t="n">
        <f aca="false">IF(AND(HU83=1,IE83&gt;0,Slot4_IsWG=1,BB83=1),MIN(IE83,JE83),0)</f>
        <v>0</v>
      </c>
      <c r="JG83" s="20" t="n">
        <f aca="false">BC83+JF83</f>
        <v>0</v>
      </c>
      <c r="JH83" s="20" t="n">
        <f aca="false">IF(BB83=1,MAX(0,(Slot4_Cost-JG83*(1+Slot4_Rate)^(Slot4_Age-D83))/JD83),0)</f>
        <v>0</v>
      </c>
      <c r="JI83" s="20" t="n">
        <f aca="false">IF(BB83=1,MAX(0,(Slot4_Cost-BC83*(1+Slot4_Rate)^(Slot4_Age-D83))/JD83),0)</f>
        <v>0</v>
      </c>
      <c r="JJ83" s="20" t="n">
        <f aca="false">IF(AND(HU83=1,BB83=1),MIN(JC83,JH83),0)</f>
        <v>0</v>
      </c>
      <c r="JK83" s="20" t="n">
        <f aca="false">JC83-JJ83</f>
        <v>0</v>
      </c>
      <c r="JL83" s="20" t="n">
        <f aca="false">IF(BL83=1,IF(ABS((1+AS_Wage)/(1+Slot5_Rate)-1)&lt;0.000000000001,(Slot5_Age-D83)*(1+Slot5_Rate)^(Slot5_Age-D83),(1+Slot5_Rate)^(Slot5_Age-D83)*(1-((1+AS_Wage)/(1+Slot5_Rate))^(Slot5_Age-D83))/(1-(1+AS_Wage)/(1+Slot5_Rate))),1)</f>
        <v>1</v>
      </c>
      <c r="JM83" s="20" t="n">
        <f aca="false">IF(AND(HU83=1,IE83&gt;0,Slot5_IsWG=1,BL83=1),MAX(0,(Slot5_Cost-BM83*(1+Slot5_Rate)^(Slot5_Age-D83))/JL83),0)</f>
        <v>0</v>
      </c>
      <c r="JN83" s="20" t="n">
        <f aca="false">IF(AND(HU83=1,IE83&gt;0,Slot5_IsWG=1,BL83=1),MIN(IE83,JM83),0)</f>
        <v>0</v>
      </c>
      <c r="JO83" s="20" t="n">
        <f aca="false">BM83+JN83</f>
        <v>0</v>
      </c>
      <c r="JP83" s="20" t="n">
        <f aca="false">IF(BL83=1,MAX(0,(Slot5_Cost-JO83*(1+Slot5_Rate)^(Slot5_Age-D83))/JL83),0)</f>
        <v>0</v>
      </c>
      <c r="JQ83" s="20" t="n">
        <f aca="false">IF(BL83=1,MAX(0,(Slot5_Cost-BM83*(1+Slot5_Rate)^(Slot5_Age-D83))/JL83),0)</f>
        <v>0</v>
      </c>
      <c r="JR83" s="20" t="n">
        <f aca="false">IF(AND(HU83=1,BL83=1),MIN(JK83,JP83),0)</f>
        <v>0</v>
      </c>
      <c r="JS83" s="20" t="n">
        <f aca="false">JK83-JR83</f>
        <v>0</v>
      </c>
      <c r="JT83" s="20" t="n">
        <f aca="false">IF(BV83=1,IF(ABS((1+AS_Wage)/(1+Slot6_Rate)-1)&lt;0.000000000001,(Slot6_Age-D83)*(1+Slot6_Rate)^(Slot6_Age-D83),(1+Slot6_Rate)^(Slot6_Age-D83)*(1-((1+AS_Wage)/(1+Slot6_Rate))^(Slot6_Age-D83))/(1-(1+AS_Wage)/(1+Slot6_Rate))),1)</f>
        <v>1</v>
      </c>
      <c r="JU83" s="20" t="n">
        <f aca="false">IF(AND(HU83=1,IE83&gt;0,Slot6_IsWG=1,BV83=1),MAX(0,(Slot6_Cost-BW83*(1+Slot6_Rate)^(Slot6_Age-D83))/JT83),0)</f>
        <v>0</v>
      </c>
      <c r="JV83" s="20" t="n">
        <f aca="false">IF(AND(HU83=1,IE83&gt;0,Slot6_IsWG=1,BV83=1),MIN(IE83,JU83),0)</f>
        <v>0</v>
      </c>
      <c r="JW83" s="20" t="n">
        <f aca="false">BW83+JV83</f>
        <v>0</v>
      </c>
      <c r="JX83" s="20" t="n">
        <f aca="false">IF(BV83=1,MAX(0,(Slot6_Cost-JW83*(1+Slot6_Rate)^(Slot6_Age-D83))/JT83),0)</f>
        <v>0</v>
      </c>
      <c r="JY83" s="20" t="n">
        <f aca="false">IF(BV83=1,MAX(0,(Slot6_Cost-BW83*(1+Slot6_Rate)^(Slot6_Age-D83))/JT83),0)</f>
        <v>0</v>
      </c>
      <c r="JZ83" s="20" t="n">
        <f aca="false">IF(AND(HU83=1,BV83=1),MIN(JS83,JX83),0)</f>
        <v>0</v>
      </c>
      <c r="KA83" s="20" t="n">
        <f aca="false">JS83-JZ83</f>
        <v>0</v>
      </c>
      <c r="KB83" s="20" t="n">
        <f aca="false">IF(CF83=1,IF(ABS((1+AS_Wage)/(1+Slot7_Rate)-1)&lt;0.000000000001,(Slot7_Age-D83)*(1+Slot7_Rate)^(Slot7_Age-D83),(1+Slot7_Rate)^(Slot7_Age-D83)*(1-((1+AS_Wage)/(1+Slot7_Rate))^(Slot7_Age-D83))/(1-(1+AS_Wage)/(1+Slot7_Rate))),1)</f>
        <v>1</v>
      </c>
      <c r="KC83" s="20" t="n">
        <f aca="false">IF(AND(HU83=1,IE83&gt;0,Slot7_IsWG=1,CF83=1),MAX(0,(Slot7_Cost-CG83*(1+Slot7_Rate)^(Slot7_Age-D83))/KB83),0)</f>
        <v>0</v>
      </c>
      <c r="KD83" s="20" t="n">
        <f aca="false">IF(AND(HU83=1,IE83&gt;0,Slot7_IsWG=1,CF83=1),MIN(IE83,KC83),0)</f>
        <v>0</v>
      </c>
      <c r="KE83" s="20" t="n">
        <f aca="false">CG83+KD83</f>
        <v>0</v>
      </c>
      <c r="KF83" s="20" t="n">
        <f aca="false">IF(CF83=1,MAX(0,(Slot7_Cost-KE83*(1+Slot7_Rate)^(Slot7_Age-D83))/KB83),0)</f>
        <v>0</v>
      </c>
      <c r="KG83" s="20" t="n">
        <f aca="false">IF(CF83=1,MAX(0,(Slot7_Cost-CG83*(1+Slot7_Rate)^(Slot7_Age-D83))/KB83),0)</f>
        <v>0</v>
      </c>
      <c r="KH83" s="20" t="n">
        <f aca="false">IF(AND(HU83=1,CF83=1),MIN(KA83,KF83),0)</f>
        <v>0</v>
      </c>
      <c r="KI83" s="20" t="n">
        <f aca="false">KA83-KH83</f>
        <v>0</v>
      </c>
      <c r="KJ83" s="20" t="n">
        <f aca="false">IF(CP83=1,IF(ABS((1+AS_Wage)/(1+Slot8_Rate)-1)&lt;0.000000000001,(Slot8_Age-D83)*(1+Slot8_Rate)^(Slot8_Age-D83),(1+Slot8_Rate)^(Slot8_Age-D83)*(1-((1+AS_Wage)/(1+Slot8_Rate))^(Slot8_Age-D83))/(1-(1+AS_Wage)/(1+Slot8_Rate))),1)</f>
        <v>1</v>
      </c>
      <c r="KK83" s="20" t="n">
        <f aca="false">IF(AND(HU83=1,IE83&gt;0,Slot8_IsWG=1,CP83=1),MAX(0,(Slot8_Cost-CQ83*(1+Slot8_Rate)^(Slot8_Age-D83))/KJ83),0)</f>
        <v>0</v>
      </c>
      <c r="KL83" s="20" t="n">
        <f aca="false">IF(AND(HU83=1,IE83&gt;0,Slot8_IsWG=1,CP83=1),MIN(IE83,KK83),0)</f>
        <v>0</v>
      </c>
      <c r="KM83" s="20" t="n">
        <f aca="false">CQ83+KL83</f>
        <v>0</v>
      </c>
      <c r="KN83" s="20" t="n">
        <f aca="false">IF(CP83=1,MAX(0,(Slot8_Cost-KM83*(1+Slot8_Rate)^(Slot8_Age-D83))/KJ83),0)</f>
        <v>0</v>
      </c>
      <c r="KO83" s="20" t="n">
        <f aca="false">IF(CP83=1,MAX(0,(Slot8_Cost-CQ83*(1+Slot8_Rate)^(Slot8_Age-D83))/KJ83),0)</f>
        <v>0</v>
      </c>
      <c r="KP83" s="20" t="n">
        <f aca="false">IF(AND(HU83=1,CP83=1),MIN(KI83,KN83),0)</f>
        <v>0</v>
      </c>
      <c r="KQ83" s="20" t="n">
        <f aca="false">KI83-KP83</f>
        <v>0</v>
      </c>
      <c r="KR83" s="20" t="n">
        <f aca="false">IF(CZ83=1,IF(ABS((1+AS_Wage)/(1+Slot9_Rate)-1)&lt;0.000000000001,(Slot9_Age-D83)*(1+Slot9_Rate)^(Slot9_Age-D83),(1+Slot9_Rate)^(Slot9_Age-D83)*(1-((1+AS_Wage)/(1+Slot9_Rate))^(Slot9_Age-D83))/(1-(1+AS_Wage)/(1+Slot9_Rate))),1)</f>
        <v>1</v>
      </c>
      <c r="KS83" s="20" t="n">
        <f aca="false">IF(AND(HU83=1,IE83&gt;0,Slot9_IsWG=1,CZ83=1),MAX(0,(Slot9_Cost-DA83*(1+Slot9_Rate)^(Slot9_Age-D83))/KR83),0)</f>
        <v>0</v>
      </c>
      <c r="KT83" s="20" t="n">
        <f aca="false">IF(AND(HU83=1,IE83&gt;0,Slot9_IsWG=1,CZ83=1),MIN(IE83,KS83),0)</f>
        <v>0</v>
      </c>
      <c r="KU83" s="20" t="n">
        <f aca="false">DA83+KT83</f>
        <v>0</v>
      </c>
      <c r="KV83" s="20" t="n">
        <f aca="false">IF(CZ83=1,MAX(0,(Slot9_Cost-KU83*(1+Slot9_Rate)^(Slot9_Age-D83))/KR83),0)</f>
        <v>0</v>
      </c>
      <c r="KW83" s="20" t="n">
        <f aca="false">IF(CZ83=1,MAX(0,(Slot9_Cost-DA83*(1+Slot9_Rate)^(Slot9_Age-D83))/KR83),0)</f>
        <v>0</v>
      </c>
      <c r="KX83" s="20" t="n">
        <f aca="false">IF(AND(HU83=1,CZ83=1),MIN(KQ83,KV83),0)</f>
        <v>0</v>
      </c>
      <c r="KY83" s="20" t="n">
        <f aca="false">KQ83-KX83</f>
        <v>0</v>
      </c>
      <c r="KZ83" s="20" t="n">
        <f aca="false">IF(DJ83=1,IF(ABS((1+AS_Wage)/(1+Slot10_Rate)-1)&lt;0.000000000001,(Slot10_Age-D83)*(1+Slot10_Rate)^(Slot10_Age-D83),(1+Slot10_Rate)^(Slot10_Age-D83)*(1-((1+AS_Wage)/(1+Slot10_Rate))^(Slot10_Age-D83))/(1-(1+AS_Wage)/(1+Slot10_Rate))),1)</f>
        <v>1</v>
      </c>
      <c r="LA83" s="20" t="n">
        <f aca="false">IF(AND(HU83=1,IE83&gt;0,Slot10_IsWG=1,DJ83=1),MAX(0,(Slot10_Cost-DK83*(1+Slot10_Rate)^(Slot10_Age-D83))/KZ83),0)</f>
        <v>0</v>
      </c>
      <c r="LB83" s="20" t="n">
        <f aca="false">IF(AND(HU83=1,IE83&gt;0,Slot10_IsWG=1,DJ83=1),MIN(IE83,LA83),0)</f>
        <v>0</v>
      </c>
      <c r="LC83" s="20" t="n">
        <f aca="false">DK83+LB83</f>
        <v>0</v>
      </c>
      <c r="LD83" s="20" t="n">
        <f aca="false">IF(DJ83=1,MAX(0,(Slot10_Cost-LC83*(1+Slot10_Rate)^(Slot10_Age-D83))/KZ83),0)</f>
        <v>0</v>
      </c>
      <c r="LE83" s="20" t="n">
        <f aca="false">IF(DJ83=1,MAX(0,(Slot10_Cost-DK83*(1+Slot10_Rate)^(Slot10_Age-D83))/KZ83),0)</f>
        <v>0</v>
      </c>
      <c r="LF83" s="20" t="n">
        <f aca="false">IF(AND(HU83=1,DJ83=1),MIN(KY83,LD83),0)</f>
        <v>0</v>
      </c>
      <c r="LG83" s="20" t="n">
        <f aca="false">KY83-LF83</f>
        <v>0</v>
      </c>
      <c r="LH83" s="20" t="n">
        <f aca="false">IF(DT83=1,IF(ABS((1+AS_Wage)/(1+Slot11_Rate)-1)&lt;0.000000000001,(Slot11_Age-D83)*(1+Slot11_Rate)^(Slot11_Age-D83),(1+Slot11_Rate)^(Slot11_Age-D83)*(1-((1+AS_Wage)/(1+Slot11_Rate))^(Slot11_Age-D83))/(1-(1+AS_Wage)/(1+Slot11_Rate))),1)</f>
        <v>1</v>
      </c>
      <c r="LI83" s="20" t="n">
        <f aca="false">IF(AND(HU83=1,IE83&gt;0,Slot11_IsWG=1,DT83=1),MAX(0,(Slot11_Cost-DU83*(1+Slot11_Rate)^(Slot11_Age-D83))/LH83),0)</f>
        <v>0</v>
      </c>
      <c r="LJ83" s="20" t="n">
        <f aca="false">IF(AND(HU83=1,IE83&gt;0,Slot11_IsWG=1,DT83=1),MIN(IE83,LI83),0)</f>
        <v>0</v>
      </c>
      <c r="LK83" s="20" t="n">
        <f aca="false">DU83+LJ83</f>
        <v>0</v>
      </c>
      <c r="LL83" s="20" t="n">
        <f aca="false">IF(DT83=1,MAX(0,(Slot11_Cost-LK83*(1+Slot11_Rate)^(Slot11_Age-D83))/LH83),0)</f>
        <v>0</v>
      </c>
      <c r="LM83" s="20" t="n">
        <f aca="false">IF(DT83=1,MAX(0,(Slot11_Cost-DU83*(1+Slot11_Rate)^(Slot11_Age-D83))/LH83),0)</f>
        <v>0</v>
      </c>
      <c r="LN83" s="20" t="n">
        <f aca="false">IF(AND(HU83=1,DT83=1),MIN(LG83,LL83),0)</f>
        <v>0</v>
      </c>
      <c r="LO83" s="20" t="n">
        <f aca="false">LG83-LN83</f>
        <v>0</v>
      </c>
      <c r="LP83" s="20" t="n">
        <f aca="false">IF(ED83=1,IF(ABS((1+AS_Wage)/(1+Slot12_Rate)-1)&lt;0.000000000001,(Slot12_Age-D83)*(1+Slot12_Rate)^(Slot12_Age-D83),(1+Slot12_Rate)^(Slot12_Age-D83)*(1-((1+AS_Wage)/(1+Slot12_Rate))^(Slot12_Age-D83))/(1-(1+AS_Wage)/(1+Slot12_Rate))),1)</f>
        <v>1</v>
      </c>
      <c r="LQ83" s="20" t="n">
        <f aca="false">IF(AND(HU83=1,IE83&gt;0,Slot12_IsWG=1,ED83=1),MAX(0,(Slot12_Cost-EE83*(1+Slot12_Rate)^(Slot12_Age-D83))/LP83),0)</f>
        <v>0</v>
      </c>
      <c r="LR83" s="20" t="n">
        <f aca="false">IF(AND(HU83=1,IE83&gt;0,Slot12_IsWG=1,ED83=1),MIN(IE83,LQ83),0)</f>
        <v>0</v>
      </c>
      <c r="LS83" s="20" t="n">
        <f aca="false">EE83+LR83</f>
        <v>0</v>
      </c>
      <c r="LT83" s="20" t="n">
        <f aca="false">IF(ED83=1,MAX(0,(Slot12_Cost-LS83*(1+Slot12_Rate)^(Slot12_Age-D83))/LP83),0)</f>
        <v>0</v>
      </c>
      <c r="LU83" s="20" t="n">
        <f aca="false">IF(ED83=1,MAX(0,(Slot12_Cost-EE83*(1+Slot12_Rate)^(Slot12_Age-D83))/LP83),0)</f>
        <v>0</v>
      </c>
      <c r="LV83" s="20" t="n">
        <f aca="false">IF(AND(HU83=1,ED83=1),MIN(LO83,LT83),0)</f>
        <v>0</v>
      </c>
      <c r="LW83" s="20" t="n">
        <f aca="false">LO83-LV83</f>
        <v>0</v>
      </c>
      <c r="LX83" s="20" t="n">
        <f aca="false">IF(EN83=1,IF(ABS((1+AS_Wage)/(1+Slot13_Rate)-1)&lt;0.000000000001,(Slot13_Age-D83)*(1+Slot13_Rate)^(Slot13_Age-D83),(1+Slot13_Rate)^(Slot13_Age-D83)*(1-((1+AS_Wage)/(1+Slot13_Rate))^(Slot13_Age-D83))/(1-(1+AS_Wage)/(1+Slot13_Rate))),1)</f>
        <v>1</v>
      </c>
      <c r="LY83" s="20" t="n">
        <f aca="false">IF(AND(HU83=1,IE83&gt;0,Slot13_IsWG=1,EN83=1),MAX(0,(Slot13_Cost-EO83*(1+Slot13_Rate)^(Slot13_Age-D83))/LX83),0)</f>
        <v>0</v>
      </c>
      <c r="LZ83" s="20" t="n">
        <f aca="false">IF(AND(HU83=1,IE83&gt;0,Slot13_IsWG=1,EN83=1),MIN(IE83,LY83),0)</f>
        <v>0</v>
      </c>
      <c r="MA83" s="20" t="n">
        <f aca="false">EO83+LZ83</f>
        <v>0</v>
      </c>
      <c r="MB83" s="20" t="n">
        <f aca="false">IF(EN83=1,MAX(0,(Slot13_Cost-MA83*(1+Slot13_Rate)^(Slot13_Age-D83))/LX83),0)</f>
        <v>0</v>
      </c>
      <c r="MC83" s="20" t="n">
        <f aca="false">IF(EN83=1,MAX(0,(Slot13_Cost-EO83*(1+Slot13_Rate)^(Slot13_Age-D83))/LX83),0)</f>
        <v>0</v>
      </c>
      <c r="MD83" s="20" t="n">
        <f aca="false">IF(AND(HU83=1,EN83=1),MIN(LW83,MB83),0)</f>
        <v>0</v>
      </c>
      <c r="ME83" s="20" t="n">
        <f aca="false">LW83-MD83</f>
        <v>0</v>
      </c>
      <c r="MF83" s="20" t="n">
        <f aca="false">IF(EX83=1,IF(ABS((1+AS_Wage)/(1+Slot14_Rate)-1)&lt;0.000000000001,(Slot14_Age-D83)*(1+Slot14_Rate)^(Slot14_Age-D83),(1+Slot14_Rate)^(Slot14_Age-D83)*(1-((1+AS_Wage)/(1+Slot14_Rate))^(Slot14_Age-D83))/(1-(1+AS_Wage)/(1+Slot14_Rate))),1)</f>
        <v>1</v>
      </c>
      <c r="MG83" s="20" t="n">
        <f aca="false">IF(AND(HU83=1,IE83&gt;0,Slot14_IsWG=1,EX83=1),MAX(0,(Slot14_Cost-EY83*(1+Slot14_Rate)^(Slot14_Age-D83))/MF83),0)</f>
        <v>0</v>
      </c>
      <c r="MH83" s="20" t="n">
        <f aca="false">IF(AND(HU83=1,IE83&gt;0,Slot14_IsWG=1,EX83=1),MIN(IE83,MG83),0)</f>
        <v>0</v>
      </c>
      <c r="MI83" s="20" t="n">
        <f aca="false">EY83+MH83</f>
        <v>0</v>
      </c>
      <c r="MJ83" s="20" t="n">
        <f aca="false">IF(EX83=1,MAX(0,(Slot14_Cost-MI83*(1+Slot14_Rate)^(Slot14_Age-D83))/MF83),0)</f>
        <v>0</v>
      </c>
      <c r="MK83" s="20" t="n">
        <f aca="false">IF(EX83=1,MAX(0,(Slot14_Cost-EY83*(1+Slot14_Rate)^(Slot14_Age-D83))/MF83),0)</f>
        <v>0</v>
      </c>
      <c r="ML83" s="20" t="n">
        <f aca="false">IF(AND(HU83=1,EX83=1),MIN(ME83,MJ83),0)</f>
        <v>0</v>
      </c>
      <c r="MM83" s="20" t="n">
        <f aca="false">ME83-ML83</f>
        <v>0</v>
      </c>
      <c r="MN83" s="20" t="n">
        <f aca="false">IF(FH83=1,IF(ABS((1+AS_Wage)/(1+Slot15_Rate)-1)&lt;0.000000000001,(Slot15_Age-D83)*(1+Slot15_Rate)^(Slot15_Age-D83),(1+Slot15_Rate)^(Slot15_Age-D83)*(1-((1+AS_Wage)/(1+Slot15_Rate))^(Slot15_Age-D83))/(1-(1+AS_Wage)/(1+Slot15_Rate))),1)</f>
        <v>1</v>
      </c>
      <c r="MO83" s="20" t="n">
        <f aca="false">IF(AND(HU83=1,IE83&gt;0,Slot15_IsWG=1,FH83=1),MAX(0,(Slot15_Cost-FI83*(1+Slot15_Rate)^(Slot15_Age-D83))/MN83),0)</f>
        <v>0</v>
      </c>
      <c r="MP83" s="20" t="n">
        <f aca="false">IF(AND(HU83=1,IE83&gt;0,Slot15_IsWG=1,FH83=1),MIN(IE83,MO83),0)</f>
        <v>0</v>
      </c>
      <c r="MQ83" s="20" t="n">
        <f aca="false">FI83+MP83</f>
        <v>0</v>
      </c>
      <c r="MR83" s="20" t="n">
        <f aca="false">IF(FH83=1,MAX(0,(Slot15_Cost-MQ83*(1+Slot15_Rate)^(Slot15_Age-D83))/MN83),0)</f>
        <v>0</v>
      </c>
      <c r="MS83" s="20" t="n">
        <f aca="false">IF(FH83=1,MAX(0,(Slot15_Cost-FI83*(1+Slot15_Rate)^(Slot15_Age-D83))/MN83),0)</f>
        <v>0</v>
      </c>
      <c r="MT83" s="20" t="n">
        <f aca="false">IF(AND(HU83=1,FH83=1),MIN(MM83,MR83),0)</f>
        <v>0</v>
      </c>
      <c r="MU83" s="20" t="n">
        <f aca="false">MM83-MT83</f>
        <v>0</v>
      </c>
      <c r="MV83" s="20" t="n">
        <f aca="false">IF(FR83=1,IF(ABS((1+AS_Wage)/(1+Slot16_Rate)-1)&lt;0.000000000001,(Slot16_Age-D83)*(1+Slot16_Rate)^(Slot16_Age-D83),(1+Slot16_Rate)^(Slot16_Age-D83)*(1-((1+AS_Wage)/(1+Slot16_Rate))^(Slot16_Age-D83))/(1-(1+AS_Wage)/(1+Slot16_Rate))),1)</f>
        <v>1</v>
      </c>
      <c r="MW83" s="20" t="n">
        <f aca="false">IF(AND(HU83=1,IE83&gt;0,Slot16_IsWG=1,FR83=1),MAX(0,(Slot16_Cost-FS83*(1+Slot16_Rate)^(Slot16_Age-D83))/MV83),0)</f>
        <v>0</v>
      </c>
      <c r="MX83" s="20" t="n">
        <f aca="false">IF(AND(HU83=1,IE83&gt;0,Slot16_IsWG=1,FR83=1),MIN(IE83,MW83),0)</f>
        <v>0</v>
      </c>
      <c r="MY83" s="20" t="n">
        <f aca="false">FS83+MX83</f>
        <v>0</v>
      </c>
      <c r="MZ83" s="20" t="n">
        <f aca="false">IF(FR83=1,MAX(0,(Slot16_Cost-MY83*(1+Slot16_Rate)^(Slot16_Age-D83))/MV83),0)</f>
        <v>0</v>
      </c>
      <c r="NA83" s="20" t="n">
        <f aca="false">IF(FR83=1,MAX(0,(Slot16_Cost-FS83*(1+Slot16_Rate)^(Slot16_Age-D83))/MV83),0)</f>
        <v>0</v>
      </c>
      <c r="NB83" s="20" t="n">
        <f aca="false">IF(AND(HU83=1,FR83=1),MIN(MU83,MZ83),0)</f>
        <v>0</v>
      </c>
      <c r="NC83" s="20" t="n">
        <f aca="false">MU83-NB83</f>
        <v>0</v>
      </c>
      <c r="ND83" s="20" t="n">
        <f aca="false">IF(GB83=1,IF(ABS((1+AS_Wage)/(1+Slot17_Rate)-1)&lt;0.000000000001,(Slot17_Age-D83)*(1+Slot17_Rate)^(Slot17_Age-D83),(1+Slot17_Rate)^(Slot17_Age-D83)*(1-((1+AS_Wage)/(1+Slot17_Rate))^(Slot17_Age-D83))/(1-(1+AS_Wage)/(1+Slot17_Rate))),1)</f>
        <v>1</v>
      </c>
      <c r="NE83" s="20" t="n">
        <f aca="false">IF(AND(HU83=1,IE83&gt;0,Slot17_IsWG=1,GB83=1),MAX(0,(Slot17_Cost-GC83*(1+Slot17_Rate)^(Slot17_Age-D83))/ND83),0)</f>
        <v>0</v>
      </c>
      <c r="NF83" s="20" t="n">
        <f aca="false">IF(AND(HU83=1,IE83&gt;0,Slot17_IsWG=1,GB83=1),MIN(IE83,NE83),0)</f>
        <v>0</v>
      </c>
      <c r="NG83" s="20" t="n">
        <f aca="false">GC83+NF83</f>
        <v>0</v>
      </c>
      <c r="NH83" s="20" t="n">
        <f aca="false">IF(GB83=1,MAX(0,(Slot17_Cost-NG83*(1+Slot17_Rate)^(Slot17_Age-D83))/ND83),0)</f>
        <v>0</v>
      </c>
      <c r="NI83" s="20" t="n">
        <f aca="false">IF(GB83=1,MAX(0,(Slot17_Cost-GC83*(1+Slot17_Rate)^(Slot17_Age-D83))/ND83),0)</f>
        <v>0</v>
      </c>
      <c r="NJ83" s="20" t="n">
        <f aca="false">IF(AND(HU83=1,GB83=1),MIN(NC83,NH83),0)</f>
        <v>0</v>
      </c>
      <c r="NK83" s="20" t="n">
        <f aca="false">NC83-NJ83</f>
        <v>0</v>
      </c>
      <c r="NL83" s="20" t="n">
        <f aca="false">IF(GL83=1,IF(ABS((1+AS_Wage)/(1+Slot18_Rate)-1)&lt;0.000000000001,(Slot18_Age-D83)*(1+Slot18_Rate)^(Slot18_Age-D83),(1+Slot18_Rate)^(Slot18_Age-D83)*(1-((1+AS_Wage)/(1+Slot18_Rate))^(Slot18_Age-D83))/(1-(1+AS_Wage)/(1+Slot18_Rate))),1)</f>
        <v>1</v>
      </c>
      <c r="NM83" s="20" t="n">
        <f aca="false">IF(AND(HU83=1,IE83&gt;0,Slot18_IsWG=1,GL83=1),MAX(0,(Slot18_Cost-GM83*(1+Slot18_Rate)^(Slot18_Age-D83))/NL83),0)</f>
        <v>0</v>
      </c>
      <c r="NN83" s="20" t="n">
        <f aca="false">IF(AND(HU83=1,IE83&gt;0,Slot18_IsWG=1,GL83=1),MIN(IE83,NM83),0)</f>
        <v>0</v>
      </c>
      <c r="NO83" s="20" t="n">
        <f aca="false">GM83+NN83</f>
        <v>0</v>
      </c>
      <c r="NP83" s="20" t="n">
        <f aca="false">IF(GL83=1,MAX(0,(Slot18_Cost-NO83*(1+Slot18_Rate)^(Slot18_Age-D83))/NL83),0)</f>
        <v>0</v>
      </c>
      <c r="NQ83" s="20" t="n">
        <f aca="false">IF(GL83=1,MAX(0,(Slot18_Cost-GM83*(1+Slot18_Rate)^(Slot18_Age-D83))/NL83),0)</f>
        <v>0</v>
      </c>
      <c r="NR83" s="20" t="n">
        <f aca="false">IF(AND(HU83=1,GL83=1),MIN(NK83,NP83),0)</f>
        <v>0</v>
      </c>
      <c r="NS83" s="20" t="n">
        <f aca="false">NK83-NR83</f>
        <v>0</v>
      </c>
      <c r="NT83" s="20" t="n">
        <f aca="false">IF(GV83=1,IF(ABS((1+AS_Wage)/(1+Slot19_Rate)-1)&lt;0.000000000001,(Slot19_Age-D83)*(1+Slot19_Rate)^(Slot19_Age-D83),(1+Slot19_Rate)^(Slot19_Age-D83)*(1-((1+AS_Wage)/(1+Slot19_Rate))^(Slot19_Age-D83))/(1-(1+AS_Wage)/(1+Slot19_Rate))),1)</f>
        <v>1</v>
      </c>
      <c r="NU83" s="20" t="n">
        <f aca="false">IF(AND(HU83=1,IE83&gt;0,Slot19_IsWG=1,GV83=1),MAX(0,(Slot19_Cost-GW83*(1+Slot19_Rate)^(Slot19_Age-D83))/NT83),0)</f>
        <v>0</v>
      </c>
      <c r="NV83" s="20" t="n">
        <f aca="false">IF(AND(HU83=1,IE83&gt;0,Slot19_IsWG=1,GV83=1),MIN(IE83,NU83),0)</f>
        <v>0</v>
      </c>
      <c r="NW83" s="20" t="n">
        <f aca="false">GW83+NV83</f>
        <v>0</v>
      </c>
      <c r="NX83" s="20" t="n">
        <f aca="false">IF(GV83=1,MAX(0,(Slot19_Cost-NW83*(1+Slot19_Rate)^(Slot19_Age-D83))/NT83),0)</f>
        <v>0</v>
      </c>
      <c r="NY83" s="20" t="n">
        <f aca="false">IF(GV83=1,MAX(0,(Slot19_Cost-GW83*(1+Slot19_Rate)^(Slot19_Age-D83))/NT83),0)</f>
        <v>0</v>
      </c>
      <c r="NZ83" s="20" t="n">
        <f aca="false">IF(AND(HU83=1,GV83=1),MIN(NS83,NX83),0)</f>
        <v>0</v>
      </c>
      <c r="OA83" s="20" t="n">
        <f aca="false">NS83-NZ83</f>
        <v>0</v>
      </c>
      <c r="OB83" s="20" t="n">
        <f aca="false">IF(HF83=1,IF(ABS((1+AS_Wage)/(1+Slot20_Rate)-1)&lt;0.000000000001,(Slot20_Age-D83)*(1+Slot20_Rate)^(Slot20_Age-D83),(1+Slot20_Rate)^(Slot20_Age-D83)*(1-((1+AS_Wage)/(1+Slot20_Rate))^(Slot20_Age-D83))/(1-(1+AS_Wage)/(1+Slot20_Rate))),1)</f>
        <v>1</v>
      </c>
      <c r="OC83" s="20" t="n">
        <f aca="false">IF(AND(HU83=1,IE83&gt;0,Slot20_IsWG=1,HF83=1),MAX(0,(Slot20_Cost-HG83*(1+Slot20_Rate)^(Slot20_Age-D83))/OB83),0)</f>
        <v>0</v>
      </c>
      <c r="OD83" s="20" t="n">
        <f aca="false">IF(AND(HU83=1,IE83&gt;0,Slot20_IsWG=1,HF83=1),MIN(IE83,OC83),0)</f>
        <v>0</v>
      </c>
      <c r="OE83" s="20" t="n">
        <f aca="false">HG83+OD83</f>
        <v>0</v>
      </c>
      <c r="OF83" s="20" t="n">
        <f aca="false">IF(HF83=1,MAX(0,(Slot20_Cost-OE83*(1+Slot20_Rate)^(Slot20_Age-D83))/OB83),0)</f>
        <v>0</v>
      </c>
      <c r="OG83" s="20" t="n">
        <f aca="false">IF(HF83=1,MAX(0,(Slot20_Cost-HG83*(1+Slot20_Rate)^(Slot20_Age-D83))/OB83),0)</f>
        <v>0</v>
      </c>
      <c r="OH83" s="20" t="n">
        <f aca="false">IF(AND(HU83=1,HF83=1),MIN(OA83,OF83),0)</f>
        <v>0</v>
      </c>
      <c r="OI83" s="20" t="n">
        <f aca="false">OA83-OH83</f>
        <v>0</v>
      </c>
      <c r="OJ83" s="20" t="n">
        <f aca="false">IE83-(IH83+IP83+IX83+JF83+JN83+JV83+KD83+KL83+KT83+LB83+LJ83+LR83+LZ83+MH83+MP83+MX83+NF83+NN83+NV83+OD83)</f>
        <v>0</v>
      </c>
      <c r="OK83" s="20" t="n">
        <f aca="false">IF(HU83=1,HS83-ID83-IE83,0)</f>
        <v>0</v>
      </c>
      <c r="OL83" s="20" t="n">
        <f aca="false">IF(HU83=0,-HS83,0)</f>
        <v>85073.3662774712</v>
      </c>
      <c r="OM83" s="20" t="n">
        <f aca="false">MIN(OL83,HK83)</f>
        <v>0</v>
      </c>
      <c r="ON83" s="20" t="n">
        <f aca="false">OL83-OM83</f>
        <v>85073.3662774712</v>
      </c>
      <c r="OO83" s="20" t="n">
        <f aca="false">MIN(ON83,HL83)</f>
        <v>0</v>
      </c>
      <c r="OP83" s="20" t="n">
        <f aca="false">ON83-OO83</f>
        <v>85073.3662774712</v>
      </c>
      <c r="OQ83" s="20" t="n">
        <f aca="false">IF(AND(HU83=0,HF83=1,OP83&gt;0),MIN(OP83,HG83),0)</f>
        <v>0</v>
      </c>
      <c r="OR83" s="20" t="n">
        <f aca="false">OP83-OQ83</f>
        <v>85073.3662774712</v>
      </c>
      <c r="OS83" s="20" t="n">
        <f aca="false">IF(AND(HU83=0,GV83=1,OR83&gt;0),MIN(OR83,GW83),0)</f>
        <v>0</v>
      </c>
      <c r="OT83" s="20" t="n">
        <f aca="false">OR83-OS83</f>
        <v>85073.3662774712</v>
      </c>
      <c r="OU83" s="20" t="n">
        <f aca="false">IF(AND(HU83=0,GL83=1,OT83&gt;0),MIN(OT83,GM83),0)</f>
        <v>0</v>
      </c>
      <c r="OV83" s="20" t="n">
        <f aca="false">OT83-OU83</f>
        <v>85073.3662774712</v>
      </c>
      <c r="OW83" s="20" t="n">
        <f aca="false">IF(AND(HU83=0,GB83=1,OV83&gt;0),MIN(OV83,GC83),0)</f>
        <v>0</v>
      </c>
      <c r="OX83" s="20" t="n">
        <f aca="false">OV83-OW83</f>
        <v>85073.3662774712</v>
      </c>
      <c r="OY83" s="20" t="n">
        <f aca="false">IF(AND(HU83=0,FR83=1,OX83&gt;0),MIN(OX83,FS83),0)</f>
        <v>0</v>
      </c>
      <c r="OZ83" s="20" t="n">
        <f aca="false">OX83-OY83</f>
        <v>85073.3662774712</v>
      </c>
      <c r="PA83" s="20" t="n">
        <f aca="false">IF(AND(HU83=0,FH83=1,OZ83&gt;0),MIN(OZ83,FI83),0)</f>
        <v>0</v>
      </c>
      <c r="PB83" s="20" t="n">
        <f aca="false">OZ83-PA83</f>
        <v>85073.3662774712</v>
      </c>
      <c r="PC83" s="20" t="n">
        <f aca="false">IF(AND(HU83=0,EX83=1,PB83&gt;0),MIN(PB83,EY83),0)</f>
        <v>0</v>
      </c>
      <c r="PD83" s="20" t="n">
        <f aca="false">PB83-PC83</f>
        <v>85073.3662774712</v>
      </c>
      <c r="PE83" s="20" t="n">
        <f aca="false">IF(AND(HU83=0,EN83=1,PD83&gt;0),MIN(PD83,EO83),0)</f>
        <v>0</v>
      </c>
      <c r="PF83" s="20" t="n">
        <f aca="false">PD83-PE83</f>
        <v>85073.3662774712</v>
      </c>
      <c r="PG83" s="20" t="n">
        <f aca="false">IF(AND(HU83=0,ED83=1,PF83&gt;0),MIN(PF83,EE83),0)</f>
        <v>0</v>
      </c>
      <c r="PH83" s="20" t="n">
        <f aca="false">PF83-PG83</f>
        <v>85073.3662774712</v>
      </c>
      <c r="PI83" s="20" t="n">
        <f aca="false">IF(AND(HU83=0,DT83=1,PH83&gt;0),MIN(PH83,DU83),0)</f>
        <v>0</v>
      </c>
      <c r="PJ83" s="20" t="n">
        <f aca="false">PH83-PI83</f>
        <v>85073.3662774712</v>
      </c>
      <c r="PK83" s="20" t="n">
        <f aca="false">IF(AND(HU83=0,DJ83=1,PJ83&gt;0),MIN(PJ83,DK83),0)</f>
        <v>0</v>
      </c>
      <c r="PL83" s="20" t="n">
        <f aca="false">PJ83-PK83</f>
        <v>85073.3662774712</v>
      </c>
      <c r="PM83" s="20" t="n">
        <f aca="false">IF(AND(HU83=0,CZ83=1,PL83&gt;0),MIN(PL83,DA83),0)</f>
        <v>0</v>
      </c>
      <c r="PN83" s="20" t="n">
        <f aca="false">PL83-PM83</f>
        <v>85073.3662774712</v>
      </c>
      <c r="PO83" s="20" t="n">
        <f aca="false">IF(AND(HU83=0,CP83=1,PN83&gt;0),MIN(PN83,CQ83),0)</f>
        <v>0</v>
      </c>
      <c r="PP83" s="20" t="n">
        <f aca="false">PN83-PO83</f>
        <v>85073.3662774712</v>
      </c>
      <c r="PQ83" s="20" t="n">
        <f aca="false">IF(AND(HU83=0,CF83=1,PP83&gt;0),MIN(PP83,CG83),0)</f>
        <v>0</v>
      </c>
      <c r="PR83" s="20" t="n">
        <f aca="false">PP83-PQ83</f>
        <v>85073.3662774712</v>
      </c>
      <c r="PS83" s="20" t="n">
        <f aca="false">IF(AND(HU83=0,BV83=1,PR83&gt;0),MIN(PR83,BW83),0)</f>
        <v>0</v>
      </c>
      <c r="PT83" s="20" t="n">
        <f aca="false">PR83-PS83</f>
        <v>85073.3662774712</v>
      </c>
      <c r="PU83" s="20" t="n">
        <f aca="false">IF(AND(HU83=0,BL83=1,PT83&gt;0),MIN(PT83,BM83),0)</f>
        <v>0</v>
      </c>
      <c r="PV83" s="20" t="n">
        <f aca="false">PT83-PU83</f>
        <v>85073.3662774712</v>
      </c>
      <c r="PW83" s="20" t="n">
        <f aca="false">IF(AND(HU83=0,BB83=1,PV83&gt;0),MIN(PV83,BC83),0)</f>
        <v>0</v>
      </c>
      <c r="PX83" s="20" t="n">
        <f aca="false">PV83-PW83</f>
        <v>85073.3662774712</v>
      </c>
      <c r="PY83" s="20" t="n">
        <f aca="false">IF(AND(HU83=0,AR83=1,PX83&gt;0),MIN(PX83,AS83),0)</f>
        <v>0</v>
      </c>
      <c r="PZ83" s="20" t="n">
        <f aca="false">PX83-PY83</f>
        <v>85073.3662774712</v>
      </c>
      <c r="QA83" s="20" t="n">
        <f aca="false">IF(AND(HU83=0,AH83=1,PZ83&gt;0),MIN(PZ83,AI83),0)</f>
        <v>0</v>
      </c>
      <c r="QB83" s="20" t="n">
        <f aca="false">PZ83-QA83</f>
        <v>85073.3662774712</v>
      </c>
      <c r="QC83" s="20" t="n">
        <f aca="false">IF(AND(HU83=0,W83=1,QB83&gt;0),MIN(QB83,X83),0)</f>
        <v>0</v>
      </c>
      <c r="QD83" s="20" t="n">
        <f aca="false">QB83-QC83</f>
        <v>85073.3662774712</v>
      </c>
      <c r="QE83" s="20" t="n">
        <f aca="false">IF(HU83=0,QD83,0)</f>
        <v>85073.3662774712</v>
      </c>
      <c r="QF83" s="20" t="n">
        <f aca="false">OM83+OO83+QC83+QA83+PY83+PW83+PU83+PS83+PQ83+PO83+PM83+PK83+PI83+PG83+PE83+PC83+PA83+OY83+OW83+OU83+OS83+OQ83</f>
        <v>0</v>
      </c>
      <c r="QG83" s="20" t="n">
        <f aca="false">IF(HU83=1,HK83+OJ83+OI83+IF(G83=1,0,OK83),HK83-OM83)</f>
        <v>0</v>
      </c>
      <c r="QH83" s="20" t="n">
        <f aca="false">HL83-OO83</f>
        <v>0</v>
      </c>
      <c r="QI83" s="20" t="n">
        <f aca="false">IF(HU83=1,IF(G83=1,ID83+IE83,HS83),0)</f>
        <v>0</v>
      </c>
      <c r="QJ83" s="20" t="n">
        <f aca="false">IF(HU83=1,IF(G83=1,HS83-ID83-IE83,0),0)</f>
        <v>0</v>
      </c>
      <c r="QK83" s="20" t="n">
        <f aca="false">QG83*(1+GR)</f>
        <v>0</v>
      </c>
      <c r="QL83" s="20" t="n">
        <f aca="false">QH83*(1+AS_Cash)</f>
        <v>0</v>
      </c>
      <c r="QM83" s="20" t="n">
        <f aca="false">IF(W83=1,IF(HU83=1,II83+IL83,X83-QC83)*(1+Slot1_Rate),0)</f>
        <v>0</v>
      </c>
      <c r="QN83" s="20" t="n">
        <f aca="false">IF(AND(HU83=1,W83=1),(IH83+IL83)/F83,0)</f>
        <v>0</v>
      </c>
      <c r="QO83" s="20" t="n">
        <f aca="false">IF(B83=0,IH83+IL83,0)</f>
        <v>0</v>
      </c>
      <c r="QP83" s="20" t="n">
        <f aca="false">IF(B83=0,IF(HU83=1,IJ83,IK83),0)</f>
        <v>0</v>
      </c>
      <c r="QQ83" s="20" t="n">
        <f aca="false">IF(AH83=1,IF(HU83=1,IQ83+IT83,AI83-QA83)*(1+Slot2_Rate),0)</f>
        <v>0</v>
      </c>
      <c r="QR83" s="20" t="n">
        <f aca="false">IF(AND(HU83=1,AH83=1),(IP83+IT83)/F83,0)</f>
        <v>0</v>
      </c>
      <c r="QS83" s="20" t="n">
        <f aca="false">IF(B83=0,IP83+IT83,0)</f>
        <v>0</v>
      </c>
      <c r="QT83" s="20" t="n">
        <f aca="false">IF(B83=0,IF(HU83=1,IR83,IS83),0)</f>
        <v>0</v>
      </c>
      <c r="QU83" s="20" t="n">
        <f aca="false">IF(AR83=1,IF(HU83=1,IY83+JB83,AS83-PY83)*(1+Slot3_Rate),0)</f>
        <v>0</v>
      </c>
      <c r="QV83" s="20" t="n">
        <f aca="false">IF(AND(HU83=1,AR83=1),(IX83+JB83)/F83,0)</f>
        <v>0</v>
      </c>
      <c r="QW83" s="20" t="n">
        <f aca="false">IF(B83=0,IX83+JB83,0)</f>
        <v>0</v>
      </c>
      <c r="QX83" s="20" t="n">
        <f aca="false">IF(B83=0,IF(HU83=1,IZ83,JA83),0)</f>
        <v>0</v>
      </c>
      <c r="QY83" s="20" t="n">
        <f aca="false">IF(BB83=1,IF(HU83=1,JG83+JJ83,BC83-PW83)*(1+Slot4_Rate),0)</f>
        <v>0</v>
      </c>
      <c r="QZ83" s="20" t="n">
        <f aca="false">IF(AND(HU83=1,BB83=1),(JF83+JJ83)/F83,0)</f>
        <v>0</v>
      </c>
      <c r="RA83" s="20" t="n">
        <f aca="false">IF(B83=0,JF83+JJ83,0)</f>
        <v>0</v>
      </c>
      <c r="RB83" s="20" t="n">
        <f aca="false">IF(B83=0,IF(HU83=1,JH83,JI83),0)</f>
        <v>0</v>
      </c>
      <c r="RC83" s="20" t="n">
        <f aca="false">IF(BL83=1,IF(HU83=1,JO83+JR83,BM83-PU83)*(1+Slot5_Rate),0)</f>
        <v>0</v>
      </c>
      <c r="RD83" s="20" t="n">
        <f aca="false">IF(AND(HU83=1,BL83=1),(JN83+JR83)/F83,0)</f>
        <v>0</v>
      </c>
      <c r="RE83" s="20" t="n">
        <f aca="false">IF(B83=0,JN83+JR83,0)</f>
        <v>0</v>
      </c>
      <c r="RF83" s="20" t="n">
        <f aca="false">IF(B83=0,IF(HU83=1,JP83,JQ83),0)</f>
        <v>0</v>
      </c>
      <c r="RG83" s="20" t="n">
        <f aca="false">IF(BV83=1,IF(HU83=1,JW83+JZ83,BW83-PS83)*(1+Slot6_Rate),0)</f>
        <v>0</v>
      </c>
      <c r="RH83" s="20" t="n">
        <f aca="false">IF(AND(HU83=1,BV83=1),(JV83+JZ83)/F83,0)</f>
        <v>0</v>
      </c>
      <c r="RI83" s="20" t="n">
        <f aca="false">IF(B83=0,JV83+JZ83,0)</f>
        <v>0</v>
      </c>
      <c r="RJ83" s="20" t="n">
        <f aca="false">IF(B83=0,IF(HU83=1,JX83,JY83),0)</f>
        <v>0</v>
      </c>
      <c r="RK83" s="20" t="n">
        <f aca="false">IF(CF83=1,IF(HU83=1,KE83+KH83,CG83-PQ83)*(1+Slot7_Rate),0)</f>
        <v>0</v>
      </c>
      <c r="RL83" s="20" t="n">
        <f aca="false">IF(AND(HU83=1,CF83=1),(KD83+KH83)/F83,0)</f>
        <v>0</v>
      </c>
      <c r="RM83" s="20" t="n">
        <f aca="false">IF(B83=0,KD83+KH83,0)</f>
        <v>0</v>
      </c>
      <c r="RN83" s="20" t="n">
        <f aca="false">IF(B83=0,IF(HU83=1,KF83,KG83),0)</f>
        <v>0</v>
      </c>
      <c r="RO83" s="20" t="n">
        <f aca="false">IF(CP83=1,IF(HU83=1,KM83+KP83,CQ83-PO83)*(1+Slot8_Rate),0)</f>
        <v>0</v>
      </c>
      <c r="RP83" s="20" t="n">
        <f aca="false">IF(AND(HU83=1,CP83=1),(KL83+KP83)/F83,0)</f>
        <v>0</v>
      </c>
      <c r="RQ83" s="20" t="n">
        <f aca="false">IF(B83=0,KL83+KP83,0)</f>
        <v>0</v>
      </c>
      <c r="RR83" s="20" t="n">
        <f aca="false">IF(B83=0,IF(HU83=1,KN83,KO83),0)</f>
        <v>0</v>
      </c>
      <c r="RS83" s="20" t="n">
        <f aca="false">IF(CZ83=1,IF(HU83=1,KU83+KX83,DA83-PM83)*(1+Slot9_Rate),0)</f>
        <v>0</v>
      </c>
      <c r="RT83" s="20" t="n">
        <f aca="false">IF(AND(HU83=1,CZ83=1),(KT83+KX83)/F83,0)</f>
        <v>0</v>
      </c>
      <c r="RU83" s="20" t="n">
        <f aca="false">IF(B83=0,KT83+KX83,0)</f>
        <v>0</v>
      </c>
      <c r="RV83" s="20" t="n">
        <f aca="false">IF(B83=0,IF(HU83=1,KV83,KW83),0)</f>
        <v>0</v>
      </c>
      <c r="RW83" s="20" t="n">
        <f aca="false">IF(DJ83=1,IF(HU83=1,LC83+LF83,DK83-PK83)*(1+Slot10_Rate),0)</f>
        <v>0</v>
      </c>
      <c r="RX83" s="20" t="n">
        <f aca="false">IF(AND(HU83=1,DJ83=1),(LB83+LF83)/F83,0)</f>
        <v>0</v>
      </c>
      <c r="RY83" s="20" t="n">
        <f aca="false">IF(B83=0,LB83+LF83,0)</f>
        <v>0</v>
      </c>
      <c r="RZ83" s="20" t="n">
        <f aca="false">IF(B83=0,IF(HU83=1,LD83,LE83),0)</f>
        <v>0</v>
      </c>
      <c r="SA83" s="20" t="n">
        <f aca="false">IF(DT83=1,IF(HU83=1,LK83+LN83,DU83-PI83)*(1+Slot11_Rate),0)</f>
        <v>0</v>
      </c>
      <c r="SB83" s="20" t="n">
        <f aca="false">IF(AND(HU83=1,DT83=1),(LJ83+LN83)/F83,0)</f>
        <v>0</v>
      </c>
      <c r="SC83" s="20" t="n">
        <f aca="false">IF(B83=0,LJ83+LN83,0)</f>
        <v>0</v>
      </c>
      <c r="SD83" s="20" t="n">
        <f aca="false">IF(B83=0,IF(HU83=1,LL83,LM83),0)</f>
        <v>0</v>
      </c>
      <c r="SE83" s="20" t="n">
        <f aca="false">IF(ED83=1,IF(HU83=1,LS83+LV83,EE83-PG83)*(1+Slot12_Rate),0)</f>
        <v>0</v>
      </c>
      <c r="SF83" s="20" t="n">
        <f aca="false">IF(AND(HU83=1,ED83=1),(LR83+LV83)/F83,0)</f>
        <v>0</v>
      </c>
      <c r="SG83" s="20" t="n">
        <f aca="false">IF(B83=0,LR83+LV83,0)</f>
        <v>0</v>
      </c>
      <c r="SH83" s="20" t="n">
        <f aca="false">IF(B83=0,IF(HU83=1,LT83,LU83),0)</f>
        <v>0</v>
      </c>
      <c r="SI83" s="20" t="n">
        <f aca="false">IF(EN83=1,IF(HU83=1,MA83+MD83,EO83-PE83)*(1+Slot13_Rate),0)</f>
        <v>0</v>
      </c>
      <c r="SJ83" s="20" t="n">
        <f aca="false">IF(AND(HU83=1,EN83=1),(LZ83+MD83)/F83,0)</f>
        <v>0</v>
      </c>
      <c r="SK83" s="20" t="n">
        <f aca="false">IF(B83=0,LZ83+MD83,0)</f>
        <v>0</v>
      </c>
      <c r="SL83" s="20" t="n">
        <f aca="false">IF(B83=0,IF(HU83=1,MB83,MC83),0)</f>
        <v>0</v>
      </c>
      <c r="SM83" s="20" t="n">
        <f aca="false">IF(EX83=1,IF(HU83=1,MI83+ML83,EY83-PC83)*(1+Slot14_Rate),0)</f>
        <v>0</v>
      </c>
      <c r="SN83" s="20" t="n">
        <f aca="false">IF(AND(HU83=1,EX83=1),(MH83+ML83)/F83,0)</f>
        <v>0</v>
      </c>
      <c r="SO83" s="20" t="n">
        <f aca="false">IF(B83=0,MH83+ML83,0)</f>
        <v>0</v>
      </c>
      <c r="SP83" s="20" t="n">
        <f aca="false">IF(B83=0,IF(HU83=1,MJ83,MK83),0)</f>
        <v>0</v>
      </c>
      <c r="SQ83" s="20" t="n">
        <f aca="false">IF(FH83=1,IF(HU83=1,MQ83+MT83,FI83-PA83)*(1+Slot15_Rate),0)</f>
        <v>0</v>
      </c>
      <c r="SR83" s="20" t="n">
        <f aca="false">IF(AND(HU83=1,FH83=1),(MP83+MT83)/F83,0)</f>
        <v>0</v>
      </c>
      <c r="SS83" s="20" t="n">
        <f aca="false">IF(B83=0,MP83+MT83,0)</f>
        <v>0</v>
      </c>
      <c r="ST83" s="20" t="n">
        <f aca="false">IF(B83=0,IF(HU83=1,MR83,MS83),0)</f>
        <v>0</v>
      </c>
      <c r="SU83" s="20" t="n">
        <f aca="false">IF(FR83=1,IF(HU83=1,MY83+NB83,FS83-OY83)*(1+Slot16_Rate),0)</f>
        <v>0</v>
      </c>
      <c r="SV83" s="20" t="n">
        <f aca="false">IF(AND(HU83=1,FR83=1),(MX83+NB83)/F83,0)</f>
        <v>0</v>
      </c>
      <c r="SW83" s="20" t="n">
        <f aca="false">IF(B83=0,MX83+NB83,0)</f>
        <v>0</v>
      </c>
      <c r="SX83" s="20" t="n">
        <f aca="false">IF(B83=0,IF(HU83=1,MZ83,NA83),0)</f>
        <v>0</v>
      </c>
      <c r="SY83" s="20" t="n">
        <f aca="false">IF(GB83=1,IF(HU83=1,NG83+NJ83,GC83-OW83)*(1+Slot17_Rate),0)</f>
        <v>0</v>
      </c>
      <c r="SZ83" s="20" t="n">
        <f aca="false">IF(AND(HU83=1,GB83=1),(NF83+NJ83)/F83,0)</f>
        <v>0</v>
      </c>
      <c r="TA83" s="20" t="n">
        <f aca="false">IF(B83=0,NF83+NJ83,0)</f>
        <v>0</v>
      </c>
      <c r="TB83" s="20" t="n">
        <f aca="false">IF(B83=0,IF(HU83=1,NH83,NI83),0)</f>
        <v>0</v>
      </c>
      <c r="TC83" s="20" t="n">
        <f aca="false">IF(GL83=1,IF(HU83=1,NO83+NR83,GM83-OU83)*(1+Slot18_Rate),0)</f>
        <v>0</v>
      </c>
      <c r="TD83" s="20" t="n">
        <f aca="false">IF(AND(HU83=1,GL83=1),(NN83+NR83)/F83,0)</f>
        <v>0</v>
      </c>
      <c r="TE83" s="20" t="n">
        <f aca="false">IF(B83=0,NN83+NR83,0)</f>
        <v>0</v>
      </c>
      <c r="TF83" s="20" t="n">
        <f aca="false">IF(B83=0,IF(HU83=1,NP83,NQ83),0)</f>
        <v>0</v>
      </c>
      <c r="TG83" s="20" t="n">
        <f aca="false">IF(GV83=1,IF(HU83=1,NW83+NZ83,GW83-OS83)*(1+Slot19_Rate),0)</f>
        <v>0</v>
      </c>
      <c r="TH83" s="20" t="n">
        <f aca="false">IF(AND(HU83=1,GV83=1),(NV83+NZ83)/F83,0)</f>
        <v>0</v>
      </c>
      <c r="TI83" s="20" t="n">
        <f aca="false">IF(B83=0,NV83+NZ83,0)</f>
        <v>0</v>
      </c>
      <c r="TJ83" s="20" t="n">
        <f aca="false">IF(B83=0,IF(HU83=1,NX83,NY83),0)</f>
        <v>0</v>
      </c>
      <c r="TK83" s="20" t="n">
        <f aca="false">IF(HF83=1,IF(HU83=1,OE83+OH83,HG83-OQ83)*(1+Slot20_Rate),0)</f>
        <v>0</v>
      </c>
      <c r="TL83" s="20" t="n">
        <f aca="false">IF(AND(HU83=1,HF83=1),(OD83+OH83)/F83,0)</f>
        <v>0</v>
      </c>
      <c r="TM83" s="20" t="n">
        <f aca="false">IF(B83=0,OD83+OH83,0)</f>
        <v>0</v>
      </c>
      <c r="TN83" s="20" t="n">
        <f aca="false">IF(B83=0,IF(HU83=1,OF83,OG83),0)</f>
        <v>0</v>
      </c>
      <c r="TO83" s="20" t="n">
        <f aca="false">QK83+QL83+QM83+QQ83+QU83+QY83+RC83+RG83+RK83+RO83+RS83+RW83+SA83+SE83+SI83+SM83+SQ83+SU83+SY83+TC83+TG83+TK83</f>
        <v>0</v>
      </c>
      <c r="TP83" s="20" t="n">
        <f aca="false">QE83+HP83</f>
        <v>85073.3662774712</v>
      </c>
      <c r="TQ83" s="20" t="n">
        <f aca="false">I83+S83</f>
        <v>211076.934755103</v>
      </c>
      <c r="TR83" s="20" t="n">
        <f aca="false">1-G83</f>
        <v>1</v>
      </c>
      <c r="TS83" s="20" t="n">
        <f aca="false">IF(AND(RG_Exists=1,G83=0,C83=1),I83,0)</f>
        <v>0</v>
      </c>
      <c r="TT83" s="20" t="n">
        <f aca="false">IF(AND(RG_Exists=1,G83=0,C83=1),I83-MIN(QE83,I83),0)</f>
        <v>0</v>
      </c>
      <c r="TU83" s="20" t="n">
        <f aca="false">'Plan pay &amp; tax'!AD309</f>
        <v>0</v>
      </c>
      <c r="TV83" s="20" t="n">
        <f aca="false">IF(AND(C83=1,QE83&gt;MAX(PR_Short1,TQ83*PR_Short2)),1,0)</f>
        <v>0</v>
      </c>
      <c r="TW83" s="20" t="n">
        <f aca="false">MIN(H83,I83+S83)</f>
        <v>126003.568477631</v>
      </c>
      <c r="TX83" s="20" t="n">
        <f aca="false">QF83+MAX(0,HQ83-HP83)</f>
        <v>0</v>
      </c>
      <c r="TY83" s="20" t="n">
        <f aca="false">QE83+HP83</f>
        <v>85073.3662774712</v>
      </c>
      <c r="TZ83" s="20" t="n">
        <f aca="false">IF(AND(C83=1,TY83&gt;PR_MinShort),1,0)</f>
        <v>0</v>
      </c>
      <c r="UA83" s="20" t="n">
        <f aca="false">IF(AND(C83=1,TZ83=0,TX83&gt;PR_MinShort),1,0)</f>
        <v>0</v>
      </c>
      <c r="UB83" s="20" t="n">
        <f aca="false">IF(AND(C83=1,QE83&gt;PR_MinShort),1,0)</f>
        <v>0</v>
      </c>
      <c r="UC83" s="20" t="n">
        <f aca="false">IF(AND(C83=1,QF83&gt;1,UJ83=0),1,0)</f>
        <v>0</v>
      </c>
      <c r="UD83" s="20" t="str">
        <f aca="false">IF(C83=0,"",IF(UJ83=1,"Gap to plan for: short "&amp;"€"&amp;TEXT(ROUND(TP83,0),"#,##0"),IF(QF83&gt;1,"Using savings","Comfortable")))</f>
        <v/>
      </c>
      <c r="UE83" s="20" t="n">
        <f aca="false">IF(AND(INT(D83/10)*10=90,B83&gt;0),80,INT(D83/10)*10)</f>
        <v>110</v>
      </c>
      <c r="UF83" s="20" t="n">
        <f aca="false">IF(B83=0,1,IF(UE83&lt;&gt;UE82,UF82+1,UF82))</f>
        <v>8</v>
      </c>
      <c r="UG83" s="20" t="n">
        <f aca="false">IF(AND(C83=1,G83=1,QE83&gt;MAX(PR_Short1,TQ83*PR_Short2)),1,0)</f>
        <v>0</v>
      </c>
      <c r="UH83" s="20" t="n">
        <f aca="false">TR83*TV83</f>
        <v>0</v>
      </c>
      <c r="UI83" s="20" t="n">
        <f aca="false">IF(AND(V83=1,Slot1_PctLow=1),1,0)+IF(AND(AG83=1,Slot2_PctLow=1),1,0)+IF(AND(AQ83=1,Slot3_PctLow=1),1,0)+IF(AND(BA83=1,Slot4_PctLow=1),1,0)+IF(AND(BK83=1,Slot5_PctLow=1),1,0)+IF(AND(BU83=1,Slot6_PctLow=1),1,0)+IF(AND(CE83=1,Slot7_PctLow=1),1,0)+IF(AND(CO83=1,Slot8_PctLow=1),1,0)+IF(AND(CY83=1,Slot9_PctLow=1),1,0)+IF(AND(DI83=1,Slot10_PctLow=1),1,0)+IF(AND(DS83=1,Slot11_PctLow=1),1,0)+IF(AND(EC83=1,Slot12_PctLow=1),1,0)+IF(AND(EM83=1,Slot13_PctLow=1),1,0)+IF(AND(EW83=1,Slot14_PctLow=1),1,0)+IF(AND(FG83=1,Slot15_PctLow=1),1,0)+IF(AND(FQ83=1,Slot16_PctLow=1),1,0)+IF(AND(GA83=1,Slot17_PctLow=1),1,0)+IF(AND(GK83=1,Slot18_PctLow=1),1,0)+IF(AND(GU83=1,Slot19_PctLow=1),1,0)+IF(AND(HE83=1,Slot20_PctLow=1),1,0)</f>
        <v>0</v>
      </c>
      <c r="UJ83" s="20" t="n">
        <f aca="false">IF(C83=1,IF(OR(TV83=1,UI83&gt;0),1,0),0)</f>
        <v>0</v>
      </c>
    </row>
    <row r="84" customFormat="false" ht="15" hidden="false" customHeight="true" outlineLevel="0" collapsed="false">
      <c r="B84" s="20" t="n">
        <v>76</v>
      </c>
      <c r="C84" s="20" t="n">
        <f aca="false">IF(B84&lt;=F_N,1,0)</f>
        <v>0</v>
      </c>
      <c r="D84" s="20" t="n">
        <f aca="false">'Plan pay &amp; tax'!C310</f>
        <v>114</v>
      </c>
      <c r="E84" s="20" t="str">
        <f aca="false">IF($C84=1,"Income tax "&amp;TEXT(N('Plan pay &amp; tax'!BK310),"#,##0")&amp;"; USC "&amp;TEXT(N('Plan pay &amp; tax'!BM310)+N('Plan pay &amp; tax'!BO310),"#,##0")&amp;"; PRSI "&amp;TEXT(N('Plan pay &amp; tax'!BP310)+N('Plan pay &amp; tax'!BQ310),"#,##0")&amp;". DIRT and exit tax are inside the growth rates here.","")</f>
        <v/>
      </c>
      <c r="F84" s="44" t="n">
        <f aca="false">'Plan pay &amp; tax'!E310</f>
        <v>4.50415216423022</v>
      </c>
      <c r="G84" s="20" t="n">
        <f aca="false">'Plan pay &amp; tax'!G310</f>
        <v>0</v>
      </c>
      <c r="H84" s="20" t="n">
        <f aca="false">'Plan pay &amp; tax'!BT310-'Plan pay &amp; tax'!BS310-'Plan pay &amp; tax'!R310</f>
        <v>128523.639847184</v>
      </c>
      <c r="I84" s="20" t="n">
        <f aca="false">IF(G84=1,F_CostsM*12,IF(RG_Exists=1,RG_Amount,F_CostsM*12*AS_RetireSpend))*F84+F_OneOffY*F84</f>
        <v>215298.473450205</v>
      </c>
      <c r="J84" s="20" t="n">
        <f aca="false">HR83</f>
        <v>0</v>
      </c>
      <c r="K84" s="20" t="n">
        <f aca="false">IF(J84&gt;1,'Plan debt months'!AC84,0)</f>
        <v>0</v>
      </c>
      <c r="L84" s="20" t="n">
        <f aca="false">IF(J84&gt;1,'Plan debt months'!AB84,J84)</f>
        <v>0</v>
      </c>
      <c r="M84" s="20" t="n">
        <f aca="false">O83</f>
        <v>0</v>
      </c>
      <c r="N84" s="20" t="n">
        <f aca="false">IF(M84&gt;1,'Plan debt months'!BD84,0)</f>
        <v>0</v>
      </c>
      <c r="O84" s="20" t="n">
        <f aca="false">IF(M84&gt;1,'Plan debt months'!BC84,M84)</f>
        <v>0</v>
      </c>
      <c r="P84" s="20" t="n">
        <f aca="false">R83</f>
        <v>0</v>
      </c>
      <c r="Q84" s="20" t="n">
        <f aca="false">IF(P84&gt;1,'Plan debt months'!CE84,0)</f>
        <v>0</v>
      </c>
      <c r="R84" s="20" t="n">
        <f aca="false">IF(P84&gt;1,'Plan debt months'!CD84,P84)</f>
        <v>0</v>
      </c>
      <c r="S84" s="20" t="n">
        <f aca="false">K84+N84+Q84</f>
        <v>0</v>
      </c>
      <c r="T84" s="20" t="n">
        <f aca="false">QK83+'Plan pay &amp; tax'!Y310</f>
        <v>0</v>
      </c>
      <c r="U84" s="20" t="n">
        <f aca="false">QK83</f>
        <v>0</v>
      </c>
      <c r="V84" s="20" t="n">
        <f aca="false">IF(AND(Slot1_On=1,D84=Slot1_Age),1,0)</f>
        <v>0</v>
      </c>
      <c r="W84" s="20" t="n">
        <f aca="false">IF(AND(Slot1_On=1,Slot1_Age&gt;D84),1,0)</f>
        <v>0</v>
      </c>
      <c r="X84" s="20" t="n">
        <f aca="false">QM83</f>
        <v>0</v>
      </c>
      <c r="Y84" s="20" t="n">
        <f aca="false">V84*MIN(Slot1_Cost,X84)</f>
        <v>0</v>
      </c>
      <c r="Z84" s="20" t="n">
        <f aca="false">V84*Slot1_SpendLike*MIN(Slot1_Cost-Y84,T84)</f>
        <v>0</v>
      </c>
      <c r="AA84" s="20" t="n">
        <f aca="false">Y84+Z84</f>
        <v>0</v>
      </c>
      <c r="AB84" s="20" t="n">
        <f aca="false">T84-Z84+V84*IF(Slot1_SpendLike=1,X84-Y84,IF(Slot1_PotFree=1,X84,0))</f>
        <v>0</v>
      </c>
      <c r="AC84" s="20" t="n">
        <f aca="false">AF84+V84*Slot1_BufPot*X84</f>
        <v>0</v>
      </c>
      <c r="AD84" s="20" t="n">
        <f aca="false">IF(AND(V84=1,Slot1_IsMfree=1),IF(AA84&gt;=Slot1_Cost-1,0,MAX(0,L84-AA84)),L84)</f>
        <v>0</v>
      </c>
      <c r="AE84" s="20" t="n">
        <f aca="false">V84*(Slot1_Cost-AA84)</f>
        <v>0</v>
      </c>
      <c r="AF84" s="20" t="n">
        <f aca="false">QL83</f>
        <v>0</v>
      </c>
      <c r="AG84" s="20" t="n">
        <f aca="false">IF(AND(Slot2_On=1,D84=Slot2_Age),1,0)</f>
        <v>0</v>
      </c>
      <c r="AH84" s="20" t="n">
        <f aca="false">IF(AND(Slot2_On=1,Slot2_Age&gt;D84),1,0)</f>
        <v>0</v>
      </c>
      <c r="AI84" s="20" t="n">
        <f aca="false">QQ83</f>
        <v>0</v>
      </c>
      <c r="AJ84" s="20" t="n">
        <f aca="false">AG84*MIN(Slot2_Cost,AI84)</f>
        <v>0</v>
      </c>
      <c r="AK84" s="20" t="n">
        <f aca="false">AG84*Slot2_SpendLike*MIN(Slot2_Cost-AJ84,AB84)</f>
        <v>0</v>
      </c>
      <c r="AL84" s="20" t="n">
        <f aca="false">AJ84+AK84</f>
        <v>0</v>
      </c>
      <c r="AM84" s="20" t="n">
        <f aca="false">AB84-AK84+AG84*IF(Slot2_SpendLike=1,AI84-AJ84,IF(Slot2_PotFree=1,AI84,0))</f>
        <v>0</v>
      </c>
      <c r="AN84" s="20" t="n">
        <f aca="false">AC84+AG84*Slot2_BufPot*AI84</f>
        <v>0</v>
      </c>
      <c r="AO84" s="20" t="n">
        <f aca="false">IF(AND(AG84=1,Slot2_IsMfree=1),IF(AL84&gt;=Slot2_Cost-1,0,MAX(0,AD84-AL84)),AD84)</f>
        <v>0</v>
      </c>
      <c r="AP84" s="20" t="n">
        <f aca="false">AG84*(Slot2_Cost-AL84)</f>
        <v>0</v>
      </c>
      <c r="AQ84" s="20" t="n">
        <f aca="false">IF(AND(Slot3_On=1,D84=Slot3_Age),1,0)</f>
        <v>0</v>
      </c>
      <c r="AR84" s="20" t="n">
        <f aca="false">IF(AND(Slot3_On=1,Slot3_Age&gt;D84),1,0)</f>
        <v>0</v>
      </c>
      <c r="AS84" s="20" t="n">
        <f aca="false">QU83</f>
        <v>0</v>
      </c>
      <c r="AT84" s="20" t="n">
        <f aca="false">AQ84*MIN(Slot3_Cost,AS84)</f>
        <v>0</v>
      </c>
      <c r="AU84" s="20" t="n">
        <f aca="false">AQ84*Slot3_SpendLike*MIN(Slot3_Cost-AT84,AM84)</f>
        <v>0</v>
      </c>
      <c r="AV84" s="20" t="n">
        <f aca="false">AT84+AU84</f>
        <v>0</v>
      </c>
      <c r="AW84" s="20" t="n">
        <f aca="false">AM84-AU84+AQ84*IF(Slot3_SpendLike=1,AS84-AT84,IF(Slot3_PotFree=1,AS84,0))</f>
        <v>0</v>
      </c>
      <c r="AX84" s="20" t="n">
        <f aca="false">AN84+AQ84*Slot3_BufPot*AS84</f>
        <v>0</v>
      </c>
      <c r="AY84" s="20" t="n">
        <f aca="false">IF(AND(AQ84=1,Slot3_IsMfree=1),IF(AV84&gt;=Slot3_Cost-1,0,MAX(0,AO84-AV84)),AO84)</f>
        <v>0</v>
      </c>
      <c r="AZ84" s="20" t="n">
        <f aca="false">AQ84*(Slot3_Cost-AV84)</f>
        <v>0</v>
      </c>
      <c r="BA84" s="20" t="n">
        <f aca="false">IF(AND(Slot4_On=1,D84=Slot4_Age),1,0)</f>
        <v>0</v>
      </c>
      <c r="BB84" s="20" t="n">
        <f aca="false">IF(AND(Slot4_On=1,Slot4_Age&gt;D84),1,0)</f>
        <v>0</v>
      </c>
      <c r="BC84" s="20" t="n">
        <f aca="false">QY83</f>
        <v>0</v>
      </c>
      <c r="BD84" s="20" t="n">
        <f aca="false">BA84*MIN(Slot4_Cost,BC84)</f>
        <v>0</v>
      </c>
      <c r="BE84" s="20" t="n">
        <f aca="false">BA84*Slot4_SpendLike*MIN(Slot4_Cost-BD84,AW84)</f>
        <v>0</v>
      </c>
      <c r="BF84" s="20" t="n">
        <f aca="false">BD84+BE84</f>
        <v>0</v>
      </c>
      <c r="BG84" s="20" t="n">
        <f aca="false">AW84-BE84+BA84*IF(Slot4_SpendLike=1,BC84-BD84,IF(Slot4_PotFree=1,BC84,0))</f>
        <v>0</v>
      </c>
      <c r="BH84" s="20" t="n">
        <f aca="false">AX84+BA84*Slot4_BufPot*BC84</f>
        <v>0</v>
      </c>
      <c r="BI84" s="20" t="n">
        <f aca="false">IF(AND(BA84=1,Slot4_IsMfree=1),IF(BF84&gt;=Slot4_Cost-1,0,MAX(0,AY84-BF84)),AY84)</f>
        <v>0</v>
      </c>
      <c r="BJ84" s="20" t="n">
        <f aca="false">BA84*(Slot4_Cost-BF84)</f>
        <v>0</v>
      </c>
      <c r="BK84" s="20" t="n">
        <f aca="false">IF(AND(Slot5_On=1,D84=Slot5_Age),1,0)</f>
        <v>0</v>
      </c>
      <c r="BL84" s="20" t="n">
        <f aca="false">IF(AND(Slot5_On=1,Slot5_Age&gt;D84),1,0)</f>
        <v>0</v>
      </c>
      <c r="BM84" s="20" t="n">
        <f aca="false">RC83</f>
        <v>0</v>
      </c>
      <c r="BN84" s="20" t="n">
        <f aca="false">BK84*MIN(Slot5_Cost,BM84)</f>
        <v>0</v>
      </c>
      <c r="BO84" s="20" t="n">
        <f aca="false">BK84*Slot5_SpendLike*MIN(Slot5_Cost-BN84,BG84)</f>
        <v>0</v>
      </c>
      <c r="BP84" s="20" t="n">
        <f aca="false">BN84+BO84</f>
        <v>0</v>
      </c>
      <c r="BQ84" s="20" t="n">
        <f aca="false">BG84-BO84+BK84*IF(Slot5_SpendLike=1,BM84-BN84,IF(Slot5_PotFree=1,BM84,0))</f>
        <v>0</v>
      </c>
      <c r="BR84" s="20" t="n">
        <f aca="false">BH84+BK84*Slot5_BufPot*BM84</f>
        <v>0</v>
      </c>
      <c r="BS84" s="20" t="n">
        <f aca="false">IF(AND(BK84=1,Slot5_IsMfree=1),IF(BP84&gt;=Slot5_Cost-1,0,MAX(0,BI84-BP84)),BI84)</f>
        <v>0</v>
      </c>
      <c r="BT84" s="20" t="n">
        <f aca="false">BK84*(Slot5_Cost-BP84)</f>
        <v>0</v>
      </c>
      <c r="BU84" s="20" t="n">
        <f aca="false">IF(AND(Slot6_On=1,D84=Slot6_Age),1,0)</f>
        <v>0</v>
      </c>
      <c r="BV84" s="20" t="n">
        <f aca="false">IF(AND(Slot6_On=1,Slot6_Age&gt;D84),1,0)</f>
        <v>0</v>
      </c>
      <c r="BW84" s="20" t="n">
        <f aca="false">RG83</f>
        <v>0</v>
      </c>
      <c r="BX84" s="20" t="n">
        <f aca="false">BU84*MIN(Slot6_Cost,BW84)</f>
        <v>0</v>
      </c>
      <c r="BY84" s="20" t="n">
        <f aca="false">BU84*Slot6_SpendLike*MIN(Slot6_Cost-BX84,BQ84)</f>
        <v>0</v>
      </c>
      <c r="BZ84" s="20" t="n">
        <f aca="false">BX84+BY84</f>
        <v>0</v>
      </c>
      <c r="CA84" s="20" t="n">
        <f aca="false">BQ84-BY84+BU84*IF(Slot6_SpendLike=1,BW84-BX84,IF(Slot6_PotFree=1,BW84,0))</f>
        <v>0</v>
      </c>
      <c r="CB84" s="20" t="n">
        <f aca="false">BR84+BU84*Slot6_BufPot*BW84</f>
        <v>0</v>
      </c>
      <c r="CC84" s="20" t="n">
        <f aca="false">IF(AND(BU84=1,Slot6_IsMfree=1),IF(BZ84&gt;=Slot6_Cost-1,0,MAX(0,BS84-BZ84)),BS84)</f>
        <v>0</v>
      </c>
      <c r="CD84" s="20" t="n">
        <f aca="false">BU84*(Slot6_Cost-BZ84)</f>
        <v>0</v>
      </c>
      <c r="CE84" s="20" t="n">
        <f aca="false">IF(AND(Slot7_On=1,D84=Slot7_Age),1,0)</f>
        <v>0</v>
      </c>
      <c r="CF84" s="20" t="n">
        <f aca="false">IF(AND(Slot7_On=1,Slot7_Age&gt;D84),1,0)</f>
        <v>0</v>
      </c>
      <c r="CG84" s="20" t="n">
        <f aca="false">RK83</f>
        <v>0</v>
      </c>
      <c r="CH84" s="20" t="n">
        <f aca="false">CE84*MIN(Slot7_Cost,CG84)</f>
        <v>0</v>
      </c>
      <c r="CI84" s="20" t="n">
        <f aca="false">CE84*Slot7_SpendLike*MIN(Slot7_Cost-CH84,CA84)</f>
        <v>0</v>
      </c>
      <c r="CJ84" s="20" t="n">
        <f aca="false">CH84+CI84</f>
        <v>0</v>
      </c>
      <c r="CK84" s="20" t="n">
        <f aca="false">CA84-CI84+CE84*IF(Slot7_SpendLike=1,CG84-CH84,IF(Slot7_PotFree=1,CG84,0))</f>
        <v>0</v>
      </c>
      <c r="CL84" s="20" t="n">
        <f aca="false">CB84+CE84*Slot7_BufPot*CG84</f>
        <v>0</v>
      </c>
      <c r="CM84" s="20" t="n">
        <f aca="false">IF(AND(CE84=1,Slot7_IsMfree=1),IF(CJ84&gt;=Slot7_Cost-1,0,MAX(0,CC84-CJ84)),CC84)</f>
        <v>0</v>
      </c>
      <c r="CN84" s="20" t="n">
        <f aca="false">CE84*(Slot7_Cost-CJ84)</f>
        <v>0</v>
      </c>
      <c r="CO84" s="20" t="n">
        <f aca="false">IF(AND(Slot8_On=1,D84=Slot8_Age),1,0)</f>
        <v>0</v>
      </c>
      <c r="CP84" s="20" t="n">
        <f aca="false">IF(AND(Slot8_On=1,Slot8_Age&gt;D84),1,0)</f>
        <v>0</v>
      </c>
      <c r="CQ84" s="20" t="n">
        <f aca="false">RO83</f>
        <v>0</v>
      </c>
      <c r="CR84" s="20" t="n">
        <f aca="false">CO84*MIN(Slot8_Cost,CQ84)</f>
        <v>0</v>
      </c>
      <c r="CS84" s="20" t="n">
        <f aca="false">CO84*Slot8_SpendLike*MIN(Slot8_Cost-CR84,CK84)</f>
        <v>0</v>
      </c>
      <c r="CT84" s="20" t="n">
        <f aca="false">CR84+CS84</f>
        <v>0</v>
      </c>
      <c r="CU84" s="20" t="n">
        <f aca="false">CK84-CS84+CO84*IF(Slot8_SpendLike=1,CQ84-CR84,IF(Slot8_PotFree=1,CQ84,0))</f>
        <v>0</v>
      </c>
      <c r="CV84" s="20" t="n">
        <f aca="false">CL84+CO84*Slot8_BufPot*CQ84</f>
        <v>0</v>
      </c>
      <c r="CW84" s="20" t="n">
        <f aca="false">IF(AND(CO84=1,Slot8_IsMfree=1),IF(CT84&gt;=Slot8_Cost-1,0,MAX(0,CM84-CT84)),CM84)</f>
        <v>0</v>
      </c>
      <c r="CX84" s="20" t="n">
        <f aca="false">CO84*(Slot8_Cost-CT84)</f>
        <v>0</v>
      </c>
      <c r="CY84" s="20" t="n">
        <f aca="false">IF(AND(Slot9_On=1,D84=Slot9_Age),1,0)</f>
        <v>0</v>
      </c>
      <c r="CZ84" s="20" t="n">
        <f aca="false">IF(AND(Slot9_On=1,Slot9_Age&gt;D84),1,0)</f>
        <v>0</v>
      </c>
      <c r="DA84" s="20" t="n">
        <f aca="false">RS83</f>
        <v>0</v>
      </c>
      <c r="DB84" s="20" t="n">
        <f aca="false">CY84*MIN(Slot9_Cost,DA84)</f>
        <v>0</v>
      </c>
      <c r="DC84" s="20" t="n">
        <f aca="false">CY84*Slot9_SpendLike*MIN(Slot9_Cost-DB84,CU84)</f>
        <v>0</v>
      </c>
      <c r="DD84" s="20" t="n">
        <f aca="false">DB84+DC84</f>
        <v>0</v>
      </c>
      <c r="DE84" s="20" t="n">
        <f aca="false">CU84-DC84+CY84*IF(Slot9_SpendLike=1,DA84-DB84,IF(Slot9_PotFree=1,DA84,0))</f>
        <v>0</v>
      </c>
      <c r="DF84" s="20" t="n">
        <f aca="false">CV84+CY84*Slot9_BufPot*DA84</f>
        <v>0</v>
      </c>
      <c r="DG84" s="20" t="n">
        <f aca="false">IF(AND(CY84=1,Slot9_IsMfree=1),IF(DD84&gt;=Slot9_Cost-1,0,MAX(0,CW84-DD84)),CW84)</f>
        <v>0</v>
      </c>
      <c r="DH84" s="20" t="n">
        <f aca="false">CY84*(Slot9_Cost-DD84)</f>
        <v>0</v>
      </c>
      <c r="DI84" s="20" t="n">
        <f aca="false">IF(AND(Slot10_On=1,D84=Slot10_Age),1,0)</f>
        <v>0</v>
      </c>
      <c r="DJ84" s="20" t="n">
        <f aca="false">IF(AND(Slot10_On=1,Slot10_Age&gt;D84),1,0)</f>
        <v>0</v>
      </c>
      <c r="DK84" s="20" t="n">
        <f aca="false">RW83</f>
        <v>0</v>
      </c>
      <c r="DL84" s="20" t="n">
        <f aca="false">DI84*MIN(Slot10_Cost,DK84)</f>
        <v>0</v>
      </c>
      <c r="DM84" s="20" t="n">
        <f aca="false">DI84*Slot10_SpendLike*MIN(Slot10_Cost-DL84,DE84)</f>
        <v>0</v>
      </c>
      <c r="DN84" s="20" t="n">
        <f aca="false">DL84+DM84</f>
        <v>0</v>
      </c>
      <c r="DO84" s="20" t="n">
        <f aca="false">DE84-DM84+DI84*IF(Slot10_SpendLike=1,DK84-DL84,IF(Slot10_PotFree=1,DK84,0))</f>
        <v>0</v>
      </c>
      <c r="DP84" s="20" t="n">
        <f aca="false">DF84+DI84*Slot10_BufPot*DK84</f>
        <v>0</v>
      </c>
      <c r="DQ84" s="20" t="n">
        <f aca="false">IF(AND(DI84=1,Slot10_IsMfree=1),IF(DN84&gt;=Slot10_Cost-1,0,MAX(0,DG84-DN84)),DG84)</f>
        <v>0</v>
      </c>
      <c r="DR84" s="20" t="n">
        <f aca="false">DI84*(Slot10_Cost-DN84)</f>
        <v>0</v>
      </c>
      <c r="DS84" s="20" t="n">
        <f aca="false">IF(AND(Slot11_On=1,D84=Slot11_Age),1,0)</f>
        <v>0</v>
      </c>
      <c r="DT84" s="20" t="n">
        <f aca="false">IF(AND(Slot11_On=1,Slot11_Age&gt;D84),1,0)</f>
        <v>0</v>
      </c>
      <c r="DU84" s="20" t="n">
        <f aca="false">SA83</f>
        <v>0</v>
      </c>
      <c r="DV84" s="20" t="n">
        <f aca="false">DS84*MIN(Slot11_Cost,DU84)</f>
        <v>0</v>
      </c>
      <c r="DW84" s="20" t="n">
        <f aca="false">DS84*Slot11_SpendLike*MIN(Slot11_Cost-DV84,DO84)</f>
        <v>0</v>
      </c>
      <c r="DX84" s="20" t="n">
        <f aca="false">DV84+DW84</f>
        <v>0</v>
      </c>
      <c r="DY84" s="20" t="n">
        <f aca="false">DO84-DW84+DS84*IF(Slot11_SpendLike=1,DU84-DV84,IF(Slot11_PotFree=1,DU84,0))</f>
        <v>0</v>
      </c>
      <c r="DZ84" s="20" t="n">
        <f aca="false">DP84+DS84*Slot11_BufPot*DU84</f>
        <v>0</v>
      </c>
      <c r="EA84" s="20" t="n">
        <f aca="false">IF(AND(DS84=1,Slot11_IsMfree=1),IF(DX84&gt;=Slot11_Cost-1,0,MAX(0,DQ84-DX84)),DQ84)</f>
        <v>0</v>
      </c>
      <c r="EB84" s="20" t="n">
        <f aca="false">DS84*(Slot11_Cost-DX84)</f>
        <v>0</v>
      </c>
      <c r="EC84" s="20" t="n">
        <f aca="false">IF(AND(Slot12_On=1,D84=Slot12_Age),1,0)</f>
        <v>0</v>
      </c>
      <c r="ED84" s="20" t="n">
        <f aca="false">IF(AND(Slot12_On=1,Slot12_Age&gt;D84),1,0)</f>
        <v>0</v>
      </c>
      <c r="EE84" s="20" t="n">
        <f aca="false">SE83</f>
        <v>0</v>
      </c>
      <c r="EF84" s="20" t="n">
        <f aca="false">EC84*MIN(Slot12_Cost,EE84)</f>
        <v>0</v>
      </c>
      <c r="EG84" s="20" t="n">
        <f aca="false">EC84*Slot12_SpendLike*MIN(Slot12_Cost-EF84,DY84)</f>
        <v>0</v>
      </c>
      <c r="EH84" s="20" t="n">
        <f aca="false">EF84+EG84</f>
        <v>0</v>
      </c>
      <c r="EI84" s="20" t="n">
        <f aca="false">DY84-EG84+EC84*IF(Slot12_SpendLike=1,EE84-EF84,IF(Slot12_PotFree=1,EE84,0))</f>
        <v>0</v>
      </c>
      <c r="EJ84" s="20" t="n">
        <f aca="false">DZ84+EC84*Slot12_BufPot*EE84</f>
        <v>0</v>
      </c>
      <c r="EK84" s="20" t="n">
        <f aca="false">IF(AND(EC84=1,Slot12_IsMfree=1),IF(EH84&gt;=Slot12_Cost-1,0,MAX(0,EA84-EH84)),EA84)</f>
        <v>0</v>
      </c>
      <c r="EL84" s="20" t="n">
        <f aca="false">EC84*(Slot12_Cost-EH84)</f>
        <v>0</v>
      </c>
      <c r="EM84" s="20" t="n">
        <f aca="false">IF(AND(Slot13_On=1,D84=Slot13_Age),1,0)</f>
        <v>0</v>
      </c>
      <c r="EN84" s="20" t="n">
        <f aca="false">IF(AND(Slot13_On=1,Slot13_Age&gt;D84),1,0)</f>
        <v>0</v>
      </c>
      <c r="EO84" s="20" t="n">
        <f aca="false">SI83</f>
        <v>0</v>
      </c>
      <c r="EP84" s="20" t="n">
        <f aca="false">EM84*MIN(Slot13_Cost,EO84)</f>
        <v>0</v>
      </c>
      <c r="EQ84" s="20" t="n">
        <f aca="false">EM84*Slot13_SpendLike*MIN(Slot13_Cost-EP84,EI84)</f>
        <v>0</v>
      </c>
      <c r="ER84" s="20" t="n">
        <f aca="false">EP84+EQ84</f>
        <v>0</v>
      </c>
      <c r="ES84" s="20" t="n">
        <f aca="false">EI84-EQ84+EM84*IF(Slot13_SpendLike=1,EO84-EP84,IF(Slot13_PotFree=1,EO84,0))</f>
        <v>0</v>
      </c>
      <c r="ET84" s="20" t="n">
        <f aca="false">EJ84+EM84*Slot13_BufPot*EO84</f>
        <v>0</v>
      </c>
      <c r="EU84" s="20" t="n">
        <f aca="false">IF(AND(EM84=1,Slot13_IsMfree=1),IF(ER84&gt;=Slot13_Cost-1,0,MAX(0,EK84-ER84)),EK84)</f>
        <v>0</v>
      </c>
      <c r="EV84" s="20" t="n">
        <f aca="false">EM84*(Slot13_Cost-ER84)</f>
        <v>0</v>
      </c>
      <c r="EW84" s="20" t="n">
        <f aca="false">IF(AND(Slot14_On=1,D84=Slot14_Age),1,0)</f>
        <v>0</v>
      </c>
      <c r="EX84" s="20" t="n">
        <f aca="false">IF(AND(Slot14_On=1,Slot14_Age&gt;D84),1,0)</f>
        <v>0</v>
      </c>
      <c r="EY84" s="20" t="n">
        <f aca="false">SM83</f>
        <v>0</v>
      </c>
      <c r="EZ84" s="20" t="n">
        <f aca="false">EW84*MIN(Slot14_Cost,EY84)</f>
        <v>0</v>
      </c>
      <c r="FA84" s="20" t="n">
        <f aca="false">EW84*Slot14_SpendLike*MIN(Slot14_Cost-EZ84,ES84)</f>
        <v>0</v>
      </c>
      <c r="FB84" s="20" t="n">
        <f aca="false">EZ84+FA84</f>
        <v>0</v>
      </c>
      <c r="FC84" s="20" t="n">
        <f aca="false">ES84-FA84+EW84*IF(Slot14_SpendLike=1,EY84-EZ84,IF(Slot14_PotFree=1,EY84,0))</f>
        <v>0</v>
      </c>
      <c r="FD84" s="20" t="n">
        <f aca="false">ET84+EW84*Slot14_BufPot*EY84</f>
        <v>0</v>
      </c>
      <c r="FE84" s="20" t="n">
        <f aca="false">IF(AND(EW84=1,Slot14_IsMfree=1),IF(FB84&gt;=Slot14_Cost-1,0,MAX(0,EU84-FB84)),EU84)</f>
        <v>0</v>
      </c>
      <c r="FF84" s="20" t="n">
        <f aca="false">EW84*(Slot14_Cost-FB84)</f>
        <v>0</v>
      </c>
      <c r="FG84" s="20" t="n">
        <f aca="false">IF(AND(Slot15_On=1,D84=Slot15_Age),1,0)</f>
        <v>0</v>
      </c>
      <c r="FH84" s="20" t="n">
        <f aca="false">IF(AND(Slot15_On=1,Slot15_Age&gt;D84),1,0)</f>
        <v>0</v>
      </c>
      <c r="FI84" s="20" t="n">
        <f aca="false">SQ83</f>
        <v>0</v>
      </c>
      <c r="FJ84" s="20" t="n">
        <f aca="false">FG84*MIN(Slot15_Cost,FI84)</f>
        <v>0</v>
      </c>
      <c r="FK84" s="20" t="n">
        <f aca="false">FG84*Slot15_SpendLike*MIN(Slot15_Cost-FJ84,FC84)</f>
        <v>0</v>
      </c>
      <c r="FL84" s="20" t="n">
        <f aca="false">FJ84+FK84</f>
        <v>0</v>
      </c>
      <c r="FM84" s="20" t="n">
        <f aca="false">FC84-FK84+FG84*IF(Slot15_SpendLike=1,FI84-FJ84,IF(Slot15_PotFree=1,FI84,0))</f>
        <v>0</v>
      </c>
      <c r="FN84" s="20" t="n">
        <f aca="false">FD84+FG84*Slot15_BufPot*FI84</f>
        <v>0</v>
      </c>
      <c r="FO84" s="20" t="n">
        <f aca="false">IF(AND(FG84=1,Slot15_IsMfree=1),IF(FL84&gt;=Slot15_Cost-1,0,MAX(0,FE84-FL84)),FE84)</f>
        <v>0</v>
      </c>
      <c r="FP84" s="20" t="n">
        <f aca="false">FG84*(Slot15_Cost-FL84)</f>
        <v>0</v>
      </c>
      <c r="FQ84" s="20" t="n">
        <f aca="false">IF(AND(Slot16_On=1,D84=Slot16_Age),1,0)</f>
        <v>0</v>
      </c>
      <c r="FR84" s="20" t="n">
        <f aca="false">IF(AND(Slot16_On=1,Slot16_Age&gt;D84),1,0)</f>
        <v>0</v>
      </c>
      <c r="FS84" s="20" t="n">
        <f aca="false">SU83</f>
        <v>0</v>
      </c>
      <c r="FT84" s="20" t="n">
        <f aca="false">FQ84*MIN(Slot16_Cost,FS84)</f>
        <v>0</v>
      </c>
      <c r="FU84" s="20" t="n">
        <f aca="false">FQ84*Slot16_SpendLike*MIN(Slot16_Cost-FT84,FM84)</f>
        <v>0</v>
      </c>
      <c r="FV84" s="20" t="n">
        <f aca="false">FT84+FU84</f>
        <v>0</v>
      </c>
      <c r="FW84" s="20" t="n">
        <f aca="false">FM84-FU84+FQ84*IF(Slot16_SpendLike=1,FS84-FT84,IF(Slot16_PotFree=1,FS84,0))</f>
        <v>0</v>
      </c>
      <c r="FX84" s="20" t="n">
        <f aca="false">FN84+FQ84*Slot16_BufPot*FS84</f>
        <v>0</v>
      </c>
      <c r="FY84" s="20" t="n">
        <f aca="false">IF(AND(FQ84=1,Slot16_IsMfree=1),IF(FV84&gt;=Slot16_Cost-1,0,MAX(0,FO84-FV84)),FO84)</f>
        <v>0</v>
      </c>
      <c r="FZ84" s="20" t="n">
        <f aca="false">FQ84*(Slot16_Cost-FV84)</f>
        <v>0</v>
      </c>
      <c r="GA84" s="20" t="n">
        <f aca="false">IF(AND(Slot17_On=1,D84=Slot17_Age),1,0)</f>
        <v>0</v>
      </c>
      <c r="GB84" s="20" t="n">
        <f aca="false">IF(AND(Slot17_On=1,Slot17_Age&gt;D84),1,0)</f>
        <v>0</v>
      </c>
      <c r="GC84" s="20" t="n">
        <f aca="false">SY83</f>
        <v>0</v>
      </c>
      <c r="GD84" s="20" t="n">
        <f aca="false">GA84*MIN(Slot17_Cost,GC84)</f>
        <v>0</v>
      </c>
      <c r="GE84" s="20" t="n">
        <f aca="false">GA84*Slot17_SpendLike*MIN(Slot17_Cost-GD84,FW84)</f>
        <v>0</v>
      </c>
      <c r="GF84" s="20" t="n">
        <f aca="false">GD84+GE84</f>
        <v>0</v>
      </c>
      <c r="GG84" s="20" t="n">
        <f aca="false">FW84-GE84+GA84*IF(Slot17_SpendLike=1,GC84-GD84,IF(Slot17_PotFree=1,GC84,0))</f>
        <v>0</v>
      </c>
      <c r="GH84" s="20" t="n">
        <f aca="false">FX84+GA84*Slot17_BufPot*GC84</f>
        <v>0</v>
      </c>
      <c r="GI84" s="20" t="n">
        <f aca="false">IF(AND(GA84=1,Slot17_IsMfree=1),IF(GF84&gt;=Slot17_Cost-1,0,MAX(0,FY84-GF84)),FY84)</f>
        <v>0</v>
      </c>
      <c r="GJ84" s="20" t="n">
        <f aca="false">GA84*(Slot17_Cost-GF84)</f>
        <v>0</v>
      </c>
      <c r="GK84" s="20" t="n">
        <f aca="false">IF(AND(Slot18_On=1,D84=Slot18_Age),1,0)</f>
        <v>0</v>
      </c>
      <c r="GL84" s="20" t="n">
        <f aca="false">IF(AND(Slot18_On=1,Slot18_Age&gt;D84),1,0)</f>
        <v>0</v>
      </c>
      <c r="GM84" s="20" t="n">
        <f aca="false">TC83</f>
        <v>0</v>
      </c>
      <c r="GN84" s="20" t="n">
        <f aca="false">GK84*MIN(Slot18_Cost,GM84)</f>
        <v>0</v>
      </c>
      <c r="GO84" s="20" t="n">
        <f aca="false">GK84*Slot18_SpendLike*MIN(Slot18_Cost-GN84,GG84)</f>
        <v>0</v>
      </c>
      <c r="GP84" s="20" t="n">
        <f aca="false">GN84+GO84</f>
        <v>0</v>
      </c>
      <c r="GQ84" s="20" t="n">
        <f aca="false">GG84-GO84+GK84*IF(Slot18_SpendLike=1,GM84-GN84,IF(Slot18_PotFree=1,GM84,0))</f>
        <v>0</v>
      </c>
      <c r="GR84" s="20" t="n">
        <f aca="false">GH84+GK84*Slot18_BufPot*GM84</f>
        <v>0</v>
      </c>
      <c r="GS84" s="20" t="n">
        <f aca="false">IF(AND(GK84=1,Slot18_IsMfree=1),IF(GP84&gt;=Slot18_Cost-1,0,MAX(0,GI84-GP84)),GI84)</f>
        <v>0</v>
      </c>
      <c r="GT84" s="20" t="n">
        <f aca="false">GK84*(Slot18_Cost-GP84)</f>
        <v>0</v>
      </c>
      <c r="GU84" s="20" t="n">
        <f aca="false">IF(AND(Slot19_On=1,D84=Slot19_Age),1,0)</f>
        <v>0</v>
      </c>
      <c r="GV84" s="20" t="n">
        <f aca="false">IF(AND(Slot19_On=1,Slot19_Age&gt;D84),1,0)</f>
        <v>0</v>
      </c>
      <c r="GW84" s="20" t="n">
        <f aca="false">TG83</f>
        <v>0</v>
      </c>
      <c r="GX84" s="20" t="n">
        <f aca="false">GU84*MIN(Slot19_Cost,GW84)</f>
        <v>0</v>
      </c>
      <c r="GY84" s="20" t="n">
        <f aca="false">GU84*Slot19_SpendLike*MIN(Slot19_Cost-GX84,GQ84)</f>
        <v>0</v>
      </c>
      <c r="GZ84" s="20" t="n">
        <f aca="false">GX84+GY84</f>
        <v>0</v>
      </c>
      <c r="HA84" s="20" t="n">
        <f aca="false">GQ84-GY84+GU84*IF(Slot19_SpendLike=1,GW84-GX84,IF(Slot19_PotFree=1,GW84,0))</f>
        <v>0</v>
      </c>
      <c r="HB84" s="20" t="n">
        <f aca="false">GR84+GU84*Slot19_BufPot*GW84</f>
        <v>0</v>
      </c>
      <c r="HC84" s="20" t="n">
        <f aca="false">IF(AND(GU84=1,Slot19_IsMfree=1),IF(GZ84&gt;=Slot19_Cost-1,0,MAX(0,GS84-GZ84)),GS84)</f>
        <v>0</v>
      </c>
      <c r="HD84" s="20" t="n">
        <f aca="false">GU84*(Slot19_Cost-GZ84)</f>
        <v>0</v>
      </c>
      <c r="HE84" s="20" t="n">
        <f aca="false">IF(AND(Slot20_On=1,D84=Slot20_Age),1,0)</f>
        <v>0</v>
      </c>
      <c r="HF84" s="20" t="n">
        <f aca="false">IF(AND(Slot20_On=1,Slot20_Age&gt;D84),1,0)</f>
        <v>0</v>
      </c>
      <c r="HG84" s="20" t="n">
        <f aca="false">TK83</f>
        <v>0</v>
      </c>
      <c r="HH84" s="20" t="n">
        <f aca="false">HE84*MIN(Slot20_Cost,HG84)</f>
        <v>0</v>
      </c>
      <c r="HI84" s="20" t="n">
        <f aca="false">HE84*Slot20_SpendLike*MIN(Slot20_Cost-HH84,HA84)</f>
        <v>0</v>
      </c>
      <c r="HJ84" s="20" t="n">
        <f aca="false">HH84+HI84</f>
        <v>0</v>
      </c>
      <c r="HK84" s="20" t="n">
        <f aca="false">HA84-HI84+HE84*IF(Slot20_SpendLike=1,HG84-HH84,IF(Slot20_PotFree=1,HG84,0))</f>
        <v>0</v>
      </c>
      <c r="HL84" s="20" t="n">
        <f aca="false">HB84+HE84*Slot20_BufPot*HG84</f>
        <v>0</v>
      </c>
      <c r="HM84" s="20" t="n">
        <f aca="false">IF(AND(HE84=1,Slot20_IsMfree=1),IF(HJ84&gt;=Slot20_Cost-1,0,MAX(0,HC84-HJ84)),HC84)</f>
        <v>0</v>
      </c>
      <c r="HN84" s="20" t="n">
        <f aca="false">HE84*(Slot20_Cost-HJ84)</f>
        <v>0</v>
      </c>
      <c r="HO84" s="20" t="n">
        <f aca="false">V84*Slot1_SpendLike*AA84+AG84*Slot2_SpendLike*AL84+AQ84*Slot3_SpendLike*AV84+BA84*Slot4_SpendLike*BF84+BK84*Slot5_SpendLike*BP84+BU84*Slot6_SpendLike*BZ84+CE84*Slot7_SpendLike*CJ84+CO84*Slot8_SpendLike*CT84+CY84*Slot9_SpendLike*DD84+DI84*Slot10_SpendLike*DN84+DS84*Slot11_SpendLike*DX84+EC84*Slot12_SpendLike*EH84+EM84*Slot13_SpendLike*ER84+EW84*Slot14_SpendLike*FB84+FG84*Slot15_SpendLike*FL84+FQ84*Slot16_SpendLike*FV84+GA84*Slot17_SpendLike*GF84+GK84*Slot18_SpendLike*GP84+GU84*Slot19_SpendLike*GZ84+HE84*Slot20_SpendLike*HJ84</f>
        <v>0</v>
      </c>
      <c r="HP84" s="20" t="n">
        <f aca="false">AE84+AP84+AZ84+BJ84+BT84+CD84+CN84+CX84+DH84+DR84+EB84+EL84+EV84+FF84+FP84+FZ84+GJ84+GT84+HD84+HN84</f>
        <v>0</v>
      </c>
      <c r="HQ84" s="20" t="n">
        <f aca="false">V84*Slot1_Cost+AG84*Slot2_Cost+AQ84*Slot3_Cost+BA84*Slot4_Cost+BK84*Slot5_Cost+BU84*Slot6_Cost+CE84*Slot7_Cost+CO84*Slot8_Cost+CY84*Slot9_Cost+DI84*Slot10_Cost+DS84*Slot11_Cost+EC84*Slot12_Cost+EM84*Slot13_Cost+EW84*Slot14_Cost+FG84*Slot15_Cost+FQ84*Slot16_Cost+GA84*Slot17_Cost+GK84*Slot18_Cost+GU84*Slot19_Cost+HE84*Slot20_Cost</f>
        <v>0</v>
      </c>
      <c r="HR84" s="20" t="n">
        <f aca="false">HM84</f>
        <v>0</v>
      </c>
      <c r="HS84" s="20" t="n">
        <f aca="false">H84-I84-S84</f>
        <v>-86774.8336030207</v>
      </c>
      <c r="HT84" s="20" t="n">
        <f aca="false">IF(B84=0,IF(AND(Has_q6=1,In_q6=4),PR_ShareVaries*(MAX(0,HS84)/12),MIN(IF(Has_q6=1,CHOOSE(In_q6+1,PR_SaveB1,PR_SaveB2,PR_SaveB3,PR_SaveB4,0),AS_NoAnswer),AS_SaveShare*(MAX(0,HS84)/12))),HT83)</f>
        <v>62.3316893520437</v>
      </c>
      <c r="HU84" s="20" t="n">
        <f aca="false">IF(HS84&gt;=0,1,0)</f>
        <v>0</v>
      </c>
      <c r="HV84" s="20" t="n">
        <f aca="false">MAX(0,HS84/12/F84)</f>
        <v>0</v>
      </c>
      <c r="HW84" s="20" t="n">
        <f aca="false">IF(AND(Has_q6=1,In_q6=4),PR_ShareVaries*(HV84),MIN(IF(Has_q6=1,CHOOSE(In_q6+1,PR_SaveB1,PR_SaveB2,PR_SaveB3,PR_SaveB4,0),AS_NoAnswer),AS_SaveShare*(HV84)))</f>
        <v>0</v>
      </c>
      <c r="HX84" s="20" t="n">
        <f aca="false">IF(Has_saveM=1,IF(In_saveUp="Yes",1,IF(In_saveUp="No",0,IF(In_saveM&gt;=HT84-0.5,1,0))),0)</f>
        <v>0</v>
      </c>
      <c r="HY84" s="20" t="n">
        <f aca="false">IF(Has_saveM=1,MIN(HV84,IF(HX84=1,MAX(In_saveM,HW84),MIN(In_saveM,HW84))),HW84)</f>
        <v>0</v>
      </c>
      <c r="HZ84" s="20" t="n">
        <f aca="false">IF(G84=1,HY84*12*F84,0)</f>
        <v>0</v>
      </c>
      <c r="IA84" s="20" t="n">
        <f aca="false">MAX(0,HZ84+IF(AND(WI_Retire=0,WI_M&lt;0,G84=1),WI_M*12*F84,0))</f>
        <v>0</v>
      </c>
      <c r="IB84" s="20" t="n">
        <f aca="false">Slot1_IsWG*W84+Slot2_IsWG*AH84+Slot3_IsWG*AR84+Slot4_IsWG*BB84+Slot5_IsWG*BL84+Slot6_IsWG*BV84+Slot7_IsWG*CF84+Slot8_IsWG*CP84+Slot9_IsWG*CZ84+Slot10_IsWG*DJ84+Slot11_IsWG*DT84+Slot12_IsWG*ED84+Slot13_IsWG*EN84+Slot14_IsWG*EX84+Slot15_IsWG*FH84+Slot16_IsWG*FR84+Slot17_IsWG*GB84+Slot18_IsWG*GL84+Slot19_IsWG*GV84+Slot20_IsWG*HF84</f>
        <v>0</v>
      </c>
      <c r="IC84" s="20" t="n">
        <f aca="false">IF(AND(WI_Retire=0,WI_M&gt;0,G84=1,IB84&gt;=1),WI_M*12*F84,0)</f>
        <v>0</v>
      </c>
      <c r="ID84" s="20" t="n">
        <f aca="false">IF(HU84=1,MIN(IA84,HS84),0)</f>
        <v>0</v>
      </c>
      <c r="IE84" s="20" t="n">
        <f aca="false">IF(HU84=1,MIN(IC84,HS84-ID84),0)</f>
        <v>0</v>
      </c>
      <c r="IF84" s="20" t="n">
        <f aca="false">IF(W84=1,IF(ABS((1+AS_Wage)/(1+Slot1_Rate)-1)&lt;0.000000000001,(Slot1_Age-D84)*(1+Slot1_Rate)^(Slot1_Age-D84),(1+Slot1_Rate)^(Slot1_Age-D84)*(1-((1+AS_Wage)/(1+Slot1_Rate))^(Slot1_Age-D84))/(1-(1+AS_Wage)/(1+Slot1_Rate))),1)</f>
        <v>1</v>
      </c>
      <c r="IG84" s="20" t="n">
        <f aca="false">IF(AND(HU84=1,IE84&gt;0,Slot1_IsWG=1,W84=1),MAX(0,(Slot1_Cost-X84*(1+Slot1_Rate)^(Slot1_Age-D84))/IF84),0)</f>
        <v>0</v>
      </c>
      <c r="IH84" s="20" t="n">
        <f aca="false">IF(AND(HU84=1,IE84&gt;0,Slot1_IsWG=1,W84=1),MIN(IE84,IG84),0)</f>
        <v>0</v>
      </c>
      <c r="II84" s="20" t="n">
        <f aca="false">X84+IH84</f>
        <v>0</v>
      </c>
      <c r="IJ84" s="20" t="n">
        <f aca="false">IF(W84=1,MAX(0,(Slot1_Cost-II84*(1+Slot1_Rate)^(Slot1_Age-D84))/IF84),0)</f>
        <v>0</v>
      </c>
      <c r="IK84" s="20" t="n">
        <f aca="false">IF(W84=1,MAX(0,(Slot1_Cost-X84*(1+Slot1_Rate)^(Slot1_Age-D84))/IF84),0)</f>
        <v>0</v>
      </c>
      <c r="IL84" s="20" t="n">
        <f aca="false">IF(AND(HU84=1,W84=1),MIN(ID84,IJ84),0)</f>
        <v>0</v>
      </c>
      <c r="IM84" s="20" t="n">
        <f aca="false">ID84-IL84</f>
        <v>0</v>
      </c>
      <c r="IN84" s="20" t="n">
        <f aca="false">IF(AH84=1,IF(ABS((1+AS_Wage)/(1+Slot2_Rate)-1)&lt;0.000000000001,(Slot2_Age-D84)*(1+Slot2_Rate)^(Slot2_Age-D84),(1+Slot2_Rate)^(Slot2_Age-D84)*(1-((1+AS_Wage)/(1+Slot2_Rate))^(Slot2_Age-D84))/(1-(1+AS_Wage)/(1+Slot2_Rate))),1)</f>
        <v>1</v>
      </c>
      <c r="IO84" s="20" t="n">
        <f aca="false">IF(AND(HU84=1,IE84&gt;0,Slot2_IsWG=1,AH84=1),MAX(0,(Slot2_Cost-AI84*(1+Slot2_Rate)^(Slot2_Age-D84))/IN84),0)</f>
        <v>0</v>
      </c>
      <c r="IP84" s="20" t="n">
        <f aca="false">IF(AND(HU84=1,IE84&gt;0,Slot2_IsWG=1,AH84=1),MIN(IE84,IO84),0)</f>
        <v>0</v>
      </c>
      <c r="IQ84" s="20" t="n">
        <f aca="false">AI84+IP84</f>
        <v>0</v>
      </c>
      <c r="IR84" s="20" t="n">
        <f aca="false">IF(AH84=1,MAX(0,(Slot2_Cost-IQ84*(1+Slot2_Rate)^(Slot2_Age-D84))/IN84),0)</f>
        <v>0</v>
      </c>
      <c r="IS84" s="20" t="n">
        <f aca="false">IF(AH84=1,MAX(0,(Slot2_Cost-AI84*(1+Slot2_Rate)^(Slot2_Age-D84))/IN84),0)</f>
        <v>0</v>
      </c>
      <c r="IT84" s="20" t="n">
        <f aca="false">IF(AND(HU84=1,AH84=1),MIN(IM84,IR84),0)</f>
        <v>0</v>
      </c>
      <c r="IU84" s="20" t="n">
        <f aca="false">IM84-IT84</f>
        <v>0</v>
      </c>
      <c r="IV84" s="20" t="n">
        <f aca="false">IF(AR84=1,IF(ABS((1+AS_Wage)/(1+Slot3_Rate)-1)&lt;0.000000000001,(Slot3_Age-D84)*(1+Slot3_Rate)^(Slot3_Age-D84),(1+Slot3_Rate)^(Slot3_Age-D84)*(1-((1+AS_Wage)/(1+Slot3_Rate))^(Slot3_Age-D84))/(1-(1+AS_Wage)/(1+Slot3_Rate))),1)</f>
        <v>1</v>
      </c>
      <c r="IW84" s="20" t="n">
        <f aca="false">IF(AND(HU84=1,IE84&gt;0,Slot3_IsWG=1,AR84=1),MAX(0,(Slot3_Cost-AS84*(1+Slot3_Rate)^(Slot3_Age-D84))/IV84),0)</f>
        <v>0</v>
      </c>
      <c r="IX84" s="20" t="n">
        <f aca="false">IF(AND(HU84=1,IE84&gt;0,Slot3_IsWG=1,AR84=1),MIN(IE84,IW84),0)</f>
        <v>0</v>
      </c>
      <c r="IY84" s="20" t="n">
        <f aca="false">AS84+IX84</f>
        <v>0</v>
      </c>
      <c r="IZ84" s="20" t="n">
        <f aca="false">IF(AR84=1,MAX(0,(Slot3_Cost-IY84*(1+Slot3_Rate)^(Slot3_Age-D84))/IV84),0)</f>
        <v>0</v>
      </c>
      <c r="JA84" s="20" t="n">
        <f aca="false">IF(AR84=1,MAX(0,(Slot3_Cost-AS84*(1+Slot3_Rate)^(Slot3_Age-D84))/IV84),0)</f>
        <v>0</v>
      </c>
      <c r="JB84" s="20" t="n">
        <f aca="false">IF(AND(HU84=1,AR84=1),MIN(IU84,IZ84),0)</f>
        <v>0</v>
      </c>
      <c r="JC84" s="20" t="n">
        <f aca="false">IU84-JB84</f>
        <v>0</v>
      </c>
      <c r="JD84" s="20" t="n">
        <f aca="false">IF(BB84=1,IF(ABS((1+AS_Wage)/(1+Slot4_Rate)-1)&lt;0.000000000001,(Slot4_Age-D84)*(1+Slot4_Rate)^(Slot4_Age-D84),(1+Slot4_Rate)^(Slot4_Age-D84)*(1-((1+AS_Wage)/(1+Slot4_Rate))^(Slot4_Age-D84))/(1-(1+AS_Wage)/(1+Slot4_Rate))),1)</f>
        <v>1</v>
      </c>
      <c r="JE84" s="20" t="n">
        <f aca="false">IF(AND(HU84=1,IE84&gt;0,Slot4_IsWG=1,BB84=1),MAX(0,(Slot4_Cost-BC84*(1+Slot4_Rate)^(Slot4_Age-D84))/JD84),0)</f>
        <v>0</v>
      </c>
      <c r="JF84" s="20" t="n">
        <f aca="false">IF(AND(HU84=1,IE84&gt;0,Slot4_IsWG=1,BB84=1),MIN(IE84,JE84),0)</f>
        <v>0</v>
      </c>
      <c r="JG84" s="20" t="n">
        <f aca="false">BC84+JF84</f>
        <v>0</v>
      </c>
      <c r="JH84" s="20" t="n">
        <f aca="false">IF(BB84=1,MAX(0,(Slot4_Cost-JG84*(1+Slot4_Rate)^(Slot4_Age-D84))/JD84),0)</f>
        <v>0</v>
      </c>
      <c r="JI84" s="20" t="n">
        <f aca="false">IF(BB84=1,MAX(0,(Slot4_Cost-BC84*(1+Slot4_Rate)^(Slot4_Age-D84))/JD84),0)</f>
        <v>0</v>
      </c>
      <c r="JJ84" s="20" t="n">
        <f aca="false">IF(AND(HU84=1,BB84=1),MIN(JC84,JH84),0)</f>
        <v>0</v>
      </c>
      <c r="JK84" s="20" t="n">
        <f aca="false">JC84-JJ84</f>
        <v>0</v>
      </c>
      <c r="JL84" s="20" t="n">
        <f aca="false">IF(BL84=1,IF(ABS((1+AS_Wage)/(1+Slot5_Rate)-1)&lt;0.000000000001,(Slot5_Age-D84)*(1+Slot5_Rate)^(Slot5_Age-D84),(1+Slot5_Rate)^(Slot5_Age-D84)*(1-((1+AS_Wage)/(1+Slot5_Rate))^(Slot5_Age-D84))/(1-(1+AS_Wage)/(1+Slot5_Rate))),1)</f>
        <v>1</v>
      </c>
      <c r="JM84" s="20" t="n">
        <f aca="false">IF(AND(HU84=1,IE84&gt;0,Slot5_IsWG=1,BL84=1),MAX(0,(Slot5_Cost-BM84*(1+Slot5_Rate)^(Slot5_Age-D84))/JL84),0)</f>
        <v>0</v>
      </c>
      <c r="JN84" s="20" t="n">
        <f aca="false">IF(AND(HU84=1,IE84&gt;0,Slot5_IsWG=1,BL84=1),MIN(IE84,JM84),0)</f>
        <v>0</v>
      </c>
      <c r="JO84" s="20" t="n">
        <f aca="false">BM84+JN84</f>
        <v>0</v>
      </c>
      <c r="JP84" s="20" t="n">
        <f aca="false">IF(BL84=1,MAX(0,(Slot5_Cost-JO84*(1+Slot5_Rate)^(Slot5_Age-D84))/JL84),0)</f>
        <v>0</v>
      </c>
      <c r="JQ84" s="20" t="n">
        <f aca="false">IF(BL84=1,MAX(0,(Slot5_Cost-BM84*(1+Slot5_Rate)^(Slot5_Age-D84))/JL84),0)</f>
        <v>0</v>
      </c>
      <c r="JR84" s="20" t="n">
        <f aca="false">IF(AND(HU84=1,BL84=1),MIN(JK84,JP84),0)</f>
        <v>0</v>
      </c>
      <c r="JS84" s="20" t="n">
        <f aca="false">JK84-JR84</f>
        <v>0</v>
      </c>
      <c r="JT84" s="20" t="n">
        <f aca="false">IF(BV84=1,IF(ABS((1+AS_Wage)/(1+Slot6_Rate)-1)&lt;0.000000000001,(Slot6_Age-D84)*(1+Slot6_Rate)^(Slot6_Age-D84),(1+Slot6_Rate)^(Slot6_Age-D84)*(1-((1+AS_Wage)/(1+Slot6_Rate))^(Slot6_Age-D84))/(1-(1+AS_Wage)/(1+Slot6_Rate))),1)</f>
        <v>1</v>
      </c>
      <c r="JU84" s="20" t="n">
        <f aca="false">IF(AND(HU84=1,IE84&gt;0,Slot6_IsWG=1,BV84=1),MAX(0,(Slot6_Cost-BW84*(1+Slot6_Rate)^(Slot6_Age-D84))/JT84),0)</f>
        <v>0</v>
      </c>
      <c r="JV84" s="20" t="n">
        <f aca="false">IF(AND(HU84=1,IE84&gt;0,Slot6_IsWG=1,BV84=1),MIN(IE84,JU84),0)</f>
        <v>0</v>
      </c>
      <c r="JW84" s="20" t="n">
        <f aca="false">BW84+JV84</f>
        <v>0</v>
      </c>
      <c r="JX84" s="20" t="n">
        <f aca="false">IF(BV84=1,MAX(0,(Slot6_Cost-JW84*(1+Slot6_Rate)^(Slot6_Age-D84))/JT84),0)</f>
        <v>0</v>
      </c>
      <c r="JY84" s="20" t="n">
        <f aca="false">IF(BV84=1,MAX(0,(Slot6_Cost-BW84*(1+Slot6_Rate)^(Slot6_Age-D84))/JT84),0)</f>
        <v>0</v>
      </c>
      <c r="JZ84" s="20" t="n">
        <f aca="false">IF(AND(HU84=1,BV84=1),MIN(JS84,JX84),0)</f>
        <v>0</v>
      </c>
      <c r="KA84" s="20" t="n">
        <f aca="false">JS84-JZ84</f>
        <v>0</v>
      </c>
      <c r="KB84" s="20" t="n">
        <f aca="false">IF(CF84=1,IF(ABS((1+AS_Wage)/(1+Slot7_Rate)-1)&lt;0.000000000001,(Slot7_Age-D84)*(1+Slot7_Rate)^(Slot7_Age-D84),(1+Slot7_Rate)^(Slot7_Age-D84)*(1-((1+AS_Wage)/(1+Slot7_Rate))^(Slot7_Age-D84))/(1-(1+AS_Wage)/(1+Slot7_Rate))),1)</f>
        <v>1</v>
      </c>
      <c r="KC84" s="20" t="n">
        <f aca="false">IF(AND(HU84=1,IE84&gt;0,Slot7_IsWG=1,CF84=1),MAX(0,(Slot7_Cost-CG84*(1+Slot7_Rate)^(Slot7_Age-D84))/KB84),0)</f>
        <v>0</v>
      </c>
      <c r="KD84" s="20" t="n">
        <f aca="false">IF(AND(HU84=1,IE84&gt;0,Slot7_IsWG=1,CF84=1),MIN(IE84,KC84),0)</f>
        <v>0</v>
      </c>
      <c r="KE84" s="20" t="n">
        <f aca="false">CG84+KD84</f>
        <v>0</v>
      </c>
      <c r="KF84" s="20" t="n">
        <f aca="false">IF(CF84=1,MAX(0,(Slot7_Cost-KE84*(1+Slot7_Rate)^(Slot7_Age-D84))/KB84),0)</f>
        <v>0</v>
      </c>
      <c r="KG84" s="20" t="n">
        <f aca="false">IF(CF84=1,MAX(0,(Slot7_Cost-CG84*(1+Slot7_Rate)^(Slot7_Age-D84))/KB84),0)</f>
        <v>0</v>
      </c>
      <c r="KH84" s="20" t="n">
        <f aca="false">IF(AND(HU84=1,CF84=1),MIN(KA84,KF84),0)</f>
        <v>0</v>
      </c>
      <c r="KI84" s="20" t="n">
        <f aca="false">KA84-KH84</f>
        <v>0</v>
      </c>
      <c r="KJ84" s="20" t="n">
        <f aca="false">IF(CP84=1,IF(ABS((1+AS_Wage)/(1+Slot8_Rate)-1)&lt;0.000000000001,(Slot8_Age-D84)*(1+Slot8_Rate)^(Slot8_Age-D84),(1+Slot8_Rate)^(Slot8_Age-D84)*(1-((1+AS_Wage)/(1+Slot8_Rate))^(Slot8_Age-D84))/(1-(1+AS_Wage)/(1+Slot8_Rate))),1)</f>
        <v>1</v>
      </c>
      <c r="KK84" s="20" t="n">
        <f aca="false">IF(AND(HU84=1,IE84&gt;0,Slot8_IsWG=1,CP84=1),MAX(0,(Slot8_Cost-CQ84*(1+Slot8_Rate)^(Slot8_Age-D84))/KJ84),0)</f>
        <v>0</v>
      </c>
      <c r="KL84" s="20" t="n">
        <f aca="false">IF(AND(HU84=1,IE84&gt;0,Slot8_IsWG=1,CP84=1),MIN(IE84,KK84),0)</f>
        <v>0</v>
      </c>
      <c r="KM84" s="20" t="n">
        <f aca="false">CQ84+KL84</f>
        <v>0</v>
      </c>
      <c r="KN84" s="20" t="n">
        <f aca="false">IF(CP84=1,MAX(0,(Slot8_Cost-KM84*(1+Slot8_Rate)^(Slot8_Age-D84))/KJ84),0)</f>
        <v>0</v>
      </c>
      <c r="KO84" s="20" t="n">
        <f aca="false">IF(CP84=1,MAX(0,(Slot8_Cost-CQ84*(1+Slot8_Rate)^(Slot8_Age-D84))/KJ84),0)</f>
        <v>0</v>
      </c>
      <c r="KP84" s="20" t="n">
        <f aca="false">IF(AND(HU84=1,CP84=1),MIN(KI84,KN84),0)</f>
        <v>0</v>
      </c>
      <c r="KQ84" s="20" t="n">
        <f aca="false">KI84-KP84</f>
        <v>0</v>
      </c>
      <c r="KR84" s="20" t="n">
        <f aca="false">IF(CZ84=1,IF(ABS((1+AS_Wage)/(1+Slot9_Rate)-1)&lt;0.000000000001,(Slot9_Age-D84)*(1+Slot9_Rate)^(Slot9_Age-D84),(1+Slot9_Rate)^(Slot9_Age-D84)*(1-((1+AS_Wage)/(1+Slot9_Rate))^(Slot9_Age-D84))/(1-(1+AS_Wage)/(1+Slot9_Rate))),1)</f>
        <v>1</v>
      </c>
      <c r="KS84" s="20" t="n">
        <f aca="false">IF(AND(HU84=1,IE84&gt;0,Slot9_IsWG=1,CZ84=1),MAX(0,(Slot9_Cost-DA84*(1+Slot9_Rate)^(Slot9_Age-D84))/KR84),0)</f>
        <v>0</v>
      </c>
      <c r="KT84" s="20" t="n">
        <f aca="false">IF(AND(HU84=1,IE84&gt;0,Slot9_IsWG=1,CZ84=1),MIN(IE84,KS84),0)</f>
        <v>0</v>
      </c>
      <c r="KU84" s="20" t="n">
        <f aca="false">DA84+KT84</f>
        <v>0</v>
      </c>
      <c r="KV84" s="20" t="n">
        <f aca="false">IF(CZ84=1,MAX(0,(Slot9_Cost-KU84*(1+Slot9_Rate)^(Slot9_Age-D84))/KR84),0)</f>
        <v>0</v>
      </c>
      <c r="KW84" s="20" t="n">
        <f aca="false">IF(CZ84=1,MAX(0,(Slot9_Cost-DA84*(1+Slot9_Rate)^(Slot9_Age-D84))/KR84),0)</f>
        <v>0</v>
      </c>
      <c r="KX84" s="20" t="n">
        <f aca="false">IF(AND(HU84=1,CZ84=1),MIN(KQ84,KV84),0)</f>
        <v>0</v>
      </c>
      <c r="KY84" s="20" t="n">
        <f aca="false">KQ84-KX84</f>
        <v>0</v>
      </c>
      <c r="KZ84" s="20" t="n">
        <f aca="false">IF(DJ84=1,IF(ABS((1+AS_Wage)/(1+Slot10_Rate)-1)&lt;0.000000000001,(Slot10_Age-D84)*(1+Slot10_Rate)^(Slot10_Age-D84),(1+Slot10_Rate)^(Slot10_Age-D84)*(1-((1+AS_Wage)/(1+Slot10_Rate))^(Slot10_Age-D84))/(1-(1+AS_Wage)/(1+Slot10_Rate))),1)</f>
        <v>1</v>
      </c>
      <c r="LA84" s="20" t="n">
        <f aca="false">IF(AND(HU84=1,IE84&gt;0,Slot10_IsWG=1,DJ84=1),MAX(0,(Slot10_Cost-DK84*(1+Slot10_Rate)^(Slot10_Age-D84))/KZ84),0)</f>
        <v>0</v>
      </c>
      <c r="LB84" s="20" t="n">
        <f aca="false">IF(AND(HU84=1,IE84&gt;0,Slot10_IsWG=1,DJ84=1),MIN(IE84,LA84),0)</f>
        <v>0</v>
      </c>
      <c r="LC84" s="20" t="n">
        <f aca="false">DK84+LB84</f>
        <v>0</v>
      </c>
      <c r="LD84" s="20" t="n">
        <f aca="false">IF(DJ84=1,MAX(0,(Slot10_Cost-LC84*(1+Slot10_Rate)^(Slot10_Age-D84))/KZ84),0)</f>
        <v>0</v>
      </c>
      <c r="LE84" s="20" t="n">
        <f aca="false">IF(DJ84=1,MAX(0,(Slot10_Cost-DK84*(1+Slot10_Rate)^(Slot10_Age-D84))/KZ84),0)</f>
        <v>0</v>
      </c>
      <c r="LF84" s="20" t="n">
        <f aca="false">IF(AND(HU84=1,DJ84=1),MIN(KY84,LD84),0)</f>
        <v>0</v>
      </c>
      <c r="LG84" s="20" t="n">
        <f aca="false">KY84-LF84</f>
        <v>0</v>
      </c>
      <c r="LH84" s="20" t="n">
        <f aca="false">IF(DT84=1,IF(ABS((1+AS_Wage)/(1+Slot11_Rate)-1)&lt;0.000000000001,(Slot11_Age-D84)*(1+Slot11_Rate)^(Slot11_Age-D84),(1+Slot11_Rate)^(Slot11_Age-D84)*(1-((1+AS_Wage)/(1+Slot11_Rate))^(Slot11_Age-D84))/(1-(1+AS_Wage)/(1+Slot11_Rate))),1)</f>
        <v>1</v>
      </c>
      <c r="LI84" s="20" t="n">
        <f aca="false">IF(AND(HU84=1,IE84&gt;0,Slot11_IsWG=1,DT84=1),MAX(0,(Slot11_Cost-DU84*(1+Slot11_Rate)^(Slot11_Age-D84))/LH84),0)</f>
        <v>0</v>
      </c>
      <c r="LJ84" s="20" t="n">
        <f aca="false">IF(AND(HU84=1,IE84&gt;0,Slot11_IsWG=1,DT84=1),MIN(IE84,LI84),0)</f>
        <v>0</v>
      </c>
      <c r="LK84" s="20" t="n">
        <f aca="false">DU84+LJ84</f>
        <v>0</v>
      </c>
      <c r="LL84" s="20" t="n">
        <f aca="false">IF(DT84=1,MAX(0,(Slot11_Cost-LK84*(1+Slot11_Rate)^(Slot11_Age-D84))/LH84),0)</f>
        <v>0</v>
      </c>
      <c r="LM84" s="20" t="n">
        <f aca="false">IF(DT84=1,MAX(0,(Slot11_Cost-DU84*(1+Slot11_Rate)^(Slot11_Age-D84))/LH84),0)</f>
        <v>0</v>
      </c>
      <c r="LN84" s="20" t="n">
        <f aca="false">IF(AND(HU84=1,DT84=1),MIN(LG84,LL84),0)</f>
        <v>0</v>
      </c>
      <c r="LO84" s="20" t="n">
        <f aca="false">LG84-LN84</f>
        <v>0</v>
      </c>
      <c r="LP84" s="20" t="n">
        <f aca="false">IF(ED84=1,IF(ABS((1+AS_Wage)/(1+Slot12_Rate)-1)&lt;0.000000000001,(Slot12_Age-D84)*(1+Slot12_Rate)^(Slot12_Age-D84),(1+Slot12_Rate)^(Slot12_Age-D84)*(1-((1+AS_Wage)/(1+Slot12_Rate))^(Slot12_Age-D84))/(1-(1+AS_Wage)/(1+Slot12_Rate))),1)</f>
        <v>1</v>
      </c>
      <c r="LQ84" s="20" t="n">
        <f aca="false">IF(AND(HU84=1,IE84&gt;0,Slot12_IsWG=1,ED84=1),MAX(0,(Slot12_Cost-EE84*(1+Slot12_Rate)^(Slot12_Age-D84))/LP84),0)</f>
        <v>0</v>
      </c>
      <c r="LR84" s="20" t="n">
        <f aca="false">IF(AND(HU84=1,IE84&gt;0,Slot12_IsWG=1,ED84=1),MIN(IE84,LQ84),0)</f>
        <v>0</v>
      </c>
      <c r="LS84" s="20" t="n">
        <f aca="false">EE84+LR84</f>
        <v>0</v>
      </c>
      <c r="LT84" s="20" t="n">
        <f aca="false">IF(ED84=1,MAX(0,(Slot12_Cost-LS84*(1+Slot12_Rate)^(Slot12_Age-D84))/LP84),0)</f>
        <v>0</v>
      </c>
      <c r="LU84" s="20" t="n">
        <f aca="false">IF(ED84=1,MAX(0,(Slot12_Cost-EE84*(1+Slot12_Rate)^(Slot12_Age-D84))/LP84),0)</f>
        <v>0</v>
      </c>
      <c r="LV84" s="20" t="n">
        <f aca="false">IF(AND(HU84=1,ED84=1),MIN(LO84,LT84),0)</f>
        <v>0</v>
      </c>
      <c r="LW84" s="20" t="n">
        <f aca="false">LO84-LV84</f>
        <v>0</v>
      </c>
      <c r="LX84" s="20" t="n">
        <f aca="false">IF(EN84=1,IF(ABS((1+AS_Wage)/(1+Slot13_Rate)-1)&lt;0.000000000001,(Slot13_Age-D84)*(1+Slot13_Rate)^(Slot13_Age-D84),(1+Slot13_Rate)^(Slot13_Age-D84)*(1-((1+AS_Wage)/(1+Slot13_Rate))^(Slot13_Age-D84))/(1-(1+AS_Wage)/(1+Slot13_Rate))),1)</f>
        <v>1</v>
      </c>
      <c r="LY84" s="20" t="n">
        <f aca="false">IF(AND(HU84=1,IE84&gt;0,Slot13_IsWG=1,EN84=1),MAX(0,(Slot13_Cost-EO84*(1+Slot13_Rate)^(Slot13_Age-D84))/LX84),0)</f>
        <v>0</v>
      </c>
      <c r="LZ84" s="20" t="n">
        <f aca="false">IF(AND(HU84=1,IE84&gt;0,Slot13_IsWG=1,EN84=1),MIN(IE84,LY84),0)</f>
        <v>0</v>
      </c>
      <c r="MA84" s="20" t="n">
        <f aca="false">EO84+LZ84</f>
        <v>0</v>
      </c>
      <c r="MB84" s="20" t="n">
        <f aca="false">IF(EN84=1,MAX(0,(Slot13_Cost-MA84*(1+Slot13_Rate)^(Slot13_Age-D84))/LX84),0)</f>
        <v>0</v>
      </c>
      <c r="MC84" s="20" t="n">
        <f aca="false">IF(EN84=1,MAX(0,(Slot13_Cost-EO84*(1+Slot13_Rate)^(Slot13_Age-D84))/LX84),0)</f>
        <v>0</v>
      </c>
      <c r="MD84" s="20" t="n">
        <f aca="false">IF(AND(HU84=1,EN84=1),MIN(LW84,MB84),0)</f>
        <v>0</v>
      </c>
      <c r="ME84" s="20" t="n">
        <f aca="false">LW84-MD84</f>
        <v>0</v>
      </c>
      <c r="MF84" s="20" t="n">
        <f aca="false">IF(EX84=1,IF(ABS((1+AS_Wage)/(1+Slot14_Rate)-1)&lt;0.000000000001,(Slot14_Age-D84)*(1+Slot14_Rate)^(Slot14_Age-D84),(1+Slot14_Rate)^(Slot14_Age-D84)*(1-((1+AS_Wage)/(1+Slot14_Rate))^(Slot14_Age-D84))/(1-(1+AS_Wage)/(1+Slot14_Rate))),1)</f>
        <v>1</v>
      </c>
      <c r="MG84" s="20" t="n">
        <f aca="false">IF(AND(HU84=1,IE84&gt;0,Slot14_IsWG=1,EX84=1),MAX(0,(Slot14_Cost-EY84*(1+Slot14_Rate)^(Slot14_Age-D84))/MF84),0)</f>
        <v>0</v>
      </c>
      <c r="MH84" s="20" t="n">
        <f aca="false">IF(AND(HU84=1,IE84&gt;0,Slot14_IsWG=1,EX84=1),MIN(IE84,MG84),0)</f>
        <v>0</v>
      </c>
      <c r="MI84" s="20" t="n">
        <f aca="false">EY84+MH84</f>
        <v>0</v>
      </c>
      <c r="MJ84" s="20" t="n">
        <f aca="false">IF(EX84=1,MAX(0,(Slot14_Cost-MI84*(1+Slot14_Rate)^(Slot14_Age-D84))/MF84),0)</f>
        <v>0</v>
      </c>
      <c r="MK84" s="20" t="n">
        <f aca="false">IF(EX84=1,MAX(0,(Slot14_Cost-EY84*(1+Slot14_Rate)^(Slot14_Age-D84))/MF84),0)</f>
        <v>0</v>
      </c>
      <c r="ML84" s="20" t="n">
        <f aca="false">IF(AND(HU84=1,EX84=1),MIN(ME84,MJ84),0)</f>
        <v>0</v>
      </c>
      <c r="MM84" s="20" t="n">
        <f aca="false">ME84-ML84</f>
        <v>0</v>
      </c>
      <c r="MN84" s="20" t="n">
        <f aca="false">IF(FH84=1,IF(ABS((1+AS_Wage)/(1+Slot15_Rate)-1)&lt;0.000000000001,(Slot15_Age-D84)*(1+Slot15_Rate)^(Slot15_Age-D84),(1+Slot15_Rate)^(Slot15_Age-D84)*(1-((1+AS_Wage)/(1+Slot15_Rate))^(Slot15_Age-D84))/(1-(1+AS_Wage)/(1+Slot15_Rate))),1)</f>
        <v>1</v>
      </c>
      <c r="MO84" s="20" t="n">
        <f aca="false">IF(AND(HU84=1,IE84&gt;0,Slot15_IsWG=1,FH84=1),MAX(0,(Slot15_Cost-FI84*(1+Slot15_Rate)^(Slot15_Age-D84))/MN84),0)</f>
        <v>0</v>
      </c>
      <c r="MP84" s="20" t="n">
        <f aca="false">IF(AND(HU84=1,IE84&gt;0,Slot15_IsWG=1,FH84=1),MIN(IE84,MO84),0)</f>
        <v>0</v>
      </c>
      <c r="MQ84" s="20" t="n">
        <f aca="false">FI84+MP84</f>
        <v>0</v>
      </c>
      <c r="MR84" s="20" t="n">
        <f aca="false">IF(FH84=1,MAX(0,(Slot15_Cost-MQ84*(1+Slot15_Rate)^(Slot15_Age-D84))/MN84),0)</f>
        <v>0</v>
      </c>
      <c r="MS84" s="20" t="n">
        <f aca="false">IF(FH84=1,MAX(0,(Slot15_Cost-FI84*(1+Slot15_Rate)^(Slot15_Age-D84))/MN84),0)</f>
        <v>0</v>
      </c>
      <c r="MT84" s="20" t="n">
        <f aca="false">IF(AND(HU84=1,FH84=1),MIN(MM84,MR84),0)</f>
        <v>0</v>
      </c>
      <c r="MU84" s="20" t="n">
        <f aca="false">MM84-MT84</f>
        <v>0</v>
      </c>
      <c r="MV84" s="20" t="n">
        <f aca="false">IF(FR84=1,IF(ABS((1+AS_Wage)/(1+Slot16_Rate)-1)&lt;0.000000000001,(Slot16_Age-D84)*(1+Slot16_Rate)^(Slot16_Age-D84),(1+Slot16_Rate)^(Slot16_Age-D84)*(1-((1+AS_Wage)/(1+Slot16_Rate))^(Slot16_Age-D84))/(1-(1+AS_Wage)/(1+Slot16_Rate))),1)</f>
        <v>1</v>
      </c>
      <c r="MW84" s="20" t="n">
        <f aca="false">IF(AND(HU84=1,IE84&gt;0,Slot16_IsWG=1,FR84=1),MAX(0,(Slot16_Cost-FS84*(1+Slot16_Rate)^(Slot16_Age-D84))/MV84),0)</f>
        <v>0</v>
      </c>
      <c r="MX84" s="20" t="n">
        <f aca="false">IF(AND(HU84=1,IE84&gt;0,Slot16_IsWG=1,FR84=1),MIN(IE84,MW84),0)</f>
        <v>0</v>
      </c>
      <c r="MY84" s="20" t="n">
        <f aca="false">FS84+MX84</f>
        <v>0</v>
      </c>
      <c r="MZ84" s="20" t="n">
        <f aca="false">IF(FR84=1,MAX(0,(Slot16_Cost-MY84*(1+Slot16_Rate)^(Slot16_Age-D84))/MV84),0)</f>
        <v>0</v>
      </c>
      <c r="NA84" s="20" t="n">
        <f aca="false">IF(FR84=1,MAX(0,(Slot16_Cost-FS84*(1+Slot16_Rate)^(Slot16_Age-D84))/MV84),0)</f>
        <v>0</v>
      </c>
      <c r="NB84" s="20" t="n">
        <f aca="false">IF(AND(HU84=1,FR84=1),MIN(MU84,MZ84),0)</f>
        <v>0</v>
      </c>
      <c r="NC84" s="20" t="n">
        <f aca="false">MU84-NB84</f>
        <v>0</v>
      </c>
      <c r="ND84" s="20" t="n">
        <f aca="false">IF(GB84=1,IF(ABS((1+AS_Wage)/(1+Slot17_Rate)-1)&lt;0.000000000001,(Slot17_Age-D84)*(1+Slot17_Rate)^(Slot17_Age-D84),(1+Slot17_Rate)^(Slot17_Age-D84)*(1-((1+AS_Wage)/(1+Slot17_Rate))^(Slot17_Age-D84))/(1-(1+AS_Wage)/(1+Slot17_Rate))),1)</f>
        <v>1</v>
      </c>
      <c r="NE84" s="20" t="n">
        <f aca="false">IF(AND(HU84=1,IE84&gt;0,Slot17_IsWG=1,GB84=1),MAX(0,(Slot17_Cost-GC84*(1+Slot17_Rate)^(Slot17_Age-D84))/ND84),0)</f>
        <v>0</v>
      </c>
      <c r="NF84" s="20" t="n">
        <f aca="false">IF(AND(HU84=1,IE84&gt;0,Slot17_IsWG=1,GB84=1),MIN(IE84,NE84),0)</f>
        <v>0</v>
      </c>
      <c r="NG84" s="20" t="n">
        <f aca="false">GC84+NF84</f>
        <v>0</v>
      </c>
      <c r="NH84" s="20" t="n">
        <f aca="false">IF(GB84=1,MAX(0,(Slot17_Cost-NG84*(1+Slot17_Rate)^(Slot17_Age-D84))/ND84),0)</f>
        <v>0</v>
      </c>
      <c r="NI84" s="20" t="n">
        <f aca="false">IF(GB84=1,MAX(0,(Slot17_Cost-GC84*(1+Slot17_Rate)^(Slot17_Age-D84))/ND84),0)</f>
        <v>0</v>
      </c>
      <c r="NJ84" s="20" t="n">
        <f aca="false">IF(AND(HU84=1,GB84=1),MIN(NC84,NH84),0)</f>
        <v>0</v>
      </c>
      <c r="NK84" s="20" t="n">
        <f aca="false">NC84-NJ84</f>
        <v>0</v>
      </c>
      <c r="NL84" s="20" t="n">
        <f aca="false">IF(GL84=1,IF(ABS((1+AS_Wage)/(1+Slot18_Rate)-1)&lt;0.000000000001,(Slot18_Age-D84)*(1+Slot18_Rate)^(Slot18_Age-D84),(1+Slot18_Rate)^(Slot18_Age-D84)*(1-((1+AS_Wage)/(1+Slot18_Rate))^(Slot18_Age-D84))/(1-(1+AS_Wage)/(1+Slot18_Rate))),1)</f>
        <v>1</v>
      </c>
      <c r="NM84" s="20" t="n">
        <f aca="false">IF(AND(HU84=1,IE84&gt;0,Slot18_IsWG=1,GL84=1),MAX(0,(Slot18_Cost-GM84*(1+Slot18_Rate)^(Slot18_Age-D84))/NL84),0)</f>
        <v>0</v>
      </c>
      <c r="NN84" s="20" t="n">
        <f aca="false">IF(AND(HU84=1,IE84&gt;0,Slot18_IsWG=1,GL84=1),MIN(IE84,NM84),0)</f>
        <v>0</v>
      </c>
      <c r="NO84" s="20" t="n">
        <f aca="false">GM84+NN84</f>
        <v>0</v>
      </c>
      <c r="NP84" s="20" t="n">
        <f aca="false">IF(GL84=1,MAX(0,(Slot18_Cost-NO84*(1+Slot18_Rate)^(Slot18_Age-D84))/NL84),0)</f>
        <v>0</v>
      </c>
      <c r="NQ84" s="20" t="n">
        <f aca="false">IF(GL84=1,MAX(0,(Slot18_Cost-GM84*(1+Slot18_Rate)^(Slot18_Age-D84))/NL84),0)</f>
        <v>0</v>
      </c>
      <c r="NR84" s="20" t="n">
        <f aca="false">IF(AND(HU84=1,GL84=1),MIN(NK84,NP84),0)</f>
        <v>0</v>
      </c>
      <c r="NS84" s="20" t="n">
        <f aca="false">NK84-NR84</f>
        <v>0</v>
      </c>
      <c r="NT84" s="20" t="n">
        <f aca="false">IF(GV84=1,IF(ABS((1+AS_Wage)/(1+Slot19_Rate)-1)&lt;0.000000000001,(Slot19_Age-D84)*(1+Slot19_Rate)^(Slot19_Age-D84),(1+Slot19_Rate)^(Slot19_Age-D84)*(1-((1+AS_Wage)/(1+Slot19_Rate))^(Slot19_Age-D84))/(1-(1+AS_Wage)/(1+Slot19_Rate))),1)</f>
        <v>1</v>
      </c>
      <c r="NU84" s="20" t="n">
        <f aca="false">IF(AND(HU84=1,IE84&gt;0,Slot19_IsWG=1,GV84=1),MAX(0,(Slot19_Cost-GW84*(1+Slot19_Rate)^(Slot19_Age-D84))/NT84),0)</f>
        <v>0</v>
      </c>
      <c r="NV84" s="20" t="n">
        <f aca="false">IF(AND(HU84=1,IE84&gt;0,Slot19_IsWG=1,GV84=1),MIN(IE84,NU84),0)</f>
        <v>0</v>
      </c>
      <c r="NW84" s="20" t="n">
        <f aca="false">GW84+NV84</f>
        <v>0</v>
      </c>
      <c r="NX84" s="20" t="n">
        <f aca="false">IF(GV84=1,MAX(0,(Slot19_Cost-NW84*(1+Slot19_Rate)^(Slot19_Age-D84))/NT84),0)</f>
        <v>0</v>
      </c>
      <c r="NY84" s="20" t="n">
        <f aca="false">IF(GV84=1,MAX(0,(Slot19_Cost-GW84*(1+Slot19_Rate)^(Slot19_Age-D84))/NT84),0)</f>
        <v>0</v>
      </c>
      <c r="NZ84" s="20" t="n">
        <f aca="false">IF(AND(HU84=1,GV84=1),MIN(NS84,NX84),0)</f>
        <v>0</v>
      </c>
      <c r="OA84" s="20" t="n">
        <f aca="false">NS84-NZ84</f>
        <v>0</v>
      </c>
      <c r="OB84" s="20" t="n">
        <f aca="false">IF(HF84=1,IF(ABS((1+AS_Wage)/(1+Slot20_Rate)-1)&lt;0.000000000001,(Slot20_Age-D84)*(1+Slot20_Rate)^(Slot20_Age-D84),(1+Slot20_Rate)^(Slot20_Age-D84)*(1-((1+AS_Wage)/(1+Slot20_Rate))^(Slot20_Age-D84))/(1-(1+AS_Wage)/(1+Slot20_Rate))),1)</f>
        <v>1</v>
      </c>
      <c r="OC84" s="20" t="n">
        <f aca="false">IF(AND(HU84=1,IE84&gt;0,Slot20_IsWG=1,HF84=1),MAX(0,(Slot20_Cost-HG84*(1+Slot20_Rate)^(Slot20_Age-D84))/OB84),0)</f>
        <v>0</v>
      </c>
      <c r="OD84" s="20" t="n">
        <f aca="false">IF(AND(HU84=1,IE84&gt;0,Slot20_IsWG=1,HF84=1),MIN(IE84,OC84),0)</f>
        <v>0</v>
      </c>
      <c r="OE84" s="20" t="n">
        <f aca="false">HG84+OD84</f>
        <v>0</v>
      </c>
      <c r="OF84" s="20" t="n">
        <f aca="false">IF(HF84=1,MAX(0,(Slot20_Cost-OE84*(1+Slot20_Rate)^(Slot20_Age-D84))/OB84),0)</f>
        <v>0</v>
      </c>
      <c r="OG84" s="20" t="n">
        <f aca="false">IF(HF84=1,MAX(0,(Slot20_Cost-HG84*(1+Slot20_Rate)^(Slot20_Age-D84))/OB84),0)</f>
        <v>0</v>
      </c>
      <c r="OH84" s="20" t="n">
        <f aca="false">IF(AND(HU84=1,HF84=1),MIN(OA84,OF84),0)</f>
        <v>0</v>
      </c>
      <c r="OI84" s="20" t="n">
        <f aca="false">OA84-OH84</f>
        <v>0</v>
      </c>
      <c r="OJ84" s="20" t="n">
        <f aca="false">IE84-(IH84+IP84+IX84+JF84+JN84+JV84+KD84+KL84+KT84+LB84+LJ84+LR84+LZ84+MH84+MP84+MX84+NF84+NN84+NV84+OD84)</f>
        <v>0</v>
      </c>
      <c r="OK84" s="20" t="n">
        <f aca="false">IF(HU84=1,HS84-ID84-IE84,0)</f>
        <v>0</v>
      </c>
      <c r="OL84" s="20" t="n">
        <f aca="false">IF(HU84=0,-HS84,0)</f>
        <v>86774.8336030207</v>
      </c>
      <c r="OM84" s="20" t="n">
        <f aca="false">MIN(OL84,HK84)</f>
        <v>0</v>
      </c>
      <c r="ON84" s="20" t="n">
        <f aca="false">OL84-OM84</f>
        <v>86774.8336030207</v>
      </c>
      <c r="OO84" s="20" t="n">
        <f aca="false">MIN(ON84,HL84)</f>
        <v>0</v>
      </c>
      <c r="OP84" s="20" t="n">
        <f aca="false">ON84-OO84</f>
        <v>86774.8336030207</v>
      </c>
      <c r="OQ84" s="20" t="n">
        <f aca="false">IF(AND(HU84=0,HF84=1,OP84&gt;0),MIN(OP84,HG84),0)</f>
        <v>0</v>
      </c>
      <c r="OR84" s="20" t="n">
        <f aca="false">OP84-OQ84</f>
        <v>86774.8336030207</v>
      </c>
      <c r="OS84" s="20" t="n">
        <f aca="false">IF(AND(HU84=0,GV84=1,OR84&gt;0),MIN(OR84,GW84),0)</f>
        <v>0</v>
      </c>
      <c r="OT84" s="20" t="n">
        <f aca="false">OR84-OS84</f>
        <v>86774.8336030207</v>
      </c>
      <c r="OU84" s="20" t="n">
        <f aca="false">IF(AND(HU84=0,GL84=1,OT84&gt;0),MIN(OT84,GM84),0)</f>
        <v>0</v>
      </c>
      <c r="OV84" s="20" t="n">
        <f aca="false">OT84-OU84</f>
        <v>86774.8336030207</v>
      </c>
      <c r="OW84" s="20" t="n">
        <f aca="false">IF(AND(HU84=0,GB84=1,OV84&gt;0),MIN(OV84,GC84),0)</f>
        <v>0</v>
      </c>
      <c r="OX84" s="20" t="n">
        <f aca="false">OV84-OW84</f>
        <v>86774.8336030207</v>
      </c>
      <c r="OY84" s="20" t="n">
        <f aca="false">IF(AND(HU84=0,FR84=1,OX84&gt;0),MIN(OX84,FS84),0)</f>
        <v>0</v>
      </c>
      <c r="OZ84" s="20" t="n">
        <f aca="false">OX84-OY84</f>
        <v>86774.8336030207</v>
      </c>
      <c r="PA84" s="20" t="n">
        <f aca="false">IF(AND(HU84=0,FH84=1,OZ84&gt;0),MIN(OZ84,FI84),0)</f>
        <v>0</v>
      </c>
      <c r="PB84" s="20" t="n">
        <f aca="false">OZ84-PA84</f>
        <v>86774.8336030207</v>
      </c>
      <c r="PC84" s="20" t="n">
        <f aca="false">IF(AND(HU84=0,EX84=1,PB84&gt;0),MIN(PB84,EY84),0)</f>
        <v>0</v>
      </c>
      <c r="PD84" s="20" t="n">
        <f aca="false">PB84-PC84</f>
        <v>86774.8336030207</v>
      </c>
      <c r="PE84" s="20" t="n">
        <f aca="false">IF(AND(HU84=0,EN84=1,PD84&gt;0),MIN(PD84,EO84),0)</f>
        <v>0</v>
      </c>
      <c r="PF84" s="20" t="n">
        <f aca="false">PD84-PE84</f>
        <v>86774.8336030207</v>
      </c>
      <c r="PG84" s="20" t="n">
        <f aca="false">IF(AND(HU84=0,ED84=1,PF84&gt;0),MIN(PF84,EE84),0)</f>
        <v>0</v>
      </c>
      <c r="PH84" s="20" t="n">
        <f aca="false">PF84-PG84</f>
        <v>86774.8336030207</v>
      </c>
      <c r="PI84" s="20" t="n">
        <f aca="false">IF(AND(HU84=0,DT84=1,PH84&gt;0),MIN(PH84,DU84),0)</f>
        <v>0</v>
      </c>
      <c r="PJ84" s="20" t="n">
        <f aca="false">PH84-PI84</f>
        <v>86774.8336030207</v>
      </c>
      <c r="PK84" s="20" t="n">
        <f aca="false">IF(AND(HU84=0,DJ84=1,PJ84&gt;0),MIN(PJ84,DK84),0)</f>
        <v>0</v>
      </c>
      <c r="PL84" s="20" t="n">
        <f aca="false">PJ84-PK84</f>
        <v>86774.8336030207</v>
      </c>
      <c r="PM84" s="20" t="n">
        <f aca="false">IF(AND(HU84=0,CZ84=1,PL84&gt;0),MIN(PL84,DA84),0)</f>
        <v>0</v>
      </c>
      <c r="PN84" s="20" t="n">
        <f aca="false">PL84-PM84</f>
        <v>86774.8336030207</v>
      </c>
      <c r="PO84" s="20" t="n">
        <f aca="false">IF(AND(HU84=0,CP84=1,PN84&gt;0),MIN(PN84,CQ84),0)</f>
        <v>0</v>
      </c>
      <c r="PP84" s="20" t="n">
        <f aca="false">PN84-PO84</f>
        <v>86774.8336030207</v>
      </c>
      <c r="PQ84" s="20" t="n">
        <f aca="false">IF(AND(HU84=0,CF84=1,PP84&gt;0),MIN(PP84,CG84),0)</f>
        <v>0</v>
      </c>
      <c r="PR84" s="20" t="n">
        <f aca="false">PP84-PQ84</f>
        <v>86774.8336030207</v>
      </c>
      <c r="PS84" s="20" t="n">
        <f aca="false">IF(AND(HU84=0,BV84=1,PR84&gt;0),MIN(PR84,BW84),0)</f>
        <v>0</v>
      </c>
      <c r="PT84" s="20" t="n">
        <f aca="false">PR84-PS84</f>
        <v>86774.8336030207</v>
      </c>
      <c r="PU84" s="20" t="n">
        <f aca="false">IF(AND(HU84=0,BL84=1,PT84&gt;0),MIN(PT84,BM84),0)</f>
        <v>0</v>
      </c>
      <c r="PV84" s="20" t="n">
        <f aca="false">PT84-PU84</f>
        <v>86774.8336030207</v>
      </c>
      <c r="PW84" s="20" t="n">
        <f aca="false">IF(AND(HU84=0,BB84=1,PV84&gt;0),MIN(PV84,BC84),0)</f>
        <v>0</v>
      </c>
      <c r="PX84" s="20" t="n">
        <f aca="false">PV84-PW84</f>
        <v>86774.8336030207</v>
      </c>
      <c r="PY84" s="20" t="n">
        <f aca="false">IF(AND(HU84=0,AR84=1,PX84&gt;0),MIN(PX84,AS84),0)</f>
        <v>0</v>
      </c>
      <c r="PZ84" s="20" t="n">
        <f aca="false">PX84-PY84</f>
        <v>86774.8336030207</v>
      </c>
      <c r="QA84" s="20" t="n">
        <f aca="false">IF(AND(HU84=0,AH84=1,PZ84&gt;0),MIN(PZ84,AI84),0)</f>
        <v>0</v>
      </c>
      <c r="QB84" s="20" t="n">
        <f aca="false">PZ84-QA84</f>
        <v>86774.8336030207</v>
      </c>
      <c r="QC84" s="20" t="n">
        <f aca="false">IF(AND(HU84=0,W84=1,QB84&gt;0),MIN(QB84,X84),0)</f>
        <v>0</v>
      </c>
      <c r="QD84" s="20" t="n">
        <f aca="false">QB84-QC84</f>
        <v>86774.8336030207</v>
      </c>
      <c r="QE84" s="20" t="n">
        <f aca="false">IF(HU84=0,QD84,0)</f>
        <v>86774.8336030207</v>
      </c>
      <c r="QF84" s="20" t="n">
        <f aca="false">OM84+OO84+QC84+QA84+PY84+PW84+PU84+PS84+PQ84+PO84+PM84+PK84+PI84+PG84+PE84+PC84+PA84+OY84+OW84+OU84+OS84+OQ84</f>
        <v>0</v>
      </c>
      <c r="QG84" s="20" t="n">
        <f aca="false">IF(HU84=1,HK84+OJ84+OI84+IF(G84=1,0,OK84),HK84-OM84)</f>
        <v>0</v>
      </c>
      <c r="QH84" s="20" t="n">
        <f aca="false">HL84-OO84</f>
        <v>0</v>
      </c>
      <c r="QI84" s="20" t="n">
        <f aca="false">IF(HU84=1,IF(G84=1,ID84+IE84,HS84),0)</f>
        <v>0</v>
      </c>
      <c r="QJ84" s="20" t="n">
        <f aca="false">IF(HU84=1,IF(G84=1,HS84-ID84-IE84,0),0)</f>
        <v>0</v>
      </c>
      <c r="QK84" s="20" t="n">
        <f aca="false">QG84*(1+GR)</f>
        <v>0</v>
      </c>
      <c r="QL84" s="20" t="n">
        <f aca="false">QH84*(1+AS_Cash)</f>
        <v>0</v>
      </c>
      <c r="QM84" s="20" t="n">
        <f aca="false">IF(W84=1,IF(HU84=1,II84+IL84,X84-QC84)*(1+Slot1_Rate),0)</f>
        <v>0</v>
      </c>
      <c r="QN84" s="20" t="n">
        <f aca="false">IF(AND(HU84=1,W84=1),(IH84+IL84)/F84,0)</f>
        <v>0</v>
      </c>
      <c r="QO84" s="20" t="n">
        <f aca="false">IF(B84=0,IH84+IL84,0)</f>
        <v>0</v>
      </c>
      <c r="QP84" s="20" t="n">
        <f aca="false">IF(B84=0,IF(HU84=1,IJ84,IK84),0)</f>
        <v>0</v>
      </c>
      <c r="QQ84" s="20" t="n">
        <f aca="false">IF(AH84=1,IF(HU84=1,IQ84+IT84,AI84-QA84)*(1+Slot2_Rate),0)</f>
        <v>0</v>
      </c>
      <c r="QR84" s="20" t="n">
        <f aca="false">IF(AND(HU84=1,AH84=1),(IP84+IT84)/F84,0)</f>
        <v>0</v>
      </c>
      <c r="QS84" s="20" t="n">
        <f aca="false">IF(B84=0,IP84+IT84,0)</f>
        <v>0</v>
      </c>
      <c r="QT84" s="20" t="n">
        <f aca="false">IF(B84=0,IF(HU84=1,IR84,IS84),0)</f>
        <v>0</v>
      </c>
      <c r="QU84" s="20" t="n">
        <f aca="false">IF(AR84=1,IF(HU84=1,IY84+JB84,AS84-PY84)*(1+Slot3_Rate),0)</f>
        <v>0</v>
      </c>
      <c r="QV84" s="20" t="n">
        <f aca="false">IF(AND(HU84=1,AR84=1),(IX84+JB84)/F84,0)</f>
        <v>0</v>
      </c>
      <c r="QW84" s="20" t="n">
        <f aca="false">IF(B84=0,IX84+JB84,0)</f>
        <v>0</v>
      </c>
      <c r="QX84" s="20" t="n">
        <f aca="false">IF(B84=0,IF(HU84=1,IZ84,JA84),0)</f>
        <v>0</v>
      </c>
      <c r="QY84" s="20" t="n">
        <f aca="false">IF(BB84=1,IF(HU84=1,JG84+JJ84,BC84-PW84)*(1+Slot4_Rate),0)</f>
        <v>0</v>
      </c>
      <c r="QZ84" s="20" t="n">
        <f aca="false">IF(AND(HU84=1,BB84=1),(JF84+JJ84)/F84,0)</f>
        <v>0</v>
      </c>
      <c r="RA84" s="20" t="n">
        <f aca="false">IF(B84=0,JF84+JJ84,0)</f>
        <v>0</v>
      </c>
      <c r="RB84" s="20" t="n">
        <f aca="false">IF(B84=0,IF(HU84=1,JH84,JI84),0)</f>
        <v>0</v>
      </c>
      <c r="RC84" s="20" t="n">
        <f aca="false">IF(BL84=1,IF(HU84=1,JO84+JR84,BM84-PU84)*(1+Slot5_Rate),0)</f>
        <v>0</v>
      </c>
      <c r="RD84" s="20" t="n">
        <f aca="false">IF(AND(HU84=1,BL84=1),(JN84+JR84)/F84,0)</f>
        <v>0</v>
      </c>
      <c r="RE84" s="20" t="n">
        <f aca="false">IF(B84=0,JN84+JR84,0)</f>
        <v>0</v>
      </c>
      <c r="RF84" s="20" t="n">
        <f aca="false">IF(B84=0,IF(HU84=1,JP84,JQ84),0)</f>
        <v>0</v>
      </c>
      <c r="RG84" s="20" t="n">
        <f aca="false">IF(BV84=1,IF(HU84=1,JW84+JZ84,BW84-PS84)*(1+Slot6_Rate),0)</f>
        <v>0</v>
      </c>
      <c r="RH84" s="20" t="n">
        <f aca="false">IF(AND(HU84=1,BV84=1),(JV84+JZ84)/F84,0)</f>
        <v>0</v>
      </c>
      <c r="RI84" s="20" t="n">
        <f aca="false">IF(B84=0,JV84+JZ84,0)</f>
        <v>0</v>
      </c>
      <c r="RJ84" s="20" t="n">
        <f aca="false">IF(B84=0,IF(HU84=1,JX84,JY84),0)</f>
        <v>0</v>
      </c>
      <c r="RK84" s="20" t="n">
        <f aca="false">IF(CF84=1,IF(HU84=1,KE84+KH84,CG84-PQ84)*(1+Slot7_Rate),0)</f>
        <v>0</v>
      </c>
      <c r="RL84" s="20" t="n">
        <f aca="false">IF(AND(HU84=1,CF84=1),(KD84+KH84)/F84,0)</f>
        <v>0</v>
      </c>
      <c r="RM84" s="20" t="n">
        <f aca="false">IF(B84=0,KD84+KH84,0)</f>
        <v>0</v>
      </c>
      <c r="RN84" s="20" t="n">
        <f aca="false">IF(B84=0,IF(HU84=1,KF84,KG84),0)</f>
        <v>0</v>
      </c>
      <c r="RO84" s="20" t="n">
        <f aca="false">IF(CP84=1,IF(HU84=1,KM84+KP84,CQ84-PO84)*(1+Slot8_Rate),0)</f>
        <v>0</v>
      </c>
      <c r="RP84" s="20" t="n">
        <f aca="false">IF(AND(HU84=1,CP84=1),(KL84+KP84)/F84,0)</f>
        <v>0</v>
      </c>
      <c r="RQ84" s="20" t="n">
        <f aca="false">IF(B84=0,KL84+KP84,0)</f>
        <v>0</v>
      </c>
      <c r="RR84" s="20" t="n">
        <f aca="false">IF(B84=0,IF(HU84=1,KN84,KO84),0)</f>
        <v>0</v>
      </c>
      <c r="RS84" s="20" t="n">
        <f aca="false">IF(CZ84=1,IF(HU84=1,KU84+KX84,DA84-PM84)*(1+Slot9_Rate),0)</f>
        <v>0</v>
      </c>
      <c r="RT84" s="20" t="n">
        <f aca="false">IF(AND(HU84=1,CZ84=1),(KT84+KX84)/F84,0)</f>
        <v>0</v>
      </c>
      <c r="RU84" s="20" t="n">
        <f aca="false">IF(B84=0,KT84+KX84,0)</f>
        <v>0</v>
      </c>
      <c r="RV84" s="20" t="n">
        <f aca="false">IF(B84=0,IF(HU84=1,KV84,KW84),0)</f>
        <v>0</v>
      </c>
      <c r="RW84" s="20" t="n">
        <f aca="false">IF(DJ84=1,IF(HU84=1,LC84+LF84,DK84-PK84)*(1+Slot10_Rate),0)</f>
        <v>0</v>
      </c>
      <c r="RX84" s="20" t="n">
        <f aca="false">IF(AND(HU84=1,DJ84=1),(LB84+LF84)/F84,0)</f>
        <v>0</v>
      </c>
      <c r="RY84" s="20" t="n">
        <f aca="false">IF(B84=0,LB84+LF84,0)</f>
        <v>0</v>
      </c>
      <c r="RZ84" s="20" t="n">
        <f aca="false">IF(B84=0,IF(HU84=1,LD84,LE84),0)</f>
        <v>0</v>
      </c>
      <c r="SA84" s="20" t="n">
        <f aca="false">IF(DT84=1,IF(HU84=1,LK84+LN84,DU84-PI84)*(1+Slot11_Rate),0)</f>
        <v>0</v>
      </c>
      <c r="SB84" s="20" t="n">
        <f aca="false">IF(AND(HU84=1,DT84=1),(LJ84+LN84)/F84,0)</f>
        <v>0</v>
      </c>
      <c r="SC84" s="20" t="n">
        <f aca="false">IF(B84=0,LJ84+LN84,0)</f>
        <v>0</v>
      </c>
      <c r="SD84" s="20" t="n">
        <f aca="false">IF(B84=0,IF(HU84=1,LL84,LM84),0)</f>
        <v>0</v>
      </c>
      <c r="SE84" s="20" t="n">
        <f aca="false">IF(ED84=1,IF(HU84=1,LS84+LV84,EE84-PG84)*(1+Slot12_Rate),0)</f>
        <v>0</v>
      </c>
      <c r="SF84" s="20" t="n">
        <f aca="false">IF(AND(HU84=1,ED84=1),(LR84+LV84)/F84,0)</f>
        <v>0</v>
      </c>
      <c r="SG84" s="20" t="n">
        <f aca="false">IF(B84=0,LR84+LV84,0)</f>
        <v>0</v>
      </c>
      <c r="SH84" s="20" t="n">
        <f aca="false">IF(B84=0,IF(HU84=1,LT84,LU84),0)</f>
        <v>0</v>
      </c>
      <c r="SI84" s="20" t="n">
        <f aca="false">IF(EN84=1,IF(HU84=1,MA84+MD84,EO84-PE84)*(1+Slot13_Rate),0)</f>
        <v>0</v>
      </c>
      <c r="SJ84" s="20" t="n">
        <f aca="false">IF(AND(HU84=1,EN84=1),(LZ84+MD84)/F84,0)</f>
        <v>0</v>
      </c>
      <c r="SK84" s="20" t="n">
        <f aca="false">IF(B84=0,LZ84+MD84,0)</f>
        <v>0</v>
      </c>
      <c r="SL84" s="20" t="n">
        <f aca="false">IF(B84=0,IF(HU84=1,MB84,MC84),0)</f>
        <v>0</v>
      </c>
      <c r="SM84" s="20" t="n">
        <f aca="false">IF(EX84=1,IF(HU84=1,MI84+ML84,EY84-PC84)*(1+Slot14_Rate),0)</f>
        <v>0</v>
      </c>
      <c r="SN84" s="20" t="n">
        <f aca="false">IF(AND(HU84=1,EX84=1),(MH84+ML84)/F84,0)</f>
        <v>0</v>
      </c>
      <c r="SO84" s="20" t="n">
        <f aca="false">IF(B84=0,MH84+ML84,0)</f>
        <v>0</v>
      </c>
      <c r="SP84" s="20" t="n">
        <f aca="false">IF(B84=0,IF(HU84=1,MJ84,MK84),0)</f>
        <v>0</v>
      </c>
      <c r="SQ84" s="20" t="n">
        <f aca="false">IF(FH84=1,IF(HU84=1,MQ84+MT84,FI84-PA84)*(1+Slot15_Rate),0)</f>
        <v>0</v>
      </c>
      <c r="SR84" s="20" t="n">
        <f aca="false">IF(AND(HU84=1,FH84=1),(MP84+MT84)/F84,0)</f>
        <v>0</v>
      </c>
      <c r="SS84" s="20" t="n">
        <f aca="false">IF(B84=0,MP84+MT84,0)</f>
        <v>0</v>
      </c>
      <c r="ST84" s="20" t="n">
        <f aca="false">IF(B84=0,IF(HU84=1,MR84,MS84),0)</f>
        <v>0</v>
      </c>
      <c r="SU84" s="20" t="n">
        <f aca="false">IF(FR84=1,IF(HU84=1,MY84+NB84,FS84-OY84)*(1+Slot16_Rate),0)</f>
        <v>0</v>
      </c>
      <c r="SV84" s="20" t="n">
        <f aca="false">IF(AND(HU84=1,FR84=1),(MX84+NB84)/F84,0)</f>
        <v>0</v>
      </c>
      <c r="SW84" s="20" t="n">
        <f aca="false">IF(B84=0,MX84+NB84,0)</f>
        <v>0</v>
      </c>
      <c r="SX84" s="20" t="n">
        <f aca="false">IF(B84=0,IF(HU84=1,MZ84,NA84),0)</f>
        <v>0</v>
      </c>
      <c r="SY84" s="20" t="n">
        <f aca="false">IF(GB84=1,IF(HU84=1,NG84+NJ84,GC84-OW84)*(1+Slot17_Rate),0)</f>
        <v>0</v>
      </c>
      <c r="SZ84" s="20" t="n">
        <f aca="false">IF(AND(HU84=1,GB84=1),(NF84+NJ84)/F84,0)</f>
        <v>0</v>
      </c>
      <c r="TA84" s="20" t="n">
        <f aca="false">IF(B84=0,NF84+NJ84,0)</f>
        <v>0</v>
      </c>
      <c r="TB84" s="20" t="n">
        <f aca="false">IF(B84=0,IF(HU84=1,NH84,NI84),0)</f>
        <v>0</v>
      </c>
      <c r="TC84" s="20" t="n">
        <f aca="false">IF(GL84=1,IF(HU84=1,NO84+NR84,GM84-OU84)*(1+Slot18_Rate),0)</f>
        <v>0</v>
      </c>
      <c r="TD84" s="20" t="n">
        <f aca="false">IF(AND(HU84=1,GL84=1),(NN84+NR84)/F84,0)</f>
        <v>0</v>
      </c>
      <c r="TE84" s="20" t="n">
        <f aca="false">IF(B84=0,NN84+NR84,0)</f>
        <v>0</v>
      </c>
      <c r="TF84" s="20" t="n">
        <f aca="false">IF(B84=0,IF(HU84=1,NP84,NQ84),0)</f>
        <v>0</v>
      </c>
      <c r="TG84" s="20" t="n">
        <f aca="false">IF(GV84=1,IF(HU84=1,NW84+NZ84,GW84-OS84)*(1+Slot19_Rate),0)</f>
        <v>0</v>
      </c>
      <c r="TH84" s="20" t="n">
        <f aca="false">IF(AND(HU84=1,GV84=1),(NV84+NZ84)/F84,0)</f>
        <v>0</v>
      </c>
      <c r="TI84" s="20" t="n">
        <f aca="false">IF(B84=0,NV84+NZ84,0)</f>
        <v>0</v>
      </c>
      <c r="TJ84" s="20" t="n">
        <f aca="false">IF(B84=0,IF(HU84=1,NX84,NY84),0)</f>
        <v>0</v>
      </c>
      <c r="TK84" s="20" t="n">
        <f aca="false">IF(HF84=1,IF(HU84=1,OE84+OH84,HG84-OQ84)*(1+Slot20_Rate),0)</f>
        <v>0</v>
      </c>
      <c r="TL84" s="20" t="n">
        <f aca="false">IF(AND(HU84=1,HF84=1),(OD84+OH84)/F84,0)</f>
        <v>0</v>
      </c>
      <c r="TM84" s="20" t="n">
        <f aca="false">IF(B84=0,OD84+OH84,0)</f>
        <v>0</v>
      </c>
      <c r="TN84" s="20" t="n">
        <f aca="false">IF(B84=0,IF(HU84=1,OF84,OG84),0)</f>
        <v>0</v>
      </c>
      <c r="TO84" s="20" t="n">
        <f aca="false">QK84+QL84+QM84+QQ84+QU84+QY84+RC84+RG84+RK84+RO84+RS84+RW84+SA84+SE84+SI84+SM84+SQ84+SU84+SY84+TC84+TG84+TK84</f>
        <v>0</v>
      </c>
      <c r="TP84" s="20" t="n">
        <f aca="false">QE84+HP84</f>
        <v>86774.8336030207</v>
      </c>
      <c r="TQ84" s="20" t="n">
        <f aca="false">I84+S84</f>
        <v>215298.473450205</v>
      </c>
      <c r="TR84" s="20" t="n">
        <f aca="false">1-G84</f>
        <v>1</v>
      </c>
      <c r="TS84" s="20" t="n">
        <f aca="false">IF(AND(RG_Exists=1,G84=0,C84=1),I84,0)</f>
        <v>0</v>
      </c>
      <c r="TT84" s="20" t="n">
        <f aca="false">IF(AND(RG_Exists=1,G84=0,C84=1),I84-MIN(QE84,I84),0)</f>
        <v>0</v>
      </c>
      <c r="TU84" s="20" t="n">
        <f aca="false">'Plan pay &amp; tax'!AD310</f>
        <v>0</v>
      </c>
      <c r="TV84" s="20" t="n">
        <f aca="false">IF(AND(C84=1,QE84&gt;MAX(PR_Short1,TQ84*PR_Short2)),1,0)</f>
        <v>0</v>
      </c>
      <c r="TW84" s="20" t="n">
        <f aca="false">MIN(H84,I84+S84)</f>
        <v>128523.639847184</v>
      </c>
      <c r="TX84" s="20" t="n">
        <f aca="false">QF84+MAX(0,HQ84-HP84)</f>
        <v>0</v>
      </c>
      <c r="TY84" s="20" t="n">
        <f aca="false">QE84+HP84</f>
        <v>86774.8336030207</v>
      </c>
      <c r="TZ84" s="20" t="n">
        <f aca="false">IF(AND(C84=1,TY84&gt;PR_MinShort),1,0)</f>
        <v>0</v>
      </c>
      <c r="UA84" s="20" t="n">
        <f aca="false">IF(AND(C84=1,TZ84=0,TX84&gt;PR_MinShort),1,0)</f>
        <v>0</v>
      </c>
      <c r="UB84" s="20" t="n">
        <f aca="false">IF(AND(C84=1,QE84&gt;PR_MinShort),1,0)</f>
        <v>0</v>
      </c>
      <c r="UC84" s="20" t="n">
        <f aca="false">IF(AND(C84=1,QF84&gt;1,UJ84=0),1,0)</f>
        <v>0</v>
      </c>
      <c r="UD84" s="20" t="str">
        <f aca="false">IF(C84=0,"",IF(UJ84=1,"Gap to plan for: short "&amp;"€"&amp;TEXT(ROUND(TP84,0),"#,##0"),IF(QF84&gt;1,"Using savings","Comfortable")))</f>
        <v/>
      </c>
      <c r="UE84" s="20" t="n">
        <f aca="false">IF(AND(INT(D84/10)*10=90,B84&gt;0),80,INT(D84/10)*10)</f>
        <v>110</v>
      </c>
      <c r="UF84" s="20" t="n">
        <f aca="false">IF(B84=0,1,IF(UE84&lt;&gt;UE83,UF83+1,UF83))</f>
        <v>8</v>
      </c>
      <c r="UG84" s="20" t="n">
        <f aca="false">IF(AND(C84=1,G84=1,QE84&gt;MAX(PR_Short1,TQ84*PR_Short2)),1,0)</f>
        <v>0</v>
      </c>
      <c r="UH84" s="20" t="n">
        <f aca="false">TR84*TV84</f>
        <v>0</v>
      </c>
      <c r="UI84" s="20" t="n">
        <f aca="false">IF(AND(V84=1,Slot1_PctLow=1),1,0)+IF(AND(AG84=1,Slot2_PctLow=1),1,0)+IF(AND(AQ84=1,Slot3_PctLow=1),1,0)+IF(AND(BA84=1,Slot4_PctLow=1),1,0)+IF(AND(BK84=1,Slot5_PctLow=1),1,0)+IF(AND(BU84=1,Slot6_PctLow=1),1,0)+IF(AND(CE84=1,Slot7_PctLow=1),1,0)+IF(AND(CO84=1,Slot8_PctLow=1),1,0)+IF(AND(CY84=1,Slot9_PctLow=1),1,0)+IF(AND(DI84=1,Slot10_PctLow=1),1,0)+IF(AND(DS84=1,Slot11_PctLow=1),1,0)+IF(AND(EC84=1,Slot12_PctLow=1),1,0)+IF(AND(EM84=1,Slot13_PctLow=1),1,0)+IF(AND(EW84=1,Slot14_PctLow=1),1,0)+IF(AND(FG84=1,Slot15_PctLow=1),1,0)+IF(AND(FQ84=1,Slot16_PctLow=1),1,0)+IF(AND(GA84=1,Slot17_PctLow=1),1,0)+IF(AND(GK84=1,Slot18_PctLow=1),1,0)+IF(AND(GU84=1,Slot19_PctLow=1),1,0)+IF(AND(HE84=1,Slot20_PctLow=1),1,0)</f>
        <v>0</v>
      </c>
      <c r="UJ84" s="20" t="n">
        <f aca="false">IF(C84=1,IF(OR(TV84=1,UI84&gt;0),1,0),0)</f>
        <v>0</v>
      </c>
    </row>
    <row r="85" customFormat="false" ht="15" hidden="false" customHeight="true" outlineLevel="0" collapsed="false">
      <c r="B85" s="20" t="n">
        <v>77</v>
      </c>
      <c r="C85" s="20" t="n">
        <f aca="false">IF(B85&lt;=F_N,1,0)</f>
        <v>0</v>
      </c>
      <c r="D85" s="20" t="n">
        <f aca="false">'Plan pay &amp; tax'!C311</f>
        <v>115</v>
      </c>
      <c r="E85" s="20" t="str">
        <f aca="false">IF($C85=1,"Income tax "&amp;TEXT(N('Plan pay &amp; tax'!BK311),"#,##0")&amp;"; USC "&amp;TEXT(N('Plan pay &amp; tax'!BM311)+N('Plan pay &amp; tax'!BO311),"#,##0")&amp;"; PRSI "&amp;TEXT(N('Plan pay &amp; tax'!BP311)+N('Plan pay &amp; tax'!BQ311),"#,##0")&amp;". DIRT and exit tax are inside the growth rates here.","")</f>
        <v/>
      </c>
      <c r="F85" s="44" t="n">
        <f aca="false">'Plan pay &amp; tax'!E311</f>
        <v>4.59423520751483</v>
      </c>
      <c r="G85" s="20" t="n">
        <f aca="false">'Plan pay &amp; tax'!G311</f>
        <v>0</v>
      </c>
      <c r="H85" s="20" t="n">
        <f aca="false">'Plan pay &amp; tax'!BT311-'Plan pay &amp; tax'!BS311-'Plan pay &amp; tax'!R311</f>
        <v>131094.112644128</v>
      </c>
      <c r="I85" s="20" t="n">
        <f aca="false">IF(G85=1,F_CostsM*12,IF(RG_Exists=1,RG_Amount,F_CostsM*12*AS_RetireSpend))*F85+F_OneOffY*F85</f>
        <v>219604.442919209</v>
      </c>
      <c r="J85" s="20" t="n">
        <f aca="false">HR84</f>
        <v>0</v>
      </c>
      <c r="K85" s="20" t="n">
        <f aca="false">IF(J85&gt;1,'Plan debt months'!AC85,0)</f>
        <v>0</v>
      </c>
      <c r="L85" s="20" t="n">
        <f aca="false">IF(J85&gt;1,'Plan debt months'!AB85,J85)</f>
        <v>0</v>
      </c>
      <c r="M85" s="20" t="n">
        <f aca="false">O84</f>
        <v>0</v>
      </c>
      <c r="N85" s="20" t="n">
        <f aca="false">IF(M85&gt;1,'Plan debt months'!BD85,0)</f>
        <v>0</v>
      </c>
      <c r="O85" s="20" t="n">
        <f aca="false">IF(M85&gt;1,'Plan debt months'!BC85,M85)</f>
        <v>0</v>
      </c>
      <c r="P85" s="20" t="n">
        <f aca="false">R84</f>
        <v>0</v>
      </c>
      <c r="Q85" s="20" t="n">
        <f aca="false">IF(P85&gt;1,'Plan debt months'!CE85,0)</f>
        <v>0</v>
      </c>
      <c r="R85" s="20" t="n">
        <f aca="false">IF(P85&gt;1,'Plan debt months'!CD85,P85)</f>
        <v>0</v>
      </c>
      <c r="S85" s="20" t="n">
        <f aca="false">K85+N85+Q85</f>
        <v>0</v>
      </c>
      <c r="T85" s="20" t="n">
        <f aca="false">QK84+'Plan pay &amp; tax'!Y311</f>
        <v>0</v>
      </c>
      <c r="U85" s="20" t="n">
        <f aca="false">QK84</f>
        <v>0</v>
      </c>
      <c r="V85" s="20" t="n">
        <f aca="false">IF(AND(Slot1_On=1,D85=Slot1_Age),1,0)</f>
        <v>0</v>
      </c>
      <c r="W85" s="20" t="n">
        <f aca="false">IF(AND(Slot1_On=1,Slot1_Age&gt;D85),1,0)</f>
        <v>0</v>
      </c>
      <c r="X85" s="20" t="n">
        <f aca="false">QM84</f>
        <v>0</v>
      </c>
      <c r="Y85" s="20" t="n">
        <f aca="false">V85*MIN(Slot1_Cost,X85)</f>
        <v>0</v>
      </c>
      <c r="Z85" s="20" t="n">
        <f aca="false">V85*Slot1_SpendLike*MIN(Slot1_Cost-Y85,T85)</f>
        <v>0</v>
      </c>
      <c r="AA85" s="20" t="n">
        <f aca="false">Y85+Z85</f>
        <v>0</v>
      </c>
      <c r="AB85" s="20" t="n">
        <f aca="false">T85-Z85+V85*IF(Slot1_SpendLike=1,X85-Y85,IF(Slot1_PotFree=1,X85,0))</f>
        <v>0</v>
      </c>
      <c r="AC85" s="20" t="n">
        <f aca="false">AF85+V85*Slot1_BufPot*X85</f>
        <v>0</v>
      </c>
      <c r="AD85" s="20" t="n">
        <f aca="false">IF(AND(V85=1,Slot1_IsMfree=1),IF(AA85&gt;=Slot1_Cost-1,0,MAX(0,L85-AA85)),L85)</f>
        <v>0</v>
      </c>
      <c r="AE85" s="20" t="n">
        <f aca="false">V85*(Slot1_Cost-AA85)</f>
        <v>0</v>
      </c>
      <c r="AF85" s="20" t="n">
        <f aca="false">QL84</f>
        <v>0</v>
      </c>
      <c r="AG85" s="20" t="n">
        <f aca="false">IF(AND(Slot2_On=1,D85=Slot2_Age),1,0)</f>
        <v>0</v>
      </c>
      <c r="AH85" s="20" t="n">
        <f aca="false">IF(AND(Slot2_On=1,Slot2_Age&gt;D85),1,0)</f>
        <v>0</v>
      </c>
      <c r="AI85" s="20" t="n">
        <f aca="false">QQ84</f>
        <v>0</v>
      </c>
      <c r="AJ85" s="20" t="n">
        <f aca="false">AG85*MIN(Slot2_Cost,AI85)</f>
        <v>0</v>
      </c>
      <c r="AK85" s="20" t="n">
        <f aca="false">AG85*Slot2_SpendLike*MIN(Slot2_Cost-AJ85,AB85)</f>
        <v>0</v>
      </c>
      <c r="AL85" s="20" t="n">
        <f aca="false">AJ85+AK85</f>
        <v>0</v>
      </c>
      <c r="AM85" s="20" t="n">
        <f aca="false">AB85-AK85+AG85*IF(Slot2_SpendLike=1,AI85-AJ85,IF(Slot2_PotFree=1,AI85,0))</f>
        <v>0</v>
      </c>
      <c r="AN85" s="20" t="n">
        <f aca="false">AC85+AG85*Slot2_BufPot*AI85</f>
        <v>0</v>
      </c>
      <c r="AO85" s="20" t="n">
        <f aca="false">IF(AND(AG85=1,Slot2_IsMfree=1),IF(AL85&gt;=Slot2_Cost-1,0,MAX(0,AD85-AL85)),AD85)</f>
        <v>0</v>
      </c>
      <c r="AP85" s="20" t="n">
        <f aca="false">AG85*(Slot2_Cost-AL85)</f>
        <v>0</v>
      </c>
      <c r="AQ85" s="20" t="n">
        <f aca="false">IF(AND(Slot3_On=1,D85=Slot3_Age),1,0)</f>
        <v>0</v>
      </c>
      <c r="AR85" s="20" t="n">
        <f aca="false">IF(AND(Slot3_On=1,Slot3_Age&gt;D85),1,0)</f>
        <v>0</v>
      </c>
      <c r="AS85" s="20" t="n">
        <f aca="false">QU84</f>
        <v>0</v>
      </c>
      <c r="AT85" s="20" t="n">
        <f aca="false">AQ85*MIN(Slot3_Cost,AS85)</f>
        <v>0</v>
      </c>
      <c r="AU85" s="20" t="n">
        <f aca="false">AQ85*Slot3_SpendLike*MIN(Slot3_Cost-AT85,AM85)</f>
        <v>0</v>
      </c>
      <c r="AV85" s="20" t="n">
        <f aca="false">AT85+AU85</f>
        <v>0</v>
      </c>
      <c r="AW85" s="20" t="n">
        <f aca="false">AM85-AU85+AQ85*IF(Slot3_SpendLike=1,AS85-AT85,IF(Slot3_PotFree=1,AS85,0))</f>
        <v>0</v>
      </c>
      <c r="AX85" s="20" t="n">
        <f aca="false">AN85+AQ85*Slot3_BufPot*AS85</f>
        <v>0</v>
      </c>
      <c r="AY85" s="20" t="n">
        <f aca="false">IF(AND(AQ85=1,Slot3_IsMfree=1),IF(AV85&gt;=Slot3_Cost-1,0,MAX(0,AO85-AV85)),AO85)</f>
        <v>0</v>
      </c>
      <c r="AZ85" s="20" t="n">
        <f aca="false">AQ85*(Slot3_Cost-AV85)</f>
        <v>0</v>
      </c>
      <c r="BA85" s="20" t="n">
        <f aca="false">IF(AND(Slot4_On=1,D85=Slot4_Age),1,0)</f>
        <v>0</v>
      </c>
      <c r="BB85" s="20" t="n">
        <f aca="false">IF(AND(Slot4_On=1,Slot4_Age&gt;D85),1,0)</f>
        <v>0</v>
      </c>
      <c r="BC85" s="20" t="n">
        <f aca="false">QY84</f>
        <v>0</v>
      </c>
      <c r="BD85" s="20" t="n">
        <f aca="false">BA85*MIN(Slot4_Cost,BC85)</f>
        <v>0</v>
      </c>
      <c r="BE85" s="20" t="n">
        <f aca="false">BA85*Slot4_SpendLike*MIN(Slot4_Cost-BD85,AW85)</f>
        <v>0</v>
      </c>
      <c r="BF85" s="20" t="n">
        <f aca="false">BD85+BE85</f>
        <v>0</v>
      </c>
      <c r="BG85" s="20" t="n">
        <f aca="false">AW85-BE85+BA85*IF(Slot4_SpendLike=1,BC85-BD85,IF(Slot4_PotFree=1,BC85,0))</f>
        <v>0</v>
      </c>
      <c r="BH85" s="20" t="n">
        <f aca="false">AX85+BA85*Slot4_BufPot*BC85</f>
        <v>0</v>
      </c>
      <c r="BI85" s="20" t="n">
        <f aca="false">IF(AND(BA85=1,Slot4_IsMfree=1),IF(BF85&gt;=Slot4_Cost-1,0,MAX(0,AY85-BF85)),AY85)</f>
        <v>0</v>
      </c>
      <c r="BJ85" s="20" t="n">
        <f aca="false">BA85*(Slot4_Cost-BF85)</f>
        <v>0</v>
      </c>
      <c r="BK85" s="20" t="n">
        <f aca="false">IF(AND(Slot5_On=1,D85=Slot5_Age),1,0)</f>
        <v>0</v>
      </c>
      <c r="BL85" s="20" t="n">
        <f aca="false">IF(AND(Slot5_On=1,Slot5_Age&gt;D85),1,0)</f>
        <v>0</v>
      </c>
      <c r="BM85" s="20" t="n">
        <f aca="false">RC84</f>
        <v>0</v>
      </c>
      <c r="BN85" s="20" t="n">
        <f aca="false">BK85*MIN(Slot5_Cost,BM85)</f>
        <v>0</v>
      </c>
      <c r="BO85" s="20" t="n">
        <f aca="false">BK85*Slot5_SpendLike*MIN(Slot5_Cost-BN85,BG85)</f>
        <v>0</v>
      </c>
      <c r="BP85" s="20" t="n">
        <f aca="false">BN85+BO85</f>
        <v>0</v>
      </c>
      <c r="BQ85" s="20" t="n">
        <f aca="false">BG85-BO85+BK85*IF(Slot5_SpendLike=1,BM85-BN85,IF(Slot5_PotFree=1,BM85,0))</f>
        <v>0</v>
      </c>
      <c r="BR85" s="20" t="n">
        <f aca="false">BH85+BK85*Slot5_BufPot*BM85</f>
        <v>0</v>
      </c>
      <c r="BS85" s="20" t="n">
        <f aca="false">IF(AND(BK85=1,Slot5_IsMfree=1),IF(BP85&gt;=Slot5_Cost-1,0,MAX(0,BI85-BP85)),BI85)</f>
        <v>0</v>
      </c>
      <c r="BT85" s="20" t="n">
        <f aca="false">BK85*(Slot5_Cost-BP85)</f>
        <v>0</v>
      </c>
      <c r="BU85" s="20" t="n">
        <f aca="false">IF(AND(Slot6_On=1,D85=Slot6_Age),1,0)</f>
        <v>0</v>
      </c>
      <c r="BV85" s="20" t="n">
        <f aca="false">IF(AND(Slot6_On=1,Slot6_Age&gt;D85),1,0)</f>
        <v>0</v>
      </c>
      <c r="BW85" s="20" t="n">
        <f aca="false">RG84</f>
        <v>0</v>
      </c>
      <c r="BX85" s="20" t="n">
        <f aca="false">BU85*MIN(Slot6_Cost,BW85)</f>
        <v>0</v>
      </c>
      <c r="BY85" s="20" t="n">
        <f aca="false">BU85*Slot6_SpendLike*MIN(Slot6_Cost-BX85,BQ85)</f>
        <v>0</v>
      </c>
      <c r="BZ85" s="20" t="n">
        <f aca="false">BX85+BY85</f>
        <v>0</v>
      </c>
      <c r="CA85" s="20" t="n">
        <f aca="false">BQ85-BY85+BU85*IF(Slot6_SpendLike=1,BW85-BX85,IF(Slot6_PotFree=1,BW85,0))</f>
        <v>0</v>
      </c>
      <c r="CB85" s="20" t="n">
        <f aca="false">BR85+BU85*Slot6_BufPot*BW85</f>
        <v>0</v>
      </c>
      <c r="CC85" s="20" t="n">
        <f aca="false">IF(AND(BU85=1,Slot6_IsMfree=1),IF(BZ85&gt;=Slot6_Cost-1,0,MAX(0,BS85-BZ85)),BS85)</f>
        <v>0</v>
      </c>
      <c r="CD85" s="20" t="n">
        <f aca="false">BU85*(Slot6_Cost-BZ85)</f>
        <v>0</v>
      </c>
      <c r="CE85" s="20" t="n">
        <f aca="false">IF(AND(Slot7_On=1,D85=Slot7_Age),1,0)</f>
        <v>0</v>
      </c>
      <c r="CF85" s="20" t="n">
        <f aca="false">IF(AND(Slot7_On=1,Slot7_Age&gt;D85),1,0)</f>
        <v>0</v>
      </c>
      <c r="CG85" s="20" t="n">
        <f aca="false">RK84</f>
        <v>0</v>
      </c>
      <c r="CH85" s="20" t="n">
        <f aca="false">CE85*MIN(Slot7_Cost,CG85)</f>
        <v>0</v>
      </c>
      <c r="CI85" s="20" t="n">
        <f aca="false">CE85*Slot7_SpendLike*MIN(Slot7_Cost-CH85,CA85)</f>
        <v>0</v>
      </c>
      <c r="CJ85" s="20" t="n">
        <f aca="false">CH85+CI85</f>
        <v>0</v>
      </c>
      <c r="CK85" s="20" t="n">
        <f aca="false">CA85-CI85+CE85*IF(Slot7_SpendLike=1,CG85-CH85,IF(Slot7_PotFree=1,CG85,0))</f>
        <v>0</v>
      </c>
      <c r="CL85" s="20" t="n">
        <f aca="false">CB85+CE85*Slot7_BufPot*CG85</f>
        <v>0</v>
      </c>
      <c r="CM85" s="20" t="n">
        <f aca="false">IF(AND(CE85=1,Slot7_IsMfree=1),IF(CJ85&gt;=Slot7_Cost-1,0,MAX(0,CC85-CJ85)),CC85)</f>
        <v>0</v>
      </c>
      <c r="CN85" s="20" t="n">
        <f aca="false">CE85*(Slot7_Cost-CJ85)</f>
        <v>0</v>
      </c>
      <c r="CO85" s="20" t="n">
        <f aca="false">IF(AND(Slot8_On=1,D85=Slot8_Age),1,0)</f>
        <v>0</v>
      </c>
      <c r="CP85" s="20" t="n">
        <f aca="false">IF(AND(Slot8_On=1,Slot8_Age&gt;D85),1,0)</f>
        <v>0</v>
      </c>
      <c r="CQ85" s="20" t="n">
        <f aca="false">RO84</f>
        <v>0</v>
      </c>
      <c r="CR85" s="20" t="n">
        <f aca="false">CO85*MIN(Slot8_Cost,CQ85)</f>
        <v>0</v>
      </c>
      <c r="CS85" s="20" t="n">
        <f aca="false">CO85*Slot8_SpendLike*MIN(Slot8_Cost-CR85,CK85)</f>
        <v>0</v>
      </c>
      <c r="CT85" s="20" t="n">
        <f aca="false">CR85+CS85</f>
        <v>0</v>
      </c>
      <c r="CU85" s="20" t="n">
        <f aca="false">CK85-CS85+CO85*IF(Slot8_SpendLike=1,CQ85-CR85,IF(Slot8_PotFree=1,CQ85,0))</f>
        <v>0</v>
      </c>
      <c r="CV85" s="20" t="n">
        <f aca="false">CL85+CO85*Slot8_BufPot*CQ85</f>
        <v>0</v>
      </c>
      <c r="CW85" s="20" t="n">
        <f aca="false">IF(AND(CO85=1,Slot8_IsMfree=1),IF(CT85&gt;=Slot8_Cost-1,0,MAX(0,CM85-CT85)),CM85)</f>
        <v>0</v>
      </c>
      <c r="CX85" s="20" t="n">
        <f aca="false">CO85*(Slot8_Cost-CT85)</f>
        <v>0</v>
      </c>
      <c r="CY85" s="20" t="n">
        <f aca="false">IF(AND(Slot9_On=1,D85=Slot9_Age),1,0)</f>
        <v>0</v>
      </c>
      <c r="CZ85" s="20" t="n">
        <f aca="false">IF(AND(Slot9_On=1,Slot9_Age&gt;D85),1,0)</f>
        <v>0</v>
      </c>
      <c r="DA85" s="20" t="n">
        <f aca="false">RS84</f>
        <v>0</v>
      </c>
      <c r="DB85" s="20" t="n">
        <f aca="false">CY85*MIN(Slot9_Cost,DA85)</f>
        <v>0</v>
      </c>
      <c r="DC85" s="20" t="n">
        <f aca="false">CY85*Slot9_SpendLike*MIN(Slot9_Cost-DB85,CU85)</f>
        <v>0</v>
      </c>
      <c r="DD85" s="20" t="n">
        <f aca="false">DB85+DC85</f>
        <v>0</v>
      </c>
      <c r="DE85" s="20" t="n">
        <f aca="false">CU85-DC85+CY85*IF(Slot9_SpendLike=1,DA85-DB85,IF(Slot9_PotFree=1,DA85,0))</f>
        <v>0</v>
      </c>
      <c r="DF85" s="20" t="n">
        <f aca="false">CV85+CY85*Slot9_BufPot*DA85</f>
        <v>0</v>
      </c>
      <c r="DG85" s="20" t="n">
        <f aca="false">IF(AND(CY85=1,Slot9_IsMfree=1),IF(DD85&gt;=Slot9_Cost-1,0,MAX(0,CW85-DD85)),CW85)</f>
        <v>0</v>
      </c>
      <c r="DH85" s="20" t="n">
        <f aca="false">CY85*(Slot9_Cost-DD85)</f>
        <v>0</v>
      </c>
      <c r="DI85" s="20" t="n">
        <f aca="false">IF(AND(Slot10_On=1,D85=Slot10_Age),1,0)</f>
        <v>0</v>
      </c>
      <c r="DJ85" s="20" t="n">
        <f aca="false">IF(AND(Slot10_On=1,Slot10_Age&gt;D85),1,0)</f>
        <v>0</v>
      </c>
      <c r="DK85" s="20" t="n">
        <f aca="false">RW84</f>
        <v>0</v>
      </c>
      <c r="DL85" s="20" t="n">
        <f aca="false">DI85*MIN(Slot10_Cost,DK85)</f>
        <v>0</v>
      </c>
      <c r="DM85" s="20" t="n">
        <f aca="false">DI85*Slot10_SpendLike*MIN(Slot10_Cost-DL85,DE85)</f>
        <v>0</v>
      </c>
      <c r="DN85" s="20" t="n">
        <f aca="false">DL85+DM85</f>
        <v>0</v>
      </c>
      <c r="DO85" s="20" t="n">
        <f aca="false">DE85-DM85+DI85*IF(Slot10_SpendLike=1,DK85-DL85,IF(Slot10_PotFree=1,DK85,0))</f>
        <v>0</v>
      </c>
      <c r="DP85" s="20" t="n">
        <f aca="false">DF85+DI85*Slot10_BufPot*DK85</f>
        <v>0</v>
      </c>
      <c r="DQ85" s="20" t="n">
        <f aca="false">IF(AND(DI85=1,Slot10_IsMfree=1),IF(DN85&gt;=Slot10_Cost-1,0,MAX(0,DG85-DN85)),DG85)</f>
        <v>0</v>
      </c>
      <c r="DR85" s="20" t="n">
        <f aca="false">DI85*(Slot10_Cost-DN85)</f>
        <v>0</v>
      </c>
      <c r="DS85" s="20" t="n">
        <f aca="false">IF(AND(Slot11_On=1,D85=Slot11_Age),1,0)</f>
        <v>0</v>
      </c>
      <c r="DT85" s="20" t="n">
        <f aca="false">IF(AND(Slot11_On=1,Slot11_Age&gt;D85),1,0)</f>
        <v>0</v>
      </c>
      <c r="DU85" s="20" t="n">
        <f aca="false">SA84</f>
        <v>0</v>
      </c>
      <c r="DV85" s="20" t="n">
        <f aca="false">DS85*MIN(Slot11_Cost,DU85)</f>
        <v>0</v>
      </c>
      <c r="DW85" s="20" t="n">
        <f aca="false">DS85*Slot11_SpendLike*MIN(Slot11_Cost-DV85,DO85)</f>
        <v>0</v>
      </c>
      <c r="DX85" s="20" t="n">
        <f aca="false">DV85+DW85</f>
        <v>0</v>
      </c>
      <c r="DY85" s="20" t="n">
        <f aca="false">DO85-DW85+DS85*IF(Slot11_SpendLike=1,DU85-DV85,IF(Slot11_PotFree=1,DU85,0))</f>
        <v>0</v>
      </c>
      <c r="DZ85" s="20" t="n">
        <f aca="false">DP85+DS85*Slot11_BufPot*DU85</f>
        <v>0</v>
      </c>
      <c r="EA85" s="20" t="n">
        <f aca="false">IF(AND(DS85=1,Slot11_IsMfree=1),IF(DX85&gt;=Slot11_Cost-1,0,MAX(0,DQ85-DX85)),DQ85)</f>
        <v>0</v>
      </c>
      <c r="EB85" s="20" t="n">
        <f aca="false">DS85*(Slot11_Cost-DX85)</f>
        <v>0</v>
      </c>
      <c r="EC85" s="20" t="n">
        <f aca="false">IF(AND(Slot12_On=1,D85=Slot12_Age),1,0)</f>
        <v>0</v>
      </c>
      <c r="ED85" s="20" t="n">
        <f aca="false">IF(AND(Slot12_On=1,Slot12_Age&gt;D85),1,0)</f>
        <v>0</v>
      </c>
      <c r="EE85" s="20" t="n">
        <f aca="false">SE84</f>
        <v>0</v>
      </c>
      <c r="EF85" s="20" t="n">
        <f aca="false">EC85*MIN(Slot12_Cost,EE85)</f>
        <v>0</v>
      </c>
      <c r="EG85" s="20" t="n">
        <f aca="false">EC85*Slot12_SpendLike*MIN(Slot12_Cost-EF85,DY85)</f>
        <v>0</v>
      </c>
      <c r="EH85" s="20" t="n">
        <f aca="false">EF85+EG85</f>
        <v>0</v>
      </c>
      <c r="EI85" s="20" t="n">
        <f aca="false">DY85-EG85+EC85*IF(Slot12_SpendLike=1,EE85-EF85,IF(Slot12_PotFree=1,EE85,0))</f>
        <v>0</v>
      </c>
      <c r="EJ85" s="20" t="n">
        <f aca="false">DZ85+EC85*Slot12_BufPot*EE85</f>
        <v>0</v>
      </c>
      <c r="EK85" s="20" t="n">
        <f aca="false">IF(AND(EC85=1,Slot12_IsMfree=1),IF(EH85&gt;=Slot12_Cost-1,0,MAX(0,EA85-EH85)),EA85)</f>
        <v>0</v>
      </c>
      <c r="EL85" s="20" t="n">
        <f aca="false">EC85*(Slot12_Cost-EH85)</f>
        <v>0</v>
      </c>
      <c r="EM85" s="20" t="n">
        <f aca="false">IF(AND(Slot13_On=1,D85=Slot13_Age),1,0)</f>
        <v>0</v>
      </c>
      <c r="EN85" s="20" t="n">
        <f aca="false">IF(AND(Slot13_On=1,Slot13_Age&gt;D85),1,0)</f>
        <v>0</v>
      </c>
      <c r="EO85" s="20" t="n">
        <f aca="false">SI84</f>
        <v>0</v>
      </c>
      <c r="EP85" s="20" t="n">
        <f aca="false">EM85*MIN(Slot13_Cost,EO85)</f>
        <v>0</v>
      </c>
      <c r="EQ85" s="20" t="n">
        <f aca="false">EM85*Slot13_SpendLike*MIN(Slot13_Cost-EP85,EI85)</f>
        <v>0</v>
      </c>
      <c r="ER85" s="20" t="n">
        <f aca="false">EP85+EQ85</f>
        <v>0</v>
      </c>
      <c r="ES85" s="20" t="n">
        <f aca="false">EI85-EQ85+EM85*IF(Slot13_SpendLike=1,EO85-EP85,IF(Slot13_PotFree=1,EO85,0))</f>
        <v>0</v>
      </c>
      <c r="ET85" s="20" t="n">
        <f aca="false">EJ85+EM85*Slot13_BufPot*EO85</f>
        <v>0</v>
      </c>
      <c r="EU85" s="20" t="n">
        <f aca="false">IF(AND(EM85=1,Slot13_IsMfree=1),IF(ER85&gt;=Slot13_Cost-1,0,MAX(0,EK85-ER85)),EK85)</f>
        <v>0</v>
      </c>
      <c r="EV85" s="20" t="n">
        <f aca="false">EM85*(Slot13_Cost-ER85)</f>
        <v>0</v>
      </c>
      <c r="EW85" s="20" t="n">
        <f aca="false">IF(AND(Slot14_On=1,D85=Slot14_Age),1,0)</f>
        <v>0</v>
      </c>
      <c r="EX85" s="20" t="n">
        <f aca="false">IF(AND(Slot14_On=1,Slot14_Age&gt;D85),1,0)</f>
        <v>0</v>
      </c>
      <c r="EY85" s="20" t="n">
        <f aca="false">SM84</f>
        <v>0</v>
      </c>
      <c r="EZ85" s="20" t="n">
        <f aca="false">EW85*MIN(Slot14_Cost,EY85)</f>
        <v>0</v>
      </c>
      <c r="FA85" s="20" t="n">
        <f aca="false">EW85*Slot14_SpendLike*MIN(Slot14_Cost-EZ85,ES85)</f>
        <v>0</v>
      </c>
      <c r="FB85" s="20" t="n">
        <f aca="false">EZ85+FA85</f>
        <v>0</v>
      </c>
      <c r="FC85" s="20" t="n">
        <f aca="false">ES85-FA85+EW85*IF(Slot14_SpendLike=1,EY85-EZ85,IF(Slot14_PotFree=1,EY85,0))</f>
        <v>0</v>
      </c>
      <c r="FD85" s="20" t="n">
        <f aca="false">ET85+EW85*Slot14_BufPot*EY85</f>
        <v>0</v>
      </c>
      <c r="FE85" s="20" t="n">
        <f aca="false">IF(AND(EW85=1,Slot14_IsMfree=1),IF(FB85&gt;=Slot14_Cost-1,0,MAX(0,EU85-FB85)),EU85)</f>
        <v>0</v>
      </c>
      <c r="FF85" s="20" t="n">
        <f aca="false">EW85*(Slot14_Cost-FB85)</f>
        <v>0</v>
      </c>
      <c r="FG85" s="20" t="n">
        <f aca="false">IF(AND(Slot15_On=1,D85=Slot15_Age),1,0)</f>
        <v>0</v>
      </c>
      <c r="FH85" s="20" t="n">
        <f aca="false">IF(AND(Slot15_On=1,Slot15_Age&gt;D85),1,0)</f>
        <v>0</v>
      </c>
      <c r="FI85" s="20" t="n">
        <f aca="false">SQ84</f>
        <v>0</v>
      </c>
      <c r="FJ85" s="20" t="n">
        <f aca="false">FG85*MIN(Slot15_Cost,FI85)</f>
        <v>0</v>
      </c>
      <c r="FK85" s="20" t="n">
        <f aca="false">FG85*Slot15_SpendLike*MIN(Slot15_Cost-FJ85,FC85)</f>
        <v>0</v>
      </c>
      <c r="FL85" s="20" t="n">
        <f aca="false">FJ85+FK85</f>
        <v>0</v>
      </c>
      <c r="FM85" s="20" t="n">
        <f aca="false">FC85-FK85+FG85*IF(Slot15_SpendLike=1,FI85-FJ85,IF(Slot15_PotFree=1,FI85,0))</f>
        <v>0</v>
      </c>
      <c r="FN85" s="20" t="n">
        <f aca="false">FD85+FG85*Slot15_BufPot*FI85</f>
        <v>0</v>
      </c>
      <c r="FO85" s="20" t="n">
        <f aca="false">IF(AND(FG85=1,Slot15_IsMfree=1),IF(FL85&gt;=Slot15_Cost-1,0,MAX(0,FE85-FL85)),FE85)</f>
        <v>0</v>
      </c>
      <c r="FP85" s="20" t="n">
        <f aca="false">FG85*(Slot15_Cost-FL85)</f>
        <v>0</v>
      </c>
      <c r="FQ85" s="20" t="n">
        <f aca="false">IF(AND(Slot16_On=1,D85=Slot16_Age),1,0)</f>
        <v>0</v>
      </c>
      <c r="FR85" s="20" t="n">
        <f aca="false">IF(AND(Slot16_On=1,Slot16_Age&gt;D85),1,0)</f>
        <v>0</v>
      </c>
      <c r="FS85" s="20" t="n">
        <f aca="false">SU84</f>
        <v>0</v>
      </c>
      <c r="FT85" s="20" t="n">
        <f aca="false">FQ85*MIN(Slot16_Cost,FS85)</f>
        <v>0</v>
      </c>
      <c r="FU85" s="20" t="n">
        <f aca="false">FQ85*Slot16_SpendLike*MIN(Slot16_Cost-FT85,FM85)</f>
        <v>0</v>
      </c>
      <c r="FV85" s="20" t="n">
        <f aca="false">FT85+FU85</f>
        <v>0</v>
      </c>
      <c r="FW85" s="20" t="n">
        <f aca="false">FM85-FU85+FQ85*IF(Slot16_SpendLike=1,FS85-FT85,IF(Slot16_PotFree=1,FS85,0))</f>
        <v>0</v>
      </c>
      <c r="FX85" s="20" t="n">
        <f aca="false">FN85+FQ85*Slot16_BufPot*FS85</f>
        <v>0</v>
      </c>
      <c r="FY85" s="20" t="n">
        <f aca="false">IF(AND(FQ85=1,Slot16_IsMfree=1),IF(FV85&gt;=Slot16_Cost-1,0,MAX(0,FO85-FV85)),FO85)</f>
        <v>0</v>
      </c>
      <c r="FZ85" s="20" t="n">
        <f aca="false">FQ85*(Slot16_Cost-FV85)</f>
        <v>0</v>
      </c>
      <c r="GA85" s="20" t="n">
        <f aca="false">IF(AND(Slot17_On=1,D85=Slot17_Age),1,0)</f>
        <v>0</v>
      </c>
      <c r="GB85" s="20" t="n">
        <f aca="false">IF(AND(Slot17_On=1,Slot17_Age&gt;D85),1,0)</f>
        <v>0</v>
      </c>
      <c r="GC85" s="20" t="n">
        <f aca="false">SY84</f>
        <v>0</v>
      </c>
      <c r="GD85" s="20" t="n">
        <f aca="false">GA85*MIN(Slot17_Cost,GC85)</f>
        <v>0</v>
      </c>
      <c r="GE85" s="20" t="n">
        <f aca="false">GA85*Slot17_SpendLike*MIN(Slot17_Cost-GD85,FW85)</f>
        <v>0</v>
      </c>
      <c r="GF85" s="20" t="n">
        <f aca="false">GD85+GE85</f>
        <v>0</v>
      </c>
      <c r="GG85" s="20" t="n">
        <f aca="false">FW85-GE85+GA85*IF(Slot17_SpendLike=1,GC85-GD85,IF(Slot17_PotFree=1,GC85,0))</f>
        <v>0</v>
      </c>
      <c r="GH85" s="20" t="n">
        <f aca="false">FX85+GA85*Slot17_BufPot*GC85</f>
        <v>0</v>
      </c>
      <c r="GI85" s="20" t="n">
        <f aca="false">IF(AND(GA85=1,Slot17_IsMfree=1),IF(GF85&gt;=Slot17_Cost-1,0,MAX(0,FY85-GF85)),FY85)</f>
        <v>0</v>
      </c>
      <c r="GJ85" s="20" t="n">
        <f aca="false">GA85*(Slot17_Cost-GF85)</f>
        <v>0</v>
      </c>
      <c r="GK85" s="20" t="n">
        <f aca="false">IF(AND(Slot18_On=1,D85=Slot18_Age),1,0)</f>
        <v>0</v>
      </c>
      <c r="GL85" s="20" t="n">
        <f aca="false">IF(AND(Slot18_On=1,Slot18_Age&gt;D85),1,0)</f>
        <v>0</v>
      </c>
      <c r="GM85" s="20" t="n">
        <f aca="false">TC84</f>
        <v>0</v>
      </c>
      <c r="GN85" s="20" t="n">
        <f aca="false">GK85*MIN(Slot18_Cost,GM85)</f>
        <v>0</v>
      </c>
      <c r="GO85" s="20" t="n">
        <f aca="false">GK85*Slot18_SpendLike*MIN(Slot18_Cost-GN85,GG85)</f>
        <v>0</v>
      </c>
      <c r="GP85" s="20" t="n">
        <f aca="false">GN85+GO85</f>
        <v>0</v>
      </c>
      <c r="GQ85" s="20" t="n">
        <f aca="false">GG85-GO85+GK85*IF(Slot18_SpendLike=1,GM85-GN85,IF(Slot18_PotFree=1,GM85,0))</f>
        <v>0</v>
      </c>
      <c r="GR85" s="20" t="n">
        <f aca="false">GH85+GK85*Slot18_BufPot*GM85</f>
        <v>0</v>
      </c>
      <c r="GS85" s="20" t="n">
        <f aca="false">IF(AND(GK85=1,Slot18_IsMfree=1),IF(GP85&gt;=Slot18_Cost-1,0,MAX(0,GI85-GP85)),GI85)</f>
        <v>0</v>
      </c>
      <c r="GT85" s="20" t="n">
        <f aca="false">GK85*(Slot18_Cost-GP85)</f>
        <v>0</v>
      </c>
      <c r="GU85" s="20" t="n">
        <f aca="false">IF(AND(Slot19_On=1,D85=Slot19_Age),1,0)</f>
        <v>0</v>
      </c>
      <c r="GV85" s="20" t="n">
        <f aca="false">IF(AND(Slot19_On=1,Slot19_Age&gt;D85),1,0)</f>
        <v>0</v>
      </c>
      <c r="GW85" s="20" t="n">
        <f aca="false">TG84</f>
        <v>0</v>
      </c>
      <c r="GX85" s="20" t="n">
        <f aca="false">GU85*MIN(Slot19_Cost,GW85)</f>
        <v>0</v>
      </c>
      <c r="GY85" s="20" t="n">
        <f aca="false">GU85*Slot19_SpendLike*MIN(Slot19_Cost-GX85,GQ85)</f>
        <v>0</v>
      </c>
      <c r="GZ85" s="20" t="n">
        <f aca="false">GX85+GY85</f>
        <v>0</v>
      </c>
      <c r="HA85" s="20" t="n">
        <f aca="false">GQ85-GY85+GU85*IF(Slot19_SpendLike=1,GW85-GX85,IF(Slot19_PotFree=1,GW85,0))</f>
        <v>0</v>
      </c>
      <c r="HB85" s="20" t="n">
        <f aca="false">GR85+GU85*Slot19_BufPot*GW85</f>
        <v>0</v>
      </c>
      <c r="HC85" s="20" t="n">
        <f aca="false">IF(AND(GU85=1,Slot19_IsMfree=1),IF(GZ85&gt;=Slot19_Cost-1,0,MAX(0,GS85-GZ85)),GS85)</f>
        <v>0</v>
      </c>
      <c r="HD85" s="20" t="n">
        <f aca="false">GU85*(Slot19_Cost-GZ85)</f>
        <v>0</v>
      </c>
      <c r="HE85" s="20" t="n">
        <f aca="false">IF(AND(Slot20_On=1,D85=Slot20_Age),1,0)</f>
        <v>0</v>
      </c>
      <c r="HF85" s="20" t="n">
        <f aca="false">IF(AND(Slot20_On=1,Slot20_Age&gt;D85),1,0)</f>
        <v>0</v>
      </c>
      <c r="HG85" s="20" t="n">
        <f aca="false">TK84</f>
        <v>0</v>
      </c>
      <c r="HH85" s="20" t="n">
        <f aca="false">HE85*MIN(Slot20_Cost,HG85)</f>
        <v>0</v>
      </c>
      <c r="HI85" s="20" t="n">
        <f aca="false">HE85*Slot20_SpendLike*MIN(Slot20_Cost-HH85,HA85)</f>
        <v>0</v>
      </c>
      <c r="HJ85" s="20" t="n">
        <f aca="false">HH85+HI85</f>
        <v>0</v>
      </c>
      <c r="HK85" s="20" t="n">
        <f aca="false">HA85-HI85+HE85*IF(Slot20_SpendLike=1,HG85-HH85,IF(Slot20_PotFree=1,HG85,0))</f>
        <v>0</v>
      </c>
      <c r="HL85" s="20" t="n">
        <f aca="false">HB85+HE85*Slot20_BufPot*HG85</f>
        <v>0</v>
      </c>
      <c r="HM85" s="20" t="n">
        <f aca="false">IF(AND(HE85=1,Slot20_IsMfree=1),IF(HJ85&gt;=Slot20_Cost-1,0,MAX(0,HC85-HJ85)),HC85)</f>
        <v>0</v>
      </c>
      <c r="HN85" s="20" t="n">
        <f aca="false">HE85*(Slot20_Cost-HJ85)</f>
        <v>0</v>
      </c>
      <c r="HO85" s="20" t="n">
        <f aca="false">V85*Slot1_SpendLike*AA85+AG85*Slot2_SpendLike*AL85+AQ85*Slot3_SpendLike*AV85+BA85*Slot4_SpendLike*BF85+BK85*Slot5_SpendLike*BP85+BU85*Slot6_SpendLike*BZ85+CE85*Slot7_SpendLike*CJ85+CO85*Slot8_SpendLike*CT85+CY85*Slot9_SpendLike*DD85+DI85*Slot10_SpendLike*DN85+DS85*Slot11_SpendLike*DX85+EC85*Slot12_SpendLike*EH85+EM85*Slot13_SpendLike*ER85+EW85*Slot14_SpendLike*FB85+FG85*Slot15_SpendLike*FL85+FQ85*Slot16_SpendLike*FV85+GA85*Slot17_SpendLike*GF85+GK85*Slot18_SpendLike*GP85+GU85*Slot19_SpendLike*GZ85+HE85*Slot20_SpendLike*HJ85</f>
        <v>0</v>
      </c>
      <c r="HP85" s="20" t="n">
        <f aca="false">AE85+AP85+AZ85+BJ85+BT85+CD85+CN85+CX85+DH85+DR85+EB85+EL85+EV85+FF85+FP85+FZ85+GJ85+GT85+HD85+HN85</f>
        <v>0</v>
      </c>
      <c r="HQ85" s="20" t="n">
        <f aca="false">V85*Slot1_Cost+AG85*Slot2_Cost+AQ85*Slot3_Cost+BA85*Slot4_Cost+BK85*Slot5_Cost+BU85*Slot6_Cost+CE85*Slot7_Cost+CO85*Slot8_Cost+CY85*Slot9_Cost+DI85*Slot10_Cost+DS85*Slot11_Cost+EC85*Slot12_Cost+EM85*Slot13_Cost+EW85*Slot14_Cost+FG85*Slot15_Cost+FQ85*Slot16_Cost+GA85*Slot17_Cost+GK85*Slot18_Cost+GU85*Slot19_Cost+HE85*Slot20_Cost</f>
        <v>0</v>
      </c>
      <c r="HR85" s="20" t="n">
        <f aca="false">HM85</f>
        <v>0</v>
      </c>
      <c r="HS85" s="20" t="n">
        <f aca="false">H85-I85-S85</f>
        <v>-88510.3302750811</v>
      </c>
      <c r="HT85" s="20" t="n">
        <f aca="false">IF(B85=0,IF(AND(Has_q6=1,In_q6=4),PR_ShareVaries*(MAX(0,HS85)/12),MIN(IF(Has_q6=1,CHOOSE(In_q6+1,PR_SaveB1,PR_SaveB2,PR_SaveB3,PR_SaveB4,0),AS_NoAnswer),AS_SaveShare*(MAX(0,HS85)/12))),HT84)</f>
        <v>62.3316893520437</v>
      </c>
      <c r="HU85" s="20" t="n">
        <f aca="false">IF(HS85&gt;=0,1,0)</f>
        <v>0</v>
      </c>
      <c r="HV85" s="20" t="n">
        <f aca="false">MAX(0,HS85/12/F85)</f>
        <v>0</v>
      </c>
      <c r="HW85" s="20" t="n">
        <f aca="false">IF(AND(Has_q6=1,In_q6=4),PR_ShareVaries*(HV85),MIN(IF(Has_q6=1,CHOOSE(In_q6+1,PR_SaveB1,PR_SaveB2,PR_SaveB3,PR_SaveB4,0),AS_NoAnswer),AS_SaveShare*(HV85)))</f>
        <v>0</v>
      </c>
      <c r="HX85" s="20" t="n">
        <f aca="false">IF(Has_saveM=1,IF(In_saveUp="Yes",1,IF(In_saveUp="No",0,IF(In_saveM&gt;=HT85-0.5,1,0))),0)</f>
        <v>0</v>
      </c>
      <c r="HY85" s="20" t="n">
        <f aca="false">IF(Has_saveM=1,MIN(HV85,IF(HX85=1,MAX(In_saveM,HW85),MIN(In_saveM,HW85))),HW85)</f>
        <v>0</v>
      </c>
      <c r="HZ85" s="20" t="n">
        <f aca="false">IF(G85=1,HY85*12*F85,0)</f>
        <v>0</v>
      </c>
      <c r="IA85" s="20" t="n">
        <f aca="false">MAX(0,HZ85+IF(AND(WI_Retire=0,WI_M&lt;0,G85=1),WI_M*12*F85,0))</f>
        <v>0</v>
      </c>
      <c r="IB85" s="20" t="n">
        <f aca="false">Slot1_IsWG*W85+Slot2_IsWG*AH85+Slot3_IsWG*AR85+Slot4_IsWG*BB85+Slot5_IsWG*BL85+Slot6_IsWG*BV85+Slot7_IsWG*CF85+Slot8_IsWG*CP85+Slot9_IsWG*CZ85+Slot10_IsWG*DJ85+Slot11_IsWG*DT85+Slot12_IsWG*ED85+Slot13_IsWG*EN85+Slot14_IsWG*EX85+Slot15_IsWG*FH85+Slot16_IsWG*FR85+Slot17_IsWG*GB85+Slot18_IsWG*GL85+Slot19_IsWG*GV85+Slot20_IsWG*HF85</f>
        <v>0</v>
      </c>
      <c r="IC85" s="20" t="n">
        <f aca="false">IF(AND(WI_Retire=0,WI_M&gt;0,G85=1,IB85&gt;=1),WI_M*12*F85,0)</f>
        <v>0</v>
      </c>
      <c r="ID85" s="20" t="n">
        <f aca="false">IF(HU85=1,MIN(IA85,HS85),0)</f>
        <v>0</v>
      </c>
      <c r="IE85" s="20" t="n">
        <f aca="false">IF(HU85=1,MIN(IC85,HS85-ID85),0)</f>
        <v>0</v>
      </c>
      <c r="IF85" s="20" t="n">
        <f aca="false">IF(W85=1,IF(ABS((1+AS_Wage)/(1+Slot1_Rate)-1)&lt;0.000000000001,(Slot1_Age-D85)*(1+Slot1_Rate)^(Slot1_Age-D85),(1+Slot1_Rate)^(Slot1_Age-D85)*(1-((1+AS_Wage)/(1+Slot1_Rate))^(Slot1_Age-D85))/(1-(1+AS_Wage)/(1+Slot1_Rate))),1)</f>
        <v>1</v>
      </c>
      <c r="IG85" s="20" t="n">
        <f aca="false">IF(AND(HU85=1,IE85&gt;0,Slot1_IsWG=1,W85=1),MAX(0,(Slot1_Cost-X85*(1+Slot1_Rate)^(Slot1_Age-D85))/IF85),0)</f>
        <v>0</v>
      </c>
      <c r="IH85" s="20" t="n">
        <f aca="false">IF(AND(HU85=1,IE85&gt;0,Slot1_IsWG=1,W85=1),MIN(IE85,IG85),0)</f>
        <v>0</v>
      </c>
      <c r="II85" s="20" t="n">
        <f aca="false">X85+IH85</f>
        <v>0</v>
      </c>
      <c r="IJ85" s="20" t="n">
        <f aca="false">IF(W85=1,MAX(0,(Slot1_Cost-II85*(1+Slot1_Rate)^(Slot1_Age-D85))/IF85),0)</f>
        <v>0</v>
      </c>
      <c r="IK85" s="20" t="n">
        <f aca="false">IF(W85=1,MAX(0,(Slot1_Cost-X85*(1+Slot1_Rate)^(Slot1_Age-D85))/IF85),0)</f>
        <v>0</v>
      </c>
      <c r="IL85" s="20" t="n">
        <f aca="false">IF(AND(HU85=1,W85=1),MIN(ID85,IJ85),0)</f>
        <v>0</v>
      </c>
      <c r="IM85" s="20" t="n">
        <f aca="false">ID85-IL85</f>
        <v>0</v>
      </c>
      <c r="IN85" s="20" t="n">
        <f aca="false">IF(AH85=1,IF(ABS((1+AS_Wage)/(1+Slot2_Rate)-1)&lt;0.000000000001,(Slot2_Age-D85)*(1+Slot2_Rate)^(Slot2_Age-D85),(1+Slot2_Rate)^(Slot2_Age-D85)*(1-((1+AS_Wage)/(1+Slot2_Rate))^(Slot2_Age-D85))/(1-(1+AS_Wage)/(1+Slot2_Rate))),1)</f>
        <v>1</v>
      </c>
      <c r="IO85" s="20" t="n">
        <f aca="false">IF(AND(HU85=1,IE85&gt;0,Slot2_IsWG=1,AH85=1),MAX(0,(Slot2_Cost-AI85*(1+Slot2_Rate)^(Slot2_Age-D85))/IN85),0)</f>
        <v>0</v>
      </c>
      <c r="IP85" s="20" t="n">
        <f aca="false">IF(AND(HU85=1,IE85&gt;0,Slot2_IsWG=1,AH85=1),MIN(IE85,IO85),0)</f>
        <v>0</v>
      </c>
      <c r="IQ85" s="20" t="n">
        <f aca="false">AI85+IP85</f>
        <v>0</v>
      </c>
      <c r="IR85" s="20" t="n">
        <f aca="false">IF(AH85=1,MAX(0,(Slot2_Cost-IQ85*(1+Slot2_Rate)^(Slot2_Age-D85))/IN85),0)</f>
        <v>0</v>
      </c>
      <c r="IS85" s="20" t="n">
        <f aca="false">IF(AH85=1,MAX(0,(Slot2_Cost-AI85*(1+Slot2_Rate)^(Slot2_Age-D85))/IN85),0)</f>
        <v>0</v>
      </c>
      <c r="IT85" s="20" t="n">
        <f aca="false">IF(AND(HU85=1,AH85=1),MIN(IM85,IR85),0)</f>
        <v>0</v>
      </c>
      <c r="IU85" s="20" t="n">
        <f aca="false">IM85-IT85</f>
        <v>0</v>
      </c>
      <c r="IV85" s="20" t="n">
        <f aca="false">IF(AR85=1,IF(ABS((1+AS_Wage)/(1+Slot3_Rate)-1)&lt;0.000000000001,(Slot3_Age-D85)*(1+Slot3_Rate)^(Slot3_Age-D85),(1+Slot3_Rate)^(Slot3_Age-D85)*(1-((1+AS_Wage)/(1+Slot3_Rate))^(Slot3_Age-D85))/(1-(1+AS_Wage)/(1+Slot3_Rate))),1)</f>
        <v>1</v>
      </c>
      <c r="IW85" s="20" t="n">
        <f aca="false">IF(AND(HU85=1,IE85&gt;0,Slot3_IsWG=1,AR85=1),MAX(0,(Slot3_Cost-AS85*(1+Slot3_Rate)^(Slot3_Age-D85))/IV85),0)</f>
        <v>0</v>
      </c>
      <c r="IX85" s="20" t="n">
        <f aca="false">IF(AND(HU85=1,IE85&gt;0,Slot3_IsWG=1,AR85=1),MIN(IE85,IW85),0)</f>
        <v>0</v>
      </c>
      <c r="IY85" s="20" t="n">
        <f aca="false">AS85+IX85</f>
        <v>0</v>
      </c>
      <c r="IZ85" s="20" t="n">
        <f aca="false">IF(AR85=1,MAX(0,(Slot3_Cost-IY85*(1+Slot3_Rate)^(Slot3_Age-D85))/IV85),0)</f>
        <v>0</v>
      </c>
      <c r="JA85" s="20" t="n">
        <f aca="false">IF(AR85=1,MAX(0,(Slot3_Cost-AS85*(1+Slot3_Rate)^(Slot3_Age-D85))/IV85),0)</f>
        <v>0</v>
      </c>
      <c r="JB85" s="20" t="n">
        <f aca="false">IF(AND(HU85=1,AR85=1),MIN(IU85,IZ85),0)</f>
        <v>0</v>
      </c>
      <c r="JC85" s="20" t="n">
        <f aca="false">IU85-JB85</f>
        <v>0</v>
      </c>
      <c r="JD85" s="20" t="n">
        <f aca="false">IF(BB85=1,IF(ABS((1+AS_Wage)/(1+Slot4_Rate)-1)&lt;0.000000000001,(Slot4_Age-D85)*(1+Slot4_Rate)^(Slot4_Age-D85),(1+Slot4_Rate)^(Slot4_Age-D85)*(1-((1+AS_Wage)/(1+Slot4_Rate))^(Slot4_Age-D85))/(1-(1+AS_Wage)/(1+Slot4_Rate))),1)</f>
        <v>1</v>
      </c>
      <c r="JE85" s="20" t="n">
        <f aca="false">IF(AND(HU85=1,IE85&gt;0,Slot4_IsWG=1,BB85=1),MAX(0,(Slot4_Cost-BC85*(1+Slot4_Rate)^(Slot4_Age-D85))/JD85),0)</f>
        <v>0</v>
      </c>
      <c r="JF85" s="20" t="n">
        <f aca="false">IF(AND(HU85=1,IE85&gt;0,Slot4_IsWG=1,BB85=1),MIN(IE85,JE85),0)</f>
        <v>0</v>
      </c>
      <c r="JG85" s="20" t="n">
        <f aca="false">BC85+JF85</f>
        <v>0</v>
      </c>
      <c r="JH85" s="20" t="n">
        <f aca="false">IF(BB85=1,MAX(0,(Slot4_Cost-JG85*(1+Slot4_Rate)^(Slot4_Age-D85))/JD85),0)</f>
        <v>0</v>
      </c>
      <c r="JI85" s="20" t="n">
        <f aca="false">IF(BB85=1,MAX(0,(Slot4_Cost-BC85*(1+Slot4_Rate)^(Slot4_Age-D85))/JD85),0)</f>
        <v>0</v>
      </c>
      <c r="JJ85" s="20" t="n">
        <f aca="false">IF(AND(HU85=1,BB85=1),MIN(JC85,JH85),0)</f>
        <v>0</v>
      </c>
      <c r="JK85" s="20" t="n">
        <f aca="false">JC85-JJ85</f>
        <v>0</v>
      </c>
      <c r="JL85" s="20" t="n">
        <f aca="false">IF(BL85=1,IF(ABS((1+AS_Wage)/(1+Slot5_Rate)-1)&lt;0.000000000001,(Slot5_Age-D85)*(1+Slot5_Rate)^(Slot5_Age-D85),(1+Slot5_Rate)^(Slot5_Age-D85)*(1-((1+AS_Wage)/(1+Slot5_Rate))^(Slot5_Age-D85))/(1-(1+AS_Wage)/(1+Slot5_Rate))),1)</f>
        <v>1</v>
      </c>
      <c r="JM85" s="20" t="n">
        <f aca="false">IF(AND(HU85=1,IE85&gt;0,Slot5_IsWG=1,BL85=1),MAX(0,(Slot5_Cost-BM85*(1+Slot5_Rate)^(Slot5_Age-D85))/JL85),0)</f>
        <v>0</v>
      </c>
      <c r="JN85" s="20" t="n">
        <f aca="false">IF(AND(HU85=1,IE85&gt;0,Slot5_IsWG=1,BL85=1),MIN(IE85,JM85),0)</f>
        <v>0</v>
      </c>
      <c r="JO85" s="20" t="n">
        <f aca="false">BM85+JN85</f>
        <v>0</v>
      </c>
      <c r="JP85" s="20" t="n">
        <f aca="false">IF(BL85=1,MAX(0,(Slot5_Cost-JO85*(1+Slot5_Rate)^(Slot5_Age-D85))/JL85),0)</f>
        <v>0</v>
      </c>
      <c r="JQ85" s="20" t="n">
        <f aca="false">IF(BL85=1,MAX(0,(Slot5_Cost-BM85*(1+Slot5_Rate)^(Slot5_Age-D85))/JL85),0)</f>
        <v>0</v>
      </c>
      <c r="JR85" s="20" t="n">
        <f aca="false">IF(AND(HU85=1,BL85=1),MIN(JK85,JP85),0)</f>
        <v>0</v>
      </c>
      <c r="JS85" s="20" t="n">
        <f aca="false">JK85-JR85</f>
        <v>0</v>
      </c>
      <c r="JT85" s="20" t="n">
        <f aca="false">IF(BV85=1,IF(ABS((1+AS_Wage)/(1+Slot6_Rate)-1)&lt;0.000000000001,(Slot6_Age-D85)*(1+Slot6_Rate)^(Slot6_Age-D85),(1+Slot6_Rate)^(Slot6_Age-D85)*(1-((1+AS_Wage)/(1+Slot6_Rate))^(Slot6_Age-D85))/(1-(1+AS_Wage)/(1+Slot6_Rate))),1)</f>
        <v>1</v>
      </c>
      <c r="JU85" s="20" t="n">
        <f aca="false">IF(AND(HU85=1,IE85&gt;0,Slot6_IsWG=1,BV85=1),MAX(0,(Slot6_Cost-BW85*(1+Slot6_Rate)^(Slot6_Age-D85))/JT85),0)</f>
        <v>0</v>
      </c>
      <c r="JV85" s="20" t="n">
        <f aca="false">IF(AND(HU85=1,IE85&gt;0,Slot6_IsWG=1,BV85=1),MIN(IE85,JU85),0)</f>
        <v>0</v>
      </c>
      <c r="JW85" s="20" t="n">
        <f aca="false">BW85+JV85</f>
        <v>0</v>
      </c>
      <c r="JX85" s="20" t="n">
        <f aca="false">IF(BV85=1,MAX(0,(Slot6_Cost-JW85*(1+Slot6_Rate)^(Slot6_Age-D85))/JT85),0)</f>
        <v>0</v>
      </c>
      <c r="JY85" s="20" t="n">
        <f aca="false">IF(BV85=1,MAX(0,(Slot6_Cost-BW85*(1+Slot6_Rate)^(Slot6_Age-D85))/JT85),0)</f>
        <v>0</v>
      </c>
      <c r="JZ85" s="20" t="n">
        <f aca="false">IF(AND(HU85=1,BV85=1),MIN(JS85,JX85),0)</f>
        <v>0</v>
      </c>
      <c r="KA85" s="20" t="n">
        <f aca="false">JS85-JZ85</f>
        <v>0</v>
      </c>
      <c r="KB85" s="20" t="n">
        <f aca="false">IF(CF85=1,IF(ABS((1+AS_Wage)/(1+Slot7_Rate)-1)&lt;0.000000000001,(Slot7_Age-D85)*(1+Slot7_Rate)^(Slot7_Age-D85),(1+Slot7_Rate)^(Slot7_Age-D85)*(1-((1+AS_Wage)/(1+Slot7_Rate))^(Slot7_Age-D85))/(1-(1+AS_Wage)/(1+Slot7_Rate))),1)</f>
        <v>1</v>
      </c>
      <c r="KC85" s="20" t="n">
        <f aca="false">IF(AND(HU85=1,IE85&gt;0,Slot7_IsWG=1,CF85=1),MAX(0,(Slot7_Cost-CG85*(1+Slot7_Rate)^(Slot7_Age-D85))/KB85),0)</f>
        <v>0</v>
      </c>
      <c r="KD85" s="20" t="n">
        <f aca="false">IF(AND(HU85=1,IE85&gt;0,Slot7_IsWG=1,CF85=1),MIN(IE85,KC85),0)</f>
        <v>0</v>
      </c>
      <c r="KE85" s="20" t="n">
        <f aca="false">CG85+KD85</f>
        <v>0</v>
      </c>
      <c r="KF85" s="20" t="n">
        <f aca="false">IF(CF85=1,MAX(0,(Slot7_Cost-KE85*(1+Slot7_Rate)^(Slot7_Age-D85))/KB85),0)</f>
        <v>0</v>
      </c>
      <c r="KG85" s="20" t="n">
        <f aca="false">IF(CF85=1,MAX(0,(Slot7_Cost-CG85*(1+Slot7_Rate)^(Slot7_Age-D85))/KB85),0)</f>
        <v>0</v>
      </c>
      <c r="KH85" s="20" t="n">
        <f aca="false">IF(AND(HU85=1,CF85=1),MIN(KA85,KF85),0)</f>
        <v>0</v>
      </c>
      <c r="KI85" s="20" t="n">
        <f aca="false">KA85-KH85</f>
        <v>0</v>
      </c>
      <c r="KJ85" s="20" t="n">
        <f aca="false">IF(CP85=1,IF(ABS((1+AS_Wage)/(1+Slot8_Rate)-1)&lt;0.000000000001,(Slot8_Age-D85)*(1+Slot8_Rate)^(Slot8_Age-D85),(1+Slot8_Rate)^(Slot8_Age-D85)*(1-((1+AS_Wage)/(1+Slot8_Rate))^(Slot8_Age-D85))/(1-(1+AS_Wage)/(1+Slot8_Rate))),1)</f>
        <v>1</v>
      </c>
      <c r="KK85" s="20" t="n">
        <f aca="false">IF(AND(HU85=1,IE85&gt;0,Slot8_IsWG=1,CP85=1),MAX(0,(Slot8_Cost-CQ85*(1+Slot8_Rate)^(Slot8_Age-D85))/KJ85),0)</f>
        <v>0</v>
      </c>
      <c r="KL85" s="20" t="n">
        <f aca="false">IF(AND(HU85=1,IE85&gt;0,Slot8_IsWG=1,CP85=1),MIN(IE85,KK85),0)</f>
        <v>0</v>
      </c>
      <c r="KM85" s="20" t="n">
        <f aca="false">CQ85+KL85</f>
        <v>0</v>
      </c>
      <c r="KN85" s="20" t="n">
        <f aca="false">IF(CP85=1,MAX(0,(Slot8_Cost-KM85*(1+Slot8_Rate)^(Slot8_Age-D85))/KJ85),0)</f>
        <v>0</v>
      </c>
      <c r="KO85" s="20" t="n">
        <f aca="false">IF(CP85=1,MAX(0,(Slot8_Cost-CQ85*(1+Slot8_Rate)^(Slot8_Age-D85))/KJ85),0)</f>
        <v>0</v>
      </c>
      <c r="KP85" s="20" t="n">
        <f aca="false">IF(AND(HU85=1,CP85=1),MIN(KI85,KN85),0)</f>
        <v>0</v>
      </c>
      <c r="KQ85" s="20" t="n">
        <f aca="false">KI85-KP85</f>
        <v>0</v>
      </c>
      <c r="KR85" s="20" t="n">
        <f aca="false">IF(CZ85=1,IF(ABS((1+AS_Wage)/(1+Slot9_Rate)-1)&lt;0.000000000001,(Slot9_Age-D85)*(1+Slot9_Rate)^(Slot9_Age-D85),(1+Slot9_Rate)^(Slot9_Age-D85)*(1-((1+AS_Wage)/(1+Slot9_Rate))^(Slot9_Age-D85))/(1-(1+AS_Wage)/(1+Slot9_Rate))),1)</f>
        <v>1</v>
      </c>
      <c r="KS85" s="20" t="n">
        <f aca="false">IF(AND(HU85=1,IE85&gt;0,Slot9_IsWG=1,CZ85=1),MAX(0,(Slot9_Cost-DA85*(1+Slot9_Rate)^(Slot9_Age-D85))/KR85),0)</f>
        <v>0</v>
      </c>
      <c r="KT85" s="20" t="n">
        <f aca="false">IF(AND(HU85=1,IE85&gt;0,Slot9_IsWG=1,CZ85=1),MIN(IE85,KS85),0)</f>
        <v>0</v>
      </c>
      <c r="KU85" s="20" t="n">
        <f aca="false">DA85+KT85</f>
        <v>0</v>
      </c>
      <c r="KV85" s="20" t="n">
        <f aca="false">IF(CZ85=1,MAX(0,(Slot9_Cost-KU85*(1+Slot9_Rate)^(Slot9_Age-D85))/KR85),0)</f>
        <v>0</v>
      </c>
      <c r="KW85" s="20" t="n">
        <f aca="false">IF(CZ85=1,MAX(0,(Slot9_Cost-DA85*(1+Slot9_Rate)^(Slot9_Age-D85))/KR85),0)</f>
        <v>0</v>
      </c>
      <c r="KX85" s="20" t="n">
        <f aca="false">IF(AND(HU85=1,CZ85=1),MIN(KQ85,KV85),0)</f>
        <v>0</v>
      </c>
      <c r="KY85" s="20" t="n">
        <f aca="false">KQ85-KX85</f>
        <v>0</v>
      </c>
      <c r="KZ85" s="20" t="n">
        <f aca="false">IF(DJ85=1,IF(ABS((1+AS_Wage)/(1+Slot10_Rate)-1)&lt;0.000000000001,(Slot10_Age-D85)*(1+Slot10_Rate)^(Slot10_Age-D85),(1+Slot10_Rate)^(Slot10_Age-D85)*(1-((1+AS_Wage)/(1+Slot10_Rate))^(Slot10_Age-D85))/(1-(1+AS_Wage)/(1+Slot10_Rate))),1)</f>
        <v>1</v>
      </c>
      <c r="LA85" s="20" t="n">
        <f aca="false">IF(AND(HU85=1,IE85&gt;0,Slot10_IsWG=1,DJ85=1),MAX(0,(Slot10_Cost-DK85*(1+Slot10_Rate)^(Slot10_Age-D85))/KZ85),0)</f>
        <v>0</v>
      </c>
      <c r="LB85" s="20" t="n">
        <f aca="false">IF(AND(HU85=1,IE85&gt;0,Slot10_IsWG=1,DJ85=1),MIN(IE85,LA85),0)</f>
        <v>0</v>
      </c>
      <c r="LC85" s="20" t="n">
        <f aca="false">DK85+LB85</f>
        <v>0</v>
      </c>
      <c r="LD85" s="20" t="n">
        <f aca="false">IF(DJ85=1,MAX(0,(Slot10_Cost-LC85*(1+Slot10_Rate)^(Slot10_Age-D85))/KZ85),0)</f>
        <v>0</v>
      </c>
      <c r="LE85" s="20" t="n">
        <f aca="false">IF(DJ85=1,MAX(0,(Slot10_Cost-DK85*(1+Slot10_Rate)^(Slot10_Age-D85))/KZ85),0)</f>
        <v>0</v>
      </c>
      <c r="LF85" s="20" t="n">
        <f aca="false">IF(AND(HU85=1,DJ85=1),MIN(KY85,LD85),0)</f>
        <v>0</v>
      </c>
      <c r="LG85" s="20" t="n">
        <f aca="false">KY85-LF85</f>
        <v>0</v>
      </c>
      <c r="LH85" s="20" t="n">
        <f aca="false">IF(DT85=1,IF(ABS((1+AS_Wage)/(1+Slot11_Rate)-1)&lt;0.000000000001,(Slot11_Age-D85)*(1+Slot11_Rate)^(Slot11_Age-D85),(1+Slot11_Rate)^(Slot11_Age-D85)*(1-((1+AS_Wage)/(1+Slot11_Rate))^(Slot11_Age-D85))/(1-(1+AS_Wage)/(1+Slot11_Rate))),1)</f>
        <v>1</v>
      </c>
      <c r="LI85" s="20" t="n">
        <f aca="false">IF(AND(HU85=1,IE85&gt;0,Slot11_IsWG=1,DT85=1),MAX(0,(Slot11_Cost-DU85*(1+Slot11_Rate)^(Slot11_Age-D85))/LH85),0)</f>
        <v>0</v>
      </c>
      <c r="LJ85" s="20" t="n">
        <f aca="false">IF(AND(HU85=1,IE85&gt;0,Slot11_IsWG=1,DT85=1),MIN(IE85,LI85),0)</f>
        <v>0</v>
      </c>
      <c r="LK85" s="20" t="n">
        <f aca="false">DU85+LJ85</f>
        <v>0</v>
      </c>
      <c r="LL85" s="20" t="n">
        <f aca="false">IF(DT85=1,MAX(0,(Slot11_Cost-LK85*(1+Slot11_Rate)^(Slot11_Age-D85))/LH85),0)</f>
        <v>0</v>
      </c>
      <c r="LM85" s="20" t="n">
        <f aca="false">IF(DT85=1,MAX(0,(Slot11_Cost-DU85*(1+Slot11_Rate)^(Slot11_Age-D85))/LH85),0)</f>
        <v>0</v>
      </c>
      <c r="LN85" s="20" t="n">
        <f aca="false">IF(AND(HU85=1,DT85=1),MIN(LG85,LL85),0)</f>
        <v>0</v>
      </c>
      <c r="LO85" s="20" t="n">
        <f aca="false">LG85-LN85</f>
        <v>0</v>
      </c>
      <c r="LP85" s="20" t="n">
        <f aca="false">IF(ED85=1,IF(ABS((1+AS_Wage)/(1+Slot12_Rate)-1)&lt;0.000000000001,(Slot12_Age-D85)*(1+Slot12_Rate)^(Slot12_Age-D85),(1+Slot12_Rate)^(Slot12_Age-D85)*(1-((1+AS_Wage)/(1+Slot12_Rate))^(Slot12_Age-D85))/(1-(1+AS_Wage)/(1+Slot12_Rate))),1)</f>
        <v>1</v>
      </c>
      <c r="LQ85" s="20" t="n">
        <f aca="false">IF(AND(HU85=1,IE85&gt;0,Slot12_IsWG=1,ED85=1),MAX(0,(Slot12_Cost-EE85*(1+Slot12_Rate)^(Slot12_Age-D85))/LP85),0)</f>
        <v>0</v>
      </c>
      <c r="LR85" s="20" t="n">
        <f aca="false">IF(AND(HU85=1,IE85&gt;0,Slot12_IsWG=1,ED85=1),MIN(IE85,LQ85),0)</f>
        <v>0</v>
      </c>
      <c r="LS85" s="20" t="n">
        <f aca="false">EE85+LR85</f>
        <v>0</v>
      </c>
      <c r="LT85" s="20" t="n">
        <f aca="false">IF(ED85=1,MAX(0,(Slot12_Cost-LS85*(1+Slot12_Rate)^(Slot12_Age-D85))/LP85),0)</f>
        <v>0</v>
      </c>
      <c r="LU85" s="20" t="n">
        <f aca="false">IF(ED85=1,MAX(0,(Slot12_Cost-EE85*(1+Slot12_Rate)^(Slot12_Age-D85))/LP85),0)</f>
        <v>0</v>
      </c>
      <c r="LV85" s="20" t="n">
        <f aca="false">IF(AND(HU85=1,ED85=1),MIN(LO85,LT85),0)</f>
        <v>0</v>
      </c>
      <c r="LW85" s="20" t="n">
        <f aca="false">LO85-LV85</f>
        <v>0</v>
      </c>
      <c r="LX85" s="20" t="n">
        <f aca="false">IF(EN85=1,IF(ABS((1+AS_Wage)/(1+Slot13_Rate)-1)&lt;0.000000000001,(Slot13_Age-D85)*(1+Slot13_Rate)^(Slot13_Age-D85),(1+Slot13_Rate)^(Slot13_Age-D85)*(1-((1+AS_Wage)/(1+Slot13_Rate))^(Slot13_Age-D85))/(1-(1+AS_Wage)/(1+Slot13_Rate))),1)</f>
        <v>1</v>
      </c>
      <c r="LY85" s="20" t="n">
        <f aca="false">IF(AND(HU85=1,IE85&gt;0,Slot13_IsWG=1,EN85=1),MAX(0,(Slot13_Cost-EO85*(1+Slot13_Rate)^(Slot13_Age-D85))/LX85),0)</f>
        <v>0</v>
      </c>
      <c r="LZ85" s="20" t="n">
        <f aca="false">IF(AND(HU85=1,IE85&gt;0,Slot13_IsWG=1,EN85=1),MIN(IE85,LY85),0)</f>
        <v>0</v>
      </c>
      <c r="MA85" s="20" t="n">
        <f aca="false">EO85+LZ85</f>
        <v>0</v>
      </c>
      <c r="MB85" s="20" t="n">
        <f aca="false">IF(EN85=1,MAX(0,(Slot13_Cost-MA85*(1+Slot13_Rate)^(Slot13_Age-D85))/LX85),0)</f>
        <v>0</v>
      </c>
      <c r="MC85" s="20" t="n">
        <f aca="false">IF(EN85=1,MAX(0,(Slot13_Cost-EO85*(1+Slot13_Rate)^(Slot13_Age-D85))/LX85),0)</f>
        <v>0</v>
      </c>
      <c r="MD85" s="20" t="n">
        <f aca="false">IF(AND(HU85=1,EN85=1),MIN(LW85,MB85),0)</f>
        <v>0</v>
      </c>
      <c r="ME85" s="20" t="n">
        <f aca="false">LW85-MD85</f>
        <v>0</v>
      </c>
      <c r="MF85" s="20" t="n">
        <f aca="false">IF(EX85=1,IF(ABS((1+AS_Wage)/(1+Slot14_Rate)-1)&lt;0.000000000001,(Slot14_Age-D85)*(1+Slot14_Rate)^(Slot14_Age-D85),(1+Slot14_Rate)^(Slot14_Age-D85)*(1-((1+AS_Wage)/(1+Slot14_Rate))^(Slot14_Age-D85))/(1-(1+AS_Wage)/(1+Slot14_Rate))),1)</f>
        <v>1</v>
      </c>
      <c r="MG85" s="20" t="n">
        <f aca="false">IF(AND(HU85=1,IE85&gt;0,Slot14_IsWG=1,EX85=1),MAX(0,(Slot14_Cost-EY85*(1+Slot14_Rate)^(Slot14_Age-D85))/MF85),0)</f>
        <v>0</v>
      </c>
      <c r="MH85" s="20" t="n">
        <f aca="false">IF(AND(HU85=1,IE85&gt;0,Slot14_IsWG=1,EX85=1),MIN(IE85,MG85),0)</f>
        <v>0</v>
      </c>
      <c r="MI85" s="20" t="n">
        <f aca="false">EY85+MH85</f>
        <v>0</v>
      </c>
      <c r="MJ85" s="20" t="n">
        <f aca="false">IF(EX85=1,MAX(0,(Slot14_Cost-MI85*(1+Slot14_Rate)^(Slot14_Age-D85))/MF85),0)</f>
        <v>0</v>
      </c>
      <c r="MK85" s="20" t="n">
        <f aca="false">IF(EX85=1,MAX(0,(Slot14_Cost-EY85*(1+Slot14_Rate)^(Slot14_Age-D85))/MF85),0)</f>
        <v>0</v>
      </c>
      <c r="ML85" s="20" t="n">
        <f aca="false">IF(AND(HU85=1,EX85=1),MIN(ME85,MJ85),0)</f>
        <v>0</v>
      </c>
      <c r="MM85" s="20" t="n">
        <f aca="false">ME85-ML85</f>
        <v>0</v>
      </c>
      <c r="MN85" s="20" t="n">
        <f aca="false">IF(FH85=1,IF(ABS((1+AS_Wage)/(1+Slot15_Rate)-1)&lt;0.000000000001,(Slot15_Age-D85)*(1+Slot15_Rate)^(Slot15_Age-D85),(1+Slot15_Rate)^(Slot15_Age-D85)*(1-((1+AS_Wage)/(1+Slot15_Rate))^(Slot15_Age-D85))/(1-(1+AS_Wage)/(1+Slot15_Rate))),1)</f>
        <v>1</v>
      </c>
      <c r="MO85" s="20" t="n">
        <f aca="false">IF(AND(HU85=1,IE85&gt;0,Slot15_IsWG=1,FH85=1),MAX(0,(Slot15_Cost-FI85*(1+Slot15_Rate)^(Slot15_Age-D85))/MN85),0)</f>
        <v>0</v>
      </c>
      <c r="MP85" s="20" t="n">
        <f aca="false">IF(AND(HU85=1,IE85&gt;0,Slot15_IsWG=1,FH85=1),MIN(IE85,MO85),0)</f>
        <v>0</v>
      </c>
      <c r="MQ85" s="20" t="n">
        <f aca="false">FI85+MP85</f>
        <v>0</v>
      </c>
      <c r="MR85" s="20" t="n">
        <f aca="false">IF(FH85=1,MAX(0,(Slot15_Cost-MQ85*(1+Slot15_Rate)^(Slot15_Age-D85))/MN85),0)</f>
        <v>0</v>
      </c>
      <c r="MS85" s="20" t="n">
        <f aca="false">IF(FH85=1,MAX(0,(Slot15_Cost-FI85*(1+Slot15_Rate)^(Slot15_Age-D85))/MN85),0)</f>
        <v>0</v>
      </c>
      <c r="MT85" s="20" t="n">
        <f aca="false">IF(AND(HU85=1,FH85=1),MIN(MM85,MR85),0)</f>
        <v>0</v>
      </c>
      <c r="MU85" s="20" t="n">
        <f aca="false">MM85-MT85</f>
        <v>0</v>
      </c>
      <c r="MV85" s="20" t="n">
        <f aca="false">IF(FR85=1,IF(ABS((1+AS_Wage)/(1+Slot16_Rate)-1)&lt;0.000000000001,(Slot16_Age-D85)*(1+Slot16_Rate)^(Slot16_Age-D85),(1+Slot16_Rate)^(Slot16_Age-D85)*(1-((1+AS_Wage)/(1+Slot16_Rate))^(Slot16_Age-D85))/(1-(1+AS_Wage)/(1+Slot16_Rate))),1)</f>
        <v>1</v>
      </c>
      <c r="MW85" s="20" t="n">
        <f aca="false">IF(AND(HU85=1,IE85&gt;0,Slot16_IsWG=1,FR85=1),MAX(0,(Slot16_Cost-FS85*(1+Slot16_Rate)^(Slot16_Age-D85))/MV85),0)</f>
        <v>0</v>
      </c>
      <c r="MX85" s="20" t="n">
        <f aca="false">IF(AND(HU85=1,IE85&gt;0,Slot16_IsWG=1,FR85=1),MIN(IE85,MW85),0)</f>
        <v>0</v>
      </c>
      <c r="MY85" s="20" t="n">
        <f aca="false">FS85+MX85</f>
        <v>0</v>
      </c>
      <c r="MZ85" s="20" t="n">
        <f aca="false">IF(FR85=1,MAX(0,(Slot16_Cost-MY85*(1+Slot16_Rate)^(Slot16_Age-D85))/MV85),0)</f>
        <v>0</v>
      </c>
      <c r="NA85" s="20" t="n">
        <f aca="false">IF(FR85=1,MAX(0,(Slot16_Cost-FS85*(1+Slot16_Rate)^(Slot16_Age-D85))/MV85),0)</f>
        <v>0</v>
      </c>
      <c r="NB85" s="20" t="n">
        <f aca="false">IF(AND(HU85=1,FR85=1),MIN(MU85,MZ85),0)</f>
        <v>0</v>
      </c>
      <c r="NC85" s="20" t="n">
        <f aca="false">MU85-NB85</f>
        <v>0</v>
      </c>
      <c r="ND85" s="20" t="n">
        <f aca="false">IF(GB85=1,IF(ABS((1+AS_Wage)/(1+Slot17_Rate)-1)&lt;0.000000000001,(Slot17_Age-D85)*(1+Slot17_Rate)^(Slot17_Age-D85),(1+Slot17_Rate)^(Slot17_Age-D85)*(1-((1+AS_Wage)/(1+Slot17_Rate))^(Slot17_Age-D85))/(1-(1+AS_Wage)/(1+Slot17_Rate))),1)</f>
        <v>1</v>
      </c>
      <c r="NE85" s="20" t="n">
        <f aca="false">IF(AND(HU85=1,IE85&gt;0,Slot17_IsWG=1,GB85=1),MAX(0,(Slot17_Cost-GC85*(1+Slot17_Rate)^(Slot17_Age-D85))/ND85),0)</f>
        <v>0</v>
      </c>
      <c r="NF85" s="20" t="n">
        <f aca="false">IF(AND(HU85=1,IE85&gt;0,Slot17_IsWG=1,GB85=1),MIN(IE85,NE85),0)</f>
        <v>0</v>
      </c>
      <c r="NG85" s="20" t="n">
        <f aca="false">GC85+NF85</f>
        <v>0</v>
      </c>
      <c r="NH85" s="20" t="n">
        <f aca="false">IF(GB85=1,MAX(0,(Slot17_Cost-NG85*(1+Slot17_Rate)^(Slot17_Age-D85))/ND85),0)</f>
        <v>0</v>
      </c>
      <c r="NI85" s="20" t="n">
        <f aca="false">IF(GB85=1,MAX(0,(Slot17_Cost-GC85*(1+Slot17_Rate)^(Slot17_Age-D85))/ND85),0)</f>
        <v>0</v>
      </c>
      <c r="NJ85" s="20" t="n">
        <f aca="false">IF(AND(HU85=1,GB85=1),MIN(NC85,NH85),0)</f>
        <v>0</v>
      </c>
      <c r="NK85" s="20" t="n">
        <f aca="false">NC85-NJ85</f>
        <v>0</v>
      </c>
      <c r="NL85" s="20" t="n">
        <f aca="false">IF(GL85=1,IF(ABS((1+AS_Wage)/(1+Slot18_Rate)-1)&lt;0.000000000001,(Slot18_Age-D85)*(1+Slot18_Rate)^(Slot18_Age-D85),(1+Slot18_Rate)^(Slot18_Age-D85)*(1-((1+AS_Wage)/(1+Slot18_Rate))^(Slot18_Age-D85))/(1-(1+AS_Wage)/(1+Slot18_Rate))),1)</f>
        <v>1</v>
      </c>
      <c r="NM85" s="20" t="n">
        <f aca="false">IF(AND(HU85=1,IE85&gt;0,Slot18_IsWG=1,GL85=1),MAX(0,(Slot18_Cost-GM85*(1+Slot18_Rate)^(Slot18_Age-D85))/NL85),0)</f>
        <v>0</v>
      </c>
      <c r="NN85" s="20" t="n">
        <f aca="false">IF(AND(HU85=1,IE85&gt;0,Slot18_IsWG=1,GL85=1),MIN(IE85,NM85),0)</f>
        <v>0</v>
      </c>
      <c r="NO85" s="20" t="n">
        <f aca="false">GM85+NN85</f>
        <v>0</v>
      </c>
      <c r="NP85" s="20" t="n">
        <f aca="false">IF(GL85=1,MAX(0,(Slot18_Cost-NO85*(1+Slot18_Rate)^(Slot18_Age-D85))/NL85),0)</f>
        <v>0</v>
      </c>
      <c r="NQ85" s="20" t="n">
        <f aca="false">IF(GL85=1,MAX(0,(Slot18_Cost-GM85*(1+Slot18_Rate)^(Slot18_Age-D85))/NL85),0)</f>
        <v>0</v>
      </c>
      <c r="NR85" s="20" t="n">
        <f aca="false">IF(AND(HU85=1,GL85=1),MIN(NK85,NP85),0)</f>
        <v>0</v>
      </c>
      <c r="NS85" s="20" t="n">
        <f aca="false">NK85-NR85</f>
        <v>0</v>
      </c>
      <c r="NT85" s="20" t="n">
        <f aca="false">IF(GV85=1,IF(ABS((1+AS_Wage)/(1+Slot19_Rate)-1)&lt;0.000000000001,(Slot19_Age-D85)*(1+Slot19_Rate)^(Slot19_Age-D85),(1+Slot19_Rate)^(Slot19_Age-D85)*(1-((1+AS_Wage)/(1+Slot19_Rate))^(Slot19_Age-D85))/(1-(1+AS_Wage)/(1+Slot19_Rate))),1)</f>
        <v>1</v>
      </c>
      <c r="NU85" s="20" t="n">
        <f aca="false">IF(AND(HU85=1,IE85&gt;0,Slot19_IsWG=1,GV85=1),MAX(0,(Slot19_Cost-GW85*(1+Slot19_Rate)^(Slot19_Age-D85))/NT85),0)</f>
        <v>0</v>
      </c>
      <c r="NV85" s="20" t="n">
        <f aca="false">IF(AND(HU85=1,IE85&gt;0,Slot19_IsWG=1,GV85=1),MIN(IE85,NU85),0)</f>
        <v>0</v>
      </c>
      <c r="NW85" s="20" t="n">
        <f aca="false">GW85+NV85</f>
        <v>0</v>
      </c>
      <c r="NX85" s="20" t="n">
        <f aca="false">IF(GV85=1,MAX(0,(Slot19_Cost-NW85*(1+Slot19_Rate)^(Slot19_Age-D85))/NT85),0)</f>
        <v>0</v>
      </c>
      <c r="NY85" s="20" t="n">
        <f aca="false">IF(GV85=1,MAX(0,(Slot19_Cost-GW85*(1+Slot19_Rate)^(Slot19_Age-D85))/NT85),0)</f>
        <v>0</v>
      </c>
      <c r="NZ85" s="20" t="n">
        <f aca="false">IF(AND(HU85=1,GV85=1),MIN(NS85,NX85),0)</f>
        <v>0</v>
      </c>
      <c r="OA85" s="20" t="n">
        <f aca="false">NS85-NZ85</f>
        <v>0</v>
      </c>
      <c r="OB85" s="20" t="n">
        <f aca="false">IF(HF85=1,IF(ABS((1+AS_Wage)/(1+Slot20_Rate)-1)&lt;0.000000000001,(Slot20_Age-D85)*(1+Slot20_Rate)^(Slot20_Age-D85),(1+Slot20_Rate)^(Slot20_Age-D85)*(1-((1+AS_Wage)/(1+Slot20_Rate))^(Slot20_Age-D85))/(1-(1+AS_Wage)/(1+Slot20_Rate))),1)</f>
        <v>1</v>
      </c>
      <c r="OC85" s="20" t="n">
        <f aca="false">IF(AND(HU85=1,IE85&gt;0,Slot20_IsWG=1,HF85=1),MAX(0,(Slot20_Cost-HG85*(1+Slot20_Rate)^(Slot20_Age-D85))/OB85),0)</f>
        <v>0</v>
      </c>
      <c r="OD85" s="20" t="n">
        <f aca="false">IF(AND(HU85=1,IE85&gt;0,Slot20_IsWG=1,HF85=1),MIN(IE85,OC85),0)</f>
        <v>0</v>
      </c>
      <c r="OE85" s="20" t="n">
        <f aca="false">HG85+OD85</f>
        <v>0</v>
      </c>
      <c r="OF85" s="20" t="n">
        <f aca="false">IF(HF85=1,MAX(0,(Slot20_Cost-OE85*(1+Slot20_Rate)^(Slot20_Age-D85))/OB85),0)</f>
        <v>0</v>
      </c>
      <c r="OG85" s="20" t="n">
        <f aca="false">IF(HF85=1,MAX(0,(Slot20_Cost-HG85*(1+Slot20_Rate)^(Slot20_Age-D85))/OB85),0)</f>
        <v>0</v>
      </c>
      <c r="OH85" s="20" t="n">
        <f aca="false">IF(AND(HU85=1,HF85=1),MIN(OA85,OF85),0)</f>
        <v>0</v>
      </c>
      <c r="OI85" s="20" t="n">
        <f aca="false">OA85-OH85</f>
        <v>0</v>
      </c>
      <c r="OJ85" s="20" t="n">
        <f aca="false">IE85-(IH85+IP85+IX85+JF85+JN85+JV85+KD85+KL85+KT85+LB85+LJ85+LR85+LZ85+MH85+MP85+MX85+NF85+NN85+NV85+OD85)</f>
        <v>0</v>
      </c>
      <c r="OK85" s="20" t="n">
        <f aca="false">IF(HU85=1,HS85-ID85-IE85,0)</f>
        <v>0</v>
      </c>
      <c r="OL85" s="20" t="n">
        <f aca="false">IF(HU85=0,-HS85,0)</f>
        <v>88510.3302750811</v>
      </c>
      <c r="OM85" s="20" t="n">
        <f aca="false">MIN(OL85,HK85)</f>
        <v>0</v>
      </c>
      <c r="ON85" s="20" t="n">
        <f aca="false">OL85-OM85</f>
        <v>88510.3302750811</v>
      </c>
      <c r="OO85" s="20" t="n">
        <f aca="false">MIN(ON85,HL85)</f>
        <v>0</v>
      </c>
      <c r="OP85" s="20" t="n">
        <f aca="false">ON85-OO85</f>
        <v>88510.3302750811</v>
      </c>
      <c r="OQ85" s="20" t="n">
        <f aca="false">IF(AND(HU85=0,HF85=1,OP85&gt;0),MIN(OP85,HG85),0)</f>
        <v>0</v>
      </c>
      <c r="OR85" s="20" t="n">
        <f aca="false">OP85-OQ85</f>
        <v>88510.3302750811</v>
      </c>
      <c r="OS85" s="20" t="n">
        <f aca="false">IF(AND(HU85=0,GV85=1,OR85&gt;0),MIN(OR85,GW85),0)</f>
        <v>0</v>
      </c>
      <c r="OT85" s="20" t="n">
        <f aca="false">OR85-OS85</f>
        <v>88510.3302750811</v>
      </c>
      <c r="OU85" s="20" t="n">
        <f aca="false">IF(AND(HU85=0,GL85=1,OT85&gt;0),MIN(OT85,GM85),0)</f>
        <v>0</v>
      </c>
      <c r="OV85" s="20" t="n">
        <f aca="false">OT85-OU85</f>
        <v>88510.3302750811</v>
      </c>
      <c r="OW85" s="20" t="n">
        <f aca="false">IF(AND(HU85=0,GB85=1,OV85&gt;0),MIN(OV85,GC85),0)</f>
        <v>0</v>
      </c>
      <c r="OX85" s="20" t="n">
        <f aca="false">OV85-OW85</f>
        <v>88510.3302750811</v>
      </c>
      <c r="OY85" s="20" t="n">
        <f aca="false">IF(AND(HU85=0,FR85=1,OX85&gt;0),MIN(OX85,FS85),0)</f>
        <v>0</v>
      </c>
      <c r="OZ85" s="20" t="n">
        <f aca="false">OX85-OY85</f>
        <v>88510.3302750811</v>
      </c>
      <c r="PA85" s="20" t="n">
        <f aca="false">IF(AND(HU85=0,FH85=1,OZ85&gt;0),MIN(OZ85,FI85),0)</f>
        <v>0</v>
      </c>
      <c r="PB85" s="20" t="n">
        <f aca="false">OZ85-PA85</f>
        <v>88510.3302750811</v>
      </c>
      <c r="PC85" s="20" t="n">
        <f aca="false">IF(AND(HU85=0,EX85=1,PB85&gt;0),MIN(PB85,EY85),0)</f>
        <v>0</v>
      </c>
      <c r="PD85" s="20" t="n">
        <f aca="false">PB85-PC85</f>
        <v>88510.3302750811</v>
      </c>
      <c r="PE85" s="20" t="n">
        <f aca="false">IF(AND(HU85=0,EN85=1,PD85&gt;0),MIN(PD85,EO85),0)</f>
        <v>0</v>
      </c>
      <c r="PF85" s="20" t="n">
        <f aca="false">PD85-PE85</f>
        <v>88510.3302750811</v>
      </c>
      <c r="PG85" s="20" t="n">
        <f aca="false">IF(AND(HU85=0,ED85=1,PF85&gt;0),MIN(PF85,EE85),0)</f>
        <v>0</v>
      </c>
      <c r="PH85" s="20" t="n">
        <f aca="false">PF85-PG85</f>
        <v>88510.3302750811</v>
      </c>
      <c r="PI85" s="20" t="n">
        <f aca="false">IF(AND(HU85=0,DT85=1,PH85&gt;0),MIN(PH85,DU85),0)</f>
        <v>0</v>
      </c>
      <c r="PJ85" s="20" t="n">
        <f aca="false">PH85-PI85</f>
        <v>88510.3302750811</v>
      </c>
      <c r="PK85" s="20" t="n">
        <f aca="false">IF(AND(HU85=0,DJ85=1,PJ85&gt;0),MIN(PJ85,DK85),0)</f>
        <v>0</v>
      </c>
      <c r="PL85" s="20" t="n">
        <f aca="false">PJ85-PK85</f>
        <v>88510.3302750811</v>
      </c>
      <c r="PM85" s="20" t="n">
        <f aca="false">IF(AND(HU85=0,CZ85=1,PL85&gt;0),MIN(PL85,DA85),0)</f>
        <v>0</v>
      </c>
      <c r="PN85" s="20" t="n">
        <f aca="false">PL85-PM85</f>
        <v>88510.3302750811</v>
      </c>
      <c r="PO85" s="20" t="n">
        <f aca="false">IF(AND(HU85=0,CP85=1,PN85&gt;0),MIN(PN85,CQ85),0)</f>
        <v>0</v>
      </c>
      <c r="PP85" s="20" t="n">
        <f aca="false">PN85-PO85</f>
        <v>88510.3302750811</v>
      </c>
      <c r="PQ85" s="20" t="n">
        <f aca="false">IF(AND(HU85=0,CF85=1,PP85&gt;0),MIN(PP85,CG85),0)</f>
        <v>0</v>
      </c>
      <c r="PR85" s="20" t="n">
        <f aca="false">PP85-PQ85</f>
        <v>88510.3302750811</v>
      </c>
      <c r="PS85" s="20" t="n">
        <f aca="false">IF(AND(HU85=0,BV85=1,PR85&gt;0),MIN(PR85,BW85),0)</f>
        <v>0</v>
      </c>
      <c r="PT85" s="20" t="n">
        <f aca="false">PR85-PS85</f>
        <v>88510.3302750811</v>
      </c>
      <c r="PU85" s="20" t="n">
        <f aca="false">IF(AND(HU85=0,BL85=1,PT85&gt;0),MIN(PT85,BM85),0)</f>
        <v>0</v>
      </c>
      <c r="PV85" s="20" t="n">
        <f aca="false">PT85-PU85</f>
        <v>88510.3302750811</v>
      </c>
      <c r="PW85" s="20" t="n">
        <f aca="false">IF(AND(HU85=0,BB85=1,PV85&gt;0),MIN(PV85,BC85),0)</f>
        <v>0</v>
      </c>
      <c r="PX85" s="20" t="n">
        <f aca="false">PV85-PW85</f>
        <v>88510.3302750811</v>
      </c>
      <c r="PY85" s="20" t="n">
        <f aca="false">IF(AND(HU85=0,AR85=1,PX85&gt;0),MIN(PX85,AS85),0)</f>
        <v>0</v>
      </c>
      <c r="PZ85" s="20" t="n">
        <f aca="false">PX85-PY85</f>
        <v>88510.3302750811</v>
      </c>
      <c r="QA85" s="20" t="n">
        <f aca="false">IF(AND(HU85=0,AH85=1,PZ85&gt;0),MIN(PZ85,AI85),0)</f>
        <v>0</v>
      </c>
      <c r="QB85" s="20" t="n">
        <f aca="false">PZ85-QA85</f>
        <v>88510.3302750811</v>
      </c>
      <c r="QC85" s="20" t="n">
        <f aca="false">IF(AND(HU85=0,W85=1,QB85&gt;0),MIN(QB85,X85),0)</f>
        <v>0</v>
      </c>
      <c r="QD85" s="20" t="n">
        <f aca="false">QB85-QC85</f>
        <v>88510.3302750811</v>
      </c>
      <c r="QE85" s="20" t="n">
        <f aca="false">IF(HU85=0,QD85,0)</f>
        <v>88510.3302750811</v>
      </c>
      <c r="QF85" s="20" t="n">
        <f aca="false">OM85+OO85+QC85+QA85+PY85+PW85+PU85+PS85+PQ85+PO85+PM85+PK85+PI85+PG85+PE85+PC85+PA85+OY85+OW85+OU85+OS85+OQ85</f>
        <v>0</v>
      </c>
      <c r="QG85" s="20" t="n">
        <f aca="false">IF(HU85=1,HK85+OJ85+OI85+IF(G85=1,0,OK85),HK85-OM85)</f>
        <v>0</v>
      </c>
      <c r="QH85" s="20" t="n">
        <f aca="false">HL85-OO85</f>
        <v>0</v>
      </c>
      <c r="QI85" s="20" t="n">
        <f aca="false">IF(HU85=1,IF(G85=1,ID85+IE85,HS85),0)</f>
        <v>0</v>
      </c>
      <c r="QJ85" s="20" t="n">
        <f aca="false">IF(HU85=1,IF(G85=1,HS85-ID85-IE85,0),0)</f>
        <v>0</v>
      </c>
      <c r="QK85" s="20" t="n">
        <f aca="false">QG85*(1+GR)</f>
        <v>0</v>
      </c>
      <c r="QL85" s="20" t="n">
        <f aca="false">QH85*(1+AS_Cash)</f>
        <v>0</v>
      </c>
      <c r="QM85" s="20" t="n">
        <f aca="false">IF(W85=1,IF(HU85=1,II85+IL85,X85-QC85)*(1+Slot1_Rate),0)</f>
        <v>0</v>
      </c>
      <c r="QN85" s="20" t="n">
        <f aca="false">IF(AND(HU85=1,W85=1),(IH85+IL85)/F85,0)</f>
        <v>0</v>
      </c>
      <c r="QO85" s="20" t="n">
        <f aca="false">IF(B85=0,IH85+IL85,0)</f>
        <v>0</v>
      </c>
      <c r="QP85" s="20" t="n">
        <f aca="false">IF(B85=0,IF(HU85=1,IJ85,IK85),0)</f>
        <v>0</v>
      </c>
      <c r="QQ85" s="20" t="n">
        <f aca="false">IF(AH85=1,IF(HU85=1,IQ85+IT85,AI85-QA85)*(1+Slot2_Rate),0)</f>
        <v>0</v>
      </c>
      <c r="QR85" s="20" t="n">
        <f aca="false">IF(AND(HU85=1,AH85=1),(IP85+IT85)/F85,0)</f>
        <v>0</v>
      </c>
      <c r="QS85" s="20" t="n">
        <f aca="false">IF(B85=0,IP85+IT85,0)</f>
        <v>0</v>
      </c>
      <c r="QT85" s="20" t="n">
        <f aca="false">IF(B85=0,IF(HU85=1,IR85,IS85),0)</f>
        <v>0</v>
      </c>
      <c r="QU85" s="20" t="n">
        <f aca="false">IF(AR85=1,IF(HU85=1,IY85+JB85,AS85-PY85)*(1+Slot3_Rate),0)</f>
        <v>0</v>
      </c>
      <c r="QV85" s="20" t="n">
        <f aca="false">IF(AND(HU85=1,AR85=1),(IX85+JB85)/F85,0)</f>
        <v>0</v>
      </c>
      <c r="QW85" s="20" t="n">
        <f aca="false">IF(B85=0,IX85+JB85,0)</f>
        <v>0</v>
      </c>
      <c r="QX85" s="20" t="n">
        <f aca="false">IF(B85=0,IF(HU85=1,IZ85,JA85),0)</f>
        <v>0</v>
      </c>
      <c r="QY85" s="20" t="n">
        <f aca="false">IF(BB85=1,IF(HU85=1,JG85+JJ85,BC85-PW85)*(1+Slot4_Rate),0)</f>
        <v>0</v>
      </c>
      <c r="QZ85" s="20" t="n">
        <f aca="false">IF(AND(HU85=1,BB85=1),(JF85+JJ85)/F85,0)</f>
        <v>0</v>
      </c>
      <c r="RA85" s="20" t="n">
        <f aca="false">IF(B85=0,JF85+JJ85,0)</f>
        <v>0</v>
      </c>
      <c r="RB85" s="20" t="n">
        <f aca="false">IF(B85=0,IF(HU85=1,JH85,JI85),0)</f>
        <v>0</v>
      </c>
      <c r="RC85" s="20" t="n">
        <f aca="false">IF(BL85=1,IF(HU85=1,JO85+JR85,BM85-PU85)*(1+Slot5_Rate),0)</f>
        <v>0</v>
      </c>
      <c r="RD85" s="20" t="n">
        <f aca="false">IF(AND(HU85=1,BL85=1),(JN85+JR85)/F85,0)</f>
        <v>0</v>
      </c>
      <c r="RE85" s="20" t="n">
        <f aca="false">IF(B85=0,JN85+JR85,0)</f>
        <v>0</v>
      </c>
      <c r="RF85" s="20" t="n">
        <f aca="false">IF(B85=0,IF(HU85=1,JP85,JQ85),0)</f>
        <v>0</v>
      </c>
      <c r="RG85" s="20" t="n">
        <f aca="false">IF(BV85=1,IF(HU85=1,JW85+JZ85,BW85-PS85)*(1+Slot6_Rate),0)</f>
        <v>0</v>
      </c>
      <c r="RH85" s="20" t="n">
        <f aca="false">IF(AND(HU85=1,BV85=1),(JV85+JZ85)/F85,0)</f>
        <v>0</v>
      </c>
      <c r="RI85" s="20" t="n">
        <f aca="false">IF(B85=0,JV85+JZ85,0)</f>
        <v>0</v>
      </c>
      <c r="RJ85" s="20" t="n">
        <f aca="false">IF(B85=0,IF(HU85=1,JX85,JY85),0)</f>
        <v>0</v>
      </c>
      <c r="RK85" s="20" t="n">
        <f aca="false">IF(CF85=1,IF(HU85=1,KE85+KH85,CG85-PQ85)*(1+Slot7_Rate),0)</f>
        <v>0</v>
      </c>
      <c r="RL85" s="20" t="n">
        <f aca="false">IF(AND(HU85=1,CF85=1),(KD85+KH85)/F85,0)</f>
        <v>0</v>
      </c>
      <c r="RM85" s="20" t="n">
        <f aca="false">IF(B85=0,KD85+KH85,0)</f>
        <v>0</v>
      </c>
      <c r="RN85" s="20" t="n">
        <f aca="false">IF(B85=0,IF(HU85=1,KF85,KG85),0)</f>
        <v>0</v>
      </c>
      <c r="RO85" s="20" t="n">
        <f aca="false">IF(CP85=1,IF(HU85=1,KM85+KP85,CQ85-PO85)*(1+Slot8_Rate),0)</f>
        <v>0</v>
      </c>
      <c r="RP85" s="20" t="n">
        <f aca="false">IF(AND(HU85=1,CP85=1),(KL85+KP85)/F85,0)</f>
        <v>0</v>
      </c>
      <c r="RQ85" s="20" t="n">
        <f aca="false">IF(B85=0,KL85+KP85,0)</f>
        <v>0</v>
      </c>
      <c r="RR85" s="20" t="n">
        <f aca="false">IF(B85=0,IF(HU85=1,KN85,KO85),0)</f>
        <v>0</v>
      </c>
      <c r="RS85" s="20" t="n">
        <f aca="false">IF(CZ85=1,IF(HU85=1,KU85+KX85,DA85-PM85)*(1+Slot9_Rate),0)</f>
        <v>0</v>
      </c>
      <c r="RT85" s="20" t="n">
        <f aca="false">IF(AND(HU85=1,CZ85=1),(KT85+KX85)/F85,0)</f>
        <v>0</v>
      </c>
      <c r="RU85" s="20" t="n">
        <f aca="false">IF(B85=0,KT85+KX85,0)</f>
        <v>0</v>
      </c>
      <c r="RV85" s="20" t="n">
        <f aca="false">IF(B85=0,IF(HU85=1,KV85,KW85),0)</f>
        <v>0</v>
      </c>
      <c r="RW85" s="20" t="n">
        <f aca="false">IF(DJ85=1,IF(HU85=1,LC85+LF85,DK85-PK85)*(1+Slot10_Rate),0)</f>
        <v>0</v>
      </c>
      <c r="RX85" s="20" t="n">
        <f aca="false">IF(AND(HU85=1,DJ85=1),(LB85+LF85)/F85,0)</f>
        <v>0</v>
      </c>
      <c r="RY85" s="20" t="n">
        <f aca="false">IF(B85=0,LB85+LF85,0)</f>
        <v>0</v>
      </c>
      <c r="RZ85" s="20" t="n">
        <f aca="false">IF(B85=0,IF(HU85=1,LD85,LE85),0)</f>
        <v>0</v>
      </c>
      <c r="SA85" s="20" t="n">
        <f aca="false">IF(DT85=1,IF(HU85=1,LK85+LN85,DU85-PI85)*(1+Slot11_Rate),0)</f>
        <v>0</v>
      </c>
      <c r="SB85" s="20" t="n">
        <f aca="false">IF(AND(HU85=1,DT85=1),(LJ85+LN85)/F85,0)</f>
        <v>0</v>
      </c>
      <c r="SC85" s="20" t="n">
        <f aca="false">IF(B85=0,LJ85+LN85,0)</f>
        <v>0</v>
      </c>
      <c r="SD85" s="20" t="n">
        <f aca="false">IF(B85=0,IF(HU85=1,LL85,LM85),0)</f>
        <v>0</v>
      </c>
      <c r="SE85" s="20" t="n">
        <f aca="false">IF(ED85=1,IF(HU85=1,LS85+LV85,EE85-PG85)*(1+Slot12_Rate),0)</f>
        <v>0</v>
      </c>
      <c r="SF85" s="20" t="n">
        <f aca="false">IF(AND(HU85=1,ED85=1),(LR85+LV85)/F85,0)</f>
        <v>0</v>
      </c>
      <c r="SG85" s="20" t="n">
        <f aca="false">IF(B85=0,LR85+LV85,0)</f>
        <v>0</v>
      </c>
      <c r="SH85" s="20" t="n">
        <f aca="false">IF(B85=0,IF(HU85=1,LT85,LU85),0)</f>
        <v>0</v>
      </c>
      <c r="SI85" s="20" t="n">
        <f aca="false">IF(EN85=1,IF(HU85=1,MA85+MD85,EO85-PE85)*(1+Slot13_Rate),0)</f>
        <v>0</v>
      </c>
      <c r="SJ85" s="20" t="n">
        <f aca="false">IF(AND(HU85=1,EN85=1),(LZ85+MD85)/F85,0)</f>
        <v>0</v>
      </c>
      <c r="SK85" s="20" t="n">
        <f aca="false">IF(B85=0,LZ85+MD85,0)</f>
        <v>0</v>
      </c>
      <c r="SL85" s="20" t="n">
        <f aca="false">IF(B85=0,IF(HU85=1,MB85,MC85),0)</f>
        <v>0</v>
      </c>
      <c r="SM85" s="20" t="n">
        <f aca="false">IF(EX85=1,IF(HU85=1,MI85+ML85,EY85-PC85)*(1+Slot14_Rate),0)</f>
        <v>0</v>
      </c>
      <c r="SN85" s="20" t="n">
        <f aca="false">IF(AND(HU85=1,EX85=1),(MH85+ML85)/F85,0)</f>
        <v>0</v>
      </c>
      <c r="SO85" s="20" t="n">
        <f aca="false">IF(B85=0,MH85+ML85,0)</f>
        <v>0</v>
      </c>
      <c r="SP85" s="20" t="n">
        <f aca="false">IF(B85=0,IF(HU85=1,MJ85,MK85),0)</f>
        <v>0</v>
      </c>
      <c r="SQ85" s="20" t="n">
        <f aca="false">IF(FH85=1,IF(HU85=1,MQ85+MT85,FI85-PA85)*(1+Slot15_Rate),0)</f>
        <v>0</v>
      </c>
      <c r="SR85" s="20" t="n">
        <f aca="false">IF(AND(HU85=1,FH85=1),(MP85+MT85)/F85,0)</f>
        <v>0</v>
      </c>
      <c r="SS85" s="20" t="n">
        <f aca="false">IF(B85=0,MP85+MT85,0)</f>
        <v>0</v>
      </c>
      <c r="ST85" s="20" t="n">
        <f aca="false">IF(B85=0,IF(HU85=1,MR85,MS85),0)</f>
        <v>0</v>
      </c>
      <c r="SU85" s="20" t="n">
        <f aca="false">IF(FR85=1,IF(HU85=1,MY85+NB85,FS85-OY85)*(1+Slot16_Rate),0)</f>
        <v>0</v>
      </c>
      <c r="SV85" s="20" t="n">
        <f aca="false">IF(AND(HU85=1,FR85=1),(MX85+NB85)/F85,0)</f>
        <v>0</v>
      </c>
      <c r="SW85" s="20" t="n">
        <f aca="false">IF(B85=0,MX85+NB85,0)</f>
        <v>0</v>
      </c>
      <c r="SX85" s="20" t="n">
        <f aca="false">IF(B85=0,IF(HU85=1,MZ85,NA85),0)</f>
        <v>0</v>
      </c>
      <c r="SY85" s="20" t="n">
        <f aca="false">IF(GB85=1,IF(HU85=1,NG85+NJ85,GC85-OW85)*(1+Slot17_Rate),0)</f>
        <v>0</v>
      </c>
      <c r="SZ85" s="20" t="n">
        <f aca="false">IF(AND(HU85=1,GB85=1),(NF85+NJ85)/F85,0)</f>
        <v>0</v>
      </c>
      <c r="TA85" s="20" t="n">
        <f aca="false">IF(B85=0,NF85+NJ85,0)</f>
        <v>0</v>
      </c>
      <c r="TB85" s="20" t="n">
        <f aca="false">IF(B85=0,IF(HU85=1,NH85,NI85),0)</f>
        <v>0</v>
      </c>
      <c r="TC85" s="20" t="n">
        <f aca="false">IF(GL85=1,IF(HU85=1,NO85+NR85,GM85-OU85)*(1+Slot18_Rate),0)</f>
        <v>0</v>
      </c>
      <c r="TD85" s="20" t="n">
        <f aca="false">IF(AND(HU85=1,GL85=1),(NN85+NR85)/F85,0)</f>
        <v>0</v>
      </c>
      <c r="TE85" s="20" t="n">
        <f aca="false">IF(B85=0,NN85+NR85,0)</f>
        <v>0</v>
      </c>
      <c r="TF85" s="20" t="n">
        <f aca="false">IF(B85=0,IF(HU85=1,NP85,NQ85),0)</f>
        <v>0</v>
      </c>
      <c r="TG85" s="20" t="n">
        <f aca="false">IF(GV85=1,IF(HU85=1,NW85+NZ85,GW85-OS85)*(1+Slot19_Rate),0)</f>
        <v>0</v>
      </c>
      <c r="TH85" s="20" t="n">
        <f aca="false">IF(AND(HU85=1,GV85=1),(NV85+NZ85)/F85,0)</f>
        <v>0</v>
      </c>
      <c r="TI85" s="20" t="n">
        <f aca="false">IF(B85=0,NV85+NZ85,0)</f>
        <v>0</v>
      </c>
      <c r="TJ85" s="20" t="n">
        <f aca="false">IF(B85=0,IF(HU85=1,NX85,NY85),0)</f>
        <v>0</v>
      </c>
      <c r="TK85" s="20" t="n">
        <f aca="false">IF(HF85=1,IF(HU85=1,OE85+OH85,HG85-OQ85)*(1+Slot20_Rate),0)</f>
        <v>0</v>
      </c>
      <c r="TL85" s="20" t="n">
        <f aca="false">IF(AND(HU85=1,HF85=1),(OD85+OH85)/F85,0)</f>
        <v>0</v>
      </c>
      <c r="TM85" s="20" t="n">
        <f aca="false">IF(B85=0,OD85+OH85,0)</f>
        <v>0</v>
      </c>
      <c r="TN85" s="20" t="n">
        <f aca="false">IF(B85=0,IF(HU85=1,OF85,OG85),0)</f>
        <v>0</v>
      </c>
      <c r="TO85" s="20" t="n">
        <f aca="false">QK85+QL85+QM85+QQ85+QU85+QY85+RC85+RG85+RK85+RO85+RS85+RW85+SA85+SE85+SI85+SM85+SQ85+SU85+SY85+TC85+TG85+TK85</f>
        <v>0</v>
      </c>
      <c r="TP85" s="20" t="n">
        <f aca="false">QE85+HP85</f>
        <v>88510.3302750811</v>
      </c>
      <c r="TQ85" s="20" t="n">
        <f aca="false">I85+S85</f>
        <v>219604.442919209</v>
      </c>
      <c r="TR85" s="20" t="n">
        <f aca="false">1-G85</f>
        <v>1</v>
      </c>
      <c r="TS85" s="20" t="n">
        <f aca="false">IF(AND(RG_Exists=1,G85=0,C85=1),I85,0)</f>
        <v>0</v>
      </c>
      <c r="TT85" s="20" t="n">
        <f aca="false">IF(AND(RG_Exists=1,G85=0,C85=1),I85-MIN(QE85,I85),0)</f>
        <v>0</v>
      </c>
      <c r="TU85" s="20" t="n">
        <f aca="false">'Plan pay &amp; tax'!AD311</f>
        <v>0</v>
      </c>
      <c r="TV85" s="20" t="n">
        <f aca="false">IF(AND(C85=1,QE85&gt;MAX(PR_Short1,TQ85*PR_Short2)),1,0)</f>
        <v>0</v>
      </c>
      <c r="TW85" s="20" t="n">
        <f aca="false">MIN(H85,I85+S85)</f>
        <v>131094.112644128</v>
      </c>
      <c r="TX85" s="20" t="n">
        <f aca="false">QF85+MAX(0,HQ85-HP85)</f>
        <v>0</v>
      </c>
      <c r="TY85" s="20" t="n">
        <f aca="false">QE85+HP85</f>
        <v>88510.3302750811</v>
      </c>
      <c r="TZ85" s="20" t="n">
        <f aca="false">IF(AND(C85=1,TY85&gt;PR_MinShort),1,0)</f>
        <v>0</v>
      </c>
      <c r="UA85" s="20" t="n">
        <f aca="false">IF(AND(C85=1,TZ85=0,TX85&gt;PR_MinShort),1,0)</f>
        <v>0</v>
      </c>
      <c r="UB85" s="20" t="n">
        <f aca="false">IF(AND(C85=1,QE85&gt;PR_MinShort),1,0)</f>
        <v>0</v>
      </c>
      <c r="UC85" s="20" t="n">
        <f aca="false">IF(AND(C85=1,QF85&gt;1,UJ85=0),1,0)</f>
        <v>0</v>
      </c>
      <c r="UD85" s="20" t="str">
        <f aca="false">IF(C85=0,"",IF(UJ85=1,"Gap to plan for: short "&amp;"€"&amp;TEXT(ROUND(TP85,0),"#,##0"),IF(QF85&gt;1,"Using savings","Comfortable")))</f>
        <v/>
      </c>
      <c r="UE85" s="20" t="n">
        <f aca="false">IF(AND(INT(D85/10)*10=90,B85&gt;0),80,INT(D85/10)*10)</f>
        <v>110</v>
      </c>
      <c r="UF85" s="20" t="n">
        <f aca="false">IF(B85=0,1,IF(UE85&lt;&gt;UE84,UF84+1,UF84))</f>
        <v>8</v>
      </c>
      <c r="UG85" s="20" t="n">
        <f aca="false">IF(AND(C85=1,G85=1,QE85&gt;MAX(PR_Short1,TQ85*PR_Short2)),1,0)</f>
        <v>0</v>
      </c>
      <c r="UH85" s="20" t="n">
        <f aca="false">TR85*TV85</f>
        <v>0</v>
      </c>
      <c r="UI85" s="20" t="n">
        <f aca="false">IF(AND(V85=1,Slot1_PctLow=1),1,0)+IF(AND(AG85=1,Slot2_PctLow=1),1,0)+IF(AND(AQ85=1,Slot3_PctLow=1),1,0)+IF(AND(BA85=1,Slot4_PctLow=1),1,0)+IF(AND(BK85=1,Slot5_PctLow=1),1,0)+IF(AND(BU85=1,Slot6_PctLow=1),1,0)+IF(AND(CE85=1,Slot7_PctLow=1),1,0)+IF(AND(CO85=1,Slot8_PctLow=1),1,0)+IF(AND(CY85=1,Slot9_PctLow=1),1,0)+IF(AND(DI85=1,Slot10_PctLow=1),1,0)+IF(AND(DS85=1,Slot11_PctLow=1),1,0)+IF(AND(EC85=1,Slot12_PctLow=1),1,0)+IF(AND(EM85=1,Slot13_PctLow=1),1,0)+IF(AND(EW85=1,Slot14_PctLow=1),1,0)+IF(AND(FG85=1,Slot15_PctLow=1),1,0)+IF(AND(FQ85=1,Slot16_PctLow=1),1,0)+IF(AND(GA85=1,Slot17_PctLow=1),1,0)+IF(AND(GK85=1,Slot18_PctLow=1),1,0)+IF(AND(GU85=1,Slot19_PctLow=1),1,0)+IF(AND(HE85=1,Slot20_PctLow=1),1,0)</f>
        <v>0</v>
      </c>
      <c r="UJ85" s="20" t="n">
        <f aca="false">IF(C85=1,IF(OR(TV85=1,UI85&gt;0),1,0),0)</f>
        <v>0</v>
      </c>
    </row>
    <row r="86" customFormat="false" ht="15" hidden="false" customHeight="true" outlineLevel="0" collapsed="false">
      <c r="B86" s="20" t="n">
        <v>78</v>
      </c>
      <c r="C86" s="20" t="n">
        <f aca="false">IF(B86&lt;=F_N,1,0)</f>
        <v>0</v>
      </c>
      <c r="D86" s="20" t="n">
        <f aca="false">'Plan pay &amp; tax'!C312</f>
        <v>116</v>
      </c>
      <c r="E86" s="20" t="str">
        <f aca="false">IF($C86=1,"Income tax "&amp;TEXT(N('Plan pay &amp; tax'!BK312),"#,##0")&amp;"; USC "&amp;TEXT(N('Plan pay &amp; tax'!BM312)+N('Plan pay &amp; tax'!BO312),"#,##0")&amp;"; PRSI "&amp;TEXT(N('Plan pay &amp; tax'!BP312)+N('Plan pay &amp; tax'!BQ312),"#,##0")&amp;". DIRT and exit tax are inside the growth rates here.","")</f>
        <v/>
      </c>
      <c r="F86" s="44" t="n">
        <f aca="false">'Plan pay &amp; tax'!E312</f>
        <v>4.68611991166513</v>
      </c>
      <c r="G86" s="20" t="n">
        <f aca="false">'Plan pay &amp; tax'!G312</f>
        <v>0</v>
      </c>
      <c r="H86" s="20" t="n">
        <f aca="false">'Plan pay &amp; tax'!BT312-'Plan pay &amp; tax'!BS312-'Plan pay &amp; tax'!R312</f>
        <v>133715.99489701</v>
      </c>
      <c r="I86" s="20" t="n">
        <f aca="false">IF(G86=1,F_CostsM*12,IF(RG_Exists=1,RG_Amount,F_CostsM*12*AS_RetireSpend))*F86+F_OneOffY*F86</f>
        <v>223996.531777593</v>
      </c>
      <c r="J86" s="20" t="n">
        <f aca="false">HR85</f>
        <v>0</v>
      </c>
      <c r="K86" s="20" t="n">
        <f aca="false">IF(J86&gt;1,'Plan debt months'!AC86,0)</f>
        <v>0</v>
      </c>
      <c r="L86" s="20" t="n">
        <f aca="false">IF(J86&gt;1,'Plan debt months'!AB86,J86)</f>
        <v>0</v>
      </c>
      <c r="M86" s="20" t="n">
        <f aca="false">O85</f>
        <v>0</v>
      </c>
      <c r="N86" s="20" t="n">
        <f aca="false">IF(M86&gt;1,'Plan debt months'!BD86,0)</f>
        <v>0</v>
      </c>
      <c r="O86" s="20" t="n">
        <f aca="false">IF(M86&gt;1,'Plan debt months'!BC86,M86)</f>
        <v>0</v>
      </c>
      <c r="P86" s="20" t="n">
        <f aca="false">R85</f>
        <v>0</v>
      </c>
      <c r="Q86" s="20" t="n">
        <f aca="false">IF(P86&gt;1,'Plan debt months'!CE86,0)</f>
        <v>0</v>
      </c>
      <c r="R86" s="20" t="n">
        <f aca="false">IF(P86&gt;1,'Plan debt months'!CD86,P86)</f>
        <v>0</v>
      </c>
      <c r="S86" s="20" t="n">
        <f aca="false">K86+N86+Q86</f>
        <v>0</v>
      </c>
      <c r="T86" s="20" t="n">
        <f aca="false">QK85+'Plan pay &amp; tax'!Y312</f>
        <v>0</v>
      </c>
      <c r="U86" s="20" t="n">
        <f aca="false">QK85</f>
        <v>0</v>
      </c>
      <c r="V86" s="20" t="n">
        <f aca="false">IF(AND(Slot1_On=1,D86=Slot1_Age),1,0)</f>
        <v>0</v>
      </c>
      <c r="W86" s="20" t="n">
        <f aca="false">IF(AND(Slot1_On=1,Slot1_Age&gt;D86),1,0)</f>
        <v>0</v>
      </c>
      <c r="X86" s="20" t="n">
        <f aca="false">QM85</f>
        <v>0</v>
      </c>
      <c r="Y86" s="20" t="n">
        <f aca="false">V86*MIN(Slot1_Cost,X86)</f>
        <v>0</v>
      </c>
      <c r="Z86" s="20" t="n">
        <f aca="false">V86*Slot1_SpendLike*MIN(Slot1_Cost-Y86,T86)</f>
        <v>0</v>
      </c>
      <c r="AA86" s="20" t="n">
        <f aca="false">Y86+Z86</f>
        <v>0</v>
      </c>
      <c r="AB86" s="20" t="n">
        <f aca="false">T86-Z86+V86*IF(Slot1_SpendLike=1,X86-Y86,IF(Slot1_PotFree=1,X86,0))</f>
        <v>0</v>
      </c>
      <c r="AC86" s="20" t="n">
        <f aca="false">AF86+V86*Slot1_BufPot*X86</f>
        <v>0</v>
      </c>
      <c r="AD86" s="20" t="n">
        <f aca="false">IF(AND(V86=1,Slot1_IsMfree=1),IF(AA86&gt;=Slot1_Cost-1,0,MAX(0,L86-AA86)),L86)</f>
        <v>0</v>
      </c>
      <c r="AE86" s="20" t="n">
        <f aca="false">V86*(Slot1_Cost-AA86)</f>
        <v>0</v>
      </c>
      <c r="AF86" s="20" t="n">
        <f aca="false">QL85</f>
        <v>0</v>
      </c>
      <c r="AG86" s="20" t="n">
        <f aca="false">IF(AND(Slot2_On=1,D86=Slot2_Age),1,0)</f>
        <v>0</v>
      </c>
      <c r="AH86" s="20" t="n">
        <f aca="false">IF(AND(Slot2_On=1,Slot2_Age&gt;D86),1,0)</f>
        <v>0</v>
      </c>
      <c r="AI86" s="20" t="n">
        <f aca="false">QQ85</f>
        <v>0</v>
      </c>
      <c r="AJ86" s="20" t="n">
        <f aca="false">AG86*MIN(Slot2_Cost,AI86)</f>
        <v>0</v>
      </c>
      <c r="AK86" s="20" t="n">
        <f aca="false">AG86*Slot2_SpendLike*MIN(Slot2_Cost-AJ86,AB86)</f>
        <v>0</v>
      </c>
      <c r="AL86" s="20" t="n">
        <f aca="false">AJ86+AK86</f>
        <v>0</v>
      </c>
      <c r="AM86" s="20" t="n">
        <f aca="false">AB86-AK86+AG86*IF(Slot2_SpendLike=1,AI86-AJ86,IF(Slot2_PotFree=1,AI86,0))</f>
        <v>0</v>
      </c>
      <c r="AN86" s="20" t="n">
        <f aca="false">AC86+AG86*Slot2_BufPot*AI86</f>
        <v>0</v>
      </c>
      <c r="AO86" s="20" t="n">
        <f aca="false">IF(AND(AG86=1,Slot2_IsMfree=1),IF(AL86&gt;=Slot2_Cost-1,0,MAX(0,AD86-AL86)),AD86)</f>
        <v>0</v>
      </c>
      <c r="AP86" s="20" t="n">
        <f aca="false">AG86*(Slot2_Cost-AL86)</f>
        <v>0</v>
      </c>
      <c r="AQ86" s="20" t="n">
        <f aca="false">IF(AND(Slot3_On=1,D86=Slot3_Age),1,0)</f>
        <v>0</v>
      </c>
      <c r="AR86" s="20" t="n">
        <f aca="false">IF(AND(Slot3_On=1,Slot3_Age&gt;D86),1,0)</f>
        <v>0</v>
      </c>
      <c r="AS86" s="20" t="n">
        <f aca="false">QU85</f>
        <v>0</v>
      </c>
      <c r="AT86" s="20" t="n">
        <f aca="false">AQ86*MIN(Slot3_Cost,AS86)</f>
        <v>0</v>
      </c>
      <c r="AU86" s="20" t="n">
        <f aca="false">AQ86*Slot3_SpendLike*MIN(Slot3_Cost-AT86,AM86)</f>
        <v>0</v>
      </c>
      <c r="AV86" s="20" t="n">
        <f aca="false">AT86+AU86</f>
        <v>0</v>
      </c>
      <c r="AW86" s="20" t="n">
        <f aca="false">AM86-AU86+AQ86*IF(Slot3_SpendLike=1,AS86-AT86,IF(Slot3_PotFree=1,AS86,0))</f>
        <v>0</v>
      </c>
      <c r="AX86" s="20" t="n">
        <f aca="false">AN86+AQ86*Slot3_BufPot*AS86</f>
        <v>0</v>
      </c>
      <c r="AY86" s="20" t="n">
        <f aca="false">IF(AND(AQ86=1,Slot3_IsMfree=1),IF(AV86&gt;=Slot3_Cost-1,0,MAX(0,AO86-AV86)),AO86)</f>
        <v>0</v>
      </c>
      <c r="AZ86" s="20" t="n">
        <f aca="false">AQ86*(Slot3_Cost-AV86)</f>
        <v>0</v>
      </c>
      <c r="BA86" s="20" t="n">
        <f aca="false">IF(AND(Slot4_On=1,D86=Slot4_Age),1,0)</f>
        <v>0</v>
      </c>
      <c r="BB86" s="20" t="n">
        <f aca="false">IF(AND(Slot4_On=1,Slot4_Age&gt;D86),1,0)</f>
        <v>0</v>
      </c>
      <c r="BC86" s="20" t="n">
        <f aca="false">QY85</f>
        <v>0</v>
      </c>
      <c r="BD86" s="20" t="n">
        <f aca="false">BA86*MIN(Slot4_Cost,BC86)</f>
        <v>0</v>
      </c>
      <c r="BE86" s="20" t="n">
        <f aca="false">BA86*Slot4_SpendLike*MIN(Slot4_Cost-BD86,AW86)</f>
        <v>0</v>
      </c>
      <c r="BF86" s="20" t="n">
        <f aca="false">BD86+BE86</f>
        <v>0</v>
      </c>
      <c r="BG86" s="20" t="n">
        <f aca="false">AW86-BE86+BA86*IF(Slot4_SpendLike=1,BC86-BD86,IF(Slot4_PotFree=1,BC86,0))</f>
        <v>0</v>
      </c>
      <c r="BH86" s="20" t="n">
        <f aca="false">AX86+BA86*Slot4_BufPot*BC86</f>
        <v>0</v>
      </c>
      <c r="BI86" s="20" t="n">
        <f aca="false">IF(AND(BA86=1,Slot4_IsMfree=1),IF(BF86&gt;=Slot4_Cost-1,0,MAX(0,AY86-BF86)),AY86)</f>
        <v>0</v>
      </c>
      <c r="BJ86" s="20" t="n">
        <f aca="false">BA86*(Slot4_Cost-BF86)</f>
        <v>0</v>
      </c>
      <c r="BK86" s="20" t="n">
        <f aca="false">IF(AND(Slot5_On=1,D86=Slot5_Age),1,0)</f>
        <v>0</v>
      </c>
      <c r="BL86" s="20" t="n">
        <f aca="false">IF(AND(Slot5_On=1,Slot5_Age&gt;D86),1,0)</f>
        <v>0</v>
      </c>
      <c r="BM86" s="20" t="n">
        <f aca="false">RC85</f>
        <v>0</v>
      </c>
      <c r="BN86" s="20" t="n">
        <f aca="false">BK86*MIN(Slot5_Cost,BM86)</f>
        <v>0</v>
      </c>
      <c r="BO86" s="20" t="n">
        <f aca="false">BK86*Slot5_SpendLike*MIN(Slot5_Cost-BN86,BG86)</f>
        <v>0</v>
      </c>
      <c r="BP86" s="20" t="n">
        <f aca="false">BN86+BO86</f>
        <v>0</v>
      </c>
      <c r="BQ86" s="20" t="n">
        <f aca="false">BG86-BO86+BK86*IF(Slot5_SpendLike=1,BM86-BN86,IF(Slot5_PotFree=1,BM86,0))</f>
        <v>0</v>
      </c>
      <c r="BR86" s="20" t="n">
        <f aca="false">BH86+BK86*Slot5_BufPot*BM86</f>
        <v>0</v>
      </c>
      <c r="BS86" s="20" t="n">
        <f aca="false">IF(AND(BK86=1,Slot5_IsMfree=1),IF(BP86&gt;=Slot5_Cost-1,0,MAX(0,BI86-BP86)),BI86)</f>
        <v>0</v>
      </c>
      <c r="BT86" s="20" t="n">
        <f aca="false">BK86*(Slot5_Cost-BP86)</f>
        <v>0</v>
      </c>
      <c r="BU86" s="20" t="n">
        <f aca="false">IF(AND(Slot6_On=1,D86=Slot6_Age),1,0)</f>
        <v>0</v>
      </c>
      <c r="BV86" s="20" t="n">
        <f aca="false">IF(AND(Slot6_On=1,Slot6_Age&gt;D86),1,0)</f>
        <v>0</v>
      </c>
      <c r="BW86" s="20" t="n">
        <f aca="false">RG85</f>
        <v>0</v>
      </c>
      <c r="BX86" s="20" t="n">
        <f aca="false">BU86*MIN(Slot6_Cost,BW86)</f>
        <v>0</v>
      </c>
      <c r="BY86" s="20" t="n">
        <f aca="false">BU86*Slot6_SpendLike*MIN(Slot6_Cost-BX86,BQ86)</f>
        <v>0</v>
      </c>
      <c r="BZ86" s="20" t="n">
        <f aca="false">BX86+BY86</f>
        <v>0</v>
      </c>
      <c r="CA86" s="20" t="n">
        <f aca="false">BQ86-BY86+BU86*IF(Slot6_SpendLike=1,BW86-BX86,IF(Slot6_PotFree=1,BW86,0))</f>
        <v>0</v>
      </c>
      <c r="CB86" s="20" t="n">
        <f aca="false">BR86+BU86*Slot6_BufPot*BW86</f>
        <v>0</v>
      </c>
      <c r="CC86" s="20" t="n">
        <f aca="false">IF(AND(BU86=1,Slot6_IsMfree=1),IF(BZ86&gt;=Slot6_Cost-1,0,MAX(0,BS86-BZ86)),BS86)</f>
        <v>0</v>
      </c>
      <c r="CD86" s="20" t="n">
        <f aca="false">BU86*(Slot6_Cost-BZ86)</f>
        <v>0</v>
      </c>
      <c r="CE86" s="20" t="n">
        <f aca="false">IF(AND(Slot7_On=1,D86=Slot7_Age),1,0)</f>
        <v>0</v>
      </c>
      <c r="CF86" s="20" t="n">
        <f aca="false">IF(AND(Slot7_On=1,Slot7_Age&gt;D86),1,0)</f>
        <v>0</v>
      </c>
      <c r="CG86" s="20" t="n">
        <f aca="false">RK85</f>
        <v>0</v>
      </c>
      <c r="CH86" s="20" t="n">
        <f aca="false">CE86*MIN(Slot7_Cost,CG86)</f>
        <v>0</v>
      </c>
      <c r="CI86" s="20" t="n">
        <f aca="false">CE86*Slot7_SpendLike*MIN(Slot7_Cost-CH86,CA86)</f>
        <v>0</v>
      </c>
      <c r="CJ86" s="20" t="n">
        <f aca="false">CH86+CI86</f>
        <v>0</v>
      </c>
      <c r="CK86" s="20" t="n">
        <f aca="false">CA86-CI86+CE86*IF(Slot7_SpendLike=1,CG86-CH86,IF(Slot7_PotFree=1,CG86,0))</f>
        <v>0</v>
      </c>
      <c r="CL86" s="20" t="n">
        <f aca="false">CB86+CE86*Slot7_BufPot*CG86</f>
        <v>0</v>
      </c>
      <c r="CM86" s="20" t="n">
        <f aca="false">IF(AND(CE86=1,Slot7_IsMfree=1),IF(CJ86&gt;=Slot7_Cost-1,0,MAX(0,CC86-CJ86)),CC86)</f>
        <v>0</v>
      </c>
      <c r="CN86" s="20" t="n">
        <f aca="false">CE86*(Slot7_Cost-CJ86)</f>
        <v>0</v>
      </c>
      <c r="CO86" s="20" t="n">
        <f aca="false">IF(AND(Slot8_On=1,D86=Slot8_Age),1,0)</f>
        <v>0</v>
      </c>
      <c r="CP86" s="20" t="n">
        <f aca="false">IF(AND(Slot8_On=1,Slot8_Age&gt;D86),1,0)</f>
        <v>0</v>
      </c>
      <c r="CQ86" s="20" t="n">
        <f aca="false">RO85</f>
        <v>0</v>
      </c>
      <c r="CR86" s="20" t="n">
        <f aca="false">CO86*MIN(Slot8_Cost,CQ86)</f>
        <v>0</v>
      </c>
      <c r="CS86" s="20" t="n">
        <f aca="false">CO86*Slot8_SpendLike*MIN(Slot8_Cost-CR86,CK86)</f>
        <v>0</v>
      </c>
      <c r="CT86" s="20" t="n">
        <f aca="false">CR86+CS86</f>
        <v>0</v>
      </c>
      <c r="CU86" s="20" t="n">
        <f aca="false">CK86-CS86+CO86*IF(Slot8_SpendLike=1,CQ86-CR86,IF(Slot8_PotFree=1,CQ86,0))</f>
        <v>0</v>
      </c>
      <c r="CV86" s="20" t="n">
        <f aca="false">CL86+CO86*Slot8_BufPot*CQ86</f>
        <v>0</v>
      </c>
      <c r="CW86" s="20" t="n">
        <f aca="false">IF(AND(CO86=1,Slot8_IsMfree=1),IF(CT86&gt;=Slot8_Cost-1,0,MAX(0,CM86-CT86)),CM86)</f>
        <v>0</v>
      </c>
      <c r="CX86" s="20" t="n">
        <f aca="false">CO86*(Slot8_Cost-CT86)</f>
        <v>0</v>
      </c>
      <c r="CY86" s="20" t="n">
        <f aca="false">IF(AND(Slot9_On=1,D86=Slot9_Age),1,0)</f>
        <v>0</v>
      </c>
      <c r="CZ86" s="20" t="n">
        <f aca="false">IF(AND(Slot9_On=1,Slot9_Age&gt;D86),1,0)</f>
        <v>0</v>
      </c>
      <c r="DA86" s="20" t="n">
        <f aca="false">RS85</f>
        <v>0</v>
      </c>
      <c r="DB86" s="20" t="n">
        <f aca="false">CY86*MIN(Slot9_Cost,DA86)</f>
        <v>0</v>
      </c>
      <c r="DC86" s="20" t="n">
        <f aca="false">CY86*Slot9_SpendLike*MIN(Slot9_Cost-DB86,CU86)</f>
        <v>0</v>
      </c>
      <c r="DD86" s="20" t="n">
        <f aca="false">DB86+DC86</f>
        <v>0</v>
      </c>
      <c r="DE86" s="20" t="n">
        <f aca="false">CU86-DC86+CY86*IF(Slot9_SpendLike=1,DA86-DB86,IF(Slot9_PotFree=1,DA86,0))</f>
        <v>0</v>
      </c>
      <c r="DF86" s="20" t="n">
        <f aca="false">CV86+CY86*Slot9_BufPot*DA86</f>
        <v>0</v>
      </c>
      <c r="DG86" s="20" t="n">
        <f aca="false">IF(AND(CY86=1,Slot9_IsMfree=1),IF(DD86&gt;=Slot9_Cost-1,0,MAX(0,CW86-DD86)),CW86)</f>
        <v>0</v>
      </c>
      <c r="DH86" s="20" t="n">
        <f aca="false">CY86*(Slot9_Cost-DD86)</f>
        <v>0</v>
      </c>
      <c r="DI86" s="20" t="n">
        <f aca="false">IF(AND(Slot10_On=1,D86=Slot10_Age),1,0)</f>
        <v>0</v>
      </c>
      <c r="DJ86" s="20" t="n">
        <f aca="false">IF(AND(Slot10_On=1,Slot10_Age&gt;D86),1,0)</f>
        <v>0</v>
      </c>
      <c r="DK86" s="20" t="n">
        <f aca="false">RW85</f>
        <v>0</v>
      </c>
      <c r="DL86" s="20" t="n">
        <f aca="false">DI86*MIN(Slot10_Cost,DK86)</f>
        <v>0</v>
      </c>
      <c r="DM86" s="20" t="n">
        <f aca="false">DI86*Slot10_SpendLike*MIN(Slot10_Cost-DL86,DE86)</f>
        <v>0</v>
      </c>
      <c r="DN86" s="20" t="n">
        <f aca="false">DL86+DM86</f>
        <v>0</v>
      </c>
      <c r="DO86" s="20" t="n">
        <f aca="false">DE86-DM86+DI86*IF(Slot10_SpendLike=1,DK86-DL86,IF(Slot10_PotFree=1,DK86,0))</f>
        <v>0</v>
      </c>
      <c r="DP86" s="20" t="n">
        <f aca="false">DF86+DI86*Slot10_BufPot*DK86</f>
        <v>0</v>
      </c>
      <c r="DQ86" s="20" t="n">
        <f aca="false">IF(AND(DI86=1,Slot10_IsMfree=1),IF(DN86&gt;=Slot10_Cost-1,0,MAX(0,DG86-DN86)),DG86)</f>
        <v>0</v>
      </c>
      <c r="DR86" s="20" t="n">
        <f aca="false">DI86*(Slot10_Cost-DN86)</f>
        <v>0</v>
      </c>
      <c r="DS86" s="20" t="n">
        <f aca="false">IF(AND(Slot11_On=1,D86=Slot11_Age),1,0)</f>
        <v>0</v>
      </c>
      <c r="DT86" s="20" t="n">
        <f aca="false">IF(AND(Slot11_On=1,Slot11_Age&gt;D86),1,0)</f>
        <v>0</v>
      </c>
      <c r="DU86" s="20" t="n">
        <f aca="false">SA85</f>
        <v>0</v>
      </c>
      <c r="DV86" s="20" t="n">
        <f aca="false">DS86*MIN(Slot11_Cost,DU86)</f>
        <v>0</v>
      </c>
      <c r="DW86" s="20" t="n">
        <f aca="false">DS86*Slot11_SpendLike*MIN(Slot11_Cost-DV86,DO86)</f>
        <v>0</v>
      </c>
      <c r="DX86" s="20" t="n">
        <f aca="false">DV86+DW86</f>
        <v>0</v>
      </c>
      <c r="DY86" s="20" t="n">
        <f aca="false">DO86-DW86+DS86*IF(Slot11_SpendLike=1,DU86-DV86,IF(Slot11_PotFree=1,DU86,0))</f>
        <v>0</v>
      </c>
      <c r="DZ86" s="20" t="n">
        <f aca="false">DP86+DS86*Slot11_BufPot*DU86</f>
        <v>0</v>
      </c>
      <c r="EA86" s="20" t="n">
        <f aca="false">IF(AND(DS86=1,Slot11_IsMfree=1),IF(DX86&gt;=Slot11_Cost-1,0,MAX(0,DQ86-DX86)),DQ86)</f>
        <v>0</v>
      </c>
      <c r="EB86" s="20" t="n">
        <f aca="false">DS86*(Slot11_Cost-DX86)</f>
        <v>0</v>
      </c>
      <c r="EC86" s="20" t="n">
        <f aca="false">IF(AND(Slot12_On=1,D86=Slot12_Age),1,0)</f>
        <v>0</v>
      </c>
      <c r="ED86" s="20" t="n">
        <f aca="false">IF(AND(Slot12_On=1,Slot12_Age&gt;D86),1,0)</f>
        <v>0</v>
      </c>
      <c r="EE86" s="20" t="n">
        <f aca="false">SE85</f>
        <v>0</v>
      </c>
      <c r="EF86" s="20" t="n">
        <f aca="false">EC86*MIN(Slot12_Cost,EE86)</f>
        <v>0</v>
      </c>
      <c r="EG86" s="20" t="n">
        <f aca="false">EC86*Slot12_SpendLike*MIN(Slot12_Cost-EF86,DY86)</f>
        <v>0</v>
      </c>
      <c r="EH86" s="20" t="n">
        <f aca="false">EF86+EG86</f>
        <v>0</v>
      </c>
      <c r="EI86" s="20" t="n">
        <f aca="false">DY86-EG86+EC86*IF(Slot12_SpendLike=1,EE86-EF86,IF(Slot12_PotFree=1,EE86,0))</f>
        <v>0</v>
      </c>
      <c r="EJ86" s="20" t="n">
        <f aca="false">DZ86+EC86*Slot12_BufPot*EE86</f>
        <v>0</v>
      </c>
      <c r="EK86" s="20" t="n">
        <f aca="false">IF(AND(EC86=1,Slot12_IsMfree=1),IF(EH86&gt;=Slot12_Cost-1,0,MAX(0,EA86-EH86)),EA86)</f>
        <v>0</v>
      </c>
      <c r="EL86" s="20" t="n">
        <f aca="false">EC86*(Slot12_Cost-EH86)</f>
        <v>0</v>
      </c>
      <c r="EM86" s="20" t="n">
        <f aca="false">IF(AND(Slot13_On=1,D86=Slot13_Age),1,0)</f>
        <v>0</v>
      </c>
      <c r="EN86" s="20" t="n">
        <f aca="false">IF(AND(Slot13_On=1,Slot13_Age&gt;D86),1,0)</f>
        <v>0</v>
      </c>
      <c r="EO86" s="20" t="n">
        <f aca="false">SI85</f>
        <v>0</v>
      </c>
      <c r="EP86" s="20" t="n">
        <f aca="false">EM86*MIN(Slot13_Cost,EO86)</f>
        <v>0</v>
      </c>
      <c r="EQ86" s="20" t="n">
        <f aca="false">EM86*Slot13_SpendLike*MIN(Slot13_Cost-EP86,EI86)</f>
        <v>0</v>
      </c>
      <c r="ER86" s="20" t="n">
        <f aca="false">EP86+EQ86</f>
        <v>0</v>
      </c>
      <c r="ES86" s="20" t="n">
        <f aca="false">EI86-EQ86+EM86*IF(Slot13_SpendLike=1,EO86-EP86,IF(Slot13_PotFree=1,EO86,0))</f>
        <v>0</v>
      </c>
      <c r="ET86" s="20" t="n">
        <f aca="false">EJ86+EM86*Slot13_BufPot*EO86</f>
        <v>0</v>
      </c>
      <c r="EU86" s="20" t="n">
        <f aca="false">IF(AND(EM86=1,Slot13_IsMfree=1),IF(ER86&gt;=Slot13_Cost-1,0,MAX(0,EK86-ER86)),EK86)</f>
        <v>0</v>
      </c>
      <c r="EV86" s="20" t="n">
        <f aca="false">EM86*(Slot13_Cost-ER86)</f>
        <v>0</v>
      </c>
      <c r="EW86" s="20" t="n">
        <f aca="false">IF(AND(Slot14_On=1,D86=Slot14_Age),1,0)</f>
        <v>0</v>
      </c>
      <c r="EX86" s="20" t="n">
        <f aca="false">IF(AND(Slot14_On=1,Slot14_Age&gt;D86),1,0)</f>
        <v>0</v>
      </c>
      <c r="EY86" s="20" t="n">
        <f aca="false">SM85</f>
        <v>0</v>
      </c>
      <c r="EZ86" s="20" t="n">
        <f aca="false">EW86*MIN(Slot14_Cost,EY86)</f>
        <v>0</v>
      </c>
      <c r="FA86" s="20" t="n">
        <f aca="false">EW86*Slot14_SpendLike*MIN(Slot14_Cost-EZ86,ES86)</f>
        <v>0</v>
      </c>
      <c r="FB86" s="20" t="n">
        <f aca="false">EZ86+FA86</f>
        <v>0</v>
      </c>
      <c r="FC86" s="20" t="n">
        <f aca="false">ES86-FA86+EW86*IF(Slot14_SpendLike=1,EY86-EZ86,IF(Slot14_PotFree=1,EY86,0))</f>
        <v>0</v>
      </c>
      <c r="FD86" s="20" t="n">
        <f aca="false">ET86+EW86*Slot14_BufPot*EY86</f>
        <v>0</v>
      </c>
      <c r="FE86" s="20" t="n">
        <f aca="false">IF(AND(EW86=1,Slot14_IsMfree=1),IF(FB86&gt;=Slot14_Cost-1,0,MAX(0,EU86-FB86)),EU86)</f>
        <v>0</v>
      </c>
      <c r="FF86" s="20" t="n">
        <f aca="false">EW86*(Slot14_Cost-FB86)</f>
        <v>0</v>
      </c>
      <c r="FG86" s="20" t="n">
        <f aca="false">IF(AND(Slot15_On=1,D86=Slot15_Age),1,0)</f>
        <v>0</v>
      </c>
      <c r="FH86" s="20" t="n">
        <f aca="false">IF(AND(Slot15_On=1,Slot15_Age&gt;D86),1,0)</f>
        <v>0</v>
      </c>
      <c r="FI86" s="20" t="n">
        <f aca="false">SQ85</f>
        <v>0</v>
      </c>
      <c r="FJ86" s="20" t="n">
        <f aca="false">FG86*MIN(Slot15_Cost,FI86)</f>
        <v>0</v>
      </c>
      <c r="FK86" s="20" t="n">
        <f aca="false">FG86*Slot15_SpendLike*MIN(Slot15_Cost-FJ86,FC86)</f>
        <v>0</v>
      </c>
      <c r="FL86" s="20" t="n">
        <f aca="false">FJ86+FK86</f>
        <v>0</v>
      </c>
      <c r="FM86" s="20" t="n">
        <f aca="false">FC86-FK86+FG86*IF(Slot15_SpendLike=1,FI86-FJ86,IF(Slot15_PotFree=1,FI86,0))</f>
        <v>0</v>
      </c>
      <c r="FN86" s="20" t="n">
        <f aca="false">FD86+FG86*Slot15_BufPot*FI86</f>
        <v>0</v>
      </c>
      <c r="FO86" s="20" t="n">
        <f aca="false">IF(AND(FG86=1,Slot15_IsMfree=1),IF(FL86&gt;=Slot15_Cost-1,0,MAX(0,FE86-FL86)),FE86)</f>
        <v>0</v>
      </c>
      <c r="FP86" s="20" t="n">
        <f aca="false">FG86*(Slot15_Cost-FL86)</f>
        <v>0</v>
      </c>
      <c r="FQ86" s="20" t="n">
        <f aca="false">IF(AND(Slot16_On=1,D86=Slot16_Age),1,0)</f>
        <v>0</v>
      </c>
      <c r="FR86" s="20" t="n">
        <f aca="false">IF(AND(Slot16_On=1,Slot16_Age&gt;D86),1,0)</f>
        <v>0</v>
      </c>
      <c r="FS86" s="20" t="n">
        <f aca="false">SU85</f>
        <v>0</v>
      </c>
      <c r="FT86" s="20" t="n">
        <f aca="false">FQ86*MIN(Slot16_Cost,FS86)</f>
        <v>0</v>
      </c>
      <c r="FU86" s="20" t="n">
        <f aca="false">FQ86*Slot16_SpendLike*MIN(Slot16_Cost-FT86,FM86)</f>
        <v>0</v>
      </c>
      <c r="FV86" s="20" t="n">
        <f aca="false">FT86+FU86</f>
        <v>0</v>
      </c>
      <c r="FW86" s="20" t="n">
        <f aca="false">FM86-FU86+FQ86*IF(Slot16_SpendLike=1,FS86-FT86,IF(Slot16_PotFree=1,FS86,0))</f>
        <v>0</v>
      </c>
      <c r="FX86" s="20" t="n">
        <f aca="false">FN86+FQ86*Slot16_BufPot*FS86</f>
        <v>0</v>
      </c>
      <c r="FY86" s="20" t="n">
        <f aca="false">IF(AND(FQ86=1,Slot16_IsMfree=1),IF(FV86&gt;=Slot16_Cost-1,0,MAX(0,FO86-FV86)),FO86)</f>
        <v>0</v>
      </c>
      <c r="FZ86" s="20" t="n">
        <f aca="false">FQ86*(Slot16_Cost-FV86)</f>
        <v>0</v>
      </c>
      <c r="GA86" s="20" t="n">
        <f aca="false">IF(AND(Slot17_On=1,D86=Slot17_Age),1,0)</f>
        <v>0</v>
      </c>
      <c r="GB86" s="20" t="n">
        <f aca="false">IF(AND(Slot17_On=1,Slot17_Age&gt;D86),1,0)</f>
        <v>0</v>
      </c>
      <c r="GC86" s="20" t="n">
        <f aca="false">SY85</f>
        <v>0</v>
      </c>
      <c r="GD86" s="20" t="n">
        <f aca="false">GA86*MIN(Slot17_Cost,GC86)</f>
        <v>0</v>
      </c>
      <c r="GE86" s="20" t="n">
        <f aca="false">GA86*Slot17_SpendLike*MIN(Slot17_Cost-GD86,FW86)</f>
        <v>0</v>
      </c>
      <c r="GF86" s="20" t="n">
        <f aca="false">GD86+GE86</f>
        <v>0</v>
      </c>
      <c r="GG86" s="20" t="n">
        <f aca="false">FW86-GE86+GA86*IF(Slot17_SpendLike=1,GC86-GD86,IF(Slot17_PotFree=1,GC86,0))</f>
        <v>0</v>
      </c>
      <c r="GH86" s="20" t="n">
        <f aca="false">FX86+GA86*Slot17_BufPot*GC86</f>
        <v>0</v>
      </c>
      <c r="GI86" s="20" t="n">
        <f aca="false">IF(AND(GA86=1,Slot17_IsMfree=1),IF(GF86&gt;=Slot17_Cost-1,0,MAX(0,FY86-GF86)),FY86)</f>
        <v>0</v>
      </c>
      <c r="GJ86" s="20" t="n">
        <f aca="false">GA86*(Slot17_Cost-GF86)</f>
        <v>0</v>
      </c>
      <c r="GK86" s="20" t="n">
        <f aca="false">IF(AND(Slot18_On=1,D86=Slot18_Age),1,0)</f>
        <v>0</v>
      </c>
      <c r="GL86" s="20" t="n">
        <f aca="false">IF(AND(Slot18_On=1,Slot18_Age&gt;D86),1,0)</f>
        <v>0</v>
      </c>
      <c r="GM86" s="20" t="n">
        <f aca="false">TC85</f>
        <v>0</v>
      </c>
      <c r="GN86" s="20" t="n">
        <f aca="false">GK86*MIN(Slot18_Cost,GM86)</f>
        <v>0</v>
      </c>
      <c r="GO86" s="20" t="n">
        <f aca="false">GK86*Slot18_SpendLike*MIN(Slot18_Cost-GN86,GG86)</f>
        <v>0</v>
      </c>
      <c r="GP86" s="20" t="n">
        <f aca="false">GN86+GO86</f>
        <v>0</v>
      </c>
      <c r="GQ86" s="20" t="n">
        <f aca="false">GG86-GO86+GK86*IF(Slot18_SpendLike=1,GM86-GN86,IF(Slot18_PotFree=1,GM86,0))</f>
        <v>0</v>
      </c>
      <c r="GR86" s="20" t="n">
        <f aca="false">GH86+GK86*Slot18_BufPot*GM86</f>
        <v>0</v>
      </c>
      <c r="GS86" s="20" t="n">
        <f aca="false">IF(AND(GK86=1,Slot18_IsMfree=1),IF(GP86&gt;=Slot18_Cost-1,0,MAX(0,GI86-GP86)),GI86)</f>
        <v>0</v>
      </c>
      <c r="GT86" s="20" t="n">
        <f aca="false">GK86*(Slot18_Cost-GP86)</f>
        <v>0</v>
      </c>
      <c r="GU86" s="20" t="n">
        <f aca="false">IF(AND(Slot19_On=1,D86=Slot19_Age),1,0)</f>
        <v>0</v>
      </c>
      <c r="GV86" s="20" t="n">
        <f aca="false">IF(AND(Slot19_On=1,Slot19_Age&gt;D86),1,0)</f>
        <v>0</v>
      </c>
      <c r="GW86" s="20" t="n">
        <f aca="false">TG85</f>
        <v>0</v>
      </c>
      <c r="GX86" s="20" t="n">
        <f aca="false">GU86*MIN(Slot19_Cost,GW86)</f>
        <v>0</v>
      </c>
      <c r="GY86" s="20" t="n">
        <f aca="false">GU86*Slot19_SpendLike*MIN(Slot19_Cost-GX86,GQ86)</f>
        <v>0</v>
      </c>
      <c r="GZ86" s="20" t="n">
        <f aca="false">GX86+GY86</f>
        <v>0</v>
      </c>
      <c r="HA86" s="20" t="n">
        <f aca="false">GQ86-GY86+GU86*IF(Slot19_SpendLike=1,GW86-GX86,IF(Slot19_PotFree=1,GW86,0))</f>
        <v>0</v>
      </c>
      <c r="HB86" s="20" t="n">
        <f aca="false">GR86+GU86*Slot19_BufPot*GW86</f>
        <v>0</v>
      </c>
      <c r="HC86" s="20" t="n">
        <f aca="false">IF(AND(GU86=1,Slot19_IsMfree=1),IF(GZ86&gt;=Slot19_Cost-1,0,MAX(0,GS86-GZ86)),GS86)</f>
        <v>0</v>
      </c>
      <c r="HD86" s="20" t="n">
        <f aca="false">GU86*(Slot19_Cost-GZ86)</f>
        <v>0</v>
      </c>
      <c r="HE86" s="20" t="n">
        <f aca="false">IF(AND(Slot20_On=1,D86=Slot20_Age),1,0)</f>
        <v>0</v>
      </c>
      <c r="HF86" s="20" t="n">
        <f aca="false">IF(AND(Slot20_On=1,Slot20_Age&gt;D86),1,0)</f>
        <v>0</v>
      </c>
      <c r="HG86" s="20" t="n">
        <f aca="false">TK85</f>
        <v>0</v>
      </c>
      <c r="HH86" s="20" t="n">
        <f aca="false">HE86*MIN(Slot20_Cost,HG86)</f>
        <v>0</v>
      </c>
      <c r="HI86" s="20" t="n">
        <f aca="false">HE86*Slot20_SpendLike*MIN(Slot20_Cost-HH86,HA86)</f>
        <v>0</v>
      </c>
      <c r="HJ86" s="20" t="n">
        <f aca="false">HH86+HI86</f>
        <v>0</v>
      </c>
      <c r="HK86" s="20" t="n">
        <f aca="false">HA86-HI86+HE86*IF(Slot20_SpendLike=1,HG86-HH86,IF(Slot20_PotFree=1,HG86,0))</f>
        <v>0</v>
      </c>
      <c r="HL86" s="20" t="n">
        <f aca="false">HB86+HE86*Slot20_BufPot*HG86</f>
        <v>0</v>
      </c>
      <c r="HM86" s="20" t="n">
        <f aca="false">IF(AND(HE86=1,Slot20_IsMfree=1),IF(HJ86&gt;=Slot20_Cost-1,0,MAX(0,HC86-HJ86)),HC86)</f>
        <v>0</v>
      </c>
      <c r="HN86" s="20" t="n">
        <f aca="false">HE86*(Slot20_Cost-HJ86)</f>
        <v>0</v>
      </c>
      <c r="HO86" s="20" t="n">
        <f aca="false">V86*Slot1_SpendLike*AA86+AG86*Slot2_SpendLike*AL86+AQ86*Slot3_SpendLike*AV86+BA86*Slot4_SpendLike*BF86+BK86*Slot5_SpendLike*BP86+BU86*Slot6_SpendLike*BZ86+CE86*Slot7_SpendLike*CJ86+CO86*Slot8_SpendLike*CT86+CY86*Slot9_SpendLike*DD86+DI86*Slot10_SpendLike*DN86+DS86*Slot11_SpendLike*DX86+EC86*Slot12_SpendLike*EH86+EM86*Slot13_SpendLike*ER86+EW86*Slot14_SpendLike*FB86+FG86*Slot15_SpendLike*FL86+FQ86*Slot16_SpendLike*FV86+GA86*Slot17_SpendLike*GF86+GK86*Slot18_SpendLike*GP86+GU86*Slot19_SpendLike*GZ86+HE86*Slot20_SpendLike*HJ86</f>
        <v>0</v>
      </c>
      <c r="HP86" s="20" t="n">
        <f aca="false">AE86+AP86+AZ86+BJ86+BT86+CD86+CN86+CX86+DH86+DR86+EB86+EL86+EV86+FF86+FP86+FZ86+GJ86+GT86+HD86+HN86</f>
        <v>0</v>
      </c>
      <c r="HQ86" s="20" t="n">
        <f aca="false">V86*Slot1_Cost+AG86*Slot2_Cost+AQ86*Slot3_Cost+BA86*Slot4_Cost+BK86*Slot5_Cost+BU86*Slot6_Cost+CE86*Slot7_Cost+CO86*Slot8_Cost+CY86*Slot9_Cost+DI86*Slot10_Cost+DS86*Slot11_Cost+EC86*Slot12_Cost+EM86*Slot13_Cost+EW86*Slot14_Cost+FG86*Slot15_Cost+FQ86*Slot16_Cost+GA86*Slot17_Cost+GK86*Slot18_Cost+GU86*Slot19_Cost+HE86*Slot20_Cost</f>
        <v>0</v>
      </c>
      <c r="HR86" s="20" t="n">
        <f aca="false">HM86</f>
        <v>0</v>
      </c>
      <c r="HS86" s="20" t="n">
        <f aca="false">H86-I86-S86</f>
        <v>-90280.5368805827</v>
      </c>
      <c r="HT86" s="20" t="n">
        <f aca="false">IF(B86=0,IF(AND(Has_q6=1,In_q6=4),PR_ShareVaries*(MAX(0,HS86)/12),MIN(IF(Has_q6=1,CHOOSE(In_q6+1,PR_SaveB1,PR_SaveB2,PR_SaveB3,PR_SaveB4,0),AS_NoAnswer),AS_SaveShare*(MAX(0,HS86)/12))),HT85)</f>
        <v>62.3316893520437</v>
      </c>
      <c r="HU86" s="20" t="n">
        <f aca="false">IF(HS86&gt;=0,1,0)</f>
        <v>0</v>
      </c>
      <c r="HV86" s="20" t="n">
        <f aca="false">MAX(0,HS86/12/F86)</f>
        <v>0</v>
      </c>
      <c r="HW86" s="20" t="n">
        <f aca="false">IF(AND(Has_q6=1,In_q6=4),PR_ShareVaries*(HV86),MIN(IF(Has_q6=1,CHOOSE(In_q6+1,PR_SaveB1,PR_SaveB2,PR_SaveB3,PR_SaveB4,0),AS_NoAnswer),AS_SaveShare*(HV86)))</f>
        <v>0</v>
      </c>
      <c r="HX86" s="20" t="n">
        <f aca="false">IF(Has_saveM=1,IF(In_saveUp="Yes",1,IF(In_saveUp="No",0,IF(In_saveM&gt;=HT86-0.5,1,0))),0)</f>
        <v>0</v>
      </c>
      <c r="HY86" s="20" t="n">
        <f aca="false">IF(Has_saveM=1,MIN(HV86,IF(HX86=1,MAX(In_saveM,HW86),MIN(In_saveM,HW86))),HW86)</f>
        <v>0</v>
      </c>
      <c r="HZ86" s="20" t="n">
        <f aca="false">IF(G86=1,HY86*12*F86,0)</f>
        <v>0</v>
      </c>
      <c r="IA86" s="20" t="n">
        <f aca="false">MAX(0,HZ86+IF(AND(WI_Retire=0,WI_M&lt;0,G86=1),WI_M*12*F86,0))</f>
        <v>0</v>
      </c>
      <c r="IB86" s="20" t="n">
        <f aca="false">Slot1_IsWG*W86+Slot2_IsWG*AH86+Slot3_IsWG*AR86+Slot4_IsWG*BB86+Slot5_IsWG*BL86+Slot6_IsWG*BV86+Slot7_IsWG*CF86+Slot8_IsWG*CP86+Slot9_IsWG*CZ86+Slot10_IsWG*DJ86+Slot11_IsWG*DT86+Slot12_IsWG*ED86+Slot13_IsWG*EN86+Slot14_IsWG*EX86+Slot15_IsWG*FH86+Slot16_IsWG*FR86+Slot17_IsWG*GB86+Slot18_IsWG*GL86+Slot19_IsWG*GV86+Slot20_IsWG*HF86</f>
        <v>0</v>
      </c>
      <c r="IC86" s="20" t="n">
        <f aca="false">IF(AND(WI_Retire=0,WI_M&gt;0,G86=1,IB86&gt;=1),WI_M*12*F86,0)</f>
        <v>0</v>
      </c>
      <c r="ID86" s="20" t="n">
        <f aca="false">IF(HU86=1,MIN(IA86,HS86),0)</f>
        <v>0</v>
      </c>
      <c r="IE86" s="20" t="n">
        <f aca="false">IF(HU86=1,MIN(IC86,HS86-ID86),0)</f>
        <v>0</v>
      </c>
      <c r="IF86" s="20" t="n">
        <f aca="false">IF(W86=1,IF(ABS((1+AS_Wage)/(1+Slot1_Rate)-1)&lt;0.000000000001,(Slot1_Age-D86)*(1+Slot1_Rate)^(Slot1_Age-D86),(1+Slot1_Rate)^(Slot1_Age-D86)*(1-((1+AS_Wage)/(1+Slot1_Rate))^(Slot1_Age-D86))/(1-(1+AS_Wage)/(1+Slot1_Rate))),1)</f>
        <v>1</v>
      </c>
      <c r="IG86" s="20" t="n">
        <f aca="false">IF(AND(HU86=1,IE86&gt;0,Slot1_IsWG=1,W86=1),MAX(0,(Slot1_Cost-X86*(1+Slot1_Rate)^(Slot1_Age-D86))/IF86),0)</f>
        <v>0</v>
      </c>
      <c r="IH86" s="20" t="n">
        <f aca="false">IF(AND(HU86=1,IE86&gt;0,Slot1_IsWG=1,W86=1),MIN(IE86,IG86),0)</f>
        <v>0</v>
      </c>
      <c r="II86" s="20" t="n">
        <f aca="false">X86+IH86</f>
        <v>0</v>
      </c>
      <c r="IJ86" s="20" t="n">
        <f aca="false">IF(W86=1,MAX(0,(Slot1_Cost-II86*(1+Slot1_Rate)^(Slot1_Age-D86))/IF86),0)</f>
        <v>0</v>
      </c>
      <c r="IK86" s="20" t="n">
        <f aca="false">IF(W86=1,MAX(0,(Slot1_Cost-X86*(1+Slot1_Rate)^(Slot1_Age-D86))/IF86),0)</f>
        <v>0</v>
      </c>
      <c r="IL86" s="20" t="n">
        <f aca="false">IF(AND(HU86=1,W86=1),MIN(ID86,IJ86),0)</f>
        <v>0</v>
      </c>
      <c r="IM86" s="20" t="n">
        <f aca="false">ID86-IL86</f>
        <v>0</v>
      </c>
      <c r="IN86" s="20" t="n">
        <f aca="false">IF(AH86=1,IF(ABS((1+AS_Wage)/(1+Slot2_Rate)-1)&lt;0.000000000001,(Slot2_Age-D86)*(1+Slot2_Rate)^(Slot2_Age-D86),(1+Slot2_Rate)^(Slot2_Age-D86)*(1-((1+AS_Wage)/(1+Slot2_Rate))^(Slot2_Age-D86))/(1-(1+AS_Wage)/(1+Slot2_Rate))),1)</f>
        <v>1</v>
      </c>
      <c r="IO86" s="20" t="n">
        <f aca="false">IF(AND(HU86=1,IE86&gt;0,Slot2_IsWG=1,AH86=1),MAX(0,(Slot2_Cost-AI86*(1+Slot2_Rate)^(Slot2_Age-D86))/IN86),0)</f>
        <v>0</v>
      </c>
      <c r="IP86" s="20" t="n">
        <f aca="false">IF(AND(HU86=1,IE86&gt;0,Slot2_IsWG=1,AH86=1),MIN(IE86,IO86),0)</f>
        <v>0</v>
      </c>
      <c r="IQ86" s="20" t="n">
        <f aca="false">AI86+IP86</f>
        <v>0</v>
      </c>
      <c r="IR86" s="20" t="n">
        <f aca="false">IF(AH86=1,MAX(0,(Slot2_Cost-IQ86*(1+Slot2_Rate)^(Slot2_Age-D86))/IN86),0)</f>
        <v>0</v>
      </c>
      <c r="IS86" s="20" t="n">
        <f aca="false">IF(AH86=1,MAX(0,(Slot2_Cost-AI86*(1+Slot2_Rate)^(Slot2_Age-D86))/IN86),0)</f>
        <v>0</v>
      </c>
      <c r="IT86" s="20" t="n">
        <f aca="false">IF(AND(HU86=1,AH86=1),MIN(IM86,IR86),0)</f>
        <v>0</v>
      </c>
      <c r="IU86" s="20" t="n">
        <f aca="false">IM86-IT86</f>
        <v>0</v>
      </c>
      <c r="IV86" s="20" t="n">
        <f aca="false">IF(AR86=1,IF(ABS((1+AS_Wage)/(1+Slot3_Rate)-1)&lt;0.000000000001,(Slot3_Age-D86)*(1+Slot3_Rate)^(Slot3_Age-D86),(1+Slot3_Rate)^(Slot3_Age-D86)*(1-((1+AS_Wage)/(1+Slot3_Rate))^(Slot3_Age-D86))/(1-(1+AS_Wage)/(1+Slot3_Rate))),1)</f>
        <v>1</v>
      </c>
      <c r="IW86" s="20" t="n">
        <f aca="false">IF(AND(HU86=1,IE86&gt;0,Slot3_IsWG=1,AR86=1),MAX(0,(Slot3_Cost-AS86*(1+Slot3_Rate)^(Slot3_Age-D86))/IV86),0)</f>
        <v>0</v>
      </c>
      <c r="IX86" s="20" t="n">
        <f aca="false">IF(AND(HU86=1,IE86&gt;0,Slot3_IsWG=1,AR86=1),MIN(IE86,IW86),0)</f>
        <v>0</v>
      </c>
      <c r="IY86" s="20" t="n">
        <f aca="false">AS86+IX86</f>
        <v>0</v>
      </c>
      <c r="IZ86" s="20" t="n">
        <f aca="false">IF(AR86=1,MAX(0,(Slot3_Cost-IY86*(1+Slot3_Rate)^(Slot3_Age-D86))/IV86),0)</f>
        <v>0</v>
      </c>
      <c r="JA86" s="20" t="n">
        <f aca="false">IF(AR86=1,MAX(0,(Slot3_Cost-AS86*(1+Slot3_Rate)^(Slot3_Age-D86))/IV86),0)</f>
        <v>0</v>
      </c>
      <c r="JB86" s="20" t="n">
        <f aca="false">IF(AND(HU86=1,AR86=1),MIN(IU86,IZ86),0)</f>
        <v>0</v>
      </c>
      <c r="JC86" s="20" t="n">
        <f aca="false">IU86-JB86</f>
        <v>0</v>
      </c>
      <c r="JD86" s="20" t="n">
        <f aca="false">IF(BB86=1,IF(ABS((1+AS_Wage)/(1+Slot4_Rate)-1)&lt;0.000000000001,(Slot4_Age-D86)*(1+Slot4_Rate)^(Slot4_Age-D86),(1+Slot4_Rate)^(Slot4_Age-D86)*(1-((1+AS_Wage)/(1+Slot4_Rate))^(Slot4_Age-D86))/(1-(1+AS_Wage)/(1+Slot4_Rate))),1)</f>
        <v>1</v>
      </c>
      <c r="JE86" s="20" t="n">
        <f aca="false">IF(AND(HU86=1,IE86&gt;0,Slot4_IsWG=1,BB86=1),MAX(0,(Slot4_Cost-BC86*(1+Slot4_Rate)^(Slot4_Age-D86))/JD86),0)</f>
        <v>0</v>
      </c>
      <c r="JF86" s="20" t="n">
        <f aca="false">IF(AND(HU86=1,IE86&gt;0,Slot4_IsWG=1,BB86=1),MIN(IE86,JE86),0)</f>
        <v>0</v>
      </c>
      <c r="JG86" s="20" t="n">
        <f aca="false">BC86+JF86</f>
        <v>0</v>
      </c>
      <c r="JH86" s="20" t="n">
        <f aca="false">IF(BB86=1,MAX(0,(Slot4_Cost-JG86*(1+Slot4_Rate)^(Slot4_Age-D86))/JD86),0)</f>
        <v>0</v>
      </c>
      <c r="JI86" s="20" t="n">
        <f aca="false">IF(BB86=1,MAX(0,(Slot4_Cost-BC86*(1+Slot4_Rate)^(Slot4_Age-D86))/JD86),0)</f>
        <v>0</v>
      </c>
      <c r="JJ86" s="20" t="n">
        <f aca="false">IF(AND(HU86=1,BB86=1),MIN(JC86,JH86),0)</f>
        <v>0</v>
      </c>
      <c r="JK86" s="20" t="n">
        <f aca="false">JC86-JJ86</f>
        <v>0</v>
      </c>
      <c r="JL86" s="20" t="n">
        <f aca="false">IF(BL86=1,IF(ABS((1+AS_Wage)/(1+Slot5_Rate)-1)&lt;0.000000000001,(Slot5_Age-D86)*(1+Slot5_Rate)^(Slot5_Age-D86),(1+Slot5_Rate)^(Slot5_Age-D86)*(1-((1+AS_Wage)/(1+Slot5_Rate))^(Slot5_Age-D86))/(1-(1+AS_Wage)/(1+Slot5_Rate))),1)</f>
        <v>1</v>
      </c>
      <c r="JM86" s="20" t="n">
        <f aca="false">IF(AND(HU86=1,IE86&gt;0,Slot5_IsWG=1,BL86=1),MAX(0,(Slot5_Cost-BM86*(1+Slot5_Rate)^(Slot5_Age-D86))/JL86),0)</f>
        <v>0</v>
      </c>
      <c r="JN86" s="20" t="n">
        <f aca="false">IF(AND(HU86=1,IE86&gt;0,Slot5_IsWG=1,BL86=1),MIN(IE86,JM86),0)</f>
        <v>0</v>
      </c>
      <c r="JO86" s="20" t="n">
        <f aca="false">BM86+JN86</f>
        <v>0</v>
      </c>
      <c r="JP86" s="20" t="n">
        <f aca="false">IF(BL86=1,MAX(0,(Slot5_Cost-JO86*(1+Slot5_Rate)^(Slot5_Age-D86))/JL86),0)</f>
        <v>0</v>
      </c>
      <c r="JQ86" s="20" t="n">
        <f aca="false">IF(BL86=1,MAX(0,(Slot5_Cost-BM86*(1+Slot5_Rate)^(Slot5_Age-D86))/JL86),0)</f>
        <v>0</v>
      </c>
      <c r="JR86" s="20" t="n">
        <f aca="false">IF(AND(HU86=1,BL86=1),MIN(JK86,JP86),0)</f>
        <v>0</v>
      </c>
      <c r="JS86" s="20" t="n">
        <f aca="false">JK86-JR86</f>
        <v>0</v>
      </c>
      <c r="JT86" s="20" t="n">
        <f aca="false">IF(BV86=1,IF(ABS((1+AS_Wage)/(1+Slot6_Rate)-1)&lt;0.000000000001,(Slot6_Age-D86)*(1+Slot6_Rate)^(Slot6_Age-D86),(1+Slot6_Rate)^(Slot6_Age-D86)*(1-((1+AS_Wage)/(1+Slot6_Rate))^(Slot6_Age-D86))/(1-(1+AS_Wage)/(1+Slot6_Rate))),1)</f>
        <v>1</v>
      </c>
      <c r="JU86" s="20" t="n">
        <f aca="false">IF(AND(HU86=1,IE86&gt;0,Slot6_IsWG=1,BV86=1),MAX(0,(Slot6_Cost-BW86*(1+Slot6_Rate)^(Slot6_Age-D86))/JT86),0)</f>
        <v>0</v>
      </c>
      <c r="JV86" s="20" t="n">
        <f aca="false">IF(AND(HU86=1,IE86&gt;0,Slot6_IsWG=1,BV86=1),MIN(IE86,JU86),0)</f>
        <v>0</v>
      </c>
      <c r="JW86" s="20" t="n">
        <f aca="false">BW86+JV86</f>
        <v>0</v>
      </c>
      <c r="JX86" s="20" t="n">
        <f aca="false">IF(BV86=1,MAX(0,(Slot6_Cost-JW86*(1+Slot6_Rate)^(Slot6_Age-D86))/JT86),0)</f>
        <v>0</v>
      </c>
      <c r="JY86" s="20" t="n">
        <f aca="false">IF(BV86=1,MAX(0,(Slot6_Cost-BW86*(1+Slot6_Rate)^(Slot6_Age-D86))/JT86),0)</f>
        <v>0</v>
      </c>
      <c r="JZ86" s="20" t="n">
        <f aca="false">IF(AND(HU86=1,BV86=1),MIN(JS86,JX86),0)</f>
        <v>0</v>
      </c>
      <c r="KA86" s="20" t="n">
        <f aca="false">JS86-JZ86</f>
        <v>0</v>
      </c>
      <c r="KB86" s="20" t="n">
        <f aca="false">IF(CF86=1,IF(ABS((1+AS_Wage)/(1+Slot7_Rate)-1)&lt;0.000000000001,(Slot7_Age-D86)*(1+Slot7_Rate)^(Slot7_Age-D86),(1+Slot7_Rate)^(Slot7_Age-D86)*(1-((1+AS_Wage)/(1+Slot7_Rate))^(Slot7_Age-D86))/(1-(1+AS_Wage)/(1+Slot7_Rate))),1)</f>
        <v>1</v>
      </c>
      <c r="KC86" s="20" t="n">
        <f aca="false">IF(AND(HU86=1,IE86&gt;0,Slot7_IsWG=1,CF86=1),MAX(0,(Slot7_Cost-CG86*(1+Slot7_Rate)^(Slot7_Age-D86))/KB86),0)</f>
        <v>0</v>
      </c>
      <c r="KD86" s="20" t="n">
        <f aca="false">IF(AND(HU86=1,IE86&gt;0,Slot7_IsWG=1,CF86=1),MIN(IE86,KC86),0)</f>
        <v>0</v>
      </c>
      <c r="KE86" s="20" t="n">
        <f aca="false">CG86+KD86</f>
        <v>0</v>
      </c>
      <c r="KF86" s="20" t="n">
        <f aca="false">IF(CF86=1,MAX(0,(Slot7_Cost-KE86*(1+Slot7_Rate)^(Slot7_Age-D86))/KB86),0)</f>
        <v>0</v>
      </c>
      <c r="KG86" s="20" t="n">
        <f aca="false">IF(CF86=1,MAX(0,(Slot7_Cost-CG86*(1+Slot7_Rate)^(Slot7_Age-D86))/KB86),0)</f>
        <v>0</v>
      </c>
      <c r="KH86" s="20" t="n">
        <f aca="false">IF(AND(HU86=1,CF86=1),MIN(KA86,KF86),0)</f>
        <v>0</v>
      </c>
      <c r="KI86" s="20" t="n">
        <f aca="false">KA86-KH86</f>
        <v>0</v>
      </c>
      <c r="KJ86" s="20" t="n">
        <f aca="false">IF(CP86=1,IF(ABS((1+AS_Wage)/(1+Slot8_Rate)-1)&lt;0.000000000001,(Slot8_Age-D86)*(1+Slot8_Rate)^(Slot8_Age-D86),(1+Slot8_Rate)^(Slot8_Age-D86)*(1-((1+AS_Wage)/(1+Slot8_Rate))^(Slot8_Age-D86))/(1-(1+AS_Wage)/(1+Slot8_Rate))),1)</f>
        <v>1</v>
      </c>
      <c r="KK86" s="20" t="n">
        <f aca="false">IF(AND(HU86=1,IE86&gt;0,Slot8_IsWG=1,CP86=1),MAX(0,(Slot8_Cost-CQ86*(1+Slot8_Rate)^(Slot8_Age-D86))/KJ86),0)</f>
        <v>0</v>
      </c>
      <c r="KL86" s="20" t="n">
        <f aca="false">IF(AND(HU86=1,IE86&gt;0,Slot8_IsWG=1,CP86=1),MIN(IE86,KK86),0)</f>
        <v>0</v>
      </c>
      <c r="KM86" s="20" t="n">
        <f aca="false">CQ86+KL86</f>
        <v>0</v>
      </c>
      <c r="KN86" s="20" t="n">
        <f aca="false">IF(CP86=1,MAX(0,(Slot8_Cost-KM86*(1+Slot8_Rate)^(Slot8_Age-D86))/KJ86),0)</f>
        <v>0</v>
      </c>
      <c r="KO86" s="20" t="n">
        <f aca="false">IF(CP86=1,MAX(0,(Slot8_Cost-CQ86*(1+Slot8_Rate)^(Slot8_Age-D86))/KJ86),0)</f>
        <v>0</v>
      </c>
      <c r="KP86" s="20" t="n">
        <f aca="false">IF(AND(HU86=1,CP86=1),MIN(KI86,KN86),0)</f>
        <v>0</v>
      </c>
      <c r="KQ86" s="20" t="n">
        <f aca="false">KI86-KP86</f>
        <v>0</v>
      </c>
      <c r="KR86" s="20" t="n">
        <f aca="false">IF(CZ86=1,IF(ABS((1+AS_Wage)/(1+Slot9_Rate)-1)&lt;0.000000000001,(Slot9_Age-D86)*(1+Slot9_Rate)^(Slot9_Age-D86),(1+Slot9_Rate)^(Slot9_Age-D86)*(1-((1+AS_Wage)/(1+Slot9_Rate))^(Slot9_Age-D86))/(1-(1+AS_Wage)/(1+Slot9_Rate))),1)</f>
        <v>1</v>
      </c>
      <c r="KS86" s="20" t="n">
        <f aca="false">IF(AND(HU86=1,IE86&gt;0,Slot9_IsWG=1,CZ86=1),MAX(0,(Slot9_Cost-DA86*(1+Slot9_Rate)^(Slot9_Age-D86))/KR86),0)</f>
        <v>0</v>
      </c>
      <c r="KT86" s="20" t="n">
        <f aca="false">IF(AND(HU86=1,IE86&gt;0,Slot9_IsWG=1,CZ86=1),MIN(IE86,KS86),0)</f>
        <v>0</v>
      </c>
      <c r="KU86" s="20" t="n">
        <f aca="false">DA86+KT86</f>
        <v>0</v>
      </c>
      <c r="KV86" s="20" t="n">
        <f aca="false">IF(CZ86=1,MAX(0,(Slot9_Cost-KU86*(1+Slot9_Rate)^(Slot9_Age-D86))/KR86),0)</f>
        <v>0</v>
      </c>
      <c r="KW86" s="20" t="n">
        <f aca="false">IF(CZ86=1,MAX(0,(Slot9_Cost-DA86*(1+Slot9_Rate)^(Slot9_Age-D86))/KR86),0)</f>
        <v>0</v>
      </c>
      <c r="KX86" s="20" t="n">
        <f aca="false">IF(AND(HU86=1,CZ86=1),MIN(KQ86,KV86),0)</f>
        <v>0</v>
      </c>
      <c r="KY86" s="20" t="n">
        <f aca="false">KQ86-KX86</f>
        <v>0</v>
      </c>
      <c r="KZ86" s="20" t="n">
        <f aca="false">IF(DJ86=1,IF(ABS((1+AS_Wage)/(1+Slot10_Rate)-1)&lt;0.000000000001,(Slot10_Age-D86)*(1+Slot10_Rate)^(Slot10_Age-D86),(1+Slot10_Rate)^(Slot10_Age-D86)*(1-((1+AS_Wage)/(1+Slot10_Rate))^(Slot10_Age-D86))/(1-(1+AS_Wage)/(1+Slot10_Rate))),1)</f>
        <v>1</v>
      </c>
      <c r="LA86" s="20" t="n">
        <f aca="false">IF(AND(HU86=1,IE86&gt;0,Slot10_IsWG=1,DJ86=1),MAX(0,(Slot10_Cost-DK86*(1+Slot10_Rate)^(Slot10_Age-D86))/KZ86),0)</f>
        <v>0</v>
      </c>
      <c r="LB86" s="20" t="n">
        <f aca="false">IF(AND(HU86=1,IE86&gt;0,Slot10_IsWG=1,DJ86=1),MIN(IE86,LA86),0)</f>
        <v>0</v>
      </c>
      <c r="LC86" s="20" t="n">
        <f aca="false">DK86+LB86</f>
        <v>0</v>
      </c>
      <c r="LD86" s="20" t="n">
        <f aca="false">IF(DJ86=1,MAX(0,(Slot10_Cost-LC86*(1+Slot10_Rate)^(Slot10_Age-D86))/KZ86),0)</f>
        <v>0</v>
      </c>
      <c r="LE86" s="20" t="n">
        <f aca="false">IF(DJ86=1,MAX(0,(Slot10_Cost-DK86*(1+Slot10_Rate)^(Slot10_Age-D86))/KZ86),0)</f>
        <v>0</v>
      </c>
      <c r="LF86" s="20" t="n">
        <f aca="false">IF(AND(HU86=1,DJ86=1),MIN(KY86,LD86),0)</f>
        <v>0</v>
      </c>
      <c r="LG86" s="20" t="n">
        <f aca="false">KY86-LF86</f>
        <v>0</v>
      </c>
      <c r="LH86" s="20" t="n">
        <f aca="false">IF(DT86=1,IF(ABS((1+AS_Wage)/(1+Slot11_Rate)-1)&lt;0.000000000001,(Slot11_Age-D86)*(1+Slot11_Rate)^(Slot11_Age-D86),(1+Slot11_Rate)^(Slot11_Age-D86)*(1-((1+AS_Wage)/(1+Slot11_Rate))^(Slot11_Age-D86))/(1-(1+AS_Wage)/(1+Slot11_Rate))),1)</f>
        <v>1</v>
      </c>
      <c r="LI86" s="20" t="n">
        <f aca="false">IF(AND(HU86=1,IE86&gt;0,Slot11_IsWG=1,DT86=1),MAX(0,(Slot11_Cost-DU86*(1+Slot11_Rate)^(Slot11_Age-D86))/LH86),0)</f>
        <v>0</v>
      </c>
      <c r="LJ86" s="20" t="n">
        <f aca="false">IF(AND(HU86=1,IE86&gt;0,Slot11_IsWG=1,DT86=1),MIN(IE86,LI86),0)</f>
        <v>0</v>
      </c>
      <c r="LK86" s="20" t="n">
        <f aca="false">DU86+LJ86</f>
        <v>0</v>
      </c>
      <c r="LL86" s="20" t="n">
        <f aca="false">IF(DT86=1,MAX(0,(Slot11_Cost-LK86*(1+Slot11_Rate)^(Slot11_Age-D86))/LH86),0)</f>
        <v>0</v>
      </c>
      <c r="LM86" s="20" t="n">
        <f aca="false">IF(DT86=1,MAX(0,(Slot11_Cost-DU86*(1+Slot11_Rate)^(Slot11_Age-D86))/LH86),0)</f>
        <v>0</v>
      </c>
      <c r="LN86" s="20" t="n">
        <f aca="false">IF(AND(HU86=1,DT86=1),MIN(LG86,LL86),0)</f>
        <v>0</v>
      </c>
      <c r="LO86" s="20" t="n">
        <f aca="false">LG86-LN86</f>
        <v>0</v>
      </c>
      <c r="LP86" s="20" t="n">
        <f aca="false">IF(ED86=1,IF(ABS((1+AS_Wage)/(1+Slot12_Rate)-1)&lt;0.000000000001,(Slot12_Age-D86)*(1+Slot12_Rate)^(Slot12_Age-D86),(1+Slot12_Rate)^(Slot12_Age-D86)*(1-((1+AS_Wage)/(1+Slot12_Rate))^(Slot12_Age-D86))/(1-(1+AS_Wage)/(1+Slot12_Rate))),1)</f>
        <v>1</v>
      </c>
      <c r="LQ86" s="20" t="n">
        <f aca="false">IF(AND(HU86=1,IE86&gt;0,Slot12_IsWG=1,ED86=1),MAX(0,(Slot12_Cost-EE86*(1+Slot12_Rate)^(Slot12_Age-D86))/LP86),0)</f>
        <v>0</v>
      </c>
      <c r="LR86" s="20" t="n">
        <f aca="false">IF(AND(HU86=1,IE86&gt;0,Slot12_IsWG=1,ED86=1),MIN(IE86,LQ86),0)</f>
        <v>0</v>
      </c>
      <c r="LS86" s="20" t="n">
        <f aca="false">EE86+LR86</f>
        <v>0</v>
      </c>
      <c r="LT86" s="20" t="n">
        <f aca="false">IF(ED86=1,MAX(0,(Slot12_Cost-LS86*(1+Slot12_Rate)^(Slot12_Age-D86))/LP86),0)</f>
        <v>0</v>
      </c>
      <c r="LU86" s="20" t="n">
        <f aca="false">IF(ED86=1,MAX(0,(Slot12_Cost-EE86*(1+Slot12_Rate)^(Slot12_Age-D86))/LP86),0)</f>
        <v>0</v>
      </c>
      <c r="LV86" s="20" t="n">
        <f aca="false">IF(AND(HU86=1,ED86=1),MIN(LO86,LT86),0)</f>
        <v>0</v>
      </c>
      <c r="LW86" s="20" t="n">
        <f aca="false">LO86-LV86</f>
        <v>0</v>
      </c>
      <c r="LX86" s="20" t="n">
        <f aca="false">IF(EN86=1,IF(ABS((1+AS_Wage)/(1+Slot13_Rate)-1)&lt;0.000000000001,(Slot13_Age-D86)*(1+Slot13_Rate)^(Slot13_Age-D86),(1+Slot13_Rate)^(Slot13_Age-D86)*(1-((1+AS_Wage)/(1+Slot13_Rate))^(Slot13_Age-D86))/(1-(1+AS_Wage)/(1+Slot13_Rate))),1)</f>
        <v>1</v>
      </c>
      <c r="LY86" s="20" t="n">
        <f aca="false">IF(AND(HU86=1,IE86&gt;0,Slot13_IsWG=1,EN86=1),MAX(0,(Slot13_Cost-EO86*(1+Slot13_Rate)^(Slot13_Age-D86))/LX86),0)</f>
        <v>0</v>
      </c>
      <c r="LZ86" s="20" t="n">
        <f aca="false">IF(AND(HU86=1,IE86&gt;0,Slot13_IsWG=1,EN86=1),MIN(IE86,LY86),0)</f>
        <v>0</v>
      </c>
      <c r="MA86" s="20" t="n">
        <f aca="false">EO86+LZ86</f>
        <v>0</v>
      </c>
      <c r="MB86" s="20" t="n">
        <f aca="false">IF(EN86=1,MAX(0,(Slot13_Cost-MA86*(1+Slot13_Rate)^(Slot13_Age-D86))/LX86),0)</f>
        <v>0</v>
      </c>
      <c r="MC86" s="20" t="n">
        <f aca="false">IF(EN86=1,MAX(0,(Slot13_Cost-EO86*(1+Slot13_Rate)^(Slot13_Age-D86))/LX86),0)</f>
        <v>0</v>
      </c>
      <c r="MD86" s="20" t="n">
        <f aca="false">IF(AND(HU86=1,EN86=1),MIN(LW86,MB86),0)</f>
        <v>0</v>
      </c>
      <c r="ME86" s="20" t="n">
        <f aca="false">LW86-MD86</f>
        <v>0</v>
      </c>
      <c r="MF86" s="20" t="n">
        <f aca="false">IF(EX86=1,IF(ABS((1+AS_Wage)/(1+Slot14_Rate)-1)&lt;0.000000000001,(Slot14_Age-D86)*(1+Slot14_Rate)^(Slot14_Age-D86),(1+Slot14_Rate)^(Slot14_Age-D86)*(1-((1+AS_Wage)/(1+Slot14_Rate))^(Slot14_Age-D86))/(1-(1+AS_Wage)/(1+Slot14_Rate))),1)</f>
        <v>1</v>
      </c>
      <c r="MG86" s="20" t="n">
        <f aca="false">IF(AND(HU86=1,IE86&gt;0,Slot14_IsWG=1,EX86=1),MAX(0,(Slot14_Cost-EY86*(1+Slot14_Rate)^(Slot14_Age-D86))/MF86),0)</f>
        <v>0</v>
      </c>
      <c r="MH86" s="20" t="n">
        <f aca="false">IF(AND(HU86=1,IE86&gt;0,Slot14_IsWG=1,EX86=1),MIN(IE86,MG86),0)</f>
        <v>0</v>
      </c>
      <c r="MI86" s="20" t="n">
        <f aca="false">EY86+MH86</f>
        <v>0</v>
      </c>
      <c r="MJ86" s="20" t="n">
        <f aca="false">IF(EX86=1,MAX(0,(Slot14_Cost-MI86*(1+Slot14_Rate)^(Slot14_Age-D86))/MF86),0)</f>
        <v>0</v>
      </c>
      <c r="MK86" s="20" t="n">
        <f aca="false">IF(EX86=1,MAX(0,(Slot14_Cost-EY86*(1+Slot14_Rate)^(Slot14_Age-D86))/MF86),0)</f>
        <v>0</v>
      </c>
      <c r="ML86" s="20" t="n">
        <f aca="false">IF(AND(HU86=1,EX86=1),MIN(ME86,MJ86),0)</f>
        <v>0</v>
      </c>
      <c r="MM86" s="20" t="n">
        <f aca="false">ME86-ML86</f>
        <v>0</v>
      </c>
      <c r="MN86" s="20" t="n">
        <f aca="false">IF(FH86=1,IF(ABS((1+AS_Wage)/(1+Slot15_Rate)-1)&lt;0.000000000001,(Slot15_Age-D86)*(1+Slot15_Rate)^(Slot15_Age-D86),(1+Slot15_Rate)^(Slot15_Age-D86)*(1-((1+AS_Wage)/(1+Slot15_Rate))^(Slot15_Age-D86))/(1-(1+AS_Wage)/(1+Slot15_Rate))),1)</f>
        <v>1</v>
      </c>
      <c r="MO86" s="20" t="n">
        <f aca="false">IF(AND(HU86=1,IE86&gt;0,Slot15_IsWG=1,FH86=1),MAX(0,(Slot15_Cost-FI86*(1+Slot15_Rate)^(Slot15_Age-D86))/MN86),0)</f>
        <v>0</v>
      </c>
      <c r="MP86" s="20" t="n">
        <f aca="false">IF(AND(HU86=1,IE86&gt;0,Slot15_IsWG=1,FH86=1),MIN(IE86,MO86),0)</f>
        <v>0</v>
      </c>
      <c r="MQ86" s="20" t="n">
        <f aca="false">FI86+MP86</f>
        <v>0</v>
      </c>
      <c r="MR86" s="20" t="n">
        <f aca="false">IF(FH86=1,MAX(0,(Slot15_Cost-MQ86*(1+Slot15_Rate)^(Slot15_Age-D86))/MN86),0)</f>
        <v>0</v>
      </c>
      <c r="MS86" s="20" t="n">
        <f aca="false">IF(FH86=1,MAX(0,(Slot15_Cost-FI86*(1+Slot15_Rate)^(Slot15_Age-D86))/MN86),0)</f>
        <v>0</v>
      </c>
      <c r="MT86" s="20" t="n">
        <f aca="false">IF(AND(HU86=1,FH86=1),MIN(MM86,MR86),0)</f>
        <v>0</v>
      </c>
      <c r="MU86" s="20" t="n">
        <f aca="false">MM86-MT86</f>
        <v>0</v>
      </c>
      <c r="MV86" s="20" t="n">
        <f aca="false">IF(FR86=1,IF(ABS((1+AS_Wage)/(1+Slot16_Rate)-1)&lt;0.000000000001,(Slot16_Age-D86)*(1+Slot16_Rate)^(Slot16_Age-D86),(1+Slot16_Rate)^(Slot16_Age-D86)*(1-((1+AS_Wage)/(1+Slot16_Rate))^(Slot16_Age-D86))/(1-(1+AS_Wage)/(1+Slot16_Rate))),1)</f>
        <v>1</v>
      </c>
      <c r="MW86" s="20" t="n">
        <f aca="false">IF(AND(HU86=1,IE86&gt;0,Slot16_IsWG=1,FR86=1),MAX(0,(Slot16_Cost-FS86*(1+Slot16_Rate)^(Slot16_Age-D86))/MV86),0)</f>
        <v>0</v>
      </c>
      <c r="MX86" s="20" t="n">
        <f aca="false">IF(AND(HU86=1,IE86&gt;0,Slot16_IsWG=1,FR86=1),MIN(IE86,MW86),0)</f>
        <v>0</v>
      </c>
      <c r="MY86" s="20" t="n">
        <f aca="false">FS86+MX86</f>
        <v>0</v>
      </c>
      <c r="MZ86" s="20" t="n">
        <f aca="false">IF(FR86=1,MAX(0,(Slot16_Cost-MY86*(1+Slot16_Rate)^(Slot16_Age-D86))/MV86),0)</f>
        <v>0</v>
      </c>
      <c r="NA86" s="20" t="n">
        <f aca="false">IF(FR86=1,MAX(0,(Slot16_Cost-FS86*(1+Slot16_Rate)^(Slot16_Age-D86))/MV86),0)</f>
        <v>0</v>
      </c>
      <c r="NB86" s="20" t="n">
        <f aca="false">IF(AND(HU86=1,FR86=1),MIN(MU86,MZ86),0)</f>
        <v>0</v>
      </c>
      <c r="NC86" s="20" t="n">
        <f aca="false">MU86-NB86</f>
        <v>0</v>
      </c>
      <c r="ND86" s="20" t="n">
        <f aca="false">IF(GB86=1,IF(ABS((1+AS_Wage)/(1+Slot17_Rate)-1)&lt;0.000000000001,(Slot17_Age-D86)*(1+Slot17_Rate)^(Slot17_Age-D86),(1+Slot17_Rate)^(Slot17_Age-D86)*(1-((1+AS_Wage)/(1+Slot17_Rate))^(Slot17_Age-D86))/(1-(1+AS_Wage)/(1+Slot17_Rate))),1)</f>
        <v>1</v>
      </c>
      <c r="NE86" s="20" t="n">
        <f aca="false">IF(AND(HU86=1,IE86&gt;0,Slot17_IsWG=1,GB86=1),MAX(0,(Slot17_Cost-GC86*(1+Slot17_Rate)^(Slot17_Age-D86))/ND86),0)</f>
        <v>0</v>
      </c>
      <c r="NF86" s="20" t="n">
        <f aca="false">IF(AND(HU86=1,IE86&gt;0,Slot17_IsWG=1,GB86=1),MIN(IE86,NE86),0)</f>
        <v>0</v>
      </c>
      <c r="NG86" s="20" t="n">
        <f aca="false">GC86+NF86</f>
        <v>0</v>
      </c>
      <c r="NH86" s="20" t="n">
        <f aca="false">IF(GB86=1,MAX(0,(Slot17_Cost-NG86*(1+Slot17_Rate)^(Slot17_Age-D86))/ND86),0)</f>
        <v>0</v>
      </c>
      <c r="NI86" s="20" t="n">
        <f aca="false">IF(GB86=1,MAX(0,(Slot17_Cost-GC86*(1+Slot17_Rate)^(Slot17_Age-D86))/ND86),0)</f>
        <v>0</v>
      </c>
      <c r="NJ86" s="20" t="n">
        <f aca="false">IF(AND(HU86=1,GB86=1),MIN(NC86,NH86),0)</f>
        <v>0</v>
      </c>
      <c r="NK86" s="20" t="n">
        <f aca="false">NC86-NJ86</f>
        <v>0</v>
      </c>
      <c r="NL86" s="20" t="n">
        <f aca="false">IF(GL86=1,IF(ABS((1+AS_Wage)/(1+Slot18_Rate)-1)&lt;0.000000000001,(Slot18_Age-D86)*(1+Slot18_Rate)^(Slot18_Age-D86),(1+Slot18_Rate)^(Slot18_Age-D86)*(1-((1+AS_Wage)/(1+Slot18_Rate))^(Slot18_Age-D86))/(1-(1+AS_Wage)/(1+Slot18_Rate))),1)</f>
        <v>1</v>
      </c>
      <c r="NM86" s="20" t="n">
        <f aca="false">IF(AND(HU86=1,IE86&gt;0,Slot18_IsWG=1,GL86=1),MAX(0,(Slot18_Cost-GM86*(1+Slot18_Rate)^(Slot18_Age-D86))/NL86),0)</f>
        <v>0</v>
      </c>
      <c r="NN86" s="20" t="n">
        <f aca="false">IF(AND(HU86=1,IE86&gt;0,Slot18_IsWG=1,GL86=1),MIN(IE86,NM86),0)</f>
        <v>0</v>
      </c>
      <c r="NO86" s="20" t="n">
        <f aca="false">GM86+NN86</f>
        <v>0</v>
      </c>
      <c r="NP86" s="20" t="n">
        <f aca="false">IF(GL86=1,MAX(0,(Slot18_Cost-NO86*(1+Slot18_Rate)^(Slot18_Age-D86))/NL86),0)</f>
        <v>0</v>
      </c>
      <c r="NQ86" s="20" t="n">
        <f aca="false">IF(GL86=1,MAX(0,(Slot18_Cost-GM86*(1+Slot18_Rate)^(Slot18_Age-D86))/NL86),0)</f>
        <v>0</v>
      </c>
      <c r="NR86" s="20" t="n">
        <f aca="false">IF(AND(HU86=1,GL86=1),MIN(NK86,NP86),0)</f>
        <v>0</v>
      </c>
      <c r="NS86" s="20" t="n">
        <f aca="false">NK86-NR86</f>
        <v>0</v>
      </c>
      <c r="NT86" s="20" t="n">
        <f aca="false">IF(GV86=1,IF(ABS((1+AS_Wage)/(1+Slot19_Rate)-1)&lt;0.000000000001,(Slot19_Age-D86)*(1+Slot19_Rate)^(Slot19_Age-D86),(1+Slot19_Rate)^(Slot19_Age-D86)*(1-((1+AS_Wage)/(1+Slot19_Rate))^(Slot19_Age-D86))/(1-(1+AS_Wage)/(1+Slot19_Rate))),1)</f>
        <v>1</v>
      </c>
      <c r="NU86" s="20" t="n">
        <f aca="false">IF(AND(HU86=1,IE86&gt;0,Slot19_IsWG=1,GV86=1),MAX(0,(Slot19_Cost-GW86*(1+Slot19_Rate)^(Slot19_Age-D86))/NT86),0)</f>
        <v>0</v>
      </c>
      <c r="NV86" s="20" t="n">
        <f aca="false">IF(AND(HU86=1,IE86&gt;0,Slot19_IsWG=1,GV86=1),MIN(IE86,NU86),0)</f>
        <v>0</v>
      </c>
      <c r="NW86" s="20" t="n">
        <f aca="false">GW86+NV86</f>
        <v>0</v>
      </c>
      <c r="NX86" s="20" t="n">
        <f aca="false">IF(GV86=1,MAX(0,(Slot19_Cost-NW86*(1+Slot19_Rate)^(Slot19_Age-D86))/NT86),0)</f>
        <v>0</v>
      </c>
      <c r="NY86" s="20" t="n">
        <f aca="false">IF(GV86=1,MAX(0,(Slot19_Cost-GW86*(1+Slot19_Rate)^(Slot19_Age-D86))/NT86),0)</f>
        <v>0</v>
      </c>
      <c r="NZ86" s="20" t="n">
        <f aca="false">IF(AND(HU86=1,GV86=1),MIN(NS86,NX86),0)</f>
        <v>0</v>
      </c>
      <c r="OA86" s="20" t="n">
        <f aca="false">NS86-NZ86</f>
        <v>0</v>
      </c>
      <c r="OB86" s="20" t="n">
        <f aca="false">IF(HF86=1,IF(ABS((1+AS_Wage)/(1+Slot20_Rate)-1)&lt;0.000000000001,(Slot20_Age-D86)*(1+Slot20_Rate)^(Slot20_Age-D86),(1+Slot20_Rate)^(Slot20_Age-D86)*(1-((1+AS_Wage)/(1+Slot20_Rate))^(Slot20_Age-D86))/(1-(1+AS_Wage)/(1+Slot20_Rate))),1)</f>
        <v>1</v>
      </c>
      <c r="OC86" s="20" t="n">
        <f aca="false">IF(AND(HU86=1,IE86&gt;0,Slot20_IsWG=1,HF86=1),MAX(0,(Slot20_Cost-HG86*(1+Slot20_Rate)^(Slot20_Age-D86))/OB86),0)</f>
        <v>0</v>
      </c>
      <c r="OD86" s="20" t="n">
        <f aca="false">IF(AND(HU86=1,IE86&gt;0,Slot20_IsWG=1,HF86=1),MIN(IE86,OC86),0)</f>
        <v>0</v>
      </c>
      <c r="OE86" s="20" t="n">
        <f aca="false">HG86+OD86</f>
        <v>0</v>
      </c>
      <c r="OF86" s="20" t="n">
        <f aca="false">IF(HF86=1,MAX(0,(Slot20_Cost-OE86*(1+Slot20_Rate)^(Slot20_Age-D86))/OB86),0)</f>
        <v>0</v>
      </c>
      <c r="OG86" s="20" t="n">
        <f aca="false">IF(HF86=1,MAX(0,(Slot20_Cost-HG86*(1+Slot20_Rate)^(Slot20_Age-D86))/OB86),0)</f>
        <v>0</v>
      </c>
      <c r="OH86" s="20" t="n">
        <f aca="false">IF(AND(HU86=1,HF86=1),MIN(OA86,OF86),0)</f>
        <v>0</v>
      </c>
      <c r="OI86" s="20" t="n">
        <f aca="false">OA86-OH86</f>
        <v>0</v>
      </c>
      <c r="OJ86" s="20" t="n">
        <f aca="false">IE86-(IH86+IP86+IX86+JF86+JN86+JV86+KD86+KL86+KT86+LB86+LJ86+LR86+LZ86+MH86+MP86+MX86+NF86+NN86+NV86+OD86)</f>
        <v>0</v>
      </c>
      <c r="OK86" s="20" t="n">
        <f aca="false">IF(HU86=1,HS86-ID86-IE86,0)</f>
        <v>0</v>
      </c>
      <c r="OL86" s="20" t="n">
        <f aca="false">IF(HU86=0,-HS86,0)</f>
        <v>90280.5368805827</v>
      </c>
      <c r="OM86" s="20" t="n">
        <f aca="false">MIN(OL86,HK86)</f>
        <v>0</v>
      </c>
      <c r="ON86" s="20" t="n">
        <f aca="false">OL86-OM86</f>
        <v>90280.5368805827</v>
      </c>
      <c r="OO86" s="20" t="n">
        <f aca="false">MIN(ON86,HL86)</f>
        <v>0</v>
      </c>
      <c r="OP86" s="20" t="n">
        <f aca="false">ON86-OO86</f>
        <v>90280.5368805827</v>
      </c>
      <c r="OQ86" s="20" t="n">
        <f aca="false">IF(AND(HU86=0,HF86=1,OP86&gt;0),MIN(OP86,HG86),0)</f>
        <v>0</v>
      </c>
      <c r="OR86" s="20" t="n">
        <f aca="false">OP86-OQ86</f>
        <v>90280.5368805827</v>
      </c>
      <c r="OS86" s="20" t="n">
        <f aca="false">IF(AND(HU86=0,GV86=1,OR86&gt;0),MIN(OR86,GW86),0)</f>
        <v>0</v>
      </c>
      <c r="OT86" s="20" t="n">
        <f aca="false">OR86-OS86</f>
        <v>90280.5368805827</v>
      </c>
      <c r="OU86" s="20" t="n">
        <f aca="false">IF(AND(HU86=0,GL86=1,OT86&gt;0),MIN(OT86,GM86),0)</f>
        <v>0</v>
      </c>
      <c r="OV86" s="20" t="n">
        <f aca="false">OT86-OU86</f>
        <v>90280.5368805827</v>
      </c>
      <c r="OW86" s="20" t="n">
        <f aca="false">IF(AND(HU86=0,GB86=1,OV86&gt;0),MIN(OV86,GC86),0)</f>
        <v>0</v>
      </c>
      <c r="OX86" s="20" t="n">
        <f aca="false">OV86-OW86</f>
        <v>90280.5368805827</v>
      </c>
      <c r="OY86" s="20" t="n">
        <f aca="false">IF(AND(HU86=0,FR86=1,OX86&gt;0),MIN(OX86,FS86),0)</f>
        <v>0</v>
      </c>
      <c r="OZ86" s="20" t="n">
        <f aca="false">OX86-OY86</f>
        <v>90280.5368805827</v>
      </c>
      <c r="PA86" s="20" t="n">
        <f aca="false">IF(AND(HU86=0,FH86=1,OZ86&gt;0),MIN(OZ86,FI86),0)</f>
        <v>0</v>
      </c>
      <c r="PB86" s="20" t="n">
        <f aca="false">OZ86-PA86</f>
        <v>90280.5368805827</v>
      </c>
      <c r="PC86" s="20" t="n">
        <f aca="false">IF(AND(HU86=0,EX86=1,PB86&gt;0),MIN(PB86,EY86),0)</f>
        <v>0</v>
      </c>
      <c r="PD86" s="20" t="n">
        <f aca="false">PB86-PC86</f>
        <v>90280.5368805827</v>
      </c>
      <c r="PE86" s="20" t="n">
        <f aca="false">IF(AND(HU86=0,EN86=1,PD86&gt;0),MIN(PD86,EO86),0)</f>
        <v>0</v>
      </c>
      <c r="PF86" s="20" t="n">
        <f aca="false">PD86-PE86</f>
        <v>90280.5368805827</v>
      </c>
      <c r="PG86" s="20" t="n">
        <f aca="false">IF(AND(HU86=0,ED86=1,PF86&gt;0),MIN(PF86,EE86),0)</f>
        <v>0</v>
      </c>
      <c r="PH86" s="20" t="n">
        <f aca="false">PF86-PG86</f>
        <v>90280.5368805827</v>
      </c>
      <c r="PI86" s="20" t="n">
        <f aca="false">IF(AND(HU86=0,DT86=1,PH86&gt;0),MIN(PH86,DU86),0)</f>
        <v>0</v>
      </c>
      <c r="PJ86" s="20" t="n">
        <f aca="false">PH86-PI86</f>
        <v>90280.5368805827</v>
      </c>
      <c r="PK86" s="20" t="n">
        <f aca="false">IF(AND(HU86=0,DJ86=1,PJ86&gt;0),MIN(PJ86,DK86),0)</f>
        <v>0</v>
      </c>
      <c r="PL86" s="20" t="n">
        <f aca="false">PJ86-PK86</f>
        <v>90280.5368805827</v>
      </c>
      <c r="PM86" s="20" t="n">
        <f aca="false">IF(AND(HU86=0,CZ86=1,PL86&gt;0),MIN(PL86,DA86),0)</f>
        <v>0</v>
      </c>
      <c r="PN86" s="20" t="n">
        <f aca="false">PL86-PM86</f>
        <v>90280.5368805827</v>
      </c>
      <c r="PO86" s="20" t="n">
        <f aca="false">IF(AND(HU86=0,CP86=1,PN86&gt;0),MIN(PN86,CQ86),0)</f>
        <v>0</v>
      </c>
      <c r="PP86" s="20" t="n">
        <f aca="false">PN86-PO86</f>
        <v>90280.5368805827</v>
      </c>
      <c r="PQ86" s="20" t="n">
        <f aca="false">IF(AND(HU86=0,CF86=1,PP86&gt;0),MIN(PP86,CG86),0)</f>
        <v>0</v>
      </c>
      <c r="PR86" s="20" t="n">
        <f aca="false">PP86-PQ86</f>
        <v>90280.5368805827</v>
      </c>
      <c r="PS86" s="20" t="n">
        <f aca="false">IF(AND(HU86=0,BV86=1,PR86&gt;0),MIN(PR86,BW86),0)</f>
        <v>0</v>
      </c>
      <c r="PT86" s="20" t="n">
        <f aca="false">PR86-PS86</f>
        <v>90280.5368805827</v>
      </c>
      <c r="PU86" s="20" t="n">
        <f aca="false">IF(AND(HU86=0,BL86=1,PT86&gt;0),MIN(PT86,BM86),0)</f>
        <v>0</v>
      </c>
      <c r="PV86" s="20" t="n">
        <f aca="false">PT86-PU86</f>
        <v>90280.5368805827</v>
      </c>
      <c r="PW86" s="20" t="n">
        <f aca="false">IF(AND(HU86=0,BB86=1,PV86&gt;0),MIN(PV86,BC86),0)</f>
        <v>0</v>
      </c>
      <c r="PX86" s="20" t="n">
        <f aca="false">PV86-PW86</f>
        <v>90280.5368805827</v>
      </c>
      <c r="PY86" s="20" t="n">
        <f aca="false">IF(AND(HU86=0,AR86=1,PX86&gt;0),MIN(PX86,AS86),0)</f>
        <v>0</v>
      </c>
      <c r="PZ86" s="20" t="n">
        <f aca="false">PX86-PY86</f>
        <v>90280.5368805827</v>
      </c>
      <c r="QA86" s="20" t="n">
        <f aca="false">IF(AND(HU86=0,AH86=1,PZ86&gt;0),MIN(PZ86,AI86),0)</f>
        <v>0</v>
      </c>
      <c r="QB86" s="20" t="n">
        <f aca="false">PZ86-QA86</f>
        <v>90280.5368805827</v>
      </c>
      <c r="QC86" s="20" t="n">
        <f aca="false">IF(AND(HU86=0,W86=1,QB86&gt;0),MIN(QB86,X86),0)</f>
        <v>0</v>
      </c>
      <c r="QD86" s="20" t="n">
        <f aca="false">QB86-QC86</f>
        <v>90280.5368805827</v>
      </c>
      <c r="QE86" s="20" t="n">
        <f aca="false">IF(HU86=0,QD86,0)</f>
        <v>90280.5368805827</v>
      </c>
      <c r="QF86" s="20" t="n">
        <f aca="false">OM86+OO86+QC86+QA86+PY86+PW86+PU86+PS86+PQ86+PO86+PM86+PK86+PI86+PG86+PE86+PC86+PA86+OY86+OW86+OU86+OS86+OQ86</f>
        <v>0</v>
      </c>
      <c r="QG86" s="20" t="n">
        <f aca="false">IF(HU86=1,HK86+OJ86+OI86+IF(G86=1,0,OK86),HK86-OM86)</f>
        <v>0</v>
      </c>
      <c r="QH86" s="20" t="n">
        <f aca="false">HL86-OO86</f>
        <v>0</v>
      </c>
      <c r="QI86" s="20" t="n">
        <f aca="false">IF(HU86=1,IF(G86=1,ID86+IE86,HS86),0)</f>
        <v>0</v>
      </c>
      <c r="QJ86" s="20" t="n">
        <f aca="false">IF(HU86=1,IF(G86=1,HS86-ID86-IE86,0),0)</f>
        <v>0</v>
      </c>
      <c r="QK86" s="20" t="n">
        <f aca="false">QG86*(1+GR)</f>
        <v>0</v>
      </c>
      <c r="QL86" s="20" t="n">
        <f aca="false">QH86*(1+AS_Cash)</f>
        <v>0</v>
      </c>
      <c r="QM86" s="20" t="n">
        <f aca="false">IF(W86=1,IF(HU86=1,II86+IL86,X86-QC86)*(1+Slot1_Rate),0)</f>
        <v>0</v>
      </c>
      <c r="QN86" s="20" t="n">
        <f aca="false">IF(AND(HU86=1,W86=1),(IH86+IL86)/F86,0)</f>
        <v>0</v>
      </c>
      <c r="QO86" s="20" t="n">
        <f aca="false">IF(B86=0,IH86+IL86,0)</f>
        <v>0</v>
      </c>
      <c r="QP86" s="20" t="n">
        <f aca="false">IF(B86=0,IF(HU86=1,IJ86,IK86),0)</f>
        <v>0</v>
      </c>
      <c r="QQ86" s="20" t="n">
        <f aca="false">IF(AH86=1,IF(HU86=1,IQ86+IT86,AI86-QA86)*(1+Slot2_Rate),0)</f>
        <v>0</v>
      </c>
      <c r="QR86" s="20" t="n">
        <f aca="false">IF(AND(HU86=1,AH86=1),(IP86+IT86)/F86,0)</f>
        <v>0</v>
      </c>
      <c r="QS86" s="20" t="n">
        <f aca="false">IF(B86=0,IP86+IT86,0)</f>
        <v>0</v>
      </c>
      <c r="QT86" s="20" t="n">
        <f aca="false">IF(B86=0,IF(HU86=1,IR86,IS86),0)</f>
        <v>0</v>
      </c>
      <c r="QU86" s="20" t="n">
        <f aca="false">IF(AR86=1,IF(HU86=1,IY86+JB86,AS86-PY86)*(1+Slot3_Rate),0)</f>
        <v>0</v>
      </c>
      <c r="QV86" s="20" t="n">
        <f aca="false">IF(AND(HU86=1,AR86=1),(IX86+JB86)/F86,0)</f>
        <v>0</v>
      </c>
      <c r="QW86" s="20" t="n">
        <f aca="false">IF(B86=0,IX86+JB86,0)</f>
        <v>0</v>
      </c>
      <c r="QX86" s="20" t="n">
        <f aca="false">IF(B86=0,IF(HU86=1,IZ86,JA86),0)</f>
        <v>0</v>
      </c>
      <c r="QY86" s="20" t="n">
        <f aca="false">IF(BB86=1,IF(HU86=1,JG86+JJ86,BC86-PW86)*(1+Slot4_Rate),0)</f>
        <v>0</v>
      </c>
      <c r="QZ86" s="20" t="n">
        <f aca="false">IF(AND(HU86=1,BB86=1),(JF86+JJ86)/F86,0)</f>
        <v>0</v>
      </c>
      <c r="RA86" s="20" t="n">
        <f aca="false">IF(B86=0,JF86+JJ86,0)</f>
        <v>0</v>
      </c>
      <c r="RB86" s="20" t="n">
        <f aca="false">IF(B86=0,IF(HU86=1,JH86,JI86),0)</f>
        <v>0</v>
      </c>
      <c r="RC86" s="20" t="n">
        <f aca="false">IF(BL86=1,IF(HU86=1,JO86+JR86,BM86-PU86)*(1+Slot5_Rate),0)</f>
        <v>0</v>
      </c>
      <c r="RD86" s="20" t="n">
        <f aca="false">IF(AND(HU86=1,BL86=1),(JN86+JR86)/F86,0)</f>
        <v>0</v>
      </c>
      <c r="RE86" s="20" t="n">
        <f aca="false">IF(B86=0,JN86+JR86,0)</f>
        <v>0</v>
      </c>
      <c r="RF86" s="20" t="n">
        <f aca="false">IF(B86=0,IF(HU86=1,JP86,JQ86),0)</f>
        <v>0</v>
      </c>
      <c r="RG86" s="20" t="n">
        <f aca="false">IF(BV86=1,IF(HU86=1,JW86+JZ86,BW86-PS86)*(1+Slot6_Rate),0)</f>
        <v>0</v>
      </c>
      <c r="RH86" s="20" t="n">
        <f aca="false">IF(AND(HU86=1,BV86=1),(JV86+JZ86)/F86,0)</f>
        <v>0</v>
      </c>
      <c r="RI86" s="20" t="n">
        <f aca="false">IF(B86=0,JV86+JZ86,0)</f>
        <v>0</v>
      </c>
      <c r="RJ86" s="20" t="n">
        <f aca="false">IF(B86=0,IF(HU86=1,JX86,JY86),0)</f>
        <v>0</v>
      </c>
      <c r="RK86" s="20" t="n">
        <f aca="false">IF(CF86=1,IF(HU86=1,KE86+KH86,CG86-PQ86)*(1+Slot7_Rate),0)</f>
        <v>0</v>
      </c>
      <c r="RL86" s="20" t="n">
        <f aca="false">IF(AND(HU86=1,CF86=1),(KD86+KH86)/F86,0)</f>
        <v>0</v>
      </c>
      <c r="RM86" s="20" t="n">
        <f aca="false">IF(B86=0,KD86+KH86,0)</f>
        <v>0</v>
      </c>
      <c r="RN86" s="20" t="n">
        <f aca="false">IF(B86=0,IF(HU86=1,KF86,KG86),0)</f>
        <v>0</v>
      </c>
      <c r="RO86" s="20" t="n">
        <f aca="false">IF(CP86=1,IF(HU86=1,KM86+KP86,CQ86-PO86)*(1+Slot8_Rate),0)</f>
        <v>0</v>
      </c>
      <c r="RP86" s="20" t="n">
        <f aca="false">IF(AND(HU86=1,CP86=1),(KL86+KP86)/F86,0)</f>
        <v>0</v>
      </c>
      <c r="RQ86" s="20" t="n">
        <f aca="false">IF(B86=0,KL86+KP86,0)</f>
        <v>0</v>
      </c>
      <c r="RR86" s="20" t="n">
        <f aca="false">IF(B86=0,IF(HU86=1,KN86,KO86),0)</f>
        <v>0</v>
      </c>
      <c r="RS86" s="20" t="n">
        <f aca="false">IF(CZ86=1,IF(HU86=1,KU86+KX86,DA86-PM86)*(1+Slot9_Rate),0)</f>
        <v>0</v>
      </c>
      <c r="RT86" s="20" t="n">
        <f aca="false">IF(AND(HU86=1,CZ86=1),(KT86+KX86)/F86,0)</f>
        <v>0</v>
      </c>
      <c r="RU86" s="20" t="n">
        <f aca="false">IF(B86=0,KT86+KX86,0)</f>
        <v>0</v>
      </c>
      <c r="RV86" s="20" t="n">
        <f aca="false">IF(B86=0,IF(HU86=1,KV86,KW86),0)</f>
        <v>0</v>
      </c>
      <c r="RW86" s="20" t="n">
        <f aca="false">IF(DJ86=1,IF(HU86=1,LC86+LF86,DK86-PK86)*(1+Slot10_Rate),0)</f>
        <v>0</v>
      </c>
      <c r="RX86" s="20" t="n">
        <f aca="false">IF(AND(HU86=1,DJ86=1),(LB86+LF86)/F86,0)</f>
        <v>0</v>
      </c>
      <c r="RY86" s="20" t="n">
        <f aca="false">IF(B86=0,LB86+LF86,0)</f>
        <v>0</v>
      </c>
      <c r="RZ86" s="20" t="n">
        <f aca="false">IF(B86=0,IF(HU86=1,LD86,LE86),0)</f>
        <v>0</v>
      </c>
      <c r="SA86" s="20" t="n">
        <f aca="false">IF(DT86=1,IF(HU86=1,LK86+LN86,DU86-PI86)*(1+Slot11_Rate),0)</f>
        <v>0</v>
      </c>
      <c r="SB86" s="20" t="n">
        <f aca="false">IF(AND(HU86=1,DT86=1),(LJ86+LN86)/F86,0)</f>
        <v>0</v>
      </c>
      <c r="SC86" s="20" t="n">
        <f aca="false">IF(B86=0,LJ86+LN86,0)</f>
        <v>0</v>
      </c>
      <c r="SD86" s="20" t="n">
        <f aca="false">IF(B86=0,IF(HU86=1,LL86,LM86),0)</f>
        <v>0</v>
      </c>
      <c r="SE86" s="20" t="n">
        <f aca="false">IF(ED86=1,IF(HU86=1,LS86+LV86,EE86-PG86)*(1+Slot12_Rate),0)</f>
        <v>0</v>
      </c>
      <c r="SF86" s="20" t="n">
        <f aca="false">IF(AND(HU86=1,ED86=1),(LR86+LV86)/F86,0)</f>
        <v>0</v>
      </c>
      <c r="SG86" s="20" t="n">
        <f aca="false">IF(B86=0,LR86+LV86,0)</f>
        <v>0</v>
      </c>
      <c r="SH86" s="20" t="n">
        <f aca="false">IF(B86=0,IF(HU86=1,LT86,LU86),0)</f>
        <v>0</v>
      </c>
      <c r="SI86" s="20" t="n">
        <f aca="false">IF(EN86=1,IF(HU86=1,MA86+MD86,EO86-PE86)*(1+Slot13_Rate),0)</f>
        <v>0</v>
      </c>
      <c r="SJ86" s="20" t="n">
        <f aca="false">IF(AND(HU86=1,EN86=1),(LZ86+MD86)/F86,0)</f>
        <v>0</v>
      </c>
      <c r="SK86" s="20" t="n">
        <f aca="false">IF(B86=0,LZ86+MD86,0)</f>
        <v>0</v>
      </c>
      <c r="SL86" s="20" t="n">
        <f aca="false">IF(B86=0,IF(HU86=1,MB86,MC86),0)</f>
        <v>0</v>
      </c>
      <c r="SM86" s="20" t="n">
        <f aca="false">IF(EX86=1,IF(HU86=1,MI86+ML86,EY86-PC86)*(1+Slot14_Rate),0)</f>
        <v>0</v>
      </c>
      <c r="SN86" s="20" t="n">
        <f aca="false">IF(AND(HU86=1,EX86=1),(MH86+ML86)/F86,0)</f>
        <v>0</v>
      </c>
      <c r="SO86" s="20" t="n">
        <f aca="false">IF(B86=0,MH86+ML86,0)</f>
        <v>0</v>
      </c>
      <c r="SP86" s="20" t="n">
        <f aca="false">IF(B86=0,IF(HU86=1,MJ86,MK86),0)</f>
        <v>0</v>
      </c>
      <c r="SQ86" s="20" t="n">
        <f aca="false">IF(FH86=1,IF(HU86=1,MQ86+MT86,FI86-PA86)*(1+Slot15_Rate),0)</f>
        <v>0</v>
      </c>
      <c r="SR86" s="20" t="n">
        <f aca="false">IF(AND(HU86=1,FH86=1),(MP86+MT86)/F86,0)</f>
        <v>0</v>
      </c>
      <c r="SS86" s="20" t="n">
        <f aca="false">IF(B86=0,MP86+MT86,0)</f>
        <v>0</v>
      </c>
      <c r="ST86" s="20" t="n">
        <f aca="false">IF(B86=0,IF(HU86=1,MR86,MS86),0)</f>
        <v>0</v>
      </c>
      <c r="SU86" s="20" t="n">
        <f aca="false">IF(FR86=1,IF(HU86=1,MY86+NB86,FS86-OY86)*(1+Slot16_Rate),0)</f>
        <v>0</v>
      </c>
      <c r="SV86" s="20" t="n">
        <f aca="false">IF(AND(HU86=1,FR86=1),(MX86+NB86)/F86,0)</f>
        <v>0</v>
      </c>
      <c r="SW86" s="20" t="n">
        <f aca="false">IF(B86=0,MX86+NB86,0)</f>
        <v>0</v>
      </c>
      <c r="SX86" s="20" t="n">
        <f aca="false">IF(B86=0,IF(HU86=1,MZ86,NA86),0)</f>
        <v>0</v>
      </c>
      <c r="SY86" s="20" t="n">
        <f aca="false">IF(GB86=1,IF(HU86=1,NG86+NJ86,GC86-OW86)*(1+Slot17_Rate),0)</f>
        <v>0</v>
      </c>
      <c r="SZ86" s="20" t="n">
        <f aca="false">IF(AND(HU86=1,GB86=1),(NF86+NJ86)/F86,0)</f>
        <v>0</v>
      </c>
      <c r="TA86" s="20" t="n">
        <f aca="false">IF(B86=0,NF86+NJ86,0)</f>
        <v>0</v>
      </c>
      <c r="TB86" s="20" t="n">
        <f aca="false">IF(B86=0,IF(HU86=1,NH86,NI86),0)</f>
        <v>0</v>
      </c>
      <c r="TC86" s="20" t="n">
        <f aca="false">IF(GL86=1,IF(HU86=1,NO86+NR86,GM86-OU86)*(1+Slot18_Rate),0)</f>
        <v>0</v>
      </c>
      <c r="TD86" s="20" t="n">
        <f aca="false">IF(AND(HU86=1,GL86=1),(NN86+NR86)/F86,0)</f>
        <v>0</v>
      </c>
      <c r="TE86" s="20" t="n">
        <f aca="false">IF(B86=0,NN86+NR86,0)</f>
        <v>0</v>
      </c>
      <c r="TF86" s="20" t="n">
        <f aca="false">IF(B86=0,IF(HU86=1,NP86,NQ86),0)</f>
        <v>0</v>
      </c>
      <c r="TG86" s="20" t="n">
        <f aca="false">IF(GV86=1,IF(HU86=1,NW86+NZ86,GW86-OS86)*(1+Slot19_Rate),0)</f>
        <v>0</v>
      </c>
      <c r="TH86" s="20" t="n">
        <f aca="false">IF(AND(HU86=1,GV86=1),(NV86+NZ86)/F86,0)</f>
        <v>0</v>
      </c>
      <c r="TI86" s="20" t="n">
        <f aca="false">IF(B86=0,NV86+NZ86,0)</f>
        <v>0</v>
      </c>
      <c r="TJ86" s="20" t="n">
        <f aca="false">IF(B86=0,IF(HU86=1,NX86,NY86),0)</f>
        <v>0</v>
      </c>
      <c r="TK86" s="20" t="n">
        <f aca="false">IF(HF86=1,IF(HU86=1,OE86+OH86,HG86-OQ86)*(1+Slot20_Rate),0)</f>
        <v>0</v>
      </c>
      <c r="TL86" s="20" t="n">
        <f aca="false">IF(AND(HU86=1,HF86=1),(OD86+OH86)/F86,0)</f>
        <v>0</v>
      </c>
      <c r="TM86" s="20" t="n">
        <f aca="false">IF(B86=0,OD86+OH86,0)</f>
        <v>0</v>
      </c>
      <c r="TN86" s="20" t="n">
        <f aca="false">IF(B86=0,IF(HU86=1,OF86,OG86),0)</f>
        <v>0</v>
      </c>
      <c r="TO86" s="20" t="n">
        <f aca="false">QK86+QL86+QM86+QQ86+QU86+QY86+RC86+RG86+RK86+RO86+RS86+RW86+SA86+SE86+SI86+SM86+SQ86+SU86+SY86+TC86+TG86+TK86</f>
        <v>0</v>
      </c>
      <c r="TP86" s="20" t="n">
        <f aca="false">QE86+HP86</f>
        <v>90280.5368805827</v>
      </c>
      <c r="TQ86" s="20" t="n">
        <f aca="false">I86+S86</f>
        <v>223996.531777593</v>
      </c>
      <c r="TR86" s="20" t="n">
        <f aca="false">1-G86</f>
        <v>1</v>
      </c>
      <c r="TS86" s="20" t="n">
        <f aca="false">IF(AND(RG_Exists=1,G86=0,C86=1),I86,0)</f>
        <v>0</v>
      </c>
      <c r="TT86" s="20" t="n">
        <f aca="false">IF(AND(RG_Exists=1,G86=0,C86=1),I86-MIN(QE86,I86),0)</f>
        <v>0</v>
      </c>
      <c r="TU86" s="20" t="n">
        <f aca="false">'Plan pay &amp; tax'!AD312</f>
        <v>0</v>
      </c>
      <c r="TV86" s="20" t="n">
        <f aca="false">IF(AND(C86=1,QE86&gt;MAX(PR_Short1,TQ86*PR_Short2)),1,0)</f>
        <v>0</v>
      </c>
      <c r="TW86" s="20" t="n">
        <f aca="false">MIN(H86,I86+S86)</f>
        <v>133715.99489701</v>
      </c>
      <c r="TX86" s="20" t="n">
        <f aca="false">QF86+MAX(0,HQ86-HP86)</f>
        <v>0</v>
      </c>
      <c r="TY86" s="20" t="n">
        <f aca="false">QE86+HP86</f>
        <v>90280.5368805827</v>
      </c>
      <c r="TZ86" s="20" t="n">
        <f aca="false">IF(AND(C86=1,TY86&gt;PR_MinShort),1,0)</f>
        <v>0</v>
      </c>
      <c r="UA86" s="20" t="n">
        <f aca="false">IF(AND(C86=1,TZ86=0,TX86&gt;PR_MinShort),1,0)</f>
        <v>0</v>
      </c>
      <c r="UB86" s="20" t="n">
        <f aca="false">IF(AND(C86=1,QE86&gt;PR_MinShort),1,0)</f>
        <v>0</v>
      </c>
      <c r="UC86" s="20" t="n">
        <f aca="false">IF(AND(C86=1,QF86&gt;1,UJ86=0),1,0)</f>
        <v>0</v>
      </c>
      <c r="UD86" s="20" t="str">
        <f aca="false">IF(C86=0,"",IF(UJ86=1,"Gap to plan for: short "&amp;"€"&amp;TEXT(ROUND(TP86,0),"#,##0"),IF(QF86&gt;1,"Using savings","Comfortable")))</f>
        <v/>
      </c>
      <c r="UE86" s="20" t="n">
        <f aca="false">IF(AND(INT(D86/10)*10=90,B86&gt;0),80,INT(D86/10)*10)</f>
        <v>110</v>
      </c>
      <c r="UF86" s="20" t="n">
        <f aca="false">IF(B86=0,1,IF(UE86&lt;&gt;UE85,UF85+1,UF85))</f>
        <v>8</v>
      </c>
      <c r="UG86" s="20" t="n">
        <f aca="false">IF(AND(C86=1,G86=1,QE86&gt;MAX(PR_Short1,TQ86*PR_Short2)),1,0)</f>
        <v>0</v>
      </c>
      <c r="UH86" s="20" t="n">
        <f aca="false">TR86*TV86</f>
        <v>0</v>
      </c>
      <c r="UI86" s="20" t="n">
        <f aca="false">IF(AND(V86=1,Slot1_PctLow=1),1,0)+IF(AND(AG86=1,Slot2_PctLow=1),1,0)+IF(AND(AQ86=1,Slot3_PctLow=1),1,0)+IF(AND(BA86=1,Slot4_PctLow=1),1,0)+IF(AND(BK86=1,Slot5_PctLow=1),1,0)+IF(AND(BU86=1,Slot6_PctLow=1),1,0)+IF(AND(CE86=1,Slot7_PctLow=1),1,0)+IF(AND(CO86=1,Slot8_PctLow=1),1,0)+IF(AND(CY86=1,Slot9_PctLow=1),1,0)+IF(AND(DI86=1,Slot10_PctLow=1),1,0)+IF(AND(DS86=1,Slot11_PctLow=1),1,0)+IF(AND(EC86=1,Slot12_PctLow=1),1,0)+IF(AND(EM86=1,Slot13_PctLow=1),1,0)+IF(AND(EW86=1,Slot14_PctLow=1),1,0)+IF(AND(FG86=1,Slot15_PctLow=1),1,0)+IF(AND(FQ86=1,Slot16_PctLow=1),1,0)+IF(AND(GA86=1,Slot17_PctLow=1),1,0)+IF(AND(GK86=1,Slot18_PctLow=1),1,0)+IF(AND(GU86=1,Slot19_PctLow=1),1,0)+IF(AND(HE86=1,Slot20_PctLow=1),1,0)</f>
        <v>0</v>
      </c>
      <c r="UJ86" s="20" t="n">
        <f aca="false">IF(C86=1,IF(OR(TV86=1,UI86&gt;0),1,0),0)</f>
        <v>0</v>
      </c>
    </row>
    <row r="87" customFormat="false" ht="15" hidden="false" customHeight="true" outlineLevel="0" collapsed="false">
      <c r="B87" s="20" t="n">
        <v>79</v>
      </c>
      <c r="C87" s="20" t="n">
        <f aca="false">IF(B87&lt;=F_N,1,0)</f>
        <v>0</v>
      </c>
      <c r="D87" s="20" t="n">
        <f aca="false">'Plan pay &amp; tax'!C313</f>
        <v>117</v>
      </c>
      <c r="E87" s="20" t="str">
        <f aca="false">IF($C87=1,"Income tax "&amp;TEXT(N('Plan pay &amp; tax'!BK313),"#,##0")&amp;"; USC "&amp;TEXT(N('Plan pay &amp; tax'!BM313)+N('Plan pay &amp; tax'!BO313),"#,##0")&amp;"; PRSI "&amp;TEXT(N('Plan pay &amp; tax'!BP313)+N('Plan pay &amp; tax'!BQ313),"#,##0")&amp;". DIRT and exit tax are inside the growth rates here.","")</f>
        <v/>
      </c>
      <c r="F87" s="44" t="n">
        <f aca="false">'Plan pay &amp; tax'!E313</f>
        <v>4.77984230989843</v>
      </c>
      <c r="G87" s="20" t="n">
        <f aca="false">'Plan pay &amp; tax'!G313</f>
        <v>0</v>
      </c>
      <c r="H87" s="20" t="n">
        <f aca="false">'Plan pay &amp; tax'!BT313-'Plan pay &amp; tax'!BS313-'Plan pay &amp; tax'!R313</f>
        <v>136390.31479495</v>
      </c>
      <c r="I87" s="20" t="n">
        <f aca="false">IF(G87=1,F_CostsM*12,IF(RG_Exists=1,RG_Amount,F_CostsM*12*AS_RetireSpend))*F87+F_OneOffY*F87</f>
        <v>228476.462413145</v>
      </c>
      <c r="J87" s="20" t="n">
        <f aca="false">HR86</f>
        <v>0</v>
      </c>
      <c r="K87" s="20" t="n">
        <f aca="false">IF(J87&gt;1,'Plan debt months'!AC87,0)</f>
        <v>0</v>
      </c>
      <c r="L87" s="20" t="n">
        <f aca="false">IF(J87&gt;1,'Plan debt months'!AB87,J87)</f>
        <v>0</v>
      </c>
      <c r="M87" s="20" t="n">
        <f aca="false">O86</f>
        <v>0</v>
      </c>
      <c r="N87" s="20" t="n">
        <f aca="false">IF(M87&gt;1,'Plan debt months'!BD87,0)</f>
        <v>0</v>
      </c>
      <c r="O87" s="20" t="n">
        <f aca="false">IF(M87&gt;1,'Plan debt months'!BC87,M87)</f>
        <v>0</v>
      </c>
      <c r="P87" s="20" t="n">
        <f aca="false">R86</f>
        <v>0</v>
      </c>
      <c r="Q87" s="20" t="n">
        <f aca="false">IF(P87&gt;1,'Plan debt months'!CE87,0)</f>
        <v>0</v>
      </c>
      <c r="R87" s="20" t="n">
        <f aca="false">IF(P87&gt;1,'Plan debt months'!CD87,P87)</f>
        <v>0</v>
      </c>
      <c r="S87" s="20" t="n">
        <f aca="false">K87+N87+Q87</f>
        <v>0</v>
      </c>
      <c r="T87" s="20" t="n">
        <f aca="false">QK86+'Plan pay &amp; tax'!Y313</f>
        <v>0</v>
      </c>
      <c r="U87" s="20" t="n">
        <f aca="false">QK86</f>
        <v>0</v>
      </c>
      <c r="V87" s="20" t="n">
        <f aca="false">IF(AND(Slot1_On=1,D87=Slot1_Age),1,0)</f>
        <v>0</v>
      </c>
      <c r="W87" s="20" t="n">
        <f aca="false">IF(AND(Slot1_On=1,Slot1_Age&gt;D87),1,0)</f>
        <v>0</v>
      </c>
      <c r="X87" s="20" t="n">
        <f aca="false">QM86</f>
        <v>0</v>
      </c>
      <c r="Y87" s="20" t="n">
        <f aca="false">V87*MIN(Slot1_Cost,X87)</f>
        <v>0</v>
      </c>
      <c r="Z87" s="20" t="n">
        <f aca="false">V87*Slot1_SpendLike*MIN(Slot1_Cost-Y87,T87)</f>
        <v>0</v>
      </c>
      <c r="AA87" s="20" t="n">
        <f aca="false">Y87+Z87</f>
        <v>0</v>
      </c>
      <c r="AB87" s="20" t="n">
        <f aca="false">T87-Z87+V87*IF(Slot1_SpendLike=1,X87-Y87,IF(Slot1_PotFree=1,X87,0))</f>
        <v>0</v>
      </c>
      <c r="AC87" s="20" t="n">
        <f aca="false">AF87+V87*Slot1_BufPot*X87</f>
        <v>0</v>
      </c>
      <c r="AD87" s="20" t="n">
        <f aca="false">IF(AND(V87=1,Slot1_IsMfree=1),IF(AA87&gt;=Slot1_Cost-1,0,MAX(0,L87-AA87)),L87)</f>
        <v>0</v>
      </c>
      <c r="AE87" s="20" t="n">
        <f aca="false">V87*(Slot1_Cost-AA87)</f>
        <v>0</v>
      </c>
      <c r="AF87" s="20" t="n">
        <f aca="false">QL86</f>
        <v>0</v>
      </c>
      <c r="AG87" s="20" t="n">
        <f aca="false">IF(AND(Slot2_On=1,D87=Slot2_Age),1,0)</f>
        <v>0</v>
      </c>
      <c r="AH87" s="20" t="n">
        <f aca="false">IF(AND(Slot2_On=1,Slot2_Age&gt;D87),1,0)</f>
        <v>0</v>
      </c>
      <c r="AI87" s="20" t="n">
        <f aca="false">QQ86</f>
        <v>0</v>
      </c>
      <c r="AJ87" s="20" t="n">
        <f aca="false">AG87*MIN(Slot2_Cost,AI87)</f>
        <v>0</v>
      </c>
      <c r="AK87" s="20" t="n">
        <f aca="false">AG87*Slot2_SpendLike*MIN(Slot2_Cost-AJ87,AB87)</f>
        <v>0</v>
      </c>
      <c r="AL87" s="20" t="n">
        <f aca="false">AJ87+AK87</f>
        <v>0</v>
      </c>
      <c r="AM87" s="20" t="n">
        <f aca="false">AB87-AK87+AG87*IF(Slot2_SpendLike=1,AI87-AJ87,IF(Slot2_PotFree=1,AI87,0))</f>
        <v>0</v>
      </c>
      <c r="AN87" s="20" t="n">
        <f aca="false">AC87+AG87*Slot2_BufPot*AI87</f>
        <v>0</v>
      </c>
      <c r="AO87" s="20" t="n">
        <f aca="false">IF(AND(AG87=1,Slot2_IsMfree=1),IF(AL87&gt;=Slot2_Cost-1,0,MAX(0,AD87-AL87)),AD87)</f>
        <v>0</v>
      </c>
      <c r="AP87" s="20" t="n">
        <f aca="false">AG87*(Slot2_Cost-AL87)</f>
        <v>0</v>
      </c>
      <c r="AQ87" s="20" t="n">
        <f aca="false">IF(AND(Slot3_On=1,D87=Slot3_Age),1,0)</f>
        <v>0</v>
      </c>
      <c r="AR87" s="20" t="n">
        <f aca="false">IF(AND(Slot3_On=1,Slot3_Age&gt;D87),1,0)</f>
        <v>0</v>
      </c>
      <c r="AS87" s="20" t="n">
        <f aca="false">QU86</f>
        <v>0</v>
      </c>
      <c r="AT87" s="20" t="n">
        <f aca="false">AQ87*MIN(Slot3_Cost,AS87)</f>
        <v>0</v>
      </c>
      <c r="AU87" s="20" t="n">
        <f aca="false">AQ87*Slot3_SpendLike*MIN(Slot3_Cost-AT87,AM87)</f>
        <v>0</v>
      </c>
      <c r="AV87" s="20" t="n">
        <f aca="false">AT87+AU87</f>
        <v>0</v>
      </c>
      <c r="AW87" s="20" t="n">
        <f aca="false">AM87-AU87+AQ87*IF(Slot3_SpendLike=1,AS87-AT87,IF(Slot3_PotFree=1,AS87,0))</f>
        <v>0</v>
      </c>
      <c r="AX87" s="20" t="n">
        <f aca="false">AN87+AQ87*Slot3_BufPot*AS87</f>
        <v>0</v>
      </c>
      <c r="AY87" s="20" t="n">
        <f aca="false">IF(AND(AQ87=1,Slot3_IsMfree=1),IF(AV87&gt;=Slot3_Cost-1,0,MAX(0,AO87-AV87)),AO87)</f>
        <v>0</v>
      </c>
      <c r="AZ87" s="20" t="n">
        <f aca="false">AQ87*(Slot3_Cost-AV87)</f>
        <v>0</v>
      </c>
      <c r="BA87" s="20" t="n">
        <f aca="false">IF(AND(Slot4_On=1,D87=Slot4_Age),1,0)</f>
        <v>0</v>
      </c>
      <c r="BB87" s="20" t="n">
        <f aca="false">IF(AND(Slot4_On=1,Slot4_Age&gt;D87),1,0)</f>
        <v>0</v>
      </c>
      <c r="BC87" s="20" t="n">
        <f aca="false">QY86</f>
        <v>0</v>
      </c>
      <c r="BD87" s="20" t="n">
        <f aca="false">BA87*MIN(Slot4_Cost,BC87)</f>
        <v>0</v>
      </c>
      <c r="BE87" s="20" t="n">
        <f aca="false">BA87*Slot4_SpendLike*MIN(Slot4_Cost-BD87,AW87)</f>
        <v>0</v>
      </c>
      <c r="BF87" s="20" t="n">
        <f aca="false">BD87+BE87</f>
        <v>0</v>
      </c>
      <c r="BG87" s="20" t="n">
        <f aca="false">AW87-BE87+BA87*IF(Slot4_SpendLike=1,BC87-BD87,IF(Slot4_PotFree=1,BC87,0))</f>
        <v>0</v>
      </c>
      <c r="BH87" s="20" t="n">
        <f aca="false">AX87+BA87*Slot4_BufPot*BC87</f>
        <v>0</v>
      </c>
      <c r="BI87" s="20" t="n">
        <f aca="false">IF(AND(BA87=1,Slot4_IsMfree=1),IF(BF87&gt;=Slot4_Cost-1,0,MAX(0,AY87-BF87)),AY87)</f>
        <v>0</v>
      </c>
      <c r="BJ87" s="20" t="n">
        <f aca="false">BA87*(Slot4_Cost-BF87)</f>
        <v>0</v>
      </c>
      <c r="BK87" s="20" t="n">
        <f aca="false">IF(AND(Slot5_On=1,D87=Slot5_Age),1,0)</f>
        <v>0</v>
      </c>
      <c r="BL87" s="20" t="n">
        <f aca="false">IF(AND(Slot5_On=1,Slot5_Age&gt;D87),1,0)</f>
        <v>0</v>
      </c>
      <c r="BM87" s="20" t="n">
        <f aca="false">RC86</f>
        <v>0</v>
      </c>
      <c r="BN87" s="20" t="n">
        <f aca="false">BK87*MIN(Slot5_Cost,BM87)</f>
        <v>0</v>
      </c>
      <c r="BO87" s="20" t="n">
        <f aca="false">BK87*Slot5_SpendLike*MIN(Slot5_Cost-BN87,BG87)</f>
        <v>0</v>
      </c>
      <c r="BP87" s="20" t="n">
        <f aca="false">BN87+BO87</f>
        <v>0</v>
      </c>
      <c r="BQ87" s="20" t="n">
        <f aca="false">BG87-BO87+BK87*IF(Slot5_SpendLike=1,BM87-BN87,IF(Slot5_PotFree=1,BM87,0))</f>
        <v>0</v>
      </c>
      <c r="BR87" s="20" t="n">
        <f aca="false">BH87+BK87*Slot5_BufPot*BM87</f>
        <v>0</v>
      </c>
      <c r="BS87" s="20" t="n">
        <f aca="false">IF(AND(BK87=1,Slot5_IsMfree=1),IF(BP87&gt;=Slot5_Cost-1,0,MAX(0,BI87-BP87)),BI87)</f>
        <v>0</v>
      </c>
      <c r="BT87" s="20" t="n">
        <f aca="false">BK87*(Slot5_Cost-BP87)</f>
        <v>0</v>
      </c>
      <c r="BU87" s="20" t="n">
        <f aca="false">IF(AND(Slot6_On=1,D87=Slot6_Age),1,0)</f>
        <v>0</v>
      </c>
      <c r="BV87" s="20" t="n">
        <f aca="false">IF(AND(Slot6_On=1,Slot6_Age&gt;D87),1,0)</f>
        <v>0</v>
      </c>
      <c r="BW87" s="20" t="n">
        <f aca="false">RG86</f>
        <v>0</v>
      </c>
      <c r="BX87" s="20" t="n">
        <f aca="false">BU87*MIN(Slot6_Cost,BW87)</f>
        <v>0</v>
      </c>
      <c r="BY87" s="20" t="n">
        <f aca="false">BU87*Slot6_SpendLike*MIN(Slot6_Cost-BX87,BQ87)</f>
        <v>0</v>
      </c>
      <c r="BZ87" s="20" t="n">
        <f aca="false">BX87+BY87</f>
        <v>0</v>
      </c>
      <c r="CA87" s="20" t="n">
        <f aca="false">BQ87-BY87+BU87*IF(Slot6_SpendLike=1,BW87-BX87,IF(Slot6_PotFree=1,BW87,0))</f>
        <v>0</v>
      </c>
      <c r="CB87" s="20" t="n">
        <f aca="false">BR87+BU87*Slot6_BufPot*BW87</f>
        <v>0</v>
      </c>
      <c r="CC87" s="20" t="n">
        <f aca="false">IF(AND(BU87=1,Slot6_IsMfree=1),IF(BZ87&gt;=Slot6_Cost-1,0,MAX(0,BS87-BZ87)),BS87)</f>
        <v>0</v>
      </c>
      <c r="CD87" s="20" t="n">
        <f aca="false">BU87*(Slot6_Cost-BZ87)</f>
        <v>0</v>
      </c>
      <c r="CE87" s="20" t="n">
        <f aca="false">IF(AND(Slot7_On=1,D87=Slot7_Age),1,0)</f>
        <v>0</v>
      </c>
      <c r="CF87" s="20" t="n">
        <f aca="false">IF(AND(Slot7_On=1,Slot7_Age&gt;D87),1,0)</f>
        <v>0</v>
      </c>
      <c r="CG87" s="20" t="n">
        <f aca="false">RK86</f>
        <v>0</v>
      </c>
      <c r="CH87" s="20" t="n">
        <f aca="false">CE87*MIN(Slot7_Cost,CG87)</f>
        <v>0</v>
      </c>
      <c r="CI87" s="20" t="n">
        <f aca="false">CE87*Slot7_SpendLike*MIN(Slot7_Cost-CH87,CA87)</f>
        <v>0</v>
      </c>
      <c r="CJ87" s="20" t="n">
        <f aca="false">CH87+CI87</f>
        <v>0</v>
      </c>
      <c r="CK87" s="20" t="n">
        <f aca="false">CA87-CI87+CE87*IF(Slot7_SpendLike=1,CG87-CH87,IF(Slot7_PotFree=1,CG87,0))</f>
        <v>0</v>
      </c>
      <c r="CL87" s="20" t="n">
        <f aca="false">CB87+CE87*Slot7_BufPot*CG87</f>
        <v>0</v>
      </c>
      <c r="CM87" s="20" t="n">
        <f aca="false">IF(AND(CE87=1,Slot7_IsMfree=1),IF(CJ87&gt;=Slot7_Cost-1,0,MAX(0,CC87-CJ87)),CC87)</f>
        <v>0</v>
      </c>
      <c r="CN87" s="20" t="n">
        <f aca="false">CE87*(Slot7_Cost-CJ87)</f>
        <v>0</v>
      </c>
      <c r="CO87" s="20" t="n">
        <f aca="false">IF(AND(Slot8_On=1,D87=Slot8_Age),1,0)</f>
        <v>0</v>
      </c>
      <c r="CP87" s="20" t="n">
        <f aca="false">IF(AND(Slot8_On=1,Slot8_Age&gt;D87),1,0)</f>
        <v>0</v>
      </c>
      <c r="CQ87" s="20" t="n">
        <f aca="false">RO86</f>
        <v>0</v>
      </c>
      <c r="CR87" s="20" t="n">
        <f aca="false">CO87*MIN(Slot8_Cost,CQ87)</f>
        <v>0</v>
      </c>
      <c r="CS87" s="20" t="n">
        <f aca="false">CO87*Slot8_SpendLike*MIN(Slot8_Cost-CR87,CK87)</f>
        <v>0</v>
      </c>
      <c r="CT87" s="20" t="n">
        <f aca="false">CR87+CS87</f>
        <v>0</v>
      </c>
      <c r="CU87" s="20" t="n">
        <f aca="false">CK87-CS87+CO87*IF(Slot8_SpendLike=1,CQ87-CR87,IF(Slot8_PotFree=1,CQ87,0))</f>
        <v>0</v>
      </c>
      <c r="CV87" s="20" t="n">
        <f aca="false">CL87+CO87*Slot8_BufPot*CQ87</f>
        <v>0</v>
      </c>
      <c r="CW87" s="20" t="n">
        <f aca="false">IF(AND(CO87=1,Slot8_IsMfree=1),IF(CT87&gt;=Slot8_Cost-1,0,MAX(0,CM87-CT87)),CM87)</f>
        <v>0</v>
      </c>
      <c r="CX87" s="20" t="n">
        <f aca="false">CO87*(Slot8_Cost-CT87)</f>
        <v>0</v>
      </c>
      <c r="CY87" s="20" t="n">
        <f aca="false">IF(AND(Slot9_On=1,D87=Slot9_Age),1,0)</f>
        <v>0</v>
      </c>
      <c r="CZ87" s="20" t="n">
        <f aca="false">IF(AND(Slot9_On=1,Slot9_Age&gt;D87),1,0)</f>
        <v>0</v>
      </c>
      <c r="DA87" s="20" t="n">
        <f aca="false">RS86</f>
        <v>0</v>
      </c>
      <c r="DB87" s="20" t="n">
        <f aca="false">CY87*MIN(Slot9_Cost,DA87)</f>
        <v>0</v>
      </c>
      <c r="DC87" s="20" t="n">
        <f aca="false">CY87*Slot9_SpendLike*MIN(Slot9_Cost-DB87,CU87)</f>
        <v>0</v>
      </c>
      <c r="DD87" s="20" t="n">
        <f aca="false">DB87+DC87</f>
        <v>0</v>
      </c>
      <c r="DE87" s="20" t="n">
        <f aca="false">CU87-DC87+CY87*IF(Slot9_SpendLike=1,DA87-DB87,IF(Slot9_PotFree=1,DA87,0))</f>
        <v>0</v>
      </c>
      <c r="DF87" s="20" t="n">
        <f aca="false">CV87+CY87*Slot9_BufPot*DA87</f>
        <v>0</v>
      </c>
      <c r="DG87" s="20" t="n">
        <f aca="false">IF(AND(CY87=1,Slot9_IsMfree=1),IF(DD87&gt;=Slot9_Cost-1,0,MAX(0,CW87-DD87)),CW87)</f>
        <v>0</v>
      </c>
      <c r="DH87" s="20" t="n">
        <f aca="false">CY87*(Slot9_Cost-DD87)</f>
        <v>0</v>
      </c>
      <c r="DI87" s="20" t="n">
        <f aca="false">IF(AND(Slot10_On=1,D87=Slot10_Age),1,0)</f>
        <v>0</v>
      </c>
      <c r="DJ87" s="20" t="n">
        <f aca="false">IF(AND(Slot10_On=1,Slot10_Age&gt;D87),1,0)</f>
        <v>0</v>
      </c>
      <c r="DK87" s="20" t="n">
        <f aca="false">RW86</f>
        <v>0</v>
      </c>
      <c r="DL87" s="20" t="n">
        <f aca="false">DI87*MIN(Slot10_Cost,DK87)</f>
        <v>0</v>
      </c>
      <c r="DM87" s="20" t="n">
        <f aca="false">DI87*Slot10_SpendLike*MIN(Slot10_Cost-DL87,DE87)</f>
        <v>0</v>
      </c>
      <c r="DN87" s="20" t="n">
        <f aca="false">DL87+DM87</f>
        <v>0</v>
      </c>
      <c r="DO87" s="20" t="n">
        <f aca="false">DE87-DM87+DI87*IF(Slot10_SpendLike=1,DK87-DL87,IF(Slot10_PotFree=1,DK87,0))</f>
        <v>0</v>
      </c>
      <c r="DP87" s="20" t="n">
        <f aca="false">DF87+DI87*Slot10_BufPot*DK87</f>
        <v>0</v>
      </c>
      <c r="DQ87" s="20" t="n">
        <f aca="false">IF(AND(DI87=1,Slot10_IsMfree=1),IF(DN87&gt;=Slot10_Cost-1,0,MAX(0,DG87-DN87)),DG87)</f>
        <v>0</v>
      </c>
      <c r="DR87" s="20" t="n">
        <f aca="false">DI87*(Slot10_Cost-DN87)</f>
        <v>0</v>
      </c>
      <c r="DS87" s="20" t="n">
        <f aca="false">IF(AND(Slot11_On=1,D87=Slot11_Age),1,0)</f>
        <v>0</v>
      </c>
      <c r="DT87" s="20" t="n">
        <f aca="false">IF(AND(Slot11_On=1,Slot11_Age&gt;D87),1,0)</f>
        <v>0</v>
      </c>
      <c r="DU87" s="20" t="n">
        <f aca="false">SA86</f>
        <v>0</v>
      </c>
      <c r="DV87" s="20" t="n">
        <f aca="false">DS87*MIN(Slot11_Cost,DU87)</f>
        <v>0</v>
      </c>
      <c r="DW87" s="20" t="n">
        <f aca="false">DS87*Slot11_SpendLike*MIN(Slot11_Cost-DV87,DO87)</f>
        <v>0</v>
      </c>
      <c r="DX87" s="20" t="n">
        <f aca="false">DV87+DW87</f>
        <v>0</v>
      </c>
      <c r="DY87" s="20" t="n">
        <f aca="false">DO87-DW87+DS87*IF(Slot11_SpendLike=1,DU87-DV87,IF(Slot11_PotFree=1,DU87,0))</f>
        <v>0</v>
      </c>
      <c r="DZ87" s="20" t="n">
        <f aca="false">DP87+DS87*Slot11_BufPot*DU87</f>
        <v>0</v>
      </c>
      <c r="EA87" s="20" t="n">
        <f aca="false">IF(AND(DS87=1,Slot11_IsMfree=1),IF(DX87&gt;=Slot11_Cost-1,0,MAX(0,DQ87-DX87)),DQ87)</f>
        <v>0</v>
      </c>
      <c r="EB87" s="20" t="n">
        <f aca="false">DS87*(Slot11_Cost-DX87)</f>
        <v>0</v>
      </c>
      <c r="EC87" s="20" t="n">
        <f aca="false">IF(AND(Slot12_On=1,D87=Slot12_Age),1,0)</f>
        <v>0</v>
      </c>
      <c r="ED87" s="20" t="n">
        <f aca="false">IF(AND(Slot12_On=1,Slot12_Age&gt;D87),1,0)</f>
        <v>0</v>
      </c>
      <c r="EE87" s="20" t="n">
        <f aca="false">SE86</f>
        <v>0</v>
      </c>
      <c r="EF87" s="20" t="n">
        <f aca="false">EC87*MIN(Slot12_Cost,EE87)</f>
        <v>0</v>
      </c>
      <c r="EG87" s="20" t="n">
        <f aca="false">EC87*Slot12_SpendLike*MIN(Slot12_Cost-EF87,DY87)</f>
        <v>0</v>
      </c>
      <c r="EH87" s="20" t="n">
        <f aca="false">EF87+EG87</f>
        <v>0</v>
      </c>
      <c r="EI87" s="20" t="n">
        <f aca="false">DY87-EG87+EC87*IF(Slot12_SpendLike=1,EE87-EF87,IF(Slot12_PotFree=1,EE87,0))</f>
        <v>0</v>
      </c>
      <c r="EJ87" s="20" t="n">
        <f aca="false">DZ87+EC87*Slot12_BufPot*EE87</f>
        <v>0</v>
      </c>
      <c r="EK87" s="20" t="n">
        <f aca="false">IF(AND(EC87=1,Slot12_IsMfree=1),IF(EH87&gt;=Slot12_Cost-1,0,MAX(0,EA87-EH87)),EA87)</f>
        <v>0</v>
      </c>
      <c r="EL87" s="20" t="n">
        <f aca="false">EC87*(Slot12_Cost-EH87)</f>
        <v>0</v>
      </c>
      <c r="EM87" s="20" t="n">
        <f aca="false">IF(AND(Slot13_On=1,D87=Slot13_Age),1,0)</f>
        <v>0</v>
      </c>
      <c r="EN87" s="20" t="n">
        <f aca="false">IF(AND(Slot13_On=1,Slot13_Age&gt;D87),1,0)</f>
        <v>0</v>
      </c>
      <c r="EO87" s="20" t="n">
        <f aca="false">SI86</f>
        <v>0</v>
      </c>
      <c r="EP87" s="20" t="n">
        <f aca="false">EM87*MIN(Slot13_Cost,EO87)</f>
        <v>0</v>
      </c>
      <c r="EQ87" s="20" t="n">
        <f aca="false">EM87*Slot13_SpendLike*MIN(Slot13_Cost-EP87,EI87)</f>
        <v>0</v>
      </c>
      <c r="ER87" s="20" t="n">
        <f aca="false">EP87+EQ87</f>
        <v>0</v>
      </c>
      <c r="ES87" s="20" t="n">
        <f aca="false">EI87-EQ87+EM87*IF(Slot13_SpendLike=1,EO87-EP87,IF(Slot13_PotFree=1,EO87,0))</f>
        <v>0</v>
      </c>
      <c r="ET87" s="20" t="n">
        <f aca="false">EJ87+EM87*Slot13_BufPot*EO87</f>
        <v>0</v>
      </c>
      <c r="EU87" s="20" t="n">
        <f aca="false">IF(AND(EM87=1,Slot13_IsMfree=1),IF(ER87&gt;=Slot13_Cost-1,0,MAX(0,EK87-ER87)),EK87)</f>
        <v>0</v>
      </c>
      <c r="EV87" s="20" t="n">
        <f aca="false">EM87*(Slot13_Cost-ER87)</f>
        <v>0</v>
      </c>
      <c r="EW87" s="20" t="n">
        <f aca="false">IF(AND(Slot14_On=1,D87=Slot14_Age),1,0)</f>
        <v>0</v>
      </c>
      <c r="EX87" s="20" t="n">
        <f aca="false">IF(AND(Slot14_On=1,Slot14_Age&gt;D87),1,0)</f>
        <v>0</v>
      </c>
      <c r="EY87" s="20" t="n">
        <f aca="false">SM86</f>
        <v>0</v>
      </c>
      <c r="EZ87" s="20" t="n">
        <f aca="false">EW87*MIN(Slot14_Cost,EY87)</f>
        <v>0</v>
      </c>
      <c r="FA87" s="20" t="n">
        <f aca="false">EW87*Slot14_SpendLike*MIN(Slot14_Cost-EZ87,ES87)</f>
        <v>0</v>
      </c>
      <c r="FB87" s="20" t="n">
        <f aca="false">EZ87+FA87</f>
        <v>0</v>
      </c>
      <c r="FC87" s="20" t="n">
        <f aca="false">ES87-FA87+EW87*IF(Slot14_SpendLike=1,EY87-EZ87,IF(Slot14_PotFree=1,EY87,0))</f>
        <v>0</v>
      </c>
      <c r="FD87" s="20" t="n">
        <f aca="false">ET87+EW87*Slot14_BufPot*EY87</f>
        <v>0</v>
      </c>
      <c r="FE87" s="20" t="n">
        <f aca="false">IF(AND(EW87=1,Slot14_IsMfree=1),IF(FB87&gt;=Slot14_Cost-1,0,MAX(0,EU87-FB87)),EU87)</f>
        <v>0</v>
      </c>
      <c r="FF87" s="20" t="n">
        <f aca="false">EW87*(Slot14_Cost-FB87)</f>
        <v>0</v>
      </c>
      <c r="FG87" s="20" t="n">
        <f aca="false">IF(AND(Slot15_On=1,D87=Slot15_Age),1,0)</f>
        <v>0</v>
      </c>
      <c r="FH87" s="20" t="n">
        <f aca="false">IF(AND(Slot15_On=1,Slot15_Age&gt;D87),1,0)</f>
        <v>0</v>
      </c>
      <c r="FI87" s="20" t="n">
        <f aca="false">SQ86</f>
        <v>0</v>
      </c>
      <c r="FJ87" s="20" t="n">
        <f aca="false">FG87*MIN(Slot15_Cost,FI87)</f>
        <v>0</v>
      </c>
      <c r="FK87" s="20" t="n">
        <f aca="false">FG87*Slot15_SpendLike*MIN(Slot15_Cost-FJ87,FC87)</f>
        <v>0</v>
      </c>
      <c r="FL87" s="20" t="n">
        <f aca="false">FJ87+FK87</f>
        <v>0</v>
      </c>
      <c r="FM87" s="20" t="n">
        <f aca="false">FC87-FK87+FG87*IF(Slot15_SpendLike=1,FI87-FJ87,IF(Slot15_PotFree=1,FI87,0))</f>
        <v>0</v>
      </c>
      <c r="FN87" s="20" t="n">
        <f aca="false">FD87+FG87*Slot15_BufPot*FI87</f>
        <v>0</v>
      </c>
      <c r="FO87" s="20" t="n">
        <f aca="false">IF(AND(FG87=1,Slot15_IsMfree=1),IF(FL87&gt;=Slot15_Cost-1,0,MAX(0,FE87-FL87)),FE87)</f>
        <v>0</v>
      </c>
      <c r="FP87" s="20" t="n">
        <f aca="false">FG87*(Slot15_Cost-FL87)</f>
        <v>0</v>
      </c>
      <c r="FQ87" s="20" t="n">
        <f aca="false">IF(AND(Slot16_On=1,D87=Slot16_Age),1,0)</f>
        <v>0</v>
      </c>
      <c r="FR87" s="20" t="n">
        <f aca="false">IF(AND(Slot16_On=1,Slot16_Age&gt;D87),1,0)</f>
        <v>0</v>
      </c>
      <c r="FS87" s="20" t="n">
        <f aca="false">SU86</f>
        <v>0</v>
      </c>
      <c r="FT87" s="20" t="n">
        <f aca="false">FQ87*MIN(Slot16_Cost,FS87)</f>
        <v>0</v>
      </c>
      <c r="FU87" s="20" t="n">
        <f aca="false">FQ87*Slot16_SpendLike*MIN(Slot16_Cost-FT87,FM87)</f>
        <v>0</v>
      </c>
      <c r="FV87" s="20" t="n">
        <f aca="false">FT87+FU87</f>
        <v>0</v>
      </c>
      <c r="FW87" s="20" t="n">
        <f aca="false">FM87-FU87+FQ87*IF(Slot16_SpendLike=1,FS87-FT87,IF(Slot16_PotFree=1,FS87,0))</f>
        <v>0</v>
      </c>
      <c r="FX87" s="20" t="n">
        <f aca="false">FN87+FQ87*Slot16_BufPot*FS87</f>
        <v>0</v>
      </c>
      <c r="FY87" s="20" t="n">
        <f aca="false">IF(AND(FQ87=1,Slot16_IsMfree=1),IF(FV87&gt;=Slot16_Cost-1,0,MAX(0,FO87-FV87)),FO87)</f>
        <v>0</v>
      </c>
      <c r="FZ87" s="20" t="n">
        <f aca="false">FQ87*(Slot16_Cost-FV87)</f>
        <v>0</v>
      </c>
      <c r="GA87" s="20" t="n">
        <f aca="false">IF(AND(Slot17_On=1,D87=Slot17_Age),1,0)</f>
        <v>0</v>
      </c>
      <c r="GB87" s="20" t="n">
        <f aca="false">IF(AND(Slot17_On=1,Slot17_Age&gt;D87),1,0)</f>
        <v>0</v>
      </c>
      <c r="GC87" s="20" t="n">
        <f aca="false">SY86</f>
        <v>0</v>
      </c>
      <c r="GD87" s="20" t="n">
        <f aca="false">GA87*MIN(Slot17_Cost,GC87)</f>
        <v>0</v>
      </c>
      <c r="GE87" s="20" t="n">
        <f aca="false">GA87*Slot17_SpendLike*MIN(Slot17_Cost-GD87,FW87)</f>
        <v>0</v>
      </c>
      <c r="GF87" s="20" t="n">
        <f aca="false">GD87+GE87</f>
        <v>0</v>
      </c>
      <c r="GG87" s="20" t="n">
        <f aca="false">FW87-GE87+GA87*IF(Slot17_SpendLike=1,GC87-GD87,IF(Slot17_PotFree=1,GC87,0))</f>
        <v>0</v>
      </c>
      <c r="GH87" s="20" t="n">
        <f aca="false">FX87+GA87*Slot17_BufPot*GC87</f>
        <v>0</v>
      </c>
      <c r="GI87" s="20" t="n">
        <f aca="false">IF(AND(GA87=1,Slot17_IsMfree=1),IF(GF87&gt;=Slot17_Cost-1,0,MAX(0,FY87-GF87)),FY87)</f>
        <v>0</v>
      </c>
      <c r="GJ87" s="20" t="n">
        <f aca="false">GA87*(Slot17_Cost-GF87)</f>
        <v>0</v>
      </c>
      <c r="GK87" s="20" t="n">
        <f aca="false">IF(AND(Slot18_On=1,D87=Slot18_Age),1,0)</f>
        <v>0</v>
      </c>
      <c r="GL87" s="20" t="n">
        <f aca="false">IF(AND(Slot18_On=1,Slot18_Age&gt;D87),1,0)</f>
        <v>0</v>
      </c>
      <c r="GM87" s="20" t="n">
        <f aca="false">TC86</f>
        <v>0</v>
      </c>
      <c r="GN87" s="20" t="n">
        <f aca="false">GK87*MIN(Slot18_Cost,GM87)</f>
        <v>0</v>
      </c>
      <c r="GO87" s="20" t="n">
        <f aca="false">GK87*Slot18_SpendLike*MIN(Slot18_Cost-GN87,GG87)</f>
        <v>0</v>
      </c>
      <c r="GP87" s="20" t="n">
        <f aca="false">GN87+GO87</f>
        <v>0</v>
      </c>
      <c r="GQ87" s="20" t="n">
        <f aca="false">GG87-GO87+GK87*IF(Slot18_SpendLike=1,GM87-GN87,IF(Slot18_PotFree=1,GM87,0))</f>
        <v>0</v>
      </c>
      <c r="GR87" s="20" t="n">
        <f aca="false">GH87+GK87*Slot18_BufPot*GM87</f>
        <v>0</v>
      </c>
      <c r="GS87" s="20" t="n">
        <f aca="false">IF(AND(GK87=1,Slot18_IsMfree=1),IF(GP87&gt;=Slot18_Cost-1,0,MAX(0,GI87-GP87)),GI87)</f>
        <v>0</v>
      </c>
      <c r="GT87" s="20" t="n">
        <f aca="false">GK87*(Slot18_Cost-GP87)</f>
        <v>0</v>
      </c>
      <c r="GU87" s="20" t="n">
        <f aca="false">IF(AND(Slot19_On=1,D87=Slot19_Age),1,0)</f>
        <v>0</v>
      </c>
      <c r="GV87" s="20" t="n">
        <f aca="false">IF(AND(Slot19_On=1,Slot19_Age&gt;D87),1,0)</f>
        <v>0</v>
      </c>
      <c r="GW87" s="20" t="n">
        <f aca="false">TG86</f>
        <v>0</v>
      </c>
      <c r="GX87" s="20" t="n">
        <f aca="false">GU87*MIN(Slot19_Cost,GW87)</f>
        <v>0</v>
      </c>
      <c r="GY87" s="20" t="n">
        <f aca="false">GU87*Slot19_SpendLike*MIN(Slot19_Cost-GX87,GQ87)</f>
        <v>0</v>
      </c>
      <c r="GZ87" s="20" t="n">
        <f aca="false">GX87+GY87</f>
        <v>0</v>
      </c>
      <c r="HA87" s="20" t="n">
        <f aca="false">GQ87-GY87+GU87*IF(Slot19_SpendLike=1,GW87-GX87,IF(Slot19_PotFree=1,GW87,0))</f>
        <v>0</v>
      </c>
      <c r="HB87" s="20" t="n">
        <f aca="false">GR87+GU87*Slot19_BufPot*GW87</f>
        <v>0</v>
      </c>
      <c r="HC87" s="20" t="n">
        <f aca="false">IF(AND(GU87=1,Slot19_IsMfree=1),IF(GZ87&gt;=Slot19_Cost-1,0,MAX(0,GS87-GZ87)),GS87)</f>
        <v>0</v>
      </c>
      <c r="HD87" s="20" t="n">
        <f aca="false">GU87*(Slot19_Cost-GZ87)</f>
        <v>0</v>
      </c>
      <c r="HE87" s="20" t="n">
        <f aca="false">IF(AND(Slot20_On=1,D87=Slot20_Age),1,0)</f>
        <v>0</v>
      </c>
      <c r="HF87" s="20" t="n">
        <f aca="false">IF(AND(Slot20_On=1,Slot20_Age&gt;D87),1,0)</f>
        <v>0</v>
      </c>
      <c r="HG87" s="20" t="n">
        <f aca="false">TK86</f>
        <v>0</v>
      </c>
      <c r="HH87" s="20" t="n">
        <f aca="false">HE87*MIN(Slot20_Cost,HG87)</f>
        <v>0</v>
      </c>
      <c r="HI87" s="20" t="n">
        <f aca="false">HE87*Slot20_SpendLike*MIN(Slot20_Cost-HH87,HA87)</f>
        <v>0</v>
      </c>
      <c r="HJ87" s="20" t="n">
        <f aca="false">HH87+HI87</f>
        <v>0</v>
      </c>
      <c r="HK87" s="20" t="n">
        <f aca="false">HA87-HI87+HE87*IF(Slot20_SpendLike=1,HG87-HH87,IF(Slot20_PotFree=1,HG87,0))</f>
        <v>0</v>
      </c>
      <c r="HL87" s="20" t="n">
        <f aca="false">HB87+HE87*Slot20_BufPot*HG87</f>
        <v>0</v>
      </c>
      <c r="HM87" s="20" t="n">
        <f aca="false">IF(AND(HE87=1,Slot20_IsMfree=1),IF(HJ87&gt;=Slot20_Cost-1,0,MAX(0,HC87-HJ87)),HC87)</f>
        <v>0</v>
      </c>
      <c r="HN87" s="20" t="n">
        <f aca="false">HE87*(Slot20_Cost-HJ87)</f>
        <v>0</v>
      </c>
      <c r="HO87" s="20" t="n">
        <f aca="false">V87*Slot1_SpendLike*AA87+AG87*Slot2_SpendLike*AL87+AQ87*Slot3_SpendLike*AV87+BA87*Slot4_SpendLike*BF87+BK87*Slot5_SpendLike*BP87+BU87*Slot6_SpendLike*BZ87+CE87*Slot7_SpendLike*CJ87+CO87*Slot8_SpendLike*CT87+CY87*Slot9_SpendLike*DD87+DI87*Slot10_SpendLike*DN87+DS87*Slot11_SpendLike*DX87+EC87*Slot12_SpendLike*EH87+EM87*Slot13_SpendLike*ER87+EW87*Slot14_SpendLike*FB87+FG87*Slot15_SpendLike*FL87+FQ87*Slot16_SpendLike*FV87+GA87*Slot17_SpendLike*GF87+GK87*Slot18_SpendLike*GP87+GU87*Slot19_SpendLike*GZ87+HE87*Slot20_SpendLike*HJ87</f>
        <v>0</v>
      </c>
      <c r="HP87" s="20" t="n">
        <f aca="false">AE87+AP87+AZ87+BJ87+BT87+CD87+CN87+CX87+DH87+DR87+EB87+EL87+EV87+FF87+FP87+FZ87+GJ87+GT87+HD87+HN87</f>
        <v>0</v>
      </c>
      <c r="HQ87" s="20" t="n">
        <f aca="false">V87*Slot1_Cost+AG87*Slot2_Cost+AQ87*Slot3_Cost+BA87*Slot4_Cost+BK87*Slot5_Cost+BU87*Slot6_Cost+CE87*Slot7_Cost+CO87*Slot8_Cost+CY87*Slot9_Cost+DI87*Slot10_Cost+DS87*Slot11_Cost+EC87*Slot12_Cost+EM87*Slot13_Cost+EW87*Slot14_Cost+FG87*Slot15_Cost+FQ87*Slot16_Cost+GA87*Slot17_Cost+GK87*Slot18_Cost+GU87*Slot19_Cost+HE87*Slot20_Cost</f>
        <v>0</v>
      </c>
      <c r="HR87" s="20" t="n">
        <f aca="false">HM87</f>
        <v>0</v>
      </c>
      <c r="HS87" s="20" t="n">
        <f aca="false">H87-I87-S87</f>
        <v>-92086.1476181944</v>
      </c>
      <c r="HT87" s="20" t="n">
        <f aca="false">IF(B87=0,IF(AND(Has_q6=1,In_q6=4),PR_ShareVaries*(MAX(0,HS87)/12),MIN(IF(Has_q6=1,CHOOSE(In_q6+1,PR_SaveB1,PR_SaveB2,PR_SaveB3,PR_SaveB4,0),AS_NoAnswer),AS_SaveShare*(MAX(0,HS87)/12))),HT86)</f>
        <v>62.3316893520437</v>
      </c>
      <c r="HU87" s="20" t="n">
        <f aca="false">IF(HS87&gt;=0,1,0)</f>
        <v>0</v>
      </c>
      <c r="HV87" s="20" t="n">
        <f aca="false">MAX(0,HS87/12/F87)</f>
        <v>0</v>
      </c>
      <c r="HW87" s="20" t="n">
        <f aca="false">IF(AND(Has_q6=1,In_q6=4),PR_ShareVaries*(HV87),MIN(IF(Has_q6=1,CHOOSE(In_q6+1,PR_SaveB1,PR_SaveB2,PR_SaveB3,PR_SaveB4,0),AS_NoAnswer),AS_SaveShare*(HV87)))</f>
        <v>0</v>
      </c>
      <c r="HX87" s="20" t="n">
        <f aca="false">IF(Has_saveM=1,IF(In_saveUp="Yes",1,IF(In_saveUp="No",0,IF(In_saveM&gt;=HT87-0.5,1,0))),0)</f>
        <v>0</v>
      </c>
      <c r="HY87" s="20" t="n">
        <f aca="false">IF(Has_saveM=1,MIN(HV87,IF(HX87=1,MAX(In_saveM,HW87),MIN(In_saveM,HW87))),HW87)</f>
        <v>0</v>
      </c>
      <c r="HZ87" s="20" t="n">
        <f aca="false">IF(G87=1,HY87*12*F87,0)</f>
        <v>0</v>
      </c>
      <c r="IA87" s="20" t="n">
        <f aca="false">MAX(0,HZ87+IF(AND(WI_Retire=0,WI_M&lt;0,G87=1),WI_M*12*F87,0))</f>
        <v>0</v>
      </c>
      <c r="IB87" s="20" t="n">
        <f aca="false">Slot1_IsWG*W87+Slot2_IsWG*AH87+Slot3_IsWG*AR87+Slot4_IsWG*BB87+Slot5_IsWG*BL87+Slot6_IsWG*BV87+Slot7_IsWG*CF87+Slot8_IsWG*CP87+Slot9_IsWG*CZ87+Slot10_IsWG*DJ87+Slot11_IsWG*DT87+Slot12_IsWG*ED87+Slot13_IsWG*EN87+Slot14_IsWG*EX87+Slot15_IsWG*FH87+Slot16_IsWG*FR87+Slot17_IsWG*GB87+Slot18_IsWG*GL87+Slot19_IsWG*GV87+Slot20_IsWG*HF87</f>
        <v>0</v>
      </c>
      <c r="IC87" s="20" t="n">
        <f aca="false">IF(AND(WI_Retire=0,WI_M&gt;0,G87=1,IB87&gt;=1),WI_M*12*F87,0)</f>
        <v>0</v>
      </c>
      <c r="ID87" s="20" t="n">
        <f aca="false">IF(HU87=1,MIN(IA87,HS87),0)</f>
        <v>0</v>
      </c>
      <c r="IE87" s="20" t="n">
        <f aca="false">IF(HU87=1,MIN(IC87,HS87-ID87),0)</f>
        <v>0</v>
      </c>
      <c r="IF87" s="20" t="n">
        <f aca="false">IF(W87=1,IF(ABS((1+AS_Wage)/(1+Slot1_Rate)-1)&lt;0.000000000001,(Slot1_Age-D87)*(1+Slot1_Rate)^(Slot1_Age-D87),(1+Slot1_Rate)^(Slot1_Age-D87)*(1-((1+AS_Wage)/(1+Slot1_Rate))^(Slot1_Age-D87))/(1-(1+AS_Wage)/(1+Slot1_Rate))),1)</f>
        <v>1</v>
      </c>
      <c r="IG87" s="20" t="n">
        <f aca="false">IF(AND(HU87=1,IE87&gt;0,Slot1_IsWG=1,W87=1),MAX(0,(Slot1_Cost-X87*(1+Slot1_Rate)^(Slot1_Age-D87))/IF87),0)</f>
        <v>0</v>
      </c>
      <c r="IH87" s="20" t="n">
        <f aca="false">IF(AND(HU87=1,IE87&gt;0,Slot1_IsWG=1,W87=1),MIN(IE87,IG87),0)</f>
        <v>0</v>
      </c>
      <c r="II87" s="20" t="n">
        <f aca="false">X87+IH87</f>
        <v>0</v>
      </c>
      <c r="IJ87" s="20" t="n">
        <f aca="false">IF(W87=1,MAX(0,(Slot1_Cost-II87*(1+Slot1_Rate)^(Slot1_Age-D87))/IF87),0)</f>
        <v>0</v>
      </c>
      <c r="IK87" s="20" t="n">
        <f aca="false">IF(W87=1,MAX(0,(Slot1_Cost-X87*(1+Slot1_Rate)^(Slot1_Age-D87))/IF87),0)</f>
        <v>0</v>
      </c>
      <c r="IL87" s="20" t="n">
        <f aca="false">IF(AND(HU87=1,W87=1),MIN(ID87,IJ87),0)</f>
        <v>0</v>
      </c>
      <c r="IM87" s="20" t="n">
        <f aca="false">ID87-IL87</f>
        <v>0</v>
      </c>
      <c r="IN87" s="20" t="n">
        <f aca="false">IF(AH87=1,IF(ABS((1+AS_Wage)/(1+Slot2_Rate)-1)&lt;0.000000000001,(Slot2_Age-D87)*(1+Slot2_Rate)^(Slot2_Age-D87),(1+Slot2_Rate)^(Slot2_Age-D87)*(1-((1+AS_Wage)/(1+Slot2_Rate))^(Slot2_Age-D87))/(1-(1+AS_Wage)/(1+Slot2_Rate))),1)</f>
        <v>1</v>
      </c>
      <c r="IO87" s="20" t="n">
        <f aca="false">IF(AND(HU87=1,IE87&gt;0,Slot2_IsWG=1,AH87=1),MAX(0,(Slot2_Cost-AI87*(1+Slot2_Rate)^(Slot2_Age-D87))/IN87),0)</f>
        <v>0</v>
      </c>
      <c r="IP87" s="20" t="n">
        <f aca="false">IF(AND(HU87=1,IE87&gt;0,Slot2_IsWG=1,AH87=1),MIN(IE87,IO87),0)</f>
        <v>0</v>
      </c>
      <c r="IQ87" s="20" t="n">
        <f aca="false">AI87+IP87</f>
        <v>0</v>
      </c>
      <c r="IR87" s="20" t="n">
        <f aca="false">IF(AH87=1,MAX(0,(Slot2_Cost-IQ87*(1+Slot2_Rate)^(Slot2_Age-D87))/IN87),0)</f>
        <v>0</v>
      </c>
      <c r="IS87" s="20" t="n">
        <f aca="false">IF(AH87=1,MAX(0,(Slot2_Cost-AI87*(1+Slot2_Rate)^(Slot2_Age-D87))/IN87),0)</f>
        <v>0</v>
      </c>
      <c r="IT87" s="20" t="n">
        <f aca="false">IF(AND(HU87=1,AH87=1),MIN(IM87,IR87),0)</f>
        <v>0</v>
      </c>
      <c r="IU87" s="20" t="n">
        <f aca="false">IM87-IT87</f>
        <v>0</v>
      </c>
      <c r="IV87" s="20" t="n">
        <f aca="false">IF(AR87=1,IF(ABS((1+AS_Wage)/(1+Slot3_Rate)-1)&lt;0.000000000001,(Slot3_Age-D87)*(1+Slot3_Rate)^(Slot3_Age-D87),(1+Slot3_Rate)^(Slot3_Age-D87)*(1-((1+AS_Wage)/(1+Slot3_Rate))^(Slot3_Age-D87))/(1-(1+AS_Wage)/(1+Slot3_Rate))),1)</f>
        <v>1</v>
      </c>
      <c r="IW87" s="20" t="n">
        <f aca="false">IF(AND(HU87=1,IE87&gt;0,Slot3_IsWG=1,AR87=1),MAX(0,(Slot3_Cost-AS87*(1+Slot3_Rate)^(Slot3_Age-D87))/IV87),0)</f>
        <v>0</v>
      </c>
      <c r="IX87" s="20" t="n">
        <f aca="false">IF(AND(HU87=1,IE87&gt;0,Slot3_IsWG=1,AR87=1),MIN(IE87,IW87),0)</f>
        <v>0</v>
      </c>
      <c r="IY87" s="20" t="n">
        <f aca="false">AS87+IX87</f>
        <v>0</v>
      </c>
      <c r="IZ87" s="20" t="n">
        <f aca="false">IF(AR87=1,MAX(0,(Slot3_Cost-IY87*(1+Slot3_Rate)^(Slot3_Age-D87))/IV87),0)</f>
        <v>0</v>
      </c>
      <c r="JA87" s="20" t="n">
        <f aca="false">IF(AR87=1,MAX(0,(Slot3_Cost-AS87*(1+Slot3_Rate)^(Slot3_Age-D87))/IV87),0)</f>
        <v>0</v>
      </c>
      <c r="JB87" s="20" t="n">
        <f aca="false">IF(AND(HU87=1,AR87=1),MIN(IU87,IZ87),0)</f>
        <v>0</v>
      </c>
      <c r="JC87" s="20" t="n">
        <f aca="false">IU87-JB87</f>
        <v>0</v>
      </c>
      <c r="JD87" s="20" t="n">
        <f aca="false">IF(BB87=1,IF(ABS((1+AS_Wage)/(1+Slot4_Rate)-1)&lt;0.000000000001,(Slot4_Age-D87)*(1+Slot4_Rate)^(Slot4_Age-D87),(1+Slot4_Rate)^(Slot4_Age-D87)*(1-((1+AS_Wage)/(1+Slot4_Rate))^(Slot4_Age-D87))/(1-(1+AS_Wage)/(1+Slot4_Rate))),1)</f>
        <v>1</v>
      </c>
      <c r="JE87" s="20" t="n">
        <f aca="false">IF(AND(HU87=1,IE87&gt;0,Slot4_IsWG=1,BB87=1),MAX(0,(Slot4_Cost-BC87*(1+Slot4_Rate)^(Slot4_Age-D87))/JD87),0)</f>
        <v>0</v>
      </c>
      <c r="JF87" s="20" t="n">
        <f aca="false">IF(AND(HU87=1,IE87&gt;0,Slot4_IsWG=1,BB87=1),MIN(IE87,JE87),0)</f>
        <v>0</v>
      </c>
      <c r="JG87" s="20" t="n">
        <f aca="false">BC87+JF87</f>
        <v>0</v>
      </c>
      <c r="JH87" s="20" t="n">
        <f aca="false">IF(BB87=1,MAX(0,(Slot4_Cost-JG87*(1+Slot4_Rate)^(Slot4_Age-D87))/JD87),0)</f>
        <v>0</v>
      </c>
      <c r="JI87" s="20" t="n">
        <f aca="false">IF(BB87=1,MAX(0,(Slot4_Cost-BC87*(1+Slot4_Rate)^(Slot4_Age-D87))/JD87),0)</f>
        <v>0</v>
      </c>
      <c r="JJ87" s="20" t="n">
        <f aca="false">IF(AND(HU87=1,BB87=1),MIN(JC87,JH87),0)</f>
        <v>0</v>
      </c>
      <c r="JK87" s="20" t="n">
        <f aca="false">JC87-JJ87</f>
        <v>0</v>
      </c>
      <c r="JL87" s="20" t="n">
        <f aca="false">IF(BL87=1,IF(ABS((1+AS_Wage)/(1+Slot5_Rate)-1)&lt;0.000000000001,(Slot5_Age-D87)*(1+Slot5_Rate)^(Slot5_Age-D87),(1+Slot5_Rate)^(Slot5_Age-D87)*(1-((1+AS_Wage)/(1+Slot5_Rate))^(Slot5_Age-D87))/(1-(1+AS_Wage)/(1+Slot5_Rate))),1)</f>
        <v>1</v>
      </c>
      <c r="JM87" s="20" t="n">
        <f aca="false">IF(AND(HU87=1,IE87&gt;0,Slot5_IsWG=1,BL87=1),MAX(0,(Slot5_Cost-BM87*(1+Slot5_Rate)^(Slot5_Age-D87))/JL87),0)</f>
        <v>0</v>
      </c>
      <c r="JN87" s="20" t="n">
        <f aca="false">IF(AND(HU87=1,IE87&gt;0,Slot5_IsWG=1,BL87=1),MIN(IE87,JM87),0)</f>
        <v>0</v>
      </c>
      <c r="JO87" s="20" t="n">
        <f aca="false">BM87+JN87</f>
        <v>0</v>
      </c>
      <c r="JP87" s="20" t="n">
        <f aca="false">IF(BL87=1,MAX(0,(Slot5_Cost-JO87*(1+Slot5_Rate)^(Slot5_Age-D87))/JL87),0)</f>
        <v>0</v>
      </c>
      <c r="JQ87" s="20" t="n">
        <f aca="false">IF(BL87=1,MAX(0,(Slot5_Cost-BM87*(1+Slot5_Rate)^(Slot5_Age-D87))/JL87),0)</f>
        <v>0</v>
      </c>
      <c r="JR87" s="20" t="n">
        <f aca="false">IF(AND(HU87=1,BL87=1),MIN(JK87,JP87),0)</f>
        <v>0</v>
      </c>
      <c r="JS87" s="20" t="n">
        <f aca="false">JK87-JR87</f>
        <v>0</v>
      </c>
      <c r="JT87" s="20" t="n">
        <f aca="false">IF(BV87=1,IF(ABS((1+AS_Wage)/(1+Slot6_Rate)-1)&lt;0.000000000001,(Slot6_Age-D87)*(1+Slot6_Rate)^(Slot6_Age-D87),(1+Slot6_Rate)^(Slot6_Age-D87)*(1-((1+AS_Wage)/(1+Slot6_Rate))^(Slot6_Age-D87))/(1-(1+AS_Wage)/(1+Slot6_Rate))),1)</f>
        <v>1</v>
      </c>
      <c r="JU87" s="20" t="n">
        <f aca="false">IF(AND(HU87=1,IE87&gt;0,Slot6_IsWG=1,BV87=1),MAX(0,(Slot6_Cost-BW87*(1+Slot6_Rate)^(Slot6_Age-D87))/JT87),0)</f>
        <v>0</v>
      </c>
      <c r="JV87" s="20" t="n">
        <f aca="false">IF(AND(HU87=1,IE87&gt;0,Slot6_IsWG=1,BV87=1),MIN(IE87,JU87),0)</f>
        <v>0</v>
      </c>
      <c r="JW87" s="20" t="n">
        <f aca="false">BW87+JV87</f>
        <v>0</v>
      </c>
      <c r="JX87" s="20" t="n">
        <f aca="false">IF(BV87=1,MAX(0,(Slot6_Cost-JW87*(1+Slot6_Rate)^(Slot6_Age-D87))/JT87),0)</f>
        <v>0</v>
      </c>
      <c r="JY87" s="20" t="n">
        <f aca="false">IF(BV87=1,MAX(0,(Slot6_Cost-BW87*(1+Slot6_Rate)^(Slot6_Age-D87))/JT87),0)</f>
        <v>0</v>
      </c>
      <c r="JZ87" s="20" t="n">
        <f aca="false">IF(AND(HU87=1,BV87=1),MIN(JS87,JX87),0)</f>
        <v>0</v>
      </c>
      <c r="KA87" s="20" t="n">
        <f aca="false">JS87-JZ87</f>
        <v>0</v>
      </c>
      <c r="KB87" s="20" t="n">
        <f aca="false">IF(CF87=1,IF(ABS((1+AS_Wage)/(1+Slot7_Rate)-1)&lt;0.000000000001,(Slot7_Age-D87)*(1+Slot7_Rate)^(Slot7_Age-D87),(1+Slot7_Rate)^(Slot7_Age-D87)*(1-((1+AS_Wage)/(1+Slot7_Rate))^(Slot7_Age-D87))/(1-(1+AS_Wage)/(1+Slot7_Rate))),1)</f>
        <v>1</v>
      </c>
      <c r="KC87" s="20" t="n">
        <f aca="false">IF(AND(HU87=1,IE87&gt;0,Slot7_IsWG=1,CF87=1),MAX(0,(Slot7_Cost-CG87*(1+Slot7_Rate)^(Slot7_Age-D87))/KB87),0)</f>
        <v>0</v>
      </c>
      <c r="KD87" s="20" t="n">
        <f aca="false">IF(AND(HU87=1,IE87&gt;0,Slot7_IsWG=1,CF87=1),MIN(IE87,KC87),0)</f>
        <v>0</v>
      </c>
      <c r="KE87" s="20" t="n">
        <f aca="false">CG87+KD87</f>
        <v>0</v>
      </c>
      <c r="KF87" s="20" t="n">
        <f aca="false">IF(CF87=1,MAX(0,(Slot7_Cost-KE87*(1+Slot7_Rate)^(Slot7_Age-D87))/KB87),0)</f>
        <v>0</v>
      </c>
      <c r="KG87" s="20" t="n">
        <f aca="false">IF(CF87=1,MAX(0,(Slot7_Cost-CG87*(1+Slot7_Rate)^(Slot7_Age-D87))/KB87),0)</f>
        <v>0</v>
      </c>
      <c r="KH87" s="20" t="n">
        <f aca="false">IF(AND(HU87=1,CF87=1),MIN(KA87,KF87),0)</f>
        <v>0</v>
      </c>
      <c r="KI87" s="20" t="n">
        <f aca="false">KA87-KH87</f>
        <v>0</v>
      </c>
      <c r="KJ87" s="20" t="n">
        <f aca="false">IF(CP87=1,IF(ABS((1+AS_Wage)/(1+Slot8_Rate)-1)&lt;0.000000000001,(Slot8_Age-D87)*(1+Slot8_Rate)^(Slot8_Age-D87),(1+Slot8_Rate)^(Slot8_Age-D87)*(1-((1+AS_Wage)/(1+Slot8_Rate))^(Slot8_Age-D87))/(1-(1+AS_Wage)/(1+Slot8_Rate))),1)</f>
        <v>1</v>
      </c>
      <c r="KK87" s="20" t="n">
        <f aca="false">IF(AND(HU87=1,IE87&gt;0,Slot8_IsWG=1,CP87=1),MAX(0,(Slot8_Cost-CQ87*(1+Slot8_Rate)^(Slot8_Age-D87))/KJ87),0)</f>
        <v>0</v>
      </c>
      <c r="KL87" s="20" t="n">
        <f aca="false">IF(AND(HU87=1,IE87&gt;0,Slot8_IsWG=1,CP87=1),MIN(IE87,KK87),0)</f>
        <v>0</v>
      </c>
      <c r="KM87" s="20" t="n">
        <f aca="false">CQ87+KL87</f>
        <v>0</v>
      </c>
      <c r="KN87" s="20" t="n">
        <f aca="false">IF(CP87=1,MAX(0,(Slot8_Cost-KM87*(1+Slot8_Rate)^(Slot8_Age-D87))/KJ87),0)</f>
        <v>0</v>
      </c>
      <c r="KO87" s="20" t="n">
        <f aca="false">IF(CP87=1,MAX(0,(Slot8_Cost-CQ87*(1+Slot8_Rate)^(Slot8_Age-D87))/KJ87),0)</f>
        <v>0</v>
      </c>
      <c r="KP87" s="20" t="n">
        <f aca="false">IF(AND(HU87=1,CP87=1),MIN(KI87,KN87),0)</f>
        <v>0</v>
      </c>
      <c r="KQ87" s="20" t="n">
        <f aca="false">KI87-KP87</f>
        <v>0</v>
      </c>
      <c r="KR87" s="20" t="n">
        <f aca="false">IF(CZ87=1,IF(ABS((1+AS_Wage)/(1+Slot9_Rate)-1)&lt;0.000000000001,(Slot9_Age-D87)*(1+Slot9_Rate)^(Slot9_Age-D87),(1+Slot9_Rate)^(Slot9_Age-D87)*(1-((1+AS_Wage)/(1+Slot9_Rate))^(Slot9_Age-D87))/(1-(1+AS_Wage)/(1+Slot9_Rate))),1)</f>
        <v>1</v>
      </c>
      <c r="KS87" s="20" t="n">
        <f aca="false">IF(AND(HU87=1,IE87&gt;0,Slot9_IsWG=1,CZ87=1),MAX(0,(Slot9_Cost-DA87*(1+Slot9_Rate)^(Slot9_Age-D87))/KR87),0)</f>
        <v>0</v>
      </c>
      <c r="KT87" s="20" t="n">
        <f aca="false">IF(AND(HU87=1,IE87&gt;0,Slot9_IsWG=1,CZ87=1),MIN(IE87,KS87),0)</f>
        <v>0</v>
      </c>
      <c r="KU87" s="20" t="n">
        <f aca="false">DA87+KT87</f>
        <v>0</v>
      </c>
      <c r="KV87" s="20" t="n">
        <f aca="false">IF(CZ87=1,MAX(0,(Slot9_Cost-KU87*(1+Slot9_Rate)^(Slot9_Age-D87))/KR87),0)</f>
        <v>0</v>
      </c>
      <c r="KW87" s="20" t="n">
        <f aca="false">IF(CZ87=1,MAX(0,(Slot9_Cost-DA87*(1+Slot9_Rate)^(Slot9_Age-D87))/KR87),0)</f>
        <v>0</v>
      </c>
      <c r="KX87" s="20" t="n">
        <f aca="false">IF(AND(HU87=1,CZ87=1),MIN(KQ87,KV87),0)</f>
        <v>0</v>
      </c>
      <c r="KY87" s="20" t="n">
        <f aca="false">KQ87-KX87</f>
        <v>0</v>
      </c>
      <c r="KZ87" s="20" t="n">
        <f aca="false">IF(DJ87=1,IF(ABS((1+AS_Wage)/(1+Slot10_Rate)-1)&lt;0.000000000001,(Slot10_Age-D87)*(1+Slot10_Rate)^(Slot10_Age-D87),(1+Slot10_Rate)^(Slot10_Age-D87)*(1-((1+AS_Wage)/(1+Slot10_Rate))^(Slot10_Age-D87))/(1-(1+AS_Wage)/(1+Slot10_Rate))),1)</f>
        <v>1</v>
      </c>
      <c r="LA87" s="20" t="n">
        <f aca="false">IF(AND(HU87=1,IE87&gt;0,Slot10_IsWG=1,DJ87=1),MAX(0,(Slot10_Cost-DK87*(1+Slot10_Rate)^(Slot10_Age-D87))/KZ87),0)</f>
        <v>0</v>
      </c>
      <c r="LB87" s="20" t="n">
        <f aca="false">IF(AND(HU87=1,IE87&gt;0,Slot10_IsWG=1,DJ87=1),MIN(IE87,LA87),0)</f>
        <v>0</v>
      </c>
      <c r="LC87" s="20" t="n">
        <f aca="false">DK87+LB87</f>
        <v>0</v>
      </c>
      <c r="LD87" s="20" t="n">
        <f aca="false">IF(DJ87=1,MAX(0,(Slot10_Cost-LC87*(1+Slot10_Rate)^(Slot10_Age-D87))/KZ87),0)</f>
        <v>0</v>
      </c>
      <c r="LE87" s="20" t="n">
        <f aca="false">IF(DJ87=1,MAX(0,(Slot10_Cost-DK87*(1+Slot10_Rate)^(Slot10_Age-D87))/KZ87),0)</f>
        <v>0</v>
      </c>
      <c r="LF87" s="20" t="n">
        <f aca="false">IF(AND(HU87=1,DJ87=1),MIN(KY87,LD87),0)</f>
        <v>0</v>
      </c>
      <c r="LG87" s="20" t="n">
        <f aca="false">KY87-LF87</f>
        <v>0</v>
      </c>
      <c r="LH87" s="20" t="n">
        <f aca="false">IF(DT87=1,IF(ABS((1+AS_Wage)/(1+Slot11_Rate)-1)&lt;0.000000000001,(Slot11_Age-D87)*(1+Slot11_Rate)^(Slot11_Age-D87),(1+Slot11_Rate)^(Slot11_Age-D87)*(1-((1+AS_Wage)/(1+Slot11_Rate))^(Slot11_Age-D87))/(1-(1+AS_Wage)/(1+Slot11_Rate))),1)</f>
        <v>1</v>
      </c>
      <c r="LI87" s="20" t="n">
        <f aca="false">IF(AND(HU87=1,IE87&gt;0,Slot11_IsWG=1,DT87=1),MAX(0,(Slot11_Cost-DU87*(1+Slot11_Rate)^(Slot11_Age-D87))/LH87),0)</f>
        <v>0</v>
      </c>
      <c r="LJ87" s="20" t="n">
        <f aca="false">IF(AND(HU87=1,IE87&gt;0,Slot11_IsWG=1,DT87=1),MIN(IE87,LI87),0)</f>
        <v>0</v>
      </c>
      <c r="LK87" s="20" t="n">
        <f aca="false">DU87+LJ87</f>
        <v>0</v>
      </c>
      <c r="LL87" s="20" t="n">
        <f aca="false">IF(DT87=1,MAX(0,(Slot11_Cost-LK87*(1+Slot11_Rate)^(Slot11_Age-D87))/LH87),0)</f>
        <v>0</v>
      </c>
      <c r="LM87" s="20" t="n">
        <f aca="false">IF(DT87=1,MAX(0,(Slot11_Cost-DU87*(1+Slot11_Rate)^(Slot11_Age-D87))/LH87),0)</f>
        <v>0</v>
      </c>
      <c r="LN87" s="20" t="n">
        <f aca="false">IF(AND(HU87=1,DT87=1),MIN(LG87,LL87),0)</f>
        <v>0</v>
      </c>
      <c r="LO87" s="20" t="n">
        <f aca="false">LG87-LN87</f>
        <v>0</v>
      </c>
      <c r="LP87" s="20" t="n">
        <f aca="false">IF(ED87=1,IF(ABS((1+AS_Wage)/(1+Slot12_Rate)-1)&lt;0.000000000001,(Slot12_Age-D87)*(1+Slot12_Rate)^(Slot12_Age-D87),(1+Slot12_Rate)^(Slot12_Age-D87)*(1-((1+AS_Wage)/(1+Slot12_Rate))^(Slot12_Age-D87))/(1-(1+AS_Wage)/(1+Slot12_Rate))),1)</f>
        <v>1</v>
      </c>
      <c r="LQ87" s="20" t="n">
        <f aca="false">IF(AND(HU87=1,IE87&gt;0,Slot12_IsWG=1,ED87=1),MAX(0,(Slot12_Cost-EE87*(1+Slot12_Rate)^(Slot12_Age-D87))/LP87),0)</f>
        <v>0</v>
      </c>
      <c r="LR87" s="20" t="n">
        <f aca="false">IF(AND(HU87=1,IE87&gt;0,Slot12_IsWG=1,ED87=1),MIN(IE87,LQ87),0)</f>
        <v>0</v>
      </c>
      <c r="LS87" s="20" t="n">
        <f aca="false">EE87+LR87</f>
        <v>0</v>
      </c>
      <c r="LT87" s="20" t="n">
        <f aca="false">IF(ED87=1,MAX(0,(Slot12_Cost-LS87*(1+Slot12_Rate)^(Slot12_Age-D87))/LP87),0)</f>
        <v>0</v>
      </c>
      <c r="LU87" s="20" t="n">
        <f aca="false">IF(ED87=1,MAX(0,(Slot12_Cost-EE87*(1+Slot12_Rate)^(Slot12_Age-D87))/LP87),0)</f>
        <v>0</v>
      </c>
      <c r="LV87" s="20" t="n">
        <f aca="false">IF(AND(HU87=1,ED87=1),MIN(LO87,LT87),0)</f>
        <v>0</v>
      </c>
      <c r="LW87" s="20" t="n">
        <f aca="false">LO87-LV87</f>
        <v>0</v>
      </c>
      <c r="LX87" s="20" t="n">
        <f aca="false">IF(EN87=1,IF(ABS((1+AS_Wage)/(1+Slot13_Rate)-1)&lt;0.000000000001,(Slot13_Age-D87)*(1+Slot13_Rate)^(Slot13_Age-D87),(1+Slot13_Rate)^(Slot13_Age-D87)*(1-((1+AS_Wage)/(1+Slot13_Rate))^(Slot13_Age-D87))/(1-(1+AS_Wage)/(1+Slot13_Rate))),1)</f>
        <v>1</v>
      </c>
      <c r="LY87" s="20" t="n">
        <f aca="false">IF(AND(HU87=1,IE87&gt;0,Slot13_IsWG=1,EN87=1),MAX(0,(Slot13_Cost-EO87*(1+Slot13_Rate)^(Slot13_Age-D87))/LX87),0)</f>
        <v>0</v>
      </c>
      <c r="LZ87" s="20" t="n">
        <f aca="false">IF(AND(HU87=1,IE87&gt;0,Slot13_IsWG=1,EN87=1),MIN(IE87,LY87),0)</f>
        <v>0</v>
      </c>
      <c r="MA87" s="20" t="n">
        <f aca="false">EO87+LZ87</f>
        <v>0</v>
      </c>
      <c r="MB87" s="20" t="n">
        <f aca="false">IF(EN87=1,MAX(0,(Slot13_Cost-MA87*(1+Slot13_Rate)^(Slot13_Age-D87))/LX87),0)</f>
        <v>0</v>
      </c>
      <c r="MC87" s="20" t="n">
        <f aca="false">IF(EN87=1,MAX(0,(Slot13_Cost-EO87*(1+Slot13_Rate)^(Slot13_Age-D87))/LX87),0)</f>
        <v>0</v>
      </c>
      <c r="MD87" s="20" t="n">
        <f aca="false">IF(AND(HU87=1,EN87=1),MIN(LW87,MB87),0)</f>
        <v>0</v>
      </c>
      <c r="ME87" s="20" t="n">
        <f aca="false">LW87-MD87</f>
        <v>0</v>
      </c>
      <c r="MF87" s="20" t="n">
        <f aca="false">IF(EX87=1,IF(ABS((1+AS_Wage)/(1+Slot14_Rate)-1)&lt;0.000000000001,(Slot14_Age-D87)*(1+Slot14_Rate)^(Slot14_Age-D87),(1+Slot14_Rate)^(Slot14_Age-D87)*(1-((1+AS_Wage)/(1+Slot14_Rate))^(Slot14_Age-D87))/(1-(1+AS_Wage)/(1+Slot14_Rate))),1)</f>
        <v>1</v>
      </c>
      <c r="MG87" s="20" t="n">
        <f aca="false">IF(AND(HU87=1,IE87&gt;0,Slot14_IsWG=1,EX87=1),MAX(0,(Slot14_Cost-EY87*(1+Slot14_Rate)^(Slot14_Age-D87))/MF87),0)</f>
        <v>0</v>
      </c>
      <c r="MH87" s="20" t="n">
        <f aca="false">IF(AND(HU87=1,IE87&gt;0,Slot14_IsWG=1,EX87=1),MIN(IE87,MG87),0)</f>
        <v>0</v>
      </c>
      <c r="MI87" s="20" t="n">
        <f aca="false">EY87+MH87</f>
        <v>0</v>
      </c>
      <c r="MJ87" s="20" t="n">
        <f aca="false">IF(EX87=1,MAX(0,(Slot14_Cost-MI87*(1+Slot14_Rate)^(Slot14_Age-D87))/MF87),0)</f>
        <v>0</v>
      </c>
      <c r="MK87" s="20" t="n">
        <f aca="false">IF(EX87=1,MAX(0,(Slot14_Cost-EY87*(1+Slot14_Rate)^(Slot14_Age-D87))/MF87),0)</f>
        <v>0</v>
      </c>
      <c r="ML87" s="20" t="n">
        <f aca="false">IF(AND(HU87=1,EX87=1),MIN(ME87,MJ87),0)</f>
        <v>0</v>
      </c>
      <c r="MM87" s="20" t="n">
        <f aca="false">ME87-ML87</f>
        <v>0</v>
      </c>
      <c r="MN87" s="20" t="n">
        <f aca="false">IF(FH87=1,IF(ABS((1+AS_Wage)/(1+Slot15_Rate)-1)&lt;0.000000000001,(Slot15_Age-D87)*(1+Slot15_Rate)^(Slot15_Age-D87),(1+Slot15_Rate)^(Slot15_Age-D87)*(1-((1+AS_Wage)/(1+Slot15_Rate))^(Slot15_Age-D87))/(1-(1+AS_Wage)/(1+Slot15_Rate))),1)</f>
        <v>1</v>
      </c>
      <c r="MO87" s="20" t="n">
        <f aca="false">IF(AND(HU87=1,IE87&gt;0,Slot15_IsWG=1,FH87=1),MAX(0,(Slot15_Cost-FI87*(1+Slot15_Rate)^(Slot15_Age-D87))/MN87),0)</f>
        <v>0</v>
      </c>
      <c r="MP87" s="20" t="n">
        <f aca="false">IF(AND(HU87=1,IE87&gt;0,Slot15_IsWG=1,FH87=1),MIN(IE87,MO87),0)</f>
        <v>0</v>
      </c>
      <c r="MQ87" s="20" t="n">
        <f aca="false">FI87+MP87</f>
        <v>0</v>
      </c>
      <c r="MR87" s="20" t="n">
        <f aca="false">IF(FH87=1,MAX(0,(Slot15_Cost-MQ87*(1+Slot15_Rate)^(Slot15_Age-D87))/MN87),0)</f>
        <v>0</v>
      </c>
      <c r="MS87" s="20" t="n">
        <f aca="false">IF(FH87=1,MAX(0,(Slot15_Cost-FI87*(1+Slot15_Rate)^(Slot15_Age-D87))/MN87),0)</f>
        <v>0</v>
      </c>
      <c r="MT87" s="20" t="n">
        <f aca="false">IF(AND(HU87=1,FH87=1),MIN(MM87,MR87),0)</f>
        <v>0</v>
      </c>
      <c r="MU87" s="20" t="n">
        <f aca="false">MM87-MT87</f>
        <v>0</v>
      </c>
      <c r="MV87" s="20" t="n">
        <f aca="false">IF(FR87=1,IF(ABS((1+AS_Wage)/(1+Slot16_Rate)-1)&lt;0.000000000001,(Slot16_Age-D87)*(1+Slot16_Rate)^(Slot16_Age-D87),(1+Slot16_Rate)^(Slot16_Age-D87)*(1-((1+AS_Wage)/(1+Slot16_Rate))^(Slot16_Age-D87))/(1-(1+AS_Wage)/(1+Slot16_Rate))),1)</f>
        <v>1</v>
      </c>
      <c r="MW87" s="20" t="n">
        <f aca="false">IF(AND(HU87=1,IE87&gt;0,Slot16_IsWG=1,FR87=1),MAX(0,(Slot16_Cost-FS87*(1+Slot16_Rate)^(Slot16_Age-D87))/MV87),0)</f>
        <v>0</v>
      </c>
      <c r="MX87" s="20" t="n">
        <f aca="false">IF(AND(HU87=1,IE87&gt;0,Slot16_IsWG=1,FR87=1),MIN(IE87,MW87),0)</f>
        <v>0</v>
      </c>
      <c r="MY87" s="20" t="n">
        <f aca="false">FS87+MX87</f>
        <v>0</v>
      </c>
      <c r="MZ87" s="20" t="n">
        <f aca="false">IF(FR87=1,MAX(0,(Slot16_Cost-MY87*(1+Slot16_Rate)^(Slot16_Age-D87))/MV87),0)</f>
        <v>0</v>
      </c>
      <c r="NA87" s="20" t="n">
        <f aca="false">IF(FR87=1,MAX(0,(Slot16_Cost-FS87*(1+Slot16_Rate)^(Slot16_Age-D87))/MV87),0)</f>
        <v>0</v>
      </c>
      <c r="NB87" s="20" t="n">
        <f aca="false">IF(AND(HU87=1,FR87=1),MIN(MU87,MZ87),0)</f>
        <v>0</v>
      </c>
      <c r="NC87" s="20" t="n">
        <f aca="false">MU87-NB87</f>
        <v>0</v>
      </c>
      <c r="ND87" s="20" t="n">
        <f aca="false">IF(GB87=1,IF(ABS((1+AS_Wage)/(1+Slot17_Rate)-1)&lt;0.000000000001,(Slot17_Age-D87)*(1+Slot17_Rate)^(Slot17_Age-D87),(1+Slot17_Rate)^(Slot17_Age-D87)*(1-((1+AS_Wage)/(1+Slot17_Rate))^(Slot17_Age-D87))/(1-(1+AS_Wage)/(1+Slot17_Rate))),1)</f>
        <v>1</v>
      </c>
      <c r="NE87" s="20" t="n">
        <f aca="false">IF(AND(HU87=1,IE87&gt;0,Slot17_IsWG=1,GB87=1),MAX(0,(Slot17_Cost-GC87*(1+Slot17_Rate)^(Slot17_Age-D87))/ND87),0)</f>
        <v>0</v>
      </c>
      <c r="NF87" s="20" t="n">
        <f aca="false">IF(AND(HU87=1,IE87&gt;0,Slot17_IsWG=1,GB87=1),MIN(IE87,NE87),0)</f>
        <v>0</v>
      </c>
      <c r="NG87" s="20" t="n">
        <f aca="false">GC87+NF87</f>
        <v>0</v>
      </c>
      <c r="NH87" s="20" t="n">
        <f aca="false">IF(GB87=1,MAX(0,(Slot17_Cost-NG87*(1+Slot17_Rate)^(Slot17_Age-D87))/ND87),0)</f>
        <v>0</v>
      </c>
      <c r="NI87" s="20" t="n">
        <f aca="false">IF(GB87=1,MAX(0,(Slot17_Cost-GC87*(1+Slot17_Rate)^(Slot17_Age-D87))/ND87),0)</f>
        <v>0</v>
      </c>
      <c r="NJ87" s="20" t="n">
        <f aca="false">IF(AND(HU87=1,GB87=1),MIN(NC87,NH87),0)</f>
        <v>0</v>
      </c>
      <c r="NK87" s="20" t="n">
        <f aca="false">NC87-NJ87</f>
        <v>0</v>
      </c>
      <c r="NL87" s="20" t="n">
        <f aca="false">IF(GL87=1,IF(ABS((1+AS_Wage)/(1+Slot18_Rate)-1)&lt;0.000000000001,(Slot18_Age-D87)*(1+Slot18_Rate)^(Slot18_Age-D87),(1+Slot18_Rate)^(Slot18_Age-D87)*(1-((1+AS_Wage)/(1+Slot18_Rate))^(Slot18_Age-D87))/(1-(1+AS_Wage)/(1+Slot18_Rate))),1)</f>
        <v>1</v>
      </c>
      <c r="NM87" s="20" t="n">
        <f aca="false">IF(AND(HU87=1,IE87&gt;0,Slot18_IsWG=1,GL87=1),MAX(0,(Slot18_Cost-GM87*(1+Slot18_Rate)^(Slot18_Age-D87))/NL87),0)</f>
        <v>0</v>
      </c>
      <c r="NN87" s="20" t="n">
        <f aca="false">IF(AND(HU87=1,IE87&gt;0,Slot18_IsWG=1,GL87=1),MIN(IE87,NM87),0)</f>
        <v>0</v>
      </c>
      <c r="NO87" s="20" t="n">
        <f aca="false">GM87+NN87</f>
        <v>0</v>
      </c>
      <c r="NP87" s="20" t="n">
        <f aca="false">IF(GL87=1,MAX(0,(Slot18_Cost-NO87*(1+Slot18_Rate)^(Slot18_Age-D87))/NL87),0)</f>
        <v>0</v>
      </c>
      <c r="NQ87" s="20" t="n">
        <f aca="false">IF(GL87=1,MAX(0,(Slot18_Cost-GM87*(1+Slot18_Rate)^(Slot18_Age-D87))/NL87),0)</f>
        <v>0</v>
      </c>
      <c r="NR87" s="20" t="n">
        <f aca="false">IF(AND(HU87=1,GL87=1),MIN(NK87,NP87),0)</f>
        <v>0</v>
      </c>
      <c r="NS87" s="20" t="n">
        <f aca="false">NK87-NR87</f>
        <v>0</v>
      </c>
      <c r="NT87" s="20" t="n">
        <f aca="false">IF(GV87=1,IF(ABS((1+AS_Wage)/(1+Slot19_Rate)-1)&lt;0.000000000001,(Slot19_Age-D87)*(1+Slot19_Rate)^(Slot19_Age-D87),(1+Slot19_Rate)^(Slot19_Age-D87)*(1-((1+AS_Wage)/(1+Slot19_Rate))^(Slot19_Age-D87))/(1-(1+AS_Wage)/(1+Slot19_Rate))),1)</f>
        <v>1</v>
      </c>
      <c r="NU87" s="20" t="n">
        <f aca="false">IF(AND(HU87=1,IE87&gt;0,Slot19_IsWG=1,GV87=1),MAX(0,(Slot19_Cost-GW87*(1+Slot19_Rate)^(Slot19_Age-D87))/NT87),0)</f>
        <v>0</v>
      </c>
      <c r="NV87" s="20" t="n">
        <f aca="false">IF(AND(HU87=1,IE87&gt;0,Slot19_IsWG=1,GV87=1),MIN(IE87,NU87),0)</f>
        <v>0</v>
      </c>
      <c r="NW87" s="20" t="n">
        <f aca="false">GW87+NV87</f>
        <v>0</v>
      </c>
      <c r="NX87" s="20" t="n">
        <f aca="false">IF(GV87=1,MAX(0,(Slot19_Cost-NW87*(1+Slot19_Rate)^(Slot19_Age-D87))/NT87),0)</f>
        <v>0</v>
      </c>
      <c r="NY87" s="20" t="n">
        <f aca="false">IF(GV87=1,MAX(0,(Slot19_Cost-GW87*(1+Slot19_Rate)^(Slot19_Age-D87))/NT87),0)</f>
        <v>0</v>
      </c>
      <c r="NZ87" s="20" t="n">
        <f aca="false">IF(AND(HU87=1,GV87=1),MIN(NS87,NX87),0)</f>
        <v>0</v>
      </c>
      <c r="OA87" s="20" t="n">
        <f aca="false">NS87-NZ87</f>
        <v>0</v>
      </c>
      <c r="OB87" s="20" t="n">
        <f aca="false">IF(HF87=1,IF(ABS((1+AS_Wage)/(1+Slot20_Rate)-1)&lt;0.000000000001,(Slot20_Age-D87)*(1+Slot20_Rate)^(Slot20_Age-D87),(1+Slot20_Rate)^(Slot20_Age-D87)*(1-((1+AS_Wage)/(1+Slot20_Rate))^(Slot20_Age-D87))/(1-(1+AS_Wage)/(1+Slot20_Rate))),1)</f>
        <v>1</v>
      </c>
      <c r="OC87" s="20" t="n">
        <f aca="false">IF(AND(HU87=1,IE87&gt;0,Slot20_IsWG=1,HF87=1),MAX(0,(Slot20_Cost-HG87*(1+Slot20_Rate)^(Slot20_Age-D87))/OB87),0)</f>
        <v>0</v>
      </c>
      <c r="OD87" s="20" t="n">
        <f aca="false">IF(AND(HU87=1,IE87&gt;0,Slot20_IsWG=1,HF87=1),MIN(IE87,OC87),0)</f>
        <v>0</v>
      </c>
      <c r="OE87" s="20" t="n">
        <f aca="false">HG87+OD87</f>
        <v>0</v>
      </c>
      <c r="OF87" s="20" t="n">
        <f aca="false">IF(HF87=1,MAX(0,(Slot20_Cost-OE87*(1+Slot20_Rate)^(Slot20_Age-D87))/OB87),0)</f>
        <v>0</v>
      </c>
      <c r="OG87" s="20" t="n">
        <f aca="false">IF(HF87=1,MAX(0,(Slot20_Cost-HG87*(1+Slot20_Rate)^(Slot20_Age-D87))/OB87),0)</f>
        <v>0</v>
      </c>
      <c r="OH87" s="20" t="n">
        <f aca="false">IF(AND(HU87=1,HF87=1),MIN(OA87,OF87),0)</f>
        <v>0</v>
      </c>
      <c r="OI87" s="20" t="n">
        <f aca="false">OA87-OH87</f>
        <v>0</v>
      </c>
      <c r="OJ87" s="20" t="n">
        <f aca="false">IE87-(IH87+IP87+IX87+JF87+JN87+JV87+KD87+KL87+KT87+LB87+LJ87+LR87+LZ87+MH87+MP87+MX87+NF87+NN87+NV87+OD87)</f>
        <v>0</v>
      </c>
      <c r="OK87" s="20" t="n">
        <f aca="false">IF(HU87=1,HS87-ID87-IE87,0)</f>
        <v>0</v>
      </c>
      <c r="OL87" s="20" t="n">
        <f aca="false">IF(HU87=0,-HS87,0)</f>
        <v>92086.1476181944</v>
      </c>
      <c r="OM87" s="20" t="n">
        <f aca="false">MIN(OL87,HK87)</f>
        <v>0</v>
      </c>
      <c r="ON87" s="20" t="n">
        <f aca="false">OL87-OM87</f>
        <v>92086.1476181944</v>
      </c>
      <c r="OO87" s="20" t="n">
        <f aca="false">MIN(ON87,HL87)</f>
        <v>0</v>
      </c>
      <c r="OP87" s="20" t="n">
        <f aca="false">ON87-OO87</f>
        <v>92086.1476181944</v>
      </c>
      <c r="OQ87" s="20" t="n">
        <f aca="false">IF(AND(HU87=0,HF87=1,OP87&gt;0),MIN(OP87,HG87),0)</f>
        <v>0</v>
      </c>
      <c r="OR87" s="20" t="n">
        <f aca="false">OP87-OQ87</f>
        <v>92086.1476181944</v>
      </c>
      <c r="OS87" s="20" t="n">
        <f aca="false">IF(AND(HU87=0,GV87=1,OR87&gt;0),MIN(OR87,GW87),0)</f>
        <v>0</v>
      </c>
      <c r="OT87" s="20" t="n">
        <f aca="false">OR87-OS87</f>
        <v>92086.1476181944</v>
      </c>
      <c r="OU87" s="20" t="n">
        <f aca="false">IF(AND(HU87=0,GL87=1,OT87&gt;0),MIN(OT87,GM87),0)</f>
        <v>0</v>
      </c>
      <c r="OV87" s="20" t="n">
        <f aca="false">OT87-OU87</f>
        <v>92086.1476181944</v>
      </c>
      <c r="OW87" s="20" t="n">
        <f aca="false">IF(AND(HU87=0,GB87=1,OV87&gt;0),MIN(OV87,GC87),0)</f>
        <v>0</v>
      </c>
      <c r="OX87" s="20" t="n">
        <f aca="false">OV87-OW87</f>
        <v>92086.1476181944</v>
      </c>
      <c r="OY87" s="20" t="n">
        <f aca="false">IF(AND(HU87=0,FR87=1,OX87&gt;0),MIN(OX87,FS87),0)</f>
        <v>0</v>
      </c>
      <c r="OZ87" s="20" t="n">
        <f aca="false">OX87-OY87</f>
        <v>92086.1476181944</v>
      </c>
      <c r="PA87" s="20" t="n">
        <f aca="false">IF(AND(HU87=0,FH87=1,OZ87&gt;0),MIN(OZ87,FI87),0)</f>
        <v>0</v>
      </c>
      <c r="PB87" s="20" t="n">
        <f aca="false">OZ87-PA87</f>
        <v>92086.1476181944</v>
      </c>
      <c r="PC87" s="20" t="n">
        <f aca="false">IF(AND(HU87=0,EX87=1,PB87&gt;0),MIN(PB87,EY87),0)</f>
        <v>0</v>
      </c>
      <c r="PD87" s="20" t="n">
        <f aca="false">PB87-PC87</f>
        <v>92086.1476181944</v>
      </c>
      <c r="PE87" s="20" t="n">
        <f aca="false">IF(AND(HU87=0,EN87=1,PD87&gt;0),MIN(PD87,EO87),0)</f>
        <v>0</v>
      </c>
      <c r="PF87" s="20" t="n">
        <f aca="false">PD87-PE87</f>
        <v>92086.1476181944</v>
      </c>
      <c r="PG87" s="20" t="n">
        <f aca="false">IF(AND(HU87=0,ED87=1,PF87&gt;0),MIN(PF87,EE87),0)</f>
        <v>0</v>
      </c>
      <c r="PH87" s="20" t="n">
        <f aca="false">PF87-PG87</f>
        <v>92086.1476181944</v>
      </c>
      <c r="PI87" s="20" t="n">
        <f aca="false">IF(AND(HU87=0,DT87=1,PH87&gt;0),MIN(PH87,DU87),0)</f>
        <v>0</v>
      </c>
      <c r="PJ87" s="20" t="n">
        <f aca="false">PH87-PI87</f>
        <v>92086.1476181944</v>
      </c>
      <c r="PK87" s="20" t="n">
        <f aca="false">IF(AND(HU87=0,DJ87=1,PJ87&gt;0),MIN(PJ87,DK87),0)</f>
        <v>0</v>
      </c>
      <c r="PL87" s="20" t="n">
        <f aca="false">PJ87-PK87</f>
        <v>92086.1476181944</v>
      </c>
      <c r="PM87" s="20" t="n">
        <f aca="false">IF(AND(HU87=0,CZ87=1,PL87&gt;0),MIN(PL87,DA87),0)</f>
        <v>0</v>
      </c>
      <c r="PN87" s="20" t="n">
        <f aca="false">PL87-PM87</f>
        <v>92086.1476181944</v>
      </c>
      <c r="PO87" s="20" t="n">
        <f aca="false">IF(AND(HU87=0,CP87=1,PN87&gt;0),MIN(PN87,CQ87),0)</f>
        <v>0</v>
      </c>
      <c r="PP87" s="20" t="n">
        <f aca="false">PN87-PO87</f>
        <v>92086.1476181944</v>
      </c>
      <c r="PQ87" s="20" t="n">
        <f aca="false">IF(AND(HU87=0,CF87=1,PP87&gt;0),MIN(PP87,CG87),0)</f>
        <v>0</v>
      </c>
      <c r="PR87" s="20" t="n">
        <f aca="false">PP87-PQ87</f>
        <v>92086.1476181944</v>
      </c>
      <c r="PS87" s="20" t="n">
        <f aca="false">IF(AND(HU87=0,BV87=1,PR87&gt;0),MIN(PR87,BW87),0)</f>
        <v>0</v>
      </c>
      <c r="PT87" s="20" t="n">
        <f aca="false">PR87-PS87</f>
        <v>92086.1476181944</v>
      </c>
      <c r="PU87" s="20" t="n">
        <f aca="false">IF(AND(HU87=0,BL87=1,PT87&gt;0),MIN(PT87,BM87),0)</f>
        <v>0</v>
      </c>
      <c r="PV87" s="20" t="n">
        <f aca="false">PT87-PU87</f>
        <v>92086.1476181944</v>
      </c>
      <c r="PW87" s="20" t="n">
        <f aca="false">IF(AND(HU87=0,BB87=1,PV87&gt;0),MIN(PV87,BC87),0)</f>
        <v>0</v>
      </c>
      <c r="PX87" s="20" t="n">
        <f aca="false">PV87-PW87</f>
        <v>92086.1476181944</v>
      </c>
      <c r="PY87" s="20" t="n">
        <f aca="false">IF(AND(HU87=0,AR87=1,PX87&gt;0),MIN(PX87,AS87),0)</f>
        <v>0</v>
      </c>
      <c r="PZ87" s="20" t="n">
        <f aca="false">PX87-PY87</f>
        <v>92086.1476181944</v>
      </c>
      <c r="QA87" s="20" t="n">
        <f aca="false">IF(AND(HU87=0,AH87=1,PZ87&gt;0),MIN(PZ87,AI87),0)</f>
        <v>0</v>
      </c>
      <c r="QB87" s="20" t="n">
        <f aca="false">PZ87-QA87</f>
        <v>92086.1476181944</v>
      </c>
      <c r="QC87" s="20" t="n">
        <f aca="false">IF(AND(HU87=0,W87=1,QB87&gt;0),MIN(QB87,X87),0)</f>
        <v>0</v>
      </c>
      <c r="QD87" s="20" t="n">
        <f aca="false">QB87-QC87</f>
        <v>92086.1476181944</v>
      </c>
      <c r="QE87" s="20" t="n">
        <f aca="false">IF(HU87=0,QD87,0)</f>
        <v>92086.1476181944</v>
      </c>
      <c r="QF87" s="20" t="n">
        <f aca="false">OM87+OO87+QC87+QA87+PY87+PW87+PU87+PS87+PQ87+PO87+PM87+PK87+PI87+PG87+PE87+PC87+PA87+OY87+OW87+OU87+OS87+OQ87</f>
        <v>0</v>
      </c>
      <c r="QG87" s="20" t="n">
        <f aca="false">IF(HU87=1,HK87+OJ87+OI87+IF(G87=1,0,OK87),HK87-OM87)</f>
        <v>0</v>
      </c>
      <c r="QH87" s="20" t="n">
        <f aca="false">HL87-OO87</f>
        <v>0</v>
      </c>
      <c r="QI87" s="20" t="n">
        <f aca="false">IF(HU87=1,IF(G87=1,ID87+IE87,HS87),0)</f>
        <v>0</v>
      </c>
      <c r="QJ87" s="20" t="n">
        <f aca="false">IF(HU87=1,IF(G87=1,HS87-ID87-IE87,0),0)</f>
        <v>0</v>
      </c>
      <c r="QK87" s="20" t="n">
        <f aca="false">QG87*(1+GR)</f>
        <v>0</v>
      </c>
      <c r="QL87" s="20" t="n">
        <f aca="false">QH87*(1+AS_Cash)</f>
        <v>0</v>
      </c>
      <c r="QM87" s="20" t="n">
        <f aca="false">IF(W87=1,IF(HU87=1,II87+IL87,X87-QC87)*(1+Slot1_Rate),0)</f>
        <v>0</v>
      </c>
      <c r="QN87" s="20" t="n">
        <f aca="false">IF(AND(HU87=1,W87=1),(IH87+IL87)/F87,0)</f>
        <v>0</v>
      </c>
      <c r="QO87" s="20" t="n">
        <f aca="false">IF(B87=0,IH87+IL87,0)</f>
        <v>0</v>
      </c>
      <c r="QP87" s="20" t="n">
        <f aca="false">IF(B87=0,IF(HU87=1,IJ87,IK87),0)</f>
        <v>0</v>
      </c>
      <c r="QQ87" s="20" t="n">
        <f aca="false">IF(AH87=1,IF(HU87=1,IQ87+IT87,AI87-QA87)*(1+Slot2_Rate),0)</f>
        <v>0</v>
      </c>
      <c r="QR87" s="20" t="n">
        <f aca="false">IF(AND(HU87=1,AH87=1),(IP87+IT87)/F87,0)</f>
        <v>0</v>
      </c>
      <c r="QS87" s="20" t="n">
        <f aca="false">IF(B87=0,IP87+IT87,0)</f>
        <v>0</v>
      </c>
      <c r="QT87" s="20" t="n">
        <f aca="false">IF(B87=0,IF(HU87=1,IR87,IS87),0)</f>
        <v>0</v>
      </c>
      <c r="QU87" s="20" t="n">
        <f aca="false">IF(AR87=1,IF(HU87=1,IY87+JB87,AS87-PY87)*(1+Slot3_Rate),0)</f>
        <v>0</v>
      </c>
      <c r="QV87" s="20" t="n">
        <f aca="false">IF(AND(HU87=1,AR87=1),(IX87+JB87)/F87,0)</f>
        <v>0</v>
      </c>
      <c r="QW87" s="20" t="n">
        <f aca="false">IF(B87=0,IX87+JB87,0)</f>
        <v>0</v>
      </c>
      <c r="QX87" s="20" t="n">
        <f aca="false">IF(B87=0,IF(HU87=1,IZ87,JA87),0)</f>
        <v>0</v>
      </c>
      <c r="QY87" s="20" t="n">
        <f aca="false">IF(BB87=1,IF(HU87=1,JG87+JJ87,BC87-PW87)*(1+Slot4_Rate),0)</f>
        <v>0</v>
      </c>
      <c r="QZ87" s="20" t="n">
        <f aca="false">IF(AND(HU87=1,BB87=1),(JF87+JJ87)/F87,0)</f>
        <v>0</v>
      </c>
      <c r="RA87" s="20" t="n">
        <f aca="false">IF(B87=0,JF87+JJ87,0)</f>
        <v>0</v>
      </c>
      <c r="RB87" s="20" t="n">
        <f aca="false">IF(B87=0,IF(HU87=1,JH87,JI87),0)</f>
        <v>0</v>
      </c>
      <c r="RC87" s="20" t="n">
        <f aca="false">IF(BL87=1,IF(HU87=1,JO87+JR87,BM87-PU87)*(1+Slot5_Rate),0)</f>
        <v>0</v>
      </c>
      <c r="RD87" s="20" t="n">
        <f aca="false">IF(AND(HU87=1,BL87=1),(JN87+JR87)/F87,0)</f>
        <v>0</v>
      </c>
      <c r="RE87" s="20" t="n">
        <f aca="false">IF(B87=0,JN87+JR87,0)</f>
        <v>0</v>
      </c>
      <c r="RF87" s="20" t="n">
        <f aca="false">IF(B87=0,IF(HU87=1,JP87,JQ87),0)</f>
        <v>0</v>
      </c>
      <c r="RG87" s="20" t="n">
        <f aca="false">IF(BV87=1,IF(HU87=1,JW87+JZ87,BW87-PS87)*(1+Slot6_Rate),0)</f>
        <v>0</v>
      </c>
      <c r="RH87" s="20" t="n">
        <f aca="false">IF(AND(HU87=1,BV87=1),(JV87+JZ87)/F87,0)</f>
        <v>0</v>
      </c>
      <c r="RI87" s="20" t="n">
        <f aca="false">IF(B87=0,JV87+JZ87,0)</f>
        <v>0</v>
      </c>
      <c r="RJ87" s="20" t="n">
        <f aca="false">IF(B87=0,IF(HU87=1,JX87,JY87),0)</f>
        <v>0</v>
      </c>
      <c r="RK87" s="20" t="n">
        <f aca="false">IF(CF87=1,IF(HU87=1,KE87+KH87,CG87-PQ87)*(1+Slot7_Rate),0)</f>
        <v>0</v>
      </c>
      <c r="RL87" s="20" t="n">
        <f aca="false">IF(AND(HU87=1,CF87=1),(KD87+KH87)/F87,0)</f>
        <v>0</v>
      </c>
      <c r="RM87" s="20" t="n">
        <f aca="false">IF(B87=0,KD87+KH87,0)</f>
        <v>0</v>
      </c>
      <c r="RN87" s="20" t="n">
        <f aca="false">IF(B87=0,IF(HU87=1,KF87,KG87),0)</f>
        <v>0</v>
      </c>
      <c r="RO87" s="20" t="n">
        <f aca="false">IF(CP87=1,IF(HU87=1,KM87+KP87,CQ87-PO87)*(1+Slot8_Rate),0)</f>
        <v>0</v>
      </c>
      <c r="RP87" s="20" t="n">
        <f aca="false">IF(AND(HU87=1,CP87=1),(KL87+KP87)/F87,0)</f>
        <v>0</v>
      </c>
      <c r="RQ87" s="20" t="n">
        <f aca="false">IF(B87=0,KL87+KP87,0)</f>
        <v>0</v>
      </c>
      <c r="RR87" s="20" t="n">
        <f aca="false">IF(B87=0,IF(HU87=1,KN87,KO87),0)</f>
        <v>0</v>
      </c>
      <c r="RS87" s="20" t="n">
        <f aca="false">IF(CZ87=1,IF(HU87=1,KU87+KX87,DA87-PM87)*(1+Slot9_Rate),0)</f>
        <v>0</v>
      </c>
      <c r="RT87" s="20" t="n">
        <f aca="false">IF(AND(HU87=1,CZ87=1),(KT87+KX87)/F87,0)</f>
        <v>0</v>
      </c>
      <c r="RU87" s="20" t="n">
        <f aca="false">IF(B87=0,KT87+KX87,0)</f>
        <v>0</v>
      </c>
      <c r="RV87" s="20" t="n">
        <f aca="false">IF(B87=0,IF(HU87=1,KV87,KW87),0)</f>
        <v>0</v>
      </c>
      <c r="RW87" s="20" t="n">
        <f aca="false">IF(DJ87=1,IF(HU87=1,LC87+LF87,DK87-PK87)*(1+Slot10_Rate),0)</f>
        <v>0</v>
      </c>
      <c r="RX87" s="20" t="n">
        <f aca="false">IF(AND(HU87=1,DJ87=1),(LB87+LF87)/F87,0)</f>
        <v>0</v>
      </c>
      <c r="RY87" s="20" t="n">
        <f aca="false">IF(B87=0,LB87+LF87,0)</f>
        <v>0</v>
      </c>
      <c r="RZ87" s="20" t="n">
        <f aca="false">IF(B87=0,IF(HU87=1,LD87,LE87),0)</f>
        <v>0</v>
      </c>
      <c r="SA87" s="20" t="n">
        <f aca="false">IF(DT87=1,IF(HU87=1,LK87+LN87,DU87-PI87)*(1+Slot11_Rate),0)</f>
        <v>0</v>
      </c>
      <c r="SB87" s="20" t="n">
        <f aca="false">IF(AND(HU87=1,DT87=1),(LJ87+LN87)/F87,0)</f>
        <v>0</v>
      </c>
      <c r="SC87" s="20" t="n">
        <f aca="false">IF(B87=0,LJ87+LN87,0)</f>
        <v>0</v>
      </c>
      <c r="SD87" s="20" t="n">
        <f aca="false">IF(B87=0,IF(HU87=1,LL87,LM87),0)</f>
        <v>0</v>
      </c>
      <c r="SE87" s="20" t="n">
        <f aca="false">IF(ED87=1,IF(HU87=1,LS87+LV87,EE87-PG87)*(1+Slot12_Rate),0)</f>
        <v>0</v>
      </c>
      <c r="SF87" s="20" t="n">
        <f aca="false">IF(AND(HU87=1,ED87=1),(LR87+LV87)/F87,0)</f>
        <v>0</v>
      </c>
      <c r="SG87" s="20" t="n">
        <f aca="false">IF(B87=0,LR87+LV87,0)</f>
        <v>0</v>
      </c>
      <c r="SH87" s="20" t="n">
        <f aca="false">IF(B87=0,IF(HU87=1,LT87,LU87),0)</f>
        <v>0</v>
      </c>
      <c r="SI87" s="20" t="n">
        <f aca="false">IF(EN87=1,IF(HU87=1,MA87+MD87,EO87-PE87)*(1+Slot13_Rate),0)</f>
        <v>0</v>
      </c>
      <c r="SJ87" s="20" t="n">
        <f aca="false">IF(AND(HU87=1,EN87=1),(LZ87+MD87)/F87,0)</f>
        <v>0</v>
      </c>
      <c r="SK87" s="20" t="n">
        <f aca="false">IF(B87=0,LZ87+MD87,0)</f>
        <v>0</v>
      </c>
      <c r="SL87" s="20" t="n">
        <f aca="false">IF(B87=0,IF(HU87=1,MB87,MC87),0)</f>
        <v>0</v>
      </c>
      <c r="SM87" s="20" t="n">
        <f aca="false">IF(EX87=1,IF(HU87=1,MI87+ML87,EY87-PC87)*(1+Slot14_Rate),0)</f>
        <v>0</v>
      </c>
      <c r="SN87" s="20" t="n">
        <f aca="false">IF(AND(HU87=1,EX87=1),(MH87+ML87)/F87,0)</f>
        <v>0</v>
      </c>
      <c r="SO87" s="20" t="n">
        <f aca="false">IF(B87=0,MH87+ML87,0)</f>
        <v>0</v>
      </c>
      <c r="SP87" s="20" t="n">
        <f aca="false">IF(B87=0,IF(HU87=1,MJ87,MK87),0)</f>
        <v>0</v>
      </c>
      <c r="SQ87" s="20" t="n">
        <f aca="false">IF(FH87=1,IF(HU87=1,MQ87+MT87,FI87-PA87)*(1+Slot15_Rate),0)</f>
        <v>0</v>
      </c>
      <c r="SR87" s="20" t="n">
        <f aca="false">IF(AND(HU87=1,FH87=1),(MP87+MT87)/F87,0)</f>
        <v>0</v>
      </c>
      <c r="SS87" s="20" t="n">
        <f aca="false">IF(B87=0,MP87+MT87,0)</f>
        <v>0</v>
      </c>
      <c r="ST87" s="20" t="n">
        <f aca="false">IF(B87=0,IF(HU87=1,MR87,MS87),0)</f>
        <v>0</v>
      </c>
      <c r="SU87" s="20" t="n">
        <f aca="false">IF(FR87=1,IF(HU87=1,MY87+NB87,FS87-OY87)*(1+Slot16_Rate),0)</f>
        <v>0</v>
      </c>
      <c r="SV87" s="20" t="n">
        <f aca="false">IF(AND(HU87=1,FR87=1),(MX87+NB87)/F87,0)</f>
        <v>0</v>
      </c>
      <c r="SW87" s="20" t="n">
        <f aca="false">IF(B87=0,MX87+NB87,0)</f>
        <v>0</v>
      </c>
      <c r="SX87" s="20" t="n">
        <f aca="false">IF(B87=0,IF(HU87=1,MZ87,NA87),0)</f>
        <v>0</v>
      </c>
      <c r="SY87" s="20" t="n">
        <f aca="false">IF(GB87=1,IF(HU87=1,NG87+NJ87,GC87-OW87)*(1+Slot17_Rate),0)</f>
        <v>0</v>
      </c>
      <c r="SZ87" s="20" t="n">
        <f aca="false">IF(AND(HU87=1,GB87=1),(NF87+NJ87)/F87,0)</f>
        <v>0</v>
      </c>
      <c r="TA87" s="20" t="n">
        <f aca="false">IF(B87=0,NF87+NJ87,0)</f>
        <v>0</v>
      </c>
      <c r="TB87" s="20" t="n">
        <f aca="false">IF(B87=0,IF(HU87=1,NH87,NI87),0)</f>
        <v>0</v>
      </c>
      <c r="TC87" s="20" t="n">
        <f aca="false">IF(GL87=1,IF(HU87=1,NO87+NR87,GM87-OU87)*(1+Slot18_Rate),0)</f>
        <v>0</v>
      </c>
      <c r="TD87" s="20" t="n">
        <f aca="false">IF(AND(HU87=1,GL87=1),(NN87+NR87)/F87,0)</f>
        <v>0</v>
      </c>
      <c r="TE87" s="20" t="n">
        <f aca="false">IF(B87=0,NN87+NR87,0)</f>
        <v>0</v>
      </c>
      <c r="TF87" s="20" t="n">
        <f aca="false">IF(B87=0,IF(HU87=1,NP87,NQ87),0)</f>
        <v>0</v>
      </c>
      <c r="TG87" s="20" t="n">
        <f aca="false">IF(GV87=1,IF(HU87=1,NW87+NZ87,GW87-OS87)*(1+Slot19_Rate),0)</f>
        <v>0</v>
      </c>
      <c r="TH87" s="20" t="n">
        <f aca="false">IF(AND(HU87=1,GV87=1),(NV87+NZ87)/F87,0)</f>
        <v>0</v>
      </c>
      <c r="TI87" s="20" t="n">
        <f aca="false">IF(B87=0,NV87+NZ87,0)</f>
        <v>0</v>
      </c>
      <c r="TJ87" s="20" t="n">
        <f aca="false">IF(B87=0,IF(HU87=1,NX87,NY87),0)</f>
        <v>0</v>
      </c>
      <c r="TK87" s="20" t="n">
        <f aca="false">IF(HF87=1,IF(HU87=1,OE87+OH87,HG87-OQ87)*(1+Slot20_Rate),0)</f>
        <v>0</v>
      </c>
      <c r="TL87" s="20" t="n">
        <f aca="false">IF(AND(HU87=1,HF87=1),(OD87+OH87)/F87,0)</f>
        <v>0</v>
      </c>
      <c r="TM87" s="20" t="n">
        <f aca="false">IF(B87=0,OD87+OH87,0)</f>
        <v>0</v>
      </c>
      <c r="TN87" s="20" t="n">
        <f aca="false">IF(B87=0,IF(HU87=1,OF87,OG87),0)</f>
        <v>0</v>
      </c>
      <c r="TO87" s="20" t="n">
        <f aca="false">QK87+QL87+QM87+QQ87+QU87+QY87+RC87+RG87+RK87+RO87+RS87+RW87+SA87+SE87+SI87+SM87+SQ87+SU87+SY87+TC87+TG87+TK87</f>
        <v>0</v>
      </c>
      <c r="TP87" s="20" t="n">
        <f aca="false">QE87+HP87</f>
        <v>92086.1476181944</v>
      </c>
      <c r="TQ87" s="20" t="n">
        <f aca="false">I87+S87</f>
        <v>228476.462413145</v>
      </c>
      <c r="TR87" s="20" t="n">
        <f aca="false">1-G87</f>
        <v>1</v>
      </c>
      <c r="TS87" s="20" t="n">
        <f aca="false">IF(AND(RG_Exists=1,G87=0,C87=1),I87,0)</f>
        <v>0</v>
      </c>
      <c r="TT87" s="20" t="n">
        <f aca="false">IF(AND(RG_Exists=1,G87=0,C87=1),I87-MIN(QE87,I87),0)</f>
        <v>0</v>
      </c>
      <c r="TU87" s="20" t="n">
        <f aca="false">'Plan pay &amp; tax'!AD313</f>
        <v>0</v>
      </c>
      <c r="TV87" s="20" t="n">
        <f aca="false">IF(AND(C87=1,QE87&gt;MAX(PR_Short1,TQ87*PR_Short2)),1,0)</f>
        <v>0</v>
      </c>
      <c r="TW87" s="20" t="n">
        <f aca="false">MIN(H87,I87+S87)</f>
        <v>136390.31479495</v>
      </c>
      <c r="TX87" s="20" t="n">
        <f aca="false">QF87+MAX(0,HQ87-HP87)</f>
        <v>0</v>
      </c>
      <c r="TY87" s="20" t="n">
        <f aca="false">QE87+HP87</f>
        <v>92086.1476181944</v>
      </c>
      <c r="TZ87" s="20" t="n">
        <f aca="false">IF(AND(C87=1,TY87&gt;PR_MinShort),1,0)</f>
        <v>0</v>
      </c>
      <c r="UA87" s="20" t="n">
        <f aca="false">IF(AND(C87=1,TZ87=0,TX87&gt;PR_MinShort),1,0)</f>
        <v>0</v>
      </c>
      <c r="UB87" s="20" t="n">
        <f aca="false">IF(AND(C87=1,QE87&gt;PR_MinShort),1,0)</f>
        <v>0</v>
      </c>
      <c r="UC87" s="20" t="n">
        <f aca="false">IF(AND(C87=1,QF87&gt;1,UJ87=0),1,0)</f>
        <v>0</v>
      </c>
      <c r="UD87" s="20" t="str">
        <f aca="false">IF(C87=0,"",IF(UJ87=1,"Gap to plan for: short "&amp;"€"&amp;TEXT(ROUND(TP87,0),"#,##0"),IF(QF87&gt;1,"Using savings","Comfortable")))</f>
        <v/>
      </c>
      <c r="UE87" s="20" t="n">
        <f aca="false">IF(AND(INT(D87/10)*10=90,B87&gt;0),80,INT(D87/10)*10)</f>
        <v>110</v>
      </c>
      <c r="UF87" s="20" t="n">
        <f aca="false">IF(B87=0,1,IF(UE87&lt;&gt;UE86,UF86+1,UF86))</f>
        <v>8</v>
      </c>
      <c r="UG87" s="20" t="n">
        <f aca="false">IF(AND(C87=1,G87=1,QE87&gt;MAX(PR_Short1,TQ87*PR_Short2)),1,0)</f>
        <v>0</v>
      </c>
      <c r="UH87" s="20" t="n">
        <f aca="false">TR87*TV87</f>
        <v>0</v>
      </c>
      <c r="UI87" s="20" t="n">
        <f aca="false">IF(AND(V87=1,Slot1_PctLow=1),1,0)+IF(AND(AG87=1,Slot2_PctLow=1),1,0)+IF(AND(AQ87=1,Slot3_PctLow=1),1,0)+IF(AND(BA87=1,Slot4_PctLow=1),1,0)+IF(AND(BK87=1,Slot5_PctLow=1),1,0)+IF(AND(BU87=1,Slot6_PctLow=1),1,0)+IF(AND(CE87=1,Slot7_PctLow=1),1,0)+IF(AND(CO87=1,Slot8_PctLow=1),1,0)+IF(AND(CY87=1,Slot9_PctLow=1),1,0)+IF(AND(DI87=1,Slot10_PctLow=1),1,0)+IF(AND(DS87=1,Slot11_PctLow=1),1,0)+IF(AND(EC87=1,Slot12_PctLow=1),1,0)+IF(AND(EM87=1,Slot13_PctLow=1),1,0)+IF(AND(EW87=1,Slot14_PctLow=1),1,0)+IF(AND(FG87=1,Slot15_PctLow=1),1,0)+IF(AND(FQ87=1,Slot16_PctLow=1),1,0)+IF(AND(GA87=1,Slot17_PctLow=1),1,0)+IF(AND(GK87=1,Slot18_PctLow=1),1,0)+IF(AND(GU87=1,Slot19_PctLow=1),1,0)+IF(AND(HE87=1,Slot20_PctLow=1),1,0)</f>
        <v>0</v>
      </c>
      <c r="UJ87" s="20" t="n">
        <f aca="false">IF(C87=1,IF(OR(TV87=1,UI87&gt;0),1,0),0)</f>
        <v>0</v>
      </c>
    </row>
    <row r="88" customFormat="false" ht="15" hidden="false" customHeight="true" outlineLevel="0" collapsed="false">
      <c r="B88" s="20" t="n">
        <v>80</v>
      </c>
      <c r="C88" s="20" t="n">
        <f aca="false">IF(B88&lt;=F_N,1,0)</f>
        <v>0</v>
      </c>
      <c r="D88" s="20" t="n">
        <f aca="false">'Plan pay &amp; tax'!C314</f>
        <v>118</v>
      </c>
      <c r="E88" s="20" t="str">
        <f aca="false">IF($C88=1,"Income tax "&amp;TEXT(N('Plan pay &amp; tax'!BK314),"#,##0")&amp;"; USC "&amp;TEXT(N('Plan pay &amp; tax'!BM314)+N('Plan pay &amp; tax'!BO314),"#,##0")&amp;"; PRSI "&amp;TEXT(N('Plan pay &amp; tax'!BP314)+N('Plan pay &amp; tax'!BQ314),"#,##0")&amp;". DIRT and exit tax are inside the growth rates here.","")</f>
        <v/>
      </c>
      <c r="F88" s="44" t="n">
        <f aca="false">'Plan pay &amp; tax'!E314</f>
        <v>4.8754391560964</v>
      </c>
      <c r="G88" s="20" t="n">
        <f aca="false">'Plan pay &amp; tax'!G314</f>
        <v>0</v>
      </c>
      <c r="H88" s="20" t="n">
        <f aca="false">'Plan pay &amp; tax'!BT314-'Plan pay &amp; tax'!BS314-'Plan pay &amp; tax'!R314</f>
        <v>139118.12109085</v>
      </c>
      <c r="I88" s="20" t="n">
        <f aca="false">IF(G88=1,F_CostsM*12,IF(RG_Exists=1,RG_Amount,F_CostsM*12*AS_RetireSpend))*F88+F_OneOffY*F88</f>
        <v>233045.991661408</v>
      </c>
      <c r="J88" s="20" t="n">
        <f aca="false">HR87</f>
        <v>0</v>
      </c>
      <c r="K88" s="20" t="n">
        <f aca="false">IF(J88&gt;1,'Plan debt months'!AC88,0)</f>
        <v>0</v>
      </c>
      <c r="L88" s="20" t="n">
        <f aca="false">IF(J88&gt;1,'Plan debt months'!AB88,J88)</f>
        <v>0</v>
      </c>
      <c r="M88" s="20" t="n">
        <f aca="false">O87</f>
        <v>0</v>
      </c>
      <c r="N88" s="20" t="n">
        <f aca="false">IF(M88&gt;1,'Plan debt months'!BD88,0)</f>
        <v>0</v>
      </c>
      <c r="O88" s="20" t="n">
        <f aca="false">IF(M88&gt;1,'Plan debt months'!BC88,M88)</f>
        <v>0</v>
      </c>
      <c r="P88" s="20" t="n">
        <f aca="false">R87</f>
        <v>0</v>
      </c>
      <c r="Q88" s="20" t="n">
        <f aca="false">IF(P88&gt;1,'Plan debt months'!CE88,0)</f>
        <v>0</v>
      </c>
      <c r="R88" s="20" t="n">
        <f aca="false">IF(P88&gt;1,'Plan debt months'!CD88,P88)</f>
        <v>0</v>
      </c>
      <c r="S88" s="20" t="n">
        <f aca="false">K88+N88+Q88</f>
        <v>0</v>
      </c>
      <c r="T88" s="20" t="n">
        <f aca="false">QK87+'Plan pay &amp; tax'!Y314</f>
        <v>0</v>
      </c>
      <c r="U88" s="20" t="n">
        <f aca="false">QK87</f>
        <v>0</v>
      </c>
      <c r="V88" s="20" t="n">
        <f aca="false">IF(AND(Slot1_On=1,D88=Slot1_Age),1,0)</f>
        <v>0</v>
      </c>
      <c r="W88" s="20" t="n">
        <f aca="false">IF(AND(Slot1_On=1,Slot1_Age&gt;D88),1,0)</f>
        <v>0</v>
      </c>
      <c r="X88" s="20" t="n">
        <f aca="false">QM87</f>
        <v>0</v>
      </c>
      <c r="Y88" s="20" t="n">
        <f aca="false">V88*MIN(Slot1_Cost,X88)</f>
        <v>0</v>
      </c>
      <c r="Z88" s="20" t="n">
        <f aca="false">V88*Slot1_SpendLike*MIN(Slot1_Cost-Y88,T88)</f>
        <v>0</v>
      </c>
      <c r="AA88" s="20" t="n">
        <f aca="false">Y88+Z88</f>
        <v>0</v>
      </c>
      <c r="AB88" s="20" t="n">
        <f aca="false">T88-Z88+V88*IF(Slot1_SpendLike=1,X88-Y88,IF(Slot1_PotFree=1,X88,0))</f>
        <v>0</v>
      </c>
      <c r="AC88" s="20" t="n">
        <f aca="false">AF88+V88*Slot1_BufPot*X88</f>
        <v>0</v>
      </c>
      <c r="AD88" s="20" t="n">
        <f aca="false">IF(AND(V88=1,Slot1_IsMfree=1),IF(AA88&gt;=Slot1_Cost-1,0,MAX(0,L88-AA88)),L88)</f>
        <v>0</v>
      </c>
      <c r="AE88" s="20" t="n">
        <f aca="false">V88*(Slot1_Cost-AA88)</f>
        <v>0</v>
      </c>
      <c r="AF88" s="20" t="n">
        <f aca="false">QL87</f>
        <v>0</v>
      </c>
      <c r="AG88" s="20" t="n">
        <f aca="false">IF(AND(Slot2_On=1,D88=Slot2_Age),1,0)</f>
        <v>0</v>
      </c>
      <c r="AH88" s="20" t="n">
        <f aca="false">IF(AND(Slot2_On=1,Slot2_Age&gt;D88),1,0)</f>
        <v>0</v>
      </c>
      <c r="AI88" s="20" t="n">
        <f aca="false">QQ87</f>
        <v>0</v>
      </c>
      <c r="AJ88" s="20" t="n">
        <f aca="false">AG88*MIN(Slot2_Cost,AI88)</f>
        <v>0</v>
      </c>
      <c r="AK88" s="20" t="n">
        <f aca="false">AG88*Slot2_SpendLike*MIN(Slot2_Cost-AJ88,AB88)</f>
        <v>0</v>
      </c>
      <c r="AL88" s="20" t="n">
        <f aca="false">AJ88+AK88</f>
        <v>0</v>
      </c>
      <c r="AM88" s="20" t="n">
        <f aca="false">AB88-AK88+AG88*IF(Slot2_SpendLike=1,AI88-AJ88,IF(Slot2_PotFree=1,AI88,0))</f>
        <v>0</v>
      </c>
      <c r="AN88" s="20" t="n">
        <f aca="false">AC88+AG88*Slot2_BufPot*AI88</f>
        <v>0</v>
      </c>
      <c r="AO88" s="20" t="n">
        <f aca="false">IF(AND(AG88=1,Slot2_IsMfree=1),IF(AL88&gt;=Slot2_Cost-1,0,MAX(0,AD88-AL88)),AD88)</f>
        <v>0</v>
      </c>
      <c r="AP88" s="20" t="n">
        <f aca="false">AG88*(Slot2_Cost-AL88)</f>
        <v>0</v>
      </c>
      <c r="AQ88" s="20" t="n">
        <f aca="false">IF(AND(Slot3_On=1,D88=Slot3_Age),1,0)</f>
        <v>0</v>
      </c>
      <c r="AR88" s="20" t="n">
        <f aca="false">IF(AND(Slot3_On=1,Slot3_Age&gt;D88),1,0)</f>
        <v>0</v>
      </c>
      <c r="AS88" s="20" t="n">
        <f aca="false">QU87</f>
        <v>0</v>
      </c>
      <c r="AT88" s="20" t="n">
        <f aca="false">AQ88*MIN(Slot3_Cost,AS88)</f>
        <v>0</v>
      </c>
      <c r="AU88" s="20" t="n">
        <f aca="false">AQ88*Slot3_SpendLike*MIN(Slot3_Cost-AT88,AM88)</f>
        <v>0</v>
      </c>
      <c r="AV88" s="20" t="n">
        <f aca="false">AT88+AU88</f>
        <v>0</v>
      </c>
      <c r="AW88" s="20" t="n">
        <f aca="false">AM88-AU88+AQ88*IF(Slot3_SpendLike=1,AS88-AT88,IF(Slot3_PotFree=1,AS88,0))</f>
        <v>0</v>
      </c>
      <c r="AX88" s="20" t="n">
        <f aca="false">AN88+AQ88*Slot3_BufPot*AS88</f>
        <v>0</v>
      </c>
      <c r="AY88" s="20" t="n">
        <f aca="false">IF(AND(AQ88=1,Slot3_IsMfree=1),IF(AV88&gt;=Slot3_Cost-1,0,MAX(0,AO88-AV88)),AO88)</f>
        <v>0</v>
      </c>
      <c r="AZ88" s="20" t="n">
        <f aca="false">AQ88*(Slot3_Cost-AV88)</f>
        <v>0</v>
      </c>
      <c r="BA88" s="20" t="n">
        <f aca="false">IF(AND(Slot4_On=1,D88=Slot4_Age),1,0)</f>
        <v>0</v>
      </c>
      <c r="BB88" s="20" t="n">
        <f aca="false">IF(AND(Slot4_On=1,Slot4_Age&gt;D88),1,0)</f>
        <v>0</v>
      </c>
      <c r="BC88" s="20" t="n">
        <f aca="false">QY87</f>
        <v>0</v>
      </c>
      <c r="BD88" s="20" t="n">
        <f aca="false">BA88*MIN(Slot4_Cost,BC88)</f>
        <v>0</v>
      </c>
      <c r="BE88" s="20" t="n">
        <f aca="false">BA88*Slot4_SpendLike*MIN(Slot4_Cost-BD88,AW88)</f>
        <v>0</v>
      </c>
      <c r="BF88" s="20" t="n">
        <f aca="false">BD88+BE88</f>
        <v>0</v>
      </c>
      <c r="BG88" s="20" t="n">
        <f aca="false">AW88-BE88+BA88*IF(Slot4_SpendLike=1,BC88-BD88,IF(Slot4_PotFree=1,BC88,0))</f>
        <v>0</v>
      </c>
      <c r="BH88" s="20" t="n">
        <f aca="false">AX88+BA88*Slot4_BufPot*BC88</f>
        <v>0</v>
      </c>
      <c r="BI88" s="20" t="n">
        <f aca="false">IF(AND(BA88=1,Slot4_IsMfree=1),IF(BF88&gt;=Slot4_Cost-1,0,MAX(0,AY88-BF88)),AY88)</f>
        <v>0</v>
      </c>
      <c r="BJ88" s="20" t="n">
        <f aca="false">BA88*(Slot4_Cost-BF88)</f>
        <v>0</v>
      </c>
      <c r="BK88" s="20" t="n">
        <f aca="false">IF(AND(Slot5_On=1,D88=Slot5_Age),1,0)</f>
        <v>0</v>
      </c>
      <c r="BL88" s="20" t="n">
        <f aca="false">IF(AND(Slot5_On=1,Slot5_Age&gt;D88),1,0)</f>
        <v>0</v>
      </c>
      <c r="BM88" s="20" t="n">
        <f aca="false">RC87</f>
        <v>0</v>
      </c>
      <c r="BN88" s="20" t="n">
        <f aca="false">BK88*MIN(Slot5_Cost,BM88)</f>
        <v>0</v>
      </c>
      <c r="BO88" s="20" t="n">
        <f aca="false">BK88*Slot5_SpendLike*MIN(Slot5_Cost-BN88,BG88)</f>
        <v>0</v>
      </c>
      <c r="BP88" s="20" t="n">
        <f aca="false">BN88+BO88</f>
        <v>0</v>
      </c>
      <c r="BQ88" s="20" t="n">
        <f aca="false">BG88-BO88+BK88*IF(Slot5_SpendLike=1,BM88-BN88,IF(Slot5_PotFree=1,BM88,0))</f>
        <v>0</v>
      </c>
      <c r="BR88" s="20" t="n">
        <f aca="false">BH88+BK88*Slot5_BufPot*BM88</f>
        <v>0</v>
      </c>
      <c r="BS88" s="20" t="n">
        <f aca="false">IF(AND(BK88=1,Slot5_IsMfree=1),IF(BP88&gt;=Slot5_Cost-1,0,MAX(0,BI88-BP88)),BI88)</f>
        <v>0</v>
      </c>
      <c r="BT88" s="20" t="n">
        <f aca="false">BK88*(Slot5_Cost-BP88)</f>
        <v>0</v>
      </c>
      <c r="BU88" s="20" t="n">
        <f aca="false">IF(AND(Slot6_On=1,D88=Slot6_Age),1,0)</f>
        <v>0</v>
      </c>
      <c r="BV88" s="20" t="n">
        <f aca="false">IF(AND(Slot6_On=1,Slot6_Age&gt;D88),1,0)</f>
        <v>0</v>
      </c>
      <c r="BW88" s="20" t="n">
        <f aca="false">RG87</f>
        <v>0</v>
      </c>
      <c r="BX88" s="20" t="n">
        <f aca="false">BU88*MIN(Slot6_Cost,BW88)</f>
        <v>0</v>
      </c>
      <c r="BY88" s="20" t="n">
        <f aca="false">BU88*Slot6_SpendLike*MIN(Slot6_Cost-BX88,BQ88)</f>
        <v>0</v>
      </c>
      <c r="BZ88" s="20" t="n">
        <f aca="false">BX88+BY88</f>
        <v>0</v>
      </c>
      <c r="CA88" s="20" t="n">
        <f aca="false">BQ88-BY88+BU88*IF(Slot6_SpendLike=1,BW88-BX88,IF(Slot6_PotFree=1,BW88,0))</f>
        <v>0</v>
      </c>
      <c r="CB88" s="20" t="n">
        <f aca="false">BR88+BU88*Slot6_BufPot*BW88</f>
        <v>0</v>
      </c>
      <c r="CC88" s="20" t="n">
        <f aca="false">IF(AND(BU88=1,Slot6_IsMfree=1),IF(BZ88&gt;=Slot6_Cost-1,0,MAX(0,BS88-BZ88)),BS88)</f>
        <v>0</v>
      </c>
      <c r="CD88" s="20" t="n">
        <f aca="false">BU88*(Slot6_Cost-BZ88)</f>
        <v>0</v>
      </c>
      <c r="CE88" s="20" t="n">
        <f aca="false">IF(AND(Slot7_On=1,D88=Slot7_Age),1,0)</f>
        <v>0</v>
      </c>
      <c r="CF88" s="20" t="n">
        <f aca="false">IF(AND(Slot7_On=1,Slot7_Age&gt;D88),1,0)</f>
        <v>0</v>
      </c>
      <c r="CG88" s="20" t="n">
        <f aca="false">RK87</f>
        <v>0</v>
      </c>
      <c r="CH88" s="20" t="n">
        <f aca="false">CE88*MIN(Slot7_Cost,CG88)</f>
        <v>0</v>
      </c>
      <c r="CI88" s="20" t="n">
        <f aca="false">CE88*Slot7_SpendLike*MIN(Slot7_Cost-CH88,CA88)</f>
        <v>0</v>
      </c>
      <c r="CJ88" s="20" t="n">
        <f aca="false">CH88+CI88</f>
        <v>0</v>
      </c>
      <c r="CK88" s="20" t="n">
        <f aca="false">CA88-CI88+CE88*IF(Slot7_SpendLike=1,CG88-CH88,IF(Slot7_PotFree=1,CG88,0))</f>
        <v>0</v>
      </c>
      <c r="CL88" s="20" t="n">
        <f aca="false">CB88+CE88*Slot7_BufPot*CG88</f>
        <v>0</v>
      </c>
      <c r="CM88" s="20" t="n">
        <f aca="false">IF(AND(CE88=1,Slot7_IsMfree=1),IF(CJ88&gt;=Slot7_Cost-1,0,MAX(0,CC88-CJ88)),CC88)</f>
        <v>0</v>
      </c>
      <c r="CN88" s="20" t="n">
        <f aca="false">CE88*(Slot7_Cost-CJ88)</f>
        <v>0</v>
      </c>
      <c r="CO88" s="20" t="n">
        <f aca="false">IF(AND(Slot8_On=1,D88=Slot8_Age),1,0)</f>
        <v>0</v>
      </c>
      <c r="CP88" s="20" t="n">
        <f aca="false">IF(AND(Slot8_On=1,Slot8_Age&gt;D88),1,0)</f>
        <v>0</v>
      </c>
      <c r="CQ88" s="20" t="n">
        <f aca="false">RO87</f>
        <v>0</v>
      </c>
      <c r="CR88" s="20" t="n">
        <f aca="false">CO88*MIN(Slot8_Cost,CQ88)</f>
        <v>0</v>
      </c>
      <c r="CS88" s="20" t="n">
        <f aca="false">CO88*Slot8_SpendLike*MIN(Slot8_Cost-CR88,CK88)</f>
        <v>0</v>
      </c>
      <c r="CT88" s="20" t="n">
        <f aca="false">CR88+CS88</f>
        <v>0</v>
      </c>
      <c r="CU88" s="20" t="n">
        <f aca="false">CK88-CS88+CO88*IF(Slot8_SpendLike=1,CQ88-CR88,IF(Slot8_PotFree=1,CQ88,0))</f>
        <v>0</v>
      </c>
      <c r="CV88" s="20" t="n">
        <f aca="false">CL88+CO88*Slot8_BufPot*CQ88</f>
        <v>0</v>
      </c>
      <c r="CW88" s="20" t="n">
        <f aca="false">IF(AND(CO88=1,Slot8_IsMfree=1),IF(CT88&gt;=Slot8_Cost-1,0,MAX(0,CM88-CT88)),CM88)</f>
        <v>0</v>
      </c>
      <c r="CX88" s="20" t="n">
        <f aca="false">CO88*(Slot8_Cost-CT88)</f>
        <v>0</v>
      </c>
      <c r="CY88" s="20" t="n">
        <f aca="false">IF(AND(Slot9_On=1,D88=Slot9_Age),1,0)</f>
        <v>0</v>
      </c>
      <c r="CZ88" s="20" t="n">
        <f aca="false">IF(AND(Slot9_On=1,Slot9_Age&gt;D88),1,0)</f>
        <v>0</v>
      </c>
      <c r="DA88" s="20" t="n">
        <f aca="false">RS87</f>
        <v>0</v>
      </c>
      <c r="DB88" s="20" t="n">
        <f aca="false">CY88*MIN(Slot9_Cost,DA88)</f>
        <v>0</v>
      </c>
      <c r="DC88" s="20" t="n">
        <f aca="false">CY88*Slot9_SpendLike*MIN(Slot9_Cost-DB88,CU88)</f>
        <v>0</v>
      </c>
      <c r="DD88" s="20" t="n">
        <f aca="false">DB88+DC88</f>
        <v>0</v>
      </c>
      <c r="DE88" s="20" t="n">
        <f aca="false">CU88-DC88+CY88*IF(Slot9_SpendLike=1,DA88-DB88,IF(Slot9_PotFree=1,DA88,0))</f>
        <v>0</v>
      </c>
      <c r="DF88" s="20" t="n">
        <f aca="false">CV88+CY88*Slot9_BufPot*DA88</f>
        <v>0</v>
      </c>
      <c r="DG88" s="20" t="n">
        <f aca="false">IF(AND(CY88=1,Slot9_IsMfree=1),IF(DD88&gt;=Slot9_Cost-1,0,MAX(0,CW88-DD88)),CW88)</f>
        <v>0</v>
      </c>
      <c r="DH88" s="20" t="n">
        <f aca="false">CY88*(Slot9_Cost-DD88)</f>
        <v>0</v>
      </c>
      <c r="DI88" s="20" t="n">
        <f aca="false">IF(AND(Slot10_On=1,D88=Slot10_Age),1,0)</f>
        <v>0</v>
      </c>
      <c r="DJ88" s="20" t="n">
        <f aca="false">IF(AND(Slot10_On=1,Slot10_Age&gt;D88),1,0)</f>
        <v>0</v>
      </c>
      <c r="DK88" s="20" t="n">
        <f aca="false">RW87</f>
        <v>0</v>
      </c>
      <c r="DL88" s="20" t="n">
        <f aca="false">DI88*MIN(Slot10_Cost,DK88)</f>
        <v>0</v>
      </c>
      <c r="DM88" s="20" t="n">
        <f aca="false">DI88*Slot10_SpendLike*MIN(Slot10_Cost-DL88,DE88)</f>
        <v>0</v>
      </c>
      <c r="DN88" s="20" t="n">
        <f aca="false">DL88+DM88</f>
        <v>0</v>
      </c>
      <c r="DO88" s="20" t="n">
        <f aca="false">DE88-DM88+DI88*IF(Slot10_SpendLike=1,DK88-DL88,IF(Slot10_PotFree=1,DK88,0))</f>
        <v>0</v>
      </c>
      <c r="DP88" s="20" t="n">
        <f aca="false">DF88+DI88*Slot10_BufPot*DK88</f>
        <v>0</v>
      </c>
      <c r="DQ88" s="20" t="n">
        <f aca="false">IF(AND(DI88=1,Slot10_IsMfree=1),IF(DN88&gt;=Slot10_Cost-1,0,MAX(0,DG88-DN88)),DG88)</f>
        <v>0</v>
      </c>
      <c r="DR88" s="20" t="n">
        <f aca="false">DI88*(Slot10_Cost-DN88)</f>
        <v>0</v>
      </c>
      <c r="DS88" s="20" t="n">
        <f aca="false">IF(AND(Slot11_On=1,D88=Slot11_Age),1,0)</f>
        <v>0</v>
      </c>
      <c r="DT88" s="20" t="n">
        <f aca="false">IF(AND(Slot11_On=1,Slot11_Age&gt;D88),1,0)</f>
        <v>0</v>
      </c>
      <c r="DU88" s="20" t="n">
        <f aca="false">SA87</f>
        <v>0</v>
      </c>
      <c r="DV88" s="20" t="n">
        <f aca="false">DS88*MIN(Slot11_Cost,DU88)</f>
        <v>0</v>
      </c>
      <c r="DW88" s="20" t="n">
        <f aca="false">DS88*Slot11_SpendLike*MIN(Slot11_Cost-DV88,DO88)</f>
        <v>0</v>
      </c>
      <c r="DX88" s="20" t="n">
        <f aca="false">DV88+DW88</f>
        <v>0</v>
      </c>
      <c r="DY88" s="20" t="n">
        <f aca="false">DO88-DW88+DS88*IF(Slot11_SpendLike=1,DU88-DV88,IF(Slot11_PotFree=1,DU88,0))</f>
        <v>0</v>
      </c>
      <c r="DZ88" s="20" t="n">
        <f aca="false">DP88+DS88*Slot11_BufPot*DU88</f>
        <v>0</v>
      </c>
      <c r="EA88" s="20" t="n">
        <f aca="false">IF(AND(DS88=1,Slot11_IsMfree=1),IF(DX88&gt;=Slot11_Cost-1,0,MAX(0,DQ88-DX88)),DQ88)</f>
        <v>0</v>
      </c>
      <c r="EB88" s="20" t="n">
        <f aca="false">DS88*(Slot11_Cost-DX88)</f>
        <v>0</v>
      </c>
      <c r="EC88" s="20" t="n">
        <f aca="false">IF(AND(Slot12_On=1,D88=Slot12_Age),1,0)</f>
        <v>0</v>
      </c>
      <c r="ED88" s="20" t="n">
        <f aca="false">IF(AND(Slot12_On=1,Slot12_Age&gt;D88),1,0)</f>
        <v>0</v>
      </c>
      <c r="EE88" s="20" t="n">
        <f aca="false">SE87</f>
        <v>0</v>
      </c>
      <c r="EF88" s="20" t="n">
        <f aca="false">EC88*MIN(Slot12_Cost,EE88)</f>
        <v>0</v>
      </c>
      <c r="EG88" s="20" t="n">
        <f aca="false">EC88*Slot12_SpendLike*MIN(Slot12_Cost-EF88,DY88)</f>
        <v>0</v>
      </c>
      <c r="EH88" s="20" t="n">
        <f aca="false">EF88+EG88</f>
        <v>0</v>
      </c>
      <c r="EI88" s="20" t="n">
        <f aca="false">DY88-EG88+EC88*IF(Slot12_SpendLike=1,EE88-EF88,IF(Slot12_PotFree=1,EE88,0))</f>
        <v>0</v>
      </c>
      <c r="EJ88" s="20" t="n">
        <f aca="false">DZ88+EC88*Slot12_BufPot*EE88</f>
        <v>0</v>
      </c>
      <c r="EK88" s="20" t="n">
        <f aca="false">IF(AND(EC88=1,Slot12_IsMfree=1),IF(EH88&gt;=Slot12_Cost-1,0,MAX(0,EA88-EH88)),EA88)</f>
        <v>0</v>
      </c>
      <c r="EL88" s="20" t="n">
        <f aca="false">EC88*(Slot12_Cost-EH88)</f>
        <v>0</v>
      </c>
      <c r="EM88" s="20" t="n">
        <f aca="false">IF(AND(Slot13_On=1,D88=Slot13_Age),1,0)</f>
        <v>0</v>
      </c>
      <c r="EN88" s="20" t="n">
        <f aca="false">IF(AND(Slot13_On=1,Slot13_Age&gt;D88),1,0)</f>
        <v>0</v>
      </c>
      <c r="EO88" s="20" t="n">
        <f aca="false">SI87</f>
        <v>0</v>
      </c>
      <c r="EP88" s="20" t="n">
        <f aca="false">EM88*MIN(Slot13_Cost,EO88)</f>
        <v>0</v>
      </c>
      <c r="EQ88" s="20" t="n">
        <f aca="false">EM88*Slot13_SpendLike*MIN(Slot13_Cost-EP88,EI88)</f>
        <v>0</v>
      </c>
      <c r="ER88" s="20" t="n">
        <f aca="false">EP88+EQ88</f>
        <v>0</v>
      </c>
      <c r="ES88" s="20" t="n">
        <f aca="false">EI88-EQ88+EM88*IF(Slot13_SpendLike=1,EO88-EP88,IF(Slot13_PotFree=1,EO88,0))</f>
        <v>0</v>
      </c>
      <c r="ET88" s="20" t="n">
        <f aca="false">EJ88+EM88*Slot13_BufPot*EO88</f>
        <v>0</v>
      </c>
      <c r="EU88" s="20" t="n">
        <f aca="false">IF(AND(EM88=1,Slot13_IsMfree=1),IF(ER88&gt;=Slot13_Cost-1,0,MAX(0,EK88-ER88)),EK88)</f>
        <v>0</v>
      </c>
      <c r="EV88" s="20" t="n">
        <f aca="false">EM88*(Slot13_Cost-ER88)</f>
        <v>0</v>
      </c>
      <c r="EW88" s="20" t="n">
        <f aca="false">IF(AND(Slot14_On=1,D88=Slot14_Age),1,0)</f>
        <v>0</v>
      </c>
      <c r="EX88" s="20" t="n">
        <f aca="false">IF(AND(Slot14_On=1,Slot14_Age&gt;D88),1,0)</f>
        <v>0</v>
      </c>
      <c r="EY88" s="20" t="n">
        <f aca="false">SM87</f>
        <v>0</v>
      </c>
      <c r="EZ88" s="20" t="n">
        <f aca="false">EW88*MIN(Slot14_Cost,EY88)</f>
        <v>0</v>
      </c>
      <c r="FA88" s="20" t="n">
        <f aca="false">EW88*Slot14_SpendLike*MIN(Slot14_Cost-EZ88,ES88)</f>
        <v>0</v>
      </c>
      <c r="FB88" s="20" t="n">
        <f aca="false">EZ88+FA88</f>
        <v>0</v>
      </c>
      <c r="FC88" s="20" t="n">
        <f aca="false">ES88-FA88+EW88*IF(Slot14_SpendLike=1,EY88-EZ88,IF(Slot14_PotFree=1,EY88,0))</f>
        <v>0</v>
      </c>
      <c r="FD88" s="20" t="n">
        <f aca="false">ET88+EW88*Slot14_BufPot*EY88</f>
        <v>0</v>
      </c>
      <c r="FE88" s="20" t="n">
        <f aca="false">IF(AND(EW88=1,Slot14_IsMfree=1),IF(FB88&gt;=Slot14_Cost-1,0,MAX(0,EU88-FB88)),EU88)</f>
        <v>0</v>
      </c>
      <c r="FF88" s="20" t="n">
        <f aca="false">EW88*(Slot14_Cost-FB88)</f>
        <v>0</v>
      </c>
      <c r="FG88" s="20" t="n">
        <f aca="false">IF(AND(Slot15_On=1,D88=Slot15_Age),1,0)</f>
        <v>0</v>
      </c>
      <c r="FH88" s="20" t="n">
        <f aca="false">IF(AND(Slot15_On=1,Slot15_Age&gt;D88),1,0)</f>
        <v>0</v>
      </c>
      <c r="FI88" s="20" t="n">
        <f aca="false">SQ87</f>
        <v>0</v>
      </c>
      <c r="FJ88" s="20" t="n">
        <f aca="false">FG88*MIN(Slot15_Cost,FI88)</f>
        <v>0</v>
      </c>
      <c r="FK88" s="20" t="n">
        <f aca="false">FG88*Slot15_SpendLike*MIN(Slot15_Cost-FJ88,FC88)</f>
        <v>0</v>
      </c>
      <c r="FL88" s="20" t="n">
        <f aca="false">FJ88+FK88</f>
        <v>0</v>
      </c>
      <c r="FM88" s="20" t="n">
        <f aca="false">FC88-FK88+FG88*IF(Slot15_SpendLike=1,FI88-FJ88,IF(Slot15_PotFree=1,FI88,0))</f>
        <v>0</v>
      </c>
      <c r="FN88" s="20" t="n">
        <f aca="false">FD88+FG88*Slot15_BufPot*FI88</f>
        <v>0</v>
      </c>
      <c r="FO88" s="20" t="n">
        <f aca="false">IF(AND(FG88=1,Slot15_IsMfree=1),IF(FL88&gt;=Slot15_Cost-1,0,MAX(0,FE88-FL88)),FE88)</f>
        <v>0</v>
      </c>
      <c r="FP88" s="20" t="n">
        <f aca="false">FG88*(Slot15_Cost-FL88)</f>
        <v>0</v>
      </c>
      <c r="FQ88" s="20" t="n">
        <f aca="false">IF(AND(Slot16_On=1,D88=Slot16_Age),1,0)</f>
        <v>0</v>
      </c>
      <c r="FR88" s="20" t="n">
        <f aca="false">IF(AND(Slot16_On=1,Slot16_Age&gt;D88),1,0)</f>
        <v>0</v>
      </c>
      <c r="FS88" s="20" t="n">
        <f aca="false">SU87</f>
        <v>0</v>
      </c>
      <c r="FT88" s="20" t="n">
        <f aca="false">FQ88*MIN(Slot16_Cost,FS88)</f>
        <v>0</v>
      </c>
      <c r="FU88" s="20" t="n">
        <f aca="false">FQ88*Slot16_SpendLike*MIN(Slot16_Cost-FT88,FM88)</f>
        <v>0</v>
      </c>
      <c r="FV88" s="20" t="n">
        <f aca="false">FT88+FU88</f>
        <v>0</v>
      </c>
      <c r="FW88" s="20" t="n">
        <f aca="false">FM88-FU88+FQ88*IF(Slot16_SpendLike=1,FS88-FT88,IF(Slot16_PotFree=1,FS88,0))</f>
        <v>0</v>
      </c>
      <c r="FX88" s="20" t="n">
        <f aca="false">FN88+FQ88*Slot16_BufPot*FS88</f>
        <v>0</v>
      </c>
      <c r="FY88" s="20" t="n">
        <f aca="false">IF(AND(FQ88=1,Slot16_IsMfree=1),IF(FV88&gt;=Slot16_Cost-1,0,MAX(0,FO88-FV88)),FO88)</f>
        <v>0</v>
      </c>
      <c r="FZ88" s="20" t="n">
        <f aca="false">FQ88*(Slot16_Cost-FV88)</f>
        <v>0</v>
      </c>
      <c r="GA88" s="20" t="n">
        <f aca="false">IF(AND(Slot17_On=1,D88=Slot17_Age),1,0)</f>
        <v>0</v>
      </c>
      <c r="GB88" s="20" t="n">
        <f aca="false">IF(AND(Slot17_On=1,Slot17_Age&gt;D88),1,0)</f>
        <v>0</v>
      </c>
      <c r="GC88" s="20" t="n">
        <f aca="false">SY87</f>
        <v>0</v>
      </c>
      <c r="GD88" s="20" t="n">
        <f aca="false">GA88*MIN(Slot17_Cost,GC88)</f>
        <v>0</v>
      </c>
      <c r="GE88" s="20" t="n">
        <f aca="false">GA88*Slot17_SpendLike*MIN(Slot17_Cost-GD88,FW88)</f>
        <v>0</v>
      </c>
      <c r="GF88" s="20" t="n">
        <f aca="false">GD88+GE88</f>
        <v>0</v>
      </c>
      <c r="GG88" s="20" t="n">
        <f aca="false">FW88-GE88+GA88*IF(Slot17_SpendLike=1,GC88-GD88,IF(Slot17_PotFree=1,GC88,0))</f>
        <v>0</v>
      </c>
      <c r="GH88" s="20" t="n">
        <f aca="false">FX88+GA88*Slot17_BufPot*GC88</f>
        <v>0</v>
      </c>
      <c r="GI88" s="20" t="n">
        <f aca="false">IF(AND(GA88=1,Slot17_IsMfree=1),IF(GF88&gt;=Slot17_Cost-1,0,MAX(0,FY88-GF88)),FY88)</f>
        <v>0</v>
      </c>
      <c r="GJ88" s="20" t="n">
        <f aca="false">GA88*(Slot17_Cost-GF88)</f>
        <v>0</v>
      </c>
      <c r="GK88" s="20" t="n">
        <f aca="false">IF(AND(Slot18_On=1,D88=Slot18_Age),1,0)</f>
        <v>0</v>
      </c>
      <c r="GL88" s="20" t="n">
        <f aca="false">IF(AND(Slot18_On=1,Slot18_Age&gt;D88),1,0)</f>
        <v>0</v>
      </c>
      <c r="GM88" s="20" t="n">
        <f aca="false">TC87</f>
        <v>0</v>
      </c>
      <c r="GN88" s="20" t="n">
        <f aca="false">GK88*MIN(Slot18_Cost,GM88)</f>
        <v>0</v>
      </c>
      <c r="GO88" s="20" t="n">
        <f aca="false">GK88*Slot18_SpendLike*MIN(Slot18_Cost-GN88,GG88)</f>
        <v>0</v>
      </c>
      <c r="GP88" s="20" t="n">
        <f aca="false">GN88+GO88</f>
        <v>0</v>
      </c>
      <c r="GQ88" s="20" t="n">
        <f aca="false">GG88-GO88+GK88*IF(Slot18_SpendLike=1,GM88-GN88,IF(Slot18_PotFree=1,GM88,0))</f>
        <v>0</v>
      </c>
      <c r="GR88" s="20" t="n">
        <f aca="false">GH88+GK88*Slot18_BufPot*GM88</f>
        <v>0</v>
      </c>
      <c r="GS88" s="20" t="n">
        <f aca="false">IF(AND(GK88=1,Slot18_IsMfree=1),IF(GP88&gt;=Slot18_Cost-1,0,MAX(0,GI88-GP88)),GI88)</f>
        <v>0</v>
      </c>
      <c r="GT88" s="20" t="n">
        <f aca="false">GK88*(Slot18_Cost-GP88)</f>
        <v>0</v>
      </c>
      <c r="GU88" s="20" t="n">
        <f aca="false">IF(AND(Slot19_On=1,D88=Slot19_Age),1,0)</f>
        <v>0</v>
      </c>
      <c r="GV88" s="20" t="n">
        <f aca="false">IF(AND(Slot19_On=1,Slot19_Age&gt;D88),1,0)</f>
        <v>0</v>
      </c>
      <c r="GW88" s="20" t="n">
        <f aca="false">TG87</f>
        <v>0</v>
      </c>
      <c r="GX88" s="20" t="n">
        <f aca="false">GU88*MIN(Slot19_Cost,GW88)</f>
        <v>0</v>
      </c>
      <c r="GY88" s="20" t="n">
        <f aca="false">GU88*Slot19_SpendLike*MIN(Slot19_Cost-GX88,GQ88)</f>
        <v>0</v>
      </c>
      <c r="GZ88" s="20" t="n">
        <f aca="false">GX88+GY88</f>
        <v>0</v>
      </c>
      <c r="HA88" s="20" t="n">
        <f aca="false">GQ88-GY88+GU88*IF(Slot19_SpendLike=1,GW88-GX88,IF(Slot19_PotFree=1,GW88,0))</f>
        <v>0</v>
      </c>
      <c r="HB88" s="20" t="n">
        <f aca="false">GR88+GU88*Slot19_BufPot*GW88</f>
        <v>0</v>
      </c>
      <c r="HC88" s="20" t="n">
        <f aca="false">IF(AND(GU88=1,Slot19_IsMfree=1),IF(GZ88&gt;=Slot19_Cost-1,0,MAX(0,GS88-GZ88)),GS88)</f>
        <v>0</v>
      </c>
      <c r="HD88" s="20" t="n">
        <f aca="false">GU88*(Slot19_Cost-GZ88)</f>
        <v>0</v>
      </c>
      <c r="HE88" s="20" t="n">
        <f aca="false">IF(AND(Slot20_On=1,D88=Slot20_Age),1,0)</f>
        <v>0</v>
      </c>
      <c r="HF88" s="20" t="n">
        <f aca="false">IF(AND(Slot20_On=1,Slot20_Age&gt;D88),1,0)</f>
        <v>0</v>
      </c>
      <c r="HG88" s="20" t="n">
        <f aca="false">TK87</f>
        <v>0</v>
      </c>
      <c r="HH88" s="20" t="n">
        <f aca="false">HE88*MIN(Slot20_Cost,HG88)</f>
        <v>0</v>
      </c>
      <c r="HI88" s="20" t="n">
        <f aca="false">HE88*Slot20_SpendLike*MIN(Slot20_Cost-HH88,HA88)</f>
        <v>0</v>
      </c>
      <c r="HJ88" s="20" t="n">
        <f aca="false">HH88+HI88</f>
        <v>0</v>
      </c>
      <c r="HK88" s="20" t="n">
        <f aca="false">HA88-HI88+HE88*IF(Slot20_SpendLike=1,HG88-HH88,IF(Slot20_PotFree=1,HG88,0))</f>
        <v>0</v>
      </c>
      <c r="HL88" s="20" t="n">
        <f aca="false">HB88+HE88*Slot20_BufPot*HG88</f>
        <v>0</v>
      </c>
      <c r="HM88" s="20" t="n">
        <f aca="false">IF(AND(HE88=1,Slot20_IsMfree=1),IF(HJ88&gt;=Slot20_Cost-1,0,MAX(0,HC88-HJ88)),HC88)</f>
        <v>0</v>
      </c>
      <c r="HN88" s="20" t="n">
        <f aca="false">HE88*(Slot20_Cost-HJ88)</f>
        <v>0</v>
      </c>
      <c r="HO88" s="20" t="n">
        <f aca="false">V88*Slot1_SpendLike*AA88+AG88*Slot2_SpendLike*AL88+AQ88*Slot3_SpendLike*AV88+BA88*Slot4_SpendLike*BF88+BK88*Slot5_SpendLike*BP88+BU88*Slot6_SpendLike*BZ88+CE88*Slot7_SpendLike*CJ88+CO88*Slot8_SpendLike*CT88+CY88*Slot9_SpendLike*DD88+DI88*Slot10_SpendLike*DN88+DS88*Slot11_SpendLike*DX88+EC88*Slot12_SpendLike*EH88+EM88*Slot13_SpendLike*ER88+EW88*Slot14_SpendLike*FB88+FG88*Slot15_SpendLike*FL88+FQ88*Slot16_SpendLike*FV88+GA88*Slot17_SpendLike*GF88+GK88*Slot18_SpendLike*GP88+GU88*Slot19_SpendLike*GZ88+HE88*Slot20_SpendLike*HJ88</f>
        <v>0</v>
      </c>
      <c r="HP88" s="20" t="n">
        <f aca="false">AE88+AP88+AZ88+BJ88+BT88+CD88+CN88+CX88+DH88+DR88+EB88+EL88+EV88+FF88+FP88+FZ88+GJ88+GT88+HD88+HN88</f>
        <v>0</v>
      </c>
      <c r="HQ88" s="20" t="n">
        <f aca="false">V88*Slot1_Cost+AG88*Slot2_Cost+AQ88*Slot3_Cost+BA88*Slot4_Cost+BK88*Slot5_Cost+BU88*Slot6_Cost+CE88*Slot7_Cost+CO88*Slot8_Cost+CY88*Slot9_Cost+DI88*Slot10_Cost+DS88*Slot11_Cost+EC88*Slot12_Cost+EM88*Slot13_Cost+EW88*Slot14_Cost+FG88*Slot15_Cost+FQ88*Slot16_Cost+GA88*Slot17_Cost+GK88*Slot18_Cost+GU88*Slot19_Cost+HE88*Slot20_Cost</f>
        <v>0</v>
      </c>
      <c r="HR88" s="20" t="n">
        <f aca="false">HM88</f>
        <v>0</v>
      </c>
      <c r="HS88" s="20" t="n">
        <f aca="false">H88-I88-S88</f>
        <v>-93927.8705705582</v>
      </c>
      <c r="HT88" s="20" t="n">
        <f aca="false">IF(B88=0,IF(AND(Has_q6=1,In_q6=4),PR_ShareVaries*(MAX(0,HS88)/12),MIN(IF(Has_q6=1,CHOOSE(In_q6+1,PR_SaveB1,PR_SaveB2,PR_SaveB3,PR_SaveB4,0),AS_NoAnswer),AS_SaveShare*(MAX(0,HS88)/12))),HT87)</f>
        <v>62.3316893520437</v>
      </c>
      <c r="HU88" s="20" t="n">
        <f aca="false">IF(HS88&gt;=0,1,0)</f>
        <v>0</v>
      </c>
      <c r="HV88" s="20" t="n">
        <f aca="false">MAX(0,HS88/12/F88)</f>
        <v>0</v>
      </c>
      <c r="HW88" s="20" t="n">
        <f aca="false">IF(AND(Has_q6=1,In_q6=4),PR_ShareVaries*(HV88),MIN(IF(Has_q6=1,CHOOSE(In_q6+1,PR_SaveB1,PR_SaveB2,PR_SaveB3,PR_SaveB4,0),AS_NoAnswer),AS_SaveShare*(HV88)))</f>
        <v>0</v>
      </c>
      <c r="HX88" s="20" t="n">
        <f aca="false">IF(Has_saveM=1,IF(In_saveUp="Yes",1,IF(In_saveUp="No",0,IF(In_saveM&gt;=HT88-0.5,1,0))),0)</f>
        <v>0</v>
      </c>
      <c r="HY88" s="20" t="n">
        <f aca="false">IF(Has_saveM=1,MIN(HV88,IF(HX88=1,MAX(In_saveM,HW88),MIN(In_saveM,HW88))),HW88)</f>
        <v>0</v>
      </c>
      <c r="HZ88" s="20" t="n">
        <f aca="false">IF(G88=1,HY88*12*F88,0)</f>
        <v>0</v>
      </c>
      <c r="IA88" s="20" t="n">
        <f aca="false">MAX(0,HZ88+IF(AND(WI_Retire=0,WI_M&lt;0,G88=1),WI_M*12*F88,0))</f>
        <v>0</v>
      </c>
      <c r="IB88" s="20" t="n">
        <f aca="false">Slot1_IsWG*W88+Slot2_IsWG*AH88+Slot3_IsWG*AR88+Slot4_IsWG*BB88+Slot5_IsWG*BL88+Slot6_IsWG*BV88+Slot7_IsWG*CF88+Slot8_IsWG*CP88+Slot9_IsWG*CZ88+Slot10_IsWG*DJ88+Slot11_IsWG*DT88+Slot12_IsWG*ED88+Slot13_IsWG*EN88+Slot14_IsWG*EX88+Slot15_IsWG*FH88+Slot16_IsWG*FR88+Slot17_IsWG*GB88+Slot18_IsWG*GL88+Slot19_IsWG*GV88+Slot20_IsWG*HF88</f>
        <v>0</v>
      </c>
      <c r="IC88" s="20" t="n">
        <f aca="false">IF(AND(WI_Retire=0,WI_M&gt;0,G88=1,IB88&gt;=1),WI_M*12*F88,0)</f>
        <v>0</v>
      </c>
      <c r="ID88" s="20" t="n">
        <f aca="false">IF(HU88=1,MIN(IA88,HS88),0)</f>
        <v>0</v>
      </c>
      <c r="IE88" s="20" t="n">
        <f aca="false">IF(HU88=1,MIN(IC88,HS88-ID88),0)</f>
        <v>0</v>
      </c>
      <c r="IF88" s="20" t="n">
        <f aca="false">IF(W88=1,IF(ABS((1+AS_Wage)/(1+Slot1_Rate)-1)&lt;0.000000000001,(Slot1_Age-D88)*(1+Slot1_Rate)^(Slot1_Age-D88),(1+Slot1_Rate)^(Slot1_Age-D88)*(1-((1+AS_Wage)/(1+Slot1_Rate))^(Slot1_Age-D88))/(1-(1+AS_Wage)/(1+Slot1_Rate))),1)</f>
        <v>1</v>
      </c>
      <c r="IG88" s="20" t="n">
        <f aca="false">IF(AND(HU88=1,IE88&gt;0,Slot1_IsWG=1,W88=1),MAX(0,(Slot1_Cost-X88*(1+Slot1_Rate)^(Slot1_Age-D88))/IF88),0)</f>
        <v>0</v>
      </c>
      <c r="IH88" s="20" t="n">
        <f aca="false">IF(AND(HU88=1,IE88&gt;0,Slot1_IsWG=1,W88=1),MIN(IE88,IG88),0)</f>
        <v>0</v>
      </c>
      <c r="II88" s="20" t="n">
        <f aca="false">X88+IH88</f>
        <v>0</v>
      </c>
      <c r="IJ88" s="20" t="n">
        <f aca="false">IF(W88=1,MAX(0,(Slot1_Cost-II88*(1+Slot1_Rate)^(Slot1_Age-D88))/IF88),0)</f>
        <v>0</v>
      </c>
      <c r="IK88" s="20" t="n">
        <f aca="false">IF(W88=1,MAX(0,(Slot1_Cost-X88*(1+Slot1_Rate)^(Slot1_Age-D88))/IF88),0)</f>
        <v>0</v>
      </c>
      <c r="IL88" s="20" t="n">
        <f aca="false">IF(AND(HU88=1,W88=1),MIN(ID88,IJ88),0)</f>
        <v>0</v>
      </c>
      <c r="IM88" s="20" t="n">
        <f aca="false">ID88-IL88</f>
        <v>0</v>
      </c>
      <c r="IN88" s="20" t="n">
        <f aca="false">IF(AH88=1,IF(ABS((1+AS_Wage)/(1+Slot2_Rate)-1)&lt;0.000000000001,(Slot2_Age-D88)*(1+Slot2_Rate)^(Slot2_Age-D88),(1+Slot2_Rate)^(Slot2_Age-D88)*(1-((1+AS_Wage)/(1+Slot2_Rate))^(Slot2_Age-D88))/(1-(1+AS_Wage)/(1+Slot2_Rate))),1)</f>
        <v>1</v>
      </c>
      <c r="IO88" s="20" t="n">
        <f aca="false">IF(AND(HU88=1,IE88&gt;0,Slot2_IsWG=1,AH88=1),MAX(0,(Slot2_Cost-AI88*(1+Slot2_Rate)^(Slot2_Age-D88))/IN88),0)</f>
        <v>0</v>
      </c>
      <c r="IP88" s="20" t="n">
        <f aca="false">IF(AND(HU88=1,IE88&gt;0,Slot2_IsWG=1,AH88=1),MIN(IE88,IO88),0)</f>
        <v>0</v>
      </c>
      <c r="IQ88" s="20" t="n">
        <f aca="false">AI88+IP88</f>
        <v>0</v>
      </c>
      <c r="IR88" s="20" t="n">
        <f aca="false">IF(AH88=1,MAX(0,(Slot2_Cost-IQ88*(1+Slot2_Rate)^(Slot2_Age-D88))/IN88),0)</f>
        <v>0</v>
      </c>
      <c r="IS88" s="20" t="n">
        <f aca="false">IF(AH88=1,MAX(0,(Slot2_Cost-AI88*(1+Slot2_Rate)^(Slot2_Age-D88))/IN88),0)</f>
        <v>0</v>
      </c>
      <c r="IT88" s="20" t="n">
        <f aca="false">IF(AND(HU88=1,AH88=1),MIN(IM88,IR88),0)</f>
        <v>0</v>
      </c>
      <c r="IU88" s="20" t="n">
        <f aca="false">IM88-IT88</f>
        <v>0</v>
      </c>
      <c r="IV88" s="20" t="n">
        <f aca="false">IF(AR88=1,IF(ABS((1+AS_Wage)/(1+Slot3_Rate)-1)&lt;0.000000000001,(Slot3_Age-D88)*(1+Slot3_Rate)^(Slot3_Age-D88),(1+Slot3_Rate)^(Slot3_Age-D88)*(1-((1+AS_Wage)/(1+Slot3_Rate))^(Slot3_Age-D88))/(1-(1+AS_Wage)/(1+Slot3_Rate))),1)</f>
        <v>1</v>
      </c>
      <c r="IW88" s="20" t="n">
        <f aca="false">IF(AND(HU88=1,IE88&gt;0,Slot3_IsWG=1,AR88=1),MAX(0,(Slot3_Cost-AS88*(1+Slot3_Rate)^(Slot3_Age-D88))/IV88),0)</f>
        <v>0</v>
      </c>
      <c r="IX88" s="20" t="n">
        <f aca="false">IF(AND(HU88=1,IE88&gt;0,Slot3_IsWG=1,AR88=1),MIN(IE88,IW88),0)</f>
        <v>0</v>
      </c>
      <c r="IY88" s="20" t="n">
        <f aca="false">AS88+IX88</f>
        <v>0</v>
      </c>
      <c r="IZ88" s="20" t="n">
        <f aca="false">IF(AR88=1,MAX(0,(Slot3_Cost-IY88*(1+Slot3_Rate)^(Slot3_Age-D88))/IV88),0)</f>
        <v>0</v>
      </c>
      <c r="JA88" s="20" t="n">
        <f aca="false">IF(AR88=1,MAX(0,(Slot3_Cost-AS88*(1+Slot3_Rate)^(Slot3_Age-D88))/IV88),0)</f>
        <v>0</v>
      </c>
      <c r="JB88" s="20" t="n">
        <f aca="false">IF(AND(HU88=1,AR88=1),MIN(IU88,IZ88),0)</f>
        <v>0</v>
      </c>
      <c r="JC88" s="20" t="n">
        <f aca="false">IU88-JB88</f>
        <v>0</v>
      </c>
      <c r="JD88" s="20" t="n">
        <f aca="false">IF(BB88=1,IF(ABS((1+AS_Wage)/(1+Slot4_Rate)-1)&lt;0.000000000001,(Slot4_Age-D88)*(1+Slot4_Rate)^(Slot4_Age-D88),(1+Slot4_Rate)^(Slot4_Age-D88)*(1-((1+AS_Wage)/(1+Slot4_Rate))^(Slot4_Age-D88))/(1-(1+AS_Wage)/(1+Slot4_Rate))),1)</f>
        <v>1</v>
      </c>
      <c r="JE88" s="20" t="n">
        <f aca="false">IF(AND(HU88=1,IE88&gt;0,Slot4_IsWG=1,BB88=1),MAX(0,(Slot4_Cost-BC88*(1+Slot4_Rate)^(Slot4_Age-D88))/JD88),0)</f>
        <v>0</v>
      </c>
      <c r="JF88" s="20" t="n">
        <f aca="false">IF(AND(HU88=1,IE88&gt;0,Slot4_IsWG=1,BB88=1),MIN(IE88,JE88),0)</f>
        <v>0</v>
      </c>
      <c r="JG88" s="20" t="n">
        <f aca="false">BC88+JF88</f>
        <v>0</v>
      </c>
      <c r="JH88" s="20" t="n">
        <f aca="false">IF(BB88=1,MAX(0,(Slot4_Cost-JG88*(1+Slot4_Rate)^(Slot4_Age-D88))/JD88),0)</f>
        <v>0</v>
      </c>
      <c r="JI88" s="20" t="n">
        <f aca="false">IF(BB88=1,MAX(0,(Slot4_Cost-BC88*(1+Slot4_Rate)^(Slot4_Age-D88))/JD88),0)</f>
        <v>0</v>
      </c>
      <c r="JJ88" s="20" t="n">
        <f aca="false">IF(AND(HU88=1,BB88=1),MIN(JC88,JH88),0)</f>
        <v>0</v>
      </c>
      <c r="JK88" s="20" t="n">
        <f aca="false">JC88-JJ88</f>
        <v>0</v>
      </c>
      <c r="JL88" s="20" t="n">
        <f aca="false">IF(BL88=1,IF(ABS((1+AS_Wage)/(1+Slot5_Rate)-1)&lt;0.000000000001,(Slot5_Age-D88)*(1+Slot5_Rate)^(Slot5_Age-D88),(1+Slot5_Rate)^(Slot5_Age-D88)*(1-((1+AS_Wage)/(1+Slot5_Rate))^(Slot5_Age-D88))/(1-(1+AS_Wage)/(1+Slot5_Rate))),1)</f>
        <v>1</v>
      </c>
      <c r="JM88" s="20" t="n">
        <f aca="false">IF(AND(HU88=1,IE88&gt;0,Slot5_IsWG=1,BL88=1),MAX(0,(Slot5_Cost-BM88*(1+Slot5_Rate)^(Slot5_Age-D88))/JL88),0)</f>
        <v>0</v>
      </c>
      <c r="JN88" s="20" t="n">
        <f aca="false">IF(AND(HU88=1,IE88&gt;0,Slot5_IsWG=1,BL88=1),MIN(IE88,JM88),0)</f>
        <v>0</v>
      </c>
      <c r="JO88" s="20" t="n">
        <f aca="false">BM88+JN88</f>
        <v>0</v>
      </c>
      <c r="JP88" s="20" t="n">
        <f aca="false">IF(BL88=1,MAX(0,(Slot5_Cost-JO88*(1+Slot5_Rate)^(Slot5_Age-D88))/JL88),0)</f>
        <v>0</v>
      </c>
      <c r="JQ88" s="20" t="n">
        <f aca="false">IF(BL88=1,MAX(0,(Slot5_Cost-BM88*(1+Slot5_Rate)^(Slot5_Age-D88))/JL88),0)</f>
        <v>0</v>
      </c>
      <c r="JR88" s="20" t="n">
        <f aca="false">IF(AND(HU88=1,BL88=1),MIN(JK88,JP88),0)</f>
        <v>0</v>
      </c>
      <c r="JS88" s="20" t="n">
        <f aca="false">JK88-JR88</f>
        <v>0</v>
      </c>
      <c r="JT88" s="20" t="n">
        <f aca="false">IF(BV88=1,IF(ABS((1+AS_Wage)/(1+Slot6_Rate)-1)&lt;0.000000000001,(Slot6_Age-D88)*(1+Slot6_Rate)^(Slot6_Age-D88),(1+Slot6_Rate)^(Slot6_Age-D88)*(1-((1+AS_Wage)/(1+Slot6_Rate))^(Slot6_Age-D88))/(1-(1+AS_Wage)/(1+Slot6_Rate))),1)</f>
        <v>1</v>
      </c>
      <c r="JU88" s="20" t="n">
        <f aca="false">IF(AND(HU88=1,IE88&gt;0,Slot6_IsWG=1,BV88=1),MAX(0,(Slot6_Cost-BW88*(1+Slot6_Rate)^(Slot6_Age-D88))/JT88),0)</f>
        <v>0</v>
      </c>
      <c r="JV88" s="20" t="n">
        <f aca="false">IF(AND(HU88=1,IE88&gt;0,Slot6_IsWG=1,BV88=1),MIN(IE88,JU88),0)</f>
        <v>0</v>
      </c>
      <c r="JW88" s="20" t="n">
        <f aca="false">BW88+JV88</f>
        <v>0</v>
      </c>
      <c r="JX88" s="20" t="n">
        <f aca="false">IF(BV88=1,MAX(0,(Slot6_Cost-JW88*(1+Slot6_Rate)^(Slot6_Age-D88))/JT88),0)</f>
        <v>0</v>
      </c>
      <c r="JY88" s="20" t="n">
        <f aca="false">IF(BV88=1,MAX(0,(Slot6_Cost-BW88*(1+Slot6_Rate)^(Slot6_Age-D88))/JT88),0)</f>
        <v>0</v>
      </c>
      <c r="JZ88" s="20" t="n">
        <f aca="false">IF(AND(HU88=1,BV88=1),MIN(JS88,JX88),0)</f>
        <v>0</v>
      </c>
      <c r="KA88" s="20" t="n">
        <f aca="false">JS88-JZ88</f>
        <v>0</v>
      </c>
      <c r="KB88" s="20" t="n">
        <f aca="false">IF(CF88=1,IF(ABS((1+AS_Wage)/(1+Slot7_Rate)-1)&lt;0.000000000001,(Slot7_Age-D88)*(1+Slot7_Rate)^(Slot7_Age-D88),(1+Slot7_Rate)^(Slot7_Age-D88)*(1-((1+AS_Wage)/(1+Slot7_Rate))^(Slot7_Age-D88))/(1-(1+AS_Wage)/(1+Slot7_Rate))),1)</f>
        <v>1</v>
      </c>
      <c r="KC88" s="20" t="n">
        <f aca="false">IF(AND(HU88=1,IE88&gt;0,Slot7_IsWG=1,CF88=1),MAX(0,(Slot7_Cost-CG88*(1+Slot7_Rate)^(Slot7_Age-D88))/KB88),0)</f>
        <v>0</v>
      </c>
      <c r="KD88" s="20" t="n">
        <f aca="false">IF(AND(HU88=1,IE88&gt;0,Slot7_IsWG=1,CF88=1),MIN(IE88,KC88),0)</f>
        <v>0</v>
      </c>
      <c r="KE88" s="20" t="n">
        <f aca="false">CG88+KD88</f>
        <v>0</v>
      </c>
      <c r="KF88" s="20" t="n">
        <f aca="false">IF(CF88=1,MAX(0,(Slot7_Cost-KE88*(1+Slot7_Rate)^(Slot7_Age-D88))/KB88),0)</f>
        <v>0</v>
      </c>
      <c r="KG88" s="20" t="n">
        <f aca="false">IF(CF88=1,MAX(0,(Slot7_Cost-CG88*(1+Slot7_Rate)^(Slot7_Age-D88))/KB88),0)</f>
        <v>0</v>
      </c>
      <c r="KH88" s="20" t="n">
        <f aca="false">IF(AND(HU88=1,CF88=1),MIN(KA88,KF88),0)</f>
        <v>0</v>
      </c>
      <c r="KI88" s="20" t="n">
        <f aca="false">KA88-KH88</f>
        <v>0</v>
      </c>
      <c r="KJ88" s="20" t="n">
        <f aca="false">IF(CP88=1,IF(ABS((1+AS_Wage)/(1+Slot8_Rate)-1)&lt;0.000000000001,(Slot8_Age-D88)*(1+Slot8_Rate)^(Slot8_Age-D88),(1+Slot8_Rate)^(Slot8_Age-D88)*(1-((1+AS_Wage)/(1+Slot8_Rate))^(Slot8_Age-D88))/(1-(1+AS_Wage)/(1+Slot8_Rate))),1)</f>
        <v>1</v>
      </c>
      <c r="KK88" s="20" t="n">
        <f aca="false">IF(AND(HU88=1,IE88&gt;0,Slot8_IsWG=1,CP88=1),MAX(0,(Slot8_Cost-CQ88*(1+Slot8_Rate)^(Slot8_Age-D88))/KJ88),0)</f>
        <v>0</v>
      </c>
      <c r="KL88" s="20" t="n">
        <f aca="false">IF(AND(HU88=1,IE88&gt;0,Slot8_IsWG=1,CP88=1),MIN(IE88,KK88),0)</f>
        <v>0</v>
      </c>
      <c r="KM88" s="20" t="n">
        <f aca="false">CQ88+KL88</f>
        <v>0</v>
      </c>
      <c r="KN88" s="20" t="n">
        <f aca="false">IF(CP88=1,MAX(0,(Slot8_Cost-KM88*(1+Slot8_Rate)^(Slot8_Age-D88))/KJ88),0)</f>
        <v>0</v>
      </c>
      <c r="KO88" s="20" t="n">
        <f aca="false">IF(CP88=1,MAX(0,(Slot8_Cost-CQ88*(1+Slot8_Rate)^(Slot8_Age-D88))/KJ88),0)</f>
        <v>0</v>
      </c>
      <c r="KP88" s="20" t="n">
        <f aca="false">IF(AND(HU88=1,CP88=1),MIN(KI88,KN88),0)</f>
        <v>0</v>
      </c>
      <c r="KQ88" s="20" t="n">
        <f aca="false">KI88-KP88</f>
        <v>0</v>
      </c>
      <c r="KR88" s="20" t="n">
        <f aca="false">IF(CZ88=1,IF(ABS((1+AS_Wage)/(1+Slot9_Rate)-1)&lt;0.000000000001,(Slot9_Age-D88)*(1+Slot9_Rate)^(Slot9_Age-D88),(1+Slot9_Rate)^(Slot9_Age-D88)*(1-((1+AS_Wage)/(1+Slot9_Rate))^(Slot9_Age-D88))/(1-(1+AS_Wage)/(1+Slot9_Rate))),1)</f>
        <v>1</v>
      </c>
      <c r="KS88" s="20" t="n">
        <f aca="false">IF(AND(HU88=1,IE88&gt;0,Slot9_IsWG=1,CZ88=1),MAX(0,(Slot9_Cost-DA88*(1+Slot9_Rate)^(Slot9_Age-D88))/KR88),0)</f>
        <v>0</v>
      </c>
      <c r="KT88" s="20" t="n">
        <f aca="false">IF(AND(HU88=1,IE88&gt;0,Slot9_IsWG=1,CZ88=1),MIN(IE88,KS88),0)</f>
        <v>0</v>
      </c>
      <c r="KU88" s="20" t="n">
        <f aca="false">DA88+KT88</f>
        <v>0</v>
      </c>
      <c r="KV88" s="20" t="n">
        <f aca="false">IF(CZ88=1,MAX(0,(Slot9_Cost-KU88*(1+Slot9_Rate)^(Slot9_Age-D88))/KR88),0)</f>
        <v>0</v>
      </c>
      <c r="KW88" s="20" t="n">
        <f aca="false">IF(CZ88=1,MAX(0,(Slot9_Cost-DA88*(1+Slot9_Rate)^(Slot9_Age-D88))/KR88),0)</f>
        <v>0</v>
      </c>
      <c r="KX88" s="20" t="n">
        <f aca="false">IF(AND(HU88=1,CZ88=1),MIN(KQ88,KV88),0)</f>
        <v>0</v>
      </c>
      <c r="KY88" s="20" t="n">
        <f aca="false">KQ88-KX88</f>
        <v>0</v>
      </c>
      <c r="KZ88" s="20" t="n">
        <f aca="false">IF(DJ88=1,IF(ABS((1+AS_Wage)/(1+Slot10_Rate)-1)&lt;0.000000000001,(Slot10_Age-D88)*(1+Slot10_Rate)^(Slot10_Age-D88),(1+Slot10_Rate)^(Slot10_Age-D88)*(1-((1+AS_Wage)/(1+Slot10_Rate))^(Slot10_Age-D88))/(1-(1+AS_Wage)/(1+Slot10_Rate))),1)</f>
        <v>1</v>
      </c>
      <c r="LA88" s="20" t="n">
        <f aca="false">IF(AND(HU88=1,IE88&gt;0,Slot10_IsWG=1,DJ88=1),MAX(0,(Slot10_Cost-DK88*(1+Slot10_Rate)^(Slot10_Age-D88))/KZ88),0)</f>
        <v>0</v>
      </c>
      <c r="LB88" s="20" t="n">
        <f aca="false">IF(AND(HU88=1,IE88&gt;0,Slot10_IsWG=1,DJ88=1),MIN(IE88,LA88),0)</f>
        <v>0</v>
      </c>
      <c r="LC88" s="20" t="n">
        <f aca="false">DK88+LB88</f>
        <v>0</v>
      </c>
      <c r="LD88" s="20" t="n">
        <f aca="false">IF(DJ88=1,MAX(0,(Slot10_Cost-LC88*(1+Slot10_Rate)^(Slot10_Age-D88))/KZ88),0)</f>
        <v>0</v>
      </c>
      <c r="LE88" s="20" t="n">
        <f aca="false">IF(DJ88=1,MAX(0,(Slot10_Cost-DK88*(1+Slot10_Rate)^(Slot10_Age-D88))/KZ88),0)</f>
        <v>0</v>
      </c>
      <c r="LF88" s="20" t="n">
        <f aca="false">IF(AND(HU88=1,DJ88=1),MIN(KY88,LD88),0)</f>
        <v>0</v>
      </c>
      <c r="LG88" s="20" t="n">
        <f aca="false">KY88-LF88</f>
        <v>0</v>
      </c>
      <c r="LH88" s="20" t="n">
        <f aca="false">IF(DT88=1,IF(ABS((1+AS_Wage)/(1+Slot11_Rate)-1)&lt;0.000000000001,(Slot11_Age-D88)*(1+Slot11_Rate)^(Slot11_Age-D88),(1+Slot11_Rate)^(Slot11_Age-D88)*(1-((1+AS_Wage)/(1+Slot11_Rate))^(Slot11_Age-D88))/(1-(1+AS_Wage)/(1+Slot11_Rate))),1)</f>
        <v>1</v>
      </c>
      <c r="LI88" s="20" t="n">
        <f aca="false">IF(AND(HU88=1,IE88&gt;0,Slot11_IsWG=1,DT88=1),MAX(0,(Slot11_Cost-DU88*(1+Slot11_Rate)^(Slot11_Age-D88))/LH88),0)</f>
        <v>0</v>
      </c>
      <c r="LJ88" s="20" t="n">
        <f aca="false">IF(AND(HU88=1,IE88&gt;0,Slot11_IsWG=1,DT88=1),MIN(IE88,LI88),0)</f>
        <v>0</v>
      </c>
      <c r="LK88" s="20" t="n">
        <f aca="false">DU88+LJ88</f>
        <v>0</v>
      </c>
      <c r="LL88" s="20" t="n">
        <f aca="false">IF(DT88=1,MAX(0,(Slot11_Cost-LK88*(1+Slot11_Rate)^(Slot11_Age-D88))/LH88),0)</f>
        <v>0</v>
      </c>
      <c r="LM88" s="20" t="n">
        <f aca="false">IF(DT88=1,MAX(0,(Slot11_Cost-DU88*(1+Slot11_Rate)^(Slot11_Age-D88))/LH88),0)</f>
        <v>0</v>
      </c>
      <c r="LN88" s="20" t="n">
        <f aca="false">IF(AND(HU88=1,DT88=1),MIN(LG88,LL88),0)</f>
        <v>0</v>
      </c>
      <c r="LO88" s="20" t="n">
        <f aca="false">LG88-LN88</f>
        <v>0</v>
      </c>
      <c r="LP88" s="20" t="n">
        <f aca="false">IF(ED88=1,IF(ABS((1+AS_Wage)/(1+Slot12_Rate)-1)&lt;0.000000000001,(Slot12_Age-D88)*(1+Slot12_Rate)^(Slot12_Age-D88),(1+Slot12_Rate)^(Slot12_Age-D88)*(1-((1+AS_Wage)/(1+Slot12_Rate))^(Slot12_Age-D88))/(1-(1+AS_Wage)/(1+Slot12_Rate))),1)</f>
        <v>1</v>
      </c>
      <c r="LQ88" s="20" t="n">
        <f aca="false">IF(AND(HU88=1,IE88&gt;0,Slot12_IsWG=1,ED88=1),MAX(0,(Slot12_Cost-EE88*(1+Slot12_Rate)^(Slot12_Age-D88))/LP88),0)</f>
        <v>0</v>
      </c>
      <c r="LR88" s="20" t="n">
        <f aca="false">IF(AND(HU88=1,IE88&gt;0,Slot12_IsWG=1,ED88=1),MIN(IE88,LQ88),0)</f>
        <v>0</v>
      </c>
      <c r="LS88" s="20" t="n">
        <f aca="false">EE88+LR88</f>
        <v>0</v>
      </c>
      <c r="LT88" s="20" t="n">
        <f aca="false">IF(ED88=1,MAX(0,(Slot12_Cost-LS88*(1+Slot12_Rate)^(Slot12_Age-D88))/LP88),0)</f>
        <v>0</v>
      </c>
      <c r="LU88" s="20" t="n">
        <f aca="false">IF(ED88=1,MAX(0,(Slot12_Cost-EE88*(1+Slot12_Rate)^(Slot12_Age-D88))/LP88),0)</f>
        <v>0</v>
      </c>
      <c r="LV88" s="20" t="n">
        <f aca="false">IF(AND(HU88=1,ED88=1),MIN(LO88,LT88),0)</f>
        <v>0</v>
      </c>
      <c r="LW88" s="20" t="n">
        <f aca="false">LO88-LV88</f>
        <v>0</v>
      </c>
      <c r="LX88" s="20" t="n">
        <f aca="false">IF(EN88=1,IF(ABS((1+AS_Wage)/(1+Slot13_Rate)-1)&lt;0.000000000001,(Slot13_Age-D88)*(1+Slot13_Rate)^(Slot13_Age-D88),(1+Slot13_Rate)^(Slot13_Age-D88)*(1-((1+AS_Wage)/(1+Slot13_Rate))^(Slot13_Age-D88))/(1-(1+AS_Wage)/(1+Slot13_Rate))),1)</f>
        <v>1</v>
      </c>
      <c r="LY88" s="20" t="n">
        <f aca="false">IF(AND(HU88=1,IE88&gt;0,Slot13_IsWG=1,EN88=1),MAX(0,(Slot13_Cost-EO88*(1+Slot13_Rate)^(Slot13_Age-D88))/LX88),0)</f>
        <v>0</v>
      </c>
      <c r="LZ88" s="20" t="n">
        <f aca="false">IF(AND(HU88=1,IE88&gt;0,Slot13_IsWG=1,EN88=1),MIN(IE88,LY88),0)</f>
        <v>0</v>
      </c>
      <c r="MA88" s="20" t="n">
        <f aca="false">EO88+LZ88</f>
        <v>0</v>
      </c>
      <c r="MB88" s="20" t="n">
        <f aca="false">IF(EN88=1,MAX(0,(Slot13_Cost-MA88*(1+Slot13_Rate)^(Slot13_Age-D88))/LX88),0)</f>
        <v>0</v>
      </c>
      <c r="MC88" s="20" t="n">
        <f aca="false">IF(EN88=1,MAX(0,(Slot13_Cost-EO88*(1+Slot13_Rate)^(Slot13_Age-D88))/LX88),0)</f>
        <v>0</v>
      </c>
      <c r="MD88" s="20" t="n">
        <f aca="false">IF(AND(HU88=1,EN88=1),MIN(LW88,MB88),0)</f>
        <v>0</v>
      </c>
      <c r="ME88" s="20" t="n">
        <f aca="false">LW88-MD88</f>
        <v>0</v>
      </c>
      <c r="MF88" s="20" t="n">
        <f aca="false">IF(EX88=1,IF(ABS((1+AS_Wage)/(1+Slot14_Rate)-1)&lt;0.000000000001,(Slot14_Age-D88)*(1+Slot14_Rate)^(Slot14_Age-D88),(1+Slot14_Rate)^(Slot14_Age-D88)*(1-((1+AS_Wage)/(1+Slot14_Rate))^(Slot14_Age-D88))/(1-(1+AS_Wage)/(1+Slot14_Rate))),1)</f>
        <v>1</v>
      </c>
      <c r="MG88" s="20" t="n">
        <f aca="false">IF(AND(HU88=1,IE88&gt;0,Slot14_IsWG=1,EX88=1),MAX(0,(Slot14_Cost-EY88*(1+Slot14_Rate)^(Slot14_Age-D88))/MF88),0)</f>
        <v>0</v>
      </c>
      <c r="MH88" s="20" t="n">
        <f aca="false">IF(AND(HU88=1,IE88&gt;0,Slot14_IsWG=1,EX88=1),MIN(IE88,MG88),0)</f>
        <v>0</v>
      </c>
      <c r="MI88" s="20" t="n">
        <f aca="false">EY88+MH88</f>
        <v>0</v>
      </c>
      <c r="MJ88" s="20" t="n">
        <f aca="false">IF(EX88=1,MAX(0,(Slot14_Cost-MI88*(1+Slot14_Rate)^(Slot14_Age-D88))/MF88),0)</f>
        <v>0</v>
      </c>
      <c r="MK88" s="20" t="n">
        <f aca="false">IF(EX88=1,MAX(0,(Slot14_Cost-EY88*(1+Slot14_Rate)^(Slot14_Age-D88))/MF88),0)</f>
        <v>0</v>
      </c>
      <c r="ML88" s="20" t="n">
        <f aca="false">IF(AND(HU88=1,EX88=1),MIN(ME88,MJ88),0)</f>
        <v>0</v>
      </c>
      <c r="MM88" s="20" t="n">
        <f aca="false">ME88-ML88</f>
        <v>0</v>
      </c>
      <c r="MN88" s="20" t="n">
        <f aca="false">IF(FH88=1,IF(ABS((1+AS_Wage)/(1+Slot15_Rate)-1)&lt;0.000000000001,(Slot15_Age-D88)*(1+Slot15_Rate)^(Slot15_Age-D88),(1+Slot15_Rate)^(Slot15_Age-D88)*(1-((1+AS_Wage)/(1+Slot15_Rate))^(Slot15_Age-D88))/(1-(1+AS_Wage)/(1+Slot15_Rate))),1)</f>
        <v>1</v>
      </c>
      <c r="MO88" s="20" t="n">
        <f aca="false">IF(AND(HU88=1,IE88&gt;0,Slot15_IsWG=1,FH88=1),MAX(0,(Slot15_Cost-FI88*(1+Slot15_Rate)^(Slot15_Age-D88))/MN88),0)</f>
        <v>0</v>
      </c>
      <c r="MP88" s="20" t="n">
        <f aca="false">IF(AND(HU88=1,IE88&gt;0,Slot15_IsWG=1,FH88=1),MIN(IE88,MO88),0)</f>
        <v>0</v>
      </c>
      <c r="MQ88" s="20" t="n">
        <f aca="false">FI88+MP88</f>
        <v>0</v>
      </c>
      <c r="MR88" s="20" t="n">
        <f aca="false">IF(FH88=1,MAX(0,(Slot15_Cost-MQ88*(1+Slot15_Rate)^(Slot15_Age-D88))/MN88),0)</f>
        <v>0</v>
      </c>
      <c r="MS88" s="20" t="n">
        <f aca="false">IF(FH88=1,MAX(0,(Slot15_Cost-FI88*(1+Slot15_Rate)^(Slot15_Age-D88))/MN88),0)</f>
        <v>0</v>
      </c>
      <c r="MT88" s="20" t="n">
        <f aca="false">IF(AND(HU88=1,FH88=1),MIN(MM88,MR88),0)</f>
        <v>0</v>
      </c>
      <c r="MU88" s="20" t="n">
        <f aca="false">MM88-MT88</f>
        <v>0</v>
      </c>
      <c r="MV88" s="20" t="n">
        <f aca="false">IF(FR88=1,IF(ABS((1+AS_Wage)/(1+Slot16_Rate)-1)&lt;0.000000000001,(Slot16_Age-D88)*(1+Slot16_Rate)^(Slot16_Age-D88),(1+Slot16_Rate)^(Slot16_Age-D88)*(1-((1+AS_Wage)/(1+Slot16_Rate))^(Slot16_Age-D88))/(1-(1+AS_Wage)/(1+Slot16_Rate))),1)</f>
        <v>1</v>
      </c>
      <c r="MW88" s="20" t="n">
        <f aca="false">IF(AND(HU88=1,IE88&gt;0,Slot16_IsWG=1,FR88=1),MAX(0,(Slot16_Cost-FS88*(1+Slot16_Rate)^(Slot16_Age-D88))/MV88),0)</f>
        <v>0</v>
      </c>
      <c r="MX88" s="20" t="n">
        <f aca="false">IF(AND(HU88=1,IE88&gt;0,Slot16_IsWG=1,FR88=1),MIN(IE88,MW88),0)</f>
        <v>0</v>
      </c>
      <c r="MY88" s="20" t="n">
        <f aca="false">FS88+MX88</f>
        <v>0</v>
      </c>
      <c r="MZ88" s="20" t="n">
        <f aca="false">IF(FR88=1,MAX(0,(Slot16_Cost-MY88*(1+Slot16_Rate)^(Slot16_Age-D88))/MV88),0)</f>
        <v>0</v>
      </c>
      <c r="NA88" s="20" t="n">
        <f aca="false">IF(FR88=1,MAX(0,(Slot16_Cost-FS88*(1+Slot16_Rate)^(Slot16_Age-D88))/MV88),0)</f>
        <v>0</v>
      </c>
      <c r="NB88" s="20" t="n">
        <f aca="false">IF(AND(HU88=1,FR88=1),MIN(MU88,MZ88),0)</f>
        <v>0</v>
      </c>
      <c r="NC88" s="20" t="n">
        <f aca="false">MU88-NB88</f>
        <v>0</v>
      </c>
      <c r="ND88" s="20" t="n">
        <f aca="false">IF(GB88=1,IF(ABS((1+AS_Wage)/(1+Slot17_Rate)-1)&lt;0.000000000001,(Slot17_Age-D88)*(1+Slot17_Rate)^(Slot17_Age-D88),(1+Slot17_Rate)^(Slot17_Age-D88)*(1-((1+AS_Wage)/(1+Slot17_Rate))^(Slot17_Age-D88))/(1-(1+AS_Wage)/(1+Slot17_Rate))),1)</f>
        <v>1</v>
      </c>
      <c r="NE88" s="20" t="n">
        <f aca="false">IF(AND(HU88=1,IE88&gt;0,Slot17_IsWG=1,GB88=1),MAX(0,(Slot17_Cost-GC88*(1+Slot17_Rate)^(Slot17_Age-D88))/ND88),0)</f>
        <v>0</v>
      </c>
      <c r="NF88" s="20" t="n">
        <f aca="false">IF(AND(HU88=1,IE88&gt;0,Slot17_IsWG=1,GB88=1),MIN(IE88,NE88),0)</f>
        <v>0</v>
      </c>
      <c r="NG88" s="20" t="n">
        <f aca="false">GC88+NF88</f>
        <v>0</v>
      </c>
      <c r="NH88" s="20" t="n">
        <f aca="false">IF(GB88=1,MAX(0,(Slot17_Cost-NG88*(1+Slot17_Rate)^(Slot17_Age-D88))/ND88),0)</f>
        <v>0</v>
      </c>
      <c r="NI88" s="20" t="n">
        <f aca="false">IF(GB88=1,MAX(0,(Slot17_Cost-GC88*(1+Slot17_Rate)^(Slot17_Age-D88))/ND88),0)</f>
        <v>0</v>
      </c>
      <c r="NJ88" s="20" t="n">
        <f aca="false">IF(AND(HU88=1,GB88=1),MIN(NC88,NH88),0)</f>
        <v>0</v>
      </c>
      <c r="NK88" s="20" t="n">
        <f aca="false">NC88-NJ88</f>
        <v>0</v>
      </c>
      <c r="NL88" s="20" t="n">
        <f aca="false">IF(GL88=1,IF(ABS((1+AS_Wage)/(1+Slot18_Rate)-1)&lt;0.000000000001,(Slot18_Age-D88)*(1+Slot18_Rate)^(Slot18_Age-D88),(1+Slot18_Rate)^(Slot18_Age-D88)*(1-((1+AS_Wage)/(1+Slot18_Rate))^(Slot18_Age-D88))/(1-(1+AS_Wage)/(1+Slot18_Rate))),1)</f>
        <v>1</v>
      </c>
      <c r="NM88" s="20" t="n">
        <f aca="false">IF(AND(HU88=1,IE88&gt;0,Slot18_IsWG=1,GL88=1),MAX(0,(Slot18_Cost-GM88*(1+Slot18_Rate)^(Slot18_Age-D88))/NL88),0)</f>
        <v>0</v>
      </c>
      <c r="NN88" s="20" t="n">
        <f aca="false">IF(AND(HU88=1,IE88&gt;0,Slot18_IsWG=1,GL88=1),MIN(IE88,NM88),0)</f>
        <v>0</v>
      </c>
      <c r="NO88" s="20" t="n">
        <f aca="false">GM88+NN88</f>
        <v>0</v>
      </c>
      <c r="NP88" s="20" t="n">
        <f aca="false">IF(GL88=1,MAX(0,(Slot18_Cost-NO88*(1+Slot18_Rate)^(Slot18_Age-D88))/NL88),0)</f>
        <v>0</v>
      </c>
      <c r="NQ88" s="20" t="n">
        <f aca="false">IF(GL88=1,MAX(0,(Slot18_Cost-GM88*(1+Slot18_Rate)^(Slot18_Age-D88))/NL88),0)</f>
        <v>0</v>
      </c>
      <c r="NR88" s="20" t="n">
        <f aca="false">IF(AND(HU88=1,GL88=1),MIN(NK88,NP88),0)</f>
        <v>0</v>
      </c>
      <c r="NS88" s="20" t="n">
        <f aca="false">NK88-NR88</f>
        <v>0</v>
      </c>
      <c r="NT88" s="20" t="n">
        <f aca="false">IF(GV88=1,IF(ABS((1+AS_Wage)/(1+Slot19_Rate)-1)&lt;0.000000000001,(Slot19_Age-D88)*(1+Slot19_Rate)^(Slot19_Age-D88),(1+Slot19_Rate)^(Slot19_Age-D88)*(1-((1+AS_Wage)/(1+Slot19_Rate))^(Slot19_Age-D88))/(1-(1+AS_Wage)/(1+Slot19_Rate))),1)</f>
        <v>1</v>
      </c>
      <c r="NU88" s="20" t="n">
        <f aca="false">IF(AND(HU88=1,IE88&gt;0,Slot19_IsWG=1,GV88=1),MAX(0,(Slot19_Cost-GW88*(1+Slot19_Rate)^(Slot19_Age-D88))/NT88),0)</f>
        <v>0</v>
      </c>
      <c r="NV88" s="20" t="n">
        <f aca="false">IF(AND(HU88=1,IE88&gt;0,Slot19_IsWG=1,GV88=1),MIN(IE88,NU88),0)</f>
        <v>0</v>
      </c>
      <c r="NW88" s="20" t="n">
        <f aca="false">GW88+NV88</f>
        <v>0</v>
      </c>
      <c r="NX88" s="20" t="n">
        <f aca="false">IF(GV88=1,MAX(0,(Slot19_Cost-NW88*(1+Slot19_Rate)^(Slot19_Age-D88))/NT88),0)</f>
        <v>0</v>
      </c>
      <c r="NY88" s="20" t="n">
        <f aca="false">IF(GV88=1,MAX(0,(Slot19_Cost-GW88*(1+Slot19_Rate)^(Slot19_Age-D88))/NT88),0)</f>
        <v>0</v>
      </c>
      <c r="NZ88" s="20" t="n">
        <f aca="false">IF(AND(HU88=1,GV88=1),MIN(NS88,NX88),0)</f>
        <v>0</v>
      </c>
      <c r="OA88" s="20" t="n">
        <f aca="false">NS88-NZ88</f>
        <v>0</v>
      </c>
      <c r="OB88" s="20" t="n">
        <f aca="false">IF(HF88=1,IF(ABS((1+AS_Wage)/(1+Slot20_Rate)-1)&lt;0.000000000001,(Slot20_Age-D88)*(1+Slot20_Rate)^(Slot20_Age-D88),(1+Slot20_Rate)^(Slot20_Age-D88)*(1-((1+AS_Wage)/(1+Slot20_Rate))^(Slot20_Age-D88))/(1-(1+AS_Wage)/(1+Slot20_Rate))),1)</f>
        <v>1</v>
      </c>
      <c r="OC88" s="20" t="n">
        <f aca="false">IF(AND(HU88=1,IE88&gt;0,Slot20_IsWG=1,HF88=1),MAX(0,(Slot20_Cost-HG88*(1+Slot20_Rate)^(Slot20_Age-D88))/OB88),0)</f>
        <v>0</v>
      </c>
      <c r="OD88" s="20" t="n">
        <f aca="false">IF(AND(HU88=1,IE88&gt;0,Slot20_IsWG=1,HF88=1),MIN(IE88,OC88),0)</f>
        <v>0</v>
      </c>
      <c r="OE88" s="20" t="n">
        <f aca="false">HG88+OD88</f>
        <v>0</v>
      </c>
      <c r="OF88" s="20" t="n">
        <f aca="false">IF(HF88=1,MAX(0,(Slot20_Cost-OE88*(1+Slot20_Rate)^(Slot20_Age-D88))/OB88),0)</f>
        <v>0</v>
      </c>
      <c r="OG88" s="20" t="n">
        <f aca="false">IF(HF88=1,MAX(0,(Slot20_Cost-HG88*(1+Slot20_Rate)^(Slot20_Age-D88))/OB88),0)</f>
        <v>0</v>
      </c>
      <c r="OH88" s="20" t="n">
        <f aca="false">IF(AND(HU88=1,HF88=1),MIN(OA88,OF88),0)</f>
        <v>0</v>
      </c>
      <c r="OI88" s="20" t="n">
        <f aca="false">OA88-OH88</f>
        <v>0</v>
      </c>
      <c r="OJ88" s="20" t="n">
        <f aca="false">IE88-(IH88+IP88+IX88+JF88+JN88+JV88+KD88+KL88+KT88+LB88+LJ88+LR88+LZ88+MH88+MP88+MX88+NF88+NN88+NV88+OD88)</f>
        <v>0</v>
      </c>
      <c r="OK88" s="20" t="n">
        <f aca="false">IF(HU88=1,HS88-ID88-IE88,0)</f>
        <v>0</v>
      </c>
      <c r="OL88" s="20" t="n">
        <f aca="false">IF(HU88=0,-HS88,0)</f>
        <v>93927.8705705582</v>
      </c>
      <c r="OM88" s="20" t="n">
        <f aca="false">MIN(OL88,HK88)</f>
        <v>0</v>
      </c>
      <c r="ON88" s="20" t="n">
        <f aca="false">OL88-OM88</f>
        <v>93927.8705705582</v>
      </c>
      <c r="OO88" s="20" t="n">
        <f aca="false">MIN(ON88,HL88)</f>
        <v>0</v>
      </c>
      <c r="OP88" s="20" t="n">
        <f aca="false">ON88-OO88</f>
        <v>93927.8705705582</v>
      </c>
      <c r="OQ88" s="20" t="n">
        <f aca="false">IF(AND(HU88=0,HF88=1,OP88&gt;0),MIN(OP88,HG88),0)</f>
        <v>0</v>
      </c>
      <c r="OR88" s="20" t="n">
        <f aca="false">OP88-OQ88</f>
        <v>93927.8705705582</v>
      </c>
      <c r="OS88" s="20" t="n">
        <f aca="false">IF(AND(HU88=0,GV88=1,OR88&gt;0),MIN(OR88,GW88),0)</f>
        <v>0</v>
      </c>
      <c r="OT88" s="20" t="n">
        <f aca="false">OR88-OS88</f>
        <v>93927.8705705582</v>
      </c>
      <c r="OU88" s="20" t="n">
        <f aca="false">IF(AND(HU88=0,GL88=1,OT88&gt;0),MIN(OT88,GM88),0)</f>
        <v>0</v>
      </c>
      <c r="OV88" s="20" t="n">
        <f aca="false">OT88-OU88</f>
        <v>93927.8705705582</v>
      </c>
      <c r="OW88" s="20" t="n">
        <f aca="false">IF(AND(HU88=0,GB88=1,OV88&gt;0),MIN(OV88,GC88),0)</f>
        <v>0</v>
      </c>
      <c r="OX88" s="20" t="n">
        <f aca="false">OV88-OW88</f>
        <v>93927.8705705582</v>
      </c>
      <c r="OY88" s="20" t="n">
        <f aca="false">IF(AND(HU88=0,FR88=1,OX88&gt;0),MIN(OX88,FS88),0)</f>
        <v>0</v>
      </c>
      <c r="OZ88" s="20" t="n">
        <f aca="false">OX88-OY88</f>
        <v>93927.8705705582</v>
      </c>
      <c r="PA88" s="20" t="n">
        <f aca="false">IF(AND(HU88=0,FH88=1,OZ88&gt;0),MIN(OZ88,FI88),0)</f>
        <v>0</v>
      </c>
      <c r="PB88" s="20" t="n">
        <f aca="false">OZ88-PA88</f>
        <v>93927.8705705582</v>
      </c>
      <c r="PC88" s="20" t="n">
        <f aca="false">IF(AND(HU88=0,EX88=1,PB88&gt;0),MIN(PB88,EY88),0)</f>
        <v>0</v>
      </c>
      <c r="PD88" s="20" t="n">
        <f aca="false">PB88-PC88</f>
        <v>93927.8705705582</v>
      </c>
      <c r="PE88" s="20" t="n">
        <f aca="false">IF(AND(HU88=0,EN88=1,PD88&gt;0),MIN(PD88,EO88),0)</f>
        <v>0</v>
      </c>
      <c r="PF88" s="20" t="n">
        <f aca="false">PD88-PE88</f>
        <v>93927.8705705582</v>
      </c>
      <c r="PG88" s="20" t="n">
        <f aca="false">IF(AND(HU88=0,ED88=1,PF88&gt;0),MIN(PF88,EE88),0)</f>
        <v>0</v>
      </c>
      <c r="PH88" s="20" t="n">
        <f aca="false">PF88-PG88</f>
        <v>93927.8705705582</v>
      </c>
      <c r="PI88" s="20" t="n">
        <f aca="false">IF(AND(HU88=0,DT88=1,PH88&gt;0),MIN(PH88,DU88),0)</f>
        <v>0</v>
      </c>
      <c r="PJ88" s="20" t="n">
        <f aca="false">PH88-PI88</f>
        <v>93927.8705705582</v>
      </c>
      <c r="PK88" s="20" t="n">
        <f aca="false">IF(AND(HU88=0,DJ88=1,PJ88&gt;0),MIN(PJ88,DK88),0)</f>
        <v>0</v>
      </c>
      <c r="PL88" s="20" t="n">
        <f aca="false">PJ88-PK88</f>
        <v>93927.8705705582</v>
      </c>
      <c r="PM88" s="20" t="n">
        <f aca="false">IF(AND(HU88=0,CZ88=1,PL88&gt;0),MIN(PL88,DA88),0)</f>
        <v>0</v>
      </c>
      <c r="PN88" s="20" t="n">
        <f aca="false">PL88-PM88</f>
        <v>93927.8705705582</v>
      </c>
      <c r="PO88" s="20" t="n">
        <f aca="false">IF(AND(HU88=0,CP88=1,PN88&gt;0),MIN(PN88,CQ88),0)</f>
        <v>0</v>
      </c>
      <c r="PP88" s="20" t="n">
        <f aca="false">PN88-PO88</f>
        <v>93927.8705705582</v>
      </c>
      <c r="PQ88" s="20" t="n">
        <f aca="false">IF(AND(HU88=0,CF88=1,PP88&gt;0),MIN(PP88,CG88),0)</f>
        <v>0</v>
      </c>
      <c r="PR88" s="20" t="n">
        <f aca="false">PP88-PQ88</f>
        <v>93927.8705705582</v>
      </c>
      <c r="PS88" s="20" t="n">
        <f aca="false">IF(AND(HU88=0,BV88=1,PR88&gt;0),MIN(PR88,BW88),0)</f>
        <v>0</v>
      </c>
      <c r="PT88" s="20" t="n">
        <f aca="false">PR88-PS88</f>
        <v>93927.8705705582</v>
      </c>
      <c r="PU88" s="20" t="n">
        <f aca="false">IF(AND(HU88=0,BL88=1,PT88&gt;0),MIN(PT88,BM88),0)</f>
        <v>0</v>
      </c>
      <c r="PV88" s="20" t="n">
        <f aca="false">PT88-PU88</f>
        <v>93927.8705705582</v>
      </c>
      <c r="PW88" s="20" t="n">
        <f aca="false">IF(AND(HU88=0,BB88=1,PV88&gt;0),MIN(PV88,BC88),0)</f>
        <v>0</v>
      </c>
      <c r="PX88" s="20" t="n">
        <f aca="false">PV88-PW88</f>
        <v>93927.8705705582</v>
      </c>
      <c r="PY88" s="20" t="n">
        <f aca="false">IF(AND(HU88=0,AR88=1,PX88&gt;0),MIN(PX88,AS88),0)</f>
        <v>0</v>
      </c>
      <c r="PZ88" s="20" t="n">
        <f aca="false">PX88-PY88</f>
        <v>93927.8705705582</v>
      </c>
      <c r="QA88" s="20" t="n">
        <f aca="false">IF(AND(HU88=0,AH88=1,PZ88&gt;0),MIN(PZ88,AI88),0)</f>
        <v>0</v>
      </c>
      <c r="QB88" s="20" t="n">
        <f aca="false">PZ88-QA88</f>
        <v>93927.8705705582</v>
      </c>
      <c r="QC88" s="20" t="n">
        <f aca="false">IF(AND(HU88=0,W88=1,QB88&gt;0),MIN(QB88,X88),0)</f>
        <v>0</v>
      </c>
      <c r="QD88" s="20" t="n">
        <f aca="false">QB88-QC88</f>
        <v>93927.8705705582</v>
      </c>
      <c r="QE88" s="20" t="n">
        <f aca="false">IF(HU88=0,QD88,0)</f>
        <v>93927.8705705582</v>
      </c>
      <c r="QF88" s="20" t="n">
        <f aca="false">OM88+OO88+QC88+QA88+PY88+PW88+PU88+PS88+PQ88+PO88+PM88+PK88+PI88+PG88+PE88+PC88+PA88+OY88+OW88+OU88+OS88+OQ88</f>
        <v>0</v>
      </c>
      <c r="QG88" s="20" t="n">
        <f aca="false">IF(HU88=1,HK88+OJ88+OI88+IF(G88=1,0,OK88),HK88-OM88)</f>
        <v>0</v>
      </c>
      <c r="QH88" s="20" t="n">
        <f aca="false">HL88-OO88</f>
        <v>0</v>
      </c>
      <c r="QI88" s="20" t="n">
        <f aca="false">IF(HU88=1,IF(G88=1,ID88+IE88,HS88),0)</f>
        <v>0</v>
      </c>
      <c r="QJ88" s="20" t="n">
        <f aca="false">IF(HU88=1,IF(G88=1,HS88-ID88-IE88,0),0)</f>
        <v>0</v>
      </c>
      <c r="QK88" s="20" t="n">
        <f aca="false">QG88*(1+GR)</f>
        <v>0</v>
      </c>
      <c r="QL88" s="20" t="n">
        <f aca="false">QH88*(1+AS_Cash)</f>
        <v>0</v>
      </c>
      <c r="QM88" s="20" t="n">
        <f aca="false">IF(W88=1,IF(HU88=1,II88+IL88,X88-QC88)*(1+Slot1_Rate),0)</f>
        <v>0</v>
      </c>
      <c r="QN88" s="20" t="n">
        <f aca="false">IF(AND(HU88=1,W88=1),(IH88+IL88)/F88,0)</f>
        <v>0</v>
      </c>
      <c r="QO88" s="20" t="n">
        <f aca="false">IF(B88=0,IH88+IL88,0)</f>
        <v>0</v>
      </c>
      <c r="QP88" s="20" t="n">
        <f aca="false">IF(B88=0,IF(HU88=1,IJ88,IK88),0)</f>
        <v>0</v>
      </c>
      <c r="QQ88" s="20" t="n">
        <f aca="false">IF(AH88=1,IF(HU88=1,IQ88+IT88,AI88-QA88)*(1+Slot2_Rate),0)</f>
        <v>0</v>
      </c>
      <c r="QR88" s="20" t="n">
        <f aca="false">IF(AND(HU88=1,AH88=1),(IP88+IT88)/F88,0)</f>
        <v>0</v>
      </c>
      <c r="QS88" s="20" t="n">
        <f aca="false">IF(B88=0,IP88+IT88,0)</f>
        <v>0</v>
      </c>
      <c r="QT88" s="20" t="n">
        <f aca="false">IF(B88=0,IF(HU88=1,IR88,IS88),0)</f>
        <v>0</v>
      </c>
      <c r="QU88" s="20" t="n">
        <f aca="false">IF(AR88=1,IF(HU88=1,IY88+JB88,AS88-PY88)*(1+Slot3_Rate),0)</f>
        <v>0</v>
      </c>
      <c r="QV88" s="20" t="n">
        <f aca="false">IF(AND(HU88=1,AR88=1),(IX88+JB88)/F88,0)</f>
        <v>0</v>
      </c>
      <c r="QW88" s="20" t="n">
        <f aca="false">IF(B88=0,IX88+JB88,0)</f>
        <v>0</v>
      </c>
      <c r="QX88" s="20" t="n">
        <f aca="false">IF(B88=0,IF(HU88=1,IZ88,JA88),0)</f>
        <v>0</v>
      </c>
      <c r="QY88" s="20" t="n">
        <f aca="false">IF(BB88=1,IF(HU88=1,JG88+JJ88,BC88-PW88)*(1+Slot4_Rate),0)</f>
        <v>0</v>
      </c>
      <c r="QZ88" s="20" t="n">
        <f aca="false">IF(AND(HU88=1,BB88=1),(JF88+JJ88)/F88,0)</f>
        <v>0</v>
      </c>
      <c r="RA88" s="20" t="n">
        <f aca="false">IF(B88=0,JF88+JJ88,0)</f>
        <v>0</v>
      </c>
      <c r="RB88" s="20" t="n">
        <f aca="false">IF(B88=0,IF(HU88=1,JH88,JI88),0)</f>
        <v>0</v>
      </c>
      <c r="RC88" s="20" t="n">
        <f aca="false">IF(BL88=1,IF(HU88=1,JO88+JR88,BM88-PU88)*(1+Slot5_Rate),0)</f>
        <v>0</v>
      </c>
      <c r="RD88" s="20" t="n">
        <f aca="false">IF(AND(HU88=1,BL88=1),(JN88+JR88)/F88,0)</f>
        <v>0</v>
      </c>
      <c r="RE88" s="20" t="n">
        <f aca="false">IF(B88=0,JN88+JR88,0)</f>
        <v>0</v>
      </c>
      <c r="RF88" s="20" t="n">
        <f aca="false">IF(B88=0,IF(HU88=1,JP88,JQ88),0)</f>
        <v>0</v>
      </c>
      <c r="RG88" s="20" t="n">
        <f aca="false">IF(BV88=1,IF(HU88=1,JW88+JZ88,BW88-PS88)*(1+Slot6_Rate),0)</f>
        <v>0</v>
      </c>
      <c r="RH88" s="20" t="n">
        <f aca="false">IF(AND(HU88=1,BV88=1),(JV88+JZ88)/F88,0)</f>
        <v>0</v>
      </c>
      <c r="RI88" s="20" t="n">
        <f aca="false">IF(B88=0,JV88+JZ88,0)</f>
        <v>0</v>
      </c>
      <c r="RJ88" s="20" t="n">
        <f aca="false">IF(B88=0,IF(HU88=1,JX88,JY88),0)</f>
        <v>0</v>
      </c>
      <c r="RK88" s="20" t="n">
        <f aca="false">IF(CF88=1,IF(HU88=1,KE88+KH88,CG88-PQ88)*(1+Slot7_Rate),0)</f>
        <v>0</v>
      </c>
      <c r="RL88" s="20" t="n">
        <f aca="false">IF(AND(HU88=1,CF88=1),(KD88+KH88)/F88,0)</f>
        <v>0</v>
      </c>
      <c r="RM88" s="20" t="n">
        <f aca="false">IF(B88=0,KD88+KH88,0)</f>
        <v>0</v>
      </c>
      <c r="RN88" s="20" t="n">
        <f aca="false">IF(B88=0,IF(HU88=1,KF88,KG88),0)</f>
        <v>0</v>
      </c>
      <c r="RO88" s="20" t="n">
        <f aca="false">IF(CP88=1,IF(HU88=1,KM88+KP88,CQ88-PO88)*(1+Slot8_Rate),0)</f>
        <v>0</v>
      </c>
      <c r="RP88" s="20" t="n">
        <f aca="false">IF(AND(HU88=1,CP88=1),(KL88+KP88)/F88,0)</f>
        <v>0</v>
      </c>
      <c r="RQ88" s="20" t="n">
        <f aca="false">IF(B88=0,KL88+KP88,0)</f>
        <v>0</v>
      </c>
      <c r="RR88" s="20" t="n">
        <f aca="false">IF(B88=0,IF(HU88=1,KN88,KO88),0)</f>
        <v>0</v>
      </c>
      <c r="RS88" s="20" t="n">
        <f aca="false">IF(CZ88=1,IF(HU88=1,KU88+KX88,DA88-PM88)*(1+Slot9_Rate),0)</f>
        <v>0</v>
      </c>
      <c r="RT88" s="20" t="n">
        <f aca="false">IF(AND(HU88=1,CZ88=1),(KT88+KX88)/F88,0)</f>
        <v>0</v>
      </c>
      <c r="RU88" s="20" t="n">
        <f aca="false">IF(B88=0,KT88+KX88,0)</f>
        <v>0</v>
      </c>
      <c r="RV88" s="20" t="n">
        <f aca="false">IF(B88=0,IF(HU88=1,KV88,KW88),0)</f>
        <v>0</v>
      </c>
      <c r="RW88" s="20" t="n">
        <f aca="false">IF(DJ88=1,IF(HU88=1,LC88+LF88,DK88-PK88)*(1+Slot10_Rate),0)</f>
        <v>0</v>
      </c>
      <c r="RX88" s="20" t="n">
        <f aca="false">IF(AND(HU88=1,DJ88=1),(LB88+LF88)/F88,0)</f>
        <v>0</v>
      </c>
      <c r="RY88" s="20" t="n">
        <f aca="false">IF(B88=0,LB88+LF88,0)</f>
        <v>0</v>
      </c>
      <c r="RZ88" s="20" t="n">
        <f aca="false">IF(B88=0,IF(HU88=1,LD88,LE88),0)</f>
        <v>0</v>
      </c>
      <c r="SA88" s="20" t="n">
        <f aca="false">IF(DT88=1,IF(HU88=1,LK88+LN88,DU88-PI88)*(1+Slot11_Rate),0)</f>
        <v>0</v>
      </c>
      <c r="SB88" s="20" t="n">
        <f aca="false">IF(AND(HU88=1,DT88=1),(LJ88+LN88)/F88,0)</f>
        <v>0</v>
      </c>
      <c r="SC88" s="20" t="n">
        <f aca="false">IF(B88=0,LJ88+LN88,0)</f>
        <v>0</v>
      </c>
      <c r="SD88" s="20" t="n">
        <f aca="false">IF(B88=0,IF(HU88=1,LL88,LM88),0)</f>
        <v>0</v>
      </c>
      <c r="SE88" s="20" t="n">
        <f aca="false">IF(ED88=1,IF(HU88=1,LS88+LV88,EE88-PG88)*(1+Slot12_Rate),0)</f>
        <v>0</v>
      </c>
      <c r="SF88" s="20" t="n">
        <f aca="false">IF(AND(HU88=1,ED88=1),(LR88+LV88)/F88,0)</f>
        <v>0</v>
      </c>
      <c r="SG88" s="20" t="n">
        <f aca="false">IF(B88=0,LR88+LV88,0)</f>
        <v>0</v>
      </c>
      <c r="SH88" s="20" t="n">
        <f aca="false">IF(B88=0,IF(HU88=1,LT88,LU88),0)</f>
        <v>0</v>
      </c>
      <c r="SI88" s="20" t="n">
        <f aca="false">IF(EN88=1,IF(HU88=1,MA88+MD88,EO88-PE88)*(1+Slot13_Rate),0)</f>
        <v>0</v>
      </c>
      <c r="SJ88" s="20" t="n">
        <f aca="false">IF(AND(HU88=1,EN88=1),(LZ88+MD88)/F88,0)</f>
        <v>0</v>
      </c>
      <c r="SK88" s="20" t="n">
        <f aca="false">IF(B88=0,LZ88+MD88,0)</f>
        <v>0</v>
      </c>
      <c r="SL88" s="20" t="n">
        <f aca="false">IF(B88=0,IF(HU88=1,MB88,MC88),0)</f>
        <v>0</v>
      </c>
      <c r="SM88" s="20" t="n">
        <f aca="false">IF(EX88=1,IF(HU88=1,MI88+ML88,EY88-PC88)*(1+Slot14_Rate),0)</f>
        <v>0</v>
      </c>
      <c r="SN88" s="20" t="n">
        <f aca="false">IF(AND(HU88=1,EX88=1),(MH88+ML88)/F88,0)</f>
        <v>0</v>
      </c>
      <c r="SO88" s="20" t="n">
        <f aca="false">IF(B88=0,MH88+ML88,0)</f>
        <v>0</v>
      </c>
      <c r="SP88" s="20" t="n">
        <f aca="false">IF(B88=0,IF(HU88=1,MJ88,MK88),0)</f>
        <v>0</v>
      </c>
      <c r="SQ88" s="20" t="n">
        <f aca="false">IF(FH88=1,IF(HU88=1,MQ88+MT88,FI88-PA88)*(1+Slot15_Rate),0)</f>
        <v>0</v>
      </c>
      <c r="SR88" s="20" t="n">
        <f aca="false">IF(AND(HU88=1,FH88=1),(MP88+MT88)/F88,0)</f>
        <v>0</v>
      </c>
      <c r="SS88" s="20" t="n">
        <f aca="false">IF(B88=0,MP88+MT88,0)</f>
        <v>0</v>
      </c>
      <c r="ST88" s="20" t="n">
        <f aca="false">IF(B88=0,IF(HU88=1,MR88,MS88),0)</f>
        <v>0</v>
      </c>
      <c r="SU88" s="20" t="n">
        <f aca="false">IF(FR88=1,IF(HU88=1,MY88+NB88,FS88-OY88)*(1+Slot16_Rate),0)</f>
        <v>0</v>
      </c>
      <c r="SV88" s="20" t="n">
        <f aca="false">IF(AND(HU88=1,FR88=1),(MX88+NB88)/F88,0)</f>
        <v>0</v>
      </c>
      <c r="SW88" s="20" t="n">
        <f aca="false">IF(B88=0,MX88+NB88,0)</f>
        <v>0</v>
      </c>
      <c r="SX88" s="20" t="n">
        <f aca="false">IF(B88=0,IF(HU88=1,MZ88,NA88),0)</f>
        <v>0</v>
      </c>
      <c r="SY88" s="20" t="n">
        <f aca="false">IF(GB88=1,IF(HU88=1,NG88+NJ88,GC88-OW88)*(1+Slot17_Rate),0)</f>
        <v>0</v>
      </c>
      <c r="SZ88" s="20" t="n">
        <f aca="false">IF(AND(HU88=1,GB88=1),(NF88+NJ88)/F88,0)</f>
        <v>0</v>
      </c>
      <c r="TA88" s="20" t="n">
        <f aca="false">IF(B88=0,NF88+NJ88,0)</f>
        <v>0</v>
      </c>
      <c r="TB88" s="20" t="n">
        <f aca="false">IF(B88=0,IF(HU88=1,NH88,NI88),0)</f>
        <v>0</v>
      </c>
      <c r="TC88" s="20" t="n">
        <f aca="false">IF(GL88=1,IF(HU88=1,NO88+NR88,GM88-OU88)*(1+Slot18_Rate),0)</f>
        <v>0</v>
      </c>
      <c r="TD88" s="20" t="n">
        <f aca="false">IF(AND(HU88=1,GL88=1),(NN88+NR88)/F88,0)</f>
        <v>0</v>
      </c>
      <c r="TE88" s="20" t="n">
        <f aca="false">IF(B88=0,NN88+NR88,0)</f>
        <v>0</v>
      </c>
      <c r="TF88" s="20" t="n">
        <f aca="false">IF(B88=0,IF(HU88=1,NP88,NQ88),0)</f>
        <v>0</v>
      </c>
      <c r="TG88" s="20" t="n">
        <f aca="false">IF(GV88=1,IF(HU88=1,NW88+NZ88,GW88-OS88)*(1+Slot19_Rate),0)</f>
        <v>0</v>
      </c>
      <c r="TH88" s="20" t="n">
        <f aca="false">IF(AND(HU88=1,GV88=1),(NV88+NZ88)/F88,0)</f>
        <v>0</v>
      </c>
      <c r="TI88" s="20" t="n">
        <f aca="false">IF(B88=0,NV88+NZ88,0)</f>
        <v>0</v>
      </c>
      <c r="TJ88" s="20" t="n">
        <f aca="false">IF(B88=0,IF(HU88=1,NX88,NY88),0)</f>
        <v>0</v>
      </c>
      <c r="TK88" s="20" t="n">
        <f aca="false">IF(HF88=1,IF(HU88=1,OE88+OH88,HG88-OQ88)*(1+Slot20_Rate),0)</f>
        <v>0</v>
      </c>
      <c r="TL88" s="20" t="n">
        <f aca="false">IF(AND(HU88=1,HF88=1),(OD88+OH88)/F88,0)</f>
        <v>0</v>
      </c>
      <c r="TM88" s="20" t="n">
        <f aca="false">IF(B88=0,OD88+OH88,0)</f>
        <v>0</v>
      </c>
      <c r="TN88" s="20" t="n">
        <f aca="false">IF(B88=0,IF(HU88=1,OF88,OG88),0)</f>
        <v>0</v>
      </c>
      <c r="TO88" s="20" t="n">
        <f aca="false">QK88+QL88+QM88+QQ88+QU88+QY88+RC88+RG88+RK88+RO88+RS88+RW88+SA88+SE88+SI88+SM88+SQ88+SU88+SY88+TC88+TG88+TK88</f>
        <v>0</v>
      </c>
      <c r="TP88" s="20" t="n">
        <f aca="false">QE88+HP88</f>
        <v>93927.8705705582</v>
      </c>
      <c r="TQ88" s="20" t="n">
        <f aca="false">I88+S88</f>
        <v>233045.991661408</v>
      </c>
      <c r="TR88" s="20" t="n">
        <f aca="false">1-G88</f>
        <v>1</v>
      </c>
      <c r="TS88" s="20" t="n">
        <f aca="false">IF(AND(RG_Exists=1,G88=0,C88=1),I88,0)</f>
        <v>0</v>
      </c>
      <c r="TT88" s="20" t="n">
        <f aca="false">IF(AND(RG_Exists=1,G88=0,C88=1),I88-MIN(QE88,I88),0)</f>
        <v>0</v>
      </c>
      <c r="TU88" s="20" t="n">
        <f aca="false">'Plan pay &amp; tax'!AD314</f>
        <v>0</v>
      </c>
      <c r="TV88" s="20" t="n">
        <f aca="false">IF(AND(C88=1,QE88&gt;MAX(PR_Short1,TQ88*PR_Short2)),1,0)</f>
        <v>0</v>
      </c>
      <c r="TW88" s="20" t="n">
        <f aca="false">MIN(H88,I88+S88)</f>
        <v>139118.12109085</v>
      </c>
      <c r="TX88" s="20" t="n">
        <f aca="false">QF88+MAX(0,HQ88-HP88)</f>
        <v>0</v>
      </c>
      <c r="TY88" s="20" t="n">
        <f aca="false">QE88+HP88</f>
        <v>93927.8705705582</v>
      </c>
      <c r="TZ88" s="20" t="n">
        <f aca="false">IF(AND(C88=1,TY88&gt;PR_MinShort),1,0)</f>
        <v>0</v>
      </c>
      <c r="UA88" s="20" t="n">
        <f aca="false">IF(AND(C88=1,TZ88=0,TX88&gt;PR_MinShort),1,0)</f>
        <v>0</v>
      </c>
      <c r="UB88" s="20" t="n">
        <f aca="false">IF(AND(C88=1,QE88&gt;PR_MinShort),1,0)</f>
        <v>0</v>
      </c>
      <c r="UC88" s="20" t="n">
        <f aca="false">IF(AND(C88=1,QF88&gt;1,UJ88=0),1,0)</f>
        <v>0</v>
      </c>
      <c r="UD88" s="20" t="str">
        <f aca="false">IF(C88=0,"",IF(UJ88=1,"Gap to plan for: short "&amp;"€"&amp;TEXT(ROUND(TP88,0),"#,##0"),IF(QF88&gt;1,"Using savings","Comfortable")))</f>
        <v/>
      </c>
      <c r="UE88" s="20" t="n">
        <f aca="false">IF(AND(INT(D88/10)*10=90,B88&gt;0),80,INT(D88/10)*10)</f>
        <v>110</v>
      </c>
      <c r="UF88" s="20" t="n">
        <f aca="false">IF(B88=0,1,IF(UE88&lt;&gt;UE87,UF87+1,UF87))</f>
        <v>8</v>
      </c>
      <c r="UG88" s="20" t="n">
        <f aca="false">IF(AND(C88=1,G88=1,QE88&gt;MAX(PR_Short1,TQ88*PR_Short2)),1,0)</f>
        <v>0</v>
      </c>
      <c r="UH88" s="20" t="n">
        <f aca="false">TR88*TV88</f>
        <v>0</v>
      </c>
      <c r="UI88" s="20" t="n">
        <f aca="false">IF(AND(V88=1,Slot1_PctLow=1),1,0)+IF(AND(AG88=1,Slot2_PctLow=1),1,0)+IF(AND(AQ88=1,Slot3_PctLow=1),1,0)+IF(AND(BA88=1,Slot4_PctLow=1),1,0)+IF(AND(BK88=1,Slot5_PctLow=1),1,0)+IF(AND(BU88=1,Slot6_PctLow=1),1,0)+IF(AND(CE88=1,Slot7_PctLow=1),1,0)+IF(AND(CO88=1,Slot8_PctLow=1),1,0)+IF(AND(CY88=1,Slot9_PctLow=1),1,0)+IF(AND(DI88=1,Slot10_PctLow=1),1,0)+IF(AND(DS88=1,Slot11_PctLow=1),1,0)+IF(AND(EC88=1,Slot12_PctLow=1),1,0)+IF(AND(EM88=1,Slot13_PctLow=1),1,0)+IF(AND(EW88=1,Slot14_PctLow=1),1,0)+IF(AND(FG88=1,Slot15_PctLow=1),1,0)+IF(AND(FQ88=1,Slot16_PctLow=1),1,0)+IF(AND(GA88=1,Slot17_PctLow=1),1,0)+IF(AND(GK88=1,Slot18_PctLow=1),1,0)+IF(AND(GU88=1,Slot19_PctLow=1),1,0)+IF(AND(HE88=1,Slot20_PctLow=1),1,0)</f>
        <v>0</v>
      </c>
      <c r="UJ88" s="20" t="n">
        <f aca="false">IF(C88=1,IF(OR(TV88=1,UI88&gt;0),1,0),0)</f>
        <v>0</v>
      </c>
    </row>
    <row r="89" customFormat="false" ht="15" hidden="false" customHeight="true" outlineLevel="0" collapsed="false">
      <c r="B89" s="20" t="n">
        <v>81</v>
      </c>
      <c r="C89" s="20" t="n">
        <f aca="false">IF(B89&lt;=F_N,1,0)</f>
        <v>0</v>
      </c>
      <c r="D89" s="20" t="n">
        <f aca="false">'Plan pay &amp; tax'!C315</f>
        <v>119</v>
      </c>
      <c r="E89" s="20" t="str">
        <f aca="false">IF($C89=1,"Income tax "&amp;TEXT(N('Plan pay &amp; tax'!BK315),"#,##0")&amp;"; USC "&amp;TEXT(N('Plan pay &amp; tax'!BM315)+N('Plan pay &amp; tax'!BO315),"#,##0")&amp;"; PRSI "&amp;TEXT(N('Plan pay &amp; tax'!BP315)+N('Plan pay &amp; tax'!BQ315),"#,##0")&amp;". DIRT and exit tax are inside the growth rates here.","")</f>
        <v/>
      </c>
      <c r="F89" s="44" t="n">
        <f aca="false">'Plan pay &amp; tax'!E315</f>
        <v>4.97294793921833</v>
      </c>
      <c r="G89" s="20" t="n">
        <f aca="false">'Plan pay &amp; tax'!G315</f>
        <v>0</v>
      </c>
      <c r="H89" s="20" t="n">
        <f aca="false">'Plan pay &amp; tax'!BT315-'Plan pay &amp; tax'!BS315-'Plan pay &amp; tax'!R315</f>
        <v>141900.483512666</v>
      </c>
      <c r="I89" s="20" t="n">
        <f aca="false">IF(G89=1,F_CostsM*12,IF(RG_Exists=1,RG_Amount,F_CostsM*12*AS_RetireSpend))*F89+F_OneOffY*F89</f>
        <v>237706.911494636</v>
      </c>
      <c r="J89" s="20" t="n">
        <f aca="false">HR88</f>
        <v>0</v>
      </c>
      <c r="K89" s="20" t="n">
        <f aca="false">IF(J89&gt;1,'Plan debt months'!AC89,0)</f>
        <v>0</v>
      </c>
      <c r="L89" s="20" t="n">
        <f aca="false">IF(J89&gt;1,'Plan debt months'!AB89,J89)</f>
        <v>0</v>
      </c>
      <c r="M89" s="20" t="n">
        <f aca="false">O88</f>
        <v>0</v>
      </c>
      <c r="N89" s="20" t="n">
        <f aca="false">IF(M89&gt;1,'Plan debt months'!BD89,0)</f>
        <v>0</v>
      </c>
      <c r="O89" s="20" t="n">
        <f aca="false">IF(M89&gt;1,'Plan debt months'!BC89,M89)</f>
        <v>0</v>
      </c>
      <c r="P89" s="20" t="n">
        <f aca="false">R88</f>
        <v>0</v>
      </c>
      <c r="Q89" s="20" t="n">
        <f aca="false">IF(P89&gt;1,'Plan debt months'!CE89,0)</f>
        <v>0</v>
      </c>
      <c r="R89" s="20" t="n">
        <f aca="false">IF(P89&gt;1,'Plan debt months'!CD89,P89)</f>
        <v>0</v>
      </c>
      <c r="S89" s="20" t="n">
        <f aca="false">K89+N89+Q89</f>
        <v>0</v>
      </c>
      <c r="T89" s="20" t="n">
        <f aca="false">QK88+'Plan pay &amp; tax'!Y315</f>
        <v>0</v>
      </c>
      <c r="U89" s="20" t="n">
        <f aca="false">QK88</f>
        <v>0</v>
      </c>
      <c r="V89" s="20" t="n">
        <f aca="false">IF(AND(Slot1_On=1,D89=Slot1_Age),1,0)</f>
        <v>0</v>
      </c>
      <c r="W89" s="20" t="n">
        <f aca="false">IF(AND(Slot1_On=1,Slot1_Age&gt;D89),1,0)</f>
        <v>0</v>
      </c>
      <c r="X89" s="20" t="n">
        <f aca="false">QM88</f>
        <v>0</v>
      </c>
      <c r="Y89" s="20" t="n">
        <f aca="false">V89*MIN(Slot1_Cost,X89)</f>
        <v>0</v>
      </c>
      <c r="Z89" s="20" t="n">
        <f aca="false">V89*Slot1_SpendLike*MIN(Slot1_Cost-Y89,T89)</f>
        <v>0</v>
      </c>
      <c r="AA89" s="20" t="n">
        <f aca="false">Y89+Z89</f>
        <v>0</v>
      </c>
      <c r="AB89" s="20" t="n">
        <f aca="false">T89-Z89+V89*IF(Slot1_SpendLike=1,X89-Y89,IF(Slot1_PotFree=1,X89,0))</f>
        <v>0</v>
      </c>
      <c r="AC89" s="20" t="n">
        <f aca="false">AF89+V89*Slot1_BufPot*X89</f>
        <v>0</v>
      </c>
      <c r="AD89" s="20" t="n">
        <f aca="false">IF(AND(V89=1,Slot1_IsMfree=1),IF(AA89&gt;=Slot1_Cost-1,0,MAX(0,L89-AA89)),L89)</f>
        <v>0</v>
      </c>
      <c r="AE89" s="20" t="n">
        <f aca="false">V89*(Slot1_Cost-AA89)</f>
        <v>0</v>
      </c>
      <c r="AF89" s="20" t="n">
        <f aca="false">QL88</f>
        <v>0</v>
      </c>
      <c r="AG89" s="20" t="n">
        <f aca="false">IF(AND(Slot2_On=1,D89=Slot2_Age),1,0)</f>
        <v>0</v>
      </c>
      <c r="AH89" s="20" t="n">
        <f aca="false">IF(AND(Slot2_On=1,Slot2_Age&gt;D89),1,0)</f>
        <v>0</v>
      </c>
      <c r="AI89" s="20" t="n">
        <f aca="false">QQ88</f>
        <v>0</v>
      </c>
      <c r="AJ89" s="20" t="n">
        <f aca="false">AG89*MIN(Slot2_Cost,AI89)</f>
        <v>0</v>
      </c>
      <c r="AK89" s="20" t="n">
        <f aca="false">AG89*Slot2_SpendLike*MIN(Slot2_Cost-AJ89,AB89)</f>
        <v>0</v>
      </c>
      <c r="AL89" s="20" t="n">
        <f aca="false">AJ89+AK89</f>
        <v>0</v>
      </c>
      <c r="AM89" s="20" t="n">
        <f aca="false">AB89-AK89+AG89*IF(Slot2_SpendLike=1,AI89-AJ89,IF(Slot2_PotFree=1,AI89,0))</f>
        <v>0</v>
      </c>
      <c r="AN89" s="20" t="n">
        <f aca="false">AC89+AG89*Slot2_BufPot*AI89</f>
        <v>0</v>
      </c>
      <c r="AO89" s="20" t="n">
        <f aca="false">IF(AND(AG89=1,Slot2_IsMfree=1),IF(AL89&gt;=Slot2_Cost-1,0,MAX(0,AD89-AL89)),AD89)</f>
        <v>0</v>
      </c>
      <c r="AP89" s="20" t="n">
        <f aca="false">AG89*(Slot2_Cost-AL89)</f>
        <v>0</v>
      </c>
      <c r="AQ89" s="20" t="n">
        <f aca="false">IF(AND(Slot3_On=1,D89=Slot3_Age),1,0)</f>
        <v>0</v>
      </c>
      <c r="AR89" s="20" t="n">
        <f aca="false">IF(AND(Slot3_On=1,Slot3_Age&gt;D89),1,0)</f>
        <v>0</v>
      </c>
      <c r="AS89" s="20" t="n">
        <f aca="false">QU88</f>
        <v>0</v>
      </c>
      <c r="AT89" s="20" t="n">
        <f aca="false">AQ89*MIN(Slot3_Cost,AS89)</f>
        <v>0</v>
      </c>
      <c r="AU89" s="20" t="n">
        <f aca="false">AQ89*Slot3_SpendLike*MIN(Slot3_Cost-AT89,AM89)</f>
        <v>0</v>
      </c>
      <c r="AV89" s="20" t="n">
        <f aca="false">AT89+AU89</f>
        <v>0</v>
      </c>
      <c r="AW89" s="20" t="n">
        <f aca="false">AM89-AU89+AQ89*IF(Slot3_SpendLike=1,AS89-AT89,IF(Slot3_PotFree=1,AS89,0))</f>
        <v>0</v>
      </c>
      <c r="AX89" s="20" t="n">
        <f aca="false">AN89+AQ89*Slot3_BufPot*AS89</f>
        <v>0</v>
      </c>
      <c r="AY89" s="20" t="n">
        <f aca="false">IF(AND(AQ89=1,Slot3_IsMfree=1),IF(AV89&gt;=Slot3_Cost-1,0,MAX(0,AO89-AV89)),AO89)</f>
        <v>0</v>
      </c>
      <c r="AZ89" s="20" t="n">
        <f aca="false">AQ89*(Slot3_Cost-AV89)</f>
        <v>0</v>
      </c>
      <c r="BA89" s="20" t="n">
        <f aca="false">IF(AND(Slot4_On=1,D89=Slot4_Age),1,0)</f>
        <v>0</v>
      </c>
      <c r="BB89" s="20" t="n">
        <f aca="false">IF(AND(Slot4_On=1,Slot4_Age&gt;D89),1,0)</f>
        <v>0</v>
      </c>
      <c r="BC89" s="20" t="n">
        <f aca="false">QY88</f>
        <v>0</v>
      </c>
      <c r="BD89" s="20" t="n">
        <f aca="false">BA89*MIN(Slot4_Cost,BC89)</f>
        <v>0</v>
      </c>
      <c r="BE89" s="20" t="n">
        <f aca="false">BA89*Slot4_SpendLike*MIN(Slot4_Cost-BD89,AW89)</f>
        <v>0</v>
      </c>
      <c r="BF89" s="20" t="n">
        <f aca="false">BD89+BE89</f>
        <v>0</v>
      </c>
      <c r="BG89" s="20" t="n">
        <f aca="false">AW89-BE89+BA89*IF(Slot4_SpendLike=1,BC89-BD89,IF(Slot4_PotFree=1,BC89,0))</f>
        <v>0</v>
      </c>
      <c r="BH89" s="20" t="n">
        <f aca="false">AX89+BA89*Slot4_BufPot*BC89</f>
        <v>0</v>
      </c>
      <c r="BI89" s="20" t="n">
        <f aca="false">IF(AND(BA89=1,Slot4_IsMfree=1),IF(BF89&gt;=Slot4_Cost-1,0,MAX(0,AY89-BF89)),AY89)</f>
        <v>0</v>
      </c>
      <c r="BJ89" s="20" t="n">
        <f aca="false">BA89*(Slot4_Cost-BF89)</f>
        <v>0</v>
      </c>
      <c r="BK89" s="20" t="n">
        <f aca="false">IF(AND(Slot5_On=1,D89=Slot5_Age),1,0)</f>
        <v>0</v>
      </c>
      <c r="BL89" s="20" t="n">
        <f aca="false">IF(AND(Slot5_On=1,Slot5_Age&gt;D89),1,0)</f>
        <v>0</v>
      </c>
      <c r="BM89" s="20" t="n">
        <f aca="false">RC88</f>
        <v>0</v>
      </c>
      <c r="BN89" s="20" t="n">
        <f aca="false">BK89*MIN(Slot5_Cost,BM89)</f>
        <v>0</v>
      </c>
      <c r="BO89" s="20" t="n">
        <f aca="false">BK89*Slot5_SpendLike*MIN(Slot5_Cost-BN89,BG89)</f>
        <v>0</v>
      </c>
      <c r="BP89" s="20" t="n">
        <f aca="false">BN89+BO89</f>
        <v>0</v>
      </c>
      <c r="BQ89" s="20" t="n">
        <f aca="false">BG89-BO89+BK89*IF(Slot5_SpendLike=1,BM89-BN89,IF(Slot5_PotFree=1,BM89,0))</f>
        <v>0</v>
      </c>
      <c r="BR89" s="20" t="n">
        <f aca="false">BH89+BK89*Slot5_BufPot*BM89</f>
        <v>0</v>
      </c>
      <c r="BS89" s="20" t="n">
        <f aca="false">IF(AND(BK89=1,Slot5_IsMfree=1),IF(BP89&gt;=Slot5_Cost-1,0,MAX(0,BI89-BP89)),BI89)</f>
        <v>0</v>
      </c>
      <c r="BT89" s="20" t="n">
        <f aca="false">BK89*(Slot5_Cost-BP89)</f>
        <v>0</v>
      </c>
      <c r="BU89" s="20" t="n">
        <f aca="false">IF(AND(Slot6_On=1,D89=Slot6_Age),1,0)</f>
        <v>0</v>
      </c>
      <c r="BV89" s="20" t="n">
        <f aca="false">IF(AND(Slot6_On=1,Slot6_Age&gt;D89),1,0)</f>
        <v>0</v>
      </c>
      <c r="BW89" s="20" t="n">
        <f aca="false">RG88</f>
        <v>0</v>
      </c>
      <c r="BX89" s="20" t="n">
        <f aca="false">BU89*MIN(Slot6_Cost,BW89)</f>
        <v>0</v>
      </c>
      <c r="BY89" s="20" t="n">
        <f aca="false">BU89*Slot6_SpendLike*MIN(Slot6_Cost-BX89,BQ89)</f>
        <v>0</v>
      </c>
      <c r="BZ89" s="20" t="n">
        <f aca="false">BX89+BY89</f>
        <v>0</v>
      </c>
      <c r="CA89" s="20" t="n">
        <f aca="false">BQ89-BY89+BU89*IF(Slot6_SpendLike=1,BW89-BX89,IF(Slot6_PotFree=1,BW89,0))</f>
        <v>0</v>
      </c>
      <c r="CB89" s="20" t="n">
        <f aca="false">BR89+BU89*Slot6_BufPot*BW89</f>
        <v>0</v>
      </c>
      <c r="CC89" s="20" t="n">
        <f aca="false">IF(AND(BU89=1,Slot6_IsMfree=1),IF(BZ89&gt;=Slot6_Cost-1,0,MAX(0,BS89-BZ89)),BS89)</f>
        <v>0</v>
      </c>
      <c r="CD89" s="20" t="n">
        <f aca="false">BU89*(Slot6_Cost-BZ89)</f>
        <v>0</v>
      </c>
      <c r="CE89" s="20" t="n">
        <f aca="false">IF(AND(Slot7_On=1,D89=Slot7_Age),1,0)</f>
        <v>0</v>
      </c>
      <c r="CF89" s="20" t="n">
        <f aca="false">IF(AND(Slot7_On=1,Slot7_Age&gt;D89),1,0)</f>
        <v>0</v>
      </c>
      <c r="CG89" s="20" t="n">
        <f aca="false">RK88</f>
        <v>0</v>
      </c>
      <c r="CH89" s="20" t="n">
        <f aca="false">CE89*MIN(Slot7_Cost,CG89)</f>
        <v>0</v>
      </c>
      <c r="CI89" s="20" t="n">
        <f aca="false">CE89*Slot7_SpendLike*MIN(Slot7_Cost-CH89,CA89)</f>
        <v>0</v>
      </c>
      <c r="CJ89" s="20" t="n">
        <f aca="false">CH89+CI89</f>
        <v>0</v>
      </c>
      <c r="CK89" s="20" t="n">
        <f aca="false">CA89-CI89+CE89*IF(Slot7_SpendLike=1,CG89-CH89,IF(Slot7_PotFree=1,CG89,0))</f>
        <v>0</v>
      </c>
      <c r="CL89" s="20" t="n">
        <f aca="false">CB89+CE89*Slot7_BufPot*CG89</f>
        <v>0</v>
      </c>
      <c r="CM89" s="20" t="n">
        <f aca="false">IF(AND(CE89=1,Slot7_IsMfree=1),IF(CJ89&gt;=Slot7_Cost-1,0,MAX(0,CC89-CJ89)),CC89)</f>
        <v>0</v>
      </c>
      <c r="CN89" s="20" t="n">
        <f aca="false">CE89*(Slot7_Cost-CJ89)</f>
        <v>0</v>
      </c>
      <c r="CO89" s="20" t="n">
        <f aca="false">IF(AND(Slot8_On=1,D89=Slot8_Age),1,0)</f>
        <v>0</v>
      </c>
      <c r="CP89" s="20" t="n">
        <f aca="false">IF(AND(Slot8_On=1,Slot8_Age&gt;D89),1,0)</f>
        <v>0</v>
      </c>
      <c r="CQ89" s="20" t="n">
        <f aca="false">RO88</f>
        <v>0</v>
      </c>
      <c r="CR89" s="20" t="n">
        <f aca="false">CO89*MIN(Slot8_Cost,CQ89)</f>
        <v>0</v>
      </c>
      <c r="CS89" s="20" t="n">
        <f aca="false">CO89*Slot8_SpendLike*MIN(Slot8_Cost-CR89,CK89)</f>
        <v>0</v>
      </c>
      <c r="CT89" s="20" t="n">
        <f aca="false">CR89+CS89</f>
        <v>0</v>
      </c>
      <c r="CU89" s="20" t="n">
        <f aca="false">CK89-CS89+CO89*IF(Slot8_SpendLike=1,CQ89-CR89,IF(Slot8_PotFree=1,CQ89,0))</f>
        <v>0</v>
      </c>
      <c r="CV89" s="20" t="n">
        <f aca="false">CL89+CO89*Slot8_BufPot*CQ89</f>
        <v>0</v>
      </c>
      <c r="CW89" s="20" t="n">
        <f aca="false">IF(AND(CO89=1,Slot8_IsMfree=1),IF(CT89&gt;=Slot8_Cost-1,0,MAX(0,CM89-CT89)),CM89)</f>
        <v>0</v>
      </c>
      <c r="CX89" s="20" t="n">
        <f aca="false">CO89*(Slot8_Cost-CT89)</f>
        <v>0</v>
      </c>
      <c r="CY89" s="20" t="n">
        <f aca="false">IF(AND(Slot9_On=1,D89=Slot9_Age),1,0)</f>
        <v>0</v>
      </c>
      <c r="CZ89" s="20" t="n">
        <f aca="false">IF(AND(Slot9_On=1,Slot9_Age&gt;D89),1,0)</f>
        <v>0</v>
      </c>
      <c r="DA89" s="20" t="n">
        <f aca="false">RS88</f>
        <v>0</v>
      </c>
      <c r="DB89" s="20" t="n">
        <f aca="false">CY89*MIN(Slot9_Cost,DA89)</f>
        <v>0</v>
      </c>
      <c r="DC89" s="20" t="n">
        <f aca="false">CY89*Slot9_SpendLike*MIN(Slot9_Cost-DB89,CU89)</f>
        <v>0</v>
      </c>
      <c r="DD89" s="20" t="n">
        <f aca="false">DB89+DC89</f>
        <v>0</v>
      </c>
      <c r="DE89" s="20" t="n">
        <f aca="false">CU89-DC89+CY89*IF(Slot9_SpendLike=1,DA89-DB89,IF(Slot9_PotFree=1,DA89,0))</f>
        <v>0</v>
      </c>
      <c r="DF89" s="20" t="n">
        <f aca="false">CV89+CY89*Slot9_BufPot*DA89</f>
        <v>0</v>
      </c>
      <c r="DG89" s="20" t="n">
        <f aca="false">IF(AND(CY89=1,Slot9_IsMfree=1),IF(DD89&gt;=Slot9_Cost-1,0,MAX(0,CW89-DD89)),CW89)</f>
        <v>0</v>
      </c>
      <c r="DH89" s="20" t="n">
        <f aca="false">CY89*(Slot9_Cost-DD89)</f>
        <v>0</v>
      </c>
      <c r="DI89" s="20" t="n">
        <f aca="false">IF(AND(Slot10_On=1,D89=Slot10_Age),1,0)</f>
        <v>0</v>
      </c>
      <c r="DJ89" s="20" t="n">
        <f aca="false">IF(AND(Slot10_On=1,Slot10_Age&gt;D89),1,0)</f>
        <v>0</v>
      </c>
      <c r="DK89" s="20" t="n">
        <f aca="false">RW88</f>
        <v>0</v>
      </c>
      <c r="DL89" s="20" t="n">
        <f aca="false">DI89*MIN(Slot10_Cost,DK89)</f>
        <v>0</v>
      </c>
      <c r="DM89" s="20" t="n">
        <f aca="false">DI89*Slot10_SpendLike*MIN(Slot10_Cost-DL89,DE89)</f>
        <v>0</v>
      </c>
      <c r="DN89" s="20" t="n">
        <f aca="false">DL89+DM89</f>
        <v>0</v>
      </c>
      <c r="DO89" s="20" t="n">
        <f aca="false">DE89-DM89+DI89*IF(Slot10_SpendLike=1,DK89-DL89,IF(Slot10_PotFree=1,DK89,0))</f>
        <v>0</v>
      </c>
      <c r="DP89" s="20" t="n">
        <f aca="false">DF89+DI89*Slot10_BufPot*DK89</f>
        <v>0</v>
      </c>
      <c r="DQ89" s="20" t="n">
        <f aca="false">IF(AND(DI89=1,Slot10_IsMfree=1),IF(DN89&gt;=Slot10_Cost-1,0,MAX(0,DG89-DN89)),DG89)</f>
        <v>0</v>
      </c>
      <c r="DR89" s="20" t="n">
        <f aca="false">DI89*(Slot10_Cost-DN89)</f>
        <v>0</v>
      </c>
      <c r="DS89" s="20" t="n">
        <f aca="false">IF(AND(Slot11_On=1,D89=Slot11_Age),1,0)</f>
        <v>0</v>
      </c>
      <c r="DT89" s="20" t="n">
        <f aca="false">IF(AND(Slot11_On=1,Slot11_Age&gt;D89),1,0)</f>
        <v>0</v>
      </c>
      <c r="DU89" s="20" t="n">
        <f aca="false">SA88</f>
        <v>0</v>
      </c>
      <c r="DV89" s="20" t="n">
        <f aca="false">DS89*MIN(Slot11_Cost,DU89)</f>
        <v>0</v>
      </c>
      <c r="DW89" s="20" t="n">
        <f aca="false">DS89*Slot11_SpendLike*MIN(Slot11_Cost-DV89,DO89)</f>
        <v>0</v>
      </c>
      <c r="DX89" s="20" t="n">
        <f aca="false">DV89+DW89</f>
        <v>0</v>
      </c>
      <c r="DY89" s="20" t="n">
        <f aca="false">DO89-DW89+DS89*IF(Slot11_SpendLike=1,DU89-DV89,IF(Slot11_PotFree=1,DU89,0))</f>
        <v>0</v>
      </c>
      <c r="DZ89" s="20" t="n">
        <f aca="false">DP89+DS89*Slot11_BufPot*DU89</f>
        <v>0</v>
      </c>
      <c r="EA89" s="20" t="n">
        <f aca="false">IF(AND(DS89=1,Slot11_IsMfree=1),IF(DX89&gt;=Slot11_Cost-1,0,MAX(0,DQ89-DX89)),DQ89)</f>
        <v>0</v>
      </c>
      <c r="EB89" s="20" t="n">
        <f aca="false">DS89*(Slot11_Cost-DX89)</f>
        <v>0</v>
      </c>
      <c r="EC89" s="20" t="n">
        <f aca="false">IF(AND(Slot12_On=1,D89=Slot12_Age),1,0)</f>
        <v>0</v>
      </c>
      <c r="ED89" s="20" t="n">
        <f aca="false">IF(AND(Slot12_On=1,Slot12_Age&gt;D89),1,0)</f>
        <v>0</v>
      </c>
      <c r="EE89" s="20" t="n">
        <f aca="false">SE88</f>
        <v>0</v>
      </c>
      <c r="EF89" s="20" t="n">
        <f aca="false">EC89*MIN(Slot12_Cost,EE89)</f>
        <v>0</v>
      </c>
      <c r="EG89" s="20" t="n">
        <f aca="false">EC89*Slot12_SpendLike*MIN(Slot12_Cost-EF89,DY89)</f>
        <v>0</v>
      </c>
      <c r="EH89" s="20" t="n">
        <f aca="false">EF89+EG89</f>
        <v>0</v>
      </c>
      <c r="EI89" s="20" t="n">
        <f aca="false">DY89-EG89+EC89*IF(Slot12_SpendLike=1,EE89-EF89,IF(Slot12_PotFree=1,EE89,0))</f>
        <v>0</v>
      </c>
      <c r="EJ89" s="20" t="n">
        <f aca="false">DZ89+EC89*Slot12_BufPot*EE89</f>
        <v>0</v>
      </c>
      <c r="EK89" s="20" t="n">
        <f aca="false">IF(AND(EC89=1,Slot12_IsMfree=1),IF(EH89&gt;=Slot12_Cost-1,0,MAX(0,EA89-EH89)),EA89)</f>
        <v>0</v>
      </c>
      <c r="EL89" s="20" t="n">
        <f aca="false">EC89*(Slot12_Cost-EH89)</f>
        <v>0</v>
      </c>
      <c r="EM89" s="20" t="n">
        <f aca="false">IF(AND(Slot13_On=1,D89=Slot13_Age),1,0)</f>
        <v>0</v>
      </c>
      <c r="EN89" s="20" t="n">
        <f aca="false">IF(AND(Slot13_On=1,Slot13_Age&gt;D89),1,0)</f>
        <v>0</v>
      </c>
      <c r="EO89" s="20" t="n">
        <f aca="false">SI88</f>
        <v>0</v>
      </c>
      <c r="EP89" s="20" t="n">
        <f aca="false">EM89*MIN(Slot13_Cost,EO89)</f>
        <v>0</v>
      </c>
      <c r="EQ89" s="20" t="n">
        <f aca="false">EM89*Slot13_SpendLike*MIN(Slot13_Cost-EP89,EI89)</f>
        <v>0</v>
      </c>
      <c r="ER89" s="20" t="n">
        <f aca="false">EP89+EQ89</f>
        <v>0</v>
      </c>
      <c r="ES89" s="20" t="n">
        <f aca="false">EI89-EQ89+EM89*IF(Slot13_SpendLike=1,EO89-EP89,IF(Slot13_PotFree=1,EO89,0))</f>
        <v>0</v>
      </c>
      <c r="ET89" s="20" t="n">
        <f aca="false">EJ89+EM89*Slot13_BufPot*EO89</f>
        <v>0</v>
      </c>
      <c r="EU89" s="20" t="n">
        <f aca="false">IF(AND(EM89=1,Slot13_IsMfree=1),IF(ER89&gt;=Slot13_Cost-1,0,MAX(0,EK89-ER89)),EK89)</f>
        <v>0</v>
      </c>
      <c r="EV89" s="20" t="n">
        <f aca="false">EM89*(Slot13_Cost-ER89)</f>
        <v>0</v>
      </c>
      <c r="EW89" s="20" t="n">
        <f aca="false">IF(AND(Slot14_On=1,D89=Slot14_Age),1,0)</f>
        <v>0</v>
      </c>
      <c r="EX89" s="20" t="n">
        <f aca="false">IF(AND(Slot14_On=1,Slot14_Age&gt;D89),1,0)</f>
        <v>0</v>
      </c>
      <c r="EY89" s="20" t="n">
        <f aca="false">SM88</f>
        <v>0</v>
      </c>
      <c r="EZ89" s="20" t="n">
        <f aca="false">EW89*MIN(Slot14_Cost,EY89)</f>
        <v>0</v>
      </c>
      <c r="FA89" s="20" t="n">
        <f aca="false">EW89*Slot14_SpendLike*MIN(Slot14_Cost-EZ89,ES89)</f>
        <v>0</v>
      </c>
      <c r="FB89" s="20" t="n">
        <f aca="false">EZ89+FA89</f>
        <v>0</v>
      </c>
      <c r="FC89" s="20" t="n">
        <f aca="false">ES89-FA89+EW89*IF(Slot14_SpendLike=1,EY89-EZ89,IF(Slot14_PotFree=1,EY89,0))</f>
        <v>0</v>
      </c>
      <c r="FD89" s="20" t="n">
        <f aca="false">ET89+EW89*Slot14_BufPot*EY89</f>
        <v>0</v>
      </c>
      <c r="FE89" s="20" t="n">
        <f aca="false">IF(AND(EW89=1,Slot14_IsMfree=1),IF(FB89&gt;=Slot14_Cost-1,0,MAX(0,EU89-FB89)),EU89)</f>
        <v>0</v>
      </c>
      <c r="FF89" s="20" t="n">
        <f aca="false">EW89*(Slot14_Cost-FB89)</f>
        <v>0</v>
      </c>
      <c r="FG89" s="20" t="n">
        <f aca="false">IF(AND(Slot15_On=1,D89=Slot15_Age),1,0)</f>
        <v>0</v>
      </c>
      <c r="FH89" s="20" t="n">
        <f aca="false">IF(AND(Slot15_On=1,Slot15_Age&gt;D89),1,0)</f>
        <v>0</v>
      </c>
      <c r="FI89" s="20" t="n">
        <f aca="false">SQ88</f>
        <v>0</v>
      </c>
      <c r="FJ89" s="20" t="n">
        <f aca="false">FG89*MIN(Slot15_Cost,FI89)</f>
        <v>0</v>
      </c>
      <c r="FK89" s="20" t="n">
        <f aca="false">FG89*Slot15_SpendLike*MIN(Slot15_Cost-FJ89,FC89)</f>
        <v>0</v>
      </c>
      <c r="FL89" s="20" t="n">
        <f aca="false">FJ89+FK89</f>
        <v>0</v>
      </c>
      <c r="FM89" s="20" t="n">
        <f aca="false">FC89-FK89+FG89*IF(Slot15_SpendLike=1,FI89-FJ89,IF(Slot15_PotFree=1,FI89,0))</f>
        <v>0</v>
      </c>
      <c r="FN89" s="20" t="n">
        <f aca="false">FD89+FG89*Slot15_BufPot*FI89</f>
        <v>0</v>
      </c>
      <c r="FO89" s="20" t="n">
        <f aca="false">IF(AND(FG89=1,Slot15_IsMfree=1),IF(FL89&gt;=Slot15_Cost-1,0,MAX(0,FE89-FL89)),FE89)</f>
        <v>0</v>
      </c>
      <c r="FP89" s="20" t="n">
        <f aca="false">FG89*(Slot15_Cost-FL89)</f>
        <v>0</v>
      </c>
      <c r="FQ89" s="20" t="n">
        <f aca="false">IF(AND(Slot16_On=1,D89=Slot16_Age),1,0)</f>
        <v>0</v>
      </c>
      <c r="FR89" s="20" t="n">
        <f aca="false">IF(AND(Slot16_On=1,Slot16_Age&gt;D89),1,0)</f>
        <v>0</v>
      </c>
      <c r="FS89" s="20" t="n">
        <f aca="false">SU88</f>
        <v>0</v>
      </c>
      <c r="FT89" s="20" t="n">
        <f aca="false">FQ89*MIN(Slot16_Cost,FS89)</f>
        <v>0</v>
      </c>
      <c r="FU89" s="20" t="n">
        <f aca="false">FQ89*Slot16_SpendLike*MIN(Slot16_Cost-FT89,FM89)</f>
        <v>0</v>
      </c>
      <c r="FV89" s="20" t="n">
        <f aca="false">FT89+FU89</f>
        <v>0</v>
      </c>
      <c r="FW89" s="20" t="n">
        <f aca="false">FM89-FU89+FQ89*IF(Slot16_SpendLike=1,FS89-FT89,IF(Slot16_PotFree=1,FS89,0))</f>
        <v>0</v>
      </c>
      <c r="FX89" s="20" t="n">
        <f aca="false">FN89+FQ89*Slot16_BufPot*FS89</f>
        <v>0</v>
      </c>
      <c r="FY89" s="20" t="n">
        <f aca="false">IF(AND(FQ89=1,Slot16_IsMfree=1),IF(FV89&gt;=Slot16_Cost-1,0,MAX(0,FO89-FV89)),FO89)</f>
        <v>0</v>
      </c>
      <c r="FZ89" s="20" t="n">
        <f aca="false">FQ89*(Slot16_Cost-FV89)</f>
        <v>0</v>
      </c>
      <c r="GA89" s="20" t="n">
        <f aca="false">IF(AND(Slot17_On=1,D89=Slot17_Age),1,0)</f>
        <v>0</v>
      </c>
      <c r="GB89" s="20" t="n">
        <f aca="false">IF(AND(Slot17_On=1,Slot17_Age&gt;D89),1,0)</f>
        <v>0</v>
      </c>
      <c r="GC89" s="20" t="n">
        <f aca="false">SY88</f>
        <v>0</v>
      </c>
      <c r="GD89" s="20" t="n">
        <f aca="false">GA89*MIN(Slot17_Cost,GC89)</f>
        <v>0</v>
      </c>
      <c r="GE89" s="20" t="n">
        <f aca="false">GA89*Slot17_SpendLike*MIN(Slot17_Cost-GD89,FW89)</f>
        <v>0</v>
      </c>
      <c r="GF89" s="20" t="n">
        <f aca="false">GD89+GE89</f>
        <v>0</v>
      </c>
      <c r="GG89" s="20" t="n">
        <f aca="false">FW89-GE89+GA89*IF(Slot17_SpendLike=1,GC89-GD89,IF(Slot17_PotFree=1,GC89,0))</f>
        <v>0</v>
      </c>
      <c r="GH89" s="20" t="n">
        <f aca="false">FX89+GA89*Slot17_BufPot*GC89</f>
        <v>0</v>
      </c>
      <c r="GI89" s="20" t="n">
        <f aca="false">IF(AND(GA89=1,Slot17_IsMfree=1),IF(GF89&gt;=Slot17_Cost-1,0,MAX(0,FY89-GF89)),FY89)</f>
        <v>0</v>
      </c>
      <c r="GJ89" s="20" t="n">
        <f aca="false">GA89*(Slot17_Cost-GF89)</f>
        <v>0</v>
      </c>
      <c r="GK89" s="20" t="n">
        <f aca="false">IF(AND(Slot18_On=1,D89=Slot18_Age),1,0)</f>
        <v>0</v>
      </c>
      <c r="GL89" s="20" t="n">
        <f aca="false">IF(AND(Slot18_On=1,Slot18_Age&gt;D89),1,0)</f>
        <v>0</v>
      </c>
      <c r="GM89" s="20" t="n">
        <f aca="false">TC88</f>
        <v>0</v>
      </c>
      <c r="GN89" s="20" t="n">
        <f aca="false">GK89*MIN(Slot18_Cost,GM89)</f>
        <v>0</v>
      </c>
      <c r="GO89" s="20" t="n">
        <f aca="false">GK89*Slot18_SpendLike*MIN(Slot18_Cost-GN89,GG89)</f>
        <v>0</v>
      </c>
      <c r="GP89" s="20" t="n">
        <f aca="false">GN89+GO89</f>
        <v>0</v>
      </c>
      <c r="GQ89" s="20" t="n">
        <f aca="false">GG89-GO89+GK89*IF(Slot18_SpendLike=1,GM89-GN89,IF(Slot18_PotFree=1,GM89,0))</f>
        <v>0</v>
      </c>
      <c r="GR89" s="20" t="n">
        <f aca="false">GH89+GK89*Slot18_BufPot*GM89</f>
        <v>0</v>
      </c>
      <c r="GS89" s="20" t="n">
        <f aca="false">IF(AND(GK89=1,Slot18_IsMfree=1),IF(GP89&gt;=Slot18_Cost-1,0,MAX(0,GI89-GP89)),GI89)</f>
        <v>0</v>
      </c>
      <c r="GT89" s="20" t="n">
        <f aca="false">GK89*(Slot18_Cost-GP89)</f>
        <v>0</v>
      </c>
      <c r="GU89" s="20" t="n">
        <f aca="false">IF(AND(Slot19_On=1,D89=Slot19_Age),1,0)</f>
        <v>0</v>
      </c>
      <c r="GV89" s="20" t="n">
        <f aca="false">IF(AND(Slot19_On=1,Slot19_Age&gt;D89),1,0)</f>
        <v>0</v>
      </c>
      <c r="GW89" s="20" t="n">
        <f aca="false">TG88</f>
        <v>0</v>
      </c>
      <c r="GX89" s="20" t="n">
        <f aca="false">GU89*MIN(Slot19_Cost,GW89)</f>
        <v>0</v>
      </c>
      <c r="GY89" s="20" t="n">
        <f aca="false">GU89*Slot19_SpendLike*MIN(Slot19_Cost-GX89,GQ89)</f>
        <v>0</v>
      </c>
      <c r="GZ89" s="20" t="n">
        <f aca="false">GX89+GY89</f>
        <v>0</v>
      </c>
      <c r="HA89" s="20" t="n">
        <f aca="false">GQ89-GY89+GU89*IF(Slot19_SpendLike=1,GW89-GX89,IF(Slot19_PotFree=1,GW89,0))</f>
        <v>0</v>
      </c>
      <c r="HB89" s="20" t="n">
        <f aca="false">GR89+GU89*Slot19_BufPot*GW89</f>
        <v>0</v>
      </c>
      <c r="HC89" s="20" t="n">
        <f aca="false">IF(AND(GU89=1,Slot19_IsMfree=1),IF(GZ89&gt;=Slot19_Cost-1,0,MAX(0,GS89-GZ89)),GS89)</f>
        <v>0</v>
      </c>
      <c r="HD89" s="20" t="n">
        <f aca="false">GU89*(Slot19_Cost-GZ89)</f>
        <v>0</v>
      </c>
      <c r="HE89" s="20" t="n">
        <f aca="false">IF(AND(Slot20_On=1,D89=Slot20_Age),1,0)</f>
        <v>0</v>
      </c>
      <c r="HF89" s="20" t="n">
        <f aca="false">IF(AND(Slot20_On=1,Slot20_Age&gt;D89),1,0)</f>
        <v>0</v>
      </c>
      <c r="HG89" s="20" t="n">
        <f aca="false">TK88</f>
        <v>0</v>
      </c>
      <c r="HH89" s="20" t="n">
        <f aca="false">HE89*MIN(Slot20_Cost,HG89)</f>
        <v>0</v>
      </c>
      <c r="HI89" s="20" t="n">
        <f aca="false">HE89*Slot20_SpendLike*MIN(Slot20_Cost-HH89,HA89)</f>
        <v>0</v>
      </c>
      <c r="HJ89" s="20" t="n">
        <f aca="false">HH89+HI89</f>
        <v>0</v>
      </c>
      <c r="HK89" s="20" t="n">
        <f aca="false">HA89-HI89+HE89*IF(Slot20_SpendLike=1,HG89-HH89,IF(Slot20_PotFree=1,HG89,0))</f>
        <v>0</v>
      </c>
      <c r="HL89" s="20" t="n">
        <f aca="false">HB89+HE89*Slot20_BufPot*HG89</f>
        <v>0</v>
      </c>
      <c r="HM89" s="20" t="n">
        <f aca="false">IF(AND(HE89=1,Slot20_IsMfree=1),IF(HJ89&gt;=Slot20_Cost-1,0,MAX(0,HC89-HJ89)),HC89)</f>
        <v>0</v>
      </c>
      <c r="HN89" s="20" t="n">
        <f aca="false">HE89*(Slot20_Cost-HJ89)</f>
        <v>0</v>
      </c>
      <c r="HO89" s="20" t="n">
        <f aca="false">V89*Slot1_SpendLike*AA89+AG89*Slot2_SpendLike*AL89+AQ89*Slot3_SpendLike*AV89+BA89*Slot4_SpendLike*BF89+BK89*Slot5_SpendLike*BP89+BU89*Slot6_SpendLike*BZ89+CE89*Slot7_SpendLike*CJ89+CO89*Slot8_SpendLike*CT89+CY89*Slot9_SpendLike*DD89+DI89*Slot10_SpendLike*DN89+DS89*Slot11_SpendLike*DX89+EC89*Slot12_SpendLike*EH89+EM89*Slot13_SpendLike*ER89+EW89*Slot14_SpendLike*FB89+FG89*Slot15_SpendLike*FL89+FQ89*Slot16_SpendLike*FV89+GA89*Slot17_SpendLike*GF89+GK89*Slot18_SpendLike*GP89+GU89*Slot19_SpendLike*GZ89+HE89*Slot20_SpendLike*HJ89</f>
        <v>0</v>
      </c>
      <c r="HP89" s="20" t="n">
        <f aca="false">AE89+AP89+AZ89+BJ89+BT89+CD89+CN89+CX89+DH89+DR89+EB89+EL89+EV89+FF89+FP89+FZ89+GJ89+GT89+HD89+HN89</f>
        <v>0</v>
      </c>
      <c r="HQ89" s="20" t="n">
        <f aca="false">V89*Slot1_Cost+AG89*Slot2_Cost+AQ89*Slot3_Cost+BA89*Slot4_Cost+BK89*Slot5_Cost+BU89*Slot6_Cost+CE89*Slot7_Cost+CO89*Slot8_Cost+CY89*Slot9_Cost+DI89*Slot10_Cost+DS89*Slot11_Cost+EC89*Slot12_Cost+EM89*Slot13_Cost+EW89*Slot14_Cost+FG89*Slot15_Cost+FQ89*Slot16_Cost+GA89*Slot17_Cost+GK89*Slot18_Cost+GU89*Slot19_Cost+HE89*Slot20_Cost</f>
        <v>0</v>
      </c>
      <c r="HR89" s="20" t="n">
        <f aca="false">HM89</f>
        <v>0</v>
      </c>
      <c r="HS89" s="20" t="n">
        <f aca="false">H89-I89-S89</f>
        <v>-95806.4279819695</v>
      </c>
      <c r="HT89" s="20" t="n">
        <f aca="false">IF(B89=0,IF(AND(Has_q6=1,In_q6=4),PR_ShareVaries*(MAX(0,HS89)/12),MIN(IF(Has_q6=1,CHOOSE(In_q6+1,PR_SaveB1,PR_SaveB2,PR_SaveB3,PR_SaveB4,0),AS_NoAnswer),AS_SaveShare*(MAX(0,HS89)/12))),HT88)</f>
        <v>62.3316893520437</v>
      </c>
      <c r="HU89" s="20" t="n">
        <f aca="false">IF(HS89&gt;=0,1,0)</f>
        <v>0</v>
      </c>
      <c r="HV89" s="20" t="n">
        <f aca="false">MAX(0,HS89/12/F89)</f>
        <v>0</v>
      </c>
      <c r="HW89" s="20" t="n">
        <f aca="false">IF(AND(Has_q6=1,In_q6=4),PR_ShareVaries*(HV89),MIN(IF(Has_q6=1,CHOOSE(In_q6+1,PR_SaveB1,PR_SaveB2,PR_SaveB3,PR_SaveB4,0),AS_NoAnswer),AS_SaveShare*(HV89)))</f>
        <v>0</v>
      </c>
      <c r="HX89" s="20" t="n">
        <f aca="false">IF(Has_saveM=1,IF(In_saveUp="Yes",1,IF(In_saveUp="No",0,IF(In_saveM&gt;=HT89-0.5,1,0))),0)</f>
        <v>0</v>
      </c>
      <c r="HY89" s="20" t="n">
        <f aca="false">IF(Has_saveM=1,MIN(HV89,IF(HX89=1,MAX(In_saveM,HW89),MIN(In_saveM,HW89))),HW89)</f>
        <v>0</v>
      </c>
      <c r="HZ89" s="20" t="n">
        <f aca="false">IF(G89=1,HY89*12*F89,0)</f>
        <v>0</v>
      </c>
      <c r="IA89" s="20" t="n">
        <f aca="false">MAX(0,HZ89+IF(AND(WI_Retire=0,WI_M&lt;0,G89=1),WI_M*12*F89,0))</f>
        <v>0</v>
      </c>
      <c r="IB89" s="20" t="n">
        <f aca="false">Slot1_IsWG*W89+Slot2_IsWG*AH89+Slot3_IsWG*AR89+Slot4_IsWG*BB89+Slot5_IsWG*BL89+Slot6_IsWG*BV89+Slot7_IsWG*CF89+Slot8_IsWG*CP89+Slot9_IsWG*CZ89+Slot10_IsWG*DJ89+Slot11_IsWG*DT89+Slot12_IsWG*ED89+Slot13_IsWG*EN89+Slot14_IsWG*EX89+Slot15_IsWG*FH89+Slot16_IsWG*FR89+Slot17_IsWG*GB89+Slot18_IsWG*GL89+Slot19_IsWG*GV89+Slot20_IsWG*HF89</f>
        <v>0</v>
      </c>
      <c r="IC89" s="20" t="n">
        <f aca="false">IF(AND(WI_Retire=0,WI_M&gt;0,G89=1,IB89&gt;=1),WI_M*12*F89,0)</f>
        <v>0</v>
      </c>
      <c r="ID89" s="20" t="n">
        <f aca="false">IF(HU89=1,MIN(IA89,HS89),0)</f>
        <v>0</v>
      </c>
      <c r="IE89" s="20" t="n">
        <f aca="false">IF(HU89=1,MIN(IC89,HS89-ID89),0)</f>
        <v>0</v>
      </c>
      <c r="IF89" s="20" t="n">
        <f aca="false">IF(W89=1,IF(ABS((1+AS_Wage)/(1+Slot1_Rate)-1)&lt;0.000000000001,(Slot1_Age-D89)*(1+Slot1_Rate)^(Slot1_Age-D89),(1+Slot1_Rate)^(Slot1_Age-D89)*(1-((1+AS_Wage)/(1+Slot1_Rate))^(Slot1_Age-D89))/(1-(1+AS_Wage)/(1+Slot1_Rate))),1)</f>
        <v>1</v>
      </c>
      <c r="IG89" s="20" t="n">
        <f aca="false">IF(AND(HU89=1,IE89&gt;0,Slot1_IsWG=1,W89=1),MAX(0,(Slot1_Cost-X89*(1+Slot1_Rate)^(Slot1_Age-D89))/IF89),0)</f>
        <v>0</v>
      </c>
      <c r="IH89" s="20" t="n">
        <f aca="false">IF(AND(HU89=1,IE89&gt;0,Slot1_IsWG=1,W89=1),MIN(IE89,IG89),0)</f>
        <v>0</v>
      </c>
      <c r="II89" s="20" t="n">
        <f aca="false">X89+IH89</f>
        <v>0</v>
      </c>
      <c r="IJ89" s="20" t="n">
        <f aca="false">IF(W89=1,MAX(0,(Slot1_Cost-II89*(1+Slot1_Rate)^(Slot1_Age-D89))/IF89),0)</f>
        <v>0</v>
      </c>
      <c r="IK89" s="20" t="n">
        <f aca="false">IF(W89=1,MAX(0,(Slot1_Cost-X89*(1+Slot1_Rate)^(Slot1_Age-D89))/IF89),0)</f>
        <v>0</v>
      </c>
      <c r="IL89" s="20" t="n">
        <f aca="false">IF(AND(HU89=1,W89=1),MIN(ID89,IJ89),0)</f>
        <v>0</v>
      </c>
      <c r="IM89" s="20" t="n">
        <f aca="false">ID89-IL89</f>
        <v>0</v>
      </c>
      <c r="IN89" s="20" t="n">
        <f aca="false">IF(AH89=1,IF(ABS((1+AS_Wage)/(1+Slot2_Rate)-1)&lt;0.000000000001,(Slot2_Age-D89)*(1+Slot2_Rate)^(Slot2_Age-D89),(1+Slot2_Rate)^(Slot2_Age-D89)*(1-((1+AS_Wage)/(1+Slot2_Rate))^(Slot2_Age-D89))/(1-(1+AS_Wage)/(1+Slot2_Rate))),1)</f>
        <v>1</v>
      </c>
      <c r="IO89" s="20" t="n">
        <f aca="false">IF(AND(HU89=1,IE89&gt;0,Slot2_IsWG=1,AH89=1),MAX(0,(Slot2_Cost-AI89*(1+Slot2_Rate)^(Slot2_Age-D89))/IN89),0)</f>
        <v>0</v>
      </c>
      <c r="IP89" s="20" t="n">
        <f aca="false">IF(AND(HU89=1,IE89&gt;0,Slot2_IsWG=1,AH89=1),MIN(IE89,IO89),0)</f>
        <v>0</v>
      </c>
      <c r="IQ89" s="20" t="n">
        <f aca="false">AI89+IP89</f>
        <v>0</v>
      </c>
      <c r="IR89" s="20" t="n">
        <f aca="false">IF(AH89=1,MAX(0,(Slot2_Cost-IQ89*(1+Slot2_Rate)^(Slot2_Age-D89))/IN89),0)</f>
        <v>0</v>
      </c>
      <c r="IS89" s="20" t="n">
        <f aca="false">IF(AH89=1,MAX(0,(Slot2_Cost-AI89*(1+Slot2_Rate)^(Slot2_Age-D89))/IN89),0)</f>
        <v>0</v>
      </c>
      <c r="IT89" s="20" t="n">
        <f aca="false">IF(AND(HU89=1,AH89=1),MIN(IM89,IR89),0)</f>
        <v>0</v>
      </c>
      <c r="IU89" s="20" t="n">
        <f aca="false">IM89-IT89</f>
        <v>0</v>
      </c>
      <c r="IV89" s="20" t="n">
        <f aca="false">IF(AR89=1,IF(ABS((1+AS_Wage)/(1+Slot3_Rate)-1)&lt;0.000000000001,(Slot3_Age-D89)*(1+Slot3_Rate)^(Slot3_Age-D89),(1+Slot3_Rate)^(Slot3_Age-D89)*(1-((1+AS_Wage)/(1+Slot3_Rate))^(Slot3_Age-D89))/(1-(1+AS_Wage)/(1+Slot3_Rate))),1)</f>
        <v>1</v>
      </c>
      <c r="IW89" s="20" t="n">
        <f aca="false">IF(AND(HU89=1,IE89&gt;0,Slot3_IsWG=1,AR89=1),MAX(0,(Slot3_Cost-AS89*(1+Slot3_Rate)^(Slot3_Age-D89))/IV89),0)</f>
        <v>0</v>
      </c>
      <c r="IX89" s="20" t="n">
        <f aca="false">IF(AND(HU89=1,IE89&gt;0,Slot3_IsWG=1,AR89=1),MIN(IE89,IW89),0)</f>
        <v>0</v>
      </c>
      <c r="IY89" s="20" t="n">
        <f aca="false">AS89+IX89</f>
        <v>0</v>
      </c>
      <c r="IZ89" s="20" t="n">
        <f aca="false">IF(AR89=1,MAX(0,(Slot3_Cost-IY89*(1+Slot3_Rate)^(Slot3_Age-D89))/IV89),0)</f>
        <v>0</v>
      </c>
      <c r="JA89" s="20" t="n">
        <f aca="false">IF(AR89=1,MAX(0,(Slot3_Cost-AS89*(1+Slot3_Rate)^(Slot3_Age-D89))/IV89),0)</f>
        <v>0</v>
      </c>
      <c r="JB89" s="20" t="n">
        <f aca="false">IF(AND(HU89=1,AR89=1),MIN(IU89,IZ89),0)</f>
        <v>0</v>
      </c>
      <c r="JC89" s="20" t="n">
        <f aca="false">IU89-JB89</f>
        <v>0</v>
      </c>
      <c r="JD89" s="20" t="n">
        <f aca="false">IF(BB89=1,IF(ABS((1+AS_Wage)/(1+Slot4_Rate)-1)&lt;0.000000000001,(Slot4_Age-D89)*(1+Slot4_Rate)^(Slot4_Age-D89),(1+Slot4_Rate)^(Slot4_Age-D89)*(1-((1+AS_Wage)/(1+Slot4_Rate))^(Slot4_Age-D89))/(1-(1+AS_Wage)/(1+Slot4_Rate))),1)</f>
        <v>1</v>
      </c>
      <c r="JE89" s="20" t="n">
        <f aca="false">IF(AND(HU89=1,IE89&gt;0,Slot4_IsWG=1,BB89=1),MAX(0,(Slot4_Cost-BC89*(1+Slot4_Rate)^(Slot4_Age-D89))/JD89),0)</f>
        <v>0</v>
      </c>
      <c r="JF89" s="20" t="n">
        <f aca="false">IF(AND(HU89=1,IE89&gt;0,Slot4_IsWG=1,BB89=1),MIN(IE89,JE89),0)</f>
        <v>0</v>
      </c>
      <c r="JG89" s="20" t="n">
        <f aca="false">BC89+JF89</f>
        <v>0</v>
      </c>
      <c r="JH89" s="20" t="n">
        <f aca="false">IF(BB89=1,MAX(0,(Slot4_Cost-JG89*(1+Slot4_Rate)^(Slot4_Age-D89))/JD89),0)</f>
        <v>0</v>
      </c>
      <c r="JI89" s="20" t="n">
        <f aca="false">IF(BB89=1,MAX(0,(Slot4_Cost-BC89*(1+Slot4_Rate)^(Slot4_Age-D89))/JD89),0)</f>
        <v>0</v>
      </c>
      <c r="JJ89" s="20" t="n">
        <f aca="false">IF(AND(HU89=1,BB89=1),MIN(JC89,JH89),0)</f>
        <v>0</v>
      </c>
      <c r="JK89" s="20" t="n">
        <f aca="false">JC89-JJ89</f>
        <v>0</v>
      </c>
      <c r="JL89" s="20" t="n">
        <f aca="false">IF(BL89=1,IF(ABS((1+AS_Wage)/(1+Slot5_Rate)-1)&lt;0.000000000001,(Slot5_Age-D89)*(1+Slot5_Rate)^(Slot5_Age-D89),(1+Slot5_Rate)^(Slot5_Age-D89)*(1-((1+AS_Wage)/(1+Slot5_Rate))^(Slot5_Age-D89))/(1-(1+AS_Wage)/(1+Slot5_Rate))),1)</f>
        <v>1</v>
      </c>
      <c r="JM89" s="20" t="n">
        <f aca="false">IF(AND(HU89=1,IE89&gt;0,Slot5_IsWG=1,BL89=1),MAX(0,(Slot5_Cost-BM89*(1+Slot5_Rate)^(Slot5_Age-D89))/JL89),0)</f>
        <v>0</v>
      </c>
      <c r="JN89" s="20" t="n">
        <f aca="false">IF(AND(HU89=1,IE89&gt;0,Slot5_IsWG=1,BL89=1),MIN(IE89,JM89),0)</f>
        <v>0</v>
      </c>
      <c r="JO89" s="20" t="n">
        <f aca="false">BM89+JN89</f>
        <v>0</v>
      </c>
      <c r="JP89" s="20" t="n">
        <f aca="false">IF(BL89=1,MAX(0,(Slot5_Cost-JO89*(1+Slot5_Rate)^(Slot5_Age-D89))/JL89),0)</f>
        <v>0</v>
      </c>
      <c r="JQ89" s="20" t="n">
        <f aca="false">IF(BL89=1,MAX(0,(Slot5_Cost-BM89*(1+Slot5_Rate)^(Slot5_Age-D89))/JL89),0)</f>
        <v>0</v>
      </c>
      <c r="JR89" s="20" t="n">
        <f aca="false">IF(AND(HU89=1,BL89=1),MIN(JK89,JP89),0)</f>
        <v>0</v>
      </c>
      <c r="JS89" s="20" t="n">
        <f aca="false">JK89-JR89</f>
        <v>0</v>
      </c>
      <c r="JT89" s="20" t="n">
        <f aca="false">IF(BV89=1,IF(ABS((1+AS_Wage)/(1+Slot6_Rate)-1)&lt;0.000000000001,(Slot6_Age-D89)*(1+Slot6_Rate)^(Slot6_Age-D89),(1+Slot6_Rate)^(Slot6_Age-D89)*(1-((1+AS_Wage)/(1+Slot6_Rate))^(Slot6_Age-D89))/(1-(1+AS_Wage)/(1+Slot6_Rate))),1)</f>
        <v>1</v>
      </c>
      <c r="JU89" s="20" t="n">
        <f aca="false">IF(AND(HU89=1,IE89&gt;0,Slot6_IsWG=1,BV89=1),MAX(0,(Slot6_Cost-BW89*(1+Slot6_Rate)^(Slot6_Age-D89))/JT89),0)</f>
        <v>0</v>
      </c>
      <c r="JV89" s="20" t="n">
        <f aca="false">IF(AND(HU89=1,IE89&gt;0,Slot6_IsWG=1,BV89=1),MIN(IE89,JU89),0)</f>
        <v>0</v>
      </c>
      <c r="JW89" s="20" t="n">
        <f aca="false">BW89+JV89</f>
        <v>0</v>
      </c>
      <c r="JX89" s="20" t="n">
        <f aca="false">IF(BV89=1,MAX(0,(Slot6_Cost-JW89*(1+Slot6_Rate)^(Slot6_Age-D89))/JT89),0)</f>
        <v>0</v>
      </c>
      <c r="JY89" s="20" t="n">
        <f aca="false">IF(BV89=1,MAX(0,(Slot6_Cost-BW89*(1+Slot6_Rate)^(Slot6_Age-D89))/JT89),0)</f>
        <v>0</v>
      </c>
      <c r="JZ89" s="20" t="n">
        <f aca="false">IF(AND(HU89=1,BV89=1),MIN(JS89,JX89),0)</f>
        <v>0</v>
      </c>
      <c r="KA89" s="20" t="n">
        <f aca="false">JS89-JZ89</f>
        <v>0</v>
      </c>
      <c r="KB89" s="20" t="n">
        <f aca="false">IF(CF89=1,IF(ABS((1+AS_Wage)/(1+Slot7_Rate)-1)&lt;0.000000000001,(Slot7_Age-D89)*(1+Slot7_Rate)^(Slot7_Age-D89),(1+Slot7_Rate)^(Slot7_Age-D89)*(1-((1+AS_Wage)/(1+Slot7_Rate))^(Slot7_Age-D89))/(1-(1+AS_Wage)/(1+Slot7_Rate))),1)</f>
        <v>1</v>
      </c>
      <c r="KC89" s="20" t="n">
        <f aca="false">IF(AND(HU89=1,IE89&gt;0,Slot7_IsWG=1,CF89=1),MAX(0,(Slot7_Cost-CG89*(1+Slot7_Rate)^(Slot7_Age-D89))/KB89),0)</f>
        <v>0</v>
      </c>
      <c r="KD89" s="20" t="n">
        <f aca="false">IF(AND(HU89=1,IE89&gt;0,Slot7_IsWG=1,CF89=1),MIN(IE89,KC89),0)</f>
        <v>0</v>
      </c>
      <c r="KE89" s="20" t="n">
        <f aca="false">CG89+KD89</f>
        <v>0</v>
      </c>
      <c r="KF89" s="20" t="n">
        <f aca="false">IF(CF89=1,MAX(0,(Slot7_Cost-KE89*(1+Slot7_Rate)^(Slot7_Age-D89))/KB89),0)</f>
        <v>0</v>
      </c>
      <c r="KG89" s="20" t="n">
        <f aca="false">IF(CF89=1,MAX(0,(Slot7_Cost-CG89*(1+Slot7_Rate)^(Slot7_Age-D89))/KB89),0)</f>
        <v>0</v>
      </c>
      <c r="KH89" s="20" t="n">
        <f aca="false">IF(AND(HU89=1,CF89=1),MIN(KA89,KF89),0)</f>
        <v>0</v>
      </c>
      <c r="KI89" s="20" t="n">
        <f aca="false">KA89-KH89</f>
        <v>0</v>
      </c>
      <c r="KJ89" s="20" t="n">
        <f aca="false">IF(CP89=1,IF(ABS((1+AS_Wage)/(1+Slot8_Rate)-1)&lt;0.000000000001,(Slot8_Age-D89)*(1+Slot8_Rate)^(Slot8_Age-D89),(1+Slot8_Rate)^(Slot8_Age-D89)*(1-((1+AS_Wage)/(1+Slot8_Rate))^(Slot8_Age-D89))/(1-(1+AS_Wage)/(1+Slot8_Rate))),1)</f>
        <v>1</v>
      </c>
      <c r="KK89" s="20" t="n">
        <f aca="false">IF(AND(HU89=1,IE89&gt;0,Slot8_IsWG=1,CP89=1),MAX(0,(Slot8_Cost-CQ89*(1+Slot8_Rate)^(Slot8_Age-D89))/KJ89),0)</f>
        <v>0</v>
      </c>
      <c r="KL89" s="20" t="n">
        <f aca="false">IF(AND(HU89=1,IE89&gt;0,Slot8_IsWG=1,CP89=1),MIN(IE89,KK89),0)</f>
        <v>0</v>
      </c>
      <c r="KM89" s="20" t="n">
        <f aca="false">CQ89+KL89</f>
        <v>0</v>
      </c>
      <c r="KN89" s="20" t="n">
        <f aca="false">IF(CP89=1,MAX(0,(Slot8_Cost-KM89*(1+Slot8_Rate)^(Slot8_Age-D89))/KJ89),0)</f>
        <v>0</v>
      </c>
      <c r="KO89" s="20" t="n">
        <f aca="false">IF(CP89=1,MAX(0,(Slot8_Cost-CQ89*(1+Slot8_Rate)^(Slot8_Age-D89))/KJ89),0)</f>
        <v>0</v>
      </c>
      <c r="KP89" s="20" t="n">
        <f aca="false">IF(AND(HU89=1,CP89=1),MIN(KI89,KN89),0)</f>
        <v>0</v>
      </c>
      <c r="KQ89" s="20" t="n">
        <f aca="false">KI89-KP89</f>
        <v>0</v>
      </c>
      <c r="KR89" s="20" t="n">
        <f aca="false">IF(CZ89=1,IF(ABS((1+AS_Wage)/(1+Slot9_Rate)-1)&lt;0.000000000001,(Slot9_Age-D89)*(1+Slot9_Rate)^(Slot9_Age-D89),(1+Slot9_Rate)^(Slot9_Age-D89)*(1-((1+AS_Wage)/(1+Slot9_Rate))^(Slot9_Age-D89))/(1-(1+AS_Wage)/(1+Slot9_Rate))),1)</f>
        <v>1</v>
      </c>
      <c r="KS89" s="20" t="n">
        <f aca="false">IF(AND(HU89=1,IE89&gt;0,Slot9_IsWG=1,CZ89=1),MAX(0,(Slot9_Cost-DA89*(1+Slot9_Rate)^(Slot9_Age-D89))/KR89),0)</f>
        <v>0</v>
      </c>
      <c r="KT89" s="20" t="n">
        <f aca="false">IF(AND(HU89=1,IE89&gt;0,Slot9_IsWG=1,CZ89=1),MIN(IE89,KS89),0)</f>
        <v>0</v>
      </c>
      <c r="KU89" s="20" t="n">
        <f aca="false">DA89+KT89</f>
        <v>0</v>
      </c>
      <c r="KV89" s="20" t="n">
        <f aca="false">IF(CZ89=1,MAX(0,(Slot9_Cost-KU89*(1+Slot9_Rate)^(Slot9_Age-D89))/KR89),0)</f>
        <v>0</v>
      </c>
      <c r="KW89" s="20" t="n">
        <f aca="false">IF(CZ89=1,MAX(0,(Slot9_Cost-DA89*(1+Slot9_Rate)^(Slot9_Age-D89))/KR89),0)</f>
        <v>0</v>
      </c>
      <c r="KX89" s="20" t="n">
        <f aca="false">IF(AND(HU89=1,CZ89=1),MIN(KQ89,KV89),0)</f>
        <v>0</v>
      </c>
      <c r="KY89" s="20" t="n">
        <f aca="false">KQ89-KX89</f>
        <v>0</v>
      </c>
      <c r="KZ89" s="20" t="n">
        <f aca="false">IF(DJ89=1,IF(ABS((1+AS_Wage)/(1+Slot10_Rate)-1)&lt;0.000000000001,(Slot10_Age-D89)*(1+Slot10_Rate)^(Slot10_Age-D89),(1+Slot10_Rate)^(Slot10_Age-D89)*(1-((1+AS_Wage)/(1+Slot10_Rate))^(Slot10_Age-D89))/(1-(1+AS_Wage)/(1+Slot10_Rate))),1)</f>
        <v>1</v>
      </c>
      <c r="LA89" s="20" t="n">
        <f aca="false">IF(AND(HU89=1,IE89&gt;0,Slot10_IsWG=1,DJ89=1),MAX(0,(Slot10_Cost-DK89*(1+Slot10_Rate)^(Slot10_Age-D89))/KZ89),0)</f>
        <v>0</v>
      </c>
      <c r="LB89" s="20" t="n">
        <f aca="false">IF(AND(HU89=1,IE89&gt;0,Slot10_IsWG=1,DJ89=1),MIN(IE89,LA89),0)</f>
        <v>0</v>
      </c>
      <c r="LC89" s="20" t="n">
        <f aca="false">DK89+LB89</f>
        <v>0</v>
      </c>
      <c r="LD89" s="20" t="n">
        <f aca="false">IF(DJ89=1,MAX(0,(Slot10_Cost-LC89*(1+Slot10_Rate)^(Slot10_Age-D89))/KZ89),0)</f>
        <v>0</v>
      </c>
      <c r="LE89" s="20" t="n">
        <f aca="false">IF(DJ89=1,MAX(0,(Slot10_Cost-DK89*(1+Slot10_Rate)^(Slot10_Age-D89))/KZ89),0)</f>
        <v>0</v>
      </c>
      <c r="LF89" s="20" t="n">
        <f aca="false">IF(AND(HU89=1,DJ89=1),MIN(KY89,LD89),0)</f>
        <v>0</v>
      </c>
      <c r="LG89" s="20" t="n">
        <f aca="false">KY89-LF89</f>
        <v>0</v>
      </c>
      <c r="LH89" s="20" t="n">
        <f aca="false">IF(DT89=1,IF(ABS((1+AS_Wage)/(1+Slot11_Rate)-1)&lt;0.000000000001,(Slot11_Age-D89)*(1+Slot11_Rate)^(Slot11_Age-D89),(1+Slot11_Rate)^(Slot11_Age-D89)*(1-((1+AS_Wage)/(1+Slot11_Rate))^(Slot11_Age-D89))/(1-(1+AS_Wage)/(1+Slot11_Rate))),1)</f>
        <v>1</v>
      </c>
      <c r="LI89" s="20" t="n">
        <f aca="false">IF(AND(HU89=1,IE89&gt;0,Slot11_IsWG=1,DT89=1),MAX(0,(Slot11_Cost-DU89*(1+Slot11_Rate)^(Slot11_Age-D89))/LH89),0)</f>
        <v>0</v>
      </c>
      <c r="LJ89" s="20" t="n">
        <f aca="false">IF(AND(HU89=1,IE89&gt;0,Slot11_IsWG=1,DT89=1),MIN(IE89,LI89),0)</f>
        <v>0</v>
      </c>
      <c r="LK89" s="20" t="n">
        <f aca="false">DU89+LJ89</f>
        <v>0</v>
      </c>
      <c r="LL89" s="20" t="n">
        <f aca="false">IF(DT89=1,MAX(0,(Slot11_Cost-LK89*(1+Slot11_Rate)^(Slot11_Age-D89))/LH89),0)</f>
        <v>0</v>
      </c>
      <c r="LM89" s="20" t="n">
        <f aca="false">IF(DT89=1,MAX(0,(Slot11_Cost-DU89*(1+Slot11_Rate)^(Slot11_Age-D89))/LH89),0)</f>
        <v>0</v>
      </c>
      <c r="LN89" s="20" t="n">
        <f aca="false">IF(AND(HU89=1,DT89=1),MIN(LG89,LL89),0)</f>
        <v>0</v>
      </c>
      <c r="LO89" s="20" t="n">
        <f aca="false">LG89-LN89</f>
        <v>0</v>
      </c>
      <c r="LP89" s="20" t="n">
        <f aca="false">IF(ED89=1,IF(ABS((1+AS_Wage)/(1+Slot12_Rate)-1)&lt;0.000000000001,(Slot12_Age-D89)*(1+Slot12_Rate)^(Slot12_Age-D89),(1+Slot12_Rate)^(Slot12_Age-D89)*(1-((1+AS_Wage)/(1+Slot12_Rate))^(Slot12_Age-D89))/(1-(1+AS_Wage)/(1+Slot12_Rate))),1)</f>
        <v>1</v>
      </c>
      <c r="LQ89" s="20" t="n">
        <f aca="false">IF(AND(HU89=1,IE89&gt;0,Slot12_IsWG=1,ED89=1),MAX(0,(Slot12_Cost-EE89*(1+Slot12_Rate)^(Slot12_Age-D89))/LP89),0)</f>
        <v>0</v>
      </c>
      <c r="LR89" s="20" t="n">
        <f aca="false">IF(AND(HU89=1,IE89&gt;0,Slot12_IsWG=1,ED89=1),MIN(IE89,LQ89),0)</f>
        <v>0</v>
      </c>
      <c r="LS89" s="20" t="n">
        <f aca="false">EE89+LR89</f>
        <v>0</v>
      </c>
      <c r="LT89" s="20" t="n">
        <f aca="false">IF(ED89=1,MAX(0,(Slot12_Cost-LS89*(1+Slot12_Rate)^(Slot12_Age-D89))/LP89),0)</f>
        <v>0</v>
      </c>
      <c r="LU89" s="20" t="n">
        <f aca="false">IF(ED89=1,MAX(0,(Slot12_Cost-EE89*(1+Slot12_Rate)^(Slot12_Age-D89))/LP89),0)</f>
        <v>0</v>
      </c>
      <c r="LV89" s="20" t="n">
        <f aca="false">IF(AND(HU89=1,ED89=1),MIN(LO89,LT89),0)</f>
        <v>0</v>
      </c>
      <c r="LW89" s="20" t="n">
        <f aca="false">LO89-LV89</f>
        <v>0</v>
      </c>
      <c r="LX89" s="20" t="n">
        <f aca="false">IF(EN89=1,IF(ABS((1+AS_Wage)/(1+Slot13_Rate)-1)&lt;0.000000000001,(Slot13_Age-D89)*(1+Slot13_Rate)^(Slot13_Age-D89),(1+Slot13_Rate)^(Slot13_Age-D89)*(1-((1+AS_Wage)/(1+Slot13_Rate))^(Slot13_Age-D89))/(1-(1+AS_Wage)/(1+Slot13_Rate))),1)</f>
        <v>1</v>
      </c>
      <c r="LY89" s="20" t="n">
        <f aca="false">IF(AND(HU89=1,IE89&gt;0,Slot13_IsWG=1,EN89=1),MAX(0,(Slot13_Cost-EO89*(1+Slot13_Rate)^(Slot13_Age-D89))/LX89),0)</f>
        <v>0</v>
      </c>
      <c r="LZ89" s="20" t="n">
        <f aca="false">IF(AND(HU89=1,IE89&gt;0,Slot13_IsWG=1,EN89=1),MIN(IE89,LY89),0)</f>
        <v>0</v>
      </c>
      <c r="MA89" s="20" t="n">
        <f aca="false">EO89+LZ89</f>
        <v>0</v>
      </c>
      <c r="MB89" s="20" t="n">
        <f aca="false">IF(EN89=1,MAX(0,(Slot13_Cost-MA89*(1+Slot13_Rate)^(Slot13_Age-D89))/LX89),0)</f>
        <v>0</v>
      </c>
      <c r="MC89" s="20" t="n">
        <f aca="false">IF(EN89=1,MAX(0,(Slot13_Cost-EO89*(1+Slot13_Rate)^(Slot13_Age-D89))/LX89),0)</f>
        <v>0</v>
      </c>
      <c r="MD89" s="20" t="n">
        <f aca="false">IF(AND(HU89=1,EN89=1),MIN(LW89,MB89),0)</f>
        <v>0</v>
      </c>
      <c r="ME89" s="20" t="n">
        <f aca="false">LW89-MD89</f>
        <v>0</v>
      </c>
      <c r="MF89" s="20" t="n">
        <f aca="false">IF(EX89=1,IF(ABS((1+AS_Wage)/(1+Slot14_Rate)-1)&lt;0.000000000001,(Slot14_Age-D89)*(1+Slot14_Rate)^(Slot14_Age-D89),(1+Slot14_Rate)^(Slot14_Age-D89)*(1-((1+AS_Wage)/(1+Slot14_Rate))^(Slot14_Age-D89))/(1-(1+AS_Wage)/(1+Slot14_Rate))),1)</f>
        <v>1</v>
      </c>
      <c r="MG89" s="20" t="n">
        <f aca="false">IF(AND(HU89=1,IE89&gt;0,Slot14_IsWG=1,EX89=1),MAX(0,(Slot14_Cost-EY89*(1+Slot14_Rate)^(Slot14_Age-D89))/MF89),0)</f>
        <v>0</v>
      </c>
      <c r="MH89" s="20" t="n">
        <f aca="false">IF(AND(HU89=1,IE89&gt;0,Slot14_IsWG=1,EX89=1),MIN(IE89,MG89),0)</f>
        <v>0</v>
      </c>
      <c r="MI89" s="20" t="n">
        <f aca="false">EY89+MH89</f>
        <v>0</v>
      </c>
      <c r="MJ89" s="20" t="n">
        <f aca="false">IF(EX89=1,MAX(0,(Slot14_Cost-MI89*(1+Slot14_Rate)^(Slot14_Age-D89))/MF89),0)</f>
        <v>0</v>
      </c>
      <c r="MK89" s="20" t="n">
        <f aca="false">IF(EX89=1,MAX(0,(Slot14_Cost-EY89*(1+Slot14_Rate)^(Slot14_Age-D89))/MF89),0)</f>
        <v>0</v>
      </c>
      <c r="ML89" s="20" t="n">
        <f aca="false">IF(AND(HU89=1,EX89=1),MIN(ME89,MJ89),0)</f>
        <v>0</v>
      </c>
      <c r="MM89" s="20" t="n">
        <f aca="false">ME89-ML89</f>
        <v>0</v>
      </c>
      <c r="MN89" s="20" t="n">
        <f aca="false">IF(FH89=1,IF(ABS((1+AS_Wage)/(1+Slot15_Rate)-1)&lt;0.000000000001,(Slot15_Age-D89)*(1+Slot15_Rate)^(Slot15_Age-D89),(1+Slot15_Rate)^(Slot15_Age-D89)*(1-((1+AS_Wage)/(1+Slot15_Rate))^(Slot15_Age-D89))/(1-(1+AS_Wage)/(1+Slot15_Rate))),1)</f>
        <v>1</v>
      </c>
      <c r="MO89" s="20" t="n">
        <f aca="false">IF(AND(HU89=1,IE89&gt;0,Slot15_IsWG=1,FH89=1),MAX(0,(Slot15_Cost-FI89*(1+Slot15_Rate)^(Slot15_Age-D89))/MN89),0)</f>
        <v>0</v>
      </c>
      <c r="MP89" s="20" t="n">
        <f aca="false">IF(AND(HU89=1,IE89&gt;0,Slot15_IsWG=1,FH89=1),MIN(IE89,MO89),0)</f>
        <v>0</v>
      </c>
      <c r="MQ89" s="20" t="n">
        <f aca="false">FI89+MP89</f>
        <v>0</v>
      </c>
      <c r="MR89" s="20" t="n">
        <f aca="false">IF(FH89=1,MAX(0,(Slot15_Cost-MQ89*(1+Slot15_Rate)^(Slot15_Age-D89))/MN89),0)</f>
        <v>0</v>
      </c>
      <c r="MS89" s="20" t="n">
        <f aca="false">IF(FH89=1,MAX(0,(Slot15_Cost-FI89*(1+Slot15_Rate)^(Slot15_Age-D89))/MN89),0)</f>
        <v>0</v>
      </c>
      <c r="MT89" s="20" t="n">
        <f aca="false">IF(AND(HU89=1,FH89=1),MIN(MM89,MR89),0)</f>
        <v>0</v>
      </c>
      <c r="MU89" s="20" t="n">
        <f aca="false">MM89-MT89</f>
        <v>0</v>
      </c>
      <c r="MV89" s="20" t="n">
        <f aca="false">IF(FR89=1,IF(ABS((1+AS_Wage)/(1+Slot16_Rate)-1)&lt;0.000000000001,(Slot16_Age-D89)*(1+Slot16_Rate)^(Slot16_Age-D89),(1+Slot16_Rate)^(Slot16_Age-D89)*(1-((1+AS_Wage)/(1+Slot16_Rate))^(Slot16_Age-D89))/(1-(1+AS_Wage)/(1+Slot16_Rate))),1)</f>
        <v>1</v>
      </c>
      <c r="MW89" s="20" t="n">
        <f aca="false">IF(AND(HU89=1,IE89&gt;0,Slot16_IsWG=1,FR89=1),MAX(0,(Slot16_Cost-FS89*(1+Slot16_Rate)^(Slot16_Age-D89))/MV89),0)</f>
        <v>0</v>
      </c>
      <c r="MX89" s="20" t="n">
        <f aca="false">IF(AND(HU89=1,IE89&gt;0,Slot16_IsWG=1,FR89=1),MIN(IE89,MW89),0)</f>
        <v>0</v>
      </c>
      <c r="MY89" s="20" t="n">
        <f aca="false">FS89+MX89</f>
        <v>0</v>
      </c>
      <c r="MZ89" s="20" t="n">
        <f aca="false">IF(FR89=1,MAX(0,(Slot16_Cost-MY89*(1+Slot16_Rate)^(Slot16_Age-D89))/MV89),0)</f>
        <v>0</v>
      </c>
      <c r="NA89" s="20" t="n">
        <f aca="false">IF(FR89=1,MAX(0,(Slot16_Cost-FS89*(1+Slot16_Rate)^(Slot16_Age-D89))/MV89),0)</f>
        <v>0</v>
      </c>
      <c r="NB89" s="20" t="n">
        <f aca="false">IF(AND(HU89=1,FR89=1),MIN(MU89,MZ89),0)</f>
        <v>0</v>
      </c>
      <c r="NC89" s="20" t="n">
        <f aca="false">MU89-NB89</f>
        <v>0</v>
      </c>
      <c r="ND89" s="20" t="n">
        <f aca="false">IF(GB89=1,IF(ABS((1+AS_Wage)/(1+Slot17_Rate)-1)&lt;0.000000000001,(Slot17_Age-D89)*(1+Slot17_Rate)^(Slot17_Age-D89),(1+Slot17_Rate)^(Slot17_Age-D89)*(1-((1+AS_Wage)/(1+Slot17_Rate))^(Slot17_Age-D89))/(1-(1+AS_Wage)/(1+Slot17_Rate))),1)</f>
        <v>1</v>
      </c>
      <c r="NE89" s="20" t="n">
        <f aca="false">IF(AND(HU89=1,IE89&gt;0,Slot17_IsWG=1,GB89=1),MAX(0,(Slot17_Cost-GC89*(1+Slot17_Rate)^(Slot17_Age-D89))/ND89),0)</f>
        <v>0</v>
      </c>
      <c r="NF89" s="20" t="n">
        <f aca="false">IF(AND(HU89=1,IE89&gt;0,Slot17_IsWG=1,GB89=1),MIN(IE89,NE89),0)</f>
        <v>0</v>
      </c>
      <c r="NG89" s="20" t="n">
        <f aca="false">GC89+NF89</f>
        <v>0</v>
      </c>
      <c r="NH89" s="20" t="n">
        <f aca="false">IF(GB89=1,MAX(0,(Slot17_Cost-NG89*(1+Slot17_Rate)^(Slot17_Age-D89))/ND89),0)</f>
        <v>0</v>
      </c>
      <c r="NI89" s="20" t="n">
        <f aca="false">IF(GB89=1,MAX(0,(Slot17_Cost-GC89*(1+Slot17_Rate)^(Slot17_Age-D89))/ND89),0)</f>
        <v>0</v>
      </c>
      <c r="NJ89" s="20" t="n">
        <f aca="false">IF(AND(HU89=1,GB89=1),MIN(NC89,NH89),0)</f>
        <v>0</v>
      </c>
      <c r="NK89" s="20" t="n">
        <f aca="false">NC89-NJ89</f>
        <v>0</v>
      </c>
      <c r="NL89" s="20" t="n">
        <f aca="false">IF(GL89=1,IF(ABS((1+AS_Wage)/(1+Slot18_Rate)-1)&lt;0.000000000001,(Slot18_Age-D89)*(1+Slot18_Rate)^(Slot18_Age-D89),(1+Slot18_Rate)^(Slot18_Age-D89)*(1-((1+AS_Wage)/(1+Slot18_Rate))^(Slot18_Age-D89))/(1-(1+AS_Wage)/(1+Slot18_Rate))),1)</f>
        <v>1</v>
      </c>
      <c r="NM89" s="20" t="n">
        <f aca="false">IF(AND(HU89=1,IE89&gt;0,Slot18_IsWG=1,GL89=1),MAX(0,(Slot18_Cost-GM89*(1+Slot18_Rate)^(Slot18_Age-D89))/NL89),0)</f>
        <v>0</v>
      </c>
      <c r="NN89" s="20" t="n">
        <f aca="false">IF(AND(HU89=1,IE89&gt;0,Slot18_IsWG=1,GL89=1),MIN(IE89,NM89),0)</f>
        <v>0</v>
      </c>
      <c r="NO89" s="20" t="n">
        <f aca="false">GM89+NN89</f>
        <v>0</v>
      </c>
      <c r="NP89" s="20" t="n">
        <f aca="false">IF(GL89=1,MAX(0,(Slot18_Cost-NO89*(1+Slot18_Rate)^(Slot18_Age-D89))/NL89),0)</f>
        <v>0</v>
      </c>
      <c r="NQ89" s="20" t="n">
        <f aca="false">IF(GL89=1,MAX(0,(Slot18_Cost-GM89*(1+Slot18_Rate)^(Slot18_Age-D89))/NL89),0)</f>
        <v>0</v>
      </c>
      <c r="NR89" s="20" t="n">
        <f aca="false">IF(AND(HU89=1,GL89=1),MIN(NK89,NP89),0)</f>
        <v>0</v>
      </c>
      <c r="NS89" s="20" t="n">
        <f aca="false">NK89-NR89</f>
        <v>0</v>
      </c>
      <c r="NT89" s="20" t="n">
        <f aca="false">IF(GV89=1,IF(ABS((1+AS_Wage)/(1+Slot19_Rate)-1)&lt;0.000000000001,(Slot19_Age-D89)*(1+Slot19_Rate)^(Slot19_Age-D89),(1+Slot19_Rate)^(Slot19_Age-D89)*(1-((1+AS_Wage)/(1+Slot19_Rate))^(Slot19_Age-D89))/(1-(1+AS_Wage)/(1+Slot19_Rate))),1)</f>
        <v>1</v>
      </c>
      <c r="NU89" s="20" t="n">
        <f aca="false">IF(AND(HU89=1,IE89&gt;0,Slot19_IsWG=1,GV89=1),MAX(0,(Slot19_Cost-GW89*(1+Slot19_Rate)^(Slot19_Age-D89))/NT89),0)</f>
        <v>0</v>
      </c>
      <c r="NV89" s="20" t="n">
        <f aca="false">IF(AND(HU89=1,IE89&gt;0,Slot19_IsWG=1,GV89=1),MIN(IE89,NU89),0)</f>
        <v>0</v>
      </c>
      <c r="NW89" s="20" t="n">
        <f aca="false">GW89+NV89</f>
        <v>0</v>
      </c>
      <c r="NX89" s="20" t="n">
        <f aca="false">IF(GV89=1,MAX(0,(Slot19_Cost-NW89*(1+Slot19_Rate)^(Slot19_Age-D89))/NT89),0)</f>
        <v>0</v>
      </c>
      <c r="NY89" s="20" t="n">
        <f aca="false">IF(GV89=1,MAX(0,(Slot19_Cost-GW89*(1+Slot19_Rate)^(Slot19_Age-D89))/NT89),0)</f>
        <v>0</v>
      </c>
      <c r="NZ89" s="20" t="n">
        <f aca="false">IF(AND(HU89=1,GV89=1),MIN(NS89,NX89),0)</f>
        <v>0</v>
      </c>
      <c r="OA89" s="20" t="n">
        <f aca="false">NS89-NZ89</f>
        <v>0</v>
      </c>
      <c r="OB89" s="20" t="n">
        <f aca="false">IF(HF89=1,IF(ABS((1+AS_Wage)/(1+Slot20_Rate)-1)&lt;0.000000000001,(Slot20_Age-D89)*(1+Slot20_Rate)^(Slot20_Age-D89),(1+Slot20_Rate)^(Slot20_Age-D89)*(1-((1+AS_Wage)/(1+Slot20_Rate))^(Slot20_Age-D89))/(1-(1+AS_Wage)/(1+Slot20_Rate))),1)</f>
        <v>1</v>
      </c>
      <c r="OC89" s="20" t="n">
        <f aca="false">IF(AND(HU89=1,IE89&gt;0,Slot20_IsWG=1,HF89=1),MAX(0,(Slot20_Cost-HG89*(1+Slot20_Rate)^(Slot20_Age-D89))/OB89),0)</f>
        <v>0</v>
      </c>
      <c r="OD89" s="20" t="n">
        <f aca="false">IF(AND(HU89=1,IE89&gt;0,Slot20_IsWG=1,HF89=1),MIN(IE89,OC89),0)</f>
        <v>0</v>
      </c>
      <c r="OE89" s="20" t="n">
        <f aca="false">HG89+OD89</f>
        <v>0</v>
      </c>
      <c r="OF89" s="20" t="n">
        <f aca="false">IF(HF89=1,MAX(0,(Slot20_Cost-OE89*(1+Slot20_Rate)^(Slot20_Age-D89))/OB89),0)</f>
        <v>0</v>
      </c>
      <c r="OG89" s="20" t="n">
        <f aca="false">IF(HF89=1,MAX(0,(Slot20_Cost-HG89*(1+Slot20_Rate)^(Slot20_Age-D89))/OB89),0)</f>
        <v>0</v>
      </c>
      <c r="OH89" s="20" t="n">
        <f aca="false">IF(AND(HU89=1,HF89=1),MIN(OA89,OF89),0)</f>
        <v>0</v>
      </c>
      <c r="OI89" s="20" t="n">
        <f aca="false">OA89-OH89</f>
        <v>0</v>
      </c>
      <c r="OJ89" s="20" t="n">
        <f aca="false">IE89-(IH89+IP89+IX89+JF89+JN89+JV89+KD89+KL89+KT89+LB89+LJ89+LR89+LZ89+MH89+MP89+MX89+NF89+NN89+NV89+OD89)</f>
        <v>0</v>
      </c>
      <c r="OK89" s="20" t="n">
        <f aca="false">IF(HU89=1,HS89-ID89-IE89,0)</f>
        <v>0</v>
      </c>
      <c r="OL89" s="20" t="n">
        <f aca="false">IF(HU89=0,-HS89,0)</f>
        <v>95806.4279819695</v>
      </c>
      <c r="OM89" s="20" t="n">
        <f aca="false">MIN(OL89,HK89)</f>
        <v>0</v>
      </c>
      <c r="ON89" s="20" t="n">
        <f aca="false">OL89-OM89</f>
        <v>95806.4279819695</v>
      </c>
      <c r="OO89" s="20" t="n">
        <f aca="false">MIN(ON89,HL89)</f>
        <v>0</v>
      </c>
      <c r="OP89" s="20" t="n">
        <f aca="false">ON89-OO89</f>
        <v>95806.4279819695</v>
      </c>
      <c r="OQ89" s="20" t="n">
        <f aca="false">IF(AND(HU89=0,HF89=1,OP89&gt;0),MIN(OP89,HG89),0)</f>
        <v>0</v>
      </c>
      <c r="OR89" s="20" t="n">
        <f aca="false">OP89-OQ89</f>
        <v>95806.4279819695</v>
      </c>
      <c r="OS89" s="20" t="n">
        <f aca="false">IF(AND(HU89=0,GV89=1,OR89&gt;0),MIN(OR89,GW89),0)</f>
        <v>0</v>
      </c>
      <c r="OT89" s="20" t="n">
        <f aca="false">OR89-OS89</f>
        <v>95806.4279819695</v>
      </c>
      <c r="OU89" s="20" t="n">
        <f aca="false">IF(AND(HU89=0,GL89=1,OT89&gt;0),MIN(OT89,GM89),0)</f>
        <v>0</v>
      </c>
      <c r="OV89" s="20" t="n">
        <f aca="false">OT89-OU89</f>
        <v>95806.4279819695</v>
      </c>
      <c r="OW89" s="20" t="n">
        <f aca="false">IF(AND(HU89=0,GB89=1,OV89&gt;0),MIN(OV89,GC89),0)</f>
        <v>0</v>
      </c>
      <c r="OX89" s="20" t="n">
        <f aca="false">OV89-OW89</f>
        <v>95806.4279819695</v>
      </c>
      <c r="OY89" s="20" t="n">
        <f aca="false">IF(AND(HU89=0,FR89=1,OX89&gt;0),MIN(OX89,FS89),0)</f>
        <v>0</v>
      </c>
      <c r="OZ89" s="20" t="n">
        <f aca="false">OX89-OY89</f>
        <v>95806.4279819695</v>
      </c>
      <c r="PA89" s="20" t="n">
        <f aca="false">IF(AND(HU89=0,FH89=1,OZ89&gt;0),MIN(OZ89,FI89),0)</f>
        <v>0</v>
      </c>
      <c r="PB89" s="20" t="n">
        <f aca="false">OZ89-PA89</f>
        <v>95806.4279819695</v>
      </c>
      <c r="PC89" s="20" t="n">
        <f aca="false">IF(AND(HU89=0,EX89=1,PB89&gt;0),MIN(PB89,EY89),0)</f>
        <v>0</v>
      </c>
      <c r="PD89" s="20" t="n">
        <f aca="false">PB89-PC89</f>
        <v>95806.4279819695</v>
      </c>
      <c r="PE89" s="20" t="n">
        <f aca="false">IF(AND(HU89=0,EN89=1,PD89&gt;0),MIN(PD89,EO89),0)</f>
        <v>0</v>
      </c>
      <c r="PF89" s="20" t="n">
        <f aca="false">PD89-PE89</f>
        <v>95806.4279819695</v>
      </c>
      <c r="PG89" s="20" t="n">
        <f aca="false">IF(AND(HU89=0,ED89=1,PF89&gt;0),MIN(PF89,EE89),0)</f>
        <v>0</v>
      </c>
      <c r="PH89" s="20" t="n">
        <f aca="false">PF89-PG89</f>
        <v>95806.4279819695</v>
      </c>
      <c r="PI89" s="20" t="n">
        <f aca="false">IF(AND(HU89=0,DT89=1,PH89&gt;0),MIN(PH89,DU89),0)</f>
        <v>0</v>
      </c>
      <c r="PJ89" s="20" t="n">
        <f aca="false">PH89-PI89</f>
        <v>95806.4279819695</v>
      </c>
      <c r="PK89" s="20" t="n">
        <f aca="false">IF(AND(HU89=0,DJ89=1,PJ89&gt;0),MIN(PJ89,DK89),0)</f>
        <v>0</v>
      </c>
      <c r="PL89" s="20" t="n">
        <f aca="false">PJ89-PK89</f>
        <v>95806.4279819695</v>
      </c>
      <c r="PM89" s="20" t="n">
        <f aca="false">IF(AND(HU89=0,CZ89=1,PL89&gt;0),MIN(PL89,DA89),0)</f>
        <v>0</v>
      </c>
      <c r="PN89" s="20" t="n">
        <f aca="false">PL89-PM89</f>
        <v>95806.4279819695</v>
      </c>
      <c r="PO89" s="20" t="n">
        <f aca="false">IF(AND(HU89=0,CP89=1,PN89&gt;0),MIN(PN89,CQ89),0)</f>
        <v>0</v>
      </c>
      <c r="PP89" s="20" t="n">
        <f aca="false">PN89-PO89</f>
        <v>95806.4279819695</v>
      </c>
      <c r="PQ89" s="20" t="n">
        <f aca="false">IF(AND(HU89=0,CF89=1,PP89&gt;0),MIN(PP89,CG89),0)</f>
        <v>0</v>
      </c>
      <c r="PR89" s="20" t="n">
        <f aca="false">PP89-PQ89</f>
        <v>95806.4279819695</v>
      </c>
      <c r="PS89" s="20" t="n">
        <f aca="false">IF(AND(HU89=0,BV89=1,PR89&gt;0),MIN(PR89,BW89),0)</f>
        <v>0</v>
      </c>
      <c r="PT89" s="20" t="n">
        <f aca="false">PR89-PS89</f>
        <v>95806.4279819695</v>
      </c>
      <c r="PU89" s="20" t="n">
        <f aca="false">IF(AND(HU89=0,BL89=1,PT89&gt;0),MIN(PT89,BM89),0)</f>
        <v>0</v>
      </c>
      <c r="PV89" s="20" t="n">
        <f aca="false">PT89-PU89</f>
        <v>95806.4279819695</v>
      </c>
      <c r="PW89" s="20" t="n">
        <f aca="false">IF(AND(HU89=0,BB89=1,PV89&gt;0),MIN(PV89,BC89),0)</f>
        <v>0</v>
      </c>
      <c r="PX89" s="20" t="n">
        <f aca="false">PV89-PW89</f>
        <v>95806.4279819695</v>
      </c>
      <c r="PY89" s="20" t="n">
        <f aca="false">IF(AND(HU89=0,AR89=1,PX89&gt;0),MIN(PX89,AS89),0)</f>
        <v>0</v>
      </c>
      <c r="PZ89" s="20" t="n">
        <f aca="false">PX89-PY89</f>
        <v>95806.4279819695</v>
      </c>
      <c r="QA89" s="20" t="n">
        <f aca="false">IF(AND(HU89=0,AH89=1,PZ89&gt;0),MIN(PZ89,AI89),0)</f>
        <v>0</v>
      </c>
      <c r="QB89" s="20" t="n">
        <f aca="false">PZ89-QA89</f>
        <v>95806.4279819695</v>
      </c>
      <c r="QC89" s="20" t="n">
        <f aca="false">IF(AND(HU89=0,W89=1,QB89&gt;0),MIN(QB89,X89),0)</f>
        <v>0</v>
      </c>
      <c r="QD89" s="20" t="n">
        <f aca="false">QB89-QC89</f>
        <v>95806.4279819695</v>
      </c>
      <c r="QE89" s="20" t="n">
        <f aca="false">IF(HU89=0,QD89,0)</f>
        <v>95806.4279819695</v>
      </c>
      <c r="QF89" s="20" t="n">
        <f aca="false">OM89+OO89+QC89+QA89+PY89+PW89+PU89+PS89+PQ89+PO89+PM89+PK89+PI89+PG89+PE89+PC89+PA89+OY89+OW89+OU89+OS89+OQ89</f>
        <v>0</v>
      </c>
      <c r="QG89" s="20" t="n">
        <f aca="false">IF(HU89=1,HK89+OJ89+OI89+IF(G89=1,0,OK89),HK89-OM89)</f>
        <v>0</v>
      </c>
      <c r="QH89" s="20" t="n">
        <f aca="false">HL89-OO89</f>
        <v>0</v>
      </c>
      <c r="QI89" s="20" t="n">
        <f aca="false">IF(HU89=1,IF(G89=1,ID89+IE89,HS89),0)</f>
        <v>0</v>
      </c>
      <c r="QJ89" s="20" t="n">
        <f aca="false">IF(HU89=1,IF(G89=1,HS89-ID89-IE89,0),0)</f>
        <v>0</v>
      </c>
      <c r="QK89" s="20" t="n">
        <f aca="false">QG89*(1+GR)</f>
        <v>0</v>
      </c>
      <c r="QL89" s="20" t="n">
        <f aca="false">QH89*(1+AS_Cash)</f>
        <v>0</v>
      </c>
      <c r="QM89" s="20" t="n">
        <f aca="false">IF(W89=1,IF(HU89=1,II89+IL89,X89-QC89)*(1+Slot1_Rate),0)</f>
        <v>0</v>
      </c>
      <c r="QN89" s="20" t="n">
        <f aca="false">IF(AND(HU89=1,W89=1),(IH89+IL89)/F89,0)</f>
        <v>0</v>
      </c>
      <c r="QO89" s="20" t="n">
        <f aca="false">IF(B89=0,IH89+IL89,0)</f>
        <v>0</v>
      </c>
      <c r="QP89" s="20" t="n">
        <f aca="false">IF(B89=0,IF(HU89=1,IJ89,IK89),0)</f>
        <v>0</v>
      </c>
      <c r="QQ89" s="20" t="n">
        <f aca="false">IF(AH89=1,IF(HU89=1,IQ89+IT89,AI89-QA89)*(1+Slot2_Rate),0)</f>
        <v>0</v>
      </c>
      <c r="QR89" s="20" t="n">
        <f aca="false">IF(AND(HU89=1,AH89=1),(IP89+IT89)/F89,0)</f>
        <v>0</v>
      </c>
      <c r="QS89" s="20" t="n">
        <f aca="false">IF(B89=0,IP89+IT89,0)</f>
        <v>0</v>
      </c>
      <c r="QT89" s="20" t="n">
        <f aca="false">IF(B89=0,IF(HU89=1,IR89,IS89),0)</f>
        <v>0</v>
      </c>
      <c r="QU89" s="20" t="n">
        <f aca="false">IF(AR89=1,IF(HU89=1,IY89+JB89,AS89-PY89)*(1+Slot3_Rate),0)</f>
        <v>0</v>
      </c>
      <c r="QV89" s="20" t="n">
        <f aca="false">IF(AND(HU89=1,AR89=1),(IX89+JB89)/F89,0)</f>
        <v>0</v>
      </c>
      <c r="QW89" s="20" t="n">
        <f aca="false">IF(B89=0,IX89+JB89,0)</f>
        <v>0</v>
      </c>
      <c r="QX89" s="20" t="n">
        <f aca="false">IF(B89=0,IF(HU89=1,IZ89,JA89),0)</f>
        <v>0</v>
      </c>
      <c r="QY89" s="20" t="n">
        <f aca="false">IF(BB89=1,IF(HU89=1,JG89+JJ89,BC89-PW89)*(1+Slot4_Rate),0)</f>
        <v>0</v>
      </c>
      <c r="QZ89" s="20" t="n">
        <f aca="false">IF(AND(HU89=1,BB89=1),(JF89+JJ89)/F89,0)</f>
        <v>0</v>
      </c>
      <c r="RA89" s="20" t="n">
        <f aca="false">IF(B89=0,JF89+JJ89,0)</f>
        <v>0</v>
      </c>
      <c r="RB89" s="20" t="n">
        <f aca="false">IF(B89=0,IF(HU89=1,JH89,JI89),0)</f>
        <v>0</v>
      </c>
      <c r="RC89" s="20" t="n">
        <f aca="false">IF(BL89=1,IF(HU89=1,JO89+JR89,BM89-PU89)*(1+Slot5_Rate),0)</f>
        <v>0</v>
      </c>
      <c r="RD89" s="20" t="n">
        <f aca="false">IF(AND(HU89=1,BL89=1),(JN89+JR89)/F89,0)</f>
        <v>0</v>
      </c>
      <c r="RE89" s="20" t="n">
        <f aca="false">IF(B89=0,JN89+JR89,0)</f>
        <v>0</v>
      </c>
      <c r="RF89" s="20" t="n">
        <f aca="false">IF(B89=0,IF(HU89=1,JP89,JQ89),0)</f>
        <v>0</v>
      </c>
      <c r="RG89" s="20" t="n">
        <f aca="false">IF(BV89=1,IF(HU89=1,JW89+JZ89,BW89-PS89)*(1+Slot6_Rate),0)</f>
        <v>0</v>
      </c>
      <c r="RH89" s="20" t="n">
        <f aca="false">IF(AND(HU89=1,BV89=1),(JV89+JZ89)/F89,0)</f>
        <v>0</v>
      </c>
      <c r="RI89" s="20" t="n">
        <f aca="false">IF(B89=0,JV89+JZ89,0)</f>
        <v>0</v>
      </c>
      <c r="RJ89" s="20" t="n">
        <f aca="false">IF(B89=0,IF(HU89=1,JX89,JY89),0)</f>
        <v>0</v>
      </c>
      <c r="RK89" s="20" t="n">
        <f aca="false">IF(CF89=1,IF(HU89=1,KE89+KH89,CG89-PQ89)*(1+Slot7_Rate),0)</f>
        <v>0</v>
      </c>
      <c r="RL89" s="20" t="n">
        <f aca="false">IF(AND(HU89=1,CF89=1),(KD89+KH89)/F89,0)</f>
        <v>0</v>
      </c>
      <c r="RM89" s="20" t="n">
        <f aca="false">IF(B89=0,KD89+KH89,0)</f>
        <v>0</v>
      </c>
      <c r="RN89" s="20" t="n">
        <f aca="false">IF(B89=0,IF(HU89=1,KF89,KG89),0)</f>
        <v>0</v>
      </c>
      <c r="RO89" s="20" t="n">
        <f aca="false">IF(CP89=1,IF(HU89=1,KM89+KP89,CQ89-PO89)*(1+Slot8_Rate),0)</f>
        <v>0</v>
      </c>
      <c r="RP89" s="20" t="n">
        <f aca="false">IF(AND(HU89=1,CP89=1),(KL89+KP89)/F89,0)</f>
        <v>0</v>
      </c>
      <c r="RQ89" s="20" t="n">
        <f aca="false">IF(B89=0,KL89+KP89,0)</f>
        <v>0</v>
      </c>
      <c r="RR89" s="20" t="n">
        <f aca="false">IF(B89=0,IF(HU89=1,KN89,KO89),0)</f>
        <v>0</v>
      </c>
      <c r="RS89" s="20" t="n">
        <f aca="false">IF(CZ89=1,IF(HU89=1,KU89+KX89,DA89-PM89)*(1+Slot9_Rate),0)</f>
        <v>0</v>
      </c>
      <c r="RT89" s="20" t="n">
        <f aca="false">IF(AND(HU89=1,CZ89=1),(KT89+KX89)/F89,0)</f>
        <v>0</v>
      </c>
      <c r="RU89" s="20" t="n">
        <f aca="false">IF(B89=0,KT89+KX89,0)</f>
        <v>0</v>
      </c>
      <c r="RV89" s="20" t="n">
        <f aca="false">IF(B89=0,IF(HU89=1,KV89,KW89),0)</f>
        <v>0</v>
      </c>
      <c r="RW89" s="20" t="n">
        <f aca="false">IF(DJ89=1,IF(HU89=1,LC89+LF89,DK89-PK89)*(1+Slot10_Rate),0)</f>
        <v>0</v>
      </c>
      <c r="RX89" s="20" t="n">
        <f aca="false">IF(AND(HU89=1,DJ89=1),(LB89+LF89)/F89,0)</f>
        <v>0</v>
      </c>
      <c r="RY89" s="20" t="n">
        <f aca="false">IF(B89=0,LB89+LF89,0)</f>
        <v>0</v>
      </c>
      <c r="RZ89" s="20" t="n">
        <f aca="false">IF(B89=0,IF(HU89=1,LD89,LE89),0)</f>
        <v>0</v>
      </c>
      <c r="SA89" s="20" t="n">
        <f aca="false">IF(DT89=1,IF(HU89=1,LK89+LN89,DU89-PI89)*(1+Slot11_Rate),0)</f>
        <v>0</v>
      </c>
      <c r="SB89" s="20" t="n">
        <f aca="false">IF(AND(HU89=1,DT89=1),(LJ89+LN89)/F89,0)</f>
        <v>0</v>
      </c>
      <c r="SC89" s="20" t="n">
        <f aca="false">IF(B89=0,LJ89+LN89,0)</f>
        <v>0</v>
      </c>
      <c r="SD89" s="20" t="n">
        <f aca="false">IF(B89=0,IF(HU89=1,LL89,LM89),0)</f>
        <v>0</v>
      </c>
      <c r="SE89" s="20" t="n">
        <f aca="false">IF(ED89=1,IF(HU89=1,LS89+LV89,EE89-PG89)*(1+Slot12_Rate),0)</f>
        <v>0</v>
      </c>
      <c r="SF89" s="20" t="n">
        <f aca="false">IF(AND(HU89=1,ED89=1),(LR89+LV89)/F89,0)</f>
        <v>0</v>
      </c>
      <c r="SG89" s="20" t="n">
        <f aca="false">IF(B89=0,LR89+LV89,0)</f>
        <v>0</v>
      </c>
      <c r="SH89" s="20" t="n">
        <f aca="false">IF(B89=0,IF(HU89=1,LT89,LU89),0)</f>
        <v>0</v>
      </c>
      <c r="SI89" s="20" t="n">
        <f aca="false">IF(EN89=1,IF(HU89=1,MA89+MD89,EO89-PE89)*(1+Slot13_Rate),0)</f>
        <v>0</v>
      </c>
      <c r="SJ89" s="20" t="n">
        <f aca="false">IF(AND(HU89=1,EN89=1),(LZ89+MD89)/F89,0)</f>
        <v>0</v>
      </c>
      <c r="SK89" s="20" t="n">
        <f aca="false">IF(B89=0,LZ89+MD89,0)</f>
        <v>0</v>
      </c>
      <c r="SL89" s="20" t="n">
        <f aca="false">IF(B89=0,IF(HU89=1,MB89,MC89),0)</f>
        <v>0</v>
      </c>
      <c r="SM89" s="20" t="n">
        <f aca="false">IF(EX89=1,IF(HU89=1,MI89+ML89,EY89-PC89)*(1+Slot14_Rate),0)</f>
        <v>0</v>
      </c>
      <c r="SN89" s="20" t="n">
        <f aca="false">IF(AND(HU89=1,EX89=1),(MH89+ML89)/F89,0)</f>
        <v>0</v>
      </c>
      <c r="SO89" s="20" t="n">
        <f aca="false">IF(B89=0,MH89+ML89,0)</f>
        <v>0</v>
      </c>
      <c r="SP89" s="20" t="n">
        <f aca="false">IF(B89=0,IF(HU89=1,MJ89,MK89),0)</f>
        <v>0</v>
      </c>
      <c r="SQ89" s="20" t="n">
        <f aca="false">IF(FH89=1,IF(HU89=1,MQ89+MT89,FI89-PA89)*(1+Slot15_Rate),0)</f>
        <v>0</v>
      </c>
      <c r="SR89" s="20" t="n">
        <f aca="false">IF(AND(HU89=1,FH89=1),(MP89+MT89)/F89,0)</f>
        <v>0</v>
      </c>
      <c r="SS89" s="20" t="n">
        <f aca="false">IF(B89=0,MP89+MT89,0)</f>
        <v>0</v>
      </c>
      <c r="ST89" s="20" t="n">
        <f aca="false">IF(B89=0,IF(HU89=1,MR89,MS89),0)</f>
        <v>0</v>
      </c>
      <c r="SU89" s="20" t="n">
        <f aca="false">IF(FR89=1,IF(HU89=1,MY89+NB89,FS89-OY89)*(1+Slot16_Rate),0)</f>
        <v>0</v>
      </c>
      <c r="SV89" s="20" t="n">
        <f aca="false">IF(AND(HU89=1,FR89=1),(MX89+NB89)/F89,0)</f>
        <v>0</v>
      </c>
      <c r="SW89" s="20" t="n">
        <f aca="false">IF(B89=0,MX89+NB89,0)</f>
        <v>0</v>
      </c>
      <c r="SX89" s="20" t="n">
        <f aca="false">IF(B89=0,IF(HU89=1,MZ89,NA89),0)</f>
        <v>0</v>
      </c>
      <c r="SY89" s="20" t="n">
        <f aca="false">IF(GB89=1,IF(HU89=1,NG89+NJ89,GC89-OW89)*(1+Slot17_Rate),0)</f>
        <v>0</v>
      </c>
      <c r="SZ89" s="20" t="n">
        <f aca="false">IF(AND(HU89=1,GB89=1),(NF89+NJ89)/F89,0)</f>
        <v>0</v>
      </c>
      <c r="TA89" s="20" t="n">
        <f aca="false">IF(B89=0,NF89+NJ89,0)</f>
        <v>0</v>
      </c>
      <c r="TB89" s="20" t="n">
        <f aca="false">IF(B89=0,IF(HU89=1,NH89,NI89),0)</f>
        <v>0</v>
      </c>
      <c r="TC89" s="20" t="n">
        <f aca="false">IF(GL89=1,IF(HU89=1,NO89+NR89,GM89-OU89)*(1+Slot18_Rate),0)</f>
        <v>0</v>
      </c>
      <c r="TD89" s="20" t="n">
        <f aca="false">IF(AND(HU89=1,GL89=1),(NN89+NR89)/F89,0)</f>
        <v>0</v>
      </c>
      <c r="TE89" s="20" t="n">
        <f aca="false">IF(B89=0,NN89+NR89,0)</f>
        <v>0</v>
      </c>
      <c r="TF89" s="20" t="n">
        <f aca="false">IF(B89=0,IF(HU89=1,NP89,NQ89),0)</f>
        <v>0</v>
      </c>
      <c r="TG89" s="20" t="n">
        <f aca="false">IF(GV89=1,IF(HU89=1,NW89+NZ89,GW89-OS89)*(1+Slot19_Rate),0)</f>
        <v>0</v>
      </c>
      <c r="TH89" s="20" t="n">
        <f aca="false">IF(AND(HU89=1,GV89=1),(NV89+NZ89)/F89,0)</f>
        <v>0</v>
      </c>
      <c r="TI89" s="20" t="n">
        <f aca="false">IF(B89=0,NV89+NZ89,0)</f>
        <v>0</v>
      </c>
      <c r="TJ89" s="20" t="n">
        <f aca="false">IF(B89=0,IF(HU89=1,NX89,NY89),0)</f>
        <v>0</v>
      </c>
      <c r="TK89" s="20" t="n">
        <f aca="false">IF(HF89=1,IF(HU89=1,OE89+OH89,HG89-OQ89)*(1+Slot20_Rate),0)</f>
        <v>0</v>
      </c>
      <c r="TL89" s="20" t="n">
        <f aca="false">IF(AND(HU89=1,HF89=1),(OD89+OH89)/F89,0)</f>
        <v>0</v>
      </c>
      <c r="TM89" s="20" t="n">
        <f aca="false">IF(B89=0,OD89+OH89,0)</f>
        <v>0</v>
      </c>
      <c r="TN89" s="20" t="n">
        <f aca="false">IF(B89=0,IF(HU89=1,OF89,OG89),0)</f>
        <v>0</v>
      </c>
      <c r="TO89" s="20" t="n">
        <f aca="false">QK89+QL89+QM89+QQ89+QU89+QY89+RC89+RG89+RK89+RO89+RS89+RW89+SA89+SE89+SI89+SM89+SQ89+SU89+SY89+TC89+TG89+TK89</f>
        <v>0</v>
      </c>
      <c r="TP89" s="20" t="n">
        <f aca="false">QE89+HP89</f>
        <v>95806.4279819695</v>
      </c>
      <c r="TQ89" s="20" t="n">
        <f aca="false">I89+S89</f>
        <v>237706.911494636</v>
      </c>
      <c r="TR89" s="20" t="n">
        <f aca="false">1-G89</f>
        <v>1</v>
      </c>
      <c r="TS89" s="20" t="n">
        <f aca="false">IF(AND(RG_Exists=1,G89=0,C89=1),I89,0)</f>
        <v>0</v>
      </c>
      <c r="TT89" s="20" t="n">
        <f aca="false">IF(AND(RG_Exists=1,G89=0,C89=1),I89-MIN(QE89,I89),0)</f>
        <v>0</v>
      </c>
      <c r="TU89" s="20" t="n">
        <f aca="false">'Plan pay &amp; tax'!AD315</f>
        <v>0</v>
      </c>
      <c r="TV89" s="20" t="n">
        <f aca="false">IF(AND(C89=1,QE89&gt;MAX(PR_Short1,TQ89*PR_Short2)),1,0)</f>
        <v>0</v>
      </c>
      <c r="TW89" s="20" t="n">
        <f aca="false">MIN(H89,I89+S89)</f>
        <v>141900.483512666</v>
      </c>
      <c r="TX89" s="20" t="n">
        <f aca="false">QF89+MAX(0,HQ89-HP89)</f>
        <v>0</v>
      </c>
      <c r="TY89" s="20" t="n">
        <f aca="false">QE89+HP89</f>
        <v>95806.4279819695</v>
      </c>
      <c r="TZ89" s="20" t="n">
        <f aca="false">IF(AND(C89=1,TY89&gt;PR_MinShort),1,0)</f>
        <v>0</v>
      </c>
      <c r="UA89" s="20" t="n">
        <f aca="false">IF(AND(C89=1,TZ89=0,TX89&gt;PR_MinShort),1,0)</f>
        <v>0</v>
      </c>
      <c r="UB89" s="20" t="n">
        <f aca="false">IF(AND(C89=1,QE89&gt;PR_MinShort),1,0)</f>
        <v>0</v>
      </c>
      <c r="UC89" s="20" t="n">
        <f aca="false">IF(AND(C89=1,QF89&gt;1,UJ89=0),1,0)</f>
        <v>0</v>
      </c>
      <c r="UD89" s="20" t="str">
        <f aca="false">IF(C89=0,"",IF(UJ89=1,"Gap to plan for: short "&amp;"€"&amp;TEXT(ROUND(TP89,0),"#,##0"),IF(QF89&gt;1,"Using savings","Comfortable")))</f>
        <v/>
      </c>
      <c r="UE89" s="20" t="n">
        <f aca="false">IF(AND(INT(D89/10)*10=90,B89&gt;0),80,INT(D89/10)*10)</f>
        <v>110</v>
      </c>
      <c r="UF89" s="20" t="n">
        <f aca="false">IF(B89=0,1,IF(UE89&lt;&gt;UE88,UF88+1,UF88))</f>
        <v>8</v>
      </c>
      <c r="UG89" s="20" t="n">
        <f aca="false">IF(AND(C89=1,G89=1,QE89&gt;MAX(PR_Short1,TQ89*PR_Short2)),1,0)</f>
        <v>0</v>
      </c>
      <c r="UH89" s="20" t="n">
        <f aca="false">TR89*TV89</f>
        <v>0</v>
      </c>
      <c r="UI89" s="20" t="n">
        <f aca="false">IF(AND(V89=1,Slot1_PctLow=1),1,0)+IF(AND(AG89=1,Slot2_PctLow=1),1,0)+IF(AND(AQ89=1,Slot3_PctLow=1),1,0)+IF(AND(BA89=1,Slot4_PctLow=1),1,0)+IF(AND(BK89=1,Slot5_PctLow=1),1,0)+IF(AND(BU89=1,Slot6_PctLow=1),1,0)+IF(AND(CE89=1,Slot7_PctLow=1),1,0)+IF(AND(CO89=1,Slot8_PctLow=1),1,0)+IF(AND(CY89=1,Slot9_PctLow=1),1,0)+IF(AND(DI89=1,Slot10_PctLow=1),1,0)+IF(AND(DS89=1,Slot11_PctLow=1),1,0)+IF(AND(EC89=1,Slot12_PctLow=1),1,0)+IF(AND(EM89=1,Slot13_PctLow=1),1,0)+IF(AND(EW89=1,Slot14_PctLow=1),1,0)+IF(AND(FG89=1,Slot15_PctLow=1),1,0)+IF(AND(FQ89=1,Slot16_PctLow=1),1,0)+IF(AND(GA89=1,Slot17_PctLow=1),1,0)+IF(AND(GK89=1,Slot18_PctLow=1),1,0)+IF(AND(GU89=1,Slot19_PctLow=1),1,0)+IF(AND(HE89=1,Slot20_PctLow=1),1,0)</f>
        <v>0</v>
      </c>
      <c r="UJ89" s="20" t="n">
        <f aca="false">IF(C89=1,IF(OR(TV89=1,UI89&gt;0),1,0),0)</f>
        <v>0</v>
      </c>
    </row>
    <row r="90" customFormat="false" ht="15" hidden="false" customHeight="true" outlineLevel="0" collapsed="false">
      <c r="B90" s="20" t="n">
        <v>82</v>
      </c>
      <c r="C90" s="20" t="n">
        <f aca="false">IF(B90&lt;=F_N,1,0)</f>
        <v>0</v>
      </c>
      <c r="D90" s="20" t="n">
        <f aca="false">'Plan pay &amp; tax'!C316</f>
        <v>120</v>
      </c>
      <c r="E90" s="20" t="str">
        <f aca="false">IF($C90=1,"Income tax "&amp;TEXT(N('Plan pay &amp; tax'!BK316),"#,##0")&amp;"; USC "&amp;TEXT(N('Plan pay &amp; tax'!BM316)+N('Plan pay &amp; tax'!BO316),"#,##0")&amp;"; PRSI "&amp;TEXT(N('Plan pay &amp; tax'!BP316)+N('Plan pay &amp; tax'!BQ316),"#,##0")&amp;". DIRT and exit tax are inside the growth rates here.","")</f>
        <v/>
      </c>
      <c r="F90" s="44" t="n">
        <f aca="false">'Plan pay &amp; tax'!E316</f>
        <v>5.07240689800269</v>
      </c>
      <c r="G90" s="20" t="n">
        <f aca="false">'Plan pay &amp; tax'!G316</f>
        <v>0</v>
      </c>
      <c r="H90" s="20" t="n">
        <f aca="false">'Plan pay &amp; tax'!BT316-'Plan pay &amp; tax'!BS316-'Plan pay &amp; tax'!R316</f>
        <v>144738.49318292</v>
      </c>
      <c r="I90" s="20" t="n">
        <f aca="false">IF(G90=1,F_CostsM*12,IF(RG_Exists=1,RG_Amount,F_CostsM*12*AS_RetireSpend))*F90+F_OneOffY*F90</f>
        <v>242461.049724529</v>
      </c>
      <c r="J90" s="20" t="n">
        <f aca="false">HR89</f>
        <v>0</v>
      </c>
      <c r="K90" s="20" t="n">
        <f aca="false">IF(J90&gt;1,'Plan debt months'!AC90,0)</f>
        <v>0</v>
      </c>
      <c r="L90" s="20" t="n">
        <f aca="false">IF(J90&gt;1,'Plan debt months'!AB90,J90)</f>
        <v>0</v>
      </c>
      <c r="M90" s="20" t="n">
        <f aca="false">O89</f>
        <v>0</v>
      </c>
      <c r="N90" s="20" t="n">
        <f aca="false">IF(M90&gt;1,'Plan debt months'!BD90,0)</f>
        <v>0</v>
      </c>
      <c r="O90" s="20" t="n">
        <f aca="false">IF(M90&gt;1,'Plan debt months'!BC90,M90)</f>
        <v>0</v>
      </c>
      <c r="P90" s="20" t="n">
        <f aca="false">R89</f>
        <v>0</v>
      </c>
      <c r="Q90" s="20" t="n">
        <f aca="false">IF(P90&gt;1,'Plan debt months'!CE90,0)</f>
        <v>0</v>
      </c>
      <c r="R90" s="20" t="n">
        <f aca="false">IF(P90&gt;1,'Plan debt months'!CD90,P90)</f>
        <v>0</v>
      </c>
      <c r="S90" s="20" t="n">
        <f aca="false">K90+N90+Q90</f>
        <v>0</v>
      </c>
      <c r="T90" s="20" t="n">
        <f aca="false">QK89+'Plan pay &amp; tax'!Y316</f>
        <v>0</v>
      </c>
      <c r="U90" s="20" t="n">
        <f aca="false">QK89</f>
        <v>0</v>
      </c>
      <c r="V90" s="20" t="n">
        <f aca="false">IF(AND(Slot1_On=1,D90=Slot1_Age),1,0)</f>
        <v>0</v>
      </c>
      <c r="W90" s="20" t="n">
        <f aca="false">IF(AND(Slot1_On=1,Slot1_Age&gt;D90),1,0)</f>
        <v>0</v>
      </c>
      <c r="X90" s="20" t="n">
        <f aca="false">QM89</f>
        <v>0</v>
      </c>
      <c r="Y90" s="20" t="n">
        <f aca="false">V90*MIN(Slot1_Cost,X90)</f>
        <v>0</v>
      </c>
      <c r="Z90" s="20" t="n">
        <f aca="false">V90*Slot1_SpendLike*MIN(Slot1_Cost-Y90,T90)</f>
        <v>0</v>
      </c>
      <c r="AA90" s="20" t="n">
        <f aca="false">Y90+Z90</f>
        <v>0</v>
      </c>
      <c r="AB90" s="20" t="n">
        <f aca="false">T90-Z90+V90*IF(Slot1_SpendLike=1,X90-Y90,IF(Slot1_PotFree=1,X90,0))</f>
        <v>0</v>
      </c>
      <c r="AC90" s="20" t="n">
        <f aca="false">AF90+V90*Slot1_BufPot*X90</f>
        <v>0</v>
      </c>
      <c r="AD90" s="20" t="n">
        <f aca="false">IF(AND(V90=1,Slot1_IsMfree=1),IF(AA90&gt;=Slot1_Cost-1,0,MAX(0,L90-AA90)),L90)</f>
        <v>0</v>
      </c>
      <c r="AE90" s="20" t="n">
        <f aca="false">V90*(Slot1_Cost-AA90)</f>
        <v>0</v>
      </c>
      <c r="AF90" s="20" t="n">
        <f aca="false">QL89</f>
        <v>0</v>
      </c>
      <c r="AG90" s="20" t="n">
        <f aca="false">IF(AND(Slot2_On=1,D90=Slot2_Age),1,0)</f>
        <v>0</v>
      </c>
      <c r="AH90" s="20" t="n">
        <f aca="false">IF(AND(Slot2_On=1,Slot2_Age&gt;D90),1,0)</f>
        <v>0</v>
      </c>
      <c r="AI90" s="20" t="n">
        <f aca="false">QQ89</f>
        <v>0</v>
      </c>
      <c r="AJ90" s="20" t="n">
        <f aca="false">AG90*MIN(Slot2_Cost,AI90)</f>
        <v>0</v>
      </c>
      <c r="AK90" s="20" t="n">
        <f aca="false">AG90*Slot2_SpendLike*MIN(Slot2_Cost-AJ90,AB90)</f>
        <v>0</v>
      </c>
      <c r="AL90" s="20" t="n">
        <f aca="false">AJ90+AK90</f>
        <v>0</v>
      </c>
      <c r="AM90" s="20" t="n">
        <f aca="false">AB90-AK90+AG90*IF(Slot2_SpendLike=1,AI90-AJ90,IF(Slot2_PotFree=1,AI90,0))</f>
        <v>0</v>
      </c>
      <c r="AN90" s="20" t="n">
        <f aca="false">AC90+AG90*Slot2_BufPot*AI90</f>
        <v>0</v>
      </c>
      <c r="AO90" s="20" t="n">
        <f aca="false">IF(AND(AG90=1,Slot2_IsMfree=1),IF(AL90&gt;=Slot2_Cost-1,0,MAX(0,AD90-AL90)),AD90)</f>
        <v>0</v>
      </c>
      <c r="AP90" s="20" t="n">
        <f aca="false">AG90*(Slot2_Cost-AL90)</f>
        <v>0</v>
      </c>
      <c r="AQ90" s="20" t="n">
        <f aca="false">IF(AND(Slot3_On=1,D90=Slot3_Age),1,0)</f>
        <v>0</v>
      </c>
      <c r="AR90" s="20" t="n">
        <f aca="false">IF(AND(Slot3_On=1,Slot3_Age&gt;D90),1,0)</f>
        <v>0</v>
      </c>
      <c r="AS90" s="20" t="n">
        <f aca="false">QU89</f>
        <v>0</v>
      </c>
      <c r="AT90" s="20" t="n">
        <f aca="false">AQ90*MIN(Slot3_Cost,AS90)</f>
        <v>0</v>
      </c>
      <c r="AU90" s="20" t="n">
        <f aca="false">AQ90*Slot3_SpendLike*MIN(Slot3_Cost-AT90,AM90)</f>
        <v>0</v>
      </c>
      <c r="AV90" s="20" t="n">
        <f aca="false">AT90+AU90</f>
        <v>0</v>
      </c>
      <c r="AW90" s="20" t="n">
        <f aca="false">AM90-AU90+AQ90*IF(Slot3_SpendLike=1,AS90-AT90,IF(Slot3_PotFree=1,AS90,0))</f>
        <v>0</v>
      </c>
      <c r="AX90" s="20" t="n">
        <f aca="false">AN90+AQ90*Slot3_BufPot*AS90</f>
        <v>0</v>
      </c>
      <c r="AY90" s="20" t="n">
        <f aca="false">IF(AND(AQ90=1,Slot3_IsMfree=1),IF(AV90&gt;=Slot3_Cost-1,0,MAX(0,AO90-AV90)),AO90)</f>
        <v>0</v>
      </c>
      <c r="AZ90" s="20" t="n">
        <f aca="false">AQ90*(Slot3_Cost-AV90)</f>
        <v>0</v>
      </c>
      <c r="BA90" s="20" t="n">
        <f aca="false">IF(AND(Slot4_On=1,D90=Slot4_Age),1,0)</f>
        <v>0</v>
      </c>
      <c r="BB90" s="20" t="n">
        <f aca="false">IF(AND(Slot4_On=1,Slot4_Age&gt;D90),1,0)</f>
        <v>0</v>
      </c>
      <c r="BC90" s="20" t="n">
        <f aca="false">QY89</f>
        <v>0</v>
      </c>
      <c r="BD90" s="20" t="n">
        <f aca="false">BA90*MIN(Slot4_Cost,BC90)</f>
        <v>0</v>
      </c>
      <c r="BE90" s="20" t="n">
        <f aca="false">BA90*Slot4_SpendLike*MIN(Slot4_Cost-BD90,AW90)</f>
        <v>0</v>
      </c>
      <c r="BF90" s="20" t="n">
        <f aca="false">BD90+BE90</f>
        <v>0</v>
      </c>
      <c r="BG90" s="20" t="n">
        <f aca="false">AW90-BE90+BA90*IF(Slot4_SpendLike=1,BC90-BD90,IF(Slot4_PotFree=1,BC90,0))</f>
        <v>0</v>
      </c>
      <c r="BH90" s="20" t="n">
        <f aca="false">AX90+BA90*Slot4_BufPot*BC90</f>
        <v>0</v>
      </c>
      <c r="BI90" s="20" t="n">
        <f aca="false">IF(AND(BA90=1,Slot4_IsMfree=1),IF(BF90&gt;=Slot4_Cost-1,0,MAX(0,AY90-BF90)),AY90)</f>
        <v>0</v>
      </c>
      <c r="BJ90" s="20" t="n">
        <f aca="false">BA90*(Slot4_Cost-BF90)</f>
        <v>0</v>
      </c>
      <c r="BK90" s="20" t="n">
        <f aca="false">IF(AND(Slot5_On=1,D90=Slot5_Age),1,0)</f>
        <v>0</v>
      </c>
      <c r="BL90" s="20" t="n">
        <f aca="false">IF(AND(Slot5_On=1,Slot5_Age&gt;D90),1,0)</f>
        <v>0</v>
      </c>
      <c r="BM90" s="20" t="n">
        <f aca="false">RC89</f>
        <v>0</v>
      </c>
      <c r="BN90" s="20" t="n">
        <f aca="false">BK90*MIN(Slot5_Cost,BM90)</f>
        <v>0</v>
      </c>
      <c r="BO90" s="20" t="n">
        <f aca="false">BK90*Slot5_SpendLike*MIN(Slot5_Cost-BN90,BG90)</f>
        <v>0</v>
      </c>
      <c r="BP90" s="20" t="n">
        <f aca="false">BN90+BO90</f>
        <v>0</v>
      </c>
      <c r="BQ90" s="20" t="n">
        <f aca="false">BG90-BO90+BK90*IF(Slot5_SpendLike=1,BM90-BN90,IF(Slot5_PotFree=1,BM90,0))</f>
        <v>0</v>
      </c>
      <c r="BR90" s="20" t="n">
        <f aca="false">BH90+BK90*Slot5_BufPot*BM90</f>
        <v>0</v>
      </c>
      <c r="BS90" s="20" t="n">
        <f aca="false">IF(AND(BK90=1,Slot5_IsMfree=1),IF(BP90&gt;=Slot5_Cost-1,0,MAX(0,BI90-BP90)),BI90)</f>
        <v>0</v>
      </c>
      <c r="BT90" s="20" t="n">
        <f aca="false">BK90*(Slot5_Cost-BP90)</f>
        <v>0</v>
      </c>
      <c r="BU90" s="20" t="n">
        <f aca="false">IF(AND(Slot6_On=1,D90=Slot6_Age),1,0)</f>
        <v>0</v>
      </c>
      <c r="BV90" s="20" t="n">
        <f aca="false">IF(AND(Slot6_On=1,Slot6_Age&gt;D90),1,0)</f>
        <v>0</v>
      </c>
      <c r="BW90" s="20" t="n">
        <f aca="false">RG89</f>
        <v>0</v>
      </c>
      <c r="BX90" s="20" t="n">
        <f aca="false">BU90*MIN(Slot6_Cost,BW90)</f>
        <v>0</v>
      </c>
      <c r="BY90" s="20" t="n">
        <f aca="false">BU90*Slot6_SpendLike*MIN(Slot6_Cost-BX90,BQ90)</f>
        <v>0</v>
      </c>
      <c r="BZ90" s="20" t="n">
        <f aca="false">BX90+BY90</f>
        <v>0</v>
      </c>
      <c r="CA90" s="20" t="n">
        <f aca="false">BQ90-BY90+BU90*IF(Slot6_SpendLike=1,BW90-BX90,IF(Slot6_PotFree=1,BW90,0))</f>
        <v>0</v>
      </c>
      <c r="CB90" s="20" t="n">
        <f aca="false">BR90+BU90*Slot6_BufPot*BW90</f>
        <v>0</v>
      </c>
      <c r="CC90" s="20" t="n">
        <f aca="false">IF(AND(BU90=1,Slot6_IsMfree=1),IF(BZ90&gt;=Slot6_Cost-1,0,MAX(0,BS90-BZ90)),BS90)</f>
        <v>0</v>
      </c>
      <c r="CD90" s="20" t="n">
        <f aca="false">BU90*(Slot6_Cost-BZ90)</f>
        <v>0</v>
      </c>
      <c r="CE90" s="20" t="n">
        <f aca="false">IF(AND(Slot7_On=1,D90=Slot7_Age),1,0)</f>
        <v>0</v>
      </c>
      <c r="CF90" s="20" t="n">
        <f aca="false">IF(AND(Slot7_On=1,Slot7_Age&gt;D90),1,0)</f>
        <v>0</v>
      </c>
      <c r="CG90" s="20" t="n">
        <f aca="false">RK89</f>
        <v>0</v>
      </c>
      <c r="CH90" s="20" t="n">
        <f aca="false">CE90*MIN(Slot7_Cost,CG90)</f>
        <v>0</v>
      </c>
      <c r="CI90" s="20" t="n">
        <f aca="false">CE90*Slot7_SpendLike*MIN(Slot7_Cost-CH90,CA90)</f>
        <v>0</v>
      </c>
      <c r="CJ90" s="20" t="n">
        <f aca="false">CH90+CI90</f>
        <v>0</v>
      </c>
      <c r="CK90" s="20" t="n">
        <f aca="false">CA90-CI90+CE90*IF(Slot7_SpendLike=1,CG90-CH90,IF(Slot7_PotFree=1,CG90,0))</f>
        <v>0</v>
      </c>
      <c r="CL90" s="20" t="n">
        <f aca="false">CB90+CE90*Slot7_BufPot*CG90</f>
        <v>0</v>
      </c>
      <c r="CM90" s="20" t="n">
        <f aca="false">IF(AND(CE90=1,Slot7_IsMfree=1),IF(CJ90&gt;=Slot7_Cost-1,0,MAX(0,CC90-CJ90)),CC90)</f>
        <v>0</v>
      </c>
      <c r="CN90" s="20" t="n">
        <f aca="false">CE90*(Slot7_Cost-CJ90)</f>
        <v>0</v>
      </c>
      <c r="CO90" s="20" t="n">
        <f aca="false">IF(AND(Slot8_On=1,D90=Slot8_Age),1,0)</f>
        <v>0</v>
      </c>
      <c r="CP90" s="20" t="n">
        <f aca="false">IF(AND(Slot8_On=1,Slot8_Age&gt;D90),1,0)</f>
        <v>0</v>
      </c>
      <c r="CQ90" s="20" t="n">
        <f aca="false">RO89</f>
        <v>0</v>
      </c>
      <c r="CR90" s="20" t="n">
        <f aca="false">CO90*MIN(Slot8_Cost,CQ90)</f>
        <v>0</v>
      </c>
      <c r="CS90" s="20" t="n">
        <f aca="false">CO90*Slot8_SpendLike*MIN(Slot8_Cost-CR90,CK90)</f>
        <v>0</v>
      </c>
      <c r="CT90" s="20" t="n">
        <f aca="false">CR90+CS90</f>
        <v>0</v>
      </c>
      <c r="CU90" s="20" t="n">
        <f aca="false">CK90-CS90+CO90*IF(Slot8_SpendLike=1,CQ90-CR90,IF(Slot8_PotFree=1,CQ90,0))</f>
        <v>0</v>
      </c>
      <c r="CV90" s="20" t="n">
        <f aca="false">CL90+CO90*Slot8_BufPot*CQ90</f>
        <v>0</v>
      </c>
      <c r="CW90" s="20" t="n">
        <f aca="false">IF(AND(CO90=1,Slot8_IsMfree=1),IF(CT90&gt;=Slot8_Cost-1,0,MAX(0,CM90-CT90)),CM90)</f>
        <v>0</v>
      </c>
      <c r="CX90" s="20" t="n">
        <f aca="false">CO90*(Slot8_Cost-CT90)</f>
        <v>0</v>
      </c>
      <c r="CY90" s="20" t="n">
        <f aca="false">IF(AND(Slot9_On=1,D90=Slot9_Age),1,0)</f>
        <v>0</v>
      </c>
      <c r="CZ90" s="20" t="n">
        <f aca="false">IF(AND(Slot9_On=1,Slot9_Age&gt;D90),1,0)</f>
        <v>0</v>
      </c>
      <c r="DA90" s="20" t="n">
        <f aca="false">RS89</f>
        <v>0</v>
      </c>
      <c r="DB90" s="20" t="n">
        <f aca="false">CY90*MIN(Slot9_Cost,DA90)</f>
        <v>0</v>
      </c>
      <c r="DC90" s="20" t="n">
        <f aca="false">CY90*Slot9_SpendLike*MIN(Slot9_Cost-DB90,CU90)</f>
        <v>0</v>
      </c>
      <c r="DD90" s="20" t="n">
        <f aca="false">DB90+DC90</f>
        <v>0</v>
      </c>
      <c r="DE90" s="20" t="n">
        <f aca="false">CU90-DC90+CY90*IF(Slot9_SpendLike=1,DA90-DB90,IF(Slot9_PotFree=1,DA90,0))</f>
        <v>0</v>
      </c>
      <c r="DF90" s="20" t="n">
        <f aca="false">CV90+CY90*Slot9_BufPot*DA90</f>
        <v>0</v>
      </c>
      <c r="DG90" s="20" t="n">
        <f aca="false">IF(AND(CY90=1,Slot9_IsMfree=1),IF(DD90&gt;=Slot9_Cost-1,0,MAX(0,CW90-DD90)),CW90)</f>
        <v>0</v>
      </c>
      <c r="DH90" s="20" t="n">
        <f aca="false">CY90*(Slot9_Cost-DD90)</f>
        <v>0</v>
      </c>
      <c r="DI90" s="20" t="n">
        <f aca="false">IF(AND(Slot10_On=1,D90=Slot10_Age),1,0)</f>
        <v>0</v>
      </c>
      <c r="DJ90" s="20" t="n">
        <f aca="false">IF(AND(Slot10_On=1,Slot10_Age&gt;D90),1,0)</f>
        <v>0</v>
      </c>
      <c r="DK90" s="20" t="n">
        <f aca="false">RW89</f>
        <v>0</v>
      </c>
      <c r="DL90" s="20" t="n">
        <f aca="false">DI90*MIN(Slot10_Cost,DK90)</f>
        <v>0</v>
      </c>
      <c r="DM90" s="20" t="n">
        <f aca="false">DI90*Slot10_SpendLike*MIN(Slot10_Cost-DL90,DE90)</f>
        <v>0</v>
      </c>
      <c r="DN90" s="20" t="n">
        <f aca="false">DL90+DM90</f>
        <v>0</v>
      </c>
      <c r="DO90" s="20" t="n">
        <f aca="false">DE90-DM90+DI90*IF(Slot10_SpendLike=1,DK90-DL90,IF(Slot10_PotFree=1,DK90,0))</f>
        <v>0</v>
      </c>
      <c r="DP90" s="20" t="n">
        <f aca="false">DF90+DI90*Slot10_BufPot*DK90</f>
        <v>0</v>
      </c>
      <c r="DQ90" s="20" t="n">
        <f aca="false">IF(AND(DI90=1,Slot10_IsMfree=1),IF(DN90&gt;=Slot10_Cost-1,0,MAX(0,DG90-DN90)),DG90)</f>
        <v>0</v>
      </c>
      <c r="DR90" s="20" t="n">
        <f aca="false">DI90*(Slot10_Cost-DN90)</f>
        <v>0</v>
      </c>
      <c r="DS90" s="20" t="n">
        <f aca="false">IF(AND(Slot11_On=1,D90=Slot11_Age),1,0)</f>
        <v>0</v>
      </c>
      <c r="DT90" s="20" t="n">
        <f aca="false">IF(AND(Slot11_On=1,Slot11_Age&gt;D90),1,0)</f>
        <v>0</v>
      </c>
      <c r="DU90" s="20" t="n">
        <f aca="false">SA89</f>
        <v>0</v>
      </c>
      <c r="DV90" s="20" t="n">
        <f aca="false">DS90*MIN(Slot11_Cost,DU90)</f>
        <v>0</v>
      </c>
      <c r="DW90" s="20" t="n">
        <f aca="false">DS90*Slot11_SpendLike*MIN(Slot11_Cost-DV90,DO90)</f>
        <v>0</v>
      </c>
      <c r="DX90" s="20" t="n">
        <f aca="false">DV90+DW90</f>
        <v>0</v>
      </c>
      <c r="DY90" s="20" t="n">
        <f aca="false">DO90-DW90+DS90*IF(Slot11_SpendLike=1,DU90-DV90,IF(Slot11_PotFree=1,DU90,0))</f>
        <v>0</v>
      </c>
      <c r="DZ90" s="20" t="n">
        <f aca="false">DP90+DS90*Slot11_BufPot*DU90</f>
        <v>0</v>
      </c>
      <c r="EA90" s="20" t="n">
        <f aca="false">IF(AND(DS90=1,Slot11_IsMfree=1),IF(DX90&gt;=Slot11_Cost-1,0,MAX(0,DQ90-DX90)),DQ90)</f>
        <v>0</v>
      </c>
      <c r="EB90" s="20" t="n">
        <f aca="false">DS90*(Slot11_Cost-DX90)</f>
        <v>0</v>
      </c>
      <c r="EC90" s="20" t="n">
        <f aca="false">IF(AND(Slot12_On=1,D90=Slot12_Age),1,0)</f>
        <v>0</v>
      </c>
      <c r="ED90" s="20" t="n">
        <f aca="false">IF(AND(Slot12_On=1,Slot12_Age&gt;D90),1,0)</f>
        <v>0</v>
      </c>
      <c r="EE90" s="20" t="n">
        <f aca="false">SE89</f>
        <v>0</v>
      </c>
      <c r="EF90" s="20" t="n">
        <f aca="false">EC90*MIN(Slot12_Cost,EE90)</f>
        <v>0</v>
      </c>
      <c r="EG90" s="20" t="n">
        <f aca="false">EC90*Slot12_SpendLike*MIN(Slot12_Cost-EF90,DY90)</f>
        <v>0</v>
      </c>
      <c r="EH90" s="20" t="n">
        <f aca="false">EF90+EG90</f>
        <v>0</v>
      </c>
      <c r="EI90" s="20" t="n">
        <f aca="false">DY90-EG90+EC90*IF(Slot12_SpendLike=1,EE90-EF90,IF(Slot12_PotFree=1,EE90,0))</f>
        <v>0</v>
      </c>
      <c r="EJ90" s="20" t="n">
        <f aca="false">DZ90+EC90*Slot12_BufPot*EE90</f>
        <v>0</v>
      </c>
      <c r="EK90" s="20" t="n">
        <f aca="false">IF(AND(EC90=1,Slot12_IsMfree=1),IF(EH90&gt;=Slot12_Cost-1,0,MAX(0,EA90-EH90)),EA90)</f>
        <v>0</v>
      </c>
      <c r="EL90" s="20" t="n">
        <f aca="false">EC90*(Slot12_Cost-EH90)</f>
        <v>0</v>
      </c>
      <c r="EM90" s="20" t="n">
        <f aca="false">IF(AND(Slot13_On=1,D90=Slot13_Age),1,0)</f>
        <v>0</v>
      </c>
      <c r="EN90" s="20" t="n">
        <f aca="false">IF(AND(Slot13_On=1,Slot13_Age&gt;D90),1,0)</f>
        <v>0</v>
      </c>
      <c r="EO90" s="20" t="n">
        <f aca="false">SI89</f>
        <v>0</v>
      </c>
      <c r="EP90" s="20" t="n">
        <f aca="false">EM90*MIN(Slot13_Cost,EO90)</f>
        <v>0</v>
      </c>
      <c r="EQ90" s="20" t="n">
        <f aca="false">EM90*Slot13_SpendLike*MIN(Slot13_Cost-EP90,EI90)</f>
        <v>0</v>
      </c>
      <c r="ER90" s="20" t="n">
        <f aca="false">EP90+EQ90</f>
        <v>0</v>
      </c>
      <c r="ES90" s="20" t="n">
        <f aca="false">EI90-EQ90+EM90*IF(Slot13_SpendLike=1,EO90-EP90,IF(Slot13_PotFree=1,EO90,0))</f>
        <v>0</v>
      </c>
      <c r="ET90" s="20" t="n">
        <f aca="false">EJ90+EM90*Slot13_BufPot*EO90</f>
        <v>0</v>
      </c>
      <c r="EU90" s="20" t="n">
        <f aca="false">IF(AND(EM90=1,Slot13_IsMfree=1),IF(ER90&gt;=Slot13_Cost-1,0,MAX(0,EK90-ER90)),EK90)</f>
        <v>0</v>
      </c>
      <c r="EV90" s="20" t="n">
        <f aca="false">EM90*(Slot13_Cost-ER90)</f>
        <v>0</v>
      </c>
      <c r="EW90" s="20" t="n">
        <f aca="false">IF(AND(Slot14_On=1,D90=Slot14_Age),1,0)</f>
        <v>0</v>
      </c>
      <c r="EX90" s="20" t="n">
        <f aca="false">IF(AND(Slot14_On=1,Slot14_Age&gt;D90),1,0)</f>
        <v>0</v>
      </c>
      <c r="EY90" s="20" t="n">
        <f aca="false">SM89</f>
        <v>0</v>
      </c>
      <c r="EZ90" s="20" t="n">
        <f aca="false">EW90*MIN(Slot14_Cost,EY90)</f>
        <v>0</v>
      </c>
      <c r="FA90" s="20" t="n">
        <f aca="false">EW90*Slot14_SpendLike*MIN(Slot14_Cost-EZ90,ES90)</f>
        <v>0</v>
      </c>
      <c r="FB90" s="20" t="n">
        <f aca="false">EZ90+FA90</f>
        <v>0</v>
      </c>
      <c r="FC90" s="20" t="n">
        <f aca="false">ES90-FA90+EW90*IF(Slot14_SpendLike=1,EY90-EZ90,IF(Slot14_PotFree=1,EY90,0))</f>
        <v>0</v>
      </c>
      <c r="FD90" s="20" t="n">
        <f aca="false">ET90+EW90*Slot14_BufPot*EY90</f>
        <v>0</v>
      </c>
      <c r="FE90" s="20" t="n">
        <f aca="false">IF(AND(EW90=1,Slot14_IsMfree=1),IF(FB90&gt;=Slot14_Cost-1,0,MAX(0,EU90-FB90)),EU90)</f>
        <v>0</v>
      </c>
      <c r="FF90" s="20" t="n">
        <f aca="false">EW90*(Slot14_Cost-FB90)</f>
        <v>0</v>
      </c>
      <c r="FG90" s="20" t="n">
        <f aca="false">IF(AND(Slot15_On=1,D90=Slot15_Age),1,0)</f>
        <v>0</v>
      </c>
      <c r="FH90" s="20" t="n">
        <f aca="false">IF(AND(Slot15_On=1,Slot15_Age&gt;D90),1,0)</f>
        <v>0</v>
      </c>
      <c r="FI90" s="20" t="n">
        <f aca="false">SQ89</f>
        <v>0</v>
      </c>
      <c r="FJ90" s="20" t="n">
        <f aca="false">FG90*MIN(Slot15_Cost,FI90)</f>
        <v>0</v>
      </c>
      <c r="FK90" s="20" t="n">
        <f aca="false">FG90*Slot15_SpendLike*MIN(Slot15_Cost-FJ90,FC90)</f>
        <v>0</v>
      </c>
      <c r="FL90" s="20" t="n">
        <f aca="false">FJ90+FK90</f>
        <v>0</v>
      </c>
      <c r="FM90" s="20" t="n">
        <f aca="false">FC90-FK90+FG90*IF(Slot15_SpendLike=1,FI90-FJ90,IF(Slot15_PotFree=1,FI90,0))</f>
        <v>0</v>
      </c>
      <c r="FN90" s="20" t="n">
        <f aca="false">FD90+FG90*Slot15_BufPot*FI90</f>
        <v>0</v>
      </c>
      <c r="FO90" s="20" t="n">
        <f aca="false">IF(AND(FG90=1,Slot15_IsMfree=1),IF(FL90&gt;=Slot15_Cost-1,0,MAX(0,FE90-FL90)),FE90)</f>
        <v>0</v>
      </c>
      <c r="FP90" s="20" t="n">
        <f aca="false">FG90*(Slot15_Cost-FL90)</f>
        <v>0</v>
      </c>
      <c r="FQ90" s="20" t="n">
        <f aca="false">IF(AND(Slot16_On=1,D90=Slot16_Age),1,0)</f>
        <v>0</v>
      </c>
      <c r="FR90" s="20" t="n">
        <f aca="false">IF(AND(Slot16_On=1,Slot16_Age&gt;D90),1,0)</f>
        <v>0</v>
      </c>
      <c r="FS90" s="20" t="n">
        <f aca="false">SU89</f>
        <v>0</v>
      </c>
      <c r="FT90" s="20" t="n">
        <f aca="false">FQ90*MIN(Slot16_Cost,FS90)</f>
        <v>0</v>
      </c>
      <c r="FU90" s="20" t="n">
        <f aca="false">FQ90*Slot16_SpendLike*MIN(Slot16_Cost-FT90,FM90)</f>
        <v>0</v>
      </c>
      <c r="FV90" s="20" t="n">
        <f aca="false">FT90+FU90</f>
        <v>0</v>
      </c>
      <c r="FW90" s="20" t="n">
        <f aca="false">FM90-FU90+FQ90*IF(Slot16_SpendLike=1,FS90-FT90,IF(Slot16_PotFree=1,FS90,0))</f>
        <v>0</v>
      </c>
      <c r="FX90" s="20" t="n">
        <f aca="false">FN90+FQ90*Slot16_BufPot*FS90</f>
        <v>0</v>
      </c>
      <c r="FY90" s="20" t="n">
        <f aca="false">IF(AND(FQ90=1,Slot16_IsMfree=1),IF(FV90&gt;=Slot16_Cost-1,0,MAX(0,FO90-FV90)),FO90)</f>
        <v>0</v>
      </c>
      <c r="FZ90" s="20" t="n">
        <f aca="false">FQ90*(Slot16_Cost-FV90)</f>
        <v>0</v>
      </c>
      <c r="GA90" s="20" t="n">
        <f aca="false">IF(AND(Slot17_On=1,D90=Slot17_Age),1,0)</f>
        <v>0</v>
      </c>
      <c r="GB90" s="20" t="n">
        <f aca="false">IF(AND(Slot17_On=1,Slot17_Age&gt;D90),1,0)</f>
        <v>0</v>
      </c>
      <c r="GC90" s="20" t="n">
        <f aca="false">SY89</f>
        <v>0</v>
      </c>
      <c r="GD90" s="20" t="n">
        <f aca="false">GA90*MIN(Slot17_Cost,GC90)</f>
        <v>0</v>
      </c>
      <c r="GE90" s="20" t="n">
        <f aca="false">GA90*Slot17_SpendLike*MIN(Slot17_Cost-GD90,FW90)</f>
        <v>0</v>
      </c>
      <c r="GF90" s="20" t="n">
        <f aca="false">GD90+GE90</f>
        <v>0</v>
      </c>
      <c r="GG90" s="20" t="n">
        <f aca="false">FW90-GE90+GA90*IF(Slot17_SpendLike=1,GC90-GD90,IF(Slot17_PotFree=1,GC90,0))</f>
        <v>0</v>
      </c>
      <c r="GH90" s="20" t="n">
        <f aca="false">FX90+GA90*Slot17_BufPot*GC90</f>
        <v>0</v>
      </c>
      <c r="GI90" s="20" t="n">
        <f aca="false">IF(AND(GA90=1,Slot17_IsMfree=1),IF(GF90&gt;=Slot17_Cost-1,0,MAX(0,FY90-GF90)),FY90)</f>
        <v>0</v>
      </c>
      <c r="GJ90" s="20" t="n">
        <f aca="false">GA90*(Slot17_Cost-GF90)</f>
        <v>0</v>
      </c>
      <c r="GK90" s="20" t="n">
        <f aca="false">IF(AND(Slot18_On=1,D90=Slot18_Age),1,0)</f>
        <v>0</v>
      </c>
      <c r="GL90" s="20" t="n">
        <f aca="false">IF(AND(Slot18_On=1,Slot18_Age&gt;D90),1,0)</f>
        <v>0</v>
      </c>
      <c r="GM90" s="20" t="n">
        <f aca="false">TC89</f>
        <v>0</v>
      </c>
      <c r="GN90" s="20" t="n">
        <f aca="false">GK90*MIN(Slot18_Cost,GM90)</f>
        <v>0</v>
      </c>
      <c r="GO90" s="20" t="n">
        <f aca="false">GK90*Slot18_SpendLike*MIN(Slot18_Cost-GN90,GG90)</f>
        <v>0</v>
      </c>
      <c r="GP90" s="20" t="n">
        <f aca="false">GN90+GO90</f>
        <v>0</v>
      </c>
      <c r="GQ90" s="20" t="n">
        <f aca="false">GG90-GO90+GK90*IF(Slot18_SpendLike=1,GM90-GN90,IF(Slot18_PotFree=1,GM90,0))</f>
        <v>0</v>
      </c>
      <c r="GR90" s="20" t="n">
        <f aca="false">GH90+GK90*Slot18_BufPot*GM90</f>
        <v>0</v>
      </c>
      <c r="GS90" s="20" t="n">
        <f aca="false">IF(AND(GK90=1,Slot18_IsMfree=1),IF(GP90&gt;=Slot18_Cost-1,0,MAX(0,GI90-GP90)),GI90)</f>
        <v>0</v>
      </c>
      <c r="GT90" s="20" t="n">
        <f aca="false">GK90*(Slot18_Cost-GP90)</f>
        <v>0</v>
      </c>
      <c r="GU90" s="20" t="n">
        <f aca="false">IF(AND(Slot19_On=1,D90=Slot19_Age),1,0)</f>
        <v>0</v>
      </c>
      <c r="GV90" s="20" t="n">
        <f aca="false">IF(AND(Slot19_On=1,Slot19_Age&gt;D90),1,0)</f>
        <v>0</v>
      </c>
      <c r="GW90" s="20" t="n">
        <f aca="false">TG89</f>
        <v>0</v>
      </c>
      <c r="GX90" s="20" t="n">
        <f aca="false">GU90*MIN(Slot19_Cost,GW90)</f>
        <v>0</v>
      </c>
      <c r="GY90" s="20" t="n">
        <f aca="false">GU90*Slot19_SpendLike*MIN(Slot19_Cost-GX90,GQ90)</f>
        <v>0</v>
      </c>
      <c r="GZ90" s="20" t="n">
        <f aca="false">GX90+GY90</f>
        <v>0</v>
      </c>
      <c r="HA90" s="20" t="n">
        <f aca="false">GQ90-GY90+GU90*IF(Slot19_SpendLike=1,GW90-GX90,IF(Slot19_PotFree=1,GW90,0))</f>
        <v>0</v>
      </c>
      <c r="HB90" s="20" t="n">
        <f aca="false">GR90+GU90*Slot19_BufPot*GW90</f>
        <v>0</v>
      </c>
      <c r="HC90" s="20" t="n">
        <f aca="false">IF(AND(GU90=1,Slot19_IsMfree=1),IF(GZ90&gt;=Slot19_Cost-1,0,MAX(0,GS90-GZ90)),GS90)</f>
        <v>0</v>
      </c>
      <c r="HD90" s="20" t="n">
        <f aca="false">GU90*(Slot19_Cost-GZ90)</f>
        <v>0</v>
      </c>
      <c r="HE90" s="20" t="n">
        <f aca="false">IF(AND(Slot20_On=1,D90=Slot20_Age),1,0)</f>
        <v>0</v>
      </c>
      <c r="HF90" s="20" t="n">
        <f aca="false">IF(AND(Slot20_On=1,Slot20_Age&gt;D90),1,0)</f>
        <v>0</v>
      </c>
      <c r="HG90" s="20" t="n">
        <f aca="false">TK89</f>
        <v>0</v>
      </c>
      <c r="HH90" s="20" t="n">
        <f aca="false">HE90*MIN(Slot20_Cost,HG90)</f>
        <v>0</v>
      </c>
      <c r="HI90" s="20" t="n">
        <f aca="false">HE90*Slot20_SpendLike*MIN(Slot20_Cost-HH90,HA90)</f>
        <v>0</v>
      </c>
      <c r="HJ90" s="20" t="n">
        <f aca="false">HH90+HI90</f>
        <v>0</v>
      </c>
      <c r="HK90" s="20" t="n">
        <f aca="false">HA90-HI90+HE90*IF(Slot20_SpendLike=1,HG90-HH90,IF(Slot20_PotFree=1,HG90,0))</f>
        <v>0</v>
      </c>
      <c r="HL90" s="20" t="n">
        <f aca="false">HB90+HE90*Slot20_BufPot*HG90</f>
        <v>0</v>
      </c>
      <c r="HM90" s="20" t="n">
        <f aca="false">IF(AND(HE90=1,Slot20_IsMfree=1),IF(HJ90&gt;=Slot20_Cost-1,0,MAX(0,HC90-HJ90)),HC90)</f>
        <v>0</v>
      </c>
      <c r="HN90" s="20" t="n">
        <f aca="false">HE90*(Slot20_Cost-HJ90)</f>
        <v>0</v>
      </c>
      <c r="HO90" s="20" t="n">
        <f aca="false">V90*Slot1_SpendLike*AA90+AG90*Slot2_SpendLike*AL90+AQ90*Slot3_SpendLike*AV90+BA90*Slot4_SpendLike*BF90+BK90*Slot5_SpendLike*BP90+BU90*Slot6_SpendLike*BZ90+CE90*Slot7_SpendLike*CJ90+CO90*Slot8_SpendLike*CT90+CY90*Slot9_SpendLike*DD90+DI90*Slot10_SpendLike*DN90+DS90*Slot11_SpendLike*DX90+EC90*Slot12_SpendLike*EH90+EM90*Slot13_SpendLike*ER90+EW90*Slot14_SpendLike*FB90+FG90*Slot15_SpendLike*FL90+FQ90*Slot16_SpendLike*FV90+GA90*Slot17_SpendLike*GF90+GK90*Slot18_SpendLike*GP90+GU90*Slot19_SpendLike*GZ90+HE90*Slot20_SpendLike*HJ90</f>
        <v>0</v>
      </c>
      <c r="HP90" s="20" t="n">
        <f aca="false">AE90+AP90+AZ90+BJ90+BT90+CD90+CN90+CX90+DH90+DR90+EB90+EL90+EV90+FF90+FP90+FZ90+GJ90+GT90+HD90+HN90</f>
        <v>0</v>
      </c>
      <c r="HQ90" s="20" t="n">
        <f aca="false">V90*Slot1_Cost+AG90*Slot2_Cost+AQ90*Slot3_Cost+BA90*Slot4_Cost+BK90*Slot5_Cost+BU90*Slot6_Cost+CE90*Slot7_Cost+CO90*Slot8_Cost+CY90*Slot9_Cost+DI90*Slot10_Cost+DS90*Slot11_Cost+EC90*Slot12_Cost+EM90*Slot13_Cost+EW90*Slot14_Cost+FG90*Slot15_Cost+FQ90*Slot16_Cost+GA90*Slot17_Cost+GK90*Slot18_Cost+GU90*Slot19_Cost+HE90*Slot20_Cost</f>
        <v>0</v>
      </c>
      <c r="HR90" s="20" t="n">
        <f aca="false">HM90</f>
        <v>0</v>
      </c>
      <c r="HS90" s="20" t="n">
        <f aca="false">H90-I90-S90</f>
        <v>-97722.5565416088</v>
      </c>
      <c r="HT90" s="20" t="n">
        <f aca="false">IF(B90=0,IF(AND(Has_q6=1,In_q6=4),PR_ShareVaries*(MAX(0,HS90)/12),MIN(IF(Has_q6=1,CHOOSE(In_q6+1,PR_SaveB1,PR_SaveB2,PR_SaveB3,PR_SaveB4,0),AS_NoAnswer),AS_SaveShare*(MAX(0,HS90)/12))),HT89)</f>
        <v>62.3316893520437</v>
      </c>
      <c r="HU90" s="20" t="n">
        <f aca="false">IF(HS90&gt;=0,1,0)</f>
        <v>0</v>
      </c>
      <c r="HV90" s="20" t="n">
        <f aca="false">MAX(0,HS90/12/F90)</f>
        <v>0</v>
      </c>
      <c r="HW90" s="20" t="n">
        <f aca="false">IF(AND(Has_q6=1,In_q6=4),PR_ShareVaries*(HV90),MIN(IF(Has_q6=1,CHOOSE(In_q6+1,PR_SaveB1,PR_SaveB2,PR_SaveB3,PR_SaveB4,0),AS_NoAnswer),AS_SaveShare*(HV90)))</f>
        <v>0</v>
      </c>
      <c r="HX90" s="20" t="n">
        <f aca="false">IF(Has_saveM=1,IF(In_saveUp="Yes",1,IF(In_saveUp="No",0,IF(In_saveM&gt;=HT90-0.5,1,0))),0)</f>
        <v>0</v>
      </c>
      <c r="HY90" s="20" t="n">
        <f aca="false">IF(Has_saveM=1,MIN(HV90,IF(HX90=1,MAX(In_saveM,HW90),MIN(In_saveM,HW90))),HW90)</f>
        <v>0</v>
      </c>
      <c r="HZ90" s="20" t="n">
        <f aca="false">IF(G90=1,HY90*12*F90,0)</f>
        <v>0</v>
      </c>
      <c r="IA90" s="20" t="n">
        <f aca="false">MAX(0,HZ90+IF(AND(WI_Retire=0,WI_M&lt;0,G90=1),WI_M*12*F90,0))</f>
        <v>0</v>
      </c>
      <c r="IB90" s="20" t="n">
        <f aca="false">Slot1_IsWG*W90+Slot2_IsWG*AH90+Slot3_IsWG*AR90+Slot4_IsWG*BB90+Slot5_IsWG*BL90+Slot6_IsWG*BV90+Slot7_IsWG*CF90+Slot8_IsWG*CP90+Slot9_IsWG*CZ90+Slot10_IsWG*DJ90+Slot11_IsWG*DT90+Slot12_IsWG*ED90+Slot13_IsWG*EN90+Slot14_IsWG*EX90+Slot15_IsWG*FH90+Slot16_IsWG*FR90+Slot17_IsWG*GB90+Slot18_IsWG*GL90+Slot19_IsWG*GV90+Slot20_IsWG*HF90</f>
        <v>0</v>
      </c>
      <c r="IC90" s="20" t="n">
        <f aca="false">IF(AND(WI_Retire=0,WI_M&gt;0,G90=1,IB90&gt;=1),WI_M*12*F90,0)</f>
        <v>0</v>
      </c>
      <c r="ID90" s="20" t="n">
        <f aca="false">IF(HU90=1,MIN(IA90,HS90),0)</f>
        <v>0</v>
      </c>
      <c r="IE90" s="20" t="n">
        <f aca="false">IF(HU90=1,MIN(IC90,HS90-ID90),0)</f>
        <v>0</v>
      </c>
      <c r="IF90" s="20" t="n">
        <f aca="false">IF(W90=1,IF(ABS((1+AS_Wage)/(1+Slot1_Rate)-1)&lt;0.000000000001,(Slot1_Age-D90)*(1+Slot1_Rate)^(Slot1_Age-D90),(1+Slot1_Rate)^(Slot1_Age-D90)*(1-((1+AS_Wage)/(1+Slot1_Rate))^(Slot1_Age-D90))/(1-(1+AS_Wage)/(1+Slot1_Rate))),1)</f>
        <v>1</v>
      </c>
      <c r="IG90" s="20" t="n">
        <f aca="false">IF(AND(HU90=1,IE90&gt;0,Slot1_IsWG=1,W90=1),MAX(0,(Slot1_Cost-X90*(1+Slot1_Rate)^(Slot1_Age-D90))/IF90),0)</f>
        <v>0</v>
      </c>
      <c r="IH90" s="20" t="n">
        <f aca="false">IF(AND(HU90=1,IE90&gt;0,Slot1_IsWG=1,W90=1),MIN(IE90,IG90),0)</f>
        <v>0</v>
      </c>
      <c r="II90" s="20" t="n">
        <f aca="false">X90+IH90</f>
        <v>0</v>
      </c>
      <c r="IJ90" s="20" t="n">
        <f aca="false">IF(W90=1,MAX(0,(Slot1_Cost-II90*(1+Slot1_Rate)^(Slot1_Age-D90))/IF90),0)</f>
        <v>0</v>
      </c>
      <c r="IK90" s="20" t="n">
        <f aca="false">IF(W90=1,MAX(0,(Slot1_Cost-X90*(1+Slot1_Rate)^(Slot1_Age-D90))/IF90),0)</f>
        <v>0</v>
      </c>
      <c r="IL90" s="20" t="n">
        <f aca="false">IF(AND(HU90=1,W90=1),MIN(ID90,IJ90),0)</f>
        <v>0</v>
      </c>
      <c r="IM90" s="20" t="n">
        <f aca="false">ID90-IL90</f>
        <v>0</v>
      </c>
      <c r="IN90" s="20" t="n">
        <f aca="false">IF(AH90=1,IF(ABS((1+AS_Wage)/(1+Slot2_Rate)-1)&lt;0.000000000001,(Slot2_Age-D90)*(1+Slot2_Rate)^(Slot2_Age-D90),(1+Slot2_Rate)^(Slot2_Age-D90)*(1-((1+AS_Wage)/(1+Slot2_Rate))^(Slot2_Age-D90))/(1-(1+AS_Wage)/(1+Slot2_Rate))),1)</f>
        <v>1</v>
      </c>
      <c r="IO90" s="20" t="n">
        <f aca="false">IF(AND(HU90=1,IE90&gt;0,Slot2_IsWG=1,AH90=1),MAX(0,(Slot2_Cost-AI90*(1+Slot2_Rate)^(Slot2_Age-D90))/IN90),0)</f>
        <v>0</v>
      </c>
      <c r="IP90" s="20" t="n">
        <f aca="false">IF(AND(HU90=1,IE90&gt;0,Slot2_IsWG=1,AH90=1),MIN(IE90,IO90),0)</f>
        <v>0</v>
      </c>
      <c r="IQ90" s="20" t="n">
        <f aca="false">AI90+IP90</f>
        <v>0</v>
      </c>
      <c r="IR90" s="20" t="n">
        <f aca="false">IF(AH90=1,MAX(0,(Slot2_Cost-IQ90*(1+Slot2_Rate)^(Slot2_Age-D90))/IN90),0)</f>
        <v>0</v>
      </c>
      <c r="IS90" s="20" t="n">
        <f aca="false">IF(AH90=1,MAX(0,(Slot2_Cost-AI90*(1+Slot2_Rate)^(Slot2_Age-D90))/IN90),0)</f>
        <v>0</v>
      </c>
      <c r="IT90" s="20" t="n">
        <f aca="false">IF(AND(HU90=1,AH90=1),MIN(IM90,IR90),0)</f>
        <v>0</v>
      </c>
      <c r="IU90" s="20" t="n">
        <f aca="false">IM90-IT90</f>
        <v>0</v>
      </c>
      <c r="IV90" s="20" t="n">
        <f aca="false">IF(AR90=1,IF(ABS((1+AS_Wage)/(1+Slot3_Rate)-1)&lt;0.000000000001,(Slot3_Age-D90)*(1+Slot3_Rate)^(Slot3_Age-D90),(1+Slot3_Rate)^(Slot3_Age-D90)*(1-((1+AS_Wage)/(1+Slot3_Rate))^(Slot3_Age-D90))/(1-(1+AS_Wage)/(1+Slot3_Rate))),1)</f>
        <v>1</v>
      </c>
      <c r="IW90" s="20" t="n">
        <f aca="false">IF(AND(HU90=1,IE90&gt;0,Slot3_IsWG=1,AR90=1),MAX(0,(Slot3_Cost-AS90*(1+Slot3_Rate)^(Slot3_Age-D90))/IV90),0)</f>
        <v>0</v>
      </c>
      <c r="IX90" s="20" t="n">
        <f aca="false">IF(AND(HU90=1,IE90&gt;0,Slot3_IsWG=1,AR90=1),MIN(IE90,IW90),0)</f>
        <v>0</v>
      </c>
      <c r="IY90" s="20" t="n">
        <f aca="false">AS90+IX90</f>
        <v>0</v>
      </c>
      <c r="IZ90" s="20" t="n">
        <f aca="false">IF(AR90=1,MAX(0,(Slot3_Cost-IY90*(1+Slot3_Rate)^(Slot3_Age-D90))/IV90),0)</f>
        <v>0</v>
      </c>
      <c r="JA90" s="20" t="n">
        <f aca="false">IF(AR90=1,MAX(0,(Slot3_Cost-AS90*(1+Slot3_Rate)^(Slot3_Age-D90))/IV90),0)</f>
        <v>0</v>
      </c>
      <c r="JB90" s="20" t="n">
        <f aca="false">IF(AND(HU90=1,AR90=1),MIN(IU90,IZ90),0)</f>
        <v>0</v>
      </c>
      <c r="JC90" s="20" t="n">
        <f aca="false">IU90-JB90</f>
        <v>0</v>
      </c>
      <c r="JD90" s="20" t="n">
        <f aca="false">IF(BB90=1,IF(ABS((1+AS_Wage)/(1+Slot4_Rate)-1)&lt;0.000000000001,(Slot4_Age-D90)*(1+Slot4_Rate)^(Slot4_Age-D90),(1+Slot4_Rate)^(Slot4_Age-D90)*(1-((1+AS_Wage)/(1+Slot4_Rate))^(Slot4_Age-D90))/(1-(1+AS_Wage)/(1+Slot4_Rate))),1)</f>
        <v>1</v>
      </c>
      <c r="JE90" s="20" t="n">
        <f aca="false">IF(AND(HU90=1,IE90&gt;0,Slot4_IsWG=1,BB90=1),MAX(0,(Slot4_Cost-BC90*(1+Slot4_Rate)^(Slot4_Age-D90))/JD90),0)</f>
        <v>0</v>
      </c>
      <c r="JF90" s="20" t="n">
        <f aca="false">IF(AND(HU90=1,IE90&gt;0,Slot4_IsWG=1,BB90=1),MIN(IE90,JE90),0)</f>
        <v>0</v>
      </c>
      <c r="JG90" s="20" t="n">
        <f aca="false">BC90+JF90</f>
        <v>0</v>
      </c>
      <c r="JH90" s="20" t="n">
        <f aca="false">IF(BB90=1,MAX(0,(Slot4_Cost-JG90*(1+Slot4_Rate)^(Slot4_Age-D90))/JD90),0)</f>
        <v>0</v>
      </c>
      <c r="JI90" s="20" t="n">
        <f aca="false">IF(BB90=1,MAX(0,(Slot4_Cost-BC90*(1+Slot4_Rate)^(Slot4_Age-D90))/JD90),0)</f>
        <v>0</v>
      </c>
      <c r="JJ90" s="20" t="n">
        <f aca="false">IF(AND(HU90=1,BB90=1),MIN(JC90,JH90),0)</f>
        <v>0</v>
      </c>
      <c r="JK90" s="20" t="n">
        <f aca="false">JC90-JJ90</f>
        <v>0</v>
      </c>
      <c r="JL90" s="20" t="n">
        <f aca="false">IF(BL90=1,IF(ABS((1+AS_Wage)/(1+Slot5_Rate)-1)&lt;0.000000000001,(Slot5_Age-D90)*(1+Slot5_Rate)^(Slot5_Age-D90),(1+Slot5_Rate)^(Slot5_Age-D90)*(1-((1+AS_Wage)/(1+Slot5_Rate))^(Slot5_Age-D90))/(1-(1+AS_Wage)/(1+Slot5_Rate))),1)</f>
        <v>1</v>
      </c>
      <c r="JM90" s="20" t="n">
        <f aca="false">IF(AND(HU90=1,IE90&gt;0,Slot5_IsWG=1,BL90=1),MAX(0,(Slot5_Cost-BM90*(1+Slot5_Rate)^(Slot5_Age-D90))/JL90),0)</f>
        <v>0</v>
      </c>
      <c r="JN90" s="20" t="n">
        <f aca="false">IF(AND(HU90=1,IE90&gt;0,Slot5_IsWG=1,BL90=1),MIN(IE90,JM90),0)</f>
        <v>0</v>
      </c>
      <c r="JO90" s="20" t="n">
        <f aca="false">BM90+JN90</f>
        <v>0</v>
      </c>
      <c r="JP90" s="20" t="n">
        <f aca="false">IF(BL90=1,MAX(0,(Slot5_Cost-JO90*(1+Slot5_Rate)^(Slot5_Age-D90))/JL90),0)</f>
        <v>0</v>
      </c>
      <c r="JQ90" s="20" t="n">
        <f aca="false">IF(BL90=1,MAX(0,(Slot5_Cost-BM90*(1+Slot5_Rate)^(Slot5_Age-D90))/JL90),0)</f>
        <v>0</v>
      </c>
      <c r="JR90" s="20" t="n">
        <f aca="false">IF(AND(HU90=1,BL90=1),MIN(JK90,JP90),0)</f>
        <v>0</v>
      </c>
      <c r="JS90" s="20" t="n">
        <f aca="false">JK90-JR90</f>
        <v>0</v>
      </c>
      <c r="JT90" s="20" t="n">
        <f aca="false">IF(BV90=1,IF(ABS((1+AS_Wage)/(1+Slot6_Rate)-1)&lt;0.000000000001,(Slot6_Age-D90)*(1+Slot6_Rate)^(Slot6_Age-D90),(1+Slot6_Rate)^(Slot6_Age-D90)*(1-((1+AS_Wage)/(1+Slot6_Rate))^(Slot6_Age-D90))/(1-(1+AS_Wage)/(1+Slot6_Rate))),1)</f>
        <v>1</v>
      </c>
      <c r="JU90" s="20" t="n">
        <f aca="false">IF(AND(HU90=1,IE90&gt;0,Slot6_IsWG=1,BV90=1),MAX(0,(Slot6_Cost-BW90*(1+Slot6_Rate)^(Slot6_Age-D90))/JT90),0)</f>
        <v>0</v>
      </c>
      <c r="JV90" s="20" t="n">
        <f aca="false">IF(AND(HU90=1,IE90&gt;0,Slot6_IsWG=1,BV90=1),MIN(IE90,JU90),0)</f>
        <v>0</v>
      </c>
      <c r="JW90" s="20" t="n">
        <f aca="false">BW90+JV90</f>
        <v>0</v>
      </c>
      <c r="JX90" s="20" t="n">
        <f aca="false">IF(BV90=1,MAX(0,(Slot6_Cost-JW90*(1+Slot6_Rate)^(Slot6_Age-D90))/JT90),0)</f>
        <v>0</v>
      </c>
      <c r="JY90" s="20" t="n">
        <f aca="false">IF(BV90=1,MAX(0,(Slot6_Cost-BW90*(1+Slot6_Rate)^(Slot6_Age-D90))/JT90),0)</f>
        <v>0</v>
      </c>
      <c r="JZ90" s="20" t="n">
        <f aca="false">IF(AND(HU90=1,BV90=1),MIN(JS90,JX90),0)</f>
        <v>0</v>
      </c>
      <c r="KA90" s="20" t="n">
        <f aca="false">JS90-JZ90</f>
        <v>0</v>
      </c>
      <c r="KB90" s="20" t="n">
        <f aca="false">IF(CF90=1,IF(ABS((1+AS_Wage)/(1+Slot7_Rate)-1)&lt;0.000000000001,(Slot7_Age-D90)*(1+Slot7_Rate)^(Slot7_Age-D90),(1+Slot7_Rate)^(Slot7_Age-D90)*(1-((1+AS_Wage)/(1+Slot7_Rate))^(Slot7_Age-D90))/(1-(1+AS_Wage)/(1+Slot7_Rate))),1)</f>
        <v>1</v>
      </c>
      <c r="KC90" s="20" t="n">
        <f aca="false">IF(AND(HU90=1,IE90&gt;0,Slot7_IsWG=1,CF90=1),MAX(0,(Slot7_Cost-CG90*(1+Slot7_Rate)^(Slot7_Age-D90))/KB90),0)</f>
        <v>0</v>
      </c>
      <c r="KD90" s="20" t="n">
        <f aca="false">IF(AND(HU90=1,IE90&gt;0,Slot7_IsWG=1,CF90=1),MIN(IE90,KC90),0)</f>
        <v>0</v>
      </c>
      <c r="KE90" s="20" t="n">
        <f aca="false">CG90+KD90</f>
        <v>0</v>
      </c>
      <c r="KF90" s="20" t="n">
        <f aca="false">IF(CF90=1,MAX(0,(Slot7_Cost-KE90*(1+Slot7_Rate)^(Slot7_Age-D90))/KB90),0)</f>
        <v>0</v>
      </c>
      <c r="KG90" s="20" t="n">
        <f aca="false">IF(CF90=1,MAX(0,(Slot7_Cost-CG90*(1+Slot7_Rate)^(Slot7_Age-D90))/KB90),0)</f>
        <v>0</v>
      </c>
      <c r="KH90" s="20" t="n">
        <f aca="false">IF(AND(HU90=1,CF90=1),MIN(KA90,KF90),0)</f>
        <v>0</v>
      </c>
      <c r="KI90" s="20" t="n">
        <f aca="false">KA90-KH90</f>
        <v>0</v>
      </c>
      <c r="KJ90" s="20" t="n">
        <f aca="false">IF(CP90=1,IF(ABS((1+AS_Wage)/(1+Slot8_Rate)-1)&lt;0.000000000001,(Slot8_Age-D90)*(1+Slot8_Rate)^(Slot8_Age-D90),(1+Slot8_Rate)^(Slot8_Age-D90)*(1-((1+AS_Wage)/(1+Slot8_Rate))^(Slot8_Age-D90))/(1-(1+AS_Wage)/(1+Slot8_Rate))),1)</f>
        <v>1</v>
      </c>
      <c r="KK90" s="20" t="n">
        <f aca="false">IF(AND(HU90=1,IE90&gt;0,Slot8_IsWG=1,CP90=1),MAX(0,(Slot8_Cost-CQ90*(1+Slot8_Rate)^(Slot8_Age-D90))/KJ90),0)</f>
        <v>0</v>
      </c>
      <c r="KL90" s="20" t="n">
        <f aca="false">IF(AND(HU90=1,IE90&gt;0,Slot8_IsWG=1,CP90=1),MIN(IE90,KK90),0)</f>
        <v>0</v>
      </c>
      <c r="KM90" s="20" t="n">
        <f aca="false">CQ90+KL90</f>
        <v>0</v>
      </c>
      <c r="KN90" s="20" t="n">
        <f aca="false">IF(CP90=1,MAX(0,(Slot8_Cost-KM90*(1+Slot8_Rate)^(Slot8_Age-D90))/KJ90),0)</f>
        <v>0</v>
      </c>
      <c r="KO90" s="20" t="n">
        <f aca="false">IF(CP90=1,MAX(0,(Slot8_Cost-CQ90*(1+Slot8_Rate)^(Slot8_Age-D90))/KJ90),0)</f>
        <v>0</v>
      </c>
      <c r="KP90" s="20" t="n">
        <f aca="false">IF(AND(HU90=1,CP90=1),MIN(KI90,KN90),0)</f>
        <v>0</v>
      </c>
      <c r="KQ90" s="20" t="n">
        <f aca="false">KI90-KP90</f>
        <v>0</v>
      </c>
      <c r="KR90" s="20" t="n">
        <f aca="false">IF(CZ90=1,IF(ABS((1+AS_Wage)/(1+Slot9_Rate)-1)&lt;0.000000000001,(Slot9_Age-D90)*(1+Slot9_Rate)^(Slot9_Age-D90),(1+Slot9_Rate)^(Slot9_Age-D90)*(1-((1+AS_Wage)/(1+Slot9_Rate))^(Slot9_Age-D90))/(1-(1+AS_Wage)/(1+Slot9_Rate))),1)</f>
        <v>1</v>
      </c>
      <c r="KS90" s="20" t="n">
        <f aca="false">IF(AND(HU90=1,IE90&gt;0,Slot9_IsWG=1,CZ90=1),MAX(0,(Slot9_Cost-DA90*(1+Slot9_Rate)^(Slot9_Age-D90))/KR90),0)</f>
        <v>0</v>
      </c>
      <c r="KT90" s="20" t="n">
        <f aca="false">IF(AND(HU90=1,IE90&gt;0,Slot9_IsWG=1,CZ90=1),MIN(IE90,KS90),0)</f>
        <v>0</v>
      </c>
      <c r="KU90" s="20" t="n">
        <f aca="false">DA90+KT90</f>
        <v>0</v>
      </c>
      <c r="KV90" s="20" t="n">
        <f aca="false">IF(CZ90=1,MAX(0,(Slot9_Cost-KU90*(1+Slot9_Rate)^(Slot9_Age-D90))/KR90),0)</f>
        <v>0</v>
      </c>
      <c r="KW90" s="20" t="n">
        <f aca="false">IF(CZ90=1,MAX(0,(Slot9_Cost-DA90*(1+Slot9_Rate)^(Slot9_Age-D90))/KR90),0)</f>
        <v>0</v>
      </c>
      <c r="KX90" s="20" t="n">
        <f aca="false">IF(AND(HU90=1,CZ90=1),MIN(KQ90,KV90),0)</f>
        <v>0</v>
      </c>
      <c r="KY90" s="20" t="n">
        <f aca="false">KQ90-KX90</f>
        <v>0</v>
      </c>
      <c r="KZ90" s="20" t="n">
        <f aca="false">IF(DJ90=1,IF(ABS((1+AS_Wage)/(1+Slot10_Rate)-1)&lt;0.000000000001,(Slot10_Age-D90)*(1+Slot10_Rate)^(Slot10_Age-D90),(1+Slot10_Rate)^(Slot10_Age-D90)*(1-((1+AS_Wage)/(1+Slot10_Rate))^(Slot10_Age-D90))/(1-(1+AS_Wage)/(1+Slot10_Rate))),1)</f>
        <v>1</v>
      </c>
      <c r="LA90" s="20" t="n">
        <f aca="false">IF(AND(HU90=1,IE90&gt;0,Slot10_IsWG=1,DJ90=1),MAX(0,(Slot10_Cost-DK90*(1+Slot10_Rate)^(Slot10_Age-D90))/KZ90),0)</f>
        <v>0</v>
      </c>
      <c r="LB90" s="20" t="n">
        <f aca="false">IF(AND(HU90=1,IE90&gt;0,Slot10_IsWG=1,DJ90=1),MIN(IE90,LA90),0)</f>
        <v>0</v>
      </c>
      <c r="LC90" s="20" t="n">
        <f aca="false">DK90+LB90</f>
        <v>0</v>
      </c>
      <c r="LD90" s="20" t="n">
        <f aca="false">IF(DJ90=1,MAX(0,(Slot10_Cost-LC90*(1+Slot10_Rate)^(Slot10_Age-D90))/KZ90),0)</f>
        <v>0</v>
      </c>
      <c r="LE90" s="20" t="n">
        <f aca="false">IF(DJ90=1,MAX(0,(Slot10_Cost-DK90*(1+Slot10_Rate)^(Slot10_Age-D90))/KZ90),0)</f>
        <v>0</v>
      </c>
      <c r="LF90" s="20" t="n">
        <f aca="false">IF(AND(HU90=1,DJ90=1),MIN(KY90,LD90),0)</f>
        <v>0</v>
      </c>
      <c r="LG90" s="20" t="n">
        <f aca="false">KY90-LF90</f>
        <v>0</v>
      </c>
      <c r="LH90" s="20" t="n">
        <f aca="false">IF(DT90=1,IF(ABS((1+AS_Wage)/(1+Slot11_Rate)-1)&lt;0.000000000001,(Slot11_Age-D90)*(1+Slot11_Rate)^(Slot11_Age-D90),(1+Slot11_Rate)^(Slot11_Age-D90)*(1-((1+AS_Wage)/(1+Slot11_Rate))^(Slot11_Age-D90))/(1-(1+AS_Wage)/(1+Slot11_Rate))),1)</f>
        <v>1</v>
      </c>
      <c r="LI90" s="20" t="n">
        <f aca="false">IF(AND(HU90=1,IE90&gt;0,Slot11_IsWG=1,DT90=1),MAX(0,(Slot11_Cost-DU90*(1+Slot11_Rate)^(Slot11_Age-D90))/LH90),0)</f>
        <v>0</v>
      </c>
      <c r="LJ90" s="20" t="n">
        <f aca="false">IF(AND(HU90=1,IE90&gt;0,Slot11_IsWG=1,DT90=1),MIN(IE90,LI90),0)</f>
        <v>0</v>
      </c>
      <c r="LK90" s="20" t="n">
        <f aca="false">DU90+LJ90</f>
        <v>0</v>
      </c>
      <c r="LL90" s="20" t="n">
        <f aca="false">IF(DT90=1,MAX(0,(Slot11_Cost-LK90*(1+Slot11_Rate)^(Slot11_Age-D90))/LH90),0)</f>
        <v>0</v>
      </c>
      <c r="LM90" s="20" t="n">
        <f aca="false">IF(DT90=1,MAX(0,(Slot11_Cost-DU90*(1+Slot11_Rate)^(Slot11_Age-D90))/LH90),0)</f>
        <v>0</v>
      </c>
      <c r="LN90" s="20" t="n">
        <f aca="false">IF(AND(HU90=1,DT90=1),MIN(LG90,LL90),0)</f>
        <v>0</v>
      </c>
      <c r="LO90" s="20" t="n">
        <f aca="false">LG90-LN90</f>
        <v>0</v>
      </c>
      <c r="LP90" s="20" t="n">
        <f aca="false">IF(ED90=1,IF(ABS((1+AS_Wage)/(1+Slot12_Rate)-1)&lt;0.000000000001,(Slot12_Age-D90)*(1+Slot12_Rate)^(Slot12_Age-D90),(1+Slot12_Rate)^(Slot12_Age-D90)*(1-((1+AS_Wage)/(1+Slot12_Rate))^(Slot12_Age-D90))/(1-(1+AS_Wage)/(1+Slot12_Rate))),1)</f>
        <v>1</v>
      </c>
      <c r="LQ90" s="20" t="n">
        <f aca="false">IF(AND(HU90=1,IE90&gt;0,Slot12_IsWG=1,ED90=1),MAX(0,(Slot12_Cost-EE90*(1+Slot12_Rate)^(Slot12_Age-D90))/LP90),0)</f>
        <v>0</v>
      </c>
      <c r="LR90" s="20" t="n">
        <f aca="false">IF(AND(HU90=1,IE90&gt;0,Slot12_IsWG=1,ED90=1),MIN(IE90,LQ90),0)</f>
        <v>0</v>
      </c>
      <c r="LS90" s="20" t="n">
        <f aca="false">EE90+LR90</f>
        <v>0</v>
      </c>
      <c r="LT90" s="20" t="n">
        <f aca="false">IF(ED90=1,MAX(0,(Slot12_Cost-LS90*(1+Slot12_Rate)^(Slot12_Age-D90))/LP90),0)</f>
        <v>0</v>
      </c>
      <c r="LU90" s="20" t="n">
        <f aca="false">IF(ED90=1,MAX(0,(Slot12_Cost-EE90*(1+Slot12_Rate)^(Slot12_Age-D90))/LP90),0)</f>
        <v>0</v>
      </c>
      <c r="LV90" s="20" t="n">
        <f aca="false">IF(AND(HU90=1,ED90=1),MIN(LO90,LT90),0)</f>
        <v>0</v>
      </c>
      <c r="LW90" s="20" t="n">
        <f aca="false">LO90-LV90</f>
        <v>0</v>
      </c>
      <c r="LX90" s="20" t="n">
        <f aca="false">IF(EN90=1,IF(ABS((1+AS_Wage)/(1+Slot13_Rate)-1)&lt;0.000000000001,(Slot13_Age-D90)*(1+Slot13_Rate)^(Slot13_Age-D90),(1+Slot13_Rate)^(Slot13_Age-D90)*(1-((1+AS_Wage)/(1+Slot13_Rate))^(Slot13_Age-D90))/(1-(1+AS_Wage)/(1+Slot13_Rate))),1)</f>
        <v>1</v>
      </c>
      <c r="LY90" s="20" t="n">
        <f aca="false">IF(AND(HU90=1,IE90&gt;0,Slot13_IsWG=1,EN90=1),MAX(0,(Slot13_Cost-EO90*(1+Slot13_Rate)^(Slot13_Age-D90))/LX90),0)</f>
        <v>0</v>
      </c>
      <c r="LZ90" s="20" t="n">
        <f aca="false">IF(AND(HU90=1,IE90&gt;0,Slot13_IsWG=1,EN90=1),MIN(IE90,LY90),0)</f>
        <v>0</v>
      </c>
      <c r="MA90" s="20" t="n">
        <f aca="false">EO90+LZ90</f>
        <v>0</v>
      </c>
      <c r="MB90" s="20" t="n">
        <f aca="false">IF(EN90=1,MAX(0,(Slot13_Cost-MA90*(1+Slot13_Rate)^(Slot13_Age-D90))/LX90),0)</f>
        <v>0</v>
      </c>
      <c r="MC90" s="20" t="n">
        <f aca="false">IF(EN90=1,MAX(0,(Slot13_Cost-EO90*(1+Slot13_Rate)^(Slot13_Age-D90))/LX90),0)</f>
        <v>0</v>
      </c>
      <c r="MD90" s="20" t="n">
        <f aca="false">IF(AND(HU90=1,EN90=1),MIN(LW90,MB90),0)</f>
        <v>0</v>
      </c>
      <c r="ME90" s="20" t="n">
        <f aca="false">LW90-MD90</f>
        <v>0</v>
      </c>
      <c r="MF90" s="20" t="n">
        <f aca="false">IF(EX90=1,IF(ABS((1+AS_Wage)/(1+Slot14_Rate)-1)&lt;0.000000000001,(Slot14_Age-D90)*(1+Slot14_Rate)^(Slot14_Age-D90),(1+Slot14_Rate)^(Slot14_Age-D90)*(1-((1+AS_Wage)/(1+Slot14_Rate))^(Slot14_Age-D90))/(1-(1+AS_Wage)/(1+Slot14_Rate))),1)</f>
        <v>1</v>
      </c>
      <c r="MG90" s="20" t="n">
        <f aca="false">IF(AND(HU90=1,IE90&gt;0,Slot14_IsWG=1,EX90=1),MAX(0,(Slot14_Cost-EY90*(1+Slot14_Rate)^(Slot14_Age-D90))/MF90),0)</f>
        <v>0</v>
      </c>
      <c r="MH90" s="20" t="n">
        <f aca="false">IF(AND(HU90=1,IE90&gt;0,Slot14_IsWG=1,EX90=1),MIN(IE90,MG90),0)</f>
        <v>0</v>
      </c>
      <c r="MI90" s="20" t="n">
        <f aca="false">EY90+MH90</f>
        <v>0</v>
      </c>
      <c r="MJ90" s="20" t="n">
        <f aca="false">IF(EX90=1,MAX(0,(Slot14_Cost-MI90*(1+Slot14_Rate)^(Slot14_Age-D90))/MF90),0)</f>
        <v>0</v>
      </c>
      <c r="MK90" s="20" t="n">
        <f aca="false">IF(EX90=1,MAX(0,(Slot14_Cost-EY90*(1+Slot14_Rate)^(Slot14_Age-D90))/MF90),0)</f>
        <v>0</v>
      </c>
      <c r="ML90" s="20" t="n">
        <f aca="false">IF(AND(HU90=1,EX90=1),MIN(ME90,MJ90),0)</f>
        <v>0</v>
      </c>
      <c r="MM90" s="20" t="n">
        <f aca="false">ME90-ML90</f>
        <v>0</v>
      </c>
      <c r="MN90" s="20" t="n">
        <f aca="false">IF(FH90=1,IF(ABS((1+AS_Wage)/(1+Slot15_Rate)-1)&lt;0.000000000001,(Slot15_Age-D90)*(1+Slot15_Rate)^(Slot15_Age-D90),(1+Slot15_Rate)^(Slot15_Age-D90)*(1-((1+AS_Wage)/(1+Slot15_Rate))^(Slot15_Age-D90))/(1-(1+AS_Wage)/(1+Slot15_Rate))),1)</f>
        <v>1</v>
      </c>
      <c r="MO90" s="20" t="n">
        <f aca="false">IF(AND(HU90=1,IE90&gt;0,Slot15_IsWG=1,FH90=1),MAX(0,(Slot15_Cost-FI90*(1+Slot15_Rate)^(Slot15_Age-D90))/MN90),0)</f>
        <v>0</v>
      </c>
      <c r="MP90" s="20" t="n">
        <f aca="false">IF(AND(HU90=1,IE90&gt;0,Slot15_IsWG=1,FH90=1),MIN(IE90,MO90),0)</f>
        <v>0</v>
      </c>
      <c r="MQ90" s="20" t="n">
        <f aca="false">FI90+MP90</f>
        <v>0</v>
      </c>
      <c r="MR90" s="20" t="n">
        <f aca="false">IF(FH90=1,MAX(0,(Slot15_Cost-MQ90*(1+Slot15_Rate)^(Slot15_Age-D90))/MN90),0)</f>
        <v>0</v>
      </c>
      <c r="MS90" s="20" t="n">
        <f aca="false">IF(FH90=1,MAX(0,(Slot15_Cost-FI90*(1+Slot15_Rate)^(Slot15_Age-D90))/MN90),0)</f>
        <v>0</v>
      </c>
      <c r="MT90" s="20" t="n">
        <f aca="false">IF(AND(HU90=1,FH90=1),MIN(MM90,MR90),0)</f>
        <v>0</v>
      </c>
      <c r="MU90" s="20" t="n">
        <f aca="false">MM90-MT90</f>
        <v>0</v>
      </c>
      <c r="MV90" s="20" t="n">
        <f aca="false">IF(FR90=1,IF(ABS((1+AS_Wage)/(1+Slot16_Rate)-1)&lt;0.000000000001,(Slot16_Age-D90)*(1+Slot16_Rate)^(Slot16_Age-D90),(1+Slot16_Rate)^(Slot16_Age-D90)*(1-((1+AS_Wage)/(1+Slot16_Rate))^(Slot16_Age-D90))/(1-(1+AS_Wage)/(1+Slot16_Rate))),1)</f>
        <v>1</v>
      </c>
      <c r="MW90" s="20" t="n">
        <f aca="false">IF(AND(HU90=1,IE90&gt;0,Slot16_IsWG=1,FR90=1),MAX(0,(Slot16_Cost-FS90*(1+Slot16_Rate)^(Slot16_Age-D90))/MV90),0)</f>
        <v>0</v>
      </c>
      <c r="MX90" s="20" t="n">
        <f aca="false">IF(AND(HU90=1,IE90&gt;0,Slot16_IsWG=1,FR90=1),MIN(IE90,MW90),0)</f>
        <v>0</v>
      </c>
      <c r="MY90" s="20" t="n">
        <f aca="false">FS90+MX90</f>
        <v>0</v>
      </c>
      <c r="MZ90" s="20" t="n">
        <f aca="false">IF(FR90=1,MAX(0,(Slot16_Cost-MY90*(1+Slot16_Rate)^(Slot16_Age-D90))/MV90),0)</f>
        <v>0</v>
      </c>
      <c r="NA90" s="20" t="n">
        <f aca="false">IF(FR90=1,MAX(0,(Slot16_Cost-FS90*(1+Slot16_Rate)^(Slot16_Age-D90))/MV90),0)</f>
        <v>0</v>
      </c>
      <c r="NB90" s="20" t="n">
        <f aca="false">IF(AND(HU90=1,FR90=1),MIN(MU90,MZ90),0)</f>
        <v>0</v>
      </c>
      <c r="NC90" s="20" t="n">
        <f aca="false">MU90-NB90</f>
        <v>0</v>
      </c>
      <c r="ND90" s="20" t="n">
        <f aca="false">IF(GB90=1,IF(ABS((1+AS_Wage)/(1+Slot17_Rate)-1)&lt;0.000000000001,(Slot17_Age-D90)*(1+Slot17_Rate)^(Slot17_Age-D90),(1+Slot17_Rate)^(Slot17_Age-D90)*(1-((1+AS_Wage)/(1+Slot17_Rate))^(Slot17_Age-D90))/(1-(1+AS_Wage)/(1+Slot17_Rate))),1)</f>
        <v>1</v>
      </c>
      <c r="NE90" s="20" t="n">
        <f aca="false">IF(AND(HU90=1,IE90&gt;0,Slot17_IsWG=1,GB90=1),MAX(0,(Slot17_Cost-GC90*(1+Slot17_Rate)^(Slot17_Age-D90))/ND90),0)</f>
        <v>0</v>
      </c>
      <c r="NF90" s="20" t="n">
        <f aca="false">IF(AND(HU90=1,IE90&gt;0,Slot17_IsWG=1,GB90=1),MIN(IE90,NE90),0)</f>
        <v>0</v>
      </c>
      <c r="NG90" s="20" t="n">
        <f aca="false">GC90+NF90</f>
        <v>0</v>
      </c>
      <c r="NH90" s="20" t="n">
        <f aca="false">IF(GB90=1,MAX(0,(Slot17_Cost-NG90*(1+Slot17_Rate)^(Slot17_Age-D90))/ND90),0)</f>
        <v>0</v>
      </c>
      <c r="NI90" s="20" t="n">
        <f aca="false">IF(GB90=1,MAX(0,(Slot17_Cost-GC90*(1+Slot17_Rate)^(Slot17_Age-D90))/ND90),0)</f>
        <v>0</v>
      </c>
      <c r="NJ90" s="20" t="n">
        <f aca="false">IF(AND(HU90=1,GB90=1),MIN(NC90,NH90),0)</f>
        <v>0</v>
      </c>
      <c r="NK90" s="20" t="n">
        <f aca="false">NC90-NJ90</f>
        <v>0</v>
      </c>
      <c r="NL90" s="20" t="n">
        <f aca="false">IF(GL90=1,IF(ABS((1+AS_Wage)/(1+Slot18_Rate)-1)&lt;0.000000000001,(Slot18_Age-D90)*(1+Slot18_Rate)^(Slot18_Age-D90),(1+Slot18_Rate)^(Slot18_Age-D90)*(1-((1+AS_Wage)/(1+Slot18_Rate))^(Slot18_Age-D90))/(1-(1+AS_Wage)/(1+Slot18_Rate))),1)</f>
        <v>1</v>
      </c>
      <c r="NM90" s="20" t="n">
        <f aca="false">IF(AND(HU90=1,IE90&gt;0,Slot18_IsWG=1,GL90=1),MAX(0,(Slot18_Cost-GM90*(1+Slot18_Rate)^(Slot18_Age-D90))/NL90),0)</f>
        <v>0</v>
      </c>
      <c r="NN90" s="20" t="n">
        <f aca="false">IF(AND(HU90=1,IE90&gt;0,Slot18_IsWG=1,GL90=1),MIN(IE90,NM90),0)</f>
        <v>0</v>
      </c>
      <c r="NO90" s="20" t="n">
        <f aca="false">GM90+NN90</f>
        <v>0</v>
      </c>
      <c r="NP90" s="20" t="n">
        <f aca="false">IF(GL90=1,MAX(0,(Slot18_Cost-NO90*(1+Slot18_Rate)^(Slot18_Age-D90))/NL90),0)</f>
        <v>0</v>
      </c>
      <c r="NQ90" s="20" t="n">
        <f aca="false">IF(GL90=1,MAX(0,(Slot18_Cost-GM90*(1+Slot18_Rate)^(Slot18_Age-D90))/NL90),0)</f>
        <v>0</v>
      </c>
      <c r="NR90" s="20" t="n">
        <f aca="false">IF(AND(HU90=1,GL90=1),MIN(NK90,NP90),0)</f>
        <v>0</v>
      </c>
      <c r="NS90" s="20" t="n">
        <f aca="false">NK90-NR90</f>
        <v>0</v>
      </c>
      <c r="NT90" s="20" t="n">
        <f aca="false">IF(GV90=1,IF(ABS((1+AS_Wage)/(1+Slot19_Rate)-1)&lt;0.000000000001,(Slot19_Age-D90)*(1+Slot19_Rate)^(Slot19_Age-D90),(1+Slot19_Rate)^(Slot19_Age-D90)*(1-((1+AS_Wage)/(1+Slot19_Rate))^(Slot19_Age-D90))/(1-(1+AS_Wage)/(1+Slot19_Rate))),1)</f>
        <v>1</v>
      </c>
      <c r="NU90" s="20" t="n">
        <f aca="false">IF(AND(HU90=1,IE90&gt;0,Slot19_IsWG=1,GV90=1),MAX(0,(Slot19_Cost-GW90*(1+Slot19_Rate)^(Slot19_Age-D90))/NT90),0)</f>
        <v>0</v>
      </c>
      <c r="NV90" s="20" t="n">
        <f aca="false">IF(AND(HU90=1,IE90&gt;0,Slot19_IsWG=1,GV90=1),MIN(IE90,NU90),0)</f>
        <v>0</v>
      </c>
      <c r="NW90" s="20" t="n">
        <f aca="false">GW90+NV90</f>
        <v>0</v>
      </c>
      <c r="NX90" s="20" t="n">
        <f aca="false">IF(GV90=1,MAX(0,(Slot19_Cost-NW90*(1+Slot19_Rate)^(Slot19_Age-D90))/NT90),0)</f>
        <v>0</v>
      </c>
      <c r="NY90" s="20" t="n">
        <f aca="false">IF(GV90=1,MAX(0,(Slot19_Cost-GW90*(1+Slot19_Rate)^(Slot19_Age-D90))/NT90),0)</f>
        <v>0</v>
      </c>
      <c r="NZ90" s="20" t="n">
        <f aca="false">IF(AND(HU90=1,GV90=1),MIN(NS90,NX90),0)</f>
        <v>0</v>
      </c>
      <c r="OA90" s="20" t="n">
        <f aca="false">NS90-NZ90</f>
        <v>0</v>
      </c>
      <c r="OB90" s="20" t="n">
        <f aca="false">IF(HF90=1,IF(ABS((1+AS_Wage)/(1+Slot20_Rate)-1)&lt;0.000000000001,(Slot20_Age-D90)*(1+Slot20_Rate)^(Slot20_Age-D90),(1+Slot20_Rate)^(Slot20_Age-D90)*(1-((1+AS_Wage)/(1+Slot20_Rate))^(Slot20_Age-D90))/(1-(1+AS_Wage)/(1+Slot20_Rate))),1)</f>
        <v>1</v>
      </c>
      <c r="OC90" s="20" t="n">
        <f aca="false">IF(AND(HU90=1,IE90&gt;0,Slot20_IsWG=1,HF90=1),MAX(0,(Slot20_Cost-HG90*(1+Slot20_Rate)^(Slot20_Age-D90))/OB90),0)</f>
        <v>0</v>
      </c>
      <c r="OD90" s="20" t="n">
        <f aca="false">IF(AND(HU90=1,IE90&gt;0,Slot20_IsWG=1,HF90=1),MIN(IE90,OC90),0)</f>
        <v>0</v>
      </c>
      <c r="OE90" s="20" t="n">
        <f aca="false">HG90+OD90</f>
        <v>0</v>
      </c>
      <c r="OF90" s="20" t="n">
        <f aca="false">IF(HF90=1,MAX(0,(Slot20_Cost-OE90*(1+Slot20_Rate)^(Slot20_Age-D90))/OB90),0)</f>
        <v>0</v>
      </c>
      <c r="OG90" s="20" t="n">
        <f aca="false">IF(HF90=1,MAX(0,(Slot20_Cost-HG90*(1+Slot20_Rate)^(Slot20_Age-D90))/OB90),0)</f>
        <v>0</v>
      </c>
      <c r="OH90" s="20" t="n">
        <f aca="false">IF(AND(HU90=1,HF90=1),MIN(OA90,OF90),0)</f>
        <v>0</v>
      </c>
      <c r="OI90" s="20" t="n">
        <f aca="false">OA90-OH90</f>
        <v>0</v>
      </c>
      <c r="OJ90" s="20" t="n">
        <f aca="false">IE90-(IH90+IP90+IX90+JF90+JN90+JV90+KD90+KL90+KT90+LB90+LJ90+LR90+LZ90+MH90+MP90+MX90+NF90+NN90+NV90+OD90)</f>
        <v>0</v>
      </c>
      <c r="OK90" s="20" t="n">
        <f aca="false">IF(HU90=1,HS90-ID90-IE90,0)</f>
        <v>0</v>
      </c>
      <c r="OL90" s="20" t="n">
        <f aca="false">IF(HU90=0,-HS90,0)</f>
        <v>97722.5565416088</v>
      </c>
      <c r="OM90" s="20" t="n">
        <f aca="false">MIN(OL90,HK90)</f>
        <v>0</v>
      </c>
      <c r="ON90" s="20" t="n">
        <f aca="false">OL90-OM90</f>
        <v>97722.5565416088</v>
      </c>
      <c r="OO90" s="20" t="n">
        <f aca="false">MIN(ON90,HL90)</f>
        <v>0</v>
      </c>
      <c r="OP90" s="20" t="n">
        <f aca="false">ON90-OO90</f>
        <v>97722.5565416088</v>
      </c>
      <c r="OQ90" s="20" t="n">
        <f aca="false">IF(AND(HU90=0,HF90=1,OP90&gt;0),MIN(OP90,HG90),0)</f>
        <v>0</v>
      </c>
      <c r="OR90" s="20" t="n">
        <f aca="false">OP90-OQ90</f>
        <v>97722.5565416088</v>
      </c>
      <c r="OS90" s="20" t="n">
        <f aca="false">IF(AND(HU90=0,GV90=1,OR90&gt;0),MIN(OR90,GW90),0)</f>
        <v>0</v>
      </c>
      <c r="OT90" s="20" t="n">
        <f aca="false">OR90-OS90</f>
        <v>97722.5565416088</v>
      </c>
      <c r="OU90" s="20" t="n">
        <f aca="false">IF(AND(HU90=0,GL90=1,OT90&gt;0),MIN(OT90,GM90),0)</f>
        <v>0</v>
      </c>
      <c r="OV90" s="20" t="n">
        <f aca="false">OT90-OU90</f>
        <v>97722.5565416088</v>
      </c>
      <c r="OW90" s="20" t="n">
        <f aca="false">IF(AND(HU90=0,GB90=1,OV90&gt;0),MIN(OV90,GC90),0)</f>
        <v>0</v>
      </c>
      <c r="OX90" s="20" t="n">
        <f aca="false">OV90-OW90</f>
        <v>97722.5565416088</v>
      </c>
      <c r="OY90" s="20" t="n">
        <f aca="false">IF(AND(HU90=0,FR90=1,OX90&gt;0),MIN(OX90,FS90),0)</f>
        <v>0</v>
      </c>
      <c r="OZ90" s="20" t="n">
        <f aca="false">OX90-OY90</f>
        <v>97722.5565416088</v>
      </c>
      <c r="PA90" s="20" t="n">
        <f aca="false">IF(AND(HU90=0,FH90=1,OZ90&gt;0),MIN(OZ90,FI90),0)</f>
        <v>0</v>
      </c>
      <c r="PB90" s="20" t="n">
        <f aca="false">OZ90-PA90</f>
        <v>97722.5565416088</v>
      </c>
      <c r="PC90" s="20" t="n">
        <f aca="false">IF(AND(HU90=0,EX90=1,PB90&gt;0),MIN(PB90,EY90),0)</f>
        <v>0</v>
      </c>
      <c r="PD90" s="20" t="n">
        <f aca="false">PB90-PC90</f>
        <v>97722.5565416088</v>
      </c>
      <c r="PE90" s="20" t="n">
        <f aca="false">IF(AND(HU90=0,EN90=1,PD90&gt;0),MIN(PD90,EO90),0)</f>
        <v>0</v>
      </c>
      <c r="PF90" s="20" t="n">
        <f aca="false">PD90-PE90</f>
        <v>97722.5565416088</v>
      </c>
      <c r="PG90" s="20" t="n">
        <f aca="false">IF(AND(HU90=0,ED90=1,PF90&gt;0),MIN(PF90,EE90),0)</f>
        <v>0</v>
      </c>
      <c r="PH90" s="20" t="n">
        <f aca="false">PF90-PG90</f>
        <v>97722.5565416088</v>
      </c>
      <c r="PI90" s="20" t="n">
        <f aca="false">IF(AND(HU90=0,DT90=1,PH90&gt;0),MIN(PH90,DU90),0)</f>
        <v>0</v>
      </c>
      <c r="PJ90" s="20" t="n">
        <f aca="false">PH90-PI90</f>
        <v>97722.5565416088</v>
      </c>
      <c r="PK90" s="20" t="n">
        <f aca="false">IF(AND(HU90=0,DJ90=1,PJ90&gt;0),MIN(PJ90,DK90),0)</f>
        <v>0</v>
      </c>
      <c r="PL90" s="20" t="n">
        <f aca="false">PJ90-PK90</f>
        <v>97722.5565416088</v>
      </c>
      <c r="PM90" s="20" t="n">
        <f aca="false">IF(AND(HU90=0,CZ90=1,PL90&gt;0),MIN(PL90,DA90),0)</f>
        <v>0</v>
      </c>
      <c r="PN90" s="20" t="n">
        <f aca="false">PL90-PM90</f>
        <v>97722.5565416088</v>
      </c>
      <c r="PO90" s="20" t="n">
        <f aca="false">IF(AND(HU90=0,CP90=1,PN90&gt;0),MIN(PN90,CQ90),0)</f>
        <v>0</v>
      </c>
      <c r="PP90" s="20" t="n">
        <f aca="false">PN90-PO90</f>
        <v>97722.5565416088</v>
      </c>
      <c r="PQ90" s="20" t="n">
        <f aca="false">IF(AND(HU90=0,CF90=1,PP90&gt;0),MIN(PP90,CG90),0)</f>
        <v>0</v>
      </c>
      <c r="PR90" s="20" t="n">
        <f aca="false">PP90-PQ90</f>
        <v>97722.5565416088</v>
      </c>
      <c r="PS90" s="20" t="n">
        <f aca="false">IF(AND(HU90=0,BV90=1,PR90&gt;0),MIN(PR90,BW90),0)</f>
        <v>0</v>
      </c>
      <c r="PT90" s="20" t="n">
        <f aca="false">PR90-PS90</f>
        <v>97722.5565416088</v>
      </c>
      <c r="PU90" s="20" t="n">
        <f aca="false">IF(AND(HU90=0,BL90=1,PT90&gt;0),MIN(PT90,BM90),0)</f>
        <v>0</v>
      </c>
      <c r="PV90" s="20" t="n">
        <f aca="false">PT90-PU90</f>
        <v>97722.5565416088</v>
      </c>
      <c r="PW90" s="20" t="n">
        <f aca="false">IF(AND(HU90=0,BB90=1,PV90&gt;0),MIN(PV90,BC90),0)</f>
        <v>0</v>
      </c>
      <c r="PX90" s="20" t="n">
        <f aca="false">PV90-PW90</f>
        <v>97722.5565416088</v>
      </c>
      <c r="PY90" s="20" t="n">
        <f aca="false">IF(AND(HU90=0,AR90=1,PX90&gt;0),MIN(PX90,AS90),0)</f>
        <v>0</v>
      </c>
      <c r="PZ90" s="20" t="n">
        <f aca="false">PX90-PY90</f>
        <v>97722.5565416088</v>
      </c>
      <c r="QA90" s="20" t="n">
        <f aca="false">IF(AND(HU90=0,AH90=1,PZ90&gt;0),MIN(PZ90,AI90),0)</f>
        <v>0</v>
      </c>
      <c r="QB90" s="20" t="n">
        <f aca="false">PZ90-QA90</f>
        <v>97722.5565416088</v>
      </c>
      <c r="QC90" s="20" t="n">
        <f aca="false">IF(AND(HU90=0,W90=1,QB90&gt;0),MIN(QB90,X90),0)</f>
        <v>0</v>
      </c>
      <c r="QD90" s="20" t="n">
        <f aca="false">QB90-QC90</f>
        <v>97722.5565416088</v>
      </c>
      <c r="QE90" s="20" t="n">
        <f aca="false">IF(HU90=0,QD90,0)</f>
        <v>97722.5565416088</v>
      </c>
      <c r="QF90" s="20" t="n">
        <f aca="false">OM90+OO90+QC90+QA90+PY90+PW90+PU90+PS90+PQ90+PO90+PM90+PK90+PI90+PG90+PE90+PC90+PA90+OY90+OW90+OU90+OS90+OQ90</f>
        <v>0</v>
      </c>
      <c r="QG90" s="20" t="n">
        <f aca="false">IF(HU90=1,HK90+OJ90+OI90+IF(G90=1,0,OK90),HK90-OM90)</f>
        <v>0</v>
      </c>
      <c r="QH90" s="20" t="n">
        <f aca="false">HL90-OO90</f>
        <v>0</v>
      </c>
      <c r="QI90" s="20" t="n">
        <f aca="false">IF(HU90=1,IF(G90=1,ID90+IE90,HS90),0)</f>
        <v>0</v>
      </c>
      <c r="QJ90" s="20" t="n">
        <f aca="false">IF(HU90=1,IF(G90=1,HS90-ID90-IE90,0),0)</f>
        <v>0</v>
      </c>
      <c r="QK90" s="20" t="n">
        <f aca="false">QG90*(1+GR)</f>
        <v>0</v>
      </c>
      <c r="QL90" s="20" t="n">
        <f aca="false">QH90*(1+AS_Cash)</f>
        <v>0</v>
      </c>
      <c r="QM90" s="20" t="n">
        <f aca="false">IF(W90=1,IF(HU90=1,II90+IL90,X90-QC90)*(1+Slot1_Rate),0)</f>
        <v>0</v>
      </c>
      <c r="QN90" s="20" t="n">
        <f aca="false">IF(AND(HU90=1,W90=1),(IH90+IL90)/F90,0)</f>
        <v>0</v>
      </c>
      <c r="QO90" s="20" t="n">
        <f aca="false">IF(B90=0,IH90+IL90,0)</f>
        <v>0</v>
      </c>
      <c r="QP90" s="20" t="n">
        <f aca="false">IF(B90=0,IF(HU90=1,IJ90,IK90),0)</f>
        <v>0</v>
      </c>
      <c r="QQ90" s="20" t="n">
        <f aca="false">IF(AH90=1,IF(HU90=1,IQ90+IT90,AI90-QA90)*(1+Slot2_Rate),0)</f>
        <v>0</v>
      </c>
      <c r="QR90" s="20" t="n">
        <f aca="false">IF(AND(HU90=1,AH90=1),(IP90+IT90)/F90,0)</f>
        <v>0</v>
      </c>
      <c r="QS90" s="20" t="n">
        <f aca="false">IF(B90=0,IP90+IT90,0)</f>
        <v>0</v>
      </c>
      <c r="QT90" s="20" t="n">
        <f aca="false">IF(B90=0,IF(HU90=1,IR90,IS90),0)</f>
        <v>0</v>
      </c>
      <c r="QU90" s="20" t="n">
        <f aca="false">IF(AR90=1,IF(HU90=1,IY90+JB90,AS90-PY90)*(1+Slot3_Rate),0)</f>
        <v>0</v>
      </c>
      <c r="QV90" s="20" t="n">
        <f aca="false">IF(AND(HU90=1,AR90=1),(IX90+JB90)/F90,0)</f>
        <v>0</v>
      </c>
      <c r="QW90" s="20" t="n">
        <f aca="false">IF(B90=0,IX90+JB90,0)</f>
        <v>0</v>
      </c>
      <c r="QX90" s="20" t="n">
        <f aca="false">IF(B90=0,IF(HU90=1,IZ90,JA90),0)</f>
        <v>0</v>
      </c>
      <c r="QY90" s="20" t="n">
        <f aca="false">IF(BB90=1,IF(HU90=1,JG90+JJ90,BC90-PW90)*(1+Slot4_Rate),0)</f>
        <v>0</v>
      </c>
      <c r="QZ90" s="20" t="n">
        <f aca="false">IF(AND(HU90=1,BB90=1),(JF90+JJ90)/F90,0)</f>
        <v>0</v>
      </c>
      <c r="RA90" s="20" t="n">
        <f aca="false">IF(B90=0,JF90+JJ90,0)</f>
        <v>0</v>
      </c>
      <c r="RB90" s="20" t="n">
        <f aca="false">IF(B90=0,IF(HU90=1,JH90,JI90),0)</f>
        <v>0</v>
      </c>
      <c r="RC90" s="20" t="n">
        <f aca="false">IF(BL90=1,IF(HU90=1,JO90+JR90,BM90-PU90)*(1+Slot5_Rate),0)</f>
        <v>0</v>
      </c>
      <c r="RD90" s="20" t="n">
        <f aca="false">IF(AND(HU90=1,BL90=1),(JN90+JR90)/F90,0)</f>
        <v>0</v>
      </c>
      <c r="RE90" s="20" t="n">
        <f aca="false">IF(B90=0,JN90+JR90,0)</f>
        <v>0</v>
      </c>
      <c r="RF90" s="20" t="n">
        <f aca="false">IF(B90=0,IF(HU90=1,JP90,JQ90),0)</f>
        <v>0</v>
      </c>
      <c r="RG90" s="20" t="n">
        <f aca="false">IF(BV90=1,IF(HU90=1,JW90+JZ90,BW90-PS90)*(1+Slot6_Rate),0)</f>
        <v>0</v>
      </c>
      <c r="RH90" s="20" t="n">
        <f aca="false">IF(AND(HU90=1,BV90=1),(JV90+JZ90)/F90,0)</f>
        <v>0</v>
      </c>
      <c r="RI90" s="20" t="n">
        <f aca="false">IF(B90=0,JV90+JZ90,0)</f>
        <v>0</v>
      </c>
      <c r="RJ90" s="20" t="n">
        <f aca="false">IF(B90=0,IF(HU90=1,JX90,JY90),0)</f>
        <v>0</v>
      </c>
      <c r="RK90" s="20" t="n">
        <f aca="false">IF(CF90=1,IF(HU90=1,KE90+KH90,CG90-PQ90)*(1+Slot7_Rate),0)</f>
        <v>0</v>
      </c>
      <c r="RL90" s="20" t="n">
        <f aca="false">IF(AND(HU90=1,CF90=1),(KD90+KH90)/F90,0)</f>
        <v>0</v>
      </c>
      <c r="RM90" s="20" t="n">
        <f aca="false">IF(B90=0,KD90+KH90,0)</f>
        <v>0</v>
      </c>
      <c r="RN90" s="20" t="n">
        <f aca="false">IF(B90=0,IF(HU90=1,KF90,KG90),0)</f>
        <v>0</v>
      </c>
      <c r="RO90" s="20" t="n">
        <f aca="false">IF(CP90=1,IF(HU90=1,KM90+KP90,CQ90-PO90)*(1+Slot8_Rate),0)</f>
        <v>0</v>
      </c>
      <c r="RP90" s="20" t="n">
        <f aca="false">IF(AND(HU90=1,CP90=1),(KL90+KP90)/F90,0)</f>
        <v>0</v>
      </c>
      <c r="RQ90" s="20" t="n">
        <f aca="false">IF(B90=0,KL90+KP90,0)</f>
        <v>0</v>
      </c>
      <c r="RR90" s="20" t="n">
        <f aca="false">IF(B90=0,IF(HU90=1,KN90,KO90),0)</f>
        <v>0</v>
      </c>
      <c r="RS90" s="20" t="n">
        <f aca="false">IF(CZ90=1,IF(HU90=1,KU90+KX90,DA90-PM90)*(1+Slot9_Rate),0)</f>
        <v>0</v>
      </c>
      <c r="RT90" s="20" t="n">
        <f aca="false">IF(AND(HU90=1,CZ90=1),(KT90+KX90)/F90,0)</f>
        <v>0</v>
      </c>
      <c r="RU90" s="20" t="n">
        <f aca="false">IF(B90=0,KT90+KX90,0)</f>
        <v>0</v>
      </c>
      <c r="RV90" s="20" t="n">
        <f aca="false">IF(B90=0,IF(HU90=1,KV90,KW90),0)</f>
        <v>0</v>
      </c>
      <c r="RW90" s="20" t="n">
        <f aca="false">IF(DJ90=1,IF(HU90=1,LC90+LF90,DK90-PK90)*(1+Slot10_Rate),0)</f>
        <v>0</v>
      </c>
      <c r="RX90" s="20" t="n">
        <f aca="false">IF(AND(HU90=1,DJ90=1),(LB90+LF90)/F90,0)</f>
        <v>0</v>
      </c>
      <c r="RY90" s="20" t="n">
        <f aca="false">IF(B90=0,LB90+LF90,0)</f>
        <v>0</v>
      </c>
      <c r="RZ90" s="20" t="n">
        <f aca="false">IF(B90=0,IF(HU90=1,LD90,LE90),0)</f>
        <v>0</v>
      </c>
      <c r="SA90" s="20" t="n">
        <f aca="false">IF(DT90=1,IF(HU90=1,LK90+LN90,DU90-PI90)*(1+Slot11_Rate),0)</f>
        <v>0</v>
      </c>
      <c r="SB90" s="20" t="n">
        <f aca="false">IF(AND(HU90=1,DT90=1),(LJ90+LN90)/F90,0)</f>
        <v>0</v>
      </c>
      <c r="SC90" s="20" t="n">
        <f aca="false">IF(B90=0,LJ90+LN90,0)</f>
        <v>0</v>
      </c>
      <c r="SD90" s="20" t="n">
        <f aca="false">IF(B90=0,IF(HU90=1,LL90,LM90),0)</f>
        <v>0</v>
      </c>
      <c r="SE90" s="20" t="n">
        <f aca="false">IF(ED90=1,IF(HU90=1,LS90+LV90,EE90-PG90)*(1+Slot12_Rate),0)</f>
        <v>0</v>
      </c>
      <c r="SF90" s="20" t="n">
        <f aca="false">IF(AND(HU90=1,ED90=1),(LR90+LV90)/F90,0)</f>
        <v>0</v>
      </c>
      <c r="SG90" s="20" t="n">
        <f aca="false">IF(B90=0,LR90+LV90,0)</f>
        <v>0</v>
      </c>
      <c r="SH90" s="20" t="n">
        <f aca="false">IF(B90=0,IF(HU90=1,LT90,LU90),0)</f>
        <v>0</v>
      </c>
      <c r="SI90" s="20" t="n">
        <f aca="false">IF(EN90=1,IF(HU90=1,MA90+MD90,EO90-PE90)*(1+Slot13_Rate),0)</f>
        <v>0</v>
      </c>
      <c r="SJ90" s="20" t="n">
        <f aca="false">IF(AND(HU90=1,EN90=1),(LZ90+MD90)/F90,0)</f>
        <v>0</v>
      </c>
      <c r="SK90" s="20" t="n">
        <f aca="false">IF(B90=0,LZ90+MD90,0)</f>
        <v>0</v>
      </c>
      <c r="SL90" s="20" t="n">
        <f aca="false">IF(B90=0,IF(HU90=1,MB90,MC90),0)</f>
        <v>0</v>
      </c>
      <c r="SM90" s="20" t="n">
        <f aca="false">IF(EX90=1,IF(HU90=1,MI90+ML90,EY90-PC90)*(1+Slot14_Rate),0)</f>
        <v>0</v>
      </c>
      <c r="SN90" s="20" t="n">
        <f aca="false">IF(AND(HU90=1,EX90=1),(MH90+ML90)/F90,0)</f>
        <v>0</v>
      </c>
      <c r="SO90" s="20" t="n">
        <f aca="false">IF(B90=0,MH90+ML90,0)</f>
        <v>0</v>
      </c>
      <c r="SP90" s="20" t="n">
        <f aca="false">IF(B90=0,IF(HU90=1,MJ90,MK90),0)</f>
        <v>0</v>
      </c>
      <c r="SQ90" s="20" t="n">
        <f aca="false">IF(FH90=1,IF(HU90=1,MQ90+MT90,FI90-PA90)*(1+Slot15_Rate),0)</f>
        <v>0</v>
      </c>
      <c r="SR90" s="20" t="n">
        <f aca="false">IF(AND(HU90=1,FH90=1),(MP90+MT90)/F90,0)</f>
        <v>0</v>
      </c>
      <c r="SS90" s="20" t="n">
        <f aca="false">IF(B90=0,MP90+MT90,0)</f>
        <v>0</v>
      </c>
      <c r="ST90" s="20" t="n">
        <f aca="false">IF(B90=0,IF(HU90=1,MR90,MS90),0)</f>
        <v>0</v>
      </c>
      <c r="SU90" s="20" t="n">
        <f aca="false">IF(FR90=1,IF(HU90=1,MY90+NB90,FS90-OY90)*(1+Slot16_Rate),0)</f>
        <v>0</v>
      </c>
      <c r="SV90" s="20" t="n">
        <f aca="false">IF(AND(HU90=1,FR90=1),(MX90+NB90)/F90,0)</f>
        <v>0</v>
      </c>
      <c r="SW90" s="20" t="n">
        <f aca="false">IF(B90=0,MX90+NB90,0)</f>
        <v>0</v>
      </c>
      <c r="SX90" s="20" t="n">
        <f aca="false">IF(B90=0,IF(HU90=1,MZ90,NA90),0)</f>
        <v>0</v>
      </c>
      <c r="SY90" s="20" t="n">
        <f aca="false">IF(GB90=1,IF(HU90=1,NG90+NJ90,GC90-OW90)*(1+Slot17_Rate),0)</f>
        <v>0</v>
      </c>
      <c r="SZ90" s="20" t="n">
        <f aca="false">IF(AND(HU90=1,GB90=1),(NF90+NJ90)/F90,0)</f>
        <v>0</v>
      </c>
      <c r="TA90" s="20" t="n">
        <f aca="false">IF(B90=0,NF90+NJ90,0)</f>
        <v>0</v>
      </c>
      <c r="TB90" s="20" t="n">
        <f aca="false">IF(B90=0,IF(HU90=1,NH90,NI90),0)</f>
        <v>0</v>
      </c>
      <c r="TC90" s="20" t="n">
        <f aca="false">IF(GL90=1,IF(HU90=1,NO90+NR90,GM90-OU90)*(1+Slot18_Rate),0)</f>
        <v>0</v>
      </c>
      <c r="TD90" s="20" t="n">
        <f aca="false">IF(AND(HU90=1,GL90=1),(NN90+NR90)/F90,0)</f>
        <v>0</v>
      </c>
      <c r="TE90" s="20" t="n">
        <f aca="false">IF(B90=0,NN90+NR90,0)</f>
        <v>0</v>
      </c>
      <c r="TF90" s="20" t="n">
        <f aca="false">IF(B90=0,IF(HU90=1,NP90,NQ90),0)</f>
        <v>0</v>
      </c>
      <c r="TG90" s="20" t="n">
        <f aca="false">IF(GV90=1,IF(HU90=1,NW90+NZ90,GW90-OS90)*(1+Slot19_Rate),0)</f>
        <v>0</v>
      </c>
      <c r="TH90" s="20" t="n">
        <f aca="false">IF(AND(HU90=1,GV90=1),(NV90+NZ90)/F90,0)</f>
        <v>0</v>
      </c>
      <c r="TI90" s="20" t="n">
        <f aca="false">IF(B90=0,NV90+NZ90,0)</f>
        <v>0</v>
      </c>
      <c r="TJ90" s="20" t="n">
        <f aca="false">IF(B90=0,IF(HU90=1,NX90,NY90),0)</f>
        <v>0</v>
      </c>
      <c r="TK90" s="20" t="n">
        <f aca="false">IF(HF90=1,IF(HU90=1,OE90+OH90,HG90-OQ90)*(1+Slot20_Rate),0)</f>
        <v>0</v>
      </c>
      <c r="TL90" s="20" t="n">
        <f aca="false">IF(AND(HU90=1,HF90=1),(OD90+OH90)/F90,0)</f>
        <v>0</v>
      </c>
      <c r="TM90" s="20" t="n">
        <f aca="false">IF(B90=0,OD90+OH90,0)</f>
        <v>0</v>
      </c>
      <c r="TN90" s="20" t="n">
        <f aca="false">IF(B90=0,IF(HU90=1,OF90,OG90),0)</f>
        <v>0</v>
      </c>
      <c r="TO90" s="20" t="n">
        <f aca="false">QK90+QL90+QM90+QQ90+QU90+QY90+RC90+RG90+RK90+RO90+RS90+RW90+SA90+SE90+SI90+SM90+SQ90+SU90+SY90+TC90+TG90+TK90</f>
        <v>0</v>
      </c>
      <c r="TP90" s="20" t="n">
        <f aca="false">QE90+HP90</f>
        <v>97722.5565416088</v>
      </c>
      <c r="TQ90" s="20" t="n">
        <f aca="false">I90+S90</f>
        <v>242461.049724529</v>
      </c>
      <c r="TR90" s="20" t="n">
        <f aca="false">1-G90</f>
        <v>1</v>
      </c>
      <c r="TS90" s="20" t="n">
        <f aca="false">IF(AND(RG_Exists=1,G90=0,C90=1),I90,0)</f>
        <v>0</v>
      </c>
      <c r="TT90" s="20" t="n">
        <f aca="false">IF(AND(RG_Exists=1,G90=0,C90=1),I90-MIN(QE90,I90),0)</f>
        <v>0</v>
      </c>
      <c r="TU90" s="20" t="n">
        <f aca="false">'Plan pay &amp; tax'!AD316</f>
        <v>0</v>
      </c>
      <c r="TV90" s="20" t="n">
        <f aca="false">IF(AND(C90=1,QE90&gt;MAX(PR_Short1,TQ90*PR_Short2)),1,0)</f>
        <v>0</v>
      </c>
      <c r="TW90" s="20" t="n">
        <f aca="false">MIN(H90,I90+S90)</f>
        <v>144738.49318292</v>
      </c>
      <c r="TX90" s="20" t="n">
        <f aca="false">QF90+MAX(0,HQ90-HP90)</f>
        <v>0</v>
      </c>
      <c r="TY90" s="20" t="n">
        <f aca="false">QE90+HP90</f>
        <v>97722.5565416088</v>
      </c>
      <c r="TZ90" s="20" t="n">
        <f aca="false">IF(AND(C90=1,TY90&gt;PR_MinShort),1,0)</f>
        <v>0</v>
      </c>
      <c r="UA90" s="20" t="n">
        <f aca="false">IF(AND(C90=1,TZ90=0,TX90&gt;PR_MinShort),1,0)</f>
        <v>0</v>
      </c>
      <c r="UB90" s="20" t="n">
        <f aca="false">IF(AND(C90=1,QE90&gt;PR_MinShort),1,0)</f>
        <v>0</v>
      </c>
      <c r="UC90" s="20" t="n">
        <f aca="false">IF(AND(C90=1,QF90&gt;1,UJ90=0),1,0)</f>
        <v>0</v>
      </c>
      <c r="UD90" s="20" t="str">
        <f aca="false">IF(C90=0,"",IF(UJ90=1,"Gap to plan for: short "&amp;"€"&amp;TEXT(ROUND(TP90,0),"#,##0"),IF(QF90&gt;1,"Using savings","Comfortable")))</f>
        <v/>
      </c>
      <c r="UE90" s="20" t="n">
        <f aca="false">IF(AND(INT(D90/10)*10=90,B90&gt;0),80,INT(D90/10)*10)</f>
        <v>120</v>
      </c>
      <c r="UF90" s="20" t="n">
        <f aca="false">IF(B90=0,1,IF(UE90&lt;&gt;UE89,UF89+1,UF89))</f>
        <v>9</v>
      </c>
      <c r="UG90" s="20" t="n">
        <f aca="false">IF(AND(C90=1,G90=1,QE90&gt;MAX(PR_Short1,TQ90*PR_Short2)),1,0)</f>
        <v>0</v>
      </c>
      <c r="UH90" s="20" t="n">
        <f aca="false">TR90*TV90</f>
        <v>0</v>
      </c>
      <c r="UI90" s="20" t="n">
        <f aca="false">IF(AND(V90=1,Slot1_PctLow=1),1,0)+IF(AND(AG90=1,Slot2_PctLow=1),1,0)+IF(AND(AQ90=1,Slot3_PctLow=1),1,0)+IF(AND(BA90=1,Slot4_PctLow=1),1,0)+IF(AND(BK90=1,Slot5_PctLow=1),1,0)+IF(AND(BU90=1,Slot6_PctLow=1),1,0)+IF(AND(CE90=1,Slot7_PctLow=1),1,0)+IF(AND(CO90=1,Slot8_PctLow=1),1,0)+IF(AND(CY90=1,Slot9_PctLow=1),1,0)+IF(AND(DI90=1,Slot10_PctLow=1),1,0)+IF(AND(DS90=1,Slot11_PctLow=1),1,0)+IF(AND(EC90=1,Slot12_PctLow=1),1,0)+IF(AND(EM90=1,Slot13_PctLow=1),1,0)+IF(AND(EW90=1,Slot14_PctLow=1),1,0)+IF(AND(FG90=1,Slot15_PctLow=1),1,0)+IF(AND(FQ90=1,Slot16_PctLow=1),1,0)+IF(AND(GA90=1,Slot17_PctLow=1),1,0)+IF(AND(GK90=1,Slot18_PctLow=1),1,0)+IF(AND(GU90=1,Slot19_PctLow=1),1,0)+IF(AND(HE90=1,Slot20_PctLow=1),1,0)</f>
        <v>0</v>
      </c>
      <c r="UJ90" s="20" t="n">
        <f aca="false">IF(C90=1,IF(OR(TV90=1,UI90&gt;0),1,0),0)</f>
        <v>0</v>
      </c>
    </row>
    <row r="91" customFormat="false" ht="15" hidden="false" customHeight="true" outlineLevel="0" collapsed="false">
      <c r="B91" s="20" t="n">
        <v>83</v>
      </c>
      <c r="C91" s="20" t="n">
        <f aca="false">IF(B91&lt;=F_N,1,0)</f>
        <v>0</v>
      </c>
      <c r="D91" s="20" t="n">
        <f aca="false">'Plan pay &amp; tax'!C317</f>
        <v>121</v>
      </c>
      <c r="E91" s="20" t="str">
        <f aca="false">IF($C91=1,"Income tax "&amp;TEXT(N('Plan pay &amp; tax'!BK317),"#,##0")&amp;"; USC "&amp;TEXT(N('Plan pay &amp; tax'!BM317)+N('Plan pay &amp; tax'!BO317),"#,##0")&amp;"; PRSI "&amp;TEXT(N('Plan pay &amp; tax'!BP317)+N('Plan pay &amp; tax'!BQ317),"#,##0")&amp;". DIRT and exit tax are inside the growth rates here.","")</f>
        <v/>
      </c>
      <c r="F91" s="44" t="n">
        <f aca="false">'Plan pay &amp; tax'!E317</f>
        <v>5.17385503596275</v>
      </c>
      <c r="G91" s="20" t="n">
        <f aca="false">'Plan pay &amp; tax'!G317</f>
        <v>0</v>
      </c>
      <c r="H91" s="20" t="n">
        <f aca="false">'Plan pay &amp; tax'!BT317-'Plan pay &amp; tax'!BS317-'Plan pay &amp; tax'!R317</f>
        <v>147633.263046578</v>
      </c>
      <c r="I91" s="20" t="n">
        <f aca="false">IF(G91=1,F_CostsM*12,IF(RG_Exists=1,RG_Amount,F_CostsM*12*AS_RetireSpend))*F91+F_OneOffY*F91</f>
        <v>247310.270719019</v>
      </c>
      <c r="J91" s="20" t="n">
        <f aca="false">HR90</f>
        <v>0</v>
      </c>
      <c r="K91" s="20" t="n">
        <f aca="false">IF(J91&gt;1,'Plan debt months'!AC91,0)</f>
        <v>0</v>
      </c>
      <c r="L91" s="20" t="n">
        <f aca="false">IF(J91&gt;1,'Plan debt months'!AB91,J91)</f>
        <v>0</v>
      </c>
      <c r="M91" s="20" t="n">
        <f aca="false">O90</f>
        <v>0</v>
      </c>
      <c r="N91" s="20" t="n">
        <f aca="false">IF(M91&gt;1,'Plan debt months'!BD91,0)</f>
        <v>0</v>
      </c>
      <c r="O91" s="20" t="n">
        <f aca="false">IF(M91&gt;1,'Plan debt months'!BC91,M91)</f>
        <v>0</v>
      </c>
      <c r="P91" s="20" t="n">
        <f aca="false">R90</f>
        <v>0</v>
      </c>
      <c r="Q91" s="20" t="n">
        <f aca="false">IF(P91&gt;1,'Plan debt months'!CE91,0)</f>
        <v>0</v>
      </c>
      <c r="R91" s="20" t="n">
        <f aca="false">IF(P91&gt;1,'Plan debt months'!CD91,P91)</f>
        <v>0</v>
      </c>
      <c r="S91" s="20" t="n">
        <f aca="false">K91+N91+Q91</f>
        <v>0</v>
      </c>
      <c r="T91" s="20" t="n">
        <f aca="false">QK90+'Plan pay &amp; tax'!Y317</f>
        <v>0</v>
      </c>
      <c r="U91" s="20" t="n">
        <f aca="false">QK90</f>
        <v>0</v>
      </c>
      <c r="V91" s="20" t="n">
        <f aca="false">IF(AND(Slot1_On=1,D91=Slot1_Age),1,0)</f>
        <v>0</v>
      </c>
      <c r="W91" s="20" t="n">
        <f aca="false">IF(AND(Slot1_On=1,Slot1_Age&gt;D91),1,0)</f>
        <v>0</v>
      </c>
      <c r="X91" s="20" t="n">
        <f aca="false">QM90</f>
        <v>0</v>
      </c>
      <c r="Y91" s="20" t="n">
        <f aca="false">V91*MIN(Slot1_Cost,X91)</f>
        <v>0</v>
      </c>
      <c r="Z91" s="20" t="n">
        <f aca="false">V91*Slot1_SpendLike*MIN(Slot1_Cost-Y91,T91)</f>
        <v>0</v>
      </c>
      <c r="AA91" s="20" t="n">
        <f aca="false">Y91+Z91</f>
        <v>0</v>
      </c>
      <c r="AB91" s="20" t="n">
        <f aca="false">T91-Z91+V91*IF(Slot1_SpendLike=1,X91-Y91,IF(Slot1_PotFree=1,X91,0))</f>
        <v>0</v>
      </c>
      <c r="AC91" s="20" t="n">
        <f aca="false">AF91+V91*Slot1_BufPot*X91</f>
        <v>0</v>
      </c>
      <c r="AD91" s="20" t="n">
        <f aca="false">IF(AND(V91=1,Slot1_IsMfree=1),IF(AA91&gt;=Slot1_Cost-1,0,MAX(0,L91-AA91)),L91)</f>
        <v>0</v>
      </c>
      <c r="AE91" s="20" t="n">
        <f aca="false">V91*(Slot1_Cost-AA91)</f>
        <v>0</v>
      </c>
      <c r="AF91" s="20" t="n">
        <f aca="false">QL90</f>
        <v>0</v>
      </c>
      <c r="AG91" s="20" t="n">
        <f aca="false">IF(AND(Slot2_On=1,D91=Slot2_Age),1,0)</f>
        <v>0</v>
      </c>
      <c r="AH91" s="20" t="n">
        <f aca="false">IF(AND(Slot2_On=1,Slot2_Age&gt;D91),1,0)</f>
        <v>0</v>
      </c>
      <c r="AI91" s="20" t="n">
        <f aca="false">QQ90</f>
        <v>0</v>
      </c>
      <c r="AJ91" s="20" t="n">
        <f aca="false">AG91*MIN(Slot2_Cost,AI91)</f>
        <v>0</v>
      </c>
      <c r="AK91" s="20" t="n">
        <f aca="false">AG91*Slot2_SpendLike*MIN(Slot2_Cost-AJ91,AB91)</f>
        <v>0</v>
      </c>
      <c r="AL91" s="20" t="n">
        <f aca="false">AJ91+AK91</f>
        <v>0</v>
      </c>
      <c r="AM91" s="20" t="n">
        <f aca="false">AB91-AK91+AG91*IF(Slot2_SpendLike=1,AI91-AJ91,IF(Slot2_PotFree=1,AI91,0))</f>
        <v>0</v>
      </c>
      <c r="AN91" s="20" t="n">
        <f aca="false">AC91+AG91*Slot2_BufPot*AI91</f>
        <v>0</v>
      </c>
      <c r="AO91" s="20" t="n">
        <f aca="false">IF(AND(AG91=1,Slot2_IsMfree=1),IF(AL91&gt;=Slot2_Cost-1,0,MAX(0,AD91-AL91)),AD91)</f>
        <v>0</v>
      </c>
      <c r="AP91" s="20" t="n">
        <f aca="false">AG91*(Slot2_Cost-AL91)</f>
        <v>0</v>
      </c>
      <c r="AQ91" s="20" t="n">
        <f aca="false">IF(AND(Slot3_On=1,D91=Slot3_Age),1,0)</f>
        <v>0</v>
      </c>
      <c r="AR91" s="20" t="n">
        <f aca="false">IF(AND(Slot3_On=1,Slot3_Age&gt;D91),1,0)</f>
        <v>0</v>
      </c>
      <c r="AS91" s="20" t="n">
        <f aca="false">QU90</f>
        <v>0</v>
      </c>
      <c r="AT91" s="20" t="n">
        <f aca="false">AQ91*MIN(Slot3_Cost,AS91)</f>
        <v>0</v>
      </c>
      <c r="AU91" s="20" t="n">
        <f aca="false">AQ91*Slot3_SpendLike*MIN(Slot3_Cost-AT91,AM91)</f>
        <v>0</v>
      </c>
      <c r="AV91" s="20" t="n">
        <f aca="false">AT91+AU91</f>
        <v>0</v>
      </c>
      <c r="AW91" s="20" t="n">
        <f aca="false">AM91-AU91+AQ91*IF(Slot3_SpendLike=1,AS91-AT91,IF(Slot3_PotFree=1,AS91,0))</f>
        <v>0</v>
      </c>
      <c r="AX91" s="20" t="n">
        <f aca="false">AN91+AQ91*Slot3_BufPot*AS91</f>
        <v>0</v>
      </c>
      <c r="AY91" s="20" t="n">
        <f aca="false">IF(AND(AQ91=1,Slot3_IsMfree=1),IF(AV91&gt;=Slot3_Cost-1,0,MAX(0,AO91-AV91)),AO91)</f>
        <v>0</v>
      </c>
      <c r="AZ91" s="20" t="n">
        <f aca="false">AQ91*(Slot3_Cost-AV91)</f>
        <v>0</v>
      </c>
      <c r="BA91" s="20" t="n">
        <f aca="false">IF(AND(Slot4_On=1,D91=Slot4_Age),1,0)</f>
        <v>0</v>
      </c>
      <c r="BB91" s="20" t="n">
        <f aca="false">IF(AND(Slot4_On=1,Slot4_Age&gt;D91),1,0)</f>
        <v>0</v>
      </c>
      <c r="BC91" s="20" t="n">
        <f aca="false">QY90</f>
        <v>0</v>
      </c>
      <c r="BD91" s="20" t="n">
        <f aca="false">BA91*MIN(Slot4_Cost,BC91)</f>
        <v>0</v>
      </c>
      <c r="BE91" s="20" t="n">
        <f aca="false">BA91*Slot4_SpendLike*MIN(Slot4_Cost-BD91,AW91)</f>
        <v>0</v>
      </c>
      <c r="BF91" s="20" t="n">
        <f aca="false">BD91+BE91</f>
        <v>0</v>
      </c>
      <c r="BG91" s="20" t="n">
        <f aca="false">AW91-BE91+BA91*IF(Slot4_SpendLike=1,BC91-BD91,IF(Slot4_PotFree=1,BC91,0))</f>
        <v>0</v>
      </c>
      <c r="BH91" s="20" t="n">
        <f aca="false">AX91+BA91*Slot4_BufPot*BC91</f>
        <v>0</v>
      </c>
      <c r="BI91" s="20" t="n">
        <f aca="false">IF(AND(BA91=1,Slot4_IsMfree=1),IF(BF91&gt;=Slot4_Cost-1,0,MAX(0,AY91-BF91)),AY91)</f>
        <v>0</v>
      </c>
      <c r="BJ91" s="20" t="n">
        <f aca="false">BA91*(Slot4_Cost-BF91)</f>
        <v>0</v>
      </c>
      <c r="BK91" s="20" t="n">
        <f aca="false">IF(AND(Slot5_On=1,D91=Slot5_Age),1,0)</f>
        <v>0</v>
      </c>
      <c r="BL91" s="20" t="n">
        <f aca="false">IF(AND(Slot5_On=1,Slot5_Age&gt;D91),1,0)</f>
        <v>0</v>
      </c>
      <c r="BM91" s="20" t="n">
        <f aca="false">RC90</f>
        <v>0</v>
      </c>
      <c r="BN91" s="20" t="n">
        <f aca="false">BK91*MIN(Slot5_Cost,BM91)</f>
        <v>0</v>
      </c>
      <c r="BO91" s="20" t="n">
        <f aca="false">BK91*Slot5_SpendLike*MIN(Slot5_Cost-BN91,BG91)</f>
        <v>0</v>
      </c>
      <c r="BP91" s="20" t="n">
        <f aca="false">BN91+BO91</f>
        <v>0</v>
      </c>
      <c r="BQ91" s="20" t="n">
        <f aca="false">BG91-BO91+BK91*IF(Slot5_SpendLike=1,BM91-BN91,IF(Slot5_PotFree=1,BM91,0))</f>
        <v>0</v>
      </c>
      <c r="BR91" s="20" t="n">
        <f aca="false">BH91+BK91*Slot5_BufPot*BM91</f>
        <v>0</v>
      </c>
      <c r="BS91" s="20" t="n">
        <f aca="false">IF(AND(BK91=1,Slot5_IsMfree=1),IF(BP91&gt;=Slot5_Cost-1,0,MAX(0,BI91-BP91)),BI91)</f>
        <v>0</v>
      </c>
      <c r="BT91" s="20" t="n">
        <f aca="false">BK91*(Slot5_Cost-BP91)</f>
        <v>0</v>
      </c>
      <c r="BU91" s="20" t="n">
        <f aca="false">IF(AND(Slot6_On=1,D91=Slot6_Age),1,0)</f>
        <v>0</v>
      </c>
      <c r="BV91" s="20" t="n">
        <f aca="false">IF(AND(Slot6_On=1,Slot6_Age&gt;D91),1,0)</f>
        <v>0</v>
      </c>
      <c r="BW91" s="20" t="n">
        <f aca="false">RG90</f>
        <v>0</v>
      </c>
      <c r="BX91" s="20" t="n">
        <f aca="false">BU91*MIN(Slot6_Cost,BW91)</f>
        <v>0</v>
      </c>
      <c r="BY91" s="20" t="n">
        <f aca="false">BU91*Slot6_SpendLike*MIN(Slot6_Cost-BX91,BQ91)</f>
        <v>0</v>
      </c>
      <c r="BZ91" s="20" t="n">
        <f aca="false">BX91+BY91</f>
        <v>0</v>
      </c>
      <c r="CA91" s="20" t="n">
        <f aca="false">BQ91-BY91+BU91*IF(Slot6_SpendLike=1,BW91-BX91,IF(Slot6_PotFree=1,BW91,0))</f>
        <v>0</v>
      </c>
      <c r="CB91" s="20" t="n">
        <f aca="false">BR91+BU91*Slot6_BufPot*BW91</f>
        <v>0</v>
      </c>
      <c r="CC91" s="20" t="n">
        <f aca="false">IF(AND(BU91=1,Slot6_IsMfree=1),IF(BZ91&gt;=Slot6_Cost-1,0,MAX(0,BS91-BZ91)),BS91)</f>
        <v>0</v>
      </c>
      <c r="CD91" s="20" t="n">
        <f aca="false">BU91*(Slot6_Cost-BZ91)</f>
        <v>0</v>
      </c>
      <c r="CE91" s="20" t="n">
        <f aca="false">IF(AND(Slot7_On=1,D91=Slot7_Age),1,0)</f>
        <v>0</v>
      </c>
      <c r="CF91" s="20" t="n">
        <f aca="false">IF(AND(Slot7_On=1,Slot7_Age&gt;D91),1,0)</f>
        <v>0</v>
      </c>
      <c r="CG91" s="20" t="n">
        <f aca="false">RK90</f>
        <v>0</v>
      </c>
      <c r="CH91" s="20" t="n">
        <f aca="false">CE91*MIN(Slot7_Cost,CG91)</f>
        <v>0</v>
      </c>
      <c r="CI91" s="20" t="n">
        <f aca="false">CE91*Slot7_SpendLike*MIN(Slot7_Cost-CH91,CA91)</f>
        <v>0</v>
      </c>
      <c r="CJ91" s="20" t="n">
        <f aca="false">CH91+CI91</f>
        <v>0</v>
      </c>
      <c r="CK91" s="20" t="n">
        <f aca="false">CA91-CI91+CE91*IF(Slot7_SpendLike=1,CG91-CH91,IF(Slot7_PotFree=1,CG91,0))</f>
        <v>0</v>
      </c>
      <c r="CL91" s="20" t="n">
        <f aca="false">CB91+CE91*Slot7_BufPot*CG91</f>
        <v>0</v>
      </c>
      <c r="CM91" s="20" t="n">
        <f aca="false">IF(AND(CE91=1,Slot7_IsMfree=1),IF(CJ91&gt;=Slot7_Cost-1,0,MAX(0,CC91-CJ91)),CC91)</f>
        <v>0</v>
      </c>
      <c r="CN91" s="20" t="n">
        <f aca="false">CE91*(Slot7_Cost-CJ91)</f>
        <v>0</v>
      </c>
      <c r="CO91" s="20" t="n">
        <f aca="false">IF(AND(Slot8_On=1,D91=Slot8_Age),1,0)</f>
        <v>0</v>
      </c>
      <c r="CP91" s="20" t="n">
        <f aca="false">IF(AND(Slot8_On=1,Slot8_Age&gt;D91),1,0)</f>
        <v>0</v>
      </c>
      <c r="CQ91" s="20" t="n">
        <f aca="false">RO90</f>
        <v>0</v>
      </c>
      <c r="CR91" s="20" t="n">
        <f aca="false">CO91*MIN(Slot8_Cost,CQ91)</f>
        <v>0</v>
      </c>
      <c r="CS91" s="20" t="n">
        <f aca="false">CO91*Slot8_SpendLike*MIN(Slot8_Cost-CR91,CK91)</f>
        <v>0</v>
      </c>
      <c r="CT91" s="20" t="n">
        <f aca="false">CR91+CS91</f>
        <v>0</v>
      </c>
      <c r="CU91" s="20" t="n">
        <f aca="false">CK91-CS91+CO91*IF(Slot8_SpendLike=1,CQ91-CR91,IF(Slot8_PotFree=1,CQ91,0))</f>
        <v>0</v>
      </c>
      <c r="CV91" s="20" t="n">
        <f aca="false">CL91+CO91*Slot8_BufPot*CQ91</f>
        <v>0</v>
      </c>
      <c r="CW91" s="20" t="n">
        <f aca="false">IF(AND(CO91=1,Slot8_IsMfree=1),IF(CT91&gt;=Slot8_Cost-1,0,MAX(0,CM91-CT91)),CM91)</f>
        <v>0</v>
      </c>
      <c r="CX91" s="20" t="n">
        <f aca="false">CO91*(Slot8_Cost-CT91)</f>
        <v>0</v>
      </c>
      <c r="CY91" s="20" t="n">
        <f aca="false">IF(AND(Slot9_On=1,D91=Slot9_Age),1,0)</f>
        <v>0</v>
      </c>
      <c r="CZ91" s="20" t="n">
        <f aca="false">IF(AND(Slot9_On=1,Slot9_Age&gt;D91),1,0)</f>
        <v>0</v>
      </c>
      <c r="DA91" s="20" t="n">
        <f aca="false">RS90</f>
        <v>0</v>
      </c>
      <c r="DB91" s="20" t="n">
        <f aca="false">CY91*MIN(Slot9_Cost,DA91)</f>
        <v>0</v>
      </c>
      <c r="DC91" s="20" t="n">
        <f aca="false">CY91*Slot9_SpendLike*MIN(Slot9_Cost-DB91,CU91)</f>
        <v>0</v>
      </c>
      <c r="DD91" s="20" t="n">
        <f aca="false">DB91+DC91</f>
        <v>0</v>
      </c>
      <c r="DE91" s="20" t="n">
        <f aca="false">CU91-DC91+CY91*IF(Slot9_SpendLike=1,DA91-DB91,IF(Slot9_PotFree=1,DA91,0))</f>
        <v>0</v>
      </c>
      <c r="DF91" s="20" t="n">
        <f aca="false">CV91+CY91*Slot9_BufPot*DA91</f>
        <v>0</v>
      </c>
      <c r="DG91" s="20" t="n">
        <f aca="false">IF(AND(CY91=1,Slot9_IsMfree=1),IF(DD91&gt;=Slot9_Cost-1,0,MAX(0,CW91-DD91)),CW91)</f>
        <v>0</v>
      </c>
      <c r="DH91" s="20" t="n">
        <f aca="false">CY91*(Slot9_Cost-DD91)</f>
        <v>0</v>
      </c>
      <c r="DI91" s="20" t="n">
        <f aca="false">IF(AND(Slot10_On=1,D91=Slot10_Age),1,0)</f>
        <v>0</v>
      </c>
      <c r="DJ91" s="20" t="n">
        <f aca="false">IF(AND(Slot10_On=1,Slot10_Age&gt;D91),1,0)</f>
        <v>0</v>
      </c>
      <c r="DK91" s="20" t="n">
        <f aca="false">RW90</f>
        <v>0</v>
      </c>
      <c r="DL91" s="20" t="n">
        <f aca="false">DI91*MIN(Slot10_Cost,DK91)</f>
        <v>0</v>
      </c>
      <c r="DM91" s="20" t="n">
        <f aca="false">DI91*Slot10_SpendLike*MIN(Slot10_Cost-DL91,DE91)</f>
        <v>0</v>
      </c>
      <c r="DN91" s="20" t="n">
        <f aca="false">DL91+DM91</f>
        <v>0</v>
      </c>
      <c r="DO91" s="20" t="n">
        <f aca="false">DE91-DM91+DI91*IF(Slot10_SpendLike=1,DK91-DL91,IF(Slot10_PotFree=1,DK91,0))</f>
        <v>0</v>
      </c>
      <c r="DP91" s="20" t="n">
        <f aca="false">DF91+DI91*Slot10_BufPot*DK91</f>
        <v>0</v>
      </c>
      <c r="DQ91" s="20" t="n">
        <f aca="false">IF(AND(DI91=1,Slot10_IsMfree=1),IF(DN91&gt;=Slot10_Cost-1,0,MAX(0,DG91-DN91)),DG91)</f>
        <v>0</v>
      </c>
      <c r="DR91" s="20" t="n">
        <f aca="false">DI91*(Slot10_Cost-DN91)</f>
        <v>0</v>
      </c>
      <c r="DS91" s="20" t="n">
        <f aca="false">IF(AND(Slot11_On=1,D91=Slot11_Age),1,0)</f>
        <v>0</v>
      </c>
      <c r="DT91" s="20" t="n">
        <f aca="false">IF(AND(Slot11_On=1,Slot11_Age&gt;D91),1,0)</f>
        <v>0</v>
      </c>
      <c r="DU91" s="20" t="n">
        <f aca="false">SA90</f>
        <v>0</v>
      </c>
      <c r="DV91" s="20" t="n">
        <f aca="false">DS91*MIN(Slot11_Cost,DU91)</f>
        <v>0</v>
      </c>
      <c r="DW91" s="20" t="n">
        <f aca="false">DS91*Slot11_SpendLike*MIN(Slot11_Cost-DV91,DO91)</f>
        <v>0</v>
      </c>
      <c r="DX91" s="20" t="n">
        <f aca="false">DV91+DW91</f>
        <v>0</v>
      </c>
      <c r="DY91" s="20" t="n">
        <f aca="false">DO91-DW91+DS91*IF(Slot11_SpendLike=1,DU91-DV91,IF(Slot11_PotFree=1,DU91,0))</f>
        <v>0</v>
      </c>
      <c r="DZ91" s="20" t="n">
        <f aca="false">DP91+DS91*Slot11_BufPot*DU91</f>
        <v>0</v>
      </c>
      <c r="EA91" s="20" t="n">
        <f aca="false">IF(AND(DS91=1,Slot11_IsMfree=1),IF(DX91&gt;=Slot11_Cost-1,0,MAX(0,DQ91-DX91)),DQ91)</f>
        <v>0</v>
      </c>
      <c r="EB91" s="20" t="n">
        <f aca="false">DS91*(Slot11_Cost-DX91)</f>
        <v>0</v>
      </c>
      <c r="EC91" s="20" t="n">
        <f aca="false">IF(AND(Slot12_On=1,D91=Slot12_Age),1,0)</f>
        <v>0</v>
      </c>
      <c r="ED91" s="20" t="n">
        <f aca="false">IF(AND(Slot12_On=1,Slot12_Age&gt;D91),1,0)</f>
        <v>0</v>
      </c>
      <c r="EE91" s="20" t="n">
        <f aca="false">SE90</f>
        <v>0</v>
      </c>
      <c r="EF91" s="20" t="n">
        <f aca="false">EC91*MIN(Slot12_Cost,EE91)</f>
        <v>0</v>
      </c>
      <c r="EG91" s="20" t="n">
        <f aca="false">EC91*Slot12_SpendLike*MIN(Slot12_Cost-EF91,DY91)</f>
        <v>0</v>
      </c>
      <c r="EH91" s="20" t="n">
        <f aca="false">EF91+EG91</f>
        <v>0</v>
      </c>
      <c r="EI91" s="20" t="n">
        <f aca="false">DY91-EG91+EC91*IF(Slot12_SpendLike=1,EE91-EF91,IF(Slot12_PotFree=1,EE91,0))</f>
        <v>0</v>
      </c>
      <c r="EJ91" s="20" t="n">
        <f aca="false">DZ91+EC91*Slot12_BufPot*EE91</f>
        <v>0</v>
      </c>
      <c r="EK91" s="20" t="n">
        <f aca="false">IF(AND(EC91=1,Slot12_IsMfree=1),IF(EH91&gt;=Slot12_Cost-1,0,MAX(0,EA91-EH91)),EA91)</f>
        <v>0</v>
      </c>
      <c r="EL91" s="20" t="n">
        <f aca="false">EC91*(Slot12_Cost-EH91)</f>
        <v>0</v>
      </c>
      <c r="EM91" s="20" t="n">
        <f aca="false">IF(AND(Slot13_On=1,D91=Slot13_Age),1,0)</f>
        <v>0</v>
      </c>
      <c r="EN91" s="20" t="n">
        <f aca="false">IF(AND(Slot13_On=1,Slot13_Age&gt;D91),1,0)</f>
        <v>0</v>
      </c>
      <c r="EO91" s="20" t="n">
        <f aca="false">SI90</f>
        <v>0</v>
      </c>
      <c r="EP91" s="20" t="n">
        <f aca="false">EM91*MIN(Slot13_Cost,EO91)</f>
        <v>0</v>
      </c>
      <c r="EQ91" s="20" t="n">
        <f aca="false">EM91*Slot13_SpendLike*MIN(Slot13_Cost-EP91,EI91)</f>
        <v>0</v>
      </c>
      <c r="ER91" s="20" t="n">
        <f aca="false">EP91+EQ91</f>
        <v>0</v>
      </c>
      <c r="ES91" s="20" t="n">
        <f aca="false">EI91-EQ91+EM91*IF(Slot13_SpendLike=1,EO91-EP91,IF(Slot13_PotFree=1,EO91,0))</f>
        <v>0</v>
      </c>
      <c r="ET91" s="20" t="n">
        <f aca="false">EJ91+EM91*Slot13_BufPot*EO91</f>
        <v>0</v>
      </c>
      <c r="EU91" s="20" t="n">
        <f aca="false">IF(AND(EM91=1,Slot13_IsMfree=1),IF(ER91&gt;=Slot13_Cost-1,0,MAX(0,EK91-ER91)),EK91)</f>
        <v>0</v>
      </c>
      <c r="EV91" s="20" t="n">
        <f aca="false">EM91*(Slot13_Cost-ER91)</f>
        <v>0</v>
      </c>
      <c r="EW91" s="20" t="n">
        <f aca="false">IF(AND(Slot14_On=1,D91=Slot14_Age),1,0)</f>
        <v>0</v>
      </c>
      <c r="EX91" s="20" t="n">
        <f aca="false">IF(AND(Slot14_On=1,Slot14_Age&gt;D91),1,0)</f>
        <v>0</v>
      </c>
      <c r="EY91" s="20" t="n">
        <f aca="false">SM90</f>
        <v>0</v>
      </c>
      <c r="EZ91" s="20" t="n">
        <f aca="false">EW91*MIN(Slot14_Cost,EY91)</f>
        <v>0</v>
      </c>
      <c r="FA91" s="20" t="n">
        <f aca="false">EW91*Slot14_SpendLike*MIN(Slot14_Cost-EZ91,ES91)</f>
        <v>0</v>
      </c>
      <c r="FB91" s="20" t="n">
        <f aca="false">EZ91+FA91</f>
        <v>0</v>
      </c>
      <c r="FC91" s="20" t="n">
        <f aca="false">ES91-FA91+EW91*IF(Slot14_SpendLike=1,EY91-EZ91,IF(Slot14_PotFree=1,EY91,0))</f>
        <v>0</v>
      </c>
      <c r="FD91" s="20" t="n">
        <f aca="false">ET91+EW91*Slot14_BufPot*EY91</f>
        <v>0</v>
      </c>
      <c r="FE91" s="20" t="n">
        <f aca="false">IF(AND(EW91=1,Slot14_IsMfree=1),IF(FB91&gt;=Slot14_Cost-1,0,MAX(0,EU91-FB91)),EU91)</f>
        <v>0</v>
      </c>
      <c r="FF91" s="20" t="n">
        <f aca="false">EW91*(Slot14_Cost-FB91)</f>
        <v>0</v>
      </c>
      <c r="FG91" s="20" t="n">
        <f aca="false">IF(AND(Slot15_On=1,D91=Slot15_Age),1,0)</f>
        <v>0</v>
      </c>
      <c r="FH91" s="20" t="n">
        <f aca="false">IF(AND(Slot15_On=1,Slot15_Age&gt;D91),1,0)</f>
        <v>0</v>
      </c>
      <c r="FI91" s="20" t="n">
        <f aca="false">SQ90</f>
        <v>0</v>
      </c>
      <c r="FJ91" s="20" t="n">
        <f aca="false">FG91*MIN(Slot15_Cost,FI91)</f>
        <v>0</v>
      </c>
      <c r="FK91" s="20" t="n">
        <f aca="false">FG91*Slot15_SpendLike*MIN(Slot15_Cost-FJ91,FC91)</f>
        <v>0</v>
      </c>
      <c r="FL91" s="20" t="n">
        <f aca="false">FJ91+FK91</f>
        <v>0</v>
      </c>
      <c r="FM91" s="20" t="n">
        <f aca="false">FC91-FK91+FG91*IF(Slot15_SpendLike=1,FI91-FJ91,IF(Slot15_PotFree=1,FI91,0))</f>
        <v>0</v>
      </c>
      <c r="FN91" s="20" t="n">
        <f aca="false">FD91+FG91*Slot15_BufPot*FI91</f>
        <v>0</v>
      </c>
      <c r="FO91" s="20" t="n">
        <f aca="false">IF(AND(FG91=1,Slot15_IsMfree=1),IF(FL91&gt;=Slot15_Cost-1,0,MAX(0,FE91-FL91)),FE91)</f>
        <v>0</v>
      </c>
      <c r="FP91" s="20" t="n">
        <f aca="false">FG91*(Slot15_Cost-FL91)</f>
        <v>0</v>
      </c>
      <c r="FQ91" s="20" t="n">
        <f aca="false">IF(AND(Slot16_On=1,D91=Slot16_Age),1,0)</f>
        <v>0</v>
      </c>
      <c r="FR91" s="20" t="n">
        <f aca="false">IF(AND(Slot16_On=1,Slot16_Age&gt;D91),1,0)</f>
        <v>0</v>
      </c>
      <c r="FS91" s="20" t="n">
        <f aca="false">SU90</f>
        <v>0</v>
      </c>
      <c r="FT91" s="20" t="n">
        <f aca="false">FQ91*MIN(Slot16_Cost,FS91)</f>
        <v>0</v>
      </c>
      <c r="FU91" s="20" t="n">
        <f aca="false">FQ91*Slot16_SpendLike*MIN(Slot16_Cost-FT91,FM91)</f>
        <v>0</v>
      </c>
      <c r="FV91" s="20" t="n">
        <f aca="false">FT91+FU91</f>
        <v>0</v>
      </c>
      <c r="FW91" s="20" t="n">
        <f aca="false">FM91-FU91+FQ91*IF(Slot16_SpendLike=1,FS91-FT91,IF(Slot16_PotFree=1,FS91,0))</f>
        <v>0</v>
      </c>
      <c r="FX91" s="20" t="n">
        <f aca="false">FN91+FQ91*Slot16_BufPot*FS91</f>
        <v>0</v>
      </c>
      <c r="FY91" s="20" t="n">
        <f aca="false">IF(AND(FQ91=1,Slot16_IsMfree=1),IF(FV91&gt;=Slot16_Cost-1,0,MAX(0,FO91-FV91)),FO91)</f>
        <v>0</v>
      </c>
      <c r="FZ91" s="20" t="n">
        <f aca="false">FQ91*(Slot16_Cost-FV91)</f>
        <v>0</v>
      </c>
      <c r="GA91" s="20" t="n">
        <f aca="false">IF(AND(Slot17_On=1,D91=Slot17_Age),1,0)</f>
        <v>0</v>
      </c>
      <c r="GB91" s="20" t="n">
        <f aca="false">IF(AND(Slot17_On=1,Slot17_Age&gt;D91),1,0)</f>
        <v>0</v>
      </c>
      <c r="GC91" s="20" t="n">
        <f aca="false">SY90</f>
        <v>0</v>
      </c>
      <c r="GD91" s="20" t="n">
        <f aca="false">GA91*MIN(Slot17_Cost,GC91)</f>
        <v>0</v>
      </c>
      <c r="GE91" s="20" t="n">
        <f aca="false">GA91*Slot17_SpendLike*MIN(Slot17_Cost-GD91,FW91)</f>
        <v>0</v>
      </c>
      <c r="GF91" s="20" t="n">
        <f aca="false">GD91+GE91</f>
        <v>0</v>
      </c>
      <c r="GG91" s="20" t="n">
        <f aca="false">FW91-GE91+GA91*IF(Slot17_SpendLike=1,GC91-GD91,IF(Slot17_PotFree=1,GC91,0))</f>
        <v>0</v>
      </c>
      <c r="GH91" s="20" t="n">
        <f aca="false">FX91+GA91*Slot17_BufPot*GC91</f>
        <v>0</v>
      </c>
      <c r="GI91" s="20" t="n">
        <f aca="false">IF(AND(GA91=1,Slot17_IsMfree=1),IF(GF91&gt;=Slot17_Cost-1,0,MAX(0,FY91-GF91)),FY91)</f>
        <v>0</v>
      </c>
      <c r="GJ91" s="20" t="n">
        <f aca="false">GA91*(Slot17_Cost-GF91)</f>
        <v>0</v>
      </c>
      <c r="GK91" s="20" t="n">
        <f aca="false">IF(AND(Slot18_On=1,D91=Slot18_Age),1,0)</f>
        <v>0</v>
      </c>
      <c r="GL91" s="20" t="n">
        <f aca="false">IF(AND(Slot18_On=1,Slot18_Age&gt;D91),1,0)</f>
        <v>0</v>
      </c>
      <c r="GM91" s="20" t="n">
        <f aca="false">TC90</f>
        <v>0</v>
      </c>
      <c r="GN91" s="20" t="n">
        <f aca="false">GK91*MIN(Slot18_Cost,GM91)</f>
        <v>0</v>
      </c>
      <c r="GO91" s="20" t="n">
        <f aca="false">GK91*Slot18_SpendLike*MIN(Slot18_Cost-GN91,GG91)</f>
        <v>0</v>
      </c>
      <c r="GP91" s="20" t="n">
        <f aca="false">GN91+GO91</f>
        <v>0</v>
      </c>
      <c r="GQ91" s="20" t="n">
        <f aca="false">GG91-GO91+GK91*IF(Slot18_SpendLike=1,GM91-GN91,IF(Slot18_PotFree=1,GM91,0))</f>
        <v>0</v>
      </c>
      <c r="GR91" s="20" t="n">
        <f aca="false">GH91+GK91*Slot18_BufPot*GM91</f>
        <v>0</v>
      </c>
      <c r="GS91" s="20" t="n">
        <f aca="false">IF(AND(GK91=1,Slot18_IsMfree=1),IF(GP91&gt;=Slot18_Cost-1,0,MAX(0,GI91-GP91)),GI91)</f>
        <v>0</v>
      </c>
      <c r="GT91" s="20" t="n">
        <f aca="false">GK91*(Slot18_Cost-GP91)</f>
        <v>0</v>
      </c>
      <c r="GU91" s="20" t="n">
        <f aca="false">IF(AND(Slot19_On=1,D91=Slot19_Age),1,0)</f>
        <v>0</v>
      </c>
      <c r="GV91" s="20" t="n">
        <f aca="false">IF(AND(Slot19_On=1,Slot19_Age&gt;D91),1,0)</f>
        <v>0</v>
      </c>
      <c r="GW91" s="20" t="n">
        <f aca="false">TG90</f>
        <v>0</v>
      </c>
      <c r="GX91" s="20" t="n">
        <f aca="false">GU91*MIN(Slot19_Cost,GW91)</f>
        <v>0</v>
      </c>
      <c r="GY91" s="20" t="n">
        <f aca="false">GU91*Slot19_SpendLike*MIN(Slot19_Cost-GX91,GQ91)</f>
        <v>0</v>
      </c>
      <c r="GZ91" s="20" t="n">
        <f aca="false">GX91+GY91</f>
        <v>0</v>
      </c>
      <c r="HA91" s="20" t="n">
        <f aca="false">GQ91-GY91+GU91*IF(Slot19_SpendLike=1,GW91-GX91,IF(Slot19_PotFree=1,GW91,0))</f>
        <v>0</v>
      </c>
      <c r="HB91" s="20" t="n">
        <f aca="false">GR91+GU91*Slot19_BufPot*GW91</f>
        <v>0</v>
      </c>
      <c r="HC91" s="20" t="n">
        <f aca="false">IF(AND(GU91=1,Slot19_IsMfree=1),IF(GZ91&gt;=Slot19_Cost-1,0,MAX(0,GS91-GZ91)),GS91)</f>
        <v>0</v>
      </c>
      <c r="HD91" s="20" t="n">
        <f aca="false">GU91*(Slot19_Cost-GZ91)</f>
        <v>0</v>
      </c>
      <c r="HE91" s="20" t="n">
        <f aca="false">IF(AND(Slot20_On=1,D91=Slot20_Age),1,0)</f>
        <v>0</v>
      </c>
      <c r="HF91" s="20" t="n">
        <f aca="false">IF(AND(Slot20_On=1,Slot20_Age&gt;D91),1,0)</f>
        <v>0</v>
      </c>
      <c r="HG91" s="20" t="n">
        <f aca="false">TK90</f>
        <v>0</v>
      </c>
      <c r="HH91" s="20" t="n">
        <f aca="false">HE91*MIN(Slot20_Cost,HG91)</f>
        <v>0</v>
      </c>
      <c r="HI91" s="20" t="n">
        <f aca="false">HE91*Slot20_SpendLike*MIN(Slot20_Cost-HH91,HA91)</f>
        <v>0</v>
      </c>
      <c r="HJ91" s="20" t="n">
        <f aca="false">HH91+HI91</f>
        <v>0</v>
      </c>
      <c r="HK91" s="20" t="n">
        <f aca="false">HA91-HI91+HE91*IF(Slot20_SpendLike=1,HG91-HH91,IF(Slot20_PotFree=1,HG91,0))</f>
        <v>0</v>
      </c>
      <c r="HL91" s="20" t="n">
        <f aca="false">HB91+HE91*Slot20_BufPot*HG91</f>
        <v>0</v>
      </c>
      <c r="HM91" s="20" t="n">
        <f aca="false">IF(AND(HE91=1,Slot20_IsMfree=1),IF(HJ91&gt;=Slot20_Cost-1,0,MAX(0,HC91-HJ91)),HC91)</f>
        <v>0</v>
      </c>
      <c r="HN91" s="20" t="n">
        <f aca="false">HE91*(Slot20_Cost-HJ91)</f>
        <v>0</v>
      </c>
      <c r="HO91" s="20" t="n">
        <f aca="false">V91*Slot1_SpendLike*AA91+AG91*Slot2_SpendLike*AL91+AQ91*Slot3_SpendLike*AV91+BA91*Slot4_SpendLike*BF91+BK91*Slot5_SpendLike*BP91+BU91*Slot6_SpendLike*BZ91+CE91*Slot7_SpendLike*CJ91+CO91*Slot8_SpendLike*CT91+CY91*Slot9_SpendLike*DD91+DI91*Slot10_SpendLike*DN91+DS91*Slot11_SpendLike*DX91+EC91*Slot12_SpendLike*EH91+EM91*Slot13_SpendLike*ER91+EW91*Slot14_SpendLike*FB91+FG91*Slot15_SpendLike*FL91+FQ91*Slot16_SpendLike*FV91+GA91*Slot17_SpendLike*GF91+GK91*Slot18_SpendLike*GP91+GU91*Slot19_SpendLike*GZ91+HE91*Slot20_SpendLike*HJ91</f>
        <v>0</v>
      </c>
      <c r="HP91" s="20" t="n">
        <f aca="false">AE91+AP91+AZ91+BJ91+BT91+CD91+CN91+CX91+DH91+DR91+EB91+EL91+EV91+FF91+FP91+FZ91+GJ91+GT91+HD91+HN91</f>
        <v>0</v>
      </c>
      <c r="HQ91" s="20" t="n">
        <f aca="false">V91*Slot1_Cost+AG91*Slot2_Cost+AQ91*Slot3_Cost+BA91*Slot4_Cost+BK91*Slot5_Cost+BU91*Slot6_Cost+CE91*Slot7_Cost+CO91*Slot8_Cost+CY91*Slot9_Cost+DI91*Slot10_Cost+DS91*Slot11_Cost+EC91*Slot12_Cost+EM91*Slot13_Cost+EW91*Slot14_Cost+FG91*Slot15_Cost+FQ91*Slot16_Cost+GA91*Slot17_Cost+GK91*Slot18_Cost+GU91*Slot19_Cost+HE91*Slot20_Cost</f>
        <v>0</v>
      </c>
      <c r="HR91" s="20" t="n">
        <f aca="false">HM91</f>
        <v>0</v>
      </c>
      <c r="HS91" s="20" t="n">
        <f aca="false">H91-I91-S91</f>
        <v>-99677.007672441</v>
      </c>
      <c r="HT91" s="20" t="n">
        <f aca="false">IF(B91=0,IF(AND(Has_q6=1,In_q6=4),PR_ShareVaries*(MAX(0,HS91)/12),MIN(IF(Has_q6=1,CHOOSE(In_q6+1,PR_SaveB1,PR_SaveB2,PR_SaveB3,PR_SaveB4,0),AS_NoAnswer),AS_SaveShare*(MAX(0,HS91)/12))),HT90)</f>
        <v>62.3316893520437</v>
      </c>
      <c r="HU91" s="20" t="n">
        <f aca="false">IF(HS91&gt;=0,1,0)</f>
        <v>0</v>
      </c>
      <c r="HV91" s="20" t="n">
        <f aca="false">MAX(0,HS91/12/F91)</f>
        <v>0</v>
      </c>
      <c r="HW91" s="20" t="n">
        <f aca="false">IF(AND(Has_q6=1,In_q6=4),PR_ShareVaries*(HV91),MIN(IF(Has_q6=1,CHOOSE(In_q6+1,PR_SaveB1,PR_SaveB2,PR_SaveB3,PR_SaveB4,0),AS_NoAnswer),AS_SaveShare*(HV91)))</f>
        <v>0</v>
      </c>
      <c r="HX91" s="20" t="n">
        <f aca="false">IF(Has_saveM=1,IF(In_saveUp="Yes",1,IF(In_saveUp="No",0,IF(In_saveM&gt;=HT91-0.5,1,0))),0)</f>
        <v>0</v>
      </c>
      <c r="HY91" s="20" t="n">
        <f aca="false">IF(Has_saveM=1,MIN(HV91,IF(HX91=1,MAX(In_saveM,HW91),MIN(In_saveM,HW91))),HW91)</f>
        <v>0</v>
      </c>
      <c r="HZ91" s="20" t="n">
        <f aca="false">IF(G91=1,HY91*12*F91,0)</f>
        <v>0</v>
      </c>
      <c r="IA91" s="20" t="n">
        <f aca="false">MAX(0,HZ91+IF(AND(WI_Retire=0,WI_M&lt;0,G91=1),WI_M*12*F91,0))</f>
        <v>0</v>
      </c>
      <c r="IB91" s="20" t="n">
        <f aca="false">Slot1_IsWG*W91+Slot2_IsWG*AH91+Slot3_IsWG*AR91+Slot4_IsWG*BB91+Slot5_IsWG*BL91+Slot6_IsWG*BV91+Slot7_IsWG*CF91+Slot8_IsWG*CP91+Slot9_IsWG*CZ91+Slot10_IsWG*DJ91+Slot11_IsWG*DT91+Slot12_IsWG*ED91+Slot13_IsWG*EN91+Slot14_IsWG*EX91+Slot15_IsWG*FH91+Slot16_IsWG*FR91+Slot17_IsWG*GB91+Slot18_IsWG*GL91+Slot19_IsWG*GV91+Slot20_IsWG*HF91</f>
        <v>0</v>
      </c>
      <c r="IC91" s="20" t="n">
        <f aca="false">IF(AND(WI_Retire=0,WI_M&gt;0,G91=1,IB91&gt;=1),WI_M*12*F91,0)</f>
        <v>0</v>
      </c>
      <c r="ID91" s="20" t="n">
        <f aca="false">IF(HU91=1,MIN(IA91,HS91),0)</f>
        <v>0</v>
      </c>
      <c r="IE91" s="20" t="n">
        <f aca="false">IF(HU91=1,MIN(IC91,HS91-ID91),0)</f>
        <v>0</v>
      </c>
      <c r="IF91" s="20" t="n">
        <f aca="false">IF(W91=1,IF(ABS((1+AS_Wage)/(1+Slot1_Rate)-1)&lt;0.000000000001,(Slot1_Age-D91)*(1+Slot1_Rate)^(Slot1_Age-D91),(1+Slot1_Rate)^(Slot1_Age-D91)*(1-((1+AS_Wage)/(1+Slot1_Rate))^(Slot1_Age-D91))/(1-(1+AS_Wage)/(1+Slot1_Rate))),1)</f>
        <v>1</v>
      </c>
      <c r="IG91" s="20" t="n">
        <f aca="false">IF(AND(HU91=1,IE91&gt;0,Slot1_IsWG=1,W91=1),MAX(0,(Slot1_Cost-X91*(1+Slot1_Rate)^(Slot1_Age-D91))/IF91),0)</f>
        <v>0</v>
      </c>
      <c r="IH91" s="20" t="n">
        <f aca="false">IF(AND(HU91=1,IE91&gt;0,Slot1_IsWG=1,W91=1),MIN(IE91,IG91),0)</f>
        <v>0</v>
      </c>
      <c r="II91" s="20" t="n">
        <f aca="false">X91+IH91</f>
        <v>0</v>
      </c>
      <c r="IJ91" s="20" t="n">
        <f aca="false">IF(W91=1,MAX(0,(Slot1_Cost-II91*(1+Slot1_Rate)^(Slot1_Age-D91))/IF91),0)</f>
        <v>0</v>
      </c>
      <c r="IK91" s="20" t="n">
        <f aca="false">IF(W91=1,MAX(0,(Slot1_Cost-X91*(1+Slot1_Rate)^(Slot1_Age-D91))/IF91),0)</f>
        <v>0</v>
      </c>
      <c r="IL91" s="20" t="n">
        <f aca="false">IF(AND(HU91=1,W91=1),MIN(ID91,IJ91),0)</f>
        <v>0</v>
      </c>
      <c r="IM91" s="20" t="n">
        <f aca="false">ID91-IL91</f>
        <v>0</v>
      </c>
      <c r="IN91" s="20" t="n">
        <f aca="false">IF(AH91=1,IF(ABS((1+AS_Wage)/(1+Slot2_Rate)-1)&lt;0.000000000001,(Slot2_Age-D91)*(1+Slot2_Rate)^(Slot2_Age-D91),(1+Slot2_Rate)^(Slot2_Age-D91)*(1-((1+AS_Wage)/(1+Slot2_Rate))^(Slot2_Age-D91))/(1-(1+AS_Wage)/(1+Slot2_Rate))),1)</f>
        <v>1</v>
      </c>
      <c r="IO91" s="20" t="n">
        <f aca="false">IF(AND(HU91=1,IE91&gt;0,Slot2_IsWG=1,AH91=1),MAX(0,(Slot2_Cost-AI91*(1+Slot2_Rate)^(Slot2_Age-D91))/IN91),0)</f>
        <v>0</v>
      </c>
      <c r="IP91" s="20" t="n">
        <f aca="false">IF(AND(HU91=1,IE91&gt;0,Slot2_IsWG=1,AH91=1),MIN(IE91,IO91),0)</f>
        <v>0</v>
      </c>
      <c r="IQ91" s="20" t="n">
        <f aca="false">AI91+IP91</f>
        <v>0</v>
      </c>
      <c r="IR91" s="20" t="n">
        <f aca="false">IF(AH91=1,MAX(0,(Slot2_Cost-IQ91*(1+Slot2_Rate)^(Slot2_Age-D91))/IN91),0)</f>
        <v>0</v>
      </c>
      <c r="IS91" s="20" t="n">
        <f aca="false">IF(AH91=1,MAX(0,(Slot2_Cost-AI91*(1+Slot2_Rate)^(Slot2_Age-D91))/IN91),0)</f>
        <v>0</v>
      </c>
      <c r="IT91" s="20" t="n">
        <f aca="false">IF(AND(HU91=1,AH91=1),MIN(IM91,IR91),0)</f>
        <v>0</v>
      </c>
      <c r="IU91" s="20" t="n">
        <f aca="false">IM91-IT91</f>
        <v>0</v>
      </c>
      <c r="IV91" s="20" t="n">
        <f aca="false">IF(AR91=1,IF(ABS((1+AS_Wage)/(1+Slot3_Rate)-1)&lt;0.000000000001,(Slot3_Age-D91)*(1+Slot3_Rate)^(Slot3_Age-D91),(1+Slot3_Rate)^(Slot3_Age-D91)*(1-((1+AS_Wage)/(1+Slot3_Rate))^(Slot3_Age-D91))/(1-(1+AS_Wage)/(1+Slot3_Rate))),1)</f>
        <v>1</v>
      </c>
      <c r="IW91" s="20" t="n">
        <f aca="false">IF(AND(HU91=1,IE91&gt;0,Slot3_IsWG=1,AR91=1),MAX(0,(Slot3_Cost-AS91*(1+Slot3_Rate)^(Slot3_Age-D91))/IV91),0)</f>
        <v>0</v>
      </c>
      <c r="IX91" s="20" t="n">
        <f aca="false">IF(AND(HU91=1,IE91&gt;0,Slot3_IsWG=1,AR91=1),MIN(IE91,IW91),0)</f>
        <v>0</v>
      </c>
      <c r="IY91" s="20" t="n">
        <f aca="false">AS91+IX91</f>
        <v>0</v>
      </c>
      <c r="IZ91" s="20" t="n">
        <f aca="false">IF(AR91=1,MAX(0,(Slot3_Cost-IY91*(1+Slot3_Rate)^(Slot3_Age-D91))/IV91),0)</f>
        <v>0</v>
      </c>
      <c r="JA91" s="20" t="n">
        <f aca="false">IF(AR91=1,MAX(0,(Slot3_Cost-AS91*(1+Slot3_Rate)^(Slot3_Age-D91))/IV91),0)</f>
        <v>0</v>
      </c>
      <c r="JB91" s="20" t="n">
        <f aca="false">IF(AND(HU91=1,AR91=1),MIN(IU91,IZ91),0)</f>
        <v>0</v>
      </c>
      <c r="JC91" s="20" t="n">
        <f aca="false">IU91-JB91</f>
        <v>0</v>
      </c>
      <c r="JD91" s="20" t="n">
        <f aca="false">IF(BB91=1,IF(ABS((1+AS_Wage)/(1+Slot4_Rate)-1)&lt;0.000000000001,(Slot4_Age-D91)*(1+Slot4_Rate)^(Slot4_Age-D91),(1+Slot4_Rate)^(Slot4_Age-D91)*(1-((1+AS_Wage)/(1+Slot4_Rate))^(Slot4_Age-D91))/(1-(1+AS_Wage)/(1+Slot4_Rate))),1)</f>
        <v>1</v>
      </c>
      <c r="JE91" s="20" t="n">
        <f aca="false">IF(AND(HU91=1,IE91&gt;0,Slot4_IsWG=1,BB91=1),MAX(0,(Slot4_Cost-BC91*(1+Slot4_Rate)^(Slot4_Age-D91))/JD91),0)</f>
        <v>0</v>
      </c>
      <c r="JF91" s="20" t="n">
        <f aca="false">IF(AND(HU91=1,IE91&gt;0,Slot4_IsWG=1,BB91=1),MIN(IE91,JE91),0)</f>
        <v>0</v>
      </c>
      <c r="JG91" s="20" t="n">
        <f aca="false">BC91+JF91</f>
        <v>0</v>
      </c>
      <c r="JH91" s="20" t="n">
        <f aca="false">IF(BB91=1,MAX(0,(Slot4_Cost-JG91*(1+Slot4_Rate)^(Slot4_Age-D91))/JD91),0)</f>
        <v>0</v>
      </c>
      <c r="JI91" s="20" t="n">
        <f aca="false">IF(BB91=1,MAX(0,(Slot4_Cost-BC91*(1+Slot4_Rate)^(Slot4_Age-D91))/JD91),0)</f>
        <v>0</v>
      </c>
      <c r="JJ91" s="20" t="n">
        <f aca="false">IF(AND(HU91=1,BB91=1),MIN(JC91,JH91),0)</f>
        <v>0</v>
      </c>
      <c r="JK91" s="20" t="n">
        <f aca="false">JC91-JJ91</f>
        <v>0</v>
      </c>
      <c r="JL91" s="20" t="n">
        <f aca="false">IF(BL91=1,IF(ABS((1+AS_Wage)/(1+Slot5_Rate)-1)&lt;0.000000000001,(Slot5_Age-D91)*(1+Slot5_Rate)^(Slot5_Age-D91),(1+Slot5_Rate)^(Slot5_Age-D91)*(1-((1+AS_Wage)/(1+Slot5_Rate))^(Slot5_Age-D91))/(1-(1+AS_Wage)/(1+Slot5_Rate))),1)</f>
        <v>1</v>
      </c>
      <c r="JM91" s="20" t="n">
        <f aca="false">IF(AND(HU91=1,IE91&gt;0,Slot5_IsWG=1,BL91=1),MAX(0,(Slot5_Cost-BM91*(1+Slot5_Rate)^(Slot5_Age-D91))/JL91),0)</f>
        <v>0</v>
      </c>
      <c r="JN91" s="20" t="n">
        <f aca="false">IF(AND(HU91=1,IE91&gt;0,Slot5_IsWG=1,BL91=1),MIN(IE91,JM91),0)</f>
        <v>0</v>
      </c>
      <c r="JO91" s="20" t="n">
        <f aca="false">BM91+JN91</f>
        <v>0</v>
      </c>
      <c r="JP91" s="20" t="n">
        <f aca="false">IF(BL91=1,MAX(0,(Slot5_Cost-JO91*(1+Slot5_Rate)^(Slot5_Age-D91))/JL91),0)</f>
        <v>0</v>
      </c>
      <c r="JQ91" s="20" t="n">
        <f aca="false">IF(BL91=1,MAX(0,(Slot5_Cost-BM91*(1+Slot5_Rate)^(Slot5_Age-D91))/JL91),0)</f>
        <v>0</v>
      </c>
      <c r="JR91" s="20" t="n">
        <f aca="false">IF(AND(HU91=1,BL91=1),MIN(JK91,JP91),0)</f>
        <v>0</v>
      </c>
      <c r="JS91" s="20" t="n">
        <f aca="false">JK91-JR91</f>
        <v>0</v>
      </c>
      <c r="JT91" s="20" t="n">
        <f aca="false">IF(BV91=1,IF(ABS((1+AS_Wage)/(1+Slot6_Rate)-1)&lt;0.000000000001,(Slot6_Age-D91)*(1+Slot6_Rate)^(Slot6_Age-D91),(1+Slot6_Rate)^(Slot6_Age-D91)*(1-((1+AS_Wage)/(1+Slot6_Rate))^(Slot6_Age-D91))/(1-(1+AS_Wage)/(1+Slot6_Rate))),1)</f>
        <v>1</v>
      </c>
      <c r="JU91" s="20" t="n">
        <f aca="false">IF(AND(HU91=1,IE91&gt;0,Slot6_IsWG=1,BV91=1),MAX(0,(Slot6_Cost-BW91*(1+Slot6_Rate)^(Slot6_Age-D91))/JT91),0)</f>
        <v>0</v>
      </c>
      <c r="JV91" s="20" t="n">
        <f aca="false">IF(AND(HU91=1,IE91&gt;0,Slot6_IsWG=1,BV91=1),MIN(IE91,JU91),0)</f>
        <v>0</v>
      </c>
      <c r="JW91" s="20" t="n">
        <f aca="false">BW91+JV91</f>
        <v>0</v>
      </c>
      <c r="JX91" s="20" t="n">
        <f aca="false">IF(BV91=1,MAX(0,(Slot6_Cost-JW91*(1+Slot6_Rate)^(Slot6_Age-D91))/JT91),0)</f>
        <v>0</v>
      </c>
      <c r="JY91" s="20" t="n">
        <f aca="false">IF(BV91=1,MAX(0,(Slot6_Cost-BW91*(1+Slot6_Rate)^(Slot6_Age-D91))/JT91),0)</f>
        <v>0</v>
      </c>
      <c r="JZ91" s="20" t="n">
        <f aca="false">IF(AND(HU91=1,BV91=1),MIN(JS91,JX91),0)</f>
        <v>0</v>
      </c>
      <c r="KA91" s="20" t="n">
        <f aca="false">JS91-JZ91</f>
        <v>0</v>
      </c>
      <c r="KB91" s="20" t="n">
        <f aca="false">IF(CF91=1,IF(ABS((1+AS_Wage)/(1+Slot7_Rate)-1)&lt;0.000000000001,(Slot7_Age-D91)*(1+Slot7_Rate)^(Slot7_Age-D91),(1+Slot7_Rate)^(Slot7_Age-D91)*(1-((1+AS_Wage)/(1+Slot7_Rate))^(Slot7_Age-D91))/(1-(1+AS_Wage)/(1+Slot7_Rate))),1)</f>
        <v>1</v>
      </c>
      <c r="KC91" s="20" t="n">
        <f aca="false">IF(AND(HU91=1,IE91&gt;0,Slot7_IsWG=1,CF91=1),MAX(0,(Slot7_Cost-CG91*(1+Slot7_Rate)^(Slot7_Age-D91))/KB91),0)</f>
        <v>0</v>
      </c>
      <c r="KD91" s="20" t="n">
        <f aca="false">IF(AND(HU91=1,IE91&gt;0,Slot7_IsWG=1,CF91=1),MIN(IE91,KC91),0)</f>
        <v>0</v>
      </c>
      <c r="KE91" s="20" t="n">
        <f aca="false">CG91+KD91</f>
        <v>0</v>
      </c>
      <c r="KF91" s="20" t="n">
        <f aca="false">IF(CF91=1,MAX(0,(Slot7_Cost-KE91*(1+Slot7_Rate)^(Slot7_Age-D91))/KB91),0)</f>
        <v>0</v>
      </c>
      <c r="KG91" s="20" t="n">
        <f aca="false">IF(CF91=1,MAX(0,(Slot7_Cost-CG91*(1+Slot7_Rate)^(Slot7_Age-D91))/KB91),0)</f>
        <v>0</v>
      </c>
      <c r="KH91" s="20" t="n">
        <f aca="false">IF(AND(HU91=1,CF91=1),MIN(KA91,KF91),0)</f>
        <v>0</v>
      </c>
      <c r="KI91" s="20" t="n">
        <f aca="false">KA91-KH91</f>
        <v>0</v>
      </c>
      <c r="KJ91" s="20" t="n">
        <f aca="false">IF(CP91=1,IF(ABS((1+AS_Wage)/(1+Slot8_Rate)-1)&lt;0.000000000001,(Slot8_Age-D91)*(1+Slot8_Rate)^(Slot8_Age-D91),(1+Slot8_Rate)^(Slot8_Age-D91)*(1-((1+AS_Wage)/(1+Slot8_Rate))^(Slot8_Age-D91))/(1-(1+AS_Wage)/(1+Slot8_Rate))),1)</f>
        <v>1</v>
      </c>
      <c r="KK91" s="20" t="n">
        <f aca="false">IF(AND(HU91=1,IE91&gt;0,Slot8_IsWG=1,CP91=1),MAX(0,(Slot8_Cost-CQ91*(1+Slot8_Rate)^(Slot8_Age-D91))/KJ91),0)</f>
        <v>0</v>
      </c>
      <c r="KL91" s="20" t="n">
        <f aca="false">IF(AND(HU91=1,IE91&gt;0,Slot8_IsWG=1,CP91=1),MIN(IE91,KK91),0)</f>
        <v>0</v>
      </c>
      <c r="KM91" s="20" t="n">
        <f aca="false">CQ91+KL91</f>
        <v>0</v>
      </c>
      <c r="KN91" s="20" t="n">
        <f aca="false">IF(CP91=1,MAX(0,(Slot8_Cost-KM91*(1+Slot8_Rate)^(Slot8_Age-D91))/KJ91),0)</f>
        <v>0</v>
      </c>
      <c r="KO91" s="20" t="n">
        <f aca="false">IF(CP91=1,MAX(0,(Slot8_Cost-CQ91*(1+Slot8_Rate)^(Slot8_Age-D91))/KJ91),0)</f>
        <v>0</v>
      </c>
      <c r="KP91" s="20" t="n">
        <f aca="false">IF(AND(HU91=1,CP91=1),MIN(KI91,KN91),0)</f>
        <v>0</v>
      </c>
      <c r="KQ91" s="20" t="n">
        <f aca="false">KI91-KP91</f>
        <v>0</v>
      </c>
      <c r="KR91" s="20" t="n">
        <f aca="false">IF(CZ91=1,IF(ABS((1+AS_Wage)/(1+Slot9_Rate)-1)&lt;0.000000000001,(Slot9_Age-D91)*(1+Slot9_Rate)^(Slot9_Age-D91),(1+Slot9_Rate)^(Slot9_Age-D91)*(1-((1+AS_Wage)/(1+Slot9_Rate))^(Slot9_Age-D91))/(1-(1+AS_Wage)/(1+Slot9_Rate))),1)</f>
        <v>1</v>
      </c>
      <c r="KS91" s="20" t="n">
        <f aca="false">IF(AND(HU91=1,IE91&gt;0,Slot9_IsWG=1,CZ91=1),MAX(0,(Slot9_Cost-DA91*(1+Slot9_Rate)^(Slot9_Age-D91))/KR91),0)</f>
        <v>0</v>
      </c>
      <c r="KT91" s="20" t="n">
        <f aca="false">IF(AND(HU91=1,IE91&gt;0,Slot9_IsWG=1,CZ91=1),MIN(IE91,KS91),0)</f>
        <v>0</v>
      </c>
      <c r="KU91" s="20" t="n">
        <f aca="false">DA91+KT91</f>
        <v>0</v>
      </c>
      <c r="KV91" s="20" t="n">
        <f aca="false">IF(CZ91=1,MAX(0,(Slot9_Cost-KU91*(1+Slot9_Rate)^(Slot9_Age-D91))/KR91),0)</f>
        <v>0</v>
      </c>
      <c r="KW91" s="20" t="n">
        <f aca="false">IF(CZ91=1,MAX(0,(Slot9_Cost-DA91*(1+Slot9_Rate)^(Slot9_Age-D91))/KR91),0)</f>
        <v>0</v>
      </c>
      <c r="KX91" s="20" t="n">
        <f aca="false">IF(AND(HU91=1,CZ91=1),MIN(KQ91,KV91),0)</f>
        <v>0</v>
      </c>
      <c r="KY91" s="20" t="n">
        <f aca="false">KQ91-KX91</f>
        <v>0</v>
      </c>
      <c r="KZ91" s="20" t="n">
        <f aca="false">IF(DJ91=1,IF(ABS((1+AS_Wage)/(1+Slot10_Rate)-1)&lt;0.000000000001,(Slot10_Age-D91)*(1+Slot10_Rate)^(Slot10_Age-D91),(1+Slot10_Rate)^(Slot10_Age-D91)*(1-((1+AS_Wage)/(1+Slot10_Rate))^(Slot10_Age-D91))/(1-(1+AS_Wage)/(1+Slot10_Rate))),1)</f>
        <v>1</v>
      </c>
      <c r="LA91" s="20" t="n">
        <f aca="false">IF(AND(HU91=1,IE91&gt;0,Slot10_IsWG=1,DJ91=1),MAX(0,(Slot10_Cost-DK91*(1+Slot10_Rate)^(Slot10_Age-D91))/KZ91),0)</f>
        <v>0</v>
      </c>
      <c r="LB91" s="20" t="n">
        <f aca="false">IF(AND(HU91=1,IE91&gt;0,Slot10_IsWG=1,DJ91=1),MIN(IE91,LA91),0)</f>
        <v>0</v>
      </c>
      <c r="LC91" s="20" t="n">
        <f aca="false">DK91+LB91</f>
        <v>0</v>
      </c>
      <c r="LD91" s="20" t="n">
        <f aca="false">IF(DJ91=1,MAX(0,(Slot10_Cost-LC91*(1+Slot10_Rate)^(Slot10_Age-D91))/KZ91),0)</f>
        <v>0</v>
      </c>
      <c r="LE91" s="20" t="n">
        <f aca="false">IF(DJ91=1,MAX(0,(Slot10_Cost-DK91*(1+Slot10_Rate)^(Slot10_Age-D91))/KZ91),0)</f>
        <v>0</v>
      </c>
      <c r="LF91" s="20" t="n">
        <f aca="false">IF(AND(HU91=1,DJ91=1),MIN(KY91,LD91),0)</f>
        <v>0</v>
      </c>
      <c r="LG91" s="20" t="n">
        <f aca="false">KY91-LF91</f>
        <v>0</v>
      </c>
      <c r="LH91" s="20" t="n">
        <f aca="false">IF(DT91=1,IF(ABS((1+AS_Wage)/(1+Slot11_Rate)-1)&lt;0.000000000001,(Slot11_Age-D91)*(1+Slot11_Rate)^(Slot11_Age-D91),(1+Slot11_Rate)^(Slot11_Age-D91)*(1-((1+AS_Wage)/(1+Slot11_Rate))^(Slot11_Age-D91))/(1-(1+AS_Wage)/(1+Slot11_Rate))),1)</f>
        <v>1</v>
      </c>
      <c r="LI91" s="20" t="n">
        <f aca="false">IF(AND(HU91=1,IE91&gt;0,Slot11_IsWG=1,DT91=1),MAX(0,(Slot11_Cost-DU91*(1+Slot11_Rate)^(Slot11_Age-D91))/LH91),0)</f>
        <v>0</v>
      </c>
      <c r="LJ91" s="20" t="n">
        <f aca="false">IF(AND(HU91=1,IE91&gt;0,Slot11_IsWG=1,DT91=1),MIN(IE91,LI91),0)</f>
        <v>0</v>
      </c>
      <c r="LK91" s="20" t="n">
        <f aca="false">DU91+LJ91</f>
        <v>0</v>
      </c>
      <c r="LL91" s="20" t="n">
        <f aca="false">IF(DT91=1,MAX(0,(Slot11_Cost-LK91*(1+Slot11_Rate)^(Slot11_Age-D91))/LH91),0)</f>
        <v>0</v>
      </c>
      <c r="LM91" s="20" t="n">
        <f aca="false">IF(DT91=1,MAX(0,(Slot11_Cost-DU91*(1+Slot11_Rate)^(Slot11_Age-D91))/LH91),0)</f>
        <v>0</v>
      </c>
      <c r="LN91" s="20" t="n">
        <f aca="false">IF(AND(HU91=1,DT91=1),MIN(LG91,LL91),0)</f>
        <v>0</v>
      </c>
      <c r="LO91" s="20" t="n">
        <f aca="false">LG91-LN91</f>
        <v>0</v>
      </c>
      <c r="LP91" s="20" t="n">
        <f aca="false">IF(ED91=1,IF(ABS((1+AS_Wage)/(1+Slot12_Rate)-1)&lt;0.000000000001,(Slot12_Age-D91)*(1+Slot12_Rate)^(Slot12_Age-D91),(1+Slot12_Rate)^(Slot12_Age-D91)*(1-((1+AS_Wage)/(1+Slot12_Rate))^(Slot12_Age-D91))/(1-(1+AS_Wage)/(1+Slot12_Rate))),1)</f>
        <v>1</v>
      </c>
      <c r="LQ91" s="20" t="n">
        <f aca="false">IF(AND(HU91=1,IE91&gt;0,Slot12_IsWG=1,ED91=1),MAX(0,(Slot12_Cost-EE91*(1+Slot12_Rate)^(Slot12_Age-D91))/LP91),0)</f>
        <v>0</v>
      </c>
      <c r="LR91" s="20" t="n">
        <f aca="false">IF(AND(HU91=1,IE91&gt;0,Slot12_IsWG=1,ED91=1),MIN(IE91,LQ91),0)</f>
        <v>0</v>
      </c>
      <c r="LS91" s="20" t="n">
        <f aca="false">EE91+LR91</f>
        <v>0</v>
      </c>
      <c r="LT91" s="20" t="n">
        <f aca="false">IF(ED91=1,MAX(0,(Slot12_Cost-LS91*(1+Slot12_Rate)^(Slot12_Age-D91))/LP91),0)</f>
        <v>0</v>
      </c>
      <c r="LU91" s="20" t="n">
        <f aca="false">IF(ED91=1,MAX(0,(Slot12_Cost-EE91*(1+Slot12_Rate)^(Slot12_Age-D91))/LP91),0)</f>
        <v>0</v>
      </c>
      <c r="LV91" s="20" t="n">
        <f aca="false">IF(AND(HU91=1,ED91=1),MIN(LO91,LT91),0)</f>
        <v>0</v>
      </c>
      <c r="LW91" s="20" t="n">
        <f aca="false">LO91-LV91</f>
        <v>0</v>
      </c>
      <c r="LX91" s="20" t="n">
        <f aca="false">IF(EN91=1,IF(ABS((1+AS_Wage)/(1+Slot13_Rate)-1)&lt;0.000000000001,(Slot13_Age-D91)*(1+Slot13_Rate)^(Slot13_Age-D91),(1+Slot13_Rate)^(Slot13_Age-D91)*(1-((1+AS_Wage)/(1+Slot13_Rate))^(Slot13_Age-D91))/(1-(1+AS_Wage)/(1+Slot13_Rate))),1)</f>
        <v>1</v>
      </c>
      <c r="LY91" s="20" t="n">
        <f aca="false">IF(AND(HU91=1,IE91&gt;0,Slot13_IsWG=1,EN91=1),MAX(0,(Slot13_Cost-EO91*(1+Slot13_Rate)^(Slot13_Age-D91))/LX91),0)</f>
        <v>0</v>
      </c>
      <c r="LZ91" s="20" t="n">
        <f aca="false">IF(AND(HU91=1,IE91&gt;0,Slot13_IsWG=1,EN91=1),MIN(IE91,LY91),0)</f>
        <v>0</v>
      </c>
      <c r="MA91" s="20" t="n">
        <f aca="false">EO91+LZ91</f>
        <v>0</v>
      </c>
      <c r="MB91" s="20" t="n">
        <f aca="false">IF(EN91=1,MAX(0,(Slot13_Cost-MA91*(1+Slot13_Rate)^(Slot13_Age-D91))/LX91),0)</f>
        <v>0</v>
      </c>
      <c r="MC91" s="20" t="n">
        <f aca="false">IF(EN91=1,MAX(0,(Slot13_Cost-EO91*(1+Slot13_Rate)^(Slot13_Age-D91))/LX91),0)</f>
        <v>0</v>
      </c>
      <c r="MD91" s="20" t="n">
        <f aca="false">IF(AND(HU91=1,EN91=1),MIN(LW91,MB91),0)</f>
        <v>0</v>
      </c>
      <c r="ME91" s="20" t="n">
        <f aca="false">LW91-MD91</f>
        <v>0</v>
      </c>
      <c r="MF91" s="20" t="n">
        <f aca="false">IF(EX91=1,IF(ABS((1+AS_Wage)/(1+Slot14_Rate)-1)&lt;0.000000000001,(Slot14_Age-D91)*(1+Slot14_Rate)^(Slot14_Age-D91),(1+Slot14_Rate)^(Slot14_Age-D91)*(1-((1+AS_Wage)/(1+Slot14_Rate))^(Slot14_Age-D91))/(1-(1+AS_Wage)/(1+Slot14_Rate))),1)</f>
        <v>1</v>
      </c>
      <c r="MG91" s="20" t="n">
        <f aca="false">IF(AND(HU91=1,IE91&gt;0,Slot14_IsWG=1,EX91=1),MAX(0,(Slot14_Cost-EY91*(1+Slot14_Rate)^(Slot14_Age-D91))/MF91),0)</f>
        <v>0</v>
      </c>
      <c r="MH91" s="20" t="n">
        <f aca="false">IF(AND(HU91=1,IE91&gt;0,Slot14_IsWG=1,EX91=1),MIN(IE91,MG91),0)</f>
        <v>0</v>
      </c>
      <c r="MI91" s="20" t="n">
        <f aca="false">EY91+MH91</f>
        <v>0</v>
      </c>
      <c r="MJ91" s="20" t="n">
        <f aca="false">IF(EX91=1,MAX(0,(Slot14_Cost-MI91*(1+Slot14_Rate)^(Slot14_Age-D91))/MF91),0)</f>
        <v>0</v>
      </c>
      <c r="MK91" s="20" t="n">
        <f aca="false">IF(EX91=1,MAX(0,(Slot14_Cost-EY91*(1+Slot14_Rate)^(Slot14_Age-D91))/MF91),0)</f>
        <v>0</v>
      </c>
      <c r="ML91" s="20" t="n">
        <f aca="false">IF(AND(HU91=1,EX91=1),MIN(ME91,MJ91),0)</f>
        <v>0</v>
      </c>
      <c r="MM91" s="20" t="n">
        <f aca="false">ME91-ML91</f>
        <v>0</v>
      </c>
      <c r="MN91" s="20" t="n">
        <f aca="false">IF(FH91=1,IF(ABS((1+AS_Wage)/(1+Slot15_Rate)-1)&lt;0.000000000001,(Slot15_Age-D91)*(1+Slot15_Rate)^(Slot15_Age-D91),(1+Slot15_Rate)^(Slot15_Age-D91)*(1-((1+AS_Wage)/(1+Slot15_Rate))^(Slot15_Age-D91))/(1-(1+AS_Wage)/(1+Slot15_Rate))),1)</f>
        <v>1</v>
      </c>
      <c r="MO91" s="20" t="n">
        <f aca="false">IF(AND(HU91=1,IE91&gt;0,Slot15_IsWG=1,FH91=1),MAX(0,(Slot15_Cost-FI91*(1+Slot15_Rate)^(Slot15_Age-D91))/MN91),0)</f>
        <v>0</v>
      </c>
      <c r="MP91" s="20" t="n">
        <f aca="false">IF(AND(HU91=1,IE91&gt;0,Slot15_IsWG=1,FH91=1),MIN(IE91,MO91),0)</f>
        <v>0</v>
      </c>
      <c r="MQ91" s="20" t="n">
        <f aca="false">FI91+MP91</f>
        <v>0</v>
      </c>
      <c r="MR91" s="20" t="n">
        <f aca="false">IF(FH91=1,MAX(0,(Slot15_Cost-MQ91*(1+Slot15_Rate)^(Slot15_Age-D91))/MN91),0)</f>
        <v>0</v>
      </c>
      <c r="MS91" s="20" t="n">
        <f aca="false">IF(FH91=1,MAX(0,(Slot15_Cost-FI91*(1+Slot15_Rate)^(Slot15_Age-D91))/MN91),0)</f>
        <v>0</v>
      </c>
      <c r="MT91" s="20" t="n">
        <f aca="false">IF(AND(HU91=1,FH91=1),MIN(MM91,MR91),0)</f>
        <v>0</v>
      </c>
      <c r="MU91" s="20" t="n">
        <f aca="false">MM91-MT91</f>
        <v>0</v>
      </c>
      <c r="MV91" s="20" t="n">
        <f aca="false">IF(FR91=1,IF(ABS((1+AS_Wage)/(1+Slot16_Rate)-1)&lt;0.000000000001,(Slot16_Age-D91)*(1+Slot16_Rate)^(Slot16_Age-D91),(1+Slot16_Rate)^(Slot16_Age-D91)*(1-((1+AS_Wage)/(1+Slot16_Rate))^(Slot16_Age-D91))/(1-(1+AS_Wage)/(1+Slot16_Rate))),1)</f>
        <v>1</v>
      </c>
      <c r="MW91" s="20" t="n">
        <f aca="false">IF(AND(HU91=1,IE91&gt;0,Slot16_IsWG=1,FR91=1),MAX(0,(Slot16_Cost-FS91*(1+Slot16_Rate)^(Slot16_Age-D91))/MV91),0)</f>
        <v>0</v>
      </c>
      <c r="MX91" s="20" t="n">
        <f aca="false">IF(AND(HU91=1,IE91&gt;0,Slot16_IsWG=1,FR91=1),MIN(IE91,MW91),0)</f>
        <v>0</v>
      </c>
      <c r="MY91" s="20" t="n">
        <f aca="false">FS91+MX91</f>
        <v>0</v>
      </c>
      <c r="MZ91" s="20" t="n">
        <f aca="false">IF(FR91=1,MAX(0,(Slot16_Cost-MY91*(1+Slot16_Rate)^(Slot16_Age-D91))/MV91),0)</f>
        <v>0</v>
      </c>
      <c r="NA91" s="20" t="n">
        <f aca="false">IF(FR91=1,MAX(0,(Slot16_Cost-FS91*(1+Slot16_Rate)^(Slot16_Age-D91))/MV91),0)</f>
        <v>0</v>
      </c>
      <c r="NB91" s="20" t="n">
        <f aca="false">IF(AND(HU91=1,FR91=1),MIN(MU91,MZ91),0)</f>
        <v>0</v>
      </c>
      <c r="NC91" s="20" t="n">
        <f aca="false">MU91-NB91</f>
        <v>0</v>
      </c>
      <c r="ND91" s="20" t="n">
        <f aca="false">IF(GB91=1,IF(ABS((1+AS_Wage)/(1+Slot17_Rate)-1)&lt;0.000000000001,(Slot17_Age-D91)*(1+Slot17_Rate)^(Slot17_Age-D91),(1+Slot17_Rate)^(Slot17_Age-D91)*(1-((1+AS_Wage)/(1+Slot17_Rate))^(Slot17_Age-D91))/(1-(1+AS_Wage)/(1+Slot17_Rate))),1)</f>
        <v>1</v>
      </c>
      <c r="NE91" s="20" t="n">
        <f aca="false">IF(AND(HU91=1,IE91&gt;0,Slot17_IsWG=1,GB91=1),MAX(0,(Slot17_Cost-GC91*(1+Slot17_Rate)^(Slot17_Age-D91))/ND91),0)</f>
        <v>0</v>
      </c>
      <c r="NF91" s="20" t="n">
        <f aca="false">IF(AND(HU91=1,IE91&gt;0,Slot17_IsWG=1,GB91=1),MIN(IE91,NE91),0)</f>
        <v>0</v>
      </c>
      <c r="NG91" s="20" t="n">
        <f aca="false">GC91+NF91</f>
        <v>0</v>
      </c>
      <c r="NH91" s="20" t="n">
        <f aca="false">IF(GB91=1,MAX(0,(Slot17_Cost-NG91*(1+Slot17_Rate)^(Slot17_Age-D91))/ND91),0)</f>
        <v>0</v>
      </c>
      <c r="NI91" s="20" t="n">
        <f aca="false">IF(GB91=1,MAX(0,(Slot17_Cost-GC91*(1+Slot17_Rate)^(Slot17_Age-D91))/ND91),0)</f>
        <v>0</v>
      </c>
      <c r="NJ91" s="20" t="n">
        <f aca="false">IF(AND(HU91=1,GB91=1),MIN(NC91,NH91),0)</f>
        <v>0</v>
      </c>
      <c r="NK91" s="20" t="n">
        <f aca="false">NC91-NJ91</f>
        <v>0</v>
      </c>
      <c r="NL91" s="20" t="n">
        <f aca="false">IF(GL91=1,IF(ABS((1+AS_Wage)/(1+Slot18_Rate)-1)&lt;0.000000000001,(Slot18_Age-D91)*(1+Slot18_Rate)^(Slot18_Age-D91),(1+Slot18_Rate)^(Slot18_Age-D91)*(1-((1+AS_Wage)/(1+Slot18_Rate))^(Slot18_Age-D91))/(1-(1+AS_Wage)/(1+Slot18_Rate))),1)</f>
        <v>1</v>
      </c>
      <c r="NM91" s="20" t="n">
        <f aca="false">IF(AND(HU91=1,IE91&gt;0,Slot18_IsWG=1,GL91=1),MAX(0,(Slot18_Cost-GM91*(1+Slot18_Rate)^(Slot18_Age-D91))/NL91),0)</f>
        <v>0</v>
      </c>
      <c r="NN91" s="20" t="n">
        <f aca="false">IF(AND(HU91=1,IE91&gt;0,Slot18_IsWG=1,GL91=1),MIN(IE91,NM91),0)</f>
        <v>0</v>
      </c>
      <c r="NO91" s="20" t="n">
        <f aca="false">GM91+NN91</f>
        <v>0</v>
      </c>
      <c r="NP91" s="20" t="n">
        <f aca="false">IF(GL91=1,MAX(0,(Slot18_Cost-NO91*(1+Slot18_Rate)^(Slot18_Age-D91))/NL91),0)</f>
        <v>0</v>
      </c>
      <c r="NQ91" s="20" t="n">
        <f aca="false">IF(GL91=1,MAX(0,(Slot18_Cost-GM91*(1+Slot18_Rate)^(Slot18_Age-D91))/NL91),0)</f>
        <v>0</v>
      </c>
      <c r="NR91" s="20" t="n">
        <f aca="false">IF(AND(HU91=1,GL91=1),MIN(NK91,NP91),0)</f>
        <v>0</v>
      </c>
      <c r="NS91" s="20" t="n">
        <f aca="false">NK91-NR91</f>
        <v>0</v>
      </c>
      <c r="NT91" s="20" t="n">
        <f aca="false">IF(GV91=1,IF(ABS((1+AS_Wage)/(1+Slot19_Rate)-1)&lt;0.000000000001,(Slot19_Age-D91)*(1+Slot19_Rate)^(Slot19_Age-D91),(1+Slot19_Rate)^(Slot19_Age-D91)*(1-((1+AS_Wage)/(1+Slot19_Rate))^(Slot19_Age-D91))/(1-(1+AS_Wage)/(1+Slot19_Rate))),1)</f>
        <v>1</v>
      </c>
      <c r="NU91" s="20" t="n">
        <f aca="false">IF(AND(HU91=1,IE91&gt;0,Slot19_IsWG=1,GV91=1),MAX(0,(Slot19_Cost-GW91*(1+Slot19_Rate)^(Slot19_Age-D91))/NT91),0)</f>
        <v>0</v>
      </c>
      <c r="NV91" s="20" t="n">
        <f aca="false">IF(AND(HU91=1,IE91&gt;0,Slot19_IsWG=1,GV91=1),MIN(IE91,NU91),0)</f>
        <v>0</v>
      </c>
      <c r="NW91" s="20" t="n">
        <f aca="false">GW91+NV91</f>
        <v>0</v>
      </c>
      <c r="NX91" s="20" t="n">
        <f aca="false">IF(GV91=1,MAX(0,(Slot19_Cost-NW91*(1+Slot19_Rate)^(Slot19_Age-D91))/NT91),0)</f>
        <v>0</v>
      </c>
      <c r="NY91" s="20" t="n">
        <f aca="false">IF(GV91=1,MAX(0,(Slot19_Cost-GW91*(1+Slot19_Rate)^(Slot19_Age-D91))/NT91),0)</f>
        <v>0</v>
      </c>
      <c r="NZ91" s="20" t="n">
        <f aca="false">IF(AND(HU91=1,GV91=1),MIN(NS91,NX91),0)</f>
        <v>0</v>
      </c>
      <c r="OA91" s="20" t="n">
        <f aca="false">NS91-NZ91</f>
        <v>0</v>
      </c>
      <c r="OB91" s="20" t="n">
        <f aca="false">IF(HF91=1,IF(ABS((1+AS_Wage)/(1+Slot20_Rate)-1)&lt;0.000000000001,(Slot20_Age-D91)*(1+Slot20_Rate)^(Slot20_Age-D91),(1+Slot20_Rate)^(Slot20_Age-D91)*(1-((1+AS_Wage)/(1+Slot20_Rate))^(Slot20_Age-D91))/(1-(1+AS_Wage)/(1+Slot20_Rate))),1)</f>
        <v>1</v>
      </c>
      <c r="OC91" s="20" t="n">
        <f aca="false">IF(AND(HU91=1,IE91&gt;0,Slot20_IsWG=1,HF91=1),MAX(0,(Slot20_Cost-HG91*(1+Slot20_Rate)^(Slot20_Age-D91))/OB91),0)</f>
        <v>0</v>
      </c>
      <c r="OD91" s="20" t="n">
        <f aca="false">IF(AND(HU91=1,IE91&gt;0,Slot20_IsWG=1,HF91=1),MIN(IE91,OC91),0)</f>
        <v>0</v>
      </c>
      <c r="OE91" s="20" t="n">
        <f aca="false">HG91+OD91</f>
        <v>0</v>
      </c>
      <c r="OF91" s="20" t="n">
        <f aca="false">IF(HF91=1,MAX(0,(Slot20_Cost-OE91*(1+Slot20_Rate)^(Slot20_Age-D91))/OB91),0)</f>
        <v>0</v>
      </c>
      <c r="OG91" s="20" t="n">
        <f aca="false">IF(HF91=1,MAX(0,(Slot20_Cost-HG91*(1+Slot20_Rate)^(Slot20_Age-D91))/OB91),0)</f>
        <v>0</v>
      </c>
      <c r="OH91" s="20" t="n">
        <f aca="false">IF(AND(HU91=1,HF91=1),MIN(OA91,OF91),0)</f>
        <v>0</v>
      </c>
      <c r="OI91" s="20" t="n">
        <f aca="false">OA91-OH91</f>
        <v>0</v>
      </c>
      <c r="OJ91" s="20" t="n">
        <f aca="false">IE91-(IH91+IP91+IX91+JF91+JN91+JV91+KD91+KL91+KT91+LB91+LJ91+LR91+LZ91+MH91+MP91+MX91+NF91+NN91+NV91+OD91)</f>
        <v>0</v>
      </c>
      <c r="OK91" s="20" t="n">
        <f aca="false">IF(HU91=1,HS91-ID91-IE91,0)</f>
        <v>0</v>
      </c>
      <c r="OL91" s="20" t="n">
        <f aca="false">IF(HU91=0,-HS91,0)</f>
        <v>99677.007672441</v>
      </c>
      <c r="OM91" s="20" t="n">
        <f aca="false">MIN(OL91,HK91)</f>
        <v>0</v>
      </c>
      <c r="ON91" s="20" t="n">
        <f aca="false">OL91-OM91</f>
        <v>99677.007672441</v>
      </c>
      <c r="OO91" s="20" t="n">
        <f aca="false">MIN(ON91,HL91)</f>
        <v>0</v>
      </c>
      <c r="OP91" s="20" t="n">
        <f aca="false">ON91-OO91</f>
        <v>99677.007672441</v>
      </c>
      <c r="OQ91" s="20" t="n">
        <f aca="false">IF(AND(HU91=0,HF91=1,OP91&gt;0),MIN(OP91,HG91),0)</f>
        <v>0</v>
      </c>
      <c r="OR91" s="20" t="n">
        <f aca="false">OP91-OQ91</f>
        <v>99677.007672441</v>
      </c>
      <c r="OS91" s="20" t="n">
        <f aca="false">IF(AND(HU91=0,GV91=1,OR91&gt;0),MIN(OR91,GW91),0)</f>
        <v>0</v>
      </c>
      <c r="OT91" s="20" t="n">
        <f aca="false">OR91-OS91</f>
        <v>99677.007672441</v>
      </c>
      <c r="OU91" s="20" t="n">
        <f aca="false">IF(AND(HU91=0,GL91=1,OT91&gt;0),MIN(OT91,GM91),0)</f>
        <v>0</v>
      </c>
      <c r="OV91" s="20" t="n">
        <f aca="false">OT91-OU91</f>
        <v>99677.007672441</v>
      </c>
      <c r="OW91" s="20" t="n">
        <f aca="false">IF(AND(HU91=0,GB91=1,OV91&gt;0),MIN(OV91,GC91),0)</f>
        <v>0</v>
      </c>
      <c r="OX91" s="20" t="n">
        <f aca="false">OV91-OW91</f>
        <v>99677.007672441</v>
      </c>
      <c r="OY91" s="20" t="n">
        <f aca="false">IF(AND(HU91=0,FR91=1,OX91&gt;0),MIN(OX91,FS91),0)</f>
        <v>0</v>
      </c>
      <c r="OZ91" s="20" t="n">
        <f aca="false">OX91-OY91</f>
        <v>99677.007672441</v>
      </c>
      <c r="PA91" s="20" t="n">
        <f aca="false">IF(AND(HU91=0,FH91=1,OZ91&gt;0),MIN(OZ91,FI91),0)</f>
        <v>0</v>
      </c>
      <c r="PB91" s="20" t="n">
        <f aca="false">OZ91-PA91</f>
        <v>99677.007672441</v>
      </c>
      <c r="PC91" s="20" t="n">
        <f aca="false">IF(AND(HU91=0,EX91=1,PB91&gt;0),MIN(PB91,EY91),0)</f>
        <v>0</v>
      </c>
      <c r="PD91" s="20" t="n">
        <f aca="false">PB91-PC91</f>
        <v>99677.007672441</v>
      </c>
      <c r="PE91" s="20" t="n">
        <f aca="false">IF(AND(HU91=0,EN91=1,PD91&gt;0),MIN(PD91,EO91),0)</f>
        <v>0</v>
      </c>
      <c r="PF91" s="20" t="n">
        <f aca="false">PD91-PE91</f>
        <v>99677.007672441</v>
      </c>
      <c r="PG91" s="20" t="n">
        <f aca="false">IF(AND(HU91=0,ED91=1,PF91&gt;0),MIN(PF91,EE91),0)</f>
        <v>0</v>
      </c>
      <c r="PH91" s="20" t="n">
        <f aca="false">PF91-PG91</f>
        <v>99677.007672441</v>
      </c>
      <c r="PI91" s="20" t="n">
        <f aca="false">IF(AND(HU91=0,DT91=1,PH91&gt;0),MIN(PH91,DU91),0)</f>
        <v>0</v>
      </c>
      <c r="PJ91" s="20" t="n">
        <f aca="false">PH91-PI91</f>
        <v>99677.007672441</v>
      </c>
      <c r="PK91" s="20" t="n">
        <f aca="false">IF(AND(HU91=0,DJ91=1,PJ91&gt;0),MIN(PJ91,DK91),0)</f>
        <v>0</v>
      </c>
      <c r="PL91" s="20" t="n">
        <f aca="false">PJ91-PK91</f>
        <v>99677.007672441</v>
      </c>
      <c r="PM91" s="20" t="n">
        <f aca="false">IF(AND(HU91=0,CZ91=1,PL91&gt;0),MIN(PL91,DA91),0)</f>
        <v>0</v>
      </c>
      <c r="PN91" s="20" t="n">
        <f aca="false">PL91-PM91</f>
        <v>99677.007672441</v>
      </c>
      <c r="PO91" s="20" t="n">
        <f aca="false">IF(AND(HU91=0,CP91=1,PN91&gt;0),MIN(PN91,CQ91),0)</f>
        <v>0</v>
      </c>
      <c r="PP91" s="20" t="n">
        <f aca="false">PN91-PO91</f>
        <v>99677.007672441</v>
      </c>
      <c r="PQ91" s="20" t="n">
        <f aca="false">IF(AND(HU91=0,CF91=1,PP91&gt;0),MIN(PP91,CG91),0)</f>
        <v>0</v>
      </c>
      <c r="PR91" s="20" t="n">
        <f aca="false">PP91-PQ91</f>
        <v>99677.007672441</v>
      </c>
      <c r="PS91" s="20" t="n">
        <f aca="false">IF(AND(HU91=0,BV91=1,PR91&gt;0),MIN(PR91,BW91),0)</f>
        <v>0</v>
      </c>
      <c r="PT91" s="20" t="n">
        <f aca="false">PR91-PS91</f>
        <v>99677.007672441</v>
      </c>
      <c r="PU91" s="20" t="n">
        <f aca="false">IF(AND(HU91=0,BL91=1,PT91&gt;0),MIN(PT91,BM91),0)</f>
        <v>0</v>
      </c>
      <c r="PV91" s="20" t="n">
        <f aca="false">PT91-PU91</f>
        <v>99677.007672441</v>
      </c>
      <c r="PW91" s="20" t="n">
        <f aca="false">IF(AND(HU91=0,BB91=1,PV91&gt;0),MIN(PV91,BC91),0)</f>
        <v>0</v>
      </c>
      <c r="PX91" s="20" t="n">
        <f aca="false">PV91-PW91</f>
        <v>99677.007672441</v>
      </c>
      <c r="PY91" s="20" t="n">
        <f aca="false">IF(AND(HU91=0,AR91=1,PX91&gt;0),MIN(PX91,AS91),0)</f>
        <v>0</v>
      </c>
      <c r="PZ91" s="20" t="n">
        <f aca="false">PX91-PY91</f>
        <v>99677.007672441</v>
      </c>
      <c r="QA91" s="20" t="n">
        <f aca="false">IF(AND(HU91=0,AH91=1,PZ91&gt;0),MIN(PZ91,AI91),0)</f>
        <v>0</v>
      </c>
      <c r="QB91" s="20" t="n">
        <f aca="false">PZ91-QA91</f>
        <v>99677.007672441</v>
      </c>
      <c r="QC91" s="20" t="n">
        <f aca="false">IF(AND(HU91=0,W91=1,QB91&gt;0),MIN(QB91,X91),0)</f>
        <v>0</v>
      </c>
      <c r="QD91" s="20" t="n">
        <f aca="false">QB91-QC91</f>
        <v>99677.007672441</v>
      </c>
      <c r="QE91" s="20" t="n">
        <f aca="false">IF(HU91=0,QD91,0)</f>
        <v>99677.007672441</v>
      </c>
      <c r="QF91" s="20" t="n">
        <f aca="false">OM91+OO91+QC91+QA91+PY91+PW91+PU91+PS91+PQ91+PO91+PM91+PK91+PI91+PG91+PE91+PC91+PA91+OY91+OW91+OU91+OS91+OQ91</f>
        <v>0</v>
      </c>
      <c r="QG91" s="20" t="n">
        <f aca="false">IF(HU91=1,HK91+OJ91+OI91+IF(G91=1,0,OK91),HK91-OM91)</f>
        <v>0</v>
      </c>
      <c r="QH91" s="20" t="n">
        <f aca="false">HL91-OO91</f>
        <v>0</v>
      </c>
      <c r="QI91" s="20" t="n">
        <f aca="false">IF(HU91=1,IF(G91=1,ID91+IE91,HS91),0)</f>
        <v>0</v>
      </c>
      <c r="QJ91" s="20" t="n">
        <f aca="false">IF(HU91=1,IF(G91=1,HS91-ID91-IE91,0),0)</f>
        <v>0</v>
      </c>
      <c r="QK91" s="20" t="n">
        <f aca="false">QG91*(1+GR)</f>
        <v>0</v>
      </c>
      <c r="QL91" s="20" t="n">
        <f aca="false">QH91*(1+AS_Cash)</f>
        <v>0</v>
      </c>
      <c r="QM91" s="20" t="n">
        <f aca="false">IF(W91=1,IF(HU91=1,II91+IL91,X91-QC91)*(1+Slot1_Rate),0)</f>
        <v>0</v>
      </c>
      <c r="QN91" s="20" t="n">
        <f aca="false">IF(AND(HU91=1,W91=1),(IH91+IL91)/F91,0)</f>
        <v>0</v>
      </c>
      <c r="QO91" s="20" t="n">
        <f aca="false">IF(B91=0,IH91+IL91,0)</f>
        <v>0</v>
      </c>
      <c r="QP91" s="20" t="n">
        <f aca="false">IF(B91=0,IF(HU91=1,IJ91,IK91),0)</f>
        <v>0</v>
      </c>
      <c r="QQ91" s="20" t="n">
        <f aca="false">IF(AH91=1,IF(HU91=1,IQ91+IT91,AI91-QA91)*(1+Slot2_Rate),0)</f>
        <v>0</v>
      </c>
      <c r="QR91" s="20" t="n">
        <f aca="false">IF(AND(HU91=1,AH91=1),(IP91+IT91)/F91,0)</f>
        <v>0</v>
      </c>
      <c r="QS91" s="20" t="n">
        <f aca="false">IF(B91=0,IP91+IT91,0)</f>
        <v>0</v>
      </c>
      <c r="QT91" s="20" t="n">
        <f aca="false">IF(B91=0,IF(HU91=1,IR91,IS91),0)</f>
        <v>0</v>
      </c>
      <c r="QU91" s="20" t="n">
        <f aca="false">IF(AR91=1,IF(HU91=1,IY91+JB91,AS91-PY91)*(1+Slot3_Rate),0)</f>
        <v>0</v>
      </c>
      <c r="QV91" s="20" t="n">
        <f aca="false">IF(AND(HU91=1,AR91=1),(IX91+JB91)/F91,0)</f>
        <v>0</v>
      </c>
      <c r="QW91" s="20" t="n">
        <f aca="false">IF(B91=0,IX91+JB91,0)</f>
        <v>0</v>
      </c>
      <c r="QX91" s="20" t="n">
        <f aca="false">IF(B91=0,IF(HU91=1,IZ91,JA91),0)</f>
        <v>0</v>
      </c>
      <c r="QY91" s="20" t="n">
        <f aca="false">IF(BB91=1,IF(HU91=1,JG91+JJ91,BC91-PW91)*(1+Slot4_Rate),0)</f>
        <v>0</v>
      </c>
      <c r="QZ91" s="20" t="n">
        <f aca="false">IF(AND(HU91=1,BB91=1),(JF91+JJ91)/F91,0)</f>
        <v>0</v>
      </c>
      <c r="RA91" s="20" t="n">
        <f aca="false">IF(B91=0,JF91+JJ91,0)</f>
        <v>0</v>
      </c>
      <c r="RB91" s="20" t="n">
        <f aca="false">IF(B91=0,IF(HU91=1,JH91,JI91),0)</f>
        <v>0</v>
      </c>
      <c r="RC91" s="20" t="n">
        <f aca="false">IF(BL91=1,IF(HU91=1,JO91+JR91,BM91-PU91)*(1+Slot5_Rate),0)</f>
        <v>0</v>
      </c>
      <c r="RD91" s="20" t="n">
        <f aca="false">IF(AND(HU91=1,BL91=1),(JN91+JR91)/F91,0)</f>
        <v>0</v>
      </c>
      <c r="RE91" s="20" t="n">
        <f aca="false">IF(B91=0,JN91+JR91,0)</f>
        <v>0</v>
      </c>
      <c r="RF91" s="20" t="n">
        <f aca="false">IF(B91=0,IF(HU91=1,JP91,JQ91),0)</f>
        <v>0</v>
      </c>
      <c r="RG91" s="20" t="n">
        <f aca="false">IF(BV91=1,IF(HU91=1,JW91+JZ91,BW91-PS91)*(1+Slot6_Rate),0)</f>
        <v>0</v>
      </c>
      <c r="RH91" s="20" t="n">
        <f aca="false">IF(AND(HU91=1,BV91=1),(JV91+JZ91)/F91,0)</f>
        <v>0</v>
      </c>
      <c r="RI91" s="20" t="n">
        <f aca="false">IF(B91=0,JV91+JZ91,0)</f>
        <v>0</v>
      </c>
      <c r="RJ91" s="20" t="n">
        <f aca="false">IF(B91=0,IF(HU91=1,JX91,JY91),0)</f>
        <v>0</v>
      </c>
      <c r="RK91" s="20" t="n">
        <f aca="false">IF(CF91=1,IF(HU91=1,KE91+KH91,CG91-PQ91)*(1+Slot7_Rate),0)</f>
        <v>0</v>
      </c>
      <c r="RL91" s="20" t="n">
        <f aca="false">IF(AND(HU91=1,CF91=1),(KD91+KH91)/F91,0)</f>
        <v>0</v>
      </c>
      <c r="RM91" s="20" t="n">
        <f aca="false">IF(B91=0,KD91+KH91,0)</f>
        <v>0</v>
      </c>
      <c r="RN91" s="20" t="n">
        <f aca="false">IF(B91=0,IF(HU91=1,KF91,KG91),0)</f>
        <v>0</v>
      </c>
      <c r="RO91" s="20" t="n">
        <f aca="false">IF(CP91=1,IF(HU91=1,KM91+KP91,CQ91-PO91)*(1+Slot8_Rate),0)</f>
        <v>0</v>
      </c>
      <c r="RP91" s="20" t="n">
        <f aca="false">IF(AND(HU91=1,CP91=1),(KL91+KP91)/F91,0)</f>
        <v>0</v>
      </c>
      <c r="RQ91" s="20" t="n">
        <f aca="false">IF(B91=0,KL91+KP91,0)</f>
        <v>0</v>
      </c>
      <c r="RR91" s="20" t="n">
        <f aca="false">IF(B91=0,IF(HU91=1,KN91,KO91),0)</f>
        <v>0</v>
      </c>
      <c r="RS91" s="20" t="n">
        <f aca="false">IF(CZ91=1,IF(HU91=1,KU91+KX91,DA91-PM91)*(1+Slot9_Rate),0)</f>
        <v>0</v>
      </c>
      <c r="RT91" s="20" t="n">
        <f aca="false">IF(AND(HU91=1,CZ91=1),(KT91+KX91)/F91,0)</f>
        <v>0</v>
      </c>
      <c r="RU91" s="20" t="n">
        <f aca="false">IF(B91=0,KT91+KX91,0)</f>
        <v>0</v>
      </c>
      <c r="RV91" s="20" t="n">
        <f aca="false">IF(B91=0,IF(HU91=1,KV91,KW91),0)</f>
        <v>0</v>
      </c>
      <c r="RW91" s="20" t="n">
        <f aca="false">IF(DJ91=1,IF(HU91=1,LC91+LF91,DK91-PK91)*(1+Slot10_Rate),0)</f>
        <v>0</v>
      </c>
      <c r="RX91" s="20" t="n">
        <f aca="false">IF(AND(HU91=1,DJ91=1),(LB91+LF91)/F91,0)</f>
        <v>0</v>
      </c>
      <c r="RY91" s="20" t="n">
        <f aca="false">IF(B91=0,LB91+LF91,0)</f>
        <v>0</v>
      </c>
      <c r="RZ91" s="20" t="n">
        <f aca="false">IF(B91=0,IF(HU91=1,LD91,LE91),0)</f>
        <v>0</v>
      </c>
      <c r="SA91" s="20" t="n">
        <f aca="false">IF(DT91=1,IF(HU91=1,LK91+LN91,DU91-PI91)*(1+Slot11_Rate),0)</f>
        <v>0</v>
      </c>
      <c r="SB91" s="20" t="n">
        <f aca="false">IF(AND(HU91=1,DT91=1),(LJ91+LN91)/F91,0)</f>
        <v>0</v>
      </c>
      <c r="SC91" s="20" t="n">
        <f aca="false">IF(B91=0,LJ91+LN91,0)</f>
        <v>0</v>
      </c>
      <c r="SD91" s="20" t="n">
        <f aca="false">IF(B91=0,IF(HU91=1,LL91,LM91),0)</f>
        <v>0</v>
      </c>
      <c r="SE91" s="20" t="n">
        <f aca="false">IF(ED91=1,IF(HU91=1,LS91+LV91,EE91-PG91)*(1+Slot12_Rate),0)</f>
        <v>0</v>
      </c>
      <c r="SF91" s="20" t="n">
        <f aca="false">IF(AND(HU91=1,ED91=1),(LR91+LV91)/F91,0)</f>
        <v>0</v>
      </c>
      <c r="SG91" s="20" t="n">
        <f aca="false">IF(B91=0,LR91+LV91,0)</f>
        <v>0</v>
      </c>
      <c r="SH91" s="20" t="n">
        <f aca="false">IF(B91=0,IF(HU91=1,LT91,LU91),0)</f>
        <v>0</v>
      </c>
      <c r="SI91" s="20" t="n">
        <f aca="false">IF(EN91=1,IF(HU91=1,MA91+MD91,EO91-PE91)*(1+Slot13_Rate),0)</f>
        <v>0</v>
      </c>
      <c r="SJ91" s="20" t="n">
        <f aca="false">IF(AND(HU91=1,EN91=1),(LZ91+MD91)/F91,0)</f>
        <v>0</v>
      </c>
      <c r="SK91" s="20" t="n">
        <f aca="false">IF(B91=0,LZ91+MD91,0)</f>
        <v>0</v>
      </c>
      <c r="SL91" s="20" t="n">
        <f aca="false">IF(B91=0,IF(HU91=1,MB91,MC91),0)</f>
        <v>0</v>
      </c>
      <c r="SM91" s="20" t="n">
        <f aca="false">IF(EX91=1,IF(HU91=1,MI91+ML91,EY91-PC91)*(1+Slot14_Rate),0)</f>
        <v>0</v>
      </c>
      <c r="SN91" s="20" t="n">
        <f aca="false">IF(AND(HU91=1,EX91=1),(MH91+ML91)/F91,0)</f>
        <v>0</v>
      </c>
      <c r="SO91" s="20" t="n">
        <f aca="false">IF(B91=0,MH91+ML91,0)</f>
        <v>0</v>
      </c>
      <c r="SP91" s="20" t="n">
        <f aca="false">IF(B91=0,IF(HU91=1,MJ91,MK91),0)</f>
        <v>0</v>
      </c>
      <c r="SQ91" s="20" t="n">
        <f aca="false">IF(FH91=1,IF(HU91=1,MQ91+MT91,FI91-PA91)*(1+Slot15_Rate),0)</f>
        <v>0</v>
      </c>
      <c r="SR91" s="20" t="n">
        <f aca="false">IF(AND(HU91=1,FH91=1),(MP91+MT91)/F91,0)</f>
        <v>0</v>
      </c>
      <c r="SS91" s="20" t="n">
        <f aca="false">IF(B91=0,MP91+MT91,0)</f>
        <v>0</v>
      </c>
      <c r="ST91" s="20" t="n">
        <f aca="false">IF(B91=0,IF(HU91=1,MR91,MS91),0)</f>
        <v>0</v>
      </c>
      <c r="SU91" s="20" t="n">
        <f aca="false">IF(FR91=1,IF(HU91=1,MY91+NB91,FS91-OY91)*(1+Slot16_Rate),0)</f>
        <v>0</v>
      </c>
      <c r="SV91" s="20" t="n">
        <f aca="false">IF(AND(HU91=1,FR91=1),(MX91+NB91)/F91,0)</f>
        <v>0</v>
      </c>
      <c r="SW91" s="20" t="n">
        <f aca="false">IF(B91=0,MX91+NB91,0)</f>
        <v>0</v>
      </c>
      <c r="SX91" s="20" t="n">
        <f aca="false">IF(B91=0,IF(HU91=1,MZ91,NA91),0)</f>
        <v>0</v>
      </c>
      <c r="SY91" s="20" t="n">
        <f aca="false">IF(GB91=1,IF(HU91=1,NG91+NJ91,GC91-OW91)*(1+Slot17_Rate),0)</f>
        <v>0</v>
      </c>
      <c r="SZ91" s="20" t="n">
        <f aca="false">IF(AND(HU91=1,GB91=1),(NF91+NJ91)/F91,0)</f>
        <v>0</v>
      </c>
      <c r="TA91" s="20" t="n">
        <f aca="false">IF(B91=0,NF91+NJ91,0)</f>
        <v>0</v>
      </c>
      <c r="TB91" s="20" t="n">
        <f aca="false">IF(B91=0,IF(HU91=1,NH91,NI91),0)</f>
        <v>0</v>
      </c>
      <c r="TC91" s="20" t="n">
        <f aca="false">IF(GL91=1,IF(HU91=1,NO91+NR91,GM91-OU91)*(1+Slot18_Rate),0)</f>
        <v>0</v>
      </c>
      <c r="TD91" s="20" t="n">
        <f aca="false">IF(AND(HU91=1,GL91=1),(NN91+NR91)/F91,0)</f>
        <v>0</v>
      </c>
      <c r="TE91" s="20" t="n">
        <f aca="false">IF(B91=0,NN91+NR91,0)</f>
        <v>0</v>
      </c>
      <c r="TF91" s="20" t="n">
        <f aca="false">IF(B91=0,IF(HU91=1,NP91,NQ91),0)</f>
        <v>0</v>
      </c>
      <c r="TG91" s="20" t="n">
        <f aca="false">IF(GV91=1,IF(HU91=1,NW91+NZ91,GW91-OS91)*(1+Slot19_Rate),0)</f>
        <v>0</v>
      </c>
      <c r="TH91" s="20" t="n">
        <f aca="false">IF(AND(HU91=1,GV91=1),(NV91+NZ91)/F91,0)</f>
        <v>0</v>
      </c>
      <c r="TI91" s="20" t="n">
        <f aca="false">IF(B91=0,NV91+NZ91,0)</f>
        <v>0</v>
      </c>
      <c r="TJ91" s="20" t="n">
        <f aca="false">IF(B91=0,IF(HU91=1,NX91,NY91),0)</f>
        <v>0</v>
      </c>
      <c r="TK91" s="20" t="n">
        <f aca="false">IF(HF91=1,IF(HU91=1,OE91+OH91,HG91-OQ91)*(1+Slot20_Rate),0)</f>
        <v>0</v>
      </c>
      <c r="TL91" s="20" t="n">
        <f aca="false">IF(AND(HU91=1,HF91=1),(OD91+OH91)/F91,0)</f>
        <v>0</v>
      </c>
      <c r="TM91" s="20" t="n">
        <f aca="false">IF(B91=0,OD91+OH91,0)</f>
        <v>0</v>
      </c>
      <c r="TN91" s="20" t="n">
        <f aca="false">IF(B91=0,IF(HU91=1,OF91,OG91),0)</f>
        <v>0</v>
      </c>
      <c r="TO91" s="20" t="n">
        <f aca="false">QK91+QL91+QM91+QQ91+QU91+QY91+RC91+RG91+RK91+RO91+RS91+RW91+SA91+SE91+SI91+SM91+SQ91+SU91+SY91+TC91+TG91+TK91</f>
        <v>0</v>
      </c>
      <c r="TP91" s="20" t="n">
        <f aca="false">QE91+HP91</f>
        <v>99677.007672441</v>
      </c>
      <c r="TQ91" s="20" t="n">
        <f aca="false">I91+S91</f>
        <v>247310.270719019</v>
      </c>
      <c r="TR91" s="20" t="n">
        <f aca="false">1-G91</f>
        <v>1</v>
      </c>
      <c r="TS91" s="20" t="n">
        <f aca="false">IF(AND(RG_Exists=1,G91=0,C91=1),I91,0)</f>
        <v>0</v>
      </c>
      <c r="TT91" s="20" t="n">
        <f aca="false">IF(AND(RG_Exists=1,G91=0,C91=1),I91-MIN(QE91,I91),0)</f>
        <v>0</v>
      </c>
      <c r="TU91" s="20" t="n">
        <f aca="false">'Plan pay &amp; tax'!AD317</f>
        <v>0</v>
      </c>
      <c r="TV91" s="20" t="n">
        <f aca="false">IF(AND(C91=1,QE91&gt;MAX(PR_Short1,TQ91*PR_Short2)),1,0)</f>
        <v>0</v>
      </c>
      <c r="TW91" s="20" t="n">
        <f aca="false">MIN(H91,I91+S91)</f>
        <v>147633.263046578</v>
      </c>
      <c r="TX91" s="20" t="n">
        <f aca="false">QF91+MAX(0,HQ91-HP91)</f>
        <v>0</v>
      </c>
      <c r="TY91" s="20" t="n">
        <f aca="false">QE91+HP91</f>
        <v>99677.007672441</v>
      </c>
      <c r="TZ91" s="20" t="n">
        <f aca="false">IF(AND(C91=1,TY91&gt;PR_MinShort),1,0)</f>
        <v>0</v>
      </c>
      <c r="UA91" s="20" t="n">
        <f aca="false">IF(AND(C91=1,TZ91=0,TX91&gt;PR_MinShort),1,0)</f>
        <v>0</v>
      </c>
      <c r="UB91" s="20" t="n">
        <f aca="false">IF(AND(C91=1,QE91&gt;PR_MinShort),1,0)</f>
        <v>0</v>
      </c>
      <c r="UC91" s="20" t="n">
        <f aca="false">IF(AND(C91=1,QF91&gt;1,UJ91=0),1,0)</f>
        <v>0</v>
      </c>
      <c r="UD91" s="20" t="str">
        <f aca="false">IF(C91=0,"",IF(UJ91=1,"Gap to plan for: short "&amp;"€"&amp;TEXT(ROUND(TP91,0),"#,##0"),IF(QF91&gt;1,"Using savings","Comfortable")))</f>
        <v/>
      </c>
      <c r="UE91" s="20" t="n">
        <f aca="false">IF(AND(INT(D91/10)*10=90,B91&gt;0),80,INT(D91/10)*10)</f>
        <v>120</v>
      </c>
      <c r="UF91" s="20" t="n">
        <f aca="false">IF(B91=0,1,IF(UE91&lt;&gt;UE90,UF90+1,UF90))</f>
        <v>9</v>
      </c>
      <c r="UG91" s="20" t="n">
        <f aca="false">IF(AND(C91=1,G91=1,QE91&gt;MAX(PR_Short1,TQ91*PR_Short2)),1,0)</f>
        <v>0</v>
      </c>
      <c r="UH91" s="20" t="n">
        <f aca="false">TR91*TV91</f>
        <v>0</v>
      </c>
      <c r="UI91" s="20" t="n">
        <f aca="false">IF(AND(V91=1,Slot1_PctLow=1),1,0)+IF(AND(AG91=1,Slot2_PctLow=1),1,0)+IF(AND(AQ91=1,Slot3_PctLow=1),1,0)+IF(AND(BA91=1,Slot4_PctLow=1),1,0)+IF(AND(BK91=1,Slot5_PctLow=1),1,0)+IF(AND(BU91=1,Slot6_PctLow=1),1,0)+IF(AND(CE91=1,Slot7_PctLow=1),1,0)+IF(AND(CO91=1,Slot8_PctLow=1),1,0)+IF(AND(CY91=1,Slot9_PctLow=1),1,0)+IF(AND(DI91=1,Slot10_PctLow=1),1,0)+IF(AND(DS91=1,Slot11_PctLow=1),1,0)+IF(AND(EC91=1,Slot12_PctLow=1),1,0)+IF(AND(EM91=1,Slot13_PctLow=1),1,0)+IF(AND(EW91=1,Slot14_PctLow=1),1,0)+IF(AND(FG91=1,Slot15_PctLow=1),1,0)+IF(AND(FQ91=1,Slot16_PctLow=1),1,0)+IF(AND(GA91=1,Slot17_PctLow=1),1,0)+IF(AND(GK91=1,Slot18_PctLow=1),1,0)+IF(AND(GU91=1,Slot19_PctLow=1),1,0)+IF(AND(HE91=1,Slot20_PctLow=1),1,0)</f>
        <v>0</v>
      </c>
      <c r="UJ91" s="20" t="n">
        <f aca="false">IF(C91=1,IF(OR(TV91=1,UI91&gt;0),1,0),0)</f>
        <v>0</v>
      </c>
    </row>
    <row r="92" customFormat="false" ht="15" hidden="false" customHeight="true" outlineLevel="0" collapsed="false">
      <c r="B92" s="20" t="n">
        <v>84</v>
      </c>
      <c r="C92" s="20" t="n">
        <f aca="false">IF(B92&lt;=F_N,1,0)</f>
        <v>0</v>
      </c>
      <c r="D92" s="20" t="n">
        <f aca="false">'Plan pay &amp; tax'!C318</f>
        <v>122</v>
      </c>
      <c r="E92" s="20" t="str">
        <f aca="false">IF($C92=1,"Income tax "&amp;TEXT(N('Plan pay &amp; tax'!BK318),"#,##0")&amp;"; USC "&amp;TEXT(N('Plan pay &amp; tax'!BM318)+N('Plan pay &amp; tax'!BO318),"#,##0")&amp;"; PRSI "&amp;TEXT(N('Plan pay &amp; tax'!BP318)+N('Plan pay &amp; tax'!BQ318),"#,##0")&amp;". DIRT and exit tax are inside the growth rates here.","")</f>
        <v/>
      </c>
      <c r="F92" s="44" t="n">
        <f aca="false">'Plan pay &amp; tax'!E318</f>
        <v>5.277332136682</v>
      </c>
      <c r="G92" s="20" t="n">
        <f aca="false">'Plan pay &amp; tax'!G318</f>
        <v>0</v>
      </c>
      <c r="H92" s="20" t="n">
        <f aca="false">'Plan pay &amp; tax'!BT318-'Plan pay &amp; tax'!BS318-'Plan pay &amp; tax'!R318</f>
        <v>150585.92830751</v>
      </c>
      <c r="I92" s="20" t="n">
        <f aca="false">IF(G92=1,F_CostsM*12,IF(RG_Exists=1,RG_Amount,F_CostsM*12*AS_RetireSpend))*F92+F_OneOffY*F92</f>
        <v>252256.4761334</v>
      </c>
      <c r="J92" s="20" t="n">
        <f aca="false">HR91</f>
        <v>0</v>
      </c>
      <c r="K92" s="20" t="n">
        <f aca="false">IF(J92&gt;1,'Plan debt months'!AC92,0)</f>
        <v>0</v>
      </c>
      <c r="L92" s="20" t="n">
        <f aca="false">IF(J92&gt;1,'Plan debt months'!AB92,J92)</f>
        <v>0</v>
      </c>
      <c r="M92" s="20" t="n">
        <f aca="false">O91</f>
        <v>0</v>
      </c>
      <c r="N92" s="20" t="n">
        <f aca="false">IF(M92&gt;1,'Plan debt months'!BD92,0)</f>
        <v>0</v>
      </c>
      <c r="O92" s="20" t="n">
        <f aca="false">IF(M92&gt;1,'Plan debt months'!BC92,M92)</f>
        <v>0</v>
      </c>
      <c r="P92" s="20" t="n">
        <f aca="false">R91</f>
        <v>0</v>
      </c>
      <c r="Q92" s="20" t="n">
        <f aca="false">IF(P92&gt;1,'Plan debt months'!CE92,0)</f>
        <v>0</v>
      </c>
      <c r="R92" s="20" t="n">
        <f aca="false">IF(P92&gt;1,'Plan debt months'!CD92,P92)</f>
        <v>0</v>
      </c>
      <c r="S92" s="20" t="n">
        <f aca="false">K92+N92+Q92</f>
        <v>0</v>
      </c>
      <c r="T92" s="20" t="n">
        <f aca="false">QK91+'Plan pay &amp; tax'!Y318</f>
        <v>0</v>
      </c>
      <c r="U92" s="20" t="n">
        <f aca="false">QK91</f>
        <v>0</v>
      </c>
      <c r="V92" s="20" t="n">
        <f aca="false">IF(AND(Slot1_On=1,D92=Slot1_Age),1,0)</f>
        <v>0</v>
      </c>
      <c r="W92" s="20" t="n">
        <f aca="false">IF(AND(Slot1_On=1,Slot1_Age&gt;D92),1,0)</f>
        <v>0</v>
      </c>
      <c r="X92" s="20" t="n">
        <f aca="false">QM91</f>
        <v>0</v>
      </c>
      <c r="Y92" s="20" t="n">
        <f aca="false">V92*MIN(Slot1_Cost,X92)</f>
        <v>0</v>
      </c>
      <c r="Z92" s="20" t="n">
        <f aca="false">V92*Slot1_SpendLike*MIN(Slot1_Cost-Y92,T92)</f>
        <v>0</v>
      </c>
      <c r="AA92" s="20" t="n">
        <f aca="false">Y92+Z92</f>
        <v>0</v>
      </c>
      <c r="AB92" s="20" t="n">
        <f aca="false">T92-Z92+V92*IF(Slot1_SpendLike=1,X92-Y92,IF(Slot1_PotFree=1,X92,0))</f>
        <v>0</v>
      </c>
      <c r="AC92" s="20" t="n">
        <f aca="false">AF92+V92*Slot1_BufPot*X92</f>
        <v>0</v>
      </c>
      <c r="AD92" s="20" t="n">
        <f aca="false">IF(AND(V92=1,Slot1_IsMfree=1),IF(AA92&gt;=Slot1_Cost-1,0,MAX(0,L92-AA92)),L92)</f>
        <v>0</v>
      </c>
      <c r="AE92" s="20" t="n">
        <f aca="false">V92*(Slot1_Cost-AA92)</f>
        <v>0</v>
      </c>
      <c r="AF92" s="20" t="n">
        <f aca="false">QL91</f>
        <v>0</v>
      </c>
      <c r="AG92" s="20" t="n">
        <f aca="false">IF(AND(Slot2_On=1,D92=Slot2_Age),1,0)</f>
        <v>0</v>
      </c>
      <c r="AH92" s="20" t="n">
        <f aca="false">IF(AND(Slot2_On=1,Slot2_Age&gt;D92),1,0)</f>
        <v>0</v>
      </c>
      <c r="AI92" s="20" t="n">
        <f aca="false">QQ91</f>
        <v>0</v>
      </c>
      <c r="AJ92" s="20" t="n">
        <f aca="false">AG92*MIN(Slot2_Cost,AI92)</f>
        <v>0</v>
      </c>
      <c r="AK92" s="20" t="n">
        <f aca="false">AG92*Slot2_SpendLike*MIN(Slot2_Cost-AJ92,AB92)</f>
        <v>0</v>
      </c>
      <c r="AL92" s="20" t="n">
        <f aca="false">AJ92+AK92</f>
        <v>0</v>
      </c>
      <c r="AM92" s="20" t="n">
        <f aca="false">AB92-AK92+AG92*IF(Slot2_SpendLike=1,AI92-AJ92,IF(Slot2_PotFree=1,AI92,0))</f>
        <v>0</v>
      </c>
      <c r="AN92" s="20" t="n">
        <f aca="false">AC92+AG92*Slot2_BufPot*AI92</f>
        <v>0</v>
      </c>
      <c r="AO92" s="20" t="n">
        <f aca="false">IF(AND(AG92=1,Slot2_IsMfree=1),IF(AL92&gt;=Slot2_Cost-1,0,MAX(0,AD92-AL92)),AD92)</f>
        <v>0</v>
      </c>
      <c r="AP92" s="20" t="n">
        <f aca="false">AG92*(Slot2_Cost-AL92)</f>
        <v>0</v>
      </c>
      <c r="AQ92" s="20" t="n">
        <f aca="false">IF(AND(Slot3_On=1,D92=Slot3_Age),1,0)</f>
        <v>0</v>
      </c>
      <c r="AR92" s="20" t="n">
        <f aca="false">IF(AND(Slot3_On=1,Slot3_Age&gt;D92),1,0)</f>
        <v>0</v>
      </c>
      <c r="AS92" s="20" t="n">
        <f aca="false">QU91</f>
        <v>0</v>
      </c>
      <c r="AT92" s="20" t="n">
        <f aca="false">AQ92*MIN(Slot3_Cost,AS92)</f>
        <v>0</v>
      </c>
      <c r="AU92" s="20" t="n">
        <f aca="false">AQ92*Slot3_SpendLike*MIN(Slot3_Cost-AT92,AM92)</f>
        <v>0</v>
      </c>
      <c r="AV92" s="20" t="n">
        <f aca="false">AT92+AU92</f>
        <v>0</v>
      </c>
      <c r="AW92" s="20" t="n">
        <f aca="false">AM92-AU92+AQ92*IF(Slot3_SpendLike=1,AS92-AT92,IF(Slot3_PotFree=1,AS92,0))</f>
        <v>0</v>
      </c>
      <c r="AX92" s="20" t="n">
        <f aca="false">AN92+AQ92*Slot3_BufPot*AS92</f>
        <v>0</v>
      </c>
      <c r="AY92" s="20" t="n">
        <f aca="false">IF(AND(AQ92=1,Slot3_IsMfree=1),IF(AV92&gt;=Slot3_Cost-1,0,MAX(0,AO92-AV92)),AO92)</f>
        <v>0</v>
      </c>
      <c r="AZ92" s="20" t="n">
        <f aca="false">AQ92*(Slot3_Cost-AV92)</f>
        <v>0</v>
      </c>
      <c r="BA92" s="20" t="n">
        <f aca="false">IF(AND(Slot4_On=1,D92=Slot4_Age),1,0)</f>
        <v>0</v>
      </c>
      <c r="BB92" s="20" t="n">
        <f aca="false">IF(AND(Slot4_On=1,Slot4_Age&gt;D92),1,0)</f>
        <v>0</v>
      </c>
      <c r="BC92" s="20" t="n">
        <f aca="false">QY91</f>
        <v>0</v>
      </c>
      <c r="BD92" s="20" t="n">
        <f aca="false">BA92*MIN(Slot4_Cost,BC92)</f>
        <v>0</v>
      </c>
      <c r="BE92" s="20" t="n">
        <f aca="false">BA92*Slot4_SpendLike*MIN(Slot4_Cost-BD92,AW92)</f>
        <v>0</v>
      </c>
      <c r="BF92" s="20" t="n">
        <f aca="false">BD92+BE92</f>
        <v>0</v>
      </c>
      <c r="BG92" s="20" t="n">
        <f aca="false">AW92-BE92+BA92*IF(Slot4_SpendLike=1,BC92-BD92,IF(Slot4_PotFree=1,BC92,0))</f>
        <v>0</v>
      </c>
      <c r="BH92" s="20" t="n">
        <f aca="false">AX92+BA92*Slot4_BufPot*BC92</f>
        <v>0</v>
      </c>
      <c r="BI92" s="20" t="n">
        <f aca="false">IF(AND(BA92=1,Slot4_IsMfree=1),IF(BF92&gt;=Slot4_Cost-1,0,MAX(0,AY92-BF92)),AY92)</f>
        <v>0</v>
      </c>
      <c r="BJ92" s="20" t="n">
        <f aca="false">BA92*(Slot4_Cost-BF92)</f>
        <v>0</v>
      </c>
      <c r="BK92" s="20" t="n">
        <f aca="false">IF(AND(Slot5_On=1,D92=Slot5_Age),1,0)</f>
        <v>0</v>
      </c>
      <c r="BL92" s="20" t="n">
        <f aca="false">IF(AND(Slot5_On=1,Slot5_Age&gt;D92),1,0)</f>
        <v>0</v>
      </c>
      <c r="BM92" s="20" t="n">
        <f aca="false">RC91</f>
        <v>0</v>
      </c>
      <c r="BN92" s="20" t="n">
        <f aca="false">BK92*MIN(Slot5_Cost,BM92)</f>
        <v>0</v>
      </c>
      <c r="BO92" s="20" t="n">
        <f aca="false">BK92*Slot5_SpendLike*MIN(Slot5_Cost-BN92,BG92)</f>
        <v>0</v>
      </c>
      <c r="BP92" s="20" t="n">
        <f aca="false">BN92+BO92</f>
        <v>0</v>
      </c>
      <c r="BQ92" s="20" t="n">
        <f aca="false">BG92-BO92+BK92*IF(Slot5_SpendLike=1,BM92-BN92,IF(Slot5_PotFree=1,BM92,0))</f>
        <v>0</v>
      </c>
      <c r="BR92" s="20" t="n">
        <f aca="false">BH92+BK92*Slot5_BufPot*BM92</f>
        <v>0</v>
      </c>
      <c r="BS92" s="20" t="n">
        <f aca="false">IF(AND(BK92=1,Slot5_IsMfree=1),IF(BP92&gt;=Slot5_Cost-1,0,MAX(0,BI92-BP92)),BI92)</f>
        <v>0</v>
      </c>
      <c r="BT92" s="20" t="n">
        <f aca="false">BK92*(Slot5_Cost-BP92)</f>
        <v>0</v>
      </c>
      <c r="BU92" s="20" t="n">
        <f aca="false">IF(AND(Slot6_On=1,D92=Slot6_Age),1,0)</f>
        <v>0</v>
      </c>
      <c r="BV92" s="20" t="n">
        <f aca="false">IF(AND(Slot6_On=1,Slot6_Age&gt;D92),1,0)</f>
        <v>0</v>
      </c>
      <c r="BW92" s="20" t="n">
        <f aca="false">RG91</f>
        <v>0</v>
      </c>
      <c r="BX92" s="20" t="n">
        <f aca="false">BU92*MIN(Slot6_Cost,BW92)</f>
        <v>0</v>
      </c>
      <c r="BY92" s="20" t="n">
        <f aca="false">BU92*Slot6_SpendLike*MIN(Slot6_Cost-BX92,BQ92)</f>
        <v>0</v>
      </c>
      <c r="BZ92" s="20" t="n">
        <f aca="false">BX92+BY92</f>
        <v>0</v>
      </c>
      <c r="CA92" s="20" t="n">
        <f aca="false">BQ92-BY92+BU92*IF(Slot6_SpendLike=1,BW92-BX92,IF(Slot6_PotFree=1,BW92,0))</f>
        <v>0</v>
      </c>
      <c r="CB92" s="20" t="n">
        <f aca="false">BR92+BU92*Slot6_BufPot*BW92</f>
        <v>0</v>
      </c>
      <c r="CC92" s="20" t="n">
        <f aca="false">IF(AND(BU92=1,Slot6_IsMfree=1),IF(BZ92&gt;=Slot6_Cost-1,0,MAX(0,BS92-BZ92)),BS92)</f>
        <v>0</v>
      </c>
      <c r="CD92" s="20" t="n">
        <f aca="false">BU92*(Slot6_Cost-BZ92)</f>
        <v>0</v>
      </c>
      <c r="CE92" s="20" t="n">
        <f aca="false">IF(AND(Slot7_On=1,D92=Slot7_Age),1,0)</f>
        <v>0</v>
      </c>
      <c r="CF92" s="20" t="n">
        <f aca="false">IF(AND(Slot7_On=1,Slot7_Age&gt;D92),1,0)</f>
        <v>0</v>
      </c>
      <c r="CG92" s="20" t="n">
        <f aca="false">RK91</f>
        <v>0</v>
      </c>
      <c r="CH92" s="20" t="n">
        <f aca="false">CE92*MIN(Slot7_Cost,CG92)</f>
        <v>0</v>
      </c>
      <c r="CI92" s="20" t="n">
        <f aca="false">CE92*Slot7_SpendLike*MIN(Slot7_Cost-CH92,CA92)</f>
        <v>0</v>
      </c>
      <c r="CJ92" s="20" t="n">
        <f aca="false">CH92+CI92</f>
        <v>0</v>
      </c>
      <c r="CK92" s="20" t="n">
        <f aca="false">CA92-CI92+CE92*IF(Slot7_SpendLike=1,CG92-CH92,IF(Slot7_PotFree=1,CG92,0))</f>
        <v>0</v>
      </c>
      <c r="CL92" s="20" t="n">
        <f aca="false">CB92+CE92*Slot7_BufPot*CG92</f>
        <v>0</v>
      </c>
      <c r="CM92" s="20" t="n">
        <f aca="false">IF(AND(CE92=1,Slot7_IsMfree=1),IF(CJ92&gt;=Slot7_Cost-1,0,MAX(0,CC92-CJ92)),CC92)</f>
        <v>0</v>
      </c>
      <c r="CN92" s="20" t="n">
        <f aca="false">CE92*(Slot7_Cost-CJ92)</f>
        <v>0</v>
      </c>
      <c r="CO92" s="20" t="n">
        <f aca="false">IF(AND(Slot8_On=1,D92=Slot8_Age),1,0)</f>
        <v>0</v>
      </c>
      <c r="CP92" s="20" t="n">
        <f aca="false">IF(AND(Slot8_On=1,Slot8_Age&gt;D92),1,0)</f>
        <v>0</v>
      </c>
      <c r="CQ92" s="20" t="n">
        <f aca="false">RO91</f>
        <v>0</v>
      </c>
      <c r="CR92" s="20" t="n">
        <f aca="false">CO92*MIN(Slot8_Cost,CQ92)</f>
        <v>0</v>
      </c>
      <c r="CS92" s="20" t="n">
        <f aca="false">CO92*Slot8_SpendLike*MIN(Slot8_Cost-CR92,CK92)</f>
        <v>0</v>
      </c>
      <c r="CT92" s="20" t="n">
        <f aca="false">CR92+CS92</f>
        <v>0</v>
      </c>
      <c r="CU92" s="20" t="n">
        <f aca="false">CK92-CS92+CO92*IF(Slot8_SpendLike=1,CQ92-CR92,IF(Slot8_PotFree=1,CQ92,0))</f>
        <v>0</v>
      </c>
      <c r="CV92" s="20" t="n">
        <f aca="false">CL92+CO92*Slot8_BufPot*CQ92</f>
        <v>0</v>
      </c>
      <c r="CW92" s="20" t="n">
        <f aca="false">IF(AND(CO92=1,Slot8_IsMfree=1),IF(CT92&gt;=Slot8_Cost-1,0,MAX(0,CM92-CT92)),CM92)</f>
        <v>0</v>
      </c>
      <c r="CX92" s="20" t="n">
        <f aca="false">CO92*(Slot8_Cost-CT92)</f>
        <v>0</v>
      </c>
      <c r="CY92" s="20" t="n">
        <f aca="false">IF(AND(Slot9_On=1,D92=Slot9_Age),1,0)</f>
        <v>0</v>
      </c>
      <c r="CZ92" s="20" t="n">
        <f aca="false">IF(AND(Slot9_On=1,Slot9_Age&gt;D92),1,0)</f>
        <v>0</v>
      </c>
      <c r="DA92" s="20" t="n">
        <f aca="false">RS91</f>
        <v>0</v>
      </c>
      <c r="DB92" s="20" t="n">
        <f aca="false">CY92*MIN(Slot9_Cost,DA92)</f>
        <v>0</v>
      </c>
      <c r="DC92" s="20" t="n">
        <f aca="false">CY92*Slot9_SpendLike*MIN(Slot9_Cost-DB92,CU92)</f>
        <v>0</v>
      </c>
      <c r="DD92" s="20" t="n">
        <f aca="false">DB92+DC92</f>
        <v>0</v>
      </c>
      <c r="DE92" s="20" t="n">
        <f aca="false">CU92-DC92+CY92*IF(Slot9_SpendLike=1,DA92-DB92,IF(Slot9_PotFree=1,DA92,0))</f>
        <v>0</v>
      </c>
      <c r="DF92" s="20" t="n">
        <f aca="false">CV92+CY92*Slot9_BufPot*DA92</f>
        <v>0</v>
      </c>
      <c r="DG92" s="20" t="n">
        <f aca="false">IF(AND(CY92=1,Slot9_IsMfree=1),IF(DD92&gt;=Slot9_Cost-1,0,MAX(0,CW92-DD92)),CW92)</f>
        <v>0</v>
      </c>
      <c r="DH92" s="20" t="n">
        <f aca="false">CY92*(Slot9_Cost-DD92)</f>
        <v>0</v>
      </c>
      <c r="DI92" s="20" t="n">
        <f aca="false">IF(AND(Slot10_On=1,D92=Slot10_Age),1,0)</f>
        <v>0</v>
      </c>
      <c r="DJ92" s="20" t="n">
        <f aca="false">IF(AND(Slot10_On=1,Slot10_Age&gt;D92),1,0)</f>
        <v>0</v>
      </c>
      <c r="DK92" s="20" t="n">
        <f aca="false">RW91</f>
        <v>0</v>
      </c>
      <c r="DL92" s="20" t="n">
        <f aca="false">DI92*MIN(Slot10_Cost,DK92)</f>
        <v>0</v>
      </c>
      <c r="DM92" s="20" t="n">
        <f aca="false">DI92*Slot10_SpendLike*MIN(Slot10_Cost-DL92,DE92)</f>
        <v>0</v>
      </c>
      <c r="DN92" s="20" t="n">
        <f aca="false">DL92+DM92</f>
        <v>0</v>
      </c>
      <c r="DO92" s="20" t="n">
        <f aca="false">DE92-DM92+DI92*IF(Slot10_SpendLike=1,DK92-DL92,IF(Slot10_PotFree=1,DK92,0))</f>
        <v>0</v>
      </c>
      <c r="DP92" s="20" t="n">
        <f aca="false">DF92+DI92*Slot10_BufPot*DK92</f>
        <v>0</v>
      </c>
      <c r="DQ92" s="20" t="n">
        <f aca="false">IF(AND(DI92=1,Slot10_IsMfree=1),IF(DN92&gt;=Slot10_Cost-1,0,MAX(0,DG92-DN92)),DG92)</f>
        <v>0</v>
      </c>
      <c r="DR92" s="20" t="n">
        <f aca="false">DI92*(Slot10_Cost-DN92)</f>
        <v>0</v>
      </c>
      <c r="DS92" s="20" t="n">
        <f aca="false">IF(AND(Slot11_On=1,D92=Slot11_Age),1,0)</f>
        <v>0</v>
      </c>
      <c r="DT92" s="20" t="n">
        <f aca="false">IF(AND(Slot11_On=1,Slot11_Age&gt;D92),1,0)</f>
        <v>0</v>
      </c>
      <c r="DU92" s="20" t="n">
        <f aca="false">SA91</f>
        <v>0</v>
      </c>
      <c r="DV92" s="20" t="n">
        <f aca="false">DS92*MIN(Slot11_Cost,DU92)</f>
        <v>0</v>
      </c>
      <c r="DW92" s="20" t="n">
        <f aca="false">DS92*Slot11_SpendLike*MIN(Slot11_Cost-DV92,DO92)</f>
        <v>0</v>
      </c>
      <c r="DX92" s="20" t="n">
        <f aca="false">DV92+DW92</f>
        <v>0</v>
      </c>
      <c r="DY92" s="20" t="n">
        <f aca="false">DO92-DW92+DS92*IF(Slot11_SpendLike=1,DU92-DV92,IF(Slot11_PotFree=1,DU92,0))</f>
        <v>0</v>
      </c>
      <c r="DZ92" s="20" t="n">
        <f aca="false">DP92+DS92*Slot11_BufPot*DU92</f>
        <v>0</v>
      </c>
      <c r="EA92" s="20" t="n">
        <f aca="false">IF(AND(DS92=1,Slot11_IsMfree=1),IF(DX92&gt;=Slot11_Cost-1,0,MAX(0,DQ92-DX92)),DQ92)</f>
        <v>0</v>
      </c>
      <c r="EB92" s="20" t="n">
        <f aca="false">DS92*(Slot11_Cost-DX92)</f>
        <v>0</v>
      </c>
      <c r="EC92" s="20" t="n">
        <f aca="false">IF(AND(Slot12_On=1,D92=Slot12_Age),1,0)</f>
        <v>0</v>
      </c>
      <c r="ED92" s="20" t="n">
        <f aca="false">IF(AND(Slot12_On=1,Slot12_Age&gt;D92),1,0)</f>
        <v>0</v>
      </c>
      <c r="EE92" s="20" t="n">
        <f aca="false">SE91</f>
        <v>0</v>
      </c>
      <c r="EF92" s="20" t="n">
        <f aca="false">EC92*MIN(Slot12_Cost,EE92)</f>
        <v>0</v>
      </c>
      <c r="EG92" s="20" t="n">
        <f aca="false">EC92*Slot12_SpendLike*MIN(Slot12_Cost-EF92,DY92)</f>
        <v>0</v>
      </c>
      <c r="EH92" s="20" t="n">
        <f aca="false">EF92+EG92</f>
        <v>0</v>
      </c>
      <c r="EI92" s="20" t="n">
        <f aca="false">DY92-EG92+EC92*IF(Slot12_SpendLike=1,EE92-EF92,IF(Slot12_PotFree=1,EE92,0))</f>
        <v>0</v>
      </c>
      <c r="EJ92" s="20" t="n">
        <f aca="false">DZ92+EC92*Slot12_BufPot*EE92</f>
        <v>0</v>
      </c>
      <c r="EK92" s="20" t="n">
        <f aca="false">IF(AND(EC92=1,Slot12_IsMfree=1),IF(EH92&gt;=Slot12_Cost-1,0,MAX(0,EA92-EH92)),EA92)</f>
        <v>0</v>
      </c>
      <c r="EL92" s="20" t="n">
        <f aca="false">EC92*(Slot12_Cost-EH92)</f>
        <v>0</v>
      </c>
      <c r="EM92" s="20" t="n">
        <f aca="false">IF(AND(Slot13_On=1,D92=Slot13_Age),1,0)</f>
        <v>0</v>
      </c>
      <c r="EN92" s="20" t="n">
        <f aca="false">IF(AND(Slot13_On=1,Slot13_Age&gt;D92),1,0)</f>
        <v>0</v>
      </c>
      <c r="EO92" s="20" t="n">
        <f aca="false">SI91</f>
        <v>0</v>
      </c>
      <c r="EP92" s="20" t="n">
        <f aca="false">EM92*MIN(Slot13_Cost,EO92)</f>
        <v>0</v>
      </c>
      <c r="EQ92" s="20" t="n">
        <f aca="false">EM92*Slot13_SpendLike*MIN(Slot13_Cost-EP92,EI92)</f>
        <v>0</v>
      </c>
      <c r="ER92" s="20" t="n">
        <f aca="false">EP92+EQ92</f>
        <v>0</v>
      </c>
      <c r="ES92" s="20" t="n">
        <f aca="false">EI92-EQ92+EM92*IF(Slot13_SpendLike=1,EO92-EP92,IF(Slot13_PotFree=1,EO92,0))</f>
        <v>0</v>
      </c>
      <c r="ET92" s="20" t="n">
        <f aca="false">EJ92+EM92*Slot13_BufPot*EO92</f>
        <v>0</v>
      </c>
      <c r="EU92" s="20" t="n">
        <f aca="false">IF(AND(EM92=1,Slot13_IsMfree=1),IF(ER92&gt;=Slot13_Cost-1,0,MAX(0,EK92-ER92)),EK92)</f>
        <v>0</v>
      </c>
      <c r="EV92" s="20" t="n">
        <f aca="false">EM92*(Slot13_Cost-ER92)</f>
        <v>0</v>
      </c>
      <c r="EW92" s="20" t="n">
        <f aca="false">IF(AND(Slot14_On=1,D92=Slot14_Age),1,0)</f>
        <v>0</v>
      </c>
      <c r="EX92" s="20" t="n">
        <f aca="false">IF(AND(Slot14_On=1,Slot14_Age&gt;D92),1,0)</f>
        <v>0</v>
      </c>
      <c r="EY92" s="20" t="n">
        <f aca="false">SM91</f>
        <v>0</v>
      </c>
      <c r="EZ92" s="20" t="n">
        <f aca="false">EW92*MIN(Slot14_Cost,EY92)</f>
        <v>0</v>
      </c>
      <c r="FA92" s="20" t="n">
        <f aca="false">EW92*Slot14_SpendLike*MIN(Slot14_Cost-EZ92,ES92)</f>
        <v>0</v>
      </c>
      <c r="FB92" s="20" t="n">
        <f aca="false">EZ92+FA92</f>
        <v>0</v>
      </c>
      <c r="FC92" s="20" t="n">
        <f aca="false">ES92-FA92+EW92*IF(Slot14_SpendLike=1,EY92-EZ92,IF(Slot14_PotFree=1,EY92,0))</f>
        <v>0</v>
      </c>
      <c r="FD92" s="20" t="n">
        <f aca="false">ET92+EW92*Slot14_BufPot*EY92</f>
        <v>0</v>
      </c>
      <c r="FE92" s="20" t="n">
        <f aca="false">IF(AND(EW92=1,Slot14_IsMfree=1),IF(FB92&gt;=Slot14_Cost-1,0,MAX(0,EU92-FB92)),EU92)</f>
        <v>0</v>
      </c>
      <c r="FF92" s="20" t="n">
        <f aca="false">EW92*(Slot14_Cost-FB92)</f>
        <v>0</v>
      </c>
      <c r="FG92" s="20" t="n">
        <f aca="false">IF(AND(Slot15_On=1,D92=Slot15_Age),1,0)</f>
        <v>0</v>
      </c>
      <c r="FH92" s="20" t="n">
        <f aca="false">IF(AND(Slot15_On=1,Slot15_Age&gt;D92),1,0)</f>
        <v>0</v>
      </c>
      <c r="FI92" s="20" t="n">
        <f aca="false">SQ91</f>
        <v>0</v>
      </c>
      <c r="FJ92" s="20" t="n">
        <f aca="false">FG92*MIN(Slot15_Cost,FI92)</f>
        <v>0</v>
      </c>
      <c r="FK92" s="20" t="n">
        <f aca="false">FG92*Slot15_SpendLike*MIN(Slot15_Cost-FJ92,FC92)</f>
        <v>0</v>
      </c>
      <c r="FL92" s="20" t="n">
        <f aca="false">FJ92+FK92</f>
        <v>0</v>
      </c>
      <c r="FM92" s="20" t="n">
        <f aca="false">FC92-FK92+FG92*IF(Slot15_SpendLike=1,FI92-FJ92,IF(Slot15_PotFree=1,FI92,0))</f>
        <v>0</v>
      </c>
      <c r="FN92" s="20" t="n">
        <f aca="false">FD92+FG92*Slot15_BufPot*FI92</f>
        <v>0</v>
      </c>
      <c r="FO92" s="20" t="n">
        <f aca="false">IF(AND(FG92=1,Slot15_IsMfree=1),IF(FL92&gt;=Slot15_Cost-1,0,MAX(0,FE92-FL92)),FE92)</f>
        <v>0</v>
      </c>
      <c r="FP92" s="20" t="n">
        <f aca="false">FG92*(Slot15_Cost-FL92)</f>
        <v>0</v>
      </c>
      <c r="FQ92" s="20" t="n">
        <f aca="false">IF(AND(Slot16_On=1,D92=Slot16_Age),1,0)</f>
        <v>0</v>
      </c>
      <c r="FR92" s="20" t="n">
        <f aca="false">IF(AND(Slot16_On=1,Slot16_Age&gt;D92),1,0)</f>
        <v>0</v>
      </c>
      <c r="FS92" s="20" t="n">
        <f aca="false">SU91</f>
        <v>0</v>
      </c>
      <c r="FT92" s="20" t="n">
        <f aca="false">FQ92*MIN(Slot16_Cost,FS92)</f>
        <v>0</v>
      </c>
      <c r="FU92" s="20" t="n">
        <f aca="false">FQ92*Slot16_SpendLike*MIN(Slot16_Cost-FT92,FM92)</f>
        <v>0</v>
      </c>
      <c r="FV92" s="20" t="n">
        <f aca="false">FT92+FU92</f>
        <v>0</v>
      </c>
      <c r="FW92" s="20" t="n">
        <f aca="false">FM92-FU92+FQ92*IF(Slot16_SpendLike=1,FS92-FT92,IF(Slot16_PotFree=1,FS92,0))</f>
        <v>0</v>
      </c>
      <c r="FX92" s="20" t="n">
        <f aca="false">FN92+FQ92*Slot16_BufPot*FS92</f>
        <v>0</v>
      </c>
      <c r="FY92" s="20" t="n">
        <f aca="false">IF(AND(FQ92=1,Slot16_IsMfree=1),IF(FV92&gt;=Slot16_Cost-1,0,MAX(0,FO92-FV92)),FO92)</f>
        <v>0</v>
      </c>
      <c r="FZ92" s="20" t="n">
        <f aca="false">FQ92*(Slot16_Cost-FV92)</f>
        <v>0</v>
      </c>
      <c r="GA92" s="20" t="n">
        <f aca="false">IF(AND(Slot17_On=1,D92=Slot17_Age),1,0)</f>
        <v>0</v>
      </c>
      <c r="GB92" s="20" t="n">
        <f aca="false">IF(AND(Slot17_On=1,Slot17_Age&gt;D92),1,0)</f>
        <v>0</v>
      </c>
      <c r="GC92" s="20" t="n">
        <f aca="false">SY91</f>
        <v>0</v>
      </c>
      <c r="GD92" s="20" t="n">
        <f aca="false">GA92*MIN(Slot17_Cost,GC92)</f>
        <v>0</v>
      </c>
      <c r="GE92" s="20" t="n">
        <f aca="false">GA92*Slot17_SpendLike*MIN(Slot17_Cost-GD92,FW92)</f>
        <v>0</v>
      </c>
      <c r="GF92" s="20" t="n">
        <f aca="false">GD92+GE92</f>
        <v>0</v>
      </c>
      <c r="GG92" s="20" t="n">
        <f aca="false">FW92-GE92+GA92*IF(Slot17_SpendLike=1,GC92-GD92,IF(Slot17_PotFree=1,GC92,0))</f>
        <v>0</v>
      </c>
      <c r="GH92" s="20" t="n">
        <f aca="false">FX92+GA92*Slot17_BufPot*GC92</f>
        <v>0</v>
      </c>
      <c r="GI92" s="20" t="n">
        <f aca="false">IF(AND(GA92=1,Slot17_IsMfree=1),IF(GF92&gt;=Slot17_Cost-1,0,MAX(0,FY92-GF92)),FY92)</f>
        <v>0</v>
      </c>
      <c r="GJ92" s="20" t="n">
        <f aca="false">GA92*(Slot17_Cost-GF92)</f>
        <v>0</v>
      </c>
      <c r="GK92" s="20" t="n">
        <f aca="false">IF(AND(Slot18_On=1,D92=Slot18_Age),1,0)</f>
        <v>0</v>
      </c>
      <c r="GL92" s="20" t="n">
        <f aca="false">IF(AND(Slot18_On=1,Slot18_Age&gt;D92),1,0)</f>
        <v>0</v>
      </c>
      <c r="GM92" s="20" t="n">
        <f aca="false">TC91</f>
        <v>0</v>
      </c>
      <c r="GN92" s="20" t="n">
        <f aca="false">GK92*MIN(Slot18_Cost,GM92)</f>
        <v>0</v>
      </c>
      <c r="GO92" s="20" t="n">
        <f aca="false">GK92*Slot18_SpendLike*MIN(Slot18_Cost-GN92,GG92)</f>
        <v>0</v>
      </c>
      <c r="GP92" s="20" t="n">
        <f aca="false">GN92+GO92</f>
        <v>0</v>
      </c>
      <c r="GQ92" s="20" t="n">
        <f aca="false">GG92-GO92+GK92*IF(Slot18_SpendLike=1,GM92-GN92,IF(Slot18_PotFree=1,GM92,0))</f>
        <v>0</v>
      </c>
      <c r="GR92" s="20" t="n">
        <f aca="false">GH92+GK92*Slot18_BufPot*GM92</f>
        <v>0</v>
      </c>
      <c r="GS92" s="20" t="n">
        <f aca="false">IF(AND(GK92=1,Slot18_IsMfree=1),IF(GP92&gt;=Slot18_Cost-1,0,MAX(0,GI92-GP92)),GI92)</f>
        <v>0</v>
      </c>
      <c r="GT92" s="20" t="n">
        <f aca="false">GK92*(Slot18_Cost-GP92)</f>
        <v>0</v>
      </c>
      <c r="GU92" s="20" t="n">
        <f aca="false">IF(AND(Slot19_On=1,D92=Slot19_Age),1,0)</f>
        <v>0</v>
      </c>
      <c r="GV92" s="20" t="n">
        <f aca="false">IF(AND(Slot19_On=1,Slot19_Age&gt;D92),1,0)</f>
        <v>0</v>
      </c>
      <c r="GW92" s="20" t="n">
        <f aca="false">TG91</f>
        <v>0</v>
      </c>
      <c r="GX92" s="20" t="n">
        <f aca="false">GU92*MIN(Slot19_Cost,GW92)</f>
        <v>0</v>
      </c>
      <c r="GY92" s="20" t="n">
        <f aca="false">GU92*Slot19_SpendLike*MIN(Slot19_Cost-GX92,GQ92)</f>
        <v>0</v>
      </c>
      <c r="GZ92" s="20" t="n">
        <f aca="false">GX92+GY92</f>
        <v>0</v>
      </c>
      <c r="HA92" s="20" t="n">
        <f aca="false">GQ92-GY92+GU92*IF(Slot19_SpendLike=1,GW92-GX92,IF(Slot19_PotFree=1,GW92,0))</f>
        <v>0</v>
      </c>
      <c r="HB92" s="20" t="n">
        <f aca="false">GR92+GU92*Slot19_BufPot*GW92</f>
        <v>0</v>
      </c>
      <c r="HC92" s="20" t="n">
        <f aca="false">IF(AND(GU92=1,Slot19_IsMfree=1),IF(GZ92&gt;=Slot19_Cost-1,0,MAX(0,GS92-GZ92)),GS92)</f>
        <v>0</v>
      </c>
      <c r="HD92" s="20" t="n">
        <f aca="false">GU92*(Slot19_Cost-GZ92)</f>
        <v>0</v>
      </c>
      <c r="HE92" s="20" t="n">
        <f aca="false">IF(AND(Slot20_On=1,D92=Slot20_Age),1,0)</f>
        <v>0</v>
      </c>
      <c r="HF92" s="20" t="n">
        <f aca="false">IF(AND(Slot20_On=1,Slot20_Age&gt;D92),1,0)</f>
        <v>0</v>
      </c>
      <c r="HG92" s="20" t="n">
        <f aca="false">TK91</f>
        <v>0</v>
      </c>
      <c r="HH92" s="20" t="n">
        <f aca="false">HE92*MIN(Slot20_Cost,HG92)</f>
        <v>0</v>
      </c>
      <c r="HI92" s="20" t="n">
        <f aca="false">HE92*Slot20_SpendLike*MIN(Slot20_Cost-HH92,HA92)</f>
        <v>0</v>
      </c>
      <c r="HJ92" s="20" t="n">
        <f aca="false">HH92+HI92</f>
        <v>0</v>
      </c>
      <c r="HK92" s="20" t="n">
        <f aca="false">HA92-HI92+HE92*IF(Slot20_SpendLike=1,HG92-HH92,IF(Slot20_PotFree=1,HG92,0))</f>
        <v>0</v>
      </c>
      <c r="HL92" s="20" t="n">
        <f aca="false">HB92+HE92*Slot20_BufPot*HG92</f>
        <v>0</v>
      </c>
      <c r="HM92" s="20" t="n">
        <f aca="false">IF(AND(HE92=1,Slot20_IsMfree=1),IF(HJ92&gt;=Slot20_Cost-1,0,MAX(0,HC92-HJ92)),HC92)</f>
        <v>0</v>
      </c>
      <c r="HN92" s="20" t="n">
        <f aca="false">HE92*(Slot20_Cost-HJ92)</f>
        <v>0</v>
      </c>
      <c r="HO92" s="20" t="n">
        <f aca="false">V92*Slot1_SpendLike*AA92+AG92*Slot2_SpendLike*AL92+AQ92*Slot3_SpendLike*AV92+BA92*Slot4_SpendLike*BF92+BK92*Slot5_SpendLike*BP92+BU92*Slot6_SpendLike*BZ92+CE92*Slot7_SpendLike*CJ92+CO92*Slot8_SpendLike*CT92+CY92*Slot9_SpendLike*DD92+DI92*Slot10_SpendLike*DN92+DS92*Slot11_SpendLike*DX92+EC92*Slot12_SpendLike*EH92+EM92*Slot13_SpendLike*ER92+EW92*Slot14_SpendLike*FB92+FG92*Slot15_SpendLike*FL92+FQ92*Slot16_SpendLike*FV92+GA92*Slot17_SpendLike*GF92+GK92*Slot18_SpendLike*GP92+GU92*Slot19_SpendLike*GZ92+HE92*Slot20_SpendLike*HJ92</f>
        <v>0</v>
      </c>
      <c r="HP92" s="20" t="n">
        <f aca="false">AE92+AP92+AZ92+BJ92+BT92+CD92+CN92+CX92+DH92+DR92+EB92+EL92+EV92+FF92+FP92+FZ92+GJ92+GT92+HD92+HN92</f>
        <v>0</v>
      </c>
      <c r="HQ92" s="20" t="n">
        <f aca="false">V92*Slot1_Cost+AG92*Slot2_Cost+AQ92*Slot3_Cost+BA92*Slot4_Cost+BK92*Slot5_Cost+BU92*Slot6_Cost+CE92*Slot7_Cost+CO92*Slot8_Cost+CY92*Slot9_Cost+DI92*Slot10_Cost+DS92*Slot11_Cost+EC92*Slot12_Cost+EM92*Slot13_Cost+EW92*Slot14_Cost+FG92*Slot15_Cost+FQ92*Slot16_Cost+GA92*Slot17_Cost+GK92*Slot18_Cost+GU92*Slot19_Cost+HE92*Slot20_Cost</f>
        <v>0</v>
      </c>
      <c r="HR92" s="20" t="n">
        <f aca="false">HM92</f>
        <v>0</v>
      </c>
      <c r="HS92" s="20" t="n">
        <f aca="false">H92-I92-S92</f>
        <v>-101670.54782589</v>
      </c>
      <c r="HT92" s="20" t="n">
        <f aca="false">IF(B92=0,IF(AND(Has_q6=1,In_q6=4),PR_ShareVaries*(MAX(0,HS92)/12),MIN(IF(Has_q6=1,CHOOSE(In_q6+1,PR_SaveB1,PR_SaveB2,PR_SaveB3,PR_SaveB4,0),AS_NoAnswer),AS_SaveShare*(MAX(0,HS92)/12))),HT91)</f>
        <v>62.3316893520437</v>
      </c>
      <c r="HU92" s="20" t="n">
        <f aca="false">IF(HS92&gt;=0,1,0)</f>
        <v>0</v>
      </c>
      <c r="HV92" s="20" t="n">
        <f aca="false">MAX(0,HS92/12/F92)</f>
        <v>0</v>
      </c>
      <c r="HW92" s="20" t="n">
        <f aca="false">IF(AND(Has_q6=1,In_q6=4),PR_ShareVaries*(HV92),MIN(IF(Has_q6=1,CHOOSE(In_q6+1,PR_SaveB1,PR_SaveB2,PR_SaveB3,PR_SaveB4,0),AS_NoAnswer),AS_SaveShare*(HV92)))</f>
        <v>0</v>
      </c>
      <c r="HX92" s="20" t="n">
        <f aca="false">IF(Has_saveM=1,IF(In_saveUp="Yes",1,IF(In_saveUp="No",0,IF(In_saveM&gt;=HT92-0.5,1,0))),0)</f>
        <v>0</v>
      </c>
      <c r="HY92" s="20" t="n">
        <f aca="false">IF(Has_saveM=1,MIN(HV92,IF(HX92=1,MAX(In_saveM,HW92),MIN(In_saveM,HW92))),HW92)</f>
        <v>0</v>
      </c>
      <c r="HZ92" s="20" t="n">
        <f aca="false">IF(G92=1,HY92*12*F92,0)</f>
        <v>0</v>
      </c>
      <c r="IA92" s="20" t="n">
        <f aca="false">MAX(0,HZ92+IF(AND(WI_Retire=0,WI_M&lt;0,G92=1),WI_M*12*F92,0))</f>
        <v>0</v>
      </c>
      <c r="IB92" s="20" t="n">
        <f aca="false">Slot1_IsWG*W92+Slot2_IsWG*AH92+Slot3_IsWG*AR92+Slot4_IsWG*BB92+Slot5_IsWG*BL92+Slot6_IsWG*BV92+Slot7_IsWG*CF92+Slot8_IsWG*CP92+Slot9_IsWG*CZ92+Slot10_IsWG*DJ92+Slot11_IsWG*DT92+Slot12_IsWG*ED92+Slot13_IsWG*EN92+Slot14_IsWG*EX92+Slot15_IsWG*FH92+Slot16_IsWG*FR92+Slot17_IsWG*GB92+Slot18_IsWG*GL92+Slot19_IsWG*GV92+Slot20_IsWG*HF92</f>
        <v>0</v>
      </c>
      <c r="IC92" s="20" t="n">
        <f aca="false">IF(AND(WI_Retire=0,WI_M&gt;0,G92=1,IB92&gt;=1),WI_M*12*F92,0)</f>
        <v>0</v>
      </c>
      <c r="ID92" s="20" t="n">
        <f aca="false">IF(HU92=1,MIN(IA92,HS92),0)</f>
        <v>0</v>
      </c>
      <c r="IE92" s="20" t="n">
        <f aca="false">IF(HU92=1,MIN(IC92,HS92-ID92),0)</f>
        <v>0</v>
      </c>
      <c r="IF92" s="20" t="n">
        <f aca="false">IF(W92=1,IF(ABS((1+AS_Wage)/(1+Slot1_Rate)-1)&lt;0.000000000001,(Slot1_Age-D92)*(1+Slot1_Rate)^(Slot1_Age-D92),(1+Slot1_Rate)^(Slot1_Age-D92)*(1-((1+AS_Wage)/(1+Slot1_Rate))^(Slot1_Age-D92))/(1-(1+AS_Wage)/(1+Slot1_Rate))),1)</f>
        <v>1</v>
      </c>
      <c r="IG92" s="20" t="n">
        <f aca="false">IF(AND(HU92=1,IE92&gt;0,Slot1_IsWG=1,W92=1),MAX(0,(Slot1_Cost-X92*(1+Slot1_Rate)^(Slot1_Age-D92))/IF92),0)</f>
        <v>0</v>
      </c>
      <c r="IH92" s="20" t="n">
        <f aca="false">IF(AND(HU92=1,IE92&gt;0,Slot1_IsWG=1,W92=1),MIN(IE92,IG92),0)</f>
        <v>0</v>
      </c>
      <c r="II92" s="20" t="n">
        <f aca="false">X92+IH92</f>
        <v>0</v>
      </c>
      <c r="IJ92" s="20" t="n">
        <f aca="false">IF(W92=1,MAX(0,(Slot1_Cost-II92*(1+Slot1_Rate)^(Slot1_Age-D92))/IF92),0)</f>
        <v>0</v>
      </c>
      <c r="IK92" s="20" t="n">
        <f aca="false">IF(W92=1,MAX(0,(Slot1_Cost-X92*(1+Slot1_Rate)^(Slot1_Age-D92))/IF92),0)</f>
        <v>0</v>
      </c>
      <c r="IL92" s="20" t="n">
        <f aca="false">IF(AND(HU92=1,W92=1),MIN(ID92,IJ92),0)</f>
        <v>0</v>
      </c>
      <c r="IM92" s="20" t="n">
        <f aca="false">ID92-IL92</f>
        <v>0</v>
      </c>
      <c r="IN92" s="20" t="n">
        <f aca="false">IF(AH92=1,IF(ABS((1+AS_Wage)/(1+Slot2_Rate)-1)&lt;0.000000000001,(Slot2_Age-D92)*(1+Slot2_Rate)^(Slot2_Age-D92),(1+Slot2_Rate)^(Slot2_Age-D92)*(1-((1+AS_Wage)/(1+Slot2_Rate))^(Slot2_Age-D92))/(1-(1+AS_Wage)/(1+Slot2_Rate))),1)</f>
        <v>1</v>
      </c>
      <c r="IO92" s="20" t="n">
        <f aca="false">IF(AND(HU92=1,IE92&gt;0,Slot2_IsWG=1,AH92=1),MAX(0,(Slot2_Cost-AI92*(1+Slot2_Rate)^(Slot2_Age-D92))/IN92),0)</f>
        <v>0</v>
      </c>
      <c r="IP92" s="20" t="n">
        <f aca="false">IF(AND(HU92=1,IE92&gt;0,Slot2_IsWG=1,AH92=1),MIN(IE92,IO92),0)</f>
        <v>0</v>
      </c>
      <c r="IQ92" s="20" t="n">
        <f aca="false">AI92+IP92</f>
        <v>0</v>
      </c>
      <c r="IR92" s="20" t="n">
        <f aca="false">IF(AH92=1,MAX(0,(Slot2_Cost-IQ92*(1+Slot2_Rate)^(Slot2_Age-D92))/IN92),0)</f>
        <v>0</v>
      </c>
      <c r="IS92" s="20" t="n">
        <f aca="false">IF(AH92=1,MAX(0,(Slot2_Cost-AI92*(1+Slot2_Rate)^(Slot2_Age-D92))/IN92),0)</f>
        <v>0</v>
      </c>
      <c r="IT92" s="20" t="n">
        <f aca="false">IF(AND(HU92=1,AH92=1),MIN(IM92,IR92),0)</f>
        <v>0</v>
      </c>
      <c r="IU92" s="20" t="n">
        <f aca="false">IM92-IT92</f>
        <v>0</v>
      </c>
      <c r="IV92" s="20" t="n">
        <f aca="false">IF(AR92=1,IF(ABS((1+AS_Wage)/(1+Slot3_Rate)-1)&lt;0.000000000001,(Slot3_Age-D92)*(1+Slot3_Rate)^(Slot3_Age-D92),(1+Slot3_Rate)^(Slot3_Age-D92)*(1-((1+AS_Wage)/(1+Slot3_Rate))^(Slot3_Age-D92))/(1-(1+AS_Wage)/(1+Slot3_Rate))),1)</f>
        <v>1</v>
      </c>
      <c r="IW92" s="20" t="n">
        <f aca="false">IF(AND(HU92=1,IE92&gt;0,Slot3_IsWG=1,AR92=1),MAX(0,(Slot3_Cost-AS92*(1+Slot3_Rate)^(Slot3_Age-D92))/IV92),0)</f>
        <v>0</v>
      </c>
      <c r="IX92" s="20" t="n">
        <f aca="false">IF(AND(HU92=1,IE92&gt;0,Slot3_IsWG=1,AR92=1),MIN(IE92,IW92),0)</f>
        <v>0</v>
      </c>
      <c r="IY92" s="20" t="n">
        <f aca="false">AS92+IX92</f>
        <v>0</v>
      </c>
      <c r="IZ92" s="20" t="n">
        <f aca="false">IF(AR92=1,MAX(0,(Slot3_Cost-IY92*(1+Slot3_Rate)^(Slot3_Age-D92))/IV92),0)</f>
        <v>0</v>
      </c>
      <c r="JA92" s="20" t="n">
        <f aca="false">IF(AR92=1,MAX(0,(Slot3_Cost-AS92*(1+Slot3_Rate)^(Slot3_Age-D92))/IV92),0)</f>
        <v>0</v>
      </c>
      <c r="JB92" s="20" t="n">
        <f aca="false">IF(AND(HU92=1,AR92=1),MIN(IU92,IZ92),0)</f>
        <v>0</v>
      </c>
      <c r="JC92" s="20" t="n">
        <f aca="false">IU92-JB92</f>
        <v>0</v>
      </c>
      <c r="JD92" s="20" t="n">
        <f aca="false">IF(BB92=1,IF(ABS((1+AS_Wage)/(1+Slot4_Rate)-1)&lt;0.000000000001,(Slot4_Age-D92)*(1+Slot4_Rate)^(Slot4_Age-D92),(1+Slot4_Rate)^(Slot4_Age-D92)*(1-((1+AS_Wage)/(1+Slot4_Rate))^(Slot4_Age-D92))/(1-(1+AS_Wage)/(1+Slot4_Rate))),1)</f>
        <v>1</v>
      </c>
      <c r="JE92" s="20" t="n">
        <f aca="false">IF(AND(HU92=1,IE92&gt;0,Slot4_IsWG=1,BB92=1),MAX(0,(Slot4_Cost-BC92*(1+Slot4_Rate)^(Slot4_Age-D92))/JD92),0)</f>
        <v>0</v>
      </c>
      <c r="JF92" s="20" t="n">
        <f aca="false">IF(AND(HU92=1,IE92&gt;0,Slot4_IsWG=1,BB92=1),MIN(IE92,JE92),0)</f>
        <v>0</v>
      </c>
      <c r="JG92" s="20" t="n">
        <f aca="false">BC92+JF92</f>
        <v>0</v>
      </c>
      <c r="JH92" s="20" t="n">
        <f aca="false">IF(BB92=1,MAX(0,(Slot4_Cost-JG92*(1+Slot4_Rate)^(Slot4_Age-D92))/JD92),0)</f>
        <v>0</v>
      </c>
      <c r="JI92" s="20" t="n">
        <f aca="false">IF(BB92=1,MAX(0,(Slot4_Cost-BC92*(1+Slot4_Rate)^(Slot4_Age-D92))/JD92),0)</f>
        <v>0</v>
      </c>
      <c r="JJ92" s="20" t="n">
        <f aca="false">IF(AND(HU92=1,BB92=1),MIN(JC92,JH92),0)</f>
        <v>0</v>
      </c>
      <c r="JK92" s="20" t="n">
        <f aca="false">JC92-JJ92</f>
        <v>0</v>
      </c>
      <c r="JL92" s="20" t="n">
        <f aca="false">IF(BL92=1,IF(ABS((1+AS_Wage)/(1+Slot5_Rate)-1)&lt;0.000000000001,(Slot5_Age-D92)*(1+Slot5_Rate)^(Slot5_Age-D92),(1+Slot5_Rate)^(Slot5_Age-D92)*(1-((1+AS_Wage)/(1+Slot5_Rate))^(Slot5_Age-D92))/(1-(1+AS_Wage)/(1+Slot5_Rate))),1)</f>
        <v>1</v>
      </c>
      <c r="JM92" s="20" t="n">
        <f aca="false">IF(AND(HU92=1,IE92&gt;0,Slot5_IsWG=1,BL92=1),MAX(0,(Slot5_Cost-BM92*(1+Slot5_Rate)^(Slot5_Age-D92))/JL92),0)</f>
        <v>0</v>
      </c>
      <c r="JN92" s="20" t="n">
        <f aca="false">IF(AND(HU92=1,IE92&gt;0,Slot5_IsWG=1,BL92=1),MIN(IE92,JM92),0)</f>
        <v>0</v>
      </c>
      <c r="JO92" s="20" t="n">
        <f aca="false">BM92+JN92</f>
        <v>0</v>
      </c>
      <c r="JP92" s="20" t="n">
        <f aca="false">IF(BL92=1,MAX(0,(Slot5_Cost-JO92*(1+Slot5_Rate)^(Slot5_Age-D92))/JL92),0)</f>
        <v>0</v>
      </c>
      <c r="JQ92" s="20" t="n">
        <f aca="false">IF(BL92=1,MAX(0,(Slot5_Cost-BM92*(1+Slot5_Rate)^(Slot5_Age-D92))/JL92),0)</f>
        <v>0</v>
      </c>
      <c r="JR92" s="20" t="n">
        <f aca="false">IF(AND(HU92=1,BL92=1),MIN(JK92,JP92),0)</f>
        <v>0</v>
      </c>
      <c r="JS92" s="20" t="n">
        <f aca="false">JK92-JR92</f>
        <v>0</v>
      </c>
      <c r="JT92" s="20" t="n">
        <f aca="false">IF(BV92=1,IF(ABS((1+AS_Wage)/(1+Slot6_Rate)-1)&lt;0.000000000001,(Slot6_Age-D92)*(1+Slot6_Rate)^(Slot6_Age-D92),(1+Slot6_Rate)^(Slot6_Age-D92)*(1-((1+AS_Wage)/(1+Slot6_Rate))^(Slot6_Age-D92))/(1-(1+AS_Wage)/(1+Slot6_Rate))),1)</f>
        <v>1</v>
      </c>
      <c r="JU92" s="20" t="n">
        <f aca="false">IF(AND(HU92=1,IE92&gt;0,Slot6_IsWG=1,BV92=1),MAX(0,(Slot6_Cost-BW92*(1+Slot6_Rate)^(Slot6_Age-D92))/JT92),0)</f>
        <v>0</v>
      </c>
      <c r="JV92" s="20" t="n">
        <f aca="false">IF(AND(HU92=1,IE92&gt;0,Slot6_IsWG=1,BV92=1),MIN(IE92,JU92),0)</f>
        <v>0</v>
      </c>
      <c r="JW92" s="20" t="n">
        <f aca="false">BW92+JV92</f>
        <v>0</v>
      </c>
      <c r="JX92" s="20" t="n">
        <f aca="false">IF(BV92=1,MAX(0,(Slot6_Cost-JW92*(1+Slot6_Rate)^(Slot6_Age-D92))/JT92),0)</f>
        <v>0</v>
      </c>
      <c r="JY92" s="20" t="n">
        <f aca="false">IF(BV92=1,MAX(0,(Slot6_Cost-BW92*(1+Slot6_Rate)^(Slot6_Age-D92))/JT92),0)</f>
        <v>0</v>
      </c>
      <c r="JZ92" s="20" t="n">
        <f aca="false">IF(AND(HU92=1,BV92=1),MIN(JS92,JX92),0)</f>
        <v>0</v>
      </c>
      <c r="KA92" s="20" t="n">
        <f aca="false">JS92-JZ92</f>
        <v>0</v>
      </c>
      <c r="KB92" s="20" t="n">
        <f aca="false">IF(CF92=1,IF(ABS((1+AS_Wage)/(1+Slot7_Rate)-1)&lt;0.000000000001,(Slot7_Age-D92)*(1+Slot7_Rate)^(Slot7_Age-D92),(1+Slot7_Rate)^(Slot7_Age-D92)*(1-((1+AS_Wage)/(1+Slot7_Rate))^(Slot7_Age-D92))/(1-(1+AS_Wage)/(1+Slot7_Rate))),1)</f>
        <v>1</v>
      </c>
      <c r="KC92" s="20" t="n">
        <f aca="false">IF(AND(HU92=1,IE92&gt;0,Slot7_IsWG=1,CF92=1),MAX(0,(Slot7_Cost-CG92*(1+Slot7_Rate)^(Slot7_Age-D92))/KB92),0)</f>
        <v>0</v>
      </c>
      <c r="KD92" s="20" t="n">
        <f aca="false">IF(AND(HU92=1,IE92&gt;0,Slot7_IsWG=1,CF92=1),MIN(IE92,KC92),0)</f>
        <v>0</v>
      </c>
      <c r="KE92" s="20" t="n">
        <f aca="false">CG92+KD92</f>
        <v>0</v>
      </c>
      <c r="KF92" s="20" t="n">
        <f aca="false">IF(CF92=1,MAX(0,(Slot7_Cost-KE92*(1+Slot7_Rate)^(Slot7_Age-D92))/KB92),0)</f>
        <v>0</v>
      </c>
      <c r="KG92" s="20" t="n">
        <f aca="false">IF(CF92=1,MAX(0,(Slot7_Cost-CG92*(1+Slot7_Rate)^(Slot7_Age-D92))/KB92),0)</f>
        <v>0</v>
      </c>
      <c r="KH92" s="20" t="n">
        <f aca="false">IF(AND(HU92=1,CF92=1),MIN(KA92,KF92),0)</f>
        <v>0</v>
      </c>
      <c r="KI92" s="20" t="n">
        <f aca="false">KA92-KH92</f>
        <v>0</v>
      </c>
      <c r="KJ92" s="20" t="n">
        <f aca="false">IF(CP92=1,IF(ABS((1+AS_Wage)/(1+Slot8_Rate)-1)&lt;0.000000000001,(Slot8_Age-D92)*(1+Slot8_Rate)^(Slot8_Age-D92),(1+Slot8_Rate)^(Slot8_Age-D92)*(1-((1+AS_Wage)/(1+Slot8_Rate))^(Slot8_Age-D92))/(1-(1+AS_Wage)/(1+Slot8_Rate))),1)</f>
        <v>1</v>
      </c>
      <c r="KK92" s="20" t="n">
        <f aca="false">IF(AND(HU92=1,IE92&gt;0,Slot8_IsWG=1,CP92=1),MAX(0,(Slot8_Cost-CQ92*(1+Slot8_Rate)^(Slot8_Age-D92))/KJ92),0)</f>
        <v>0</v>
      </c>
      <c r="KL92" s="20" t="n">
        <f aca="false">IF(AND(HU92=1,IE92&gt;0,Slot8_IsWG=1,CP92=1),MIN(IE92,KK92),0)</f>
        <v>0</v>
      </c>
      <c r="KM92" s="20" t="n">
        <f aca="false">CQ92+KL92</f>
        <v>0</v>
      </c>
      <c r="KN92" s="20" t="n">
        <f aca="false">IF(CP92=1,MAX(0,(Slot8_Cost-KM92*(1+Slot8_Rate)^(Slot8_Age-D92))/KJ92),0)</f>
        <v>0</v>
      </c>
      <c r="KO92" s="20" t="n">
        <f aca="false">IF(CP92=1,MAX(0,(Slot8_Cost-CQ92*(1+Slot8_Rate)^(Slot8_Age-D92))/KJ92),0)</f>
        <v>0</v>
      </c>
      <c r="KP92" s="20" t="n">
        <f aca="false">IF(AND(HU92=1,CP92=1),MIN(KI92,KN92),0)</f>
        <v>0</v>
      </c>
      <c r="KQ92" s="20" t="n">
        <f aca="false">KI92-KP92</f>
        <v>0</v>
      </c>
      <c r="KR92" s="20" t="n">
        <f aca="false">IF(CZ92=1,IF(ABS((1+AS_Wage)/(1+Slot9_Rate)-1)&lt;0.000000000001,(Slot9_Age-D92)*(1+Slot9_Rate)^(Slot9_Age-D92),(1+Slot9_Rate)^(Slot9_Age-D92)*(1-((1+AS_Wage)/(1+Slot9_Rate))^(Slot9_Age-D92))/(1-(1+AS_Wage)/(1+Slot9_Rate))),1)</f>
        <v>1</v>
      </c>
      <c r="KS92" s="20" t="n">
        <f aca="false">IF(AND(HU92=1,IE92&gt;0,Slot9_IsWG=1,CZ92=1),MAX(0,(Slot9_Cost-DA92*(1+Slot9_Rate)^(Slot9_Age-D92))/KR92),0)</f>
        <v>0</v>
      </c>
      <c r="KT92" s="20" t="n">
        <f aca="false">IF(AND(HU92=1,IE92&gt;0,Slot9_IsWG=1,CZ92=1),MIN(IE92,KS92),0)</f>
        <v>0</v>
      </c>
      <c r="KU92" s="20" t="n">
        <f aca="false">DA92+KT92</f>
        <v>0</v>
      </c>
      <c r="KV92" s="20" t="n">
        <f aca="false">IF(CZ92=1,MAX(0,(Slot9_Cost-KU92*(1+Slot9_Rate)^(Slot9_Age-D92))/KR92),0)</f>
        <v>0</v>
      </c>
      <c r="KW92" s="20" t="n">
        <f aca="false">IF(CZ92=1,MAX(0,(Slot9_Cost-DA92*(1+Slot9_Rate)^(Slot9_Age-D92))/KR92),0)</f>
        <v>0</v>
      </c>
      <c r="KX92" s="20" t="n">
        <f aca="false">IF(AND(HU92=1,CZ92=1),MIN(KQ92,KV92),0)</f>
        <v>0</v>
      </c>
      <c r="KY92" s="20" t="n">
        <f aca="false">KQ92-KX92</f>
        <v>0</v>
      </c>
      <c r="KZ92" s="20" t="n">
        <f aca="false">IF(DJ92=1,IF(ABS((1+AS_Wage)/(1+Slot10_Rate)-1)&lt;0.000000000001,(Slot10_Age-D92)*(1+Slot10_Rate)^(Slot10_Age-D92),(1+Slot10_Rate)^(Slot10_Age-D92)*(1-((1+AS_Wage)/(1+Slot10_Rate))^(Slot10_Age-D92))/(1-(1+AS_Wage)/(1+Slot10_Rate))),1)</f>
        <v>1</v>
      </c>
      <c r="LA92" s="20" t="n">
        <f aca="false">IF(AND(HU92=1,IE92&gt;0,Slot10_IsWG=1,DJ92=1),MAX(0,(Slot10_Cost-DK92*(1+Slot10_Rate)^(Slot10_Age-D92))/KZ92),0)</f>
        <v>0</v>
      </c>
      <c r="LB92" s="20" t="n">
        <f aca="false">IF(AND(HU92=1,IE92&gt;0,Slot10_IsWG=1,DJ92=1),MIN(IE92,LA92),0)</f>
        <v>0</v>
      </c>
      <c r="LC92" s="20" t="n">
        <f aca="false">DK92+LB92</f>
        <v>0</v>
      </c>
      <c r="LD92" s="20" t="n">
        <f aca="false">IF(DJ92=1,MAX(0,(Slot10_Cost-LC92*(1+Slot10_Rate)^(Slot10_Age-D92))/KZ92),0)</f>
        <v>0</v>
      </c>
      <c r="LE92" s="20" t="n">
        <f aca="false">IF(DJ92=1,MAX(0,(Slot10_Cost-DK92*(1+Slot10_Rate)^(Slot10_Age-D92))/KZ92),0)</f>
        <v>0</v>
      </c>
      <c r="LF92" s="20" t="n">
        <f aca="false">IF(AND(HU92=1,DJ92=1),MIN(KY92,LD92),0)</f>
        <v>0</v>
      </c>
      <c r="LG92" s="20" t="n">
        <f aca="false">KY92-LF92</f>
        <v>0</v>
      </c>
      <c r="LH92" s="20" t="n">
        <f aca="false">IF(DT92=1,IF(ABS((1+AS_Wage)/(1+Slot11_Rate)-1)&lt;0.000000000001,(Slot11_Age-D92)*(1+Slot11_Rate)^(Slot11_Age-D92),(1+Slot11_Rate)^(Slot11_Age-D92)*(1-((1+AS_Wage)/(1+Slot11_Rate))^(Slot11_Age-D92))/(1-(1+AS_Wage)/(1+Slot11_Rate))),1)</f>
        <v>1</v>
      </c>
      <c r="LI92" s="20" t="n">
        <f aca="false">IF(AND(HU92=1,IE92&gt;0,Slot11_IsWG=1,DT92=1),MAX(0,(Slot11_Cost-DU92*(1+Slot11_Rate)^(Slot11_Age-D92))/LH92),0)</f>
        <v>0</v>
      </c>
      <c r="LJ92" s="20" t="n">
        <f aca="false">IF(AND(HU92=1,IE92&gt;0,Slot11_IsWG=1,DT92=1),MIN(IE92,LI92),0)</f>
        <v>0</v>
      </c>
      <c r="LK92" s="20" t="n">
        <f aca="false">DU92+LJ92</f>
        <v>0</v>
      </c>
      <c r="LL92" s="20" t="n">
        <f aca="false">IF(DT92=1,MAX(0,(Slot11_Cost-LK92*(1+Slot11_Rate)^(Slot11_Age-D92))/LH92),0)</f>
        <v>0</v>
      </c>
      <c r="LM92" s="20" t="n">
        <f aca="false">IF(DT92=1,MAX(0,(Slot11_Cost-DU92*(1+Slot11_Rate)^(Slot11_Age-D92))/LH92),0)</f>
        <v>0</v>
      </c>
      <c r="LN92" s="20" t="n">
        <f aca="false">IF(AND(HU92=1,DT92=1),MIN(LG92,LL92),0)</f>
        <v>0</v>
      </c>
      <c r="LO92" s="20" t="n">
        <f aca="false">LG92-LN92</f>
        <v>0</v>
      </c>
      <c r="LP92" s="20" t="n">
        <f aca="false">IF(ED92=1,IF(ABS((1+AS_Wage)/(1+Slot12_Rate)-1)&lt;0.000000000001,(Slot12_Age-D92)*(1+Slot12_Rate)^(Slot12_Age-D92),(1+Slot12_Rate)^(Slot12_Age-D92)*(1-((1+AS_Wage)/(1+Slot12_Rate))^(Slot12_Age-D92))/(1-(1+AS_Wage)/(1+Slot12_Rate))),1)</f>
        <v>1</v>
      </c>
      <c r="LQ92" s="20" t="n">
        <f aca="false">IF(AND(HU92=1,IE92&gt;0,Slot12_IsWG=1,ED92=1),MAX(0,(Slot12_Cost-EE92*(1+Slot12_Rate)^(Slot12_Age-D92))/LP92),0)</f>
        <v>0</v>
      </c>
      <c r="LR92" s="20" t="n">
        <f aca="false">IF(AND(HU92=1,IE92&gt;0,Slot12_IsWG=1,ED92=1),MIN(IE92,LQ92),0)</f>
        <v>0</v>
      </c>
      <c r="LS92" s="20" t="n">
        <f aca="false">EE92+LR92</f>
        <v>0</v>
      </c>
      <c r="LT92" s="20" t="n">
        <f aca="false">IF(ED92=1,MAX(0,(Slot12_Cost-LS92*(1+Slot12_Rate)^(Slot12_Age-D92))/LP92),0)</f>
        <v>0</v>
      </c>
      <c r="LU92" s="20" t="n">
        <f aca="false">IF(ED92=1,MAX(0,(Slot12_Cost-EE92*(1+Slot12_Rate)^(Slot12_Age-D92))/LP92),0)</f>
        <v>0</v>
      </c>
      <c r="LV92" s="20" t="n">
        <f aca="false">IF(AND(HU92=1,ED92=1),MIN(LO92,LT92),0)</f>
        <v>0</v>
      </c>
      <c r="LW92" s="20" t="n">
        <f aca="false">LO92-LV92</f>
        <v>0</v>
      </c>
      <c r="LX92" s="20" t="n">
        <f aca="false">IF(EN92=1,IF(ABS((1+AS_Wage)/(1+Slot13_Rate)-1)&lt;0.000000000001,(Slot13_Age-D92)*(1+Slot13_Rate)^(Slot13_Age-D92),(1+Slot13_Rate)^(Slot13_Age-D92)*(1-((1+AS_Wage)/(1+Slot13_Rate))^(Slot13_Age-D92))/(1-(1+AS_Wage)/(1+Slot13_Rate))),1)</f>
        <v>1</v>
      </c>
      <c r="LY92" s="20" t="n">
        <f aca="false">IF(AND(HU92=1,IE92&gt;0,Slot13_IsWG=1,EN92=1),MAX(0,(Slot13_Cost-EO92*(1+Slot13_Rate)^(Slot13_Age-D92))/LX92),0)</f>
        <v>0</v>
      </c>
      <c r="LZ92" s="20" t="n">
        <f aca="false">IF(AND(HU92=1,IE92&gt;0,Slot13_IsWG=1,EN92=1),MIN(IE92,LY92),0)</f>
        <v>0</v>
      </c>
      <c r="MA92" s="20" t="n">
        <f aca="false">EO92+LZ92</f>
        <v>0</v>
      </c>
      <c r="MB92" s="20" t="n">
        <f aca="false">IF(EN92=1,MAX(0,(Slot13_Cost-MA92*(1+Slot13_Rate)^(Slot13_Age-D92))/LX92),0)</f>
        <v>0</v>
      </c>
      <c r="MC92" s="20" t="n">
        <f aca="false">IF(EN92=1,MAX(0,(Slot13_Cost-EO92*(1+Slot13_Rate)^(Slot13_Age-D92))/LX92),0)</f>
        <v>0</v>
      </c>
      <c r="MD92" s="20" t="n">
        <f aca="false">IF(AND(HU92=1,EN92=1),MIN(LW92,MB92),0)</f>
        <v>0</v>
      </c>
      <c r="ME92" s="20" t="n">
        <f aca="false">LW92-MD92</f>
        <v>0</v>
      </c>
      <c r="MF92" s="20" t="n">
        <f aca="false">IF(EX92=1,IF(ABS((1+AS_Wage)/(1+Slot14_Rate)-1)&lt;0.000000000001,(Slot14_Age-D92)*(1+Slot14_Rate)^(Slot14_Age-D92),(1+Slot14_Rate)^(Slot14_Age-D92)*(1-((1+AS_Wage)/(1+Slot14_Rate))^(Slot14_Age-D92))/(1-(1+AS_Wage)/(1+Slot14_Rate))),1)</f>
        <v>1</v>
      </c>
      <c r="MG92" s="20" t="n">
        <f aca="false">IF(AND(HU92=1,IE92&gt;0,Slot14_IsWG=1,EX92=1),MAX(0,(Slot14_Cost-EY92*(1+Slot14_Rate)^(Slot14_Age-D92))/MF92),0)</f>
        <v>0</v>
      </c>
      <c r="MH92" s="20" t="n">
        <f aca="false">IF(AND(HU92=1,IE92&gt;0,Slot14_IsWG=1,EX92=1),MIN(IE92,MG92),0)</f>
        <v>0</v>
      </c>
      <c r="MI92" s="20" t="n">
        <f aca="false">EY92+MH92</f>
        <v>0</v>
      </c>
      <c r="MJ92" s="20" t="n">
        <f aca="false">IF(EX92=1,MAX(0,(Slot14_Cost-MI92*(1+Slot14_Rate)^(Slot14_Age-D92))/MF92),0)</f>
        <v>0</v>
      </c>
      <c r="MK92" s="20" t="n">
        <f aca="false">IF(EX92=1,MAX(0,(Slot14_Cost-EY92*(1+Slot14_Rate)^(Slot14_Age-D92))/MF92),0)</f>
        <v>0</v>
      </c>
      <c r="ML92" s="20" t="n">
        <f aca="false">IF(AND(HU92=1,EX92=1),MIN(ME92,MJ92),0)</f>
        <v>0</v>
      </c>
      <c r="MM92" s="20" t="n">
        <f aca="false">ME92-ML92</f>
        <v>0</v>
      </c>
      <c r="MN92" s="20" t="n">
        <f aca="false">IF(FH92=1,IF(ABS((1+AS_Wage)/(1+Slot15_Rate)-1)&lt;0.000000000001,(Slot15_Age-D92)*(1+Slot15_Rate)^(Slot15_Age-D92),(1+Slot15_Rate)^(Slot15_Age-D92)*(1-((1+AS_Wage)/(1+Slot15_Rate))^(Slot15_Age-D92))/(1-(1+AS_Wage)/(1+Slot15_Rate))),1)</f>
        <v>1</v>
      </c>
      <c r="MO92" s="20" t="n">
        <f aca="false">IF(AND(HU92=1,IE92&gt;0,Slot15_IsWG=1,FH92=1),MAX(0,(Slot15_Cost-FI92*(1+Slot15_Rate)^(Slot15_Age-D92))/MN92),0)</f>
        <v>0</v>
      </c>
      <c r="MP92" s="20" t="n">
        <f aca="false">IF(AND(HU92=1,IE92&gt;0,Slot15_IsWG=1,FH92=1),MIN(IE92,MO92),0)</f>
        <v>0</v>
      </c>
      <c r="MQ92" s="20" t="n">
        <f aca="false">FI92+MP92</f>
        <v>0</v>
      </c>
      <c r="MR92" s="20" t="n">
        <f aca="false">IF(FH92=1,MAX(0,(Slot15_Cost-MQ92*(1+Slot15_Rate)^(Slot15_Age-D92))/MN92),0)</f>
        <v>0</v>
      </c>
      <c r="MS92" s="20" t="n">
        <f aca="false">IF(FH92=1,MAX(0,(Slot15_Cost-FI92*(1+Slot15_Rate)^(Slot15_Age-D92))/MN92),0)</f>
        <v>0</v>
      </c>
      <c r="MT92" s="20" t="n">
        <f aca="false">IF(AND(HU92=1,FH92=1),MIN(MM92,MR92),0)</f>
        <v>0</v>
      </c>
      <c r="MU92" s="20" t="n">
        <f aca="false">MM92-MT92</f>
        <v>0</v>
      </c>
      <c r="MV92" s="20" t="n">
        <f aca="false">IF(FR92=1,IF(ABS((1+AS_Wage)/(1+Slot16_Rate)-1)&lt;0.000000000001,(Slot16_Age-D92)*(1+Slot16_Rate)^(Slot16_Age-D92),(1+Slot16_Rate)^(Slot16_Age-D92)*(1-((1+AS_Wage)/(1+Slot16_Rate))^(Slot16_Age-D92))/(1-(1+AS_Wage)/(1+Slot16_Rate))),1)</f>
        <v>1</v>
      </c>
      <c r="MW92" s="20" t="n">
        <f aca="false">IF(AND(HU92=1,IE92&gt;0,Slot16_IsWG=1,FR92=1),MAX(0,(Slot16_Cost-FS92*(1+Slot16_Rate)^(Slot16_Age-D92))/MV92),0)</f>
        <v>0</v>
      </c>
      <c r="MX92" s="20" t="n">
        <f aca="false">IF(AND(HU92=1,IE92&gt;0,Slot16_IsWG=1,FR92=1),MIN(IE92,MW92),0)</f>
        <v>0</v>
      </c>
      <c r="MY92" s="20" t="n">
        <f aca="false">FS92+MX92</f>
        <v>0</v>
      </c>
      <c r="MZ92" s="20" t="n">
        <f aca="false">IF(FR92=1,MAX(0,(Slot16_Cost-MY92*(1+Slot16_Rate)^(Slot16_Age-D92))/MV92),0)</f>
        <v>0</v>
      </c>
      <c r="NA92" s="20" t="n">
        <f aca="false">IF(FR92=1,MAX(0,(Slot16_Cost-FS92*(1+Slot16_Rate)^(Slot16_Age-D92))/MV92),0)</f>
        <v>0</v>
      </c>
      <c r="NB92" s="20" t="n">
        <f aca="false">IF(AND(HU92=1,FR92=1),MIN(MU92,MZ92),0)</f>
        <v>0</v>
      </c>
      <c r="NC92" s="20" t="n">
        <f aca="false">MU92-NB92</f>
        <v>0</v>
      </c>
      <c r="ND92" s="20" t="n">
        <f aca="false">IF(GB92=1,IF(ABS((1+AS_Wage)/(1+Slot17_Rate)-1)&lt;0.000000000001,(Slot17_Age-D92)*(1+Slot17_Rate)^(Slot17_Age-D92),(1+Slot17_Rate)^(Slot17_Age-D92)*(1-((1+AS_Wage)/(1+Slot17_Rate))^(Slot17_Age-D92))/(1-(1+AS_Wage)/(1+Slot17_Rate))),1)</f>
        <v>1</v>
      </c>
      <c r="NE92" s="20" t="n">
        <f aca="false">IF(AND(HU92=1,IE92&gt;0,Slot17_IsWG=1,GB92=1),MAX(0,(Slot17_Cost-GC92*(1+Slot17_Rate)^(Slot17_Age-D92))/ND92),0)</f>
        <v>0</v>
      </c>
      <c r="NF92" s="20" t="n">
        <f aca="false">IF(AND(HU92=1,IE92&gt;0,Slot17_IsWG=1,GB92=1),MIN(IE92,NE92),0)</f>
        <v>0</v>
      </c>
      <c r="NG92" s="20" t="n">
        <f aca="false">GC92+NF92</f>
        <v>0</v>
      </c>
      <c r="NH92" s="20" t="n">
        <f aca="false">IF(GB92=1,MAX(0,(Slot17_Cost-NG92*(1+Slot17_Rate)^(Slot17_Age-D92))/ND92),0)</f>
        <v>0</v>
      </c>
      <c r="NI92" s="20" t="n">
        <f aca="false">IF(GB92=1,MAX(0,(Slot17_Cost-GC92*(1+Slot17_Rate)^(Slot17_Age-D92))/ND92),0)</f>
        <v>0</v>
      </c>
      <c r="NJ92" s="20" t="n">
        <f aca="false">IF(AND(HU92=1,GB92=1),MIN(NC92,NH92),0)</f>
        <v>0</v>
      </c>
      <c r="NK92" s="20" t="n">
        <f aca="false">NC92-NJ92</f>
        <v>0</v>
      </c>
      <c r="NL92" s="20" t="n">
        <f aca="false">IF(GL92=1,IF(ABS((1+AS_Wage)/(1+Slot18_Rate)-1)&lt;0.000000000001,(Slot18_Age-D92)*(1+Slot18_Rate)^(Slot18_Age-D92),(1+Slot18_Rate)^(Slot18_Age-D92)*(1-((1+AS_Wage)/(1+Slot18_Rate))^(Slot18_Age-D92))/(1-(1+AS_Wage)/(1+Slot18_Rate))),1)</f>
        <v>1</v>
      </c>
      <c r="NM92" s="20" t="n">
        <f aca="false">IF(AND(HU92=1,IE92&gt;0,Slot18_IsWG=1,GL92=1),MAX(0,(Slot18_Cost-GM92*(1+Slot18_Rate)^(Slot18_Age-D92))/NL92),0)</f>
        <v>0</v>
      </c>
      <c r="NN92" s="20" t="n">
        <f aca="false">IF(AND(HU92=1,IE92&gt;0,Slot18_IsWG=1,GL92=1),MIN(IE92,NM92),0)</f>
        <v>0</v>
      </c>
      <c r="NO92" s="20" t="n">
        <f aca="false">GM92+NN92</f>
        <v>0</v>
      </c>
      <c r="NP92" s="20" t="n">
        <f aca="false">IF(GL92=1,MAX(0,(Slot18_Cost-NO92*(1+Slot18_Rate)^(Slot18_Age-D92))/NL92),0)</f>
        <v>0</v>
      </c>
      <c r="NQ92" s="20" t="n">
        <f aca="false">IF(GL92=1,MAX(0,(Slot18_Cost-GM92*(1+Slot18_Rate)^(Slot18_Age-D92))/NL92),0)</f>
        <v>0</v>
      </c>
      <c r="NR92" s="20" t="n">
        <f aca="false">IF(AND(HU92=1,GL92=1),MIN(NK92,NP92),0)</f>
        <v>0</v>
      </c>
      <c r="NS92" s="20" t="n">
        <f aca="false">NK92-NR92</f>
        <v>0</v>
      </c>
      <c r="NT92" s="20" t="n">
        <f aca="false">IF(GV92=1,IF(ABS((1+AS_Wage)/(1+Slot19_Rate)-1)&lt;0.000000000001,(Slot19_Age-D92)*(1+Slot19_Rate)^(Slot19_Age-D92),(1+Slot19_Rate)^(Slot19_Age-D92)*(1-((1+AS_Wage)/(1+Slot19_Rate))^(Slot19_Age-D92))/(1-(1+AS_Wage)/(1+Slot19_Rate))),1)</f>
        <v>1</v>
      </c>
      <c r="NU92" s="20" t="n">
        <f aca="false">IF(AND(HU92=1,IE92&gt;0,Slot19_IsWG=1,GV92=1),MAX(0,(Slot19_Cost-GW92*(1+Slot19_Rate)^(Slot19_Age-D92))/NT92),0)</f>
        <v>0</v>
      </c>
      <c r="NV92" s="20" t="n">
        <f aca="false">IF(AND(HU92=1,IE92&gt;0,Slot19_IsWG=1,GV92=1),MIN(IE92,NU92),0)</f>
        <v>0</v>
      </c>
      <c r="NW92" s="20" t="n">
        <f aca="false">GW92+NV92</f>
        <v>0</v>
      </c>
      <c r="NX92" s="20" t="n">
        <f aca="false">IF(GV92=1,MAX(0,(Slot19_Cost-NW92*(1+Slot19_Rate)^(Slot19_Age-D92))/NT92),0)</f>
        <v>0</v>
      </c>
      <c r="NY92" s="20" t="n">
        <f aca="false">IF(GV92=1,MAX(0,(Slot19_Cost-GW92*(1+Slot19_Rate)^(Slot19_Age-D92))/NT92),0)</f>
        <v>0</v>
      </c>
      <c r="NZ92" s="20" t="n">
        <f aca="false">IF(AND(HU92=1,GV92=1),MIN(NS92,NX92),0)</f>
        <v>0</v>
      </c>
      <c r="OA92" s="20" t="n">
        <f aca="false">NS92-NZ92</f>
        <v>0</v>
      </c>
      <c r="OB92" s="20" t="n">
        <f aca="false">IF(HF92=1,IF(ABS((1+AS_Wage)/(1+Slot20_Rate)-1)&lt;0.000000000001,(Slot20_Age-D92)*(1+Slot20_Rate)^(Slot20_Age-D92),(1+Slot20_Rate)^(Slot20_Age-D92)*(1-((1+AS_Wage)/(1+Slot20_Rate))^(Slot20_Age-D92))/(1-(1+AS_Wage)/(1+Slot20_Rate))),1)</f>
        <v>1</v>
      </c>
      <c r="OC92" s="20" t="n">
        <f aca="false">IF(AND(HU92=1,IE92&gt;0,Slot20_IsWG=1,HF92=1),MAX(0,(Slot20_Cost-HG92*(1+Slot20_Rate)^(Slot20_Age-D92))/OB92),0)</f>
        <v>0</v>
      </c>
      <c r="OD92" s="20" t="n">
        <f aca="false">IF(AND(HU92=1,IE92&gt;0,Slot20_IsWG=1,HF92=1),MIN(IE92,OC92),0)</f>
        <v>0</v>
      </c>
      <c r="OE92" s="20" t="n">
        <f aca="false">HG92+OD92</f>
        <v>0</v>
      </c>
      <c r="OF92" s="20" t="n">
        <f aca="false">IF(HF92=1,MAX(0,(Slot20_Cost-OE92*(1+Slot20_Rate)^(Slot20_Age-D92))/OB92),0)</f>
        <v>0</v>
      </c>
      <c r="OG92" s="20" t="n">
        <f aca="false">IF(HF92=1,MAX(0,(Slot20_Cost-HG92*(1+Slot20_Rate)^(Slot20_Age-D92))/OB92),0)</f>
        <v>0</v>
      </c>
      <c r="OH92" s="20" t="n">
        <f aca="false">IF(AND(HU92=1,HF92=1),MIN(OA92,OF92),0)</f>
        <v>0</v>
      </c>
      <c r="OI92" s="20" t="n">
        <f aca="false">OA92-OH92</f>
        <v>0</v>
      </c>
      <c r="OJ92" s="20" t="n">
        <f aca="false">IE92-(IH92+IP92+IX92+JF92+JN92+JV92+KD92+KL92+KT92+LB92+LJ92+LR92+LZ92+MH92+MP92+MX92+NF92+NN92+NV92+OD92)</f>
        <v>0</v>
      </c>
      <c r="OK92" s="20" t="n">
        <f aca="false">IF(HU92=1,HS92-ID92-IE92,0)</f>
        <v>0</v>
      </c>
      <c r="OL92" s="20" t="n">
        <f aca="false">IF(HU92=0,-HS92,0)</f>
        <v>101670.54782589</v>
      </c>
      <c r="OM92" s="20" t="n">
        <f aca="false">MIN(OL92,HK92)</f>
        <v>0</v>
      </c>
      <c r="ON92" s="20" t="n">
        <f aca="false">OL92-OM92</f>
        <v>101670.54782589</v>
      </c>
      <c r="OO92" s="20" t="n">
        <f aca="false">MIN(ON92,HL92)</f>
        <v>0</v>
      </c>
      <c r="OP92" s="20" t="n">
        <f aca="false">ON92-OO92</f>
        <v>101670.54782589</v>
      </c>
      <c r="OQ92" s="20" t="n">
        <f aca="false">IF(AND(HU92=0,HF92=1,OP92&gt;0),MIN(OP92,HG92),0)</f>
        <v>0</v>
      </c>
      <c r="OR92" s="20" t="n">
        <f aca="false">OP92-OQ92</f>
        <v>101670.54782589</v>
      </c>
      <c r="OS92" s="20" t="n">
        <f aca="false">IF(AND(HU92=0,GV92=1,OR92&gt;0),MIN(OR92,GW92),0)</f>
        <v>0</v>
      </c>
      <c r="OT92" s="20" t="n">
        <f aca="false">OR92-OS92</f>
        <v>101670.54782589</v>
      </c>
      <c r="OU92" s="20" t="n">
        <f aca="false">IF(AND(HU92=0,GL92=1,OT92&gt;0),MIN(OT92,GM92),0)</f>
        <v>0</v>
      </c>
      <c r="OV92" s="20" t="n">
        <f aca="false">OT92-OU92</f>
        <v>101670.54782589</v>
      </c>
      <c r="OW92" s="20" t="n">
        <f aca="false">IF(AND(HU92=0,GB92=1,OV92&gt;0),MIN(OV92,GC92),0)</f>
        <v>0</v>
      </c>
      <c r="OX92" s="20" t="n">
        <f aca="false">OV92-OW92</f>
        <v>101670.54782589</v>
      </c>
      <c r="OY92" s="20" t="n">
        <f aca="false">IF(AND(HU92=0,FR92=1,OX92&gt;0),MIN(OX92,FS92),0)</f>
        <v>0</v>
      </c>
      <c r="OZ92" s="20" t="n">
        <f aca="false">OX92-OY92</f>
        <v>101670.54782589</v>
      </c>
      <c r="PA92" s="20" t="n">
        <f aca="false">IF(AND(HU92=0,FH92=1,OZ92&gt;0),MIN(OZ92,FI92),0)</f>
        <v>0</v>
      </c>
      <c r="PB92" s="20" t="n">
        <f aca="false">OZ92-PA92</f>
        <v>101670.54782589</v>
      </c>
      <c r="PC92" s="20" t="n">
        <f aca="false">IF(AND(HU92=0,EX92=1,PB92&gt;0),MIN(PB92,EY92),0)</f>
        <v>0</v>
      </c>
      <c r="PD92" s="20" t="n">
        <f aca="false">PB92-PC92</f>
        <v>101670.54782589</v>
      </c>
      <c r="PE92" s="20" t="n">
        <f aca="false">IF(AND(HU92=0,EN92=1,PD92&gt;0),MIN(PD92,EO92),0)</f>
        <v>0</v>
      </c>
      <c r="PF92" s="20" t="n">
        <f aca="false">PD92-PE92</f>
        <v>101670.54782589</v>
      </c>
      <c r="PG92" s="20" t="n">
        <f aca="false">IF(AND(HU92=0,ED92=1,PF92&gt;0),MIN(PF92,EE92),0)</f>
        <v>0</v>
      </c>
      <c r="PH92" s="20" t="n">
        <f aca="false">PF92-PG92</f>
        <v>101670.54782589</v>
      </c>
      <c r="PI92" s="20" t="n">
        <f aca="false">IF(AND(HU92=0,DT92=1,PH92&gt;0),MIN(PH92,DU92),0)</f>
        <v>0</v>
      </c>
      <c r="PJ92" s="20" t="n">
        <f aca="false">PH92-PI92</f>
        <v>101670.54782589</v>
      </c>
      <c r="PK92" s="20" t="n">
        <f aca="false">IF(AND(HU92=0,DJ92=1,PJ92&gt;0),MIN(PJ92,DK92),0)</f>
        <v>0</v>
      </c>
      <c r="PL92" s="20" t="n">
        <f aca="false">PJ92-PK92</f>
        <v>101670.54782589</v>
      </c>
      <c r="PM92" s="20" t="n">
        <f aca="false">IF(AND(HU92=0,CZ92=1,PL92&gt;0),MIN(PL92,DA92),0)</f>
        <v>0</v>
      </c>
      <c r="PN92" s="20" t="n">
        <f aca="false">PL92-PM92</f>
        <v>101670.54782589</v>
      </c>
      <c r="PO92" s="20" t="n">
        <f aca="false">IF(AND(HU92=0,CP92=1,PN92&gt;0),MIN(PN92,CQ92),0)</f>
        <v>0</v>
      </c>
      <c r="PP92" s="20" t="n">
        <f aca="false">PN92-PO92</f>
        <v>101670.54782589</v>
      </c>
      <c r="PQ92" s="20" t="n">
        <f aca="false">IF(AND(HU92=0,CF92=1,PP92&gt;0),MIN(PP92,CG92),0)</f>
        <v>0</v>
      </c>
      <c r="PR92" s="20" t="n">
        <f aca="false">PP92-PQ92</f>
        <v>101670.54782589</v>
      </c>
      <c r="PS92" s="20" t="n">
        <f aca="false">IF(AND(HU92=0,BV92=1,PR92&gt;0),MIN(PR92,BW92),0)</f>
        <v>0</v>
      </c>
      <c r="PT92" s="20" t="n">
        <f aca="false">PR92-PS92</f>
        <v>101670.54782589</v>
      </c>
      <c r="PU92" s="20" t="n">
        <f aca="false">IF(AND(HU92=0,BL92=1,PT92&gt;0),MIN(PT92,BM92),0)</f>
        <v>0</v>
      </c>
      <c r="PV92" s="20" t="n">
        <f aca="false">PT92-PU92</f>
        <v>101670.54782589</v>
      </c>
      <c r="PW92" s="20" t="n">
        <f aca="false">IF(AND(HU92=0,BB92=1,PV92&gt;0),MIN(PV92,BC92),0)</f>
        <v>0</v>
      </c>
      <c r="PX92" s="20" t="n">
        <f aca="false">PV92-PW92</f>
        <v>101670.54782589</v>
      </c>
      <c r="PY92" s="20" t="n">
        <f aca="false">IF(AND(HU92=0,AR92=1,PX92&gt;0),MIN(PX92,AS92),0)</f>
        <v>0</v>
      </c>
      <c r="PZ92" s="20" t="n">
        <f aca="false">PX92-PY92</f>
        <v>101670.54782589</v>
      </c>
      <c r="QA92" s="20" t="n">
        <f aca="false">IF(AND(HU92=0,AH92=1,PZ92&gt;0),MIN(PZ92,AI92),0)</f>
        <v>0</v>
      </c>
      <c r="QB92" s="20" t="n">
        <f aca="false">PZ92-QA92</f>
        <v>101670.54782589</v>
      </c>
      <c r="QC92" s="20" t="n">
        <f aca="false">IF(AND(HU92=0,W92=1,QB92&gt;0),MIN(QB92,X92),0)</f>
        <v>0</v>
      </c>
      <c r="QD92" s="20" t="n">
        <f aca="false">QB92-QC92</f>
        <v>101670.54782589</v>
      </c>
      <c r="QE92" s="20" t="n">
        <f aca="false">IF(HU92=0,QD92,0)</f>
        <v>101670.54782589</v>
      </c>
      <c r="QF92" s="20" t="n">
        <f aca="false">OM92+OO92+QC92+QA92+PY92+PW92+PU92+PS92+PQ92+PO92+PM92+PK92+PI92+PG92+PE92+PC92+PA92+OY92+OW92+OU92+OS92+OQ92</f>
        <v>0</v>
      </c>
      <c r="QG92" s="20" t="n">
        <f aca="false">IF(HU92=1,HK92+OJ92+OI92+IF(G92=1,0,OK92),HK92-OM92)</f>
        <v>0</v>
      </c>
      <c r="QH92" s="20" t="n">
        <f aca="false">HL92-OO92</f>
        <v>0</v>
      </c>
      <c r="QI92" s="20" t="n">
        <f aca="false">IF(HU92=1,IF(G92=1,ID92+IE92,HS92),0)</f>
        <v>0</v>
      </c>
      <c r="QJ92" s="20" t="n">
        <f aca="false">IF(HU92=1,IF(G92=1,HS92-ID92-IE92,0),0)</f>
        <v>0</v>
      </c>
      <c r="QK92" s="20" t="n">
        <f aca="false">QG92*(1+GR)</f>
        <v>0</v>
      </c>
      <c r="QL92" s="20" t="n">
        <f aca="false">QH92*(1+AS_Cash)</f>
        <v>0</v>
      </c>
      <c r="QM92" s="20" t="n">
        <f aca="false">IF(W92=1,IF(HU92=1,II92+IL92,X92-QC92)*(1+Slot1_Rate),0)</f>
        <v>0</v>
      </c>
      <c r="QN92" s="20" t="n">
        <f aca="false">IF(AND(HU92=1,W92=1),(IH92+IL92)/F92,0)</f>
        <v>0</v>
      </c>
      <c r="QO92" s="20" t="n">
        <f aca="false">IF(B92=0,IH92+IL92,0)</f>
        <v>0</v>
      </c>
      <c r="QP92" s="20" t="n">
        <f aca="false">IF(B92=0,IF(HU92=1,IJ92,IK92),0)</f>
        <v>0</v>
      </c>
      <c r="QQ92" s="20" t="n">
        <f aca="false">IF(AH92=1,IF(HU92=1,IQ92+IT92,AI92-QA92)*(1+Slot2_Rate),0)</f>
        <v>0</v>
      </c>
      <c r="QR92" s="20" t="n">
        <f aca="false">IF(AND(HU92=1,AH92=1),(IP92+IT92)/F92,0)</f>
        <v>0</v>
      </c>
      <c r="QS92" s="20" t="n">
        <f aca="false">IF(B92=0,IP92+IT92,0)</f>
        <v>0</v>
      </c>
      <c r="QT92" s="20" t="n">
        <f aca="false">IF(B92=0,IF(HU92=1,IR92,IS92),0)</f>
        <v>0</v>
      </c>
      <c r="QU92" s="20" t="n">
        <f aca="false">IF(AR92=1,IF(HU92=1,IY92+JB92,AS92-PY92)*(1+Slot3_Rate),0)</f>
        <v>0</v>
      </c>
      <c r="QV92" s="20" t="n">
        <f aca="false">IF(AND(HU92=1,AR92=1),(IX92+JB92)/F92,0)</f>
        <v>0</v>
      </c>
      <c r="QW92" s="20" t="n">
        <f aca="false">IF(B92=0,IX92+JB92,0)</f>
        <v>0</v>
      </c>
      <c r="QX92" s="20" t="n">
        <f aca="false">IF(B92=0,IF(HU92=1,IZ92,JA92),0)</f>
        <v>0</v>
      </c>
      <c r="QY92" s="20" t="n">
        <f aca="false">IF(BB92=1,IF(HU92=1,JG92+JJ92,BC92-PW92)*(1+Slot4_Rate),0)</f>
        <v>0</v>
      </c>
      <c r="QZ92" s="20" t="n">
        <f aca="false">IF(AND(HU92=1,BB92=1),(JF92+JJ92)/F92,0)</f>
        <v>0</v>
      </c>
      <c r="RA92" s="20" t="n">
        <f aca="false">IF(B92=0,JF92+JJ92,0)</f>
        <v>0</v>
      </c>
      <c r="RB92" s="20" t="n">
        <f aca="false">IF(B92=0,IF(HU92=1,JH92,JI92),0)</f>
        <v>0</v>
      </c>
      <c r="RC92" s="20" t="n">
        <f aca="false">IF(BL92=1,IF(HU92=1,JO92+JR92,BM92-PU92)*(1+Slot5_Rate),0)</f>
        <v>0</v>
      </c>
      <c r="RD92" s="20" t="n">
        <f aca="false">IF(AND(HU92=1,BL92=1),(JN92+JR92)/F92,0)</f>
        <v>0</v>
      </c>
      <c r="RE92" s="20" t="n">
        <f aca="false">IF(B92=0,JN92+JR92,0)</f>
        <v>0</v>
      </c>
      <c r="RF92" s="20" t="n">
        <f aca="false">IF(B92=0,IF(HU92=1,JP92,JQ92),0)</f>
        <v>0</v>
      </c>
      <c r="RG92" s="20" t="n">
        <f aca="false">IF(BV92=1,IF(HU92=1,JW92+JZ92,BW92-PS92)*(1+Slot6_Rate),0)</f>
        <v>0</v>
      </c>
      <c r="RH92" s="20" t="n">
        <f aca="false">IF(AND(HU92=1,BV92=1),(JV92+JZ92)/F92,0)</f>
        <v>0</v>
      </c>
      <c r="RI92" s="20" t="n">
        <f aca="false">IF(B92=0,JV92+JZ92,0)</f>
        <v>0</v>
      </c>
      <c r="RJ92" s="20" t="n">
        <f aca="false">IF(B92=0,IF(HU92=1,JX92,JY92),0)</f>
        <v>0</v>
      </c>
      <c r="RK92" s="20" t="n">
        <f aca="false">IF(CF92=1,IF(HU92=1,KE92+KH92,CG92-PQ92)*(1+Slot7_Rate),0)</f>
        <v>0</v>
      </c>
      <c r="RL92" s="20" t="n">
        <f aca="false">IF(AND(HU92=1,CF92=1),(KD92+KH92)/F92,0)</f>
        <v>0</v>
      </c>
      <c r="RM92" s="20" t="n">
        <f aca="false">IF(B92=0,KD92+KH92,0)</f>
        <v>0</v>
      </c>
      <c r="RN92" s="20" t="n">
        <f aca="false">IF(B92=0,IF(HU92=1,KF92,KG92),0)</f>
        <v>0</v>
      </c>
      <c r="RO92" s="20" t="n">
        <f aca="false">IF(CP92=1,IF(HU92=1,KM92+KP92,CQ92-PO92)*(1+Slot8_Rate),0)</f>
        <v>0</v>
      </c>
      <c r="RP92" s="20" t="n">
        <f aca="false">IF(AND(HU92=1,CP92=1),(KL92+KP92)/F92,0)</f>
        <v>0</v>
      </c>
      <c r="RQ92" s="20" t="n">
        <f aca="false">IF(B92=0,KL92+KP92,0)</f>
        <v>0</v>
      </c>
      <c r="RR92" s="20" t="n">
        <f aca="false">IF(B92=0,IF(HU92=1,KN92,KO92),0)</f>
        <v>0</v>
      </c>
      <c r="RS92" s="20" t="n">
        <f aca="false">IF(CZ92=1,IF(HU92=1,KU92+KX92,DA92-PM92)*(1+Slot9_Rate),0)</f>
        <v>0</v>
      </c>
      <c r="RT92" s="20" t="n">
        <f aca="false">IF(AND(HU92=1,CZ92=1),(KT92+KX92)/F92,0)</f>
        <v>0</v>
      </c>
      <c r="RU92" s="20" t="n">
        <f aca="false">IF(B92=0,KT92+KX92,0)</f>
        <v>0</v>
      </c>
      <c r="RV92" s="20" t="n">
        <f aca="false">IF(B92=0,IF(HU92=1,KV92,KW92),0)</f>
        <v>0</v>
      </c>
      <c r="RW92" s="20" t="n">
        <f aca="false">IF(DJ92=1,IF(HU92=1,LC92+LF92,DK92-PK92)*(1+Slot10_Rate),0)</f>
        <v>0</v>
      </c>
      <c r="RX92" s="20" t="n">
        <f aca="false">IF(AND(HU92=1,DJ92=1),(LB92+LF92)/F92,0)</f>
        <v>0</v>
      </c>
      <c r="RY92" s="20" t="n">
        <f aca="false">IF(B92=0,LB92+LF92,0)</f>
        <v>0</v>
      </c>
      <c r="RZ92" s="20" t="n">
        <f aca="false">IF(B92=0,IF(HU92=1,LD92,LE92),0)</f>
        <v>0</v>
      </c>
      <c r="SA92" s="20" t="n">
        <f aca="false">IF(DT92=1,IF(HU92=1,LK92+LN92,DU92-PI92)*(1+Slot11_Rate),0)</f>
        <v>0</v>
      </c>
      <c r="SB92" s="20" t="n">
        <f aca="false">IF(AND(HU92=1,DT92=1),(LJ92+LN92)/F92,0)</f>
        <v>0</v>
      </c>
      <c r="SC92" s="20" t="n">
        <f aca="false">IF(B92=0,LJ92+LN92,0)</f>
        <v>0</v>
      </c>
      <c r="SD92" s="20" t="n">
        <f aca="false">IF(B92=0,IF(HU92=1,LL92,LM92),0)</f>
        <v>0</v>
      </c>
      <c r="SE92" s="20" t="n">
        <f aca="false">IF(ED92=1,IF(HU92=1,LS92+LV92,EE92-PG92)*(1+Slot12_Rate),0)</f>
        <v>0</v>
      </c>
      <c r="SF92" s="20" t="n">
        <f aca="false">IF(AND(HU92=1,ED92=1),(LR92+LV92)/F92,0)</f>
        <v>0</v>
      </c>
      <c r="SG92" s="20" t="n">
        <f aca="false">IF(B92=0,LR92+LV92,0)</f>
        <v>0</v>
      </c>
      <c r="SH92" s="20" t="n">
        <f aca="false">IF(B92=0,IF(HU92=1,LT92,LU92),0)</f>
        <v>0</v>
      </c>
      <c r="SI92" s="20" t="n">
        <f aca="false">IF(EN92=1,IF(HU92=1,MA92+MD92,EO92-PE92)*(1+Slot13_Rate),0)</f>
        <v>0</v>
      </c>
      <c r="SJ92" s="20" t="n">
        <f aca="false">IF(AND(HU92=1,EN92=1),(LZ92+MD92)/F92,0)</f>
        <v>0</v>
      </c>
      <c r="SK92" s="20" t="n">
        <f aca="false">IF(B92=0,LZ92+MD92,0)</f>
        <v>0</v>
      </c>
      <c r="SL92" s="20" t="n">
        <f aca="false">IF(B92=0,IF(HU92=1,MB92,MC92),0)</f>
        <v>0</v>
      </c>
      <c r="SM92" s="20" t="n">
        <f aca="false">IF(EX92=1,IF(HU92=1,MI92+ML92,EY92-PC92)*(1+Slot14_Rate),0)</f>
        <v>0</v>
      </c>
      <c r="SN92" s="20" t="n">
        <f aca="false">IF(AND(HU92=1,EX92=1),(MH92+ML92)/F92,0)</f>
        <v>0</v>
      </c>
      <c r="SO92" s="20" t="n">
        <f aca="false">IF(B92=0,MH92+ML92,0)</f>
        <v>0</v>
      </c>
      <c r="SP92" s="20" t="n">
        <f aca="false">IF(B92=0,IF(HU92=1,MJ92,MK92),0)</f>
        <v>0</v>
      </c>
      <c r="SQ92" s="20" t="n">
        <f aca="false">IF(FH92=1,IF(HU92=1,MQ92+MT92,FI92-PA92)*(1+Slot15_Rate),0)</f>
        <v>0</v>
      </c>
      <c r="SR92" s="20" t="n">
        <f aca="false">IF(AND(HU92=1,FH92=1),(MP92+MT92)/F92,0)</f>
        <v>0</v>
      </c>
      <c r="SS92" s="20" t="n">
        <f aca="false">IF(B92=0,MP92+MT92,0)</f>
        <v>0</v>
      </c>
      <c r="ST92" s="20" t="n">
        <f aca="false">IF(B92=0,IF(HU92=1,MR92,MS92),0)</f>
        <v>0</v>
      </c>
      <c r="SU92" s="20" t="n">
        <f aca="false">IF(FR92=1,IF(HU92=1,MY92+NB92,FS92-OY92)*(1+Slot16_Rate),0)</f>
        <v>0</v>
      </c>
      <c r="SV92" s="20" t="n">
        <f aca="false">IF(AND(HU92=1,FR92=1),(MX92+NB92)/F92,0)</f>
        <v>0</v>
      </c>
      <c r="SW92" s="20" t="n">
        <f aca="false">IF(B92=0,MX92+NB92,0)</f>
        <v>0</v>
      </c>
      <c r="SX92" s="20" t="n">
        <f aca="false">IF(B92=0,IF(HU92=1,MZ92,NA92),0)</f>
        <v>0</v>
      </c>
      <c r="SY92" s="20" t="n">
        <f aca="false">IF(GB92=1,IF(HU92=1,NG92+NJ92,GC92-OW92)*(1+Slot17_Rate),0)</f>
        <v>0</v>
      </c>
      <c r="SZ92" s="20" t="n">
        <f aca="false">IF(AND(HU92=1,GB92=1),(NF92+NJ92)/F92,0)</f>
        <v>0</v>
      </c>
      <c r="TA92" s="20" t="n">
        <f aca="false">IF(B92=0,NF92+NJ92,0)</f>
        <v>0</v>
      </c>
      <c r="TB92" s="20" t="n">
        <f aca="false">IF(B92=0,IF(HU92=1,NH92,NI92),0)</f>
        <v>0</v>
      </c>
      <c r="TC92" s="20" t="n">
        <f aca="false">IF(GL92=1,IF(HU92=1,NO92+NR92,GM92-OU92)*(1+Slot18_Rate),0)</f>
        <v>0</v>
      </c>
      <c r="TD92" s="20" t="n">
        <f aca="false">IF(AND(HU92=1,GL92=1),(NN92+NR92)/F92,0)</f>
        <v>0</v>
      </c>
      <c r="TE92" s="20" t="n">
        <f aca="false">IF(B92=0,NN92+NR92,0)</f>
        <v>0</v>
      </c>
      <c r="TF92" s="20" t="n">
        <f aca="false">IF(B92=0,IF(HU92=1,NP92,NQ92),0)</f>
        <v>0</v>
      </c>
      <c r="TG92" s="20" t="n">
        <f aca="false">IF(GV92=1,IF(HU92=1,NW92+NZ92,GW92-OS92)*(1+Slot19_Rate),0)</f>
        <v>0</v>
      </c>
      <c r="TH92" s="20" t="n">
        <f aca="false">IF(AND(HU92=1,GV92=1),(NV92+NZ92)/F92,0)</f>
        <v>0</v>
      </c>
      <c r="TI92" s="20" t="n">
        <f aca="false">IF(B92=0,NV92+NZ92,0)</f>
        <v>0</v>
      </c>
      <c r="TJ92" s="20" t="n">
        <f aca="false">IF(B92=0,IF(HU92=1,NX92,NY92),0)</f>
        <v>0</v>
      </c>
      <c r="TK92" s="20" t="n">
        <f aca="false">IF(HF92=1,IF(HU92=1,OE92+OH92,HG92-OQ92)*(1+Slot20_Rate),0)</f>
        <v>0</v>
      </c>
      <c r="TL92" s="20" t="n">
        <f aca="false">IF(AND(HU92=1,HF92=1),(OD92+OH92)/F92,0)</f>
        <v>0</v>
      </c>
      <c r="TM92" s="20" t="n">
        <f aca="false">IF(B92=0,OD92+OH92,0)</f>
        <v>0</v>
      </c>
      <c r="TN92" s="20" t="n">
        <f aca="false">IF(B92=0,IF(HU92=1,OF92,OG92),0)</f>
        <v>0</v>
      </c>
      <c r="TO92" s="20" t="n">
        <f aca="false">QK92+QL92+QM92+QQ92+QU92+QY92+RC92+RG92+RK92+RO92+RS92+RW92+SA92+SE92+SI92+SM92+SQ92+SU92+SY92+TC92+TG92+TK92</f>
        <v>0</v>
      </c>
      <c r="TP92" s="20" t="n">
        <f aca="false">QE92+HP92</f>
        <v>101670.54782589</v>
      </c>
      <c r="TQ92" s="20" t="n">
        <f aca="false">I92+S92</f>
        <v>252256.4761334</v>
      </c>
      <c r="TR92" s="20" t="n">
        <f aca="false">1-G92</f>
        <v>1</v>
      </c>
      <c r="TS92" s="20" t="n">
        <f aca="false">IF(AND(RG_Exists=1,G92=0,C92=1),I92,0)</f>
        <v>0</v>
      </c>
      <c r="TT92" s="20" t="n">
        <f aca="false">IF(AND(RG_Exists=1,G92=0,C92=1),I92-MIN(QE92,I92),0)</f>
        <v>0</v>
      </c>
      <c r="TU92" s="20" t="n">
        <f aca="false">'Plan pay &amp; tax'!AD318</f>
        <v>0</v>
      </c>
      <c r="TV92" s="20" t="n">
        <f aca="false">IF(AND(C92=1,QE92&gt;MAX(PR_Short1,TQ92*PR_Short2)),1,0)</f>
        <v>0</v>
      </c>
      <c r="TW92" s="20" t="n">
        <f aca="false">MIN(H92,I92+S92)</f>
        <v>150585.92830751</v>
      </c>
      <c r="TX92" s="20" t="n">
        <f aca="false">QF92+MAX(0,HQ92-HP92)</f>
        <v>0</v>
      </c>
      <c r="TY92" s="20" t="n">
        <f aca="false">QE92+HP92</f>
        <v>101670.54782589</v>
      </c>
      <c r="TZ92" s="20" t="n">
        <f aca="false">IF(AND(C92=1,TY92&gt;PR_MinShort),1,0)</f>
        <v>0</v>
      </c>
      <c r="UA92" s="20" t="n">
        <f aca="false">IF(AND(C92=1,TZ92=0,TX92&gt;PR_MinShort),1,0)</f>
        <v>0</v>
      </c>
      <c r="UB92" s="20" t="n">
        <f aca="false">IF(AND(C92=1,QE92&gt;PR_MinShort),1,0)</f>
        <v>0</v>
      </c>
      <c r="UC92" s="20" t="n">
        <f aca="false">IF(AND(C92=1,QF92&gt;1,UJ92=0),1,0)</f>
        <v>0</v>
      </c>
      <c r="UD92" s="20" t="str">
        <f aca="false">IF(C92=0,"",IF(UJ92=1,"Gap to plan for: short "&amp;"€"&amp;TEXT(ROUND(TP92,0),"#,##0"),IF(QF92&gt;1,"Using savings","Comfortable")))</f>
        <v/>
      </c>
      <c r="UE92" s="20" t="n">
        <f aca="false">IF(AND(INT(D92/10)*10=90,B92&gt;0),80,INT(D92/10)*10)</f>
        <v>120</v>
      </c>
      <c r="UF92" s="20" t="n">
        <f aca="false">IF(B92=0,1,IF(UE92&lt;&gt;UE91,UF91+1,UF91))</f>
        <v>9</v>
      </c>
      <c r="UG92" s="20" t="n">
        <f aca="false">IF(AND(C92=1,G92=1,QE92&gt;MAX(PR_Short1,TQ92*PR_Short2)),1,0)</f>
        <v>0</v>
      </c>
      <c r="UH92" s="20" t="n">
        <f aca="false">TR92*TV92</f>
        <v>0</v>
      </c>
      <c r="UI92" s="20" t="n">
        <f aca="false">IF(AND(V92=1,Slot1_PctLow=1),1,0)+IF(AND(AG92=1,Slot2_PctLow=1),1,0)+IF(AND(AQ92=1,Slot3_PctLow=1),1,0)+IF(AND(BA92=1,Slot4_PctLow=1),1,0)+IF(AND(BK92=1,Slot5_PctLow=1),1,0)+IF(AND(BU92=1,Slot6_PctLow=1),1,0)+IF(AND(CE92=1,Slot7_PctLow=1),1,0)+IF(AND(CO92=1,Slot8_PctLow=1),1,0)+IF(AND(CY92=1,Slot9_PctLow=1),1,0)+IF(AND(DI92=1,Slot10_PctLow=1),1,0)+IF(AND(DS92=1,Slot11_PctLow=1),1,0)+IF(AND(EC92=1,Slot12_PctLow=1),1,0)+IF(AND(EM92=1,Slot13_PctLow=1),1,0)+IF(AND(EW92=1,Slot14_PctLow=1),1,0)+IF(AND(FG92=1,Slot15_PctLow=1),1,0)+IF(AND(FQ92=1,Slot16_PctLow=1),1,0)+IF(AND(GA92=1,Slot17_PctLow=1),1,0)+IF(AND(GK92=1,Slot18_PctLow=1),1,0)+IF(AND(GU92=1,Slot19_PctLow=1),1,0)+IF(AND(HE92=1,Slot20_PctLow=1),1,0)</f>
        <v>0</v>
      </c>
      <c r="UJ92" s="20" t="n">
        <f aca="false">IF(C92=1,IF(OR(TV92=1,UI92&gt;0),1,0),0)</f>
        <v>0</v>
      </c>
    </row>
    <row r="93" customFormat="false" ht="15" hidden="false" customHeight="true" outlineLevel="0" collapsed="false">
      <c r="B93" s="20" t="n">
        <v>85</v>
      </c>
      <c r="C93" s="20" t="n">
        <f aca="false">IF(B93&lt;=F_N,1,0)</f>
        <v>0</v>
      </c>
      <c r="D93" s="20" t="n">
        <f aca="false">'Plan pay &amp; tax'!C319</f>
        <v>123</v>
      </c>
      <c r="E93" s="20" t="str">
        <f aca="false">IF($C93=1,"Income tax "&amp;TEXT(N('Plan pay &amp; tax'!BK319),"#,##0")&amp;"; USC "&amp;TEXT(N('Plan pay &amp; tax'!BM319)+N('Plan pay &amp; tax'!BO319),"#,##0")&amp;"; PRSI "&amp;TEXT(N('Plan pay &amp; tax'!BP319)+N('Plan pay &amp; tax'!BQ319),"#,##0")&amp;". DIRT and exit tax are inside the growth rates here.","")</f>
        <v/>
      </c>
      <c r="F93" s="44" t="n">
        <f aca="false">'Plan pay &amp; tax'!E319</f>
        <v>5.38287877941564</v>
      </c>
      <c r="G93" s="20" t="n">
        <f aca="false">'Plan pay &amp; tax'!G319</f>
        <v>0</v>
      </c>
      <c r="H93" s="20" t="n">
        <f aca="false">'Plan pay &amp; tax'!BT319-'Plan pay &amp; tax'!BS319-'Plan pay &amp; tax'!R319</f>
        <v>153597.64687366</v>
      </c>
      <c r="I93" s="20" t="n">
        <f aca="false">IF(G93=1,F_CostsM*12,IF(RG_Exists=1,RG_Amount,F_CostsM*12*AS_RetireSpend))*F93+F_OneOffY*F93</f>
        <v>257301.605656068</v>
      </c>
      <c r="J93" s="20" t="n">
        <f aca="false">HR92</f>
        <v>0</v>
      </c>
      <c r="K93" s="20" t="n">
        <f aca="false">IF(J93&gt;1,'Plan debt months'!AC93,0)</f>
        <v>0</v>
      </c>
      <c r="L93" s="20" t="n">
        <f aca="false">IF(J93&gt;1,'Plan debt months'!AB93,J93)</f>
        <v>0</v>
      </c>
      <c r="M93" s="20" t="n">
        <f aca="false">O92</f>
        <v>0</v>
      </c>
      <c r="N93" s="20" t="n">
        <f aca="false">IF(M93&gt;1,'Plan debt months'!BD93,0)</f>
        <v>0</v>
      </c>
      <c r="O93" s="20" t="n">
        <f aca="false">IF(M93&gt;1,'Plan debt months'!BC93,M93)</f>
        <v>0</v>
      </c>
      <c r="P93" s="20" t="n">
        <f aca="false">R92</f>
        <v>0</v>
      </c>
      <c r="Q93" s="20" t="n">
        <f aca="false">IF(P93&gt;1,'Plan debt months'!CE93,0)</f>
        <v>0</v>
      </c>
      <c r="R93" s="20" t="n">
        <f aca="false">IF(P93&gt;1,'Plan debt months'!CD93,P93)</f>
        <v>0</v>
      </c>
      <c r="S93" s="20" t="n">
        <f aca="false">K93+N93+Q93</f>
        <v>0</v>
      </c>
      <c r="T93" s="20" t="n">
        <f aca="false">QK92+'Plan pay &amp; tax'!Y319</f>
        <v>0</v>
      </c>
      <c r="U93" s="20" t="n">
        <f aca="false">QK92</f>
        <v>0</v>
      </c>
      <c r="V93" s="20" t="n">
        <f aca="false">IF(AND(Slot1_On=1,D93=Slot1_Age),1,0)</f>
        <v>0</v>
      </c>
      <c r="W93" s="20" t="n">
        <f aca="false">IF(AND(Slot1_On=1,Slot1_Age&gt;D93),1,0)</f>
        <v>0</v>
      </c>
      <c r="X93" s="20" t="n">
        <f aca="false">QM92</f>
        <v>0</v>
      </c>
      <c r="Y93" s="20" t="n">
        <f aca="false">V93*MIN(Slot1_Cost,X93)</f>
        <v>0</v>
      </c>
      <c r="Z93" s="20" t="n">
        <f aca="false">V93*Slot1_SpendLike*MIN(Slot1_Cost-Y93,T93)</f>
        <v>0</v>
      </c>
      <c r="AA93" s="20" t="n">
        <f aca="false">Y93+Z93</f>
        <v>0</v>
      </c>
      <c r="AB93" s="20" t="n">
        <f aca="false">T93-Z93+V93*IF(Slot1_SpendLike=1,X93-Y93,IF(Slot1_PotFree=1,X93,0))</f>
        <v>0</v>
      </c>
      <c r="AC93" s="20" t="n">
        <f aca="false">AF93+V93*Slot1_BufPot*X93</f>
        <v>0</v>
      </c>
      <c r="AD93" s="20" t="n">
        <f aca="false">IF(AND(V93=1,Slot1_IsMfree=1),IF(AA93&gt;=Slot1_Cost-1,0,MAX(0,L93-AA93)),L93)</f>
        <v>0</v>
      </c>
      <c r="AE93" s="20" t="n">
        <f aca="false">V93*(Slot1_Cost-AA93)</f>
        <v>0</v>
      </c>
      <c r="AF93" s="20" t="n">
        <f aca="false">QL92</f>
        <v>0</v>
      </c>
      <c r="AG93" s="20" t="n">
        <f aca="false">IF(AND(Slot2_On=1,D93=Slot2_Age),1,0)</f>
        <v>0</v>
      </c>
      <c r="AH93" s="20" t="n">
        <f aca="false">IF(AND(Slot2_On=1,Slot2_Age&gt;D93),1,0)</f>
        <v>0</v>
      </c>
      <c r="AI93" s="20" t="n">
        <f aca="false">QQ92</f>
        <v>0</v>
      </c>
      <c r="AJ93" s="20" t="n">
        <f aca="false">AG93*MIN(Slot2_Cost,AI93)</f>
        <v>0</v>
      </c>
      <c r="AK93" s="20" t="n">
        <f aca="false">AG93*Slot2_SpendLike*MIN(Slot2_Cost-AJ93,AB93)</f>
        <v>0</v>
      </c>
      <c r="AL93" s="20" t="n">
        <f aca="false">AJ93+AK93</f>
        <v>0</v>
      </c>
      <c r="AM93" s="20" t="n">
        <f aca="false">AB93-AK93+AG93*IF(Slot2_SpendLike=1,AI93-AJ93,IF(Slot2_PotFree=1,AI93,0))</f>
        <v>0</v>
      </c>
      <c r="AN93" s="20" t="n">
        <f aca="false">AC93+AG93*Slot2_BufPot*AI93</f>
        <v>0</v>
      </c>
      <c r="AO93" s="20" t="n">
        <f aca="false">IF(AND(AG93=1,Slot2_IsMfree=1),IF(AL93&gt;=Slot2_Cost-1,0,MAX(0,AD93-AL93)),AD93)</f>
        <v>0</v>
      </c>
      <c r="AP93" s="20" t="n">
        <f aca="false">AG93*(Slot2_Cost-AL93)</f>
        <v>0</v>
      </c>
      <c r="AQ93" s="20" t="n">
        <f aca="false">IF(AND(Slot3_On=1,D93=Slot3_Age),1,0)</f>
        <v>0</v>
      </c>
      <c r="AR93" s="20" t="n">
        <f aca="false">IF(AND(Slot3_On=1,Slot3_Age&gt;D93),1,0)</f>
        <v>0</v>
      </c>
      <c r="AS93" s="20" t="n">
        <f aca="false">QU92</f>
        <v>0</v>
      </c>
      <c r="AT93" s="20" t="n">
        <f aca="false">AQ93*MIN(Slot3_Cost,AS93)</f>
        <v>0</v>
      </c>
      <c r="AU93" s="20" t="n">
        <f aca="false">AQ93*Slot3_SpendLike*MIN(Slot3_Cost-AT93,AM93)</f>
        <v>0</v>
      </c>
      <c r="AV93" s="20" t="n">
        <f aca="false">AT93+AU93</f>
        <v>0</v>
      </c>
      <c r="AW93" s="20" t="n">
        <f aca="false">AM93-AU93+AQ93*IF(Slot3_SpendLike=1,AS93-AT93,IF(Slot3_PotFree=1,AS93,0))</f>
        <v>0</v>
      </c>
      <c r="AX93" s="20" t="n">
        <f aca="false">AN93+AQ93*Slot3_BufPot*AS93</f>
        <v>0</v>
      </c>
      <c r="AY93" s="20" t="n">
        <f aca="false">IF(AND(AQ93=1,Slot3_IsMfree=1),IF(AV93&gt;=Slot3_Cost-1,0,MAX(0,AO93-AV93)),AO93)</f>
        <v>0</v>
      </c>
      <c r="AZ93" s="20" t="n">
        <f aca="false">AQ93*(Slot3_Cost-AV93)</f>
        <v>0</v>
      </c>
      <c r="BA93" s="20" t="n">
        <f aca="false">IF(AND(Slot4_On=1,D93=Slot4_Age),1,0)</f>
        <v>0</v>
      </c>
      <c r="BB93" s="20" t="n">
        <f aca="false">IF(AND(Slot4_On=1,Slot4_Age&gt;D93),1,0)</f>
        <v>0</v>
      </c>
      <c r="BC93" s="20" t="n">
        <f aca="false">QY92</f>
        <v>0</v>
      </c>
      <c r="BD93" s="20" t="n">
        <f aca="false">BA93*MIN(Slot4_Cost,BC93)</f>
        <v>0</v>
      </c>
      <c r="BE93" s="20" t="n">
        <f aca="false">BA93*Slot4_SpendLike*MIN(Slot4_Cost-BD93,AW93)</f>
        <v>0</v>
      </c>
      <c r="BF93" s="20" t="n">
        <f aca="false">BD93+BE93</f>
        <v>0</v>
      </c>
      <c r="BG93" s="20" t="n">
        <f aca="false">AW93-BE93+BA93*IF(Slot4_SpendLike=1,BC93-BD93,IF(Slot4_PotFree=1,BC93,0))</f>
        <v>0</v>
      </c>
      <c r="BH93" s="20" t="n">
        <f aca="false">AX93+BA93*Slot4_BufPot*BC93</f>
        <v>0</v>
      </c>
      <c r="BI93" s="20" t="n">
        <f aca="false">IF(AND(BA93=1,Slot4_IsMfree=1),IF(BF93&gt;=Slot4_Cost-1,0,MAX(0,AY93-BF93)),AY93)</f>
        <v>0</v>
      </c>
      <c r="BJ93" s="20" t="n">
        <f aca="false">BA93*(Slot4_Cost-BF93)</f>
        <v>0</v>
      </c>
      <c r="BK93" s="20" t="n">
        <f aca="false">IF(AND(Slot5_On=1,D93=Slot5_Age),1,0)</f>
        <v>0</v>
      </c>
      <c r="BL93" s="20" t="n">
        <f aca="false">IF(AND(Slot5_On=1,Slot5_Age&gt;D93),1,0)</f>
        <v>0</v>
      </c>
      <c r="BM93" s="20" t="n">
        <f aca="false">RC92</f>
        <v>0</v>
      </c>
      <c r="BN93" s="20" t="n">
        <f aca="false">BK93*MIN(Slot5_Cost,BM93)</f>
        <v>0</v>
      </c>
      <c r="BO93" s="20" t="n">
        <f aca="false">BK93*Slot5_SpendLike*MIN(Slot5_Cost-BN93,BG93)</f>
        <v>0</v>
      </c>
      <c r="BP93" s="20" t="n">
        <f aca="false">BN93+BO93</f>
        <v>0</v>
      </c>
      <c r="BQ93" s="20" t="n">
        <f aca="false">BG93-BO93+BK93*IF(Slot5_SpendLike=1,BM93-BN93,IF(Slot5_PotFree=1,BM93,0))</f>
        <v>0</v>
      </c>
      <c r="BR93" s="20" t="n">
        <f aca="false">BH93+BK93*Slot5_BufPot*BM93</f>
        <v>0</v>
      </c>
      <c r="BS93" s="20" t="n">
        <f aca="false">IF(AND(BK93=1,Slot5_IsMfree=1),IF(BP93&gt;=Slot5_Cost-1,0,MAX(0,BI93-BP93)),BI93)</f>
        <v>0</v>
      </c>
      <c r="BT93" s="20" t="n">
        <f aca="false">BK93*(Slot5_Cost-BP93)</f>
        <v>0</v>
      </c>
      <c r="BU93" s="20" t="n">
        <f aca="false">IF(AND(Slot6_On=1,D93=Slot6_Age),1,0)</f>
        <v>0</v>
      </c>
      <c r="BV93" s="20" t="n">
        <f aca="false">IF(AND(Slot6_On=1,Slot6_Age&gt;D93),1,0)</f>
        <v>0</v>
      </c>
      <c r="BW93" s="20" t="n">
        <f aca="false">RG92</f>
        <v>0</v>
      </c>
      <c r="BX93" s="20" t="n">
        <f aca="false">BU93*MIN(Slot6_Cost,BW93)</f>
        <v>0</v>
      </c>
      <c r="BY93" s="20" t="n">
        <f aca="false">BU93*Slot6_SpendLike*MIN(Slot6_Cost-BX93,BQ93)</f>
        <v>0</v>
      </c>
      <c r="BZ93" s="20" t="n">
        <f aca="false">BX93+BY93</f>
        <v>0</v>
      </c>
      <c r="CA93" s="20" t="n">
        <f aca="false">BQ93-BY93+BU93*IF(Slot6_SpendLike=1,BW93-BX93,IF(Slot6_PotFree=1,BW93,0))</f>
        <v>0</v>
      </c>
      <c r="CB93" s="20" t="n">
        <f aca="false">BR93+BU93*Slot6_BufPot*BW93</f>
        <v>0</v>
      </c>
      <c r="CC93" s="20" t="n">
        <f aca="false">IF(AND(BU93=1,Slot6_IsMfree=1),IF(BZ93&gt;=Slot6_Cost-1,0,MAX(0,BS93-BZ93)),BS93)</f>
        <v>0</v>
      </c>
      <c r="CD93" s="20" t="n">
        <f aca="false">BU93*(Slot6_Cost-BZ93)</f>
        <v>0</v>
      </c>
      <c r="CE93" s="20" t="n">
        <f aca="false">IF(AND(Slot7_On=1,D93=Slot7_Age),1,0)</f>
        <v>0</v>
      </c>
      <c r="CF93" s="20" t="n">
        <f aca="false">IF(AND(Slot7_On=1,Slot7_Age&gt;D93),1,0)</f>
        <v>0</v>
      </c>
      <c r="CG93" s="20" t="n">
        <f aca="false">RK92</f>
        <v>0</v>
      </c>
      <c r="CH93" s="20" t="n">
        <f aca="false">CE93*MIN(Slot7_Cost,CG93)</f>
        <v>0</v>
      </c>
      <c r="CI93" s="20" t="n">
        <f aca="false">CE93*Slot7_SpendLike*MIN(Slot7_Cost-CH93,CA93)</f>
        <v>0</v>
      </c>
      <c r="CJ93" s="20" t="n">
        <f aca="false">CH93+CI93</f>
        <v>0</v>
      </c>
      <c r="CK93" s="20" t="n">
        <f aca="false">CA93-CI93+CE93*IF(Slot7_SpendLike=1,CG93-CH93,IF(Slot7_PotFree=1,CG93,0))</f>
        <v>0</v>
      </c>
      <c r="CL93" s="20" t="n">
        <f aca="false">CB93+CE93*Slot7_BufPot*CG93</f>
        <v>0</v>
      </c>
      <c r="CM93" s="20" t="n">
        <f aca="false">IF(AND(CE93=1,Slot7_IsMfree=1),IF(CJ93&gt;=Slot7_Cost-1,0,MAX(0,CC93-CJ93)),CC93)</f>
        <v>0</v>
      </c>
      <c r="CN93" s="20" t="n">
        <f aca="false">CE93*(Slot7_Cost-CJ93)</f>
        <v>0</v>
      </c>
      <c r="CO93" s="20" t="n">
        <f aca="false">IF(AND(Slot8_On=1,D93=Slot8_Age),1,0)</f>
        <v>0</v>
      </c>
      <c r="CP93" s="20" t="n">
        <f aca="false">IF(AND(Slot8_On=1,Slot8_Age&gt;D93),1,0)</f>
        <v>0</v>
      </c>
      <c r="CQ93" s="20" t="n">
        <f aca="false">RO92</f>
        <v>0</v>
      </c>
      <c r="CR93" s="20" t="n">
        <f aca="false">CO93*MIN(Slot8_Cost,CQ93)</f>
        <v>0</v>
      </c>
      <c r="CS93" s="20" t="n">
        <f aca="false">CO93*Slot8_SpendLike*MIN(Slot8_Cost-CR93,CK93)</f>
        <v>0</v>
      </c>
      <c r="CT93" s="20" t="n">
        <f aca="false">CR93+CS93</f>
        <v>0</v>
      </c>
      <c r="CU93" s="20" t="n">
        <f aca="false">CK93-CS93+CO93*IF(Slot8_SpendLike=1,CQ93-CR93,IF(Slot8_PotFree=1,CQ93,0))</f>
        <v>0</v>
      </c>
      <c r="CV93" s="20" t="n">
        <f aca="false">CL93+CO93*Slot8_BufPot*CQ93</f>
        <v>0</v>
      </c>
      <c r="CW93" s="20" t="n">
        <f aca="false">IF(AND(CO93=1,Slot8_IsMfree=1),IF(CT93&gt;=Slot8_Cost-1,0,MAX(0,CM93-CT93)),CM93)</f>
        <v>0</v>
      </c>
      <c r="CX93" s="20" t="n">
        <f aca="false">CO93*(Slot8_Cost-CT93)</f>
        <v>0</v>
      </c>
      <c r="CY93" s="20" t="n">
        <f aca="false">IF(AND(Slot9_On=1,D93=Slot9_Age),1,0)</f>
        <v>0</v>
      </c>
      <c r="CZ93" s="20" t="n">
        <f aca="false">IF(AND(Slot9_On=1,Slot9_Age&gt;D93),1,0)</f>
        <v>0</v>
      </c>
      <c r="DA93" s="20" t="n">
        <f aca="false">RS92</f>
        <v>0</v>
      </c>
      <c r="DB93" s="20" t="n">
        <f aca="false">CY93*MIN(Slot9_Cost,DA93)</f>
        <v>0</v>
      </c>
      <c r="DC93" s="20" t="n">
        <f aca="false">CY93*Slot9_SpendLike*MIN(Slot9_Cost-DB93,CU93)</f>
        <v>0</v>
      </c>
      <c r="DD93" s="20" t="n">
        <f aca="false">DB93+DC93</f>
        <v>0</v>
      </c>
      <c r="DE93" s="20" t="n">
        <f aca="false">CU93-DC93+CY93*IF(Slot9_SpendLike=1,DA93-DB93,IF(Slot9_PotFree=1,DA93,0))</f>
        <v>0</v>
      </c>
      <c r="DF93" s="20" t="n">
        <f aca="false">CV93+CY93*Slot9_BufPot*DA93</f>
        <v>0</v>
      </c>
      <c r="DG93" s="20" t="n">
        <f aca="false">IF(AND(CY93=1,Slot9_IsMfree=1),IF(DD93&gt;=Slot9_Cost-1,0,MAX(0,CW93-DD93)),CW93)</f>
        <v>0</v>
      </c>
      <c r="DH93" s="20" t="n">
        <f aca="false">CY93*(Slot9_Cost-DD93)</f>
        <v>0</v>
      </c>
      <c r="DI93" s="20" t="n">
        <f aca="false">IF(AND(Slot10_On=1,D93=Slot10_Age),1,0)</f>
        <v>0</v>
      </c>
      <c r="DJ93" s="20" t="n">
        <f aca="false">IF(AND(Slot10_On=1,Slot10_Age&gt;D93),1,0)</f>
        <v>0</v>
      </c>
      <c r="DK93" s="20" t="n">
        <f aca="false">RW92</f>
        <v>0</v>
      </c>
      <c r="DL93" s="20" t="n">
        <f aca="false">DI93*MIN(Slot10_Cost,DK93)</f>
        <v>0</v>
      </c>
      <c r="DM93" s="20" t="n">
        <f aca="false">DI93*Slot10_SpendLike*MIN(Slot10_Cost-DL93,DE93)</f>
        <v>0</v>
      </c>
      <c r="DN93" s="20" t="n">
        <f aca="false">DL93+DM93</f>
        <v>0</v>
      </c>
      <c r="DO93" s="20" t="n">
        <f aca="false">DE93-DM93+DI93*IF(Slot10_SpendLike=1,DK93-DL93,IF(Slot10_PotFree=1,DK93,0))</f>
        <v>0</v>
      </c>
      <c r="DP93" s="20" t="n">
        <f aca="false">DF93+DI93*Slot10_BufPot*DK93</f>
        <v>0</v>
      </c>
      <c r="DQ93" s="20" t="n">
        <f aca="false">IF(AND(DI93=1,Slot10_IsMfree=1),IF(DN93&gt;=Slot10_Cost-1,0,MAX(0,DG93-DN93)),DG93)</f>
        <v>0</v>
      </c>
      <c r="DR93" s="20" t="n">
        <f aca="false">DI93*(Slot10_Cost-DN93)</f>
        <v>0</v>
      </c>
      <c r="DS93" s="20" t="n">
        <f aca="false">IF(AND(Slot11_On=1,D93=Slot11_Age),1,0)</f>
        <v>0</v>
      </c>
      <c r="DT93" s="20" t="n">
        <f aca="false">IF(AND(Slot11_On=1,Slot11_Age&gt;D93),1,0)</f>
        <v>0</v>
      </c>
      <c r="DU93" s="20" t="n">
        <f aca="false">SA92</f>
        <v>0</v>
      </c>
      <c r="DV93" s="20" t="n">
        <f aca="false">DS93*MIN(Slot11_Cost,DU93)</f>
        <v>0</v>
      </c>
      <c r="DW93" s="20" t="n">
        <f aca="false">DS93*Slot11_SpendLike*MIN(Slot11_Cost-DV93,DO93)</f>
        <v>0</v>
      </c>
      <c r="DX93" s="20" t="n">
        <f aca="false">DV93+DW93</f>
        <v>0</v>
      </c>
      <c r="DY93" s="20" t="n">
        <f aca="false">DO93-DW93+DS93*IF(Slot11_SpendLike=1,DU93-DV93,IF(Slot11_PotFree=1,DU93,0))</f>
        <v>0</v>
      </c>
      <c r="DZ93" s="20" t="n">
        <f aca="false">DP93+DS93*Slot11_BufPot*DU93</f>
        <v>0</v>
      </c>
      <c r="EA93" s="20" t="n">
        <f aca="false">IF(AND(DS93=1,Slot11_IsMfree=1),IF(DX93&gt;=Slot11_Cost-1,0,MAX(0,DQ93-DX93)),DQ93)</f>
        <v>0</v>
      </c>
      <c r="EB93" s="20" t="n">
        <f aca="false">DS93*(Slot11_Cost-DX93)</f>
        <v>0</v>
      </c>
      <c r="EC93" s="20" t="n">
        <f aca="false">IF(AND(Slot12_On=1,D93=Slot12_Age),1,0)</f>
        <v>0</v>
      </c>
      <c r="ED93" s="20" t="n">
        <f aca="false">IF(AND(Slot12_On=1,Slot12_Age&gt;D93),1,0)</f>
        <v>0</v>
      </c>
      <c r="EE93" s="20" t="n">
        <f aca="false">SE92</f>
        <v>0</v>
      </c>
      <c r="EF93" s="20" t="n">
        <f aca="false">EC93*MIN(Slot12_Cost,EE93)</f>
        <v>0</v>
      </c>
      <c r="EG93" s="20" t="n">
        <f aca="false">EC93*Slot12_SpendLike*MIN(Slot12_Cost-EF93,DY93)</f>
        <v>0</v>
      </c>
      <c r="EH93" s="20" t="n">
        <f aca="false">EF93+EG93</f>
        <v>0</v>
      </c>
      <c r="EI93" s="20" t="n">
        <f aca="false">DY93-EG93+EC93*IF(Slot12_SpendLike=1,EE93-EF93,IF(Slot12_PotFree=1,EE93,0))</f>
        <v>0</v>
      </c>
      <c r="EJ93" s="20" t="n">
        <f aca="false">DZ93+EC93*Slot12_BufPot*EE93</f>
        <v>0</v>
      </c>
      <c r="EK93" s="20" t="n">
        <f aca="false">IF(AND(EC93=1,Slot12_IsMfree=1),IF(EH93&gt;=Slot12_Cost-1,0,MAX(0,EA93-EH93)),EA93)</f>
        <v>0</v>
      </c>
      <c r="EL93" s="20" t="n">
        <f aca="false">EC93*(Slot12_Cost-EH93)</f>
        <v>0</v>
      </c>
      <c r="EM93" s="20" t="n">
        <f aca="false">IF(AND(Slot13_On=1,D93=Slot13_Age),1,0)</f>
        <v>0</v>
      </c>
      <c r="EN93" s="20" t="n">
        <f aca="false">IF(AND(Slot13_On=1,Slot13_Age&gt;D93),1,0)</f>
        <v>0</v>
      </c>
      <c r="EO93" s="20" t="n">
        <f aca="false">SI92</f>
        <v>0</v>
      </c>
      <c r="EP93" s="20" t="n">
        <f aca="false">EM93*MIN(Slot13_Cost,EO93)</f>
        <v>0</v>
      </c>
      <c r="EQ93" s="20" t="n">
        <f aca="false">EM93*Slot13_SpendLike*MIN(Slot13_Cost-EP93,EI93)</f>
        <v>0</v>
      </c>
      <c r="ER93" s="20" t="n">
        <f aca="false">EP93+EQ93</f>
        <v>0</v>
      </c>
      <c r="ES93" s="20" t="n">
        <f aca="false">EI93-EQ93+EM93*IF(Slot13_SpendLike=1,EO93-EP93,IF(Slot13_PotFree=1,EO93,0))</f>
        <v>0</v>
      </c>
      <c r="ET93" s="20" t="n">
        <f aca="false">EJ93+EM93*Slot13_BufPot*EO93</f>
        <v>0</v>
      </c>
      <c r="EU93" s="20" t="n">
        <f aca="false">IF(AND(EM93=1,Slot13_IsMfree=1),IF(ER93&gt;=Slot13_Cost-1,0,MAX(0,EK93-ER93)),EK93)</f>
        <v>0</v>
      </c>
      <c r="EV93" s="20" t="n">
        <f aca="false">EM93*(Slot13_Cost-ER93)</f>
        <v>0</v>
      </c>
      <c r="EW93" s="20" t="n">
        <f aca="false">IF(AND(Slot14_On=1,D93=Slot14_Age),1,0)</f>
        <v>0</v>
      </c>
      <c r="EX93" s="20" t="n">
        <f aca="false">IF(AND(Slot14_On=1,Slot14_Age&gt;D93),1,0)</f>
        <v>0</v>
      </c>
      <c r="EY93" s="20" t="n">
        <f aca="false">SM92</f>
        <v>0</v>
      </c>
      <c r="EZ93" s="20" t="n">
        <f aca="false">EW93*MIN(Slot14_Cost,EY93)</f>
        <v>0</v>
      </c>
      <c r="FA93" s="20" t="n">
        <f aca="false">EW93*Slot14_SpendLike*MIN(Slot14_Cost-EZ93,ES93)</f>
        <v>0</v>
      </c>
      <c r="FB93" s="20" t="n">
        <f aca="false">EZ93+FA93</f>
        <v>0</v>
      </c>
      <c r="FC93" s="20" t="n">
        <f aca="false">ES93-FA93+EW93*IF(Slot14_SpendLike=1,EY93-EZ93,IF(Slot14_PotFree=1,EY93,0))</f>
        <v>0</v>
      </c>
      <c r="FD93" s="20" t="n">
        <f aca="false">ET93+EW93*Slot14_BufPot*EY93</f>
        <v>0</v>
      </c>
      <c r="FE93" s="20" t="n">
        <f aca="false">IF(AND(EW93=1,Slot14_IsMfree=1),IF(FB93&gt;=Slot14_Cost-1,0,MAX(0,EU93-FB93)),EU93)</f>
        <v>0</v>
      </c>
      <c r="FF93" s="20" t="n">
        <f aca="false">EW93*(Slot14_Cost-FB93)</f>
        <v>0</v>
      </c>
      <c r="FG93" s="20" t="n">
        <f aca="false">IF(AND(Slot15_On=1,D93=Slot15_Age),1,0)</f>
        <v>0</v>
      </c>
      <c r="FH93" s="20" t="n">
        <f aca="false">IF(AND(Slot15_On=1,Slot15_Age&gt;D93),1,0)</f>
        <v>0</v>
      </c>
      <c r="FI93" s="20" t="n">
        <f aca="false">SQ92</f>
        <v>0</v>
      </c>
      <c r="FJ93" s="20" t="n">
        <f aca="false">FG93*MIN(Slot15_Cost,FI93)</f>
        <v>0</v>
      </c>
      <c r="FK93" s="20" t="n">
        <f aca="false">FG93*Slot15_SpendLike*MIN(Slot15_Cost-FJ93,FC93)</f>
        <v>0</v>
      </c>
      <c r="FL93" s="20" t="n">
        <f aca="false">FJ93+FK93</f>
        <v>0</v>
      </c>
      <c r="FM93" s="20" t="n">
        <f aca="false">FC93-FK93+FG93*IF(Slot15_SpendLike=1,FI93-FJ93,IF(Slot15_PotFree=1,FI93,0))</f>
        <v>0</v>
      </c>
      <c r="FN93" s="20" t="n">
        <f aca="false">FD93+FG93*Slot15_BufPot*FI93</f>
        <v>0</v>
      </c>
      <c r="FO93" s="20" t="n">
        <f aca="false">IF(AND(FG93=1,Slot15_IsMfree=1),IF(FL93&gt;=Slot15_Cost-1,0,MAX(0,FE93-FL93)),FE93)</f>
        <v>0</v>
      </c>
      <c r="FP93" s="20" t="n">
        <f aca="false">FG93*(Slot15_Cost-FL93)</f>
        <v>0</v>
      </c>
      <c r="FQ93" s="20" t="n">
        <f aca="false">IF(AND(Slot16_On=1,D93=Slot16_Age),1,0)</f>
        <v>0</v>
      </c>
      <c r="FR93" s="20" t="n">
        <f aca="false">IF(AND(Slot16_On=1,Slot16_Age&gt;D93),1,0)</f>
        <v>0</v>
      </c>
      <c r="FS93" s="20" t="n">
        <f aca="false">SU92</f>
        <v>0</v>
      </c>
      <c r="FT93" s="20" t="n">
        <f aca="false">FQ93*MIN(Slot16_Cost,FS93)</f>
        <v>0</v>
      </c>
      <c r="FU93" s="20" t="n">
        <f aca="false">FQ93*Slot16_SpendLike*MIN(Slot16_Cost-FT93,FM93)</f>
        <v>0</v>
      </c>
      <c r="FV93" s="20" t="n">
        <f aca="false">FT93+FU93</f>
        <v>0</v>
      </c>
      <c r="FW93" s="20" t="n">
        <f aca="false">FM93-FU93+FQ93*IF(Slot16_SpendLike=1,FS93-FT93,IF(Slot16_PotFree=1,FS93,0))</f>
        <v>0</v>
      </c>
      <c r="FX93" s="20" t="n">
        <f aca="false">FN93+FQ93*Slot16_BufPot*FS93</f>
        <v>0</v>
      </c>
      <c r="FY93" s="20" t="n">
        <f aca="false">IF(AND(FQ93=1,Slot16_IsMfree=1),IF(FV93&gt;=Slot16_Cost-1,0,MAX(0,FO93-FV93)),FO93)</f>
        <v>0</v>
      </c>
      <c r="FZ93" s="20" t="n">
        <f aca="false">FQ93*(Slot16_Cost-FV93)</f>
        <v>0</v>
      </c>
      <c r="GA93" s="20" t="n">
        <f aca="false">IF(AND(Slot17_On=1,D93=Slot17_Age),1,0)</f>
        <v>0</v>
      </c>
      <c r="GB93" s="20" t="n">
        <f aca="false">IF(AND(Slot17_On=1,Slot17_Age&gt;D93),1,0)</f>
        <v>0</v>
      </c>
      <c r="GC93" s="20" t="n">
        <f aca="false">SY92</f>
        <v>0</v>
      </c>
      <c r="GD93" s="20" t="n">
        <f aca="false">GA93*MIN(Slot17_Cost,GC93)</f>
        <v>0</v>
      </c>
      <c r="GE93" s="20" t="n">
        <f aca="false">GA93*Slot17_SpendLike*MIN(Slot17_Cost-GD93,FW93)</f>
        <v>0</v>
      </c>
      <c r="GF93" s="20" t="n">
        <f aca="false">GD93+GE93</f>
        <v>0</v>
      </c>
      <c r="GG93" s="20" t="n">
        <f aca="false">FW93-GE93+GA93*IF(Slot17_SpendLike=1,GC93-GD93,IF(Slot17_PotFree=1,GC93,0))</f>
        <v>0</v>
      </c>
      <c r="GH93" s="20" t="n">
        <f aca="false">FX93+GA93*Slot17_BufPot*GC93</f>
        <v>0</v>
      </c>
      <c r="GI93" s="20" t="n">
        <f aca="false">IF(AND(GA93=1,Slot17_IsMfree=1),IF(GF93&gt;=Slot17_Cost-1,0,MAX(0,FY93-GF93)),FY93)</f>
        <v>0</v>
      </c>
      <c r="GJ93" s="20" t="n">
        <f aca="false">GA93*(Slot17_Cost-GF93)</f>
        <v>0</v>
      </c>
      <c r="GK93" s="20" t="n">
        <f aca="false">IF(AND(Slot18_On=1,D93=Slot18_Age),1,0)</f>
        <v>0</v>
      </c>
      <c r="GL93" s="20" t="n">
        <f aca="false">IF(AND(Slot18_On=1,Slot18_Age&gt;D93),1,0)</f>
        <v>0</v>
      </c>
      <c r="GM93" s="20" t="n">
        <f aca="false">TC92</f>
        <v>0</v>
      </c>
      <c r="GN93" s="20" t="n">
        <f aca="false">GK93*MIN(Slot18_Cost,GM93)</f>
        <v>0</v>
      </c>
      <c r="GO93" s="20" t="n">
        <f aca="false">GK93*Slot18_SpendLike*MIN(Slot18_Cost-GN93,GG93)</f>
        <v>0</v>
      </c>
      <c r="GP93" s="20" t="n">
        <f aca="false">GN93+GO93</f>
        <v>0</v>
      </c>
      <c r="GQ93" s="20" t="n">
        <f aca="false">GG93-GO93+GK93*IF(Slot18_SpendLike=1,GM93-GN93,IF(Slot18_PotFree=1,GM93,0))</f>
        <v>0</v>
      </c>
      <c r="GR93" s="20" t="n">
        <f aca="false">GH93+GK93*Slot18_BufPot*GM93</f>
        <v>0</v>
      </c>
      <c r="GS93" s="20" t="n">
        <f aca="false">IF(AND(GK93=1,Slot18_IsMfree=1),IF(GP93&gt;=Slot18_Cost-1,0,MAX(0,GI93-GP93)),GI93)</f>
        <v>0</v>
      </c>
      <c r="GT93" s="20" t="n">
        <f aca="false">GK93*(Slot18_Cost-GP93)</f>
        <v>0</v>
      </c>
      <c r="GU93" s="20" t="n">
        <f aca="false">IF(AND(Slot19_On=1,D93=Slot19_Age),1,0)</f>
        <v>0</v>
      </c>
      <c r="GV93" s="20" t="n">
        <f aca="false">IF(AND(Slot19_On=1,Slot19_Age&gt;D93),1,0)</f>
        <v>0</v>
      </c>
      <c r="GW93" s="20" t="n">
        <f aca="false">TG92</f>
        <v>0</v>
      </c>
      <c r="GX93" s="20" t="n">
        <f aca="false">GU93*MIN(Slot19_Cost,GW93)</f>
        <v>0</v>
      </c>
      <c r="GY93" s="20" t="n">
        <f aca="false">GU93*Slot19_SpendLike*MIN(Slot19_Cost-GX93,GQ93)</f>
        <v>0</v>
      </c>
      <c r="GZ93" s="20" t="n">
        <f aca="false">GX93+GY93</f>
        <v>0</v>
      </c>
      <c r="HA93" s="20" t="n">
        <f aca="false">GQ93-GY93+GU93*IF(Slot19_SpendLike=1,GW93-GX93,IF(Slot19_PotFree=1,GW93,0))</f>
        <v>0</v>
      </c>
      <c r="HB93" s="20" t="n">
        <f aca="false">GR93+GU93*Slot19_BufPot*GW93</f>
        <v>0</v>
      </c>
      <c r="HC93" s="20" t="n">
        <f aca="false">IF(AND(GU93=1,Slot19_IsMfree=1),IF(GZ93&gt;=Slot19_Cost-1,0,MAX(0,GS93-GZ93)),GS93)</f>
        <v>0</v>
      </c>
      <c r="HD93" s="20" t="n">
        <f aca="false">GU93*(Slot19_Cost-GZ93)</f>
        <v>0</v>
      </c>
      <c r="HE93" s="20" t="n">
        <f aca="false">IF(AND(Slot20_On=1,D93=Slot20_Age),1,0)</f>
        <v>0</v>
      </c>
      <c r="HF93" s="20" t="n">
        <f aca="false">IF(AND(Slot20_On=1,Slot20_Age&gt;D93),1,0)</f>
        <v>0</v>
      </c>
      <c r="HG93" s="20" t="n">
        <f aca="false">TK92</f>
        <v>0</v>
      </c>
      <c r="HH93" s="20" t="n">
        <f aca="false">HE93*MIN(Slot20_Cost,HG93)</f>
        <v>0</v>
      </c>
      <c r="HI93" s="20" t="n">
        <f aca="false">HE93*Slot20_SpendLike*MIN(Slot20_Cost-HH93,HA93)</f>
        <v>0</v>
      </c>
      <c r="HJ93" s="20" t="n">
        <f aca="false">HH93+HI93</f>
        <v>0</v>
      </c>
      <c r="HK93" s="20" t="n">
        <f aca="false">HA93-HI93+HE93*IF(Slot20_SpendLike=1,HG93-HH93,IF(Slot20_PotFree=1,HG93,0))</f>
        <v>0</v>
      </c>
      <c r="HL93" s="20" t="n">
        <f aca="false">HB93+HE93*Slot20_BufPot*HG93</f>
        <v>0</v>
      </c>
      <c r="HM93" s="20" t="n">
        <f aca="false">IF(AND(HE93=1,Slot20_IsMfree=1),IF(HJ93&gt;=Slot20_Cost-1,0,MAX(0,HC93-HJ93)),HC93)</f>
        <v>0</v>
      </c>
      <c r="HN93" s="20" t="n">
        <f aca="false">HE93*(Slot20_Cost-HJ93)</f>
        <v>0</v>
      </c>
      <c r="HO93" s="20" t="n">
        <f aca="false">V93*Slot1_SpendLike*AA93+AG93*Slot2_SpendLike*AL93+AQ93*Slot3_SpendLike*AV93+BA93*Slot4_SpendLike*BF93+BK93*Slot5_SpendLike*BP93+BU93*Slot6_SpendLike*BZ93+CE93*Slot7_SpendLike*CJ93+CO93*Slot8_SpendLike*CT93+CY93*Slot9_SpendLike*DD93+DI93*Slot10_SpendLike*DN93+DS93*Slot11_SpendLike*DX93+EC93*Slot12_SpendLike*EH93+EM93*Slot13_SpendLike*ER93+EW93*Slot14_SpendLike*FB93+FG93*Slot15_SpendLike*FL93+FQ93*Slot16_SpendLike*FV93+GA93*Slot17_SpendLike*GF93+GK93*Slot18_SpendLike*GP93+GU93*Slot19_SpendLike*GZ93+HE93*Slot20_SpendLike*HJ93</f>
        <v>0</v>
      </c>
      <c r="HP93" s="20" t="n">
        <f aca="false">AE93+AP93+AZ93+BJ93+BT93+CD93+CN93+CX93+DH93+DR93+EB93+EL93+EV93+FF93+FP93+FZ93+GJ93+GT93+HD93+HN93</f>
        <v>0</v>
      </c>
      <c r="HQ93" s="20" t="n">
        <f aca="false">V93*Slot1_Cost+AG93*Slot2_Cost+AQ93*Slot3_Cost+BA93*Slot4_Cost+BK93*Slot5_Cost+BU93*Slot6_Cost+CE93*Slot7_Cost+CO93*Slot8_Cost+CY93*Slot9_Cost+DI93*Slot10_Cost+DS93*Slot11_Cost+EC93*Slot12_Cost+EM93*Slot13_Cost+EW93*Slot14_Cost+FG93*Slot15_Cost+FQ93*Slot16_Cost+GA93*Slot17_Cost+GK93*Slot18_Cost+GU93*Slot19_Cost+HE93*Slot20_Cost</f>
        <v>0</v>
      </c>
      <c r="HR93" s="20" t="n">
        <f aca="false">HM93</f>
        <v>0</v>
      </c>
      <c r="HS93" s="20" t="n">
        <f aca="false">H93-I93-S93</f>
        <v>-103703.958782408</v>
      </c>
      <c r="HT93" s="20" t="n">
        <f aca="false">IF(B93=0,IF(AND(Has_q6=1,In_q6=4),PR_ShareVaries*(MAX(0,HS93)/12),MIN(IF(Has_q6=1,CHOOSE(In_q6+1,PR_SaveB1,PR_SaveB2,PR_SaveB3,PR_SaveB4,0),AS_NoAnswer),AS_SaveShare*(MAX(0,HS93)/12))),HT92)</f>
        <v>62.3316893520437</v>
      </c>
      <c r="HU93" s="20" t="n">
        <f aca="false">IF(HS93&gt;=0,1,0)</f>
        <v>0</v>
      </c>
      <c r="HV93" s="20" t="n">
        <f aca="false">MAX(0,HS93/12/F93)</f>
        <v>0</v>
      </c>
      <c r="HW93" s="20" t="n">
        <f aca="false">IF(AND(Has_q6=1,In_q6=4),PR_ShareVaries*(HV93),MIN(IF(Has_q6=1,CHOOSE(In_q6+1,PR_SaveB1,PR_SaveB2,PR_SaveB3,PR_SaveB4,0),AS_NoAnswer),AS_SaveShare*(HV93)))</f>
        <v>0</v>
      </c>
      <c r="HX93" s="20" t="n">
        <f aca="false">IF(Has_saveM=1,IF(In_saveUp="Yes",1,IF(In_saveUp="No",0,IF(In_saveM&gt;=HT93-0.5,1,0))),0)</f>
        <v>0</v>
      </c>
      <c r="HY93" s="20" t="n">
        <f aca="false">IF(Has_saveM=1,MIN(HV93,IF(HX93=1,MAX(In_saveM,HW93),MIN(In_saveM,HW93))),HW93)</f>
        <v>0</v>
      </c>
      <c r="HZ93" s="20" t="n">
        <f aca="false">IF(G93=1,HY93*12*F93,0)</f>
        <v>0</v>
      </c>
      <c r="IA93" s="20" t="n">
        <f aca="false">MAX(0,HZ93+IF(AND(WI_Retire=0,WI_M&lt;0,G93=1),WI_M*12*F93,0))</f>
        <v>0</v>
      </c>
      <c r="IB93" s="20" t="n">
        <f aca="false">Slot1_IsWG*W93+Slot2_IsWG*AH93+Slot3_IsWG*AR93+Slot4_IsWG*BB93+Slot5_IsWG*BL93+Slot6_IsWG*BV93+Slot7_IsWG*CF93+Slot8_IsWG*CP93+Slot9_IsWG*CZ93+Slot10_IsWG*DJ93+Slot11_IsWG*DT93+Slot12_IsWG*ED93+Slot13_IsWG*EN93+Slot14_IsWG*EX93+Slot15_IsWG*FH93+Slot16_IsWG*FR93+Slot17_IsWG*GB93+Slot18_IsWG*GL93+Slot19_IsWG*GV93+Slot20_IsWG*HF93</f>
        <v>0</v>
      </c>
      <c r="IC93" s="20" t="n">
        <f aca="false">IF(AND(WI_Retire=0,WI_M&gt;0,G93=1,IB93&gt;=1),WI_M*12*F93,0)</f>
        <v>0</v>
      </c>
      <c r="ID93" s="20" t="n">
        <f aca="false">IF(HU93=1,MIN(IA93,HS93),0)</f>
        <v>0</v>
      </c>
      <c r="IE93" s="20" t="n">
        <f aca="false">IF(HU93=1,MIN(IC93,HS93-ID93),0)</f>
        <v>0</v>
      </c>
      <c r="IF93" s="20" t="n">
        <f aca="false">IF(W93=1,IF(ABS((1+AS_Wage)/(1+Slot1_Rate)-1)&lt;0.000000000001,(Slot1_Age-D93)*(1+Slot1_Rate)^(Slot1_Age-D93),(1+Slot1_Rate)^(Slot1_Age-D93)*(1-((1+AS_Wage)/(1+Slot1_Rate))^(Slot1_Age-D93))/(1-(1+AS_Wage)/(1+Slot1_Rate))),1)</f>
        <v>1</v>
      </c>
      <c r="IG93" s="20" t="n">
        <f aca="false">IF(AND(HU93=1,IE93&gt;0,Slot1_IsWG=1,W93=1),MAX(0,(Slot1_Cost-X93*(1+Slot1_Rate)^(Slot1_Age-D93))/IF93),0)</f>
        <v>0</v>
      </c>
      <c r="IH93" s="20" t="n">
        <f aca="false">IF(AND(HU93=1,IE93&gt;0,Slot1_IsWG=1,W93=1),MIN(IE93,IG93),0)</f>
        <v>0</v>
      </c>
      <c r="II93" s="20" t="n">
        <f aca="false">X93+IH93</f>
        <v>0</v>
      </c>
      <c r="IJ93" s="20" t="n">
        <f aca="false">IF(W93=1,MAX(0,(Slot1_Cost-II93*(1+Slot1_Rate)^(Slot1_Age-D93))/IF93),0)</f>
        <v>0</v>
      </c>
      <c r="IK93" s="20" t="n">
        <f aca="false">IF(W93=1,MAX(0,(Slot1_Cost-X93*(1+Slot1_Rate)^(Slot1_Age-D93))/IF93),0)</f>
        <v>0</v>
      </c>
      <c r="IL93" s="20" t="n">
        <f aca="false">IF(AND(HU93=1,W93=1),MIN(ID93,IJ93),0)</f>
        <v>0</v>
      </c>
      <c r="IM93" s="20" t="n">
        <f aca="false">ID93-IL93</f>
        <v>0</v>
      </c>
      <c r="IN93" s="20" t="n">
        <f aca="false">IF(AH93=1,IF(ABS((1+AS_Wage)/(1+Slot2_Rate)-1)&lt;0.000000000001,(Slot2_Age-D93)*(1+Slot2_Rate)^(Slot2_Age-D93),(1+Slot2_Rate)^(Slot2_Age-D93)*(1-((1+AS_Wage)/(1+Slot2_Rate))^(Slot2_Age-D93))/(1-(1+AS_Wage)/(1+Slot2_Rate))),1)</f>
        <v>1</v>
      </c>
      <c r="IO93" s="20" t="n">
        <f aca="false">IF(AND(HU93=1,IE93&gt;0,Slot2_IsWG=1,AH93=1),MAX(0,(Slot2_Cost-AI93*(1+Slot2_Rate)^(Slot2_Age-D93))/IN93),0)</f>
        <v>0</v>
      </c>
      <c r="IP93" s="20" t="n">
        <f aca="false">IF(AND(HU93=1,IE93&gt;0,Slot2_IsWG=1,AH93=1),MIN(IE93,IO93),0)</f>
        <v>0</v>
      </c>
      <c r="IQ93" s="20" t="n">
        <f aca="false">AI93+IP93</f>
        <v>0</v>
      </c>
      <c r="IR93" s="20" t="n">
        <f aca="false">IF(AH93=1,MAX(0,(Slot2_Cost-IQ93*(1+Slot2_Rate)^(Slot2_Age-D93))/IN93),0)</f>
        <v>0</v>
      </c>
      <c r="IS93" s="20" t="n">
        <f aca="false">IF(AH93=1,MAX(0,(Slot2_Cost-AI93*(1+Slot2_Rate)^(Slot2_Age-D93))/IN93),0)</f>
        <v>0</v>
      </c>
      <c r="IT93" s="20" t="n">
        <f aca="false">IF(AND(HU93=1,AH93=1),MIN(IM93,IR93),0)</f>
        <v>0</v>
      </c>
      <c r="IU93" s="20" t="n">
        <f aca="false">IM93-IT93</f>
        <v>0</v>
      </c>
      <c r="IV93" s="20" t="n">
        <f aca="false">IF(AR93=1,IF(ABS((1+AS_Wage)/(1+Slot3_Rate)-1)&lt;0.000000000001,(Slot3_Age-D93)*(1+Slot3_Rate)^(Slot3_Age-D93),(1+Slot3_Rate)^(Slot3_Age-D93)*(1-((1+AS_Wage)/(1+Slot3_Rate))^(Slot3_Age-D93))/(1-(1+AS_Wage)/(1+Slot3_Rate))),1)</f>
        <v>1</v>
      </c>
      <c r="IW93" s="20" t="n">
        <f aca="false">IF(AND(HU93=1,IE93&gt;0,Slot3_IsWG=1,AR93=1),MAX(0,(Slot3_Cost-AS93*(1+Slot3_Rate)^(Slot3_Age-D93))/IV93),0)</f>
        <v>0</v>
      </c>
      <c r="IX93" s="20" t="n">
        <f aca="false">IF(AND(HU93=1,IE93&gt;0,Slot3_IsWG=1,AR93=1),MIN(IE93,IW93),0)</f>
        <v>0</v>
      </c>
      <c r="IY93" s="20" t="n">
        <f aca="false">AS93+IX93</f>
        <v>0</v>
      </c>
      <c r="IZ93" s="20" t="n">
        <f aca="false">IF(AR93=1,MAX(0,(Slot3_Cost-IY93*(1+Slot3_Rate)^(Slot3_Age-D93))/IV93),0)</f>
        <v>0</v>
      </c>
      <c r="JA93" s="20" t="n">
        <f aca="false">IF(AR93=1,MAX(0,(Slot3_Cost-AS93*(1+Slot3_Rate)^(Slot3_Age-D93))/IV93),0)</f>
        <v>0</v>
      </c>
      <c r="JB93" s="20" t="n">
        <f aca="false">IF(AND(HU93=1,AR93=1),MIN(IU93,IZ93),0)</f>
        <v>0</v>
      </c>
      <c r="JC93" s="20" t="n">
        <f aca="false">IU93-JB93</f>
        <v>0</v>
      </c>
      <c r="JD93" s="20" t="n">
        <f aca="false">IF(BB93=1,IF(ABS((1+AS_Wage)/(1+Slot4_Rate)-1)&lt;0.000000000001,(Slot4_Age-D93)*(1+Slot4_Rate)^(Slot4_Age-D93),(1+Slot4_Rate)^(Slot4_Age-D93)*(1-((1+AS_Wage)/(1+Slot4_Rate))^(Slot4_Age-D93))/(1-(1+AS_Wage)/(1+Slot4_Rate))),1)</f>
        <v>1</v>
      </c>
      <c r="JE93" s="20" t="n">
        <f aca="false">IF(AND(HU93=1,IE93&gt;0,Slot4_IsWG=1,BB93=1),MAX(0,(Slot4_Cost-BC93*(1+Slot4_Rate)^(Slot4_Age-D93))/JD93),0)</f>
        <v>0</v>
      </c>
      <c r="JF93" s="20" t="n">
        <f aca="false">IF(AND(HU93=1,IE93&gt;0,Slot4_IsWG=1,BB93=1),MIN(IE93,JE93),0)</f>
        <v>0</v>
      </c>
      <c r="JG93" s="20" t="n">
        <f aca="false">BC93+JF93</f>
        <v>0</v>
      </c>
      <c r="JH93" s="20" t="n">
        <f aca="false">IF(BB93=1,MAX(0,(Slot4_Cost-JG93*(1+Slot4_Rate)^(Slot4_Age-D93))/JD93),0)</f>
        <v>0</v>
      </c>
      <c r="JI93" s="20" t="n">
        <f aca="false">IF(BB93=1,MAX(0,(Slot4_Cost-BC93*(1+Slot4_Rate)^(Slot4_Age-D93))/JD93),0)</f>
        <v>0</v>
      </c>
      <c r="JJ93" s="20" t="n">
        <f aca="false">IF(AND(HU93=1,BB93=1),MIN(JC93,JH93),0)</f>
        <v>0</v>
      </c>
      <c r="JK93" s="20" t="n">
        <f aca="false">JC93-JJ93</f>
        <v>0</v>
      </c>
      <c r="JL93" s="20" t="n">
        <f aca="false">IF(BL93=1,IF(ABS((1+AS_Wage)/(1+Slot5_Rate)-1)&lt;0.000000000001,(Slot5_Age-D93)*(1+Slot5_Rate)^(Slot5_Age-D93),(1+Slot5_Rate)^(Slot5_Age-D93)*(1-((1+AS_Wage)/(1+Slot5_Rate))^(Slot5_Age-D93))/(1-(1+AS_Wage)/(1+Slot5_Rate))),1)</f>
        <v>1</v>
      </c>
      <c r="JM93" s="20" t="n">
        <f aca="false">IF(AND(HU93=1,IE93&gt;0,Slot5_IsWG=1,BL93=1),MAX(0,(Slot5_Cost-BM93*(1+Slot5_Rate)^(Slot5_Age-D93))/JL93),0)</f>
        <v>0</v>
      </c>
      <c r="JN93" s="20" t="n">
        <f aca="false">IF(AND(HU93=1,IE93&gt;0,Slot5_IsWG=1,BL93=1),MIN(IE93,JM93),0)</f>
        <v>0</v>
      </c>
      <c r="JO93" s="20" t="n">
        <f aca="false">BM93+JN93</f>
        <v>0</v>
      </c>
      <c r="JP93" s="20" t="n">
        <f aca="false">IF(BL93=1,MAX(0,(Slot5_Cost-JO93*(1+Slot5_Rate)^(Slot5_Age-D93))/JL93),0)</f>
        <v>0</v>
      </c>
      <c r="JQ93" s="20" t="n">
        <f aca="false">IF(BL93=1,MAX(0,(Slot5_Cost-BM93*(1+Slot5_Rate)^(Slot5_Age-D93))/JL93),0)</f>
        <v>0</v>
      </c>
      <c r="JR93" s="20" t="n">
        <f aca="false">IF(AND(HU93=1,BL93=1),MIN(JK93,JP93),0)</f>
        <v>0</v>
      </c>
      <c r="JS93" s="20" t="n">
        <f aca="false">JK93-JR93</f>
        <v>0</v>
      </c>
      <c r="JT93" s="20" t="n">
        <f aca="false">IF(BV93=1,IF(ABS((1+AS_Wage)/(1+Slot6_Rate)-1)&lt;0.000000000001,(Slot6_Age-D93)*(1+Slot6_Rate)^(Slot6_Age-D93),(1+Slot6_Rate)^(Slot6_Age-D93)*(1-((1+AS_Wage)/(1+Slot6_Rate))^(Slot6_Age-D93))/(1-(1+AS_Wage)/(1+Slot6_Rate))),1)</f>
        <v>1</v>
      </c>
      <c r="JU93" s="20" t="n">
        <f aca="false">IF(AND(HU93=1,IE93&gt;0,Slot6_IsWG=1,BV93=1),MAX(0,(Slot6_Cost-BW93*(1+Slot6_Rate)^(Slot6_Age-D93))/JT93),0)</f>
        <v>0</v>
      </c>
      <c r="JV93" s="20" t="n">
        <f aca="false">IF(AND(HU93=1,IE93&gt;0,Slot6_IsWG=1,BV93=1),MIN(IE93,JU93),0)</f>
        <v>0</v>
      </c>
      <c r="JW93" s="20" t="n">
        <f aca="false">BW93+JV93</f>
        <v>0</v>
      </c>
      <c r="JX93" s="20" t="n">
        <f aca="false">IF(BV93=1,MAX(0,(Slot6_Cost-JW93*(1+Slot6_Rate)^(Slot6_Age-D93))/JT93),0)</f>
        <v>0</v>
      </c>
      <c r="JY93" s="20" t="n">
        <f aca="false">IF(BV93=1,MAX(0,(Slot6_Cost-BW93*(1+Slot6_Rate)^(Slot6_Age-D93))/JT93),0)</f>
        <v>0</v>
      </c>
      <c r="JZ93" s="20" t="n">
        <f aca="false">IF(AND(HU93=1,BV93=1),MIN(JS93,JX93),0)</f>
        <v>0</v>
      </c>
      <c r="KA93" s="20" t="n">
        <f aca="false">JS93-JZ93</f>
        <v>0</v>
      </c>
      <c r="KB93" s="20" t="n">
        <f aca="false">IF(CF93=1,IF(ABS((1+AS_Wage)/(1+Slot7_Rate)-1)&lt;0.000000000001,(Slot7_Age-D93)*(1+Slot7_Rate)^(Slot7_Age-D93),(1+Slot7_Rate)^(Slot7_Age-D93)*(1-((1+AS_Wage)/(1+Slot7_Rate))^(Slot7_Age-D93))/(1-(1+AS_Wage)/(1+Slot7_Rate))),1)</f>
        <v>1</v>
      </c>
      <c r="KC93" s="20" t="n">
        <f aca="false">IF(AND(HU93=1,IE93&gt;0,Slot7_IsWG=1,CF93=1),MAX(0,(Slot7_Cost-CG93*(1+Slot7_Rate)^(Slot7_Age-D93))/KB93),0)</f>
        <v>0</v>
      </c>
      <c r="KD93" s="20" t="n">
        <f aca="false">IF(AND(HU93=1,IE93&gt;0,Slot7_IsWG=1,CF93=1),MIN(IE93,KC93),0)</f>
        <v>0</v>
      </c>
      <c r="KE93" s="20" t="n">
        <f aca="false">CG93+KD93</f>
        <v>0</v>
      </c>
      <c r="KF93" s="20" t="n">
        <f aca="false">IF(CF93=1,MAX(0,(Slot7_Cost-KE93*(1+Slot7_Rate)^(Slot7_Age-D93))/KB93),0)</f>
        <v>0</v>
      </c>
      <c r="KG93" s="20" t="n">
        <f aca="false">IF(CF93=1,MAX(0,(Slot7_Cost-CG93*(1+Slot7_Rate)^(Slot7_Age-D93))/KB93),0)</f>
        <v>0</v>
      </c>
      <c r="KH93" s="20" t="n">
        <f aca="false">IF(AND(HU93=1,CF93=1),MIN(KA93,KF93),0)</f>
        <v>0</v>
      </c>
      <c r="KI93" s="20" t="n">
        <f aca="false">KA93-KH93</f>
        <v>0</v>
      </c>
      <c r="KJ93" s="20" t="n">
        <f aca="false">IF(CP93=1,IF(ABS((1+AS_Wage)/(1+Slot8_Rate)-1)&lt;0.000000000001,(Slot8_Age-D93)*(1+Slot8_Rate)^(Slot8_Age-D93),(1+Slot8_Rate)^(Slot8_Age-D93)*(1-((1+AS_Wage)/(1+Slot8_Rate))^(Slot8_Age-D93))/(1-(1+AS_Wage)/(1+Slot8_Rate))),1)</f>
        <v>1</v>
      </c>
      <c r="KK93" s="20" t="n">
        <f aca="false">IF(AND(HU93=1,IE93&gt;0,Slot8_IsWG=1,CP93=1),MAX(0,(Slot8_Cost-CQ93*(1+Slot8_Rate)^(Slot8_Age-D93))/KJ93),0)</f>
        <v>0</v>
      </c>
      <c r="KL93" s="20" t="n">
        <f aca="false">IF(AND(HU93=1,IE93&gt;0,Slot8_IsWG=1,CP93=1),MIN(IE93,KK93),0)</f>
        <v>0</v>
      </c>
      <c r="KM93" s="20" t="n">
        <f aca="false">CQ93+KL93</f>
        <v>0</v>
      </c>
      <c r="KN93" s="20" t="n">
        <f aca="false">IF(CP93=1,MAX(0,(Slot8_Cost-KM93*(1+Slot8_Rate)^(Slot8_Age-D93))/KJ93),0)</f>
        <v>0</v>
      </c>
      <c r="KO93" s="20" t="n">
        <f aca="false">IF(CP93=1,MAX(0,(Slot8_Cost-CQ93*(1+Slot8_Rate)^(Slot8_Age-D93))/KJ93),0)</f>
        <v>0</v>
      </c>
      <c r="KP93" s="20" t="n">
        <f aca="false">IF(AND(HU93=1,CP93=1),MIN(KI93,KN93),0)</f>
        <v>0</v>
      </c>
      <c r="KQ93" s="20" t="n">
        <f aca="false">KI93-KP93</f>
        <v>0</v>
      </c>
      <c r="KR93" s="20" t="n">
        <f aca="false">IF(CZ93=1,IF(ABS((1+AS_Wage)/(1+Slot9_Rate)-1)&lt;0.000000000001,(Slot9_Age-D93)*(1+Slot9_Rate)^(Slot9_Age-D93),(1+Slot9_Rate)^(Slot9_Age-D93)*(1-((1+AS_Wage)/(1+Slot9_Rate))^(Slot9_Age-D93))/(1-(1+AS_Wage)/(1+Slot9_Rate))),1)</f>
        <v>1</v>
      </c>
      <c r="KS93" s="20" t="n">
        <f aca="false">IF(AND(HU93=1,IE93&gt;0,Slot9_IsWG=1,CZ93=1),MAX(0,(Slot9_Cost-DA93*(1+Slot9_Rate)^(Slot9_Age-D93))/KR93),0)</f>
        <v>0</v>
      </c>
      <c r="KT93" s="20" t="n">
        <f aca="false">IF(AND(HU93=1,IE93&gt;0,Slot9_IsWG=1,CZ93=1),MIN(IE93,KS93),0)</f>
        <v>0</v>
      </c>
      <c r="KU93" s="20" t="n">
        <f aca="false">DA93+KT93</f>
        <v>0</v>
      </c>
      <c r="KV93" s="20" t="n">
        <f aca="false">IF(CZ93=1,MAX(0,(Slot9_Cost-KU93*(1+Slot9_Rate)^(Slot9_Age-D93))/KR93),0)</f>
        <v>0</v>
      </c>
      <c r="KW93" s="20" t="n">
        <f aca="false">IF(CZ93=1,MAX(0,(Slot9_Cost-DA93*(1+Slot9_Rate)^(Slot9_Age-D93))/KR93),0)</f>
        <v>0</v>
      </c>
      <c r="KX93" s="20" t="n">
        <f aca="false">IF(AND(HU93=1,CZ93=1),MIN(KQ93,KV93),0)</f>
        <v>0</v>
      </c>
      <c r="KY93" s="20" t="n">
        <f aca="false">KQ93-KX93</f>
        <v>0</v>
      </c>
      <c r="KZ93" s="20" t="n">
        <f aca="false">IF(DJ93=1,IF(ABS((1+AS_Wage)/(1+Slot10_Rate)-1)&lt;0.000000000001,(Slot10_Age-D93)*(1+Slot10_Rate)^(Slot10_Age-D93),(1+Slot10_Rate)^(Slot10_Age-D93)*(1-((1+AS_Wage)/(1+Slot10_Rate))^(Slot10_Age-D93))/(1-(1+AS_Wage)/(1+Slot10_Rate))),1)</f>
        <v>1</v>
      </c>
      <c r="LA93" s="20" t="n">
        <f aca="false">IF(AND(HU93=1,IE93&gt;0,Slot10_IsWG=1,DJ93=1),MAX(0,(Slot10_Cost-DK93*(1+Slot10_Rate)^(Slot10_Age-D93))/KZ93),0)</f>
        <v>0</v>
      </c>
      <c r="LB93" s="20" t="n">
        <f aca="false">IF(AND(HU93=1,IE93&gt;0,Slot10_IsWG=1,DJ93=1),MIN(IE93,LA93),0)</f>
        <v>0</v>
      </c>
      <c r="LC93" s="20" t="n">
        <f aca="false">DK93+LB93</f>
        <v>0</v>
      </c>
      <c r="LD93" s="20" t="n">
        <f aca="false">IF(DJ93=1,MAX(0,(Slot10_Cost-LC93*(1+Slot10_Rate)^(Slot10_Age-D93))/KZ93),0)</f>
        <v>0</v>
      </c>
      <c r="LE93" s="20" t="n">
        <f aca="false">IF(DJ93=1,MAX(0,(Slot10_Cost-DK93*(1+Slot10_Rate)^(Slot10_Age-D93))/KZ93),0)</f>
        <v>0</v>
      </c>
      <c r="LF93" s="20" t="n">
        <f aca="false">IF(AND(HU93=1,DJ93=1),MIN(KY93,LD93),0)</f>
        <v>0</v>
      </c>
      <c r="LG93" s="20" t="n">
        <f aca="false">KY93-LF93</f>
        <v>0</v>
      </c>
      <c r="LH93" s="20" t="n">
        <f aca="false">IF(DT93=1,IF(ABS((1+AS_Wage)/(1+Slot11_Rate)-1)&lt;0.000000000001,(Slot11_Age-D93)*(1+Slot11_Rate)^(Slot11_Age-D93),(1+Slot11_Rate)^(Slot11_Age-D93)*(1-((1+AS_Wage)/(1+Slot11_Rate))^(Slot11_Age-D93))/(1-(1+AS_Wage)/(1+Slot11_Rate))),1)</f>
        <v>1</v>
      </c>
      <c r="LI93" s="20" t="n">
        <f aca="false">IF(AND(HU93=1,IE93&gt;0,Slot11_IsWG=1,DT93=1),MAX(0,(Slot11_Cost-DU93*(1+Slot11_Rate)^(Slot11_Age-D93))/LH93),0)</f>
        <v>0</v>
      </c>
      <c r="LJ93" s="20" t="n">
        <f aca="false">IF(AND(HU93=1,IE93&gt;0,Slot11_IsWG=1,DT93=1),MIN(IE93,LI93),0)</f>
        <v>0</v>
      </c>
      <c r="LK93" s="20" t="n">
        <f aca="false">DU93+LJ93</f>
        <v>0</v>
      </c>
      <c r="LL93" s="20" t="n">
        <f aca="false">IF(DT93=1,MAX(0,(Slot11_Cost-LK93*(1+Slot11_Rate)^(Slot11_Age-D93))/LH93),0)</f>
        <v>0</v>
      </c>
      <c r="LM93" s="20" t="n">
        <f aca="false">IF(DT93=1,MAX(0,(Slot11_Cost-DU93*(1+Slot11_Rate)^(Slot11_Age-D93))/LH93),0)</f>
        <v>0</v>
      </c>
      <c r="LN93" s="20" t="n">
        <f aca="false">IF(AND(HU93=1,DT93=1),MIN(LG93,LL93),0)</f>
        <v>0</v>
      </c>
      <c r="LO93" s="20" t="n">
        <f aca="false">LG93-LN93</f>
        <v>0</v>
      </c>
      <c r="LP93" s="20" t="n">
        <f aca="false">IF(ED93=1,IF(ABS((1+AS_Wage)/(1+Slot12_Rate)-1)&lt;0.000000000001,(Slot12_Age-D93)*(1+Slot12_Rate)^(Slot12_Age-D93),(1+Slot12_Rate)^(Slot12_Age-D93)*(1-((1+AS_Wage)/(1+Slot12_Rate))^(Slot12_Age-D93))/(1-(1+AS_Wage)/(1+Slot12_Rate))),1)</f>
        <v>1</v>
      </c>
      <c r="LQ93" s="20" t="n">
        <f aca="false">IF(AND(HU93=1,IE93&gt;0,Slot12_IsWG=1,ED93=1),MAX(0,(Slot12_Cost-EE93*(1+Slot12_Rate)^(Slot12_Age-D93))/LP93),0)</f>
        <v>0</v>
      </c>
      <c r="LR93" s="20" t="n">
        <f aca="false">IF(AND(HU93=1,IE93&gt;0,Slot12_IsWG=1,ED93=1),MIN(IE93,LQ93),0)</f>
        <v>0</v>
      </c>
      <c r="LS93" s="20" t="n">
        <f aca="false">EE93+LR93</f>
        <v>0</v>
      </c>
      <c r="LT93" s="20" t="n">
        <f aca="false">IF(ED93=1,MAX(0,(Slot12_Cost-LS93*(1+Slot12_Rate)^(Slot12_Age-D93))/LP93),0)</f>
        <v>0</v>
      </c>
      <c r="LU93" s="20" t="n">
        <f aca="false">IF(ED93=1,MAX(0,(Slot12_Cost-EE93*(1+Slot12_Rate)^(Slot12_Age-D93))/LP93),0)</f>
        <v>0</v>
      </c>
      <c r="LV93" s="20" t="n">
        <f aca="false">IF(AND(HU93=1,ED93=1),MIN(LO93,LT93),0)</f>
        <v>0</v>
      </c>
      <c r="LW93" s="20" t="n">
        <f aca="false">LO93-LV93</f>
        <v>0</v>
      </c>
      <c r="LX93" s="20" t="n">
        <f aca="false">IF(EN93=1,IF(ABS((1+AS_Wage)/(1+Slot13_Rate)-1)&lt;0.000000000001,(Slot13_Age-D93)*(1+Slot13_Rate)^(Slot13_Age-D93),(1+Slot13_Rate)^(Slot13_Age-D93)*(1-((1+AS_Wage)/(1+Slot13_Rate))^(Slot13_Age-D93))/(1-(1+AS_Wage)/(1+Slot13_Rate))),1)</f>
        <v>1</v>
      </c>
      <c r="LY93" s="20" t="n">
        <f aca="false">IF(AND(HU93=1,IE93&gt;0,Slot13_IsWG=1,EN93=1),MAX(0,(Slot13_Cost-EO93*(1+Slot13_Rate)^(Slot13_Age-D93))/LX93),0)</f>
        <v>0</v>
      </c>
      <c r="LZ93" s="20" t="n">
        <f aca="false">IF(AND(HU93=1,IE93&gt;0,Slot13_IsWG=1,EN93=1),MIN(IE93,LY93),0)</f>
        <v>0</v>
      </c>
      <c r="MA93" s="20" t="n">
        <f aca="false">EO93+LZ93</f>
        <v>0</v>
      </c>
      <c r="MB93" s="20" t="n">
        <f aca="false">IF(EN93=1,MAX(0,(Slot13_Cost-MA93*(1+Slot13_Rate)^(Slot13_Age-D93))/LX93),0)</f>
        <v>0</v>
      </c>
      <c r="MC93" s="20" t="n">
        <f aca="false">IF(EN93=1,MAX(0,(Slot13_Cost-EO93*(1+Slot13_Rate)^(Slot13_Age-D93))/LX93),0)</f>
        <v>0</v>
      </c>
      <c r="MD93" s="20" t="n">
        <f aca="false">IF(AND(HU93=1,EN93=1),MIN(LW93,MB93),0)</f>
        <v>0</v>
      </c>
      <c r="ME93" s="20" t="n">
        <f aca="false">LW93-MD93</f>
        <v>0</v>
      </c>
      <c r="MF93" s="20" t="n">
        <f aca="false">IF(EX93=1,IF(ABS((1+AS_Wage)/(1+Slot14_Rate)-1)&lt;0.000000000001,(Slot14_Age-D93)*(1+Slot14_Rate)^(Slot14_Age-D93),(1+Slot14_Rate)^(Slot14_Age-D93)*(1-((1+AS_Wage)/(1+Slot14_Rate))^(Slot14_Age-D93))/(1-(1+AS_Wage)/(1+Slot14_Rate))),1)</f>
        <v>1</v>
      </c>
      <c r="MG93" s="20" t="n">
        <f aca="false">IF(AND(HU93=1,IE93&gt;0,Slot14_IsWG=1,EX93=1),MAX(0,(Slot14_Cost-EY93*(1+Slot14_Rate)^(Slot14_Age-D93))/MF93),0)</f>
        <v>0</v>
      </c>
      <c r="MH93" s="20" t="n">
        <f aca="false">IF(AND(HU93=1,IE93&gt;0,Slot14_IsWG=1,EX93=1),MIN(IE93,MG93),0)</f>
        <v>0</v>
      </c>
      <c r="MI93" s="20" t="n">
        <f aca="false">EY93+MH93</f>
        <v>0</v>
      </c>
      <c r="MJ93" s="20" t="n">
        <f aca="false">IF(EX93=1,MAX(0,(Slot14_Cost-MI93*(1+Slot14_Rate)^(Slot14_Age-D93))/MF93),0)</f>
        <v>0</v>
      </c>
      <c r="MK93" s="20" t="n">
        <f aca="false">IF(EX93=1,MAX(0,(Slot14_Cost-EY93*(1+Slot14_Rate)^(Slot14_Age-D93))/MF93),0)</f>
        <v>0</v>
      </c>
      <c r="ML93" s="20" t="n">
        <f aca="false">IF(AND(HU93=1,EX93=1),MIN(ME93,MJ93),0)</f>
        <v>0</v>
      </c>
      <c r="MM93" s="20" t="n">
        <f aca="false">ME93-ML93</f>
        <v>0</v>
      </c>
      <c r="MN93" s="20" t="n">
        <f aca="false">IF(FH93=1,IF(ABS((1+AS_Wage)/(1+Slot15_Rate)-1)&lt;0.000000000001,(Slot15_Age-D93)*(1+Slot15_Rate)^(Slot15_Age-D93),(1+Slot15_Rate)^(Slot15_Age-D93)*(1-((1+AS_Wage)/(1+Slot15_Rate))^(Slot15_Age-D93))/(1-(1+AS_Wage)/(1+Slot15_Rate))),1)</f>
        <v>1</v>
      </c>
      <c r="MO93" s="20" t="n">
        <f aca="false">IF(AND(HU93=1,IE93&gt;0,Slot15_IsWG=1,FH93=1),MAX(0,(Slot15_Cost-FI93*(1+Slot15_Rate)^(Slot15_Age-D93))/MN93),0)</f>
        <v>0</v>
      </c>
      <c r="MP93" s="20" t="n">
        <f aca="false">IF(AND(HU93=1,IE93&gt;0,Slot15_IsWG=1,FH93=1),MIN(IE93,MO93),0)</f>
        <v>0</v>
      </c>
      <c r="MQ93" s="20" t="n">
        <f aca="false">FI93+MP93</f>
        <v>0</v>
      </c>
      <c r="MR93" s="20" t="n">
        <f aca="false">IF(FH93=1,MAX(0,(Slot15_Cost-MQ93*(1+Slot15_Rate)^(Slot15_Age-D93))/MN93),0)</f>
        <v>0</v>
      </c>
      <c r="MS93" s="20" t="n">
        <f aca="false">IF(FH93=1,MAX(0,(Slot15_Cost-FI93*(1+Slot15_Rate)^(Slot15_Age-D93))/MN93),0)</f>
        <v>0</v>
      </c>
      <c r="MT93" s="20" t="n">
        <f aca="false">IF(AND(HU93=1,FH93=1),MIN(MM93,MR93),0)</f>
        <v>0</v>
      </c>
      <c r="MU93" s="20" t="n">
        <f aca="false">MM93-MT93</f>
        <v>0</v>
      </c>
      <c r="MV93" s="20" t="n">
        <f aca="false">IF(FR93=1,IF(ABS((1+AS_Wage)/(1+Slot16_Rate)-1)&lt;0.000000000001,(Slot16_Age-D93)*(1+Slot16_Rate)^(Slot16_Age-D93),(1+Slot16_Rate)^(Slot16_Age-D93)*(1-((1+AS_Wage)/(1+Slot16_Rate))^(Slot16_Age-D93))/(1-(1+AS_Wage)/(1+Slot16_Rate))),1)</f>
        <v>1</v>
      </c>
      <c r="MW93" s="20" t="n">
        <f aca="false">IF(AND(HU93=1,IE93&gt;0,Slot16_IsWG=1,FR93=1),MAX(0,(Slot16_Cost-FS93*(1+Slot16_Rate)^(Slot16_Age-D93))/MV93),0)</f>
        <v>0</v>
      </c>
      <c r="MX93" s="20" t="n">
        <f aca="false">IF(AND(HU93=1,IE93&gt;0,Slot16_IsWG=1,FR93=1),MIN(IE93,MW93),0)</f>
        <v>0</v>
      </c>
      <c r="MY93" s="20" t="n">
        <f aca="false">FS93+MX93</f>
        <v>0</v>
      </c>
      <c r="MZ93" s="20" t="n">
        <f aca="false">IF(FR93=1,MAX(0,(Slot16_Cost-MY93*(1+Slot16_Rate)^(Slot16_Age-D93))/MV93),0)</f>
        <v>0</v>
      </c>
      <c r="NA93" s="20" t="n">
        <f aca="false">IF(FR93=1,MAX(0,(Slot16_Cost-FS93*(1+Slot16_Rate)^(Slot16_Age-D93))/MV93),0)</f>
        <v>0</v>
      </c>
      <c r="NB93" s="20" t="n">
        <f aca="false">IF(AND(HU93=1,FR93=1),MIN(MU93,MZ93),0)</f>
        <v>0</v>
      </c>
      <c r="NC93" s="20" t="n">
        <f aca="false">MU93-NB93</f>
        <v>0</v>
      </c>
      <c r="ND93" s="20" t="n">
        <f aca="false">IF(GB93=1,IF(ABS((1+AS_Wage)/(1+Slot17_Rate)-1)&lt;0.000000000001,(Slot17_Age-D93)*(1+Slot17_Rate)^(Slot17_Age-D93),(1+Slot17_Rate)^(Slot17_Age-D93)*(1-((1+AS_Wage)/(1+Slot17_Rate))^(Slot17_Age-D93))/(1-(1+AS_Wage)/(1+Slot17_Rate))),1)</f>
        <v>1</v>
      </c>
      <c r="NE93" s="20" t="n">
        <f aca="false">IF(AND(HU93=1,IE93&gt;0,Slot17_IsWG=1,GB93=1),MAX(0,(Slot17_Cost-GC93*(1+Slot17_Rate)^(Slot17_Age-D93))/ND93),0)</f>
        <v>0</v>
      </c>
      <c r="NF93" s="20" t="n">
        <f aca="false">IF(AND(HU93=1,IE93&gt;0,Slot17_IsWG=1,GB93=1),MIN(IE93,NE93),0)</f>
        <v>0</v>
      </c>
      <c r="NG93" s="20" t="n">
        <f aca="false">GC93+NF93</f>
        <v>0</v>
      </c>
      <c r="NH93" s="20" t="n">
        <f aca="false">IF(GB93=1,MAX(0,(Slot17_Cost-NG93*(1+Slot17_Rate)^(Slot17_Age-D93))/ND93),0)</f>
        <v>0</v>
      </c>
      <c r="NI93" s="20" t="n">
        <f aca="false">IF(GB93=1,MAX(0,(Slot17_Cost-GC93*(1+Slot17_Rate)^(Slot17_Age-D93))/ND93),0)</f>
        <v>0</v>
      </c>
      <c r="NJ93" s="20" t="n">
        <f aca="false">IF(AND(HU93=1,GB93=1),MIN(NC93,NH93),0)</f>
        <v>0</v>
      </c>
      <c r="NK93" s="20" t="n">
        <f aca="false">NC93-NJ93</f>
        <v>0</v>
      </c>
      <c r="NL93" s="20" t="n">
        <f aca="false">IF(GL93=1,IF(ABS((1+AS_Wage)/(1+Slot18_Rate)-1)&lt;0.000000000001,(Slot18_Age-D93)*(1+Slot18_Rate)^(Slot18_Age-D93),(1+Slot18_Rate)^(Slot18_Age-D93)*(1-((1+AS_Wage)/(1+Slot18_Rate))^(Slot18_Age-D93))/(1-(1+AS_Wage)/(1+Slot18_Rate))),1)</f>
        <v>1</v>
      </c>
      <c r="NM93" s="20" t="n">
        <f aca="false">IF(AND(HU93=1,IE93&gt;0,Slot18_IsWG=1,GL93=1),MAX(0,(Slot18_Cost-GM93*(1+Slot18_Rate)^(Slot18_Age-D93))/NL93),0)</f>
        <v>0</v>
      </c>
      <c r="NN93" s="20" t="n">
        <f aca="false">IF(AND(HU93=1,IE93&gt;0,Slot18_IsWG=1,GL93=1),MIN(IE93,NM93),0)</f>
        <v>0</v>
      </c>
      <c r="NO93" s="20" t="n">
        <f aca="false">GM93+NN93</f>
        <v>0</v>
      </c>
      <c r="NP93" s="20" t="n">
        <f aca="false">IF(GL93=1,MAX(0,(Slot18_Cost-NO93*(1+Slot18_Rate)^(Slot18_Age-D93))/NL93),0)</f>
        <v>0</v>
      </c>
      <c r="NQ93" s="20" t="n">
        <f aca="false">IF(GL93=1,MAX(0,(Slot18_Cost-GM93*(1+Slot18_Rate)^(Slot18_Age-D93))/NL93),0)</f>
        <v>0</v>
      </c>
      <c r="NR93" s="20" t="n">
        <f aca="false">IF(AND(HU93=1,GL93=1),MIN(NK93,NP93),0)</f>
        <v>0</v>
      </c>
      <c r="NS93" s="20" t="n">
        <f aca="false">NK93-NR93</f>
        <v>0</v>
      </c>
      <c r="NT93" s="20" t="n">
        <f aca="false">IF(GV93=1,IF(ABS((1+AS_Wage)/(1+Slot19_Rate)-1)&lt;0.000000000001,(Slot19_Age-D93)*(1+Slot19_Rate)^(Slot19_Age-D93),(1+Slot19_Rate)^(Slot19_Age-D93)*(1-((1+AS_Wage)/(1+Slot19_Rate))^(Slot19_Age-D93))/(1-(1+AS_Wage)/(1+Slot19_Rate))),1)</f>
        <v>1</v>
      </c>
      <c r="NU93" s="20" t="n">
        <f aca="false">IF(AND(HU93=1,IE93&gt;0,Slot19_IsWG=1,GV93=1),MAX(0,(Slot19_Cost-GW93*(1+Slot19_Rate)^(Slot19_Age-D93))/NT93),0)</f>
        <v>0</v>
      </c>
      <c r="NV93" s="20" t="n">
        <f aca="false">IF(AND(HU93=1,IE93&gt;0,Slot19_IsWG=1,GV93=1),MIN(IE93,NU93),0)</f>
        <v>0</v>
      </c>
      <c r="NW93" s="20" t="n">
        <f aca="false">GW93+NV93</f>
        <v>0</v>
      </c>
      <c r="NX93" s="20" t="n">
        <f aca="false">IF(GV93=1,MAX(0,(Slot19_Cost-NW93*(1+Slot19_Rate)^(Slot19_Age-D93))/NT93),0)</f>
        <v>0</v>
      </c>
      <c r="NY93" s="20" t="n">
        <f aca="false">IF(GV93=1,MAX(0,(Slot19_Cost-GW93*(1+Slot19_Rate)^(Slot19_Age-D93))/NT93),0)</f>
        <v>0</v>
      </c>
      <c r="NZ93" s="20" t="n">
        <f aca="false">IF(AND(HU93=1,GV93=1),MIN(NS93,NX93),0)</f>
        <v>0</v>
      </c>
      <c r="OA93" s="20" t="n">
        <f aca="false">NS93-NZ93</f>
        <v>0</v>
      </c>
      <c r="OB93" s="20" t="n">
        <f aca="false">IF(HF93=1,IF(ABS((1+AS_Wage)/(1+Slot20_Rate)-1)&lt;0.000000000001,(Slot20_Age-D93)*(1+Slot20_Rate)^(Slot20_Age-D93),(1+Slot20_Rate)^(Slot20_Age-D93)*(1-((1+AS_Wage)/(1+Slot20_Rate))^(Slot20_Age-D93))/(1-(1+AS_Wage)/(1+Slot20_Rate))),1)</f>
        <v>1</v>
      </c>
      <c r="OC93" s="20" t="n">
        <f aca="false">IF(AND(HU93=1,IE93&gt;0,Slot20_IsWG=1,HF93=1),MAX(0,(Slot20_Cost-HG93*(1+Slot20_Rate)^(Slot20_Age-D93))/OB93),0)</f>
        <v>0</v>
      </c>
      <c r="OD93" s="20" t="n">
        <f aca="false">IF(AND(HU93=1,IE93&gt;0,Slot20_IsWG=1,HF93=1),MIN(IE93,OC93),0)</f>
        <v>0</v>
      </c>
      <c r="OE93" s="20" t="n">
        <f aca="false">HG93+OD93</f>
        <v>0</v>
      </c>
      <c r="OF93" s="20" t="n">
        <f aca="false">IF(HF93=1,MAX(0,(Slot20_Cost-OE93*(1+Slot20_Rate)^(Slot20_Age-D93))/OB93),0)</f>
        <v>0</v>
      </c>
      <c r="OG93" s="20" t="n">
        <f aca="false">IF(HF93=1,MAX(0,(Slot20_Cost-HG93*(1+Slot20_Rate)^(Slot20_Age-D93))/OB93),0)</f>
        <v>0</v>
      </c>
      <c r="OH93" s="20" t="n">
        <f aca="false">IF(AND(HU93=1,HF93=1),MIN(OA93,OF93),0)</f>
        <v>0</v>
      </c>
      <c r="OI93" s="20" t="n">
        <f aca="false">OA93-OH93</f>
        <v>0</v>
      </c>
      <c r="OJ93" s="20" t="n">
        <f aca="false">IE93-(IH93+IP93+IX93+JF93+JN93+JV93+KD93+KL93+KT93+LB93+LJ93+LR93+LZ93+MH93+MP93+MX93+NF93+NN93+NV93+OD93)</f>
        <v>0</v>
      </c>
      <c r="OK93" s="20" t="n">
        <f aca="false">IF(HU93=1,HS93-ID93-IE93,0)</f>
        <v>0</v>
      </c>
      <c r="OL93" s="20" t="n">
        <f aca="false">IF(HU93=0,-HS93,0)</f>
        <v>103703.958782408</v>
      </c>
      <c r="OM93" s="20" t="n">
        <f aca="false">MIN(OL93,HK93)</f>
        <v>0</v>
      </c>
      <c r="ON93" s="20" t="n">
        <f aca="false">OL93-OM93</f>
        <v>103703.958782408</v>
      </c>
      <c r="OO93" s="20" t="n">
        <f aca="false">MIN(ON93,HL93)</f>
        <v>0</v>
      </c>
      <c r="OP93" s="20" t="n">
        <f aca="false">ON93-OO93</f>
        <v>103703.958782408</v>
      </c>
      <c r="OQ93" s="20" t="n">
        <f aca="false">IF(AND(HU93=0,HF93=1,OP93&gt;0),MIN(OP93,HG93),0)</f>
        <v>0</v>
      </c>
      <c r="OR93" s="20" t="n">
        <f aca="false">OP93-OQ93</f>
        <v>103703.958782408</v>
      </c>
      <c r="OS93" s="20" t="n">
        <f aca="false">IF(AND(HU93=0,GV93=1,OR93&gt;0),MIN(OR93,GW93),0)</f>
        <v>0</v>
      </c>
      <c r="OT93" s="20" t="n">
        <f aca="false">OR93-OS93</f>
        <v>103703.958782408</v>
      </c>
      <c r="OU93" s="20" t="n">
        <f aca="false">IF(AND(HU93=0,GL93=1,OT93&gt;0),MIN(OT93,GM93),0)</f>
        <v>0</v>
      </c>
      <c r="OV93" s="20" t="n">
        <f aca="false">OT93-OU93</f>
        <v>103703.958782408</v>
      </c>
      <c r="OW93" s="20" t="n">
        <f aca="false">IF(AND(HU93=0,GB93=1,OV93&gt;0),MIN(OV93,GC93),0)</f>
        <v>0</v>
      </c>
      <c r="OX93" s="20" t="n">
        <f aca="false">OV93-OW93</f>
        <v>103703.958782408</v>
      </c>
      <c r="OY93" s="20" t="n">
        <f aca="false">IF(AND(HU93=0,FR93=1,OX93&gt;0),MIN(OX93,FS93),0)</f>
        <v>0</v>
      </c>
      <c r="OZ93" s="20" t="n">
        <f aca="false">OX93-OY93</f>
        <v>103703.958782408</v>
      </c>
      <c r="PA93" s="20" t="n">
        <f aca="false">IF(AND(HU93=0,FH93=1,OZ93&gt;0),MIN(OZ93,FI93),0)</f>
        <v>0</v>
      </c>
      <c r="PB93" s="20" t="n">
        <f aca="false">OZ93-PA93</f>
        <v>103703.958782408</v>
      </c>
      <c r="PC93" s="20" t="n">
        <f aca="false">IF(AND(HU93=0,EX93=1,PB93&gt;0),MIN(PB93,EY93),0)</f>
        <v>0</v>
      </c>
      <c r="PD93" s="20" t="n">
        <f aca="false">PB93-PC93</f>
        <v>103703.958782408</v>
      </c>
      <c r="PE93" s="20" t="n">
        <f aca="false">IF(AND(HU93=0,EN93=1,PD93&gt;0),MIN(PD93,EO93),0)</f>
        <v>0</v>
      </c>
      <c r="PF93" s="20" t="n">
        <f aca="false">PD93-PE93</f>
        <v>103703.958782408</v>
      </c>
      <c r="PG93" s="20" t="n">
        <f aca="false">IF(AND(HU93=0,ED93=1,PF93&gt;0),MIN(PF93,EE93),0)</f>
        <v>0</v>
      </c>
      <c r="PH93" s="20" t="n">
        <f aca="false">PF93-PG93</f>
        <v>103703.958782408</v>
      </c>
      <c r="PI93" s="20" t="n">
        <f aca="false">IF(AND(HU93=0,DT93=1,PH93&gt;0),MIN(PH93,DU93),0)</f>
        <v>0</v>
      </c>
      <c r="PJ93" s="20" t="n">
        <f aca="false">PH93-PI93</f>
        <v>103703.958782408</v>
      </c>
      <c r="PK93" s="20" t="n">
        <f aca="false">IF(AND(HU93=0,DJ93=1,PJ93&gt;0),MIN(PJ93,DK93),0)</f>
        <v>0</v>
      </c>
      <c r="PL93" s="20" t="n">
        <f aca="false">PJ93-PK93</f>
        <v>103703.958782408</v>
      </c>
      <c r="PM93" s="20" t="n">
        <f aca="false">IF(AND(HU93=0,CZ93=1,PL93&gt;0),MIN(PL93,DA93),0)</f>
        <v>0</v>
      </c>
      <c r="PN93" s="20" t="n">
        <f aca="false">PL93-PM93</f>
        <v>103703.958782408</v>
      </c>
      <c r="PO93" s="20" t="n">
        <f aca="false">IF(AND(HU93=0,CP93=1,PN93&gt;0),MIN(PN93,CQ93),0)</f>
        <v>0</v>
      </c>
      <c r="PP93" s="20" t="n">
        <f aca="false">PN93-PO93</f>
        <v>103703.958782408</v>
      </c>
      <c r="PQ93" s="20" t="n">
        <f aca="false">IF(AND(HU93=0,CF93=1,PP93&gt;0),MIN(PP93,CG93),0)</f>
        <v>0</v>
      </c>
      <c r="PR93" s="20" t="n">
        <f aca="false">PP93-PQ93</f>
        <v>103703.958782408</v>
      </c>
      <c r="PS93" s="20" t="n">
        <f aca="false">IF(AND(HU93=0,BV93=1,PR93&gt;0),MIN(PR93,BW93),0)</f>
        <v>0</v>
      </c>
      <c r="PT93" s="20" t="n">
        <f aca="false">PR93-PS93</f>
        <v>103703.958782408</v>
      </c>
      <c r="PU93" s="20" t="n">
        <f aca="false">IF(AND(HU93=0,BL93=1,PT93&gt;0),MIN(PT93,BM93),0)</f>
        <v>0</v>
      </c>
      <c r="PV93" s="20" t="n">
        <f aca="false">PT93-PU93</f>
        <v>103703.958782408</v>
      </c>
      <c r="PW93" s="20" t="n">
        <f aca="false">IF(AND(HU93=0,BB93=1,PV93&gt;0),MIN(PV93,BC93),0)</f>
        <v>0</v>
      </c>
      <c r="PX93" s="20" t="n">
        <f aca="false">PV93-PW93</f>
        <v>103703.958782408</v>
      </c>
      <c r="PY93" s="20" t="n">
        <f aca="false">IF(AND(HU93=0,AR93=1,PX93&gt;0),MIN(PX93,AS93),0)</f>
        <v>0</v>
      </c>
      <c r="PZ93" s="20" t="n">
        <f aca="false">PX93-PY93</f>
        <v>103703.958782408</v>
      </c>
      <c r="QA93" s="20" t="n">
        <f aca="false">IF(AND(HU93=0,AH93=1,PZ93&gt;0),MIN(PZ93,AI93),0)</f>
        <v>0</v>
      </c>
      <c r="QB93" s="20" t="n">
        <f aca="false">PZ93-QA93</f>
        <v>103703.958782408</v>
      </c>
      <c r="QC93" s="20" t="n">
        <f aca="false">IF(AND(HU93=0,W93=1,QB93&gt;0),MIN(QB93,X93),0)</f>
        <v>0</v>
      </c>
      <c r="QD93" s="20" t="n">
        <f aca="false">QB93-QC93</f>
        <v>103703.958782408</v>
      </c>
      <c r="QE93" s="20" t="n">
        <f aca="false">IF(HU93=0,QD93,0)</f>
        <v>103703.958782408</v>
      </c>
      <c r="QF93" s="20" t="n">
        <f aca="false">OM93+OO93+QC93+QA93+PY93+PW93+PU93+PS93+PQ93+PO93+PM93+PK93+PI93+PG93+PE93+PC93+PA93+OY93+OW93+OU93+OS93+OQ93</f>
        <v>0</v>
      </c>
      <c r="QG93" s="20" t="n">
        <f aca="false">IF(HU93=1,HK93+OJ93+OI93+IF(G93=1,0,OK93),HK93-OM93)</f>
        <v>0</v>
      </c>
      <c r="QH93" s="20" t="n">
        <f aca="false">HL93-OO93</f>
        <v>0</v>
      </c>
      <c r="QI93" s="20" t="n">
        <f aca="false">IF(HU93=1,IF(G93=1,ID93+IE93,HS93),0)</f>
        <v>0</v>
      </c>
      <c r="QJ93" s="20" t="n">
        <f aca="false">IF(HU93=1,IF(G93=1,HS93-ID93-IE93,0),0)</f>
        <v>0</v>
      </c>
      <c r="QK93" s="20" t="n">
        <f aca="false">QG93*(1+GR)</f>
        <v>0</v>
      </c>
      <c r="QL93" s="20" t="n">
        <f aca="false">QH93*(1+AS_Cash)</f>
        <v>0</v>
      </c>
      <c r="QM93" s="20" t="n">
        <f aca="false">IF(W93=1,IF(HU93=1,II93+IL93,X93-QC93)*(1+Slot1_Rate),0)</f>
        <v>0</v>
      </c>
      <c r="QN93" s="20" t="n">
        <f aca="false">IF(AND(HU93=1,W93=1),(IH93+IL93)/F93,0)</f>
        <v>0</v>
      </c>
      <c r="QO93" s="20" t="n">
        <f aca="false">IF(B93=0,IH93+IL93,0)</f>
        <v>0</v>
      </c>
      <c r="QP93" s="20" t="n">
        <f aca="false">IF(B93=0,IF(HU93=1,IJ93,IK93),0)</f>
        <v>0</v>
      </c>
      <c r="QQ93" s="20" t="n">
        <f aca="false">IF(AH93=1,IF(HU93=1,IQ93+IT93,AI93-QA93)*(1+Slot2_Rate),0)</f>
        <v>0</v>
      </c>
      <c r="QR93" s="20" t="n">
        <f aca="false">IF(AND(HU93=1,AH93=1),(IP93+IT93)/F93,0)</f>
        <v>0</v>
      </c>
      <c r="QS93" s="20" t="n">
        <f aca="false">IF(B93=0,IP93+IT93,0)</f>
        <v>0</v>
      </c>
      <c r="QT93" s="20" t="n">
        <f aca="false">IF(B93=0,IF(HU93=1,IR93,IS93),0)</f>
        <v>0</v>
      </c>
      <c r="QU93" s="20" t="n">
        <f aca="false">IF(AR93=1,IF(HU93=1,IY93+JB93,AS93-PY93)*(1+Slot3_Rate),0)</f>
        <v>0</v>
      </c>
      <c r="QV93" s="20" t="n">
        <f aca="false">IF(AND(HU93=1,AR93=1),(IX93+JB93)/F93,0)</f>
        <v>0</v>
      </c>
      <c r="QW93" s="20" t="n">
        <f aca="false">IF(B93=0,IX93+JB93,0)</f>
        <v>0</v>
      </c>
      <c r="QX93" s="20" t="n">
        <f aca="false">IF(B93=0,IF(HU93=1,IZ93,JA93),0)</f>
        <v>0</v>
      </c>
      <c r="QY93" s="20" t="n">
        <f aca="false">IF(BB93=1,IF(HU93=1,JG93+JJ93,BC93-PW93)*(1+Slot4_Rate),0)</f>
        <v>0</v>
      </c>
      <c r="QZ93" s="20" t="n">
        <f aca="false">IF(AND(HU93=1,BB93=1),(JF93+JJ93)/F93,0)</f>
        <v>0</v>
      </c>
      <c r="RA93" s="20" t="n">
        <f aca="false">IF(B93=0,JF93+JJ93,0)</f>
        <v>0</v>
      </c>
      <c r="RB93" s="20" t="n">
        <f aca="false">IF(B93=0,IF(HU93=1,JH93,JI93),0)</f>
        <v>0</v>
      </c>
      <c r="RC93" s="20" t="n">
        <f aca="false">IF(BL93=1,IF(HU93=1,JO93+JR93,BM93-PU93)*(1+Slot5_Rate),0)</f>
        <v>0</v>
      </c>
      <c r="RD93" s="20" t="n">
        <f aca="false">IF(AND(HU93=1,BL93=1),(JN93+JR93)/F93,0)</f>
        <v>0</v>
      </c>
      <c r="RE93" s="20" t="n">
        <f aca="false">IF(B93=0,JN93+JR93,0)</f>
        <v>0</v>
      </c>
      <c r="RF93" s="20" t="n">
        <f aca="false">IF(B93=0,IF(HU93=1,JP93,JQ93),0)</f>
        <v>0</v>
      </c>
      <c r="RG93" s="20" t="n">
        <f aca="false">IF(BV93=1,IF(HU93=1,JW93+JZ93,BW93-PS93)*(1+Slot6_Rate),0)</f>
        <v>0</v>
      </c>
      <c r="RH93" s="20" t="n">
        <f aca="false">IF(AND(HU93=1,BV93=1),(JV93+JZ93)/F93,0)</f>
        <v>0</v>
      </c>
      <c r="RI93" s="20" t="n">
        <f aca="false">IF(B93=0,JV93+JZ93,0)</f>
        <v>0</v>
      </c>
      <c r="RJ93" s="20" t="n">
        <f aca="false">IF(B93=0,IF(HU93=1,JX93,JY93),0)</f>
        <v>0</v>
      </c>
      <c r="RK93" s="20" t="n">
        <f aca="false">IF(CF93=1,IF(HU93=1,KE93+KH93,CG93-PQ93)*(1+Slot7_Rate),0)</f>
        <v>0</v>
      </c>
      <c r="RL93" s="20" t="n">
        <f aca="false">IF(AND(HU93=1,CF93=1),(KD93+KH93)/F93,0)</f>
        <v>0</v>
      </c>
      <c r="RM93" s="20" t="n">
        <f aca="false">IF(B93=0,KD93+KH93,0)</f>
        <v>0</v>
      </c>
      <c r="RN93" s="20" t="n">
        <f aca="false">IF(B93=0,IF(HU93=1,KF93,KG93),0)</f>
        <v>0</v>
      </c>
      <c r="RO93" s="20" t="n">
        <f aca="false">IF(CP93=1,IF(HU93=1,KM93+KP93,CQ93-PO93)*(1+Slot8_Rate),0)</f>
        <v>0</v>
      </c>
      <c r="RP93" s="20" t="n">
        <f aca="false">IF(AND(HU93=1,CP93=1),(KL93+KP93)/F93,0)</f>
        <v>0</v>
      </c>
      <c r="RQ93" s="20" t="n">
        <f aca="false">IF(B93=0,KL93+KP93,0)</f>
        <v>0</v>
      </c>
      <c r="RR93" s="20" t="n">
        <f aca="false">IF(B93=0,IF(HU93=1,KN93,KO93),0)</f>
        <v>0</v>
      </c>
      <c r="RS93" s="20" t="n">
        <f aca="false">IF(CZ93=1,IF(HU93=1,KU93+KX93,DA93-PM93)*(1+Slot9_Rate),0)</f>
        <v>0</v>
      </c>
      <c r="RT93" s="20" t="n">
        <f aca="false">IF(AND(HU93=1,CZ93=1),(KT93+KX93)/F93,0)</f>
        <v>0</v>
      </c>
      <c r="RU93" s="20" t="n">
        <f aca="false">IF(B93=0,KT93+KX93,0)</f>
        <v>0</v>
      </c>
      <c r="RV93" s="20" t="n">
        <f aca="false">IF(B93=0,IF(HU93=1,KV93,KW93),0)</f>
        <v>0</v>
      </c>
      <c r="RW93" s="20" t="n">
        <f aca="false">IF(DJ93=1,IF(HU93=1,LC93+LF93,DK93-PK93)*(1+Slot10_Rate),0)</f>
        <v>0</v>
      </c>
      <c r="RX93" s="20" t="n">
        <f aca="false">IF(AND(HU93=1,DJ93=1),(LB93+LF93)/F93,0)</f>
        <v>0</v>
      </c>
      <c r="RY93" s="20" t="n">
        <f aca="false">IF(B93=0,LB93+LF93,0)</f>
        <v>0</v>
      </c>
      <c r="RZ93" s="20" t="n">
        <f aca="false">IF(B93=0,IF(HU93=1,LD93,LE93),0)</f>
        <v>0</v>
      </c>
      <c r="SA93" s="20" t="n">
        <f aca="false">IF(DT93=1,IF(HU93=1,LK93+LN93,DU93-PI93)*(1+Slot11_Rate),0)</f>
        <v>0</v>
      </c>
      <c r="SB93" s="20" t="n">
        <f aca="false">IF(AND(HU93=1,DT93=1),(LJ93+LN93)/F93,0)</f>
        <v>0</v>
      </c>
      <c r="SC93" s="20" t="n">
        <f aca="false">IF(B93=0,LJ93+LN93,0)</f>
        <v>0</v>
      </c>
      <c r="SD93" s="20" t="n">
        <f aca="false">IF(B93=0,IF(HU93=1,LL93,LM93),0)</f>
        <v>0</v>
      </c>
      <c r="SE93" s="20" t="n">
        <f aca="false">IF(ED93=1,IF(HU93=1,LS93+LV93,EE93-PG93)*(1+Slot12_Rate),0)</f>
        <v>0</v>
      </c>
      <c r="SF93" s="20" t="n">
        <f aca="false">IF(AND(HU93=1,ED93=1),(LR93+LV93)/F93,0)</f>
        <v>0</v>
      </c>
      <c r="SG93" s="20" t="n">
        <f aca="false">IF(B93=0,LR93+LV93,0)</f>
        <v>0</v>
      </c>
      <c r="SH93" s="20" t="n">
        <f aca="false">IF(B93=0,IF(HU93=1,LT93,LU93),0)</f>
        <v>0</v>
      </c>
      <c r="SI93" s="20" t="n">
        <f aca="false">IF(EN93=1,IF(HU93=1,MA93+MD93,EO93-PE93)*(1+Slot13_Rate),0)</f>
        <v>0</v>
      </c>
      <c r="SJ93" s="20" t="n">
        <f aca="false">IF(AND(HU93=1,EN93=1),(LZ93+MD93)/F93,0)</f>
        <v>0</v>
      </c>
      <c r="SK93" s="20" t="n">
        <f aca="false">IF(B93=0,LZ93+MD93,0)</f>
        <v>0</v>
      </c>
      <c r="SL93" s="20" t="n">
        <f aca="false">IF(B93=0,IF(HU93=1,MB93,MC93),0)</f>
        <v>0</v>
      </c>
      <c r="SM93" s="20" t="n">
        <f aca="false">IF(EX93=1,IF(HU93=1,MI93+ML93,EY93-PC93)*(1+Slot14_Rate),0)</f>
        <v>0</v>
      </c>
      <c r="SN93" s="20" t="n">
        <f aca="false">IF(AND(HU93=1,EX93=1),(MH93+ML93)/F93,0)</f>
        <v>0</v>
      </c>
      <c r="SO93" s="20" t="n">
        <f aca="false">IF(B93=0,MH93+ML93,0)</f>
        <v>0</v>
      </c>
      <c r="SP93" s="20" t="n">
        <f aca="false">IF(B93=0,IF(HU93=1,MJ93,MK93),0)</f>
        <v>0</v>
      </c>
      <c r="SQ93" s="20" t="n">
        <f aca="false">IF(FH93=1,IF(HU93=1,MQ93+MT93,FI93-PA93)*(1+Slot15_Rate),0)</f>
        <v>0</v>
      </c>
      <c r="SR93" s="20" t="n">
        <f aca="false">IF(AND(HU93=1,FH93=1),(MP93+MT93)/F93,0)</f>
        <v>0</v>
      </c>
      <c r="SS93" s="20" t="n">
        <f aca="false">IF(B93=0,MP93+MT93,0)</f>
        <v>0</v>
      </c>
      <c r="ST93" s="20" t="n">
        <f aca="false">IF(B93=0,IF(HU93=1,MR93,MS93),0)</f>
        <v>0</v>
      </c>
      <c r="SU93" s="20" t="n">
        <f aca="false">IF(FR93=1,IF(HU93=1,MY93+NB93,FS93-OY93)*(1+Slot16_Rate),0)</f>
        <v>0</v>
      </c>
      <c r="SV93" s="20" t="n">
        <f aca="false">IF(AND(HU93=1,FR93=1),(MX93+NB93)/F93,0)</f>
        <v>0</v>
      </c>
      <c r="SW93" s="20" t="n">
        <f aca="false">IF(B93=0,MX93+NB93,0)</f>
        <v>0</v>
      </c>
      <c r="SX93" s="20" t="n">
        <f aca="false">IF(B93=0,IF(HU93=1,MZ93,NA93),0)</f>
        <v>0</v>
      </c>
      <c r="SY93" s="20" t="n">
        <f aca="false">IF(GB93=1,IF(HU93=1,NG93+NJ93,GC93-OW93)*(1+Slot17_Rate),0)</f>
        <v>0</v>
      </c>
      <c r="SZ93" s="20" t="n">
        <f aca="false">IF(AND(HU93=1,GB93=1),(NF93+NJ93)/F93,0)</f>
        <v>0</v>
      </c>
      <c r="TA93" s="20" t="n">
        <f aca="false">IF(B93=0,NF93+NJ93,0)</f>
        <v>0</v>
      </c>
      <c r="TB93" s="20" t="n">
        <f aca="false">IF(B93=0,IF(HU93=1,NH93,NI93),0)</f>
        <v>0</v>
      </c>
      <c r="TC93" s="20" t="n">
        <f aca="false">IF(GL93=1,IF(HU93=1,NO93+NR93,GM93-OU93)*(1+Slot18_Rate),0)</f>
        <v>0</v>
      </c>
      <c r="TD93" s="20" t="n">
        <f aca="false">IF(AND(HU93=1,GL93=1),(NN93+NR93)/F93,0)</f>
        <v>0</v>
      </c>
      <c r="TE93" s="20" t="n">
        <f aca="false">IF(B93=0,NN93+NR93,0)</f>
        <v>0</v>
      </c>
      <c r="TF93" s="20" t="n">
        <f aca="false">IF(B93=0,IF(HU93=1,NP93,NQ93),0)</f>
        <v>0</v>
      </c>
      <c r="TG93" s="20" t="n">
        <f aca="false">IF(GV93=1,IF(HU93=1,NW93+NZ93,GW93-OS93)*(1+Slot19_Rate),0)</f>
        <v>0</v>
      </c>
      <c r="TH93" s="20" t="n">
        <f aca="false">IF(AND(HU93=1,GV93=1),(NV93+NZ93)/F93,0)</f>
        <v>0</v>
      </c>
      <c r="TI93" s="20" t="n">
        <f aca="false">IF(B93=0,NV93+NZ93,0)</f>
        <v>0</v>
      </c>
      <c r="TJ93" s="20" t="n">
        <f aca="false">IF(B93=0,IF(HU93=1,NX93,NY93),0)</f>
        <v>0</v>
      </c>
      <c r="TK93" s="20" t="n">
        <f aca="false">IF(HF93=1,IF(HU93=1,OE93+OH93,HG93-OQ93)*(1+Slot20_Rate),0)</f>
        <v>0</v>
      </c>
      <c r="TL93" s="20" t="n">
        <f aca="false">IF(AND(HU93=1,HF93=1),(OD93+OH93)/F93,0)</f>
        <v>0</v>
      </c>
      <c r="TM93" s="20" t="n">
        <f aca="false">IF(B93=0,OD93+OH93,0)</f>
        <v>0</v>
      </c>
      <c r="TN93" s="20" t="n">
        <f aca="false">IF(B93=0,IF(HU93=1,OF93,OG93),0)</f>
        <v>0</v>
      </c>
      <c r="TO93" s="20" t="n">
        <f aca="false">QK93+QL93+QM93+QQ93+QU93+QY93+RC93+RG93+RK93+RO93+RS93+RW93+SA93+SE93+SI93+SM93+SQ93+SU93+SY93+TC93+TG93+TK93</f>
        <v>0</v>
      </c>
      <c r="TP93" s="20" t="n">
        <f aca="false">QE93+HP93</f>
        <v>103703.958782408</v>
      </c>
      <c r="TQ93" s="20" t="n">
        <f aca="false">I93+S93</f>
        <v>257301.605656068</v>
      </c>
      <c r="TR93" s="20" t="n">
        <f aca="false">1-G93</f>
        <v>1</v>
      </c>
      <c r="TS93" s="20" t="n">
        <f aca="false">IF(AND(RG_Exists=1,G93=0,C93=1),I93,0)</f>
        <v>0</v>
      </c>
      <c r="TT93" s="20" t="n">
        <f aca="false">IF(AND(RG_Exists=1,G93=0,C93=1),I93-MIN(QE93,I93),0)</f>
        <v>0</v>
      </c>
      <c r="TU93" s="20" t="n">
        <f aca="false">'Plan pay &amp; tax'!AD319</f>
        <v>0</v>
      </c>
      <c r="TV93" s="20" t="n">
        <f aca="false">IF(AND(C93=1,QE93&gt;MAX(PR_Short1,TQ93*PR_Short2)),1,0)</f>
        <v>0</v>
      </c>
      <c r="TW93" s="20" t="n">
        <f aca="false">MIN(H93,I93+S93)</f>
        <v>153597.64687366</v>
      </c>
      <c r="TX93" s="20" t="n">
        <f aca="false">QF93+MAX(0,HQ93-HP93)</f>
        <v>0</v>
      </c>
      <c r="TY93" s="20" t="n">
        <f aca="false">QE93+HP93</f>
        <v>103703.958782408</v>
      </c>
      <c r="TZ93" s="20" t="n">
        <f aca="false">IF(AND(C93=1,TY93&gt;PR_MinShort),1,0)</f>
        <v>0</v>
      </c>
      <c r="UA93" s="20" t="n">
        <f aca="false">IF(AND(C93=1,TZ93=0,TX93&gt;PR_MinShort),1,0)</f>
        <v>0</v>
      </c>
      <c r="UB93" s="20" t="n">
        <f aca="false">IF(AND(C93=1,QE93&gt;PR_MinShort),1,0)</f>
        <v>0</v>
      </c>
      <c r="UC93" s="20" t="n">
        <f aca="false">IF(AND(C93=1,QF93&gt;1,UJ93=0),1,0)</f>
        <v>0</v>
      </c>
      <c r="UD93" s="20" t="str">
        <f aca="false">IF(C93=0,"",IF(UJ93=1,"Gap to plan for: short "&amp;"€"&amp;TEXT(ROUND(TP93,0),"#,##0"),IF(QF93&gt;1,"Using savings","Comfortable")))</f>
        <v/>
      </c>
      <c r="UE93" s="20" t="n">
        <f aca="false">IF(AND(INT(D93/10)*10=90,B93&gt;0),80,INT(D93/10)*10)</f>
        <v>120</v>
      </c>
      <c r="UF93" s="20" t="n">
        <f aca="false">IF(B93=0,1,IF(UE93&lt;&gt;UE92,UF92+1,UF92))</f>
        <v>9</v>
      </c>
      <c r="UG93" s="20" t="n">
        <f aca="false">IF(AND(C93=1,G93=1,QE93&gt;MAX(PR_Short1,TQ93*PR_Short2)),1,0)</f>
        <v>0</v>
      </c>
      <c r="UH93" s="20" t="n">
        <f aca="false">TR93*TV93</f>
        <v>0</v>
      </c>
      <c r="UI93" s="20" t="n">
        <f aca="false">IF(AND(V93=1,Slot1_PctLow=1),1,0)+IF(AND(AG93=1,Slot2_PctLow=1),1,0)+IF(AND(AQ93=1,Slot3_PctLow=1),1,0)+IF(AND(BA93=1,Slot4_PctLow=1),1,0)+IF(AND(BK93=1,Slot5_PctLow=1),1,0)+IF(AND(BU93=1,Slot6_PctLow=1),1,0)+IF(AND(CE93=1,Slot7_PctLow=1),1,0)+IF(AND(CO93=1,Slot8_PctLow=1),1,0)+IF(AND(CY93=1,Slot9_PctLow=1),1,0)+IF(AND(DI93=1,Slot10_PctLow=1),1,0)+IF(AND(DS93=1,Slot11_PctLow=1),1,0)+IF(AND(EC93=1,Slot12_PctLow=1),1,0)+IF(AND(EM93=1,Slot13_PctLow=1),1,0)+IF(AND(EW93=1,Slot14_PctLow=1),1,0)+IF(AND(FG93=1,Slot15_PctLow=1),1,0)+IF(AND(FQ93=1,Slot16_PctLow=1),1,0)+IF(AND(GA93=1,Slot17_PctLow=1),1,0)+IF(AND(GK93=1,Slot18_PctLow=1),1,0)+IF(AND(GU93=1,Slot19_PctLow=1),1,0)+IF(AND(HE93=1,Slot20_PctLow=1),1,0)</f>
        <v>0</v>
      </c>
      <c r="UJ93" s="20" t="n">
        <f aca="false">IF(C93=1,IF(OR(TV93=1,UI93&gt;0),1,0),0)</f>
        <v>0</v>
      </c>
    </row>
    <row r="94" customFormat="false" ht="15" hidden="false" customHeight="true" outlineLevel="0" collapsed="false">
      <c r="B94" s="20" t="n">
        <v>86</v>
      </c>
      <c r="C94" s="20" t="n">
        <f aca="false">IF(B94&lt;=F_N,1,0)</f>
        <v>0</v>
      </c>
      <c r="D94" s="20" t="n">
        <f aca="false">'Plan pay &amp; tax'!C320</f>
        <v>124</v>
      </c>
      <c r="E94" s="20" t="str">
        <f aca="false">IF($C94=1,"Income tax "&amp;TEXT(N('Plan pay &amp; tax'!BK320),"#,##0")&amp;"; USC "&amp;TEXT(N('Plan pay &amp; tax'!BM320)+N('Plan pay &amp; tax'!BO320),"#,##0")&amp;"; PRSI "&amp;TEXT(N('Plan pay &amp; tax'!BP320)+N('Plan pay &amp; tax'!BQ320),"#,##0")&amp;". DIRT and exit tax are inside the growth rates here.","")</f>
        <v/>
      </c>
      <c r="F94" s="44" t="n">
        <f aca="false">'Plan pay &amp; tax'!E320</f>
        <v>5.49053635500395</v>
      </c>
      <c r="G94" s="20" t="n">
        <f aca="false">'Plan pay &amp; tax'!G320</f>
        <v>0</v>
      </c>
      <c r="H94" s="20" t="n">
        <f aca="false">'Plan pay &amp; tax'!BT320-'Plan pay &amp; tax'!BS320-'Plan pay &amp; tax'!R320</f>
        <v>156669.599811133</v>
      </c>
      <c r="I94" s="20" t="n">
        <f aca="false">IF(G94=1,F_CostsM*12,IF(RG_Exists=1,RG_Amount,F_CostsM*12*AS_RetireSpend))*F94+F_OneOffY*F94</f>
        <v>262447.637769189</v>
      </c>
      <c r="J94" s="20" t="n">
        <f aca="false">HR93</f>
        <v>0</v>
      </c>
      <c r="K94" s="20" t="n">
        <f aca="false">IF(J94&gt;1,'Plan debt months'!AC94,0)</f>
        <v>0</v>
      </c>
      <c r="L94" s="20" t="n">
        <f aca="false">IF(J94&gt;1,'Plan debt months'!AB94,J94)</f>
        <v>0</v>
      </c>
      <c r="M94" s="20" t="n">
        <f aca="false">O93</f>
        <v>0</v>
      </c>
      <c r="N94" s="20" t="n">
        <f aca="false">IF(M94&gt;1,'Plan debt months'!BD94,0)</f>
        <v>0</v>
      </c>
      <c r="O94" s="20" t="n">
        <f aca="false">IF(M94&gt;1,'Plan debt months'!BC94,M94)</f>
        <v>0</v>
      </c>
      <c r="P94" s="20" t="n">
        <f aca="false">R93</f>
        <v>0</v>
      </c>
      <c r="Q94" s="20" t="n">
        <f aca="false">IF(P94&gt;1,'Plan debt months'!CE94,0)</f>
        <v>0</v>
      </c>
      <c r="R94" s="20" t="n">
        <f aca="false">IF(P94&gt;1,'Plan debt months'!CD94,P94)</f>
        <v>0</v>
      </c>
      <c r="S94" s="20" t="n">
        <f aca="false">K94+N94+Q94</f>
        <v>0</v>
      </c>
      <c r="T94" s="20" t="n">
        <f aca="false">QK93+'Plan pay &amp; tax'!Y320</f>
        <v>0</v>
      </c>
      <c r="U94" s="20" t="n">
        <f aca="false">QK93</f>
        <v>0</v>
      </c>
      <c r="V94" s="20" t="n">
        <f aca="false">IF(AND(Slot1_On=1,D94=Slot1_Age),1,0)</f>
        <v>0</v>
      </c>
      <c r="W94" s="20" t="n">
        <f aca="false">IF(AND(Slot1_On=1,Slot1_Age&gt;D94),1,0)</f>
        <v>0</v>
      </c>
      <c r="X94" s="20" t="n">
        <f aca="false">QM93</f>
        <v>0</v>
      </c>
      <c r="Y94" s="20" t="n">
        <f aca="false">V94*MIN(Slot1_Cost,X94)</f>
        <v>0</v>
      </c>
      <c r="Z94" s="20" t="n">
        <f aca="false">V94*Slot1_SpendLike*MIN(Slot1_Cost-Y94,T94)</f>
        <v>0</v>
      </c>
      <c r="AA94" s="20" t="n">
        <f aca="false">Y94+Z94</f>
        <v>0</v>
      </c>
      <c r="AB94" s="20" t="n">
        <f aca="false">T94-Z94+V94*IF(Slot1_SpendLike=1,X94-Y94,IF(Slot1_PotFree=1,X94,0))</f>
        <v>0</v>
      </c>
      <c r="AC94" s="20" t="n">
        <f aca="false">AF94+V94*Slot1_BufPot*X94</f>
        <v>0</v>
      </c>
      <c r="AD94" s="20" t="n">
        <f aca="false">IF(AND(V94=1,Slot1_IsMfree=1),IF(AA94&gt;=Slot1_Cost-1,0,MAX(0,L94-AA94)),L94)</f>
        <v>0</v>
      </c>
      <c r="AE94" s="20" t="n">
        <f aca="false">V94*(Slot1_Cost-AA94)</f>
        <v>0</v>
      </c>
      <c r="AF94" s="20" t="n">
        <f aca="false">QL93</f>
        <v>0</v>
      </c>
      <c r="AG94" s="20" t="n">
        <f aca="false">IF(AND(Slot2_On=1,D94=Slot2_Age),1,0)</f>
        <v>0</v>
      </c>
      <c r="AH94" s="20" t="n">
        <f aca="false">IF(AND(Slot2_On=1,Slot2_Age&gt;D94),1,0)</f>
        <v>0</v>
      </c>
      <c r="AI94" s="20" t="n">
        <f aca="false">QQ93</f>
        <v>0</v>
      </c>
      <c r="AJ94" s="20" t="n">
        <f aca="false">AG94*MIN(Slot2_Cost,AI94)</f>
        <v>0</v>
      </c>
      <c r="AK94" s="20" t="n">
        <f aca="false">AG94*Slot2_SpendLike*MIN(Slot2_Cost-AJ94,AB94)</f>
        <v>0</v>
      </c>
      <c r="AL94" s="20" t="n">
        <f aca="false">AJ94+AK94</f>
        <v>0</v>
      </c>
      <c r="AM94" s="20" t="n">
        <f aca="false">AB94-AK94+AG94*IF(Slot2_SpendLike=1,AI94-AJ94,IF(Slot2_PotFree=1,AI94,0))</f>
        <v>0</v>
      </c>
      <c r="AN94" s="20" t="n">
        <f aca="false">AC94+AG94*Slot2_BufPot*AI94</f>
        <v>0</v>
      </c>
      <c r="AO94" s="20" t="n">
        <f aca="false">IF(AND(AG94=1,Slot2_IsMfree=1),IF(AL94&gt;=Slot2_Cost-1,0,MAX(0,AD94-AL94)),AD94)</f>
        <v>0</v>
      </c>
      <c r="AP94" s="20" t="n">
        <f aca="false">AG94*(Slot2_Cost-AL94)</f>
        <v>0</v>
      </c>
      <c r="AQ94" s="20" t="n">
        <f aca="false">IF(AND(Slot3_On=1,D94=Slot3_Age),1,0)</f>
        <v>0</v>
      </c>
      <c r="AR94" s="20" t="n">
        <f aca="false">IF(AND(Slot3_On=1,Slot3_Age&gt;D94),1,0)</f>
        <v>0</v>
      </c>
      <c r="AS94" s="20" t="n">
        <f aca="false">QU93</f>
        <v>0</v>
      </c>
      <c r="AT94" s="20" t="n">
        <f aca="false">AQ94*MIN(Slot3_Cost,AS94)</f>
        <v>0</v>
      </c>
      <c r="AU94" s="20" t="n">
        <f aca="false">AQ94*Slot3_SpendLike*MIN(Slot3_Cost-AT94,AM94)</f>
        <v>0</v>
      </c>
      <c r="AV94" s="20" t="n">
        <f aca="false">AT94+AU94</f>
        <v>0</v>
      </c>
      <c r="AW94" s="20" t="n">
        <f aca="false">AM94-AU94+AQ94*IF(Slot3_SpendLike=1,AS94-AT94,IF(Slot3_PotFree=1,AS94,0))</f>
        <v>0</v>
      </c>
      <c r="AX94" s="20" t="n">
        <f aca="false">AN94+AQ94*Slot3_BufPot*AS94</f>
        <v>0</v>
      </c>
      <c r="AY94" s="20" t="n">
        <f aca="false">IF(AND(AQ94=1,Slot3_IsMfree=1),IF(AV94&gt;=Slot3_Cost-1,0,MAX(0,AO94-AV94)),AO94)</f>
        <v>0</v>
      </c>
      <c r="AZ94" s="20" t="n">
        <f aca="false">AQ94*(Slot3_Cost-AV94)</f>
        <v>0</v>
      </c>
      <c r="BA94" s="20" t="n">
        <f aca="false">IF(AND(Slot4_On=1,D94=Slot4_Age),1,0)</f>
        <v>0</v>
      </c>
      <c r="BB94" s="20" t="n">
        <f aca="false">IF(AND(Slot4_On=1,Slot4_Age&gt;D94),1,0)</f>
        <v>0</v>
      </c>
      <c r="BC94" s="20" t="n">
        <f aca="false">QY93</f>
        <v>0</v>
      </c>
      <c r="BD94" s="20" t="n">
        <f aca="false">BA94*MIN(Slot4_Cost,BC94)</f>
        <v>0</v>
      </c>
      <c r="BE94" s="20" t="n">
        <f aca="false">BA94*Slot4_SpendLike*MIN(Slot4_Cost-BD94,AW94)</f>
        <v>0</v>
      </c>
      <c r="BF94" s="20" t="n">
        <f aca="false">BD94+BE94</f>
        <v>0</v>
      </c>
      <c r="BG94" s="20" t="n">
        <f aca="false">AW94-BE94+BA94*IF(Slot4_SpendLike=1,BC94-BD94,IF(Slot4_PotFree=1,BC94,0))</f>
        <v>0</v>
      </c>
      <c r="BH94" s="20" t="n">
        <f aca="false">AX94+BA94*Slot4_BufPot*BC94</f>
        <v>0</v>
      </c>
      <c r="BI94" s="20" t="n">
        <f aca="false">IF(AND(BA94=1,Slot4_IsMfree=1),IF(BF94&gt;=Slot4_Cost-1,0,MAX(0,AY94-BF94)),AY94)</f>
        <v>0</v>
      </c>
      <c r="BJ94" s="20" t="n">
        <f aca="false">BA94*(Slot4_Cost-BF94)</f>
        <v>0</v>
      </c>
      <c r="BK94" s="20" t="n">
        <f aca="false">IF(AND(Slot5_On=1,D94=Slot5_Age),1,0)</f>
        <v>0</v>
      </c>
      <c r="BL94" s="20" t="n">
        <f aca="false">IF(AND(Slot5_On=1,Slot5_Age&gt;D94),1,0)</f>
        <v>0</v>
      </c>
      <c r="BM94" s="20" t="n">
        <f aca="false">RC93</f>
        <v>0</v>
      </c>
      <c r="BN94" s="20" t="n">
        <f aca="false">BK94*MIN(Slot5_Cost,BM94)</f>
        <v>0</v>
      </c>
      <c r="BO94" s="20" t="n">
        <f aca="false">BK94*Slot5_SpendLike*MIN(Slot5_Cost-BN94,BG94)</f>
        <v>0</v>
      </c>
      <c r="BP94" s="20" t="n">
        <f aca="false">BN94+BO94</f>
        <v>0</v>
      </c>
      <c r="BQ94" s="20" t="n">
        <f aca="false">BG94-BO94+BK94*IF(Slot5_SpendLike=1,BM94-BN94,IF(Slot5_PotFree=1,BM94,0))</f>
        <v>0</v>
      </c>
      <c r="BR94" s="20" t="n">
        <f aca="false">BH94+BK94*Slot5_BufPot*BM94</f>
        <v>0</v>
      </c>
      <c r="BS94" s="20" t="n">
        <f aca="false">IF(AND(BK94=1,Slot5_IsMfree=1),IF(BP94&gt;=Slot5_Cost-1,0,MAX(0,BI94-BP94)),BI94)</f>
        <v>0</v>
      </c>
      <c r="BT94" s="20" t="n">
        <f aca="false">BK94*(Slot5_Cost-BP94)</f>
        <v>0</v>
      </c>
      <c r="BU94" s="20" t="n">
        <f aca="false">IF(AND(Slot6_On=1,D94=Slot6_Age),1,0)</f>
        <v>0</v>
      </c>
      <c r="BV94" s="20" t="n">
        <f aca="false">IF(AND(Slot6_On=1,Slot6_Age&gt;D94),1,0)</f>
        <v>0</v>
      </c>
      <c r="BW94" s="20" t="n">
        <f aca="false">RG93</f>
        <v>0</v>
      </c>
      <c r="BX94" s="20" t="n">
        <f aca="false">BU94*MIN(Slot6_Cost,BW94)</f>
        <v>0</v>
      </c>
      <c r="BY94" s="20" t="n">
        <f aca="false">BU94*Slot6_SpendLike*MIN(Slot6_Cost-BX94,BQ94)</f>
        <v>0</v>
      </c>
      <c r="BZ94" s="20" t="n">
        <f aca="false">BX94+BY94</f>
        <v>0</v>
      </c>
      <c r="CA94" s="20" t="n">
        <f aca="false">BQ94-BY94+BU94*IF(Slot6_SpendLike=1,BW94-BX94,IF(Slot6_PotFree=1,BW94,0))</f>
        <v>0</v>
      </c>
      <c r="CB94" s="20" t="n">
        <f aca="false">BR94+BU94*Slot6_BufPot*BW94</f>
        <v>0</v>
      </c>
      <c r="CC94" s="20" t="n">
        <f aca="false">IF(AND(BU94=1,Slot6_IsMfree=1),IF(BZ94&gt;=Slot6_Cost-1,0,MAX(0,BS94-BZ94)),BS94)</f>
        <v>0</v>
      </c>
      <c r="CD94" s="20" t="n">
        <f aca="false">BU94*(Slot6_Cost-BZ94)</f>
        <v>0</v>
      </c>
      <c r="CE94" s="20" t="n">
        <f aca="false">IF(AND(Slot7_On=1,D94=Slot7_Age),1,0)</f>
        <v>0</v>
      </c>
      <c r="CF94" s="20" t="n">
        <f aca="false">IF(AND(Slot7_On=1,Slot7_Age&gt;D94),1,0)</f>
        <v>0</v>
      </c>
      <c r="CG94" s="20" t="n">
        <f aca="false">RK93</f>
        <v>0</v>
      </c>
      <c r="CH94" s="20" t="n">
        <f aca="false">CE94*MIN(Slot7_Cost,CG94)</f>
        <v>0</v>
      </c>
      <c r="CI94" s="20" t="n">
        <f aca="false">CE94*Slot7_SpendLike*MIN(Slot7_Cost-CH94,CA94)</f>
        <v>0</v>
      </c>
      <c r="CJ94" s="20" t="n">
        <f aca="false">CH94+CI94</f>
        <v>0</v>
      </c>
      <c r="CK94" s="20" t="n">
        <f aca="false">CA94-CI94+CE94*IF(Slot7_SpendLike=1,CG94-CH94,IF(Slot7_PotFree=1,CG94,0))</f>
        <v>0</v>
      </c>
      <c r="CL94" s="20" t="n">
        <f aca="false">CB94+CE94*Slot7_BufPot*CG94</f>
        <v>0</v>
      </c>
      <c r="CM94" s="20" t="n">
        <f aca="false">IF(AND(CE94=1,Slot7_IsMfree=1),IF(CJ94&gt;=Slot7_Cost-1,0,MAX(0,CC94-CJ94)),CC94)</f>
        <v>0</v>
      </c>
      <c r="CN94" s="20" t="n">
        <f aca="false">CE94*(Slot7_Cost-CJ94)</f>
        <v>0</v>
      </c>
      <c r="CO94" s="20" t="n">
        <f aca="false">IF(AND(Slot8_On=1,D94=Slot8_Age),1,0)</f>
        <v>0</v>
      </c>
      <c r="CP94" s="20" t="n">
        <f aca="false">IF(AND(Slot8_On=1,Slot8_Age&gt;D94),1,0)</f>
        <v>0</v>
      </c>
      <c r="CQ94" s="20" t="n">
        <f aca="false">RO93</f>
        <v>0</v>
      </c>
      <c r="CR94" s="20" t="n">
        <f aca="false">CO94*MIN(Slot8_Cost,CQ94)</f>
        <v>0</v>
      </c>
      <c r="CS94" s="20" t="n">
        <f aca="false">CO94*Slot8_SpendLike*MIN(Slot8_Cost-CR94,CK94)</f>
        <v>0</v>
      </c>
      <c r="CT94" s="20" t="n">
        <f aca="false">CR94+CS94</f>
        <v>0</v>
      </c>
      <c r="CU94" s="20" t="n">
        <f aca="false">CK94-CS94+CO94*IF(Slot8_SpendLike=1,CQ94-CR94,IF(Slot8_PotFree=1,CQ94,0))</f>
        <v>0</v>
      </c>
      <c r="CV94" s="20" t="n">
        <f aca="false">CL94+CO94*Slot8_BufPot*CQ94</f>
        <v>0</v>
      </c>
      <c r="CW94" s="20" t="n">
        <f aca="false">IF(AND(CO94=1,Slot8_IsMfree=1),IF(CT94&gt;=Slot8_Cost-1,0,MAX(0,CM94-CT94)),CM94)</f>
        <v>0</v>
      </c>
      <c r="CX94" s="20" t="n">
        <f aca="false">CO94*(Slot8_Cost-CT94)</f>
        <v>0</v>
      </c>
      <c r="CY94" s="20" t="n">
        <f aca="false">IF(AND(Slot9_On=1,D94=Slot9_Age),1,0)</f>
        <v>0</v>
      </c>
      <c r="CZ94" s="20" t="n">
        <f aca="false">IF(AND(Slot9_On=1,Slot9_Age&gt;D94),1,0)</f>
        <v>0</v>
      </c>
      <c r="DA94" s="20" t="n">
        <f aca="false">RS93</f>
        <v>0</v>
      </c>
      <c r="DB94" s="20" t="n">
        <f aca="false">CY94*MIN(Slot9_Cost,DA94)</f>
        <v>0</v>
      </c>
      <c r="DC94" s="20" t="n">
        <f aca="false">CY94*Slot9_SpendLike*MIN(Slot9_Cost-DB94,CU94)</f>
        <v>0</v>
      </c>
      <c r="DD94" s="20" t="n">
        <f aca="false">DB94+DC94</f>
        <v>0</v>
      </c>
      <c r="DE94" s="20" t="n">
        <f aca="false">CU94-DC94+CY94*IF(Slot9_SpendLike=1,DA94-DB94,IF(Slot9_PotFree=1,DA94,0))</f>
        <v>0</v>
      </c>
      <c r="DF94" s="20" t="n">
        <f aca="false">CV94+CY94*Slot9_BufPot*DA94</f>
        <v>0</v>
      </c>
      <c r="DG94" s="20" t="n">
        <f aca="false">IF(AND(CY94=1,Slot9_IsMfree=1),IF(DD94&gt;=Slot9_Cost-1,0,MAX(0,CW94-DD94)),CW94)</f>
        <v>0</v>
      </c>
      <c r="DH94" s="20" t="n">
        <f aca="false">CY94*(Slot9_Cost-DD94)</f>
        <v>0</v>
      </c>
      <c r="DI94" s="20" t="n">
        <f aca="false">IF(AND(Slot10_On=1,D94=Slot10_Age),1,0)</f>
        <v>0</v>
      </c>
      <c r="DJ94" s="20" t="n">
        <f aca="false">IF(AND(Slot10_On=1,Slot10_Age&gt;D94),1,0)</f>
        <v>0</v>
      </c>
      <c r="DK94" s="20" t="n">
        <f aca="false">RW93</f>
        <v>0</v>
      </c>
      <c r="DL94" s="20" t="n">
        <f aca="false">DI94*MIN(Slot10_Cost,DK94)</f>
        <v>0</v>
      </c>
      <c r="DM94" s="20" t="n">
        <f aca="false">DI94*Slot10_SpendLike*MIN(Slot10_Cost-DL94,DE94)</f>
        <v>0</v>
      </c>
      <c r="DN94" s="20" t="n">
        <f aca="false">DL94+DM94</f>
        <v>0</v>
      </c>
      <c r="DO94" s="20" t="n">
        <f aca="false">DE94-DM94+DI94*IF(Slot10_SpendLike=1,DK94-DL94,IF(Slot10_PotFree=1,DK94,0))</f>
        <v>0</v>
      </c>
      <c r="DP94" s="20" t="n">
        <f aca="false">DF94+DI94*Slot10_BufPot*DK94</f>
        <v>0</v>
      </c>
      <c r="DQ94" s="20" t="n">
        <f aca="false">IF(AND(DI94=1,Slot10_IsMfree=1),IF(DN94&gt;=Slot10_Cost-1,0,MAX(0,DG94-DN94)),DG94)</f>
        <v>0</v>
      </c>
      <c r="DR94" s="20" t="n">
        <f aca="false">DI94*(Slot10_Cost-DN94)</f>
        <v>0</v>
      </c>
      <c r="DS94" s="20" t="n">
        <f aca="false">IF(AND(Slot11_On=1,D94=Slot11_Age),1,0)</f>
        <v>0</v>
      </c>
      <c r="DT94" s="20" t="n">
        <f aca="false">IF(AND(Slot11_On=1,Slot11_Age&gt;D94),1,0)</f>
        <v>0</v>
      </c>
      <c r="DU94" s="20" t="n">
        <f aca="false">SA93</f>
        <v>0</v>
      </c>
      <c r="DV94" s="20" t="n">
        <f aca="false">DS94*MIN(Slot11_Cost,DU94)</f>
        <v>0</v>
      </c>
      <c r="DW94" s="20" t="n">
        <f aca="false">DS94*Slot11_SpendLike*MIN(Slot11_Cost-DV94,DO94)</f>
        <v>0</v>
      </c>
      <c r="DX94" s="20" t="n">
        <f aca="false">DV94+DW94</f>
        <v>0</v>
      </c>
      <c r="DY94" s="20" t="n">
        <f aca="false">DO94-DW94+DS94*IF(Slot11_SpendLike=1,DU94-DV94,IF(Slot11_PotFree=1,DU94,0))</f>
        <v>0</v>
      </c>
      <c r="DZ94" s="20" t="n">
        <f aca="false">DP94+DS94*Slot11_BufPot*DU94</f>
        <v>0</v>
      </c>
      <c r="EA94" s="20" t="n">
        <f aca="false">IF(AND(DS94=1,Slot11_IsMfree=1),IF(DX94&gt;=Slot11_Cost-1,0,MAX(0,DQ94-DX94)),DQ94)</f>
        <v>0</v>
      </c>
      <c r="EB94" s="20" t="n">
        <f aca="false">DS94*(Slot11_Cost-DX94)</f>
        <v>0</v>
      </c>
      <c r="EC94" s="20" t="n">
        <f aca="false">IF(AND(Slot12_On=1,D94=Slot12_Age),1,0)</f>
        <v>0</v>
      </c>
      <c r="ED94" s="20" t="n">
        <f aca="false">IF(AND(Slot12_On=1,Slot12_Age&gt;D94),1,0)</f>
        <v>0</v>
      </c>
      <c r="EE94" s="20" t="n">
        <f aca="false">SE93</f>
        <v>0</v>
      </c>
      <c r="EF94" s="20" t="n">
        <f aca="false">EC94*MIN(Slot12_Cost,EE94)</f>
        <v>0</v>
      </c>
      <c r="EG94" s="20" t="n">
        <f aca="false">EC94*Slot12_SpendLike*MIN(Slot12_Cost-EF94,DY94)</f>
        <v>0</v>
      </c>
      <c r="EH94" s="20" t="n">
        <f aca="false">EF94+EG94</f>
        <v>0</v>
      </c>
      <c r="EI94" s="20" t="n">
        <f aca="false">DY94-EG94+EC94*IF(Slot12_SpendLike=1,EE94-EF94,IF(Slot12_PotFree=1,EE94,0))</f>
        <v>0</v>
      </c>
      <c r="EJ94" s="20" t="n">
        <f aca="false">DZ94+EC94*Slot12_BufPot*EE94</f>
        <v>0</v>
      </c>
      <c r="EK94" s="20" t="n">
        <f aca="false">IF(AND(EC94=1,Slot12_IsMfree=1),IF(EH94&gt;=Slot12_Cost-1,0,MAX(0,EA94-EH94)),EA94)</f>
        <v>0</v>
      </c>
      <c r="EL94" s="20" t="n">
        <f aca="false">EC94*(Slot12_Cost-EH94)</f>
        <v>0</v>
      </c>
      <c r="EM94" s="20" t="n">
        <f aca="false">IF(AND(Slot13_On=1,D94=Slot13_Age),1,0)</f>
        <v>0</v>
      </c>
      <c r="EN94" s="20" t="n">
        <f aca="false">IF(AND(Slot13_On=1,Slot13_Age&gt;D94),1,0)</f>
        <v>0</v>
      </c>
      <c r="EO94" s="20" t="n">
        <f aca="false">SI93</f>
        <v>0</v>
      </c>
      <c r="EP94" s="20" t="n">
        <f aca="false">EM94*MIN(Slot13_Cost,EO94)</f>
        <v>0</v>
      </c>
      <c r="EQ94" s="20" t="n">
        <f aca="false">EM94*Slot13_SpendLike*MIN(Slot13_Cost-EP94,EI94)</f>
        <v>0</v>
      </c>
      <c r="ER94" s="20" t="n">
        <f aca="false">EP94+EQ94</f>
        <v>0</v>
      </c>
      <c r="ES94" s="20" t="n">
        <f aca="false">EI94-EQ94+EM94*IF(Slot13_SpendLike=1,EO94-EP94,IF(Slot13_PotFree=1,EO94,0))</f>
        <v>0</v>
      </c>
      <c r="ET94" s="20" t="n">
        <f aca="false">EJ94+EM94*Slot13_BufPot*EO94</f>
        <v>0</v>
      </c>
      <c r="EU94" s="20" t="n">
        <f aca="false">IF(AND(EM94=1,Slot13_IsMfree=1),IF(ER94&gt;=Slot13_Cost-1,0,MAX(0,EK94-ER94)),EK94)</f>
        <v>0</v>
      </c>
      <c r="EV94" s="20" t="n">
        <f aca="false">EM94*(Slot13_Cost-ER94)</f>
        <v>0</v>
      </c>
      <c r="EW94" s="20" t="n">
        <f aca="false">IF(AND(Slot14_On=1,D94=Slot14_Age),1,0)</f>
        <v>0</v>
      </c>
      <c r="EX94" s="20" t="n">
        <f aca="false">IF(AND(Slot14_On=1,Slot14_Age&gt;D94),1,0)</f>
        <v>0</v>
      </c>
      <c r="EY94" s="20" t="n">
        <f aca="false">SM93</f>
        <v>0</v>
      </c>
      <c r="EZ94" s="20" t="n">
        <f aca="false">EW94*MIN(Slot14_Cost,EY94)</f>
        <v>0</v>
      </c>
      <c r="FA94" s="20" t="n">
        <f aca="false">EW94*Slot14_SpendLike*MIN(Slot14_Cost-EZ94,ES94)</f>
        <v>0</v>
      </c>
      <c r="FB94" s="20" t="n">
        <f aca="false">EZ94+FA94</f>
        <v>0</v>
      </c>
      <c r="FC94" s="20" t="n">
        <f aca="false">ES94-FA94+EW94*IF(Slot14_SpendLike=1,EY94-EZ94,IF(Slot14_PotFree=1,EY94,0))</f>
        <v>0</v>
      </c>
      <c r="FD94" s="20" t="n">
        <f aca="false">ET94+EW94*Slot14_BufPot*EY94</f>
        <v>0</v>
      </c>
      <c r="FE94" s="20" t="n">
        <f aca="false">IF(AND(EW94=1,Slot14_IsMfree=1),IF(FB94&gt;=Slot14_Cost-1,0,MAX(0,EU94-FB94)),EU94)</f>
        <v>0</v>
      </c>
      <c r="FF94" s="20" t="n">
        <f aca="false">EW94*(Slot14_Cost-FB94)</f>
        <v>0</v>
      </c>
      <c r="FG94" s="20" t="n">
        <f aca="false">IF(AND(Slot15_On=1,D94=Slot15_Age),1,0)</f>
        <v>0</v>
      </c>
      <c r="FH94" s="20" t="n">
        <f aca="false">IF(AND(Slot15_On=1,Slot15_Age&gt;D94),1,0)</f>
        <v>0</v>
      </c>
      <c r="FI94" s="20" t="n">
        <f aca="false">SQ93</f>
        <v>0</v>
      </c>
      <c r="FJ94" s="20" t="n">
        <f aca="false">FG94*MIN(Slot15_Cost,FI94)</f>
        <v>0</v>
      </c>
      <c r="FK94" s="20" t="n">
        <f aca="false">FG94*Slot15_SpendLike*MIN(Slot15_Cost-FJ94,FC94)</f>
        <v>0</v>
      </c>
      <c r="FL94" s="20" t="n">
        <f aca="false">FJ94+FK94</f>
        <v>0</v>
      </c>
      <c r="FM94" s="20" t="n">
        <f aca="false">FC94-FK94+FG94*IF(Slot15_SpendLike=1,FI94-FJ94,IF(Slot15_PotFree=1,FI94,0))</f>
        <v>0</v>
      </c>
      <c r="FN94" s="20" t="n">
        <f aca="false">FD94+FG94*Slot15_BufPot*FI94</f>
        <v>0</v>
      </c>
      <c r="FO94" s="20" t="n">
        <f aca="false">IF(AND(FG94=1,Slot15_IsMfree=1),IF(FL94&gt;=Slot15_Cost-1,0,MAX(0,FE94-FL94)),FE94)</f>
        <v>0</v>
      </c>
      <c r="FP94" s="20" t="n">
        <f aca="false">FG94*(Slot15_Cost-FL94)</f>
        <v>0</v>
      </c>
      <c r="FQ94" s="20" t="n">
        <f aca="false">IF(AND(Slot16_On=1,D94=Slot16_Age),1,0)</f>
        <v>0</v>
      </c>
      <c r="FR94" s="20" t="n">
        <f aca="false">IF(AND(Slot16_On=1,Slot16_Age&gt;D94),1,0)</f>
        <v>0</v>
      </c>
      <c r="FS94" s="20" t="n">
        <f aca="false">SU93</f>
        <v>0</v>
      </c>
      <c r="FT94" s="20" t="n">
        <f aca="false">FQ94*MIN(Slot16_Cost,FS94)</f>
        <v>0</v>
      </c>
      <c r="FU94" s="20" t="n">
        <f aca="false">FQ94*Slot16_SpendLike*MIN(Slot16_Cost-FT94,FM94)</f>
        <v>0</v>
      </c>
      <c r="FV94" s="20" t="n">
        <f aca="false">FT94+FU94</f>
        <v>0</v>
      </c>
      <c r="FW94" s="20" t="n">
        <f aca="false">FM94-FU94+FQ94*IF(Slot16_SpendLike=1,FS94-FT94,IF(Slot16_PotFree=1,FS94,0))</f>
        <v>0</v>
      </c>
      <c r="FX94" s="20" t="n">
        <f aca="false">FN94+FQ94*Slot16_BufPot*FS94</f>
        <v>0</v>
      </c>
      <c r="FY94" s="20" t="n">
        <f aca="false">IF(AND(FQ94=1,Slot16_IsMfree=1),IF(FV94&gt;=Slot16_Cost-1,0,MAX(0,FO94-FV94)),FO94)</f>
        <v>0</v>
      </c>
      <c r="FZ94" s="20" t="n">
        <f aca="false">FQ94*(Slot16_Cost-FV94)</f>
        <v>0</v>
      </c>
      <c r="GA94" s="20" t="n">
        <f aca="false">IF(AND(Slot17_On=1,D94=Slot17_Age),1,0)</f>
        <v>0</v>
      </c>
      <c r="GB94" s="20" t="n">
        <f aca="false">IF(AND(Slot17_On=1,Slot17_Age&gt;D94),1,0)</f>
        <v>0</v>
      </c>
      <c r="GC94" s="20" t="n">
        <f aca="false">SY93</f>
        <v>0</v>
      </c>
      <c r="GD94" s="20" t="n">
        <f aca="false">GA94*MIN(Slot17_Cost,GC94)</f>
        <v>0</v>
      </c>
      <c r="GE94" s="20" t="n">
        <f aca="false">GA94*Slot17_SpendLike*MIN(Slot17_Cost-GD94,FW94)</f>
        <v>0</v>
      </c>
      <c r="GF94" s="20" t="n">
        <f aca="false">GD94+GE94</f>
        <v>0</v>
      </c>
      <c r="GG94" s="20" t="n">
        <f aca="false">FW94-GE94+GA94*IF(Slot17_SpendLike=1,GC94-GD94,IF(Slot17_PotFree=1,GC94,0))</f>
        <v>0</v>
      </c>
      <c r="GH94" s="20" t="n">
        <f aca="false">FX94+GA94*Slot17_BufPot*GC94</f>
        <v>0</v>
      </c>
      <c r="GI94" s="20" t="n">
        <f aca="false">IF(AND(GA94=1,Slot17_IsMfree=1),IF(GF94&gt;=Slot17_Cost-1,0,MAX(0,FY94-GF94)),FY94)</f>
        <v>0</v>
      </c>
      <c r="GJ94" s="20" t="n">
        <f aca="false">GA94*(Slot17_Cost-GF94)</f>
        <v>0</v>
      </c>
      <c r="GK94" s="20" t="n">
        <f aca="false">IF(AND(Slot18_On=1,D94=Slot18_Age),1,0)</f>
        <v>0</v>
      </c>
      <c r="GL94" s="20" t="n">
        <f aca="false">IF(AND(Slot18_On=1,Slot18_Age&gt;D94),1,0)</f>
        <v>0</v>
      </c>
      <c r="GM94" s="20" t="n">
        <f aca="false">TC93</f>
        <v>0</v>
      </c>
      <c r="GN94" s="20" t="n">
        <f aca="false">GK94*MIN(Slot18_Cost,GM94)</f>
        <v>0</v>
      </c>
      <c r="GO94" s="20" t="n">
        <f aca="false">GK94*Slot18_SpendLike*MIN(Slot18_Cost-GN94,GG94)</f>
        <v>0</v>
      </c>
      <c r="GP94" s="20" t="n">
        <f aca="false">GN94+GO94</f>
        <v>0</v>
      </c>
      <c r="GQ94" s="20" t="n">
        <f aca="false">GG94-GO94+GK94*IF(Slot18_SpendLike=1,GM94-GN94,IF(Slot18_PotFree=1,GM94,0))</f>
        <v>0</v>
      </c>
      <c r="GR94" s="20" t="n">
        <f aca="false">GH94+GK94*Slot18_BufPot*GM94</f>
        <v>0</v>
      </c>
      <c r="GS94" s="20" t="n">
        <f aca="false">IF(AND(GK94=1,Slot18_IsMfree=1),IF(GP94&gt;=Slot18_Cost-1,0,MAX(0,GI94-GP94)),GI94)</f>
        <v>0</v>
      </c>
      <c r="GT94" s="20" t="n">
        <f aca="false">GK94*(Slot18_Cost-GP94)</f>
        <v>0</v>
      </c>
      <c r="GU94" s="20" t="n">
        <f aca="false">IF(AND(Slot19_On=1,D94=Slot19_Age),1,0)</f>
        <v>0</v>
      </c>
      <c r="GV94" s="20" t="n">
        <f aca="false">IF(AND(Slot19_On=1,Slot19_Age&gt;D94),1,0)</f>
        <v>0</v>
      </c>
      <c r="GW94" s="20" t="n">
        <f aca="false">TG93</f>
        <v>0</v>
      </c>
      <c r="GX94" s="20" t="n">
        <f aca="false">GU94*MIN(Slot19_Cost,GW94)</f>
        <v>0</v>
      </c>
      <c r="GY94" s="20" t="n">
        <f aca="false">GU94*Slot19_SpendLike*MIN(Slot19_Cost-GX94,GQ94)</f>
        <v>0</v>
      </c>
      <c r="GZ94" s="20" t="n">
        <f aca="false">GX94+GY94</f>
        <v>0</v>
      </c>
      <c r="HA94" s="20" t="n">
        <f aca="false">GQ94-GY94+GU94*IF(Slot19_SpendLike=1,GW94-GX94,IF(Slot19_PotFree=1,GW94,0))</f>
        <v>0</v>
      </c>
      <c r="HB94" s="20" t="n">
        <f aca="false">GR94+GU94*Slot19_BufPot*GW94</f>
        <v>0</v>
      </c>
      <c r="HC94" s="20" t="n">
        <f aca="false">IF(AND(GU94=1,Slot19_IsMfree=1),IF(GZ94&gt;=Slot19_Cost-1,0,MAX(0,GS94-GZ94)),GS94)</f>
        <v>0</v>
      </c>
      <c r="HD94" s="20" t="n">
        <f aca="false">GU94*(Slot19_Cost-GZ94)</f>
        <v>0</v>
      </c>
      <c r="HE94" s="20" t="n">
        <f aca="false">IF(AND(Slot20_On=1,D94=Slot20_Age),1,0)</f>
        <v>0</v>
      </c>
      <c r="HF94" s="20" t="n">
        <f aca="false">IF(AND(Slot20_On=1,Slot20_Age&gt;D94),1,0)</f>
        <v>0</v>
      </c>
      <c r="HG94" s="20" t="n">
        <f aca="false">TK93</f>
        <v>0</v>
      </c>
      <c r="HH94" s="20" t="n">
        <f aca="false">HE94*MIN(Slot20_Cost,HG94)</f>
        <v>0</v>
      </c>
      <c r="HI94" s="20" t="n">
        <f aca="false">HE94*Slot20_SpendLike*MIN(Slot20_Cost-HH94,HA94)</f>
        <v>0</v>
      </c>
      <c r="HJ94" s="20" t="n">
        <f aca="false">HH94+HI94</f>
        <v>0</v>
      </c>
      <c r="HK94" s="20" t="n">
        <f aca="false">HA94-HI94+HE94*IF(Slot20_SpendLike=1,HG94-HH94,IF(Slot20_PotFree=1,HG94,0))</f>
        <v>0</v>
      </c>
      <c r="HL94" s="20" t="n">
        <f aca="false">HB94+HE94*Slot20_BufPot*HG94</f>
        <v>0</v>
      </c>
      <c r="HM94" s="20" t="n">
        <f aca="false">IF(AND(HE94=1,Slot20_IsMfree=1),IF(HJ94&gt;=Slot20_Cost-1,0,MAX(0,HC94-HJ94)),HC94)</f>
        <v>0</v>
      </c>
      <c r="HN94" s="20" t="n">
        <f aca="false">HE94*(Slot20_Cost-HJ94)</f>
        <v>0</v>
      </c>
      <c r="HO94" s="20" t="n">
        <f aca="false">V94*Slot1_SpendLike*AA94+AG94*Slot2_SpendLike*AL94+AQ94*Slot3_SpendLike*AV94+BA94*Slot4_SpendLike*BF94+BK94*Slot5_SpendLike*BP94+BU94*Slot6_SpendLike*BZ94+CE94*Slot7_SpendLike*CJ94+CO94*Slot8_SpendLike*CT94+CY94*Slot9_SpendLike*DD94+DI94*Slot10_SpendLike*DN94+DS94*Slot11_SpendLike*DX94+EC94*Slot12_SpendLike*EH94+EM94*Slot13_SpendLike*ER94+EW94*Slot14_SpendLike*FB94+FG94*Slot15_SpendLike*FL94+FQ94*Slot16_SpendLike*FV94+GA94*Slot17_SpendLike*GF94+GK94*Slot18_SpendLike*GP94+GU94*Slot19_SpendLike*GZ94+HE94*Slot20_SpendLike*HJ94</f>
        <v>0</v>
      </c>
      <c r="HP94" s="20" t="n">
        <f aca="false">AE94+AP94+AZ94+BJ94+BT94+CD94+CN94+CX94+DH94+DR94+EB94+EL94+EV94+FF94+FP94+FZ94+GJ94+GT94+HD94+HN94</f>
        <v>0</v>
      </c>
      <c r="HQ94" s="20" t="n">
        <f aca="false">V94*Slot1_Cost+AG94*Slot2_Cost+AQ94*Slot3_Cost+BA94*Slot4_Cost+BK94*Slot5_Cost+BU94*Slot6_Cost+CE94*Slot7_Cost+CO94*Slot8_Cost+CY94*Slot9_Cost+DI94*Slot10_Cost+DS94*Slot11_Cost+EC94*Slot12_Cost+EM94*Slot13_Cost+EW94*Slot14_Cost+FG94*Slot15_Cost+FQ94*Slot16_Cost+GA94*Slot17_Cost+GK94*Slot18_Cost+GU94*Slot19_Cost+HE94*Slot20_Cost</f>
        <v>0</v>
      </c>
      <c r="HR94" s="20" t="n">
        <f aca="false">HM94</f>
        <v>0</v>
      </c>
      <c r="HS94" s="20" t="n">
        <f aca="false">H94-I94-S94</f>
        <v>-105778.037958056</v>
      </c>
      <c r="HT94" s="20" t="n">
        <f aca="false">IF(B94=0,IF(AND(Has_q6=1,In_q6=4),PR_ShareVaries*(MAX(0,HS94)/12),MIN(IF(Has_q6=1,CHOOSE(In_q6+1,PR_SaveB1,PR_SaveB2,PR_SaveB3,PR_SaveB4,0),AS_NoAnswer),AS_SaveShare*(MAX(0,HS94)/12))),HT93)</f>
        <v>62.3316893520437</v>
      </c>
      <c r="HU94" s="20" t="n">
        <f aca="false">IF(HS94&gt;=0,1,0)</f>
        <v>0</v>
      </c>
      <c r="HV94" s="20" t="n">
        <f aca="false">MAX(0,HS94/12/F94)</f>
        <v>0</v>
      </c>
      <c r="HW94" s="20" t="n">
        <f aca="false">IF(AND(Has_q6=1,In_q6=4),PR_ShareVaries*(HV94),MIN(IF(Has_q6=1,CHOOSE(In_q6+1,PR_SaveB1,PR_SaveB2,PR_SaveB3,PR_SaveB4,0),AS_NoAnswer),AS_SaveShare*(HV94)))</f>
        <v>0</v>
      </c>
      <c r="HX94" s="20" t="n">
        <f aca="false">IF(Has_saveM=1,IF(In_saveUp="Yes",1,IF(In_saveUp="No",0,IF(In_saveM&gt;=HT94-0.5,1,0))),0)</f>
        <v>0</v>
      </c>
      <c r="HY94" s="20" t="n">
        <f aca="false">IF(Has_saveM=1,MIN(HV94,IF(HX94=1,MAX(In_saveM,HW94),MIN(In_saveM,HW94))),HW94)</f>
        <v>0</v>
      </c>
      <c r="HZ94" s="20" t="n">
        <f aca="false">IF(G94=1,HY94*12*F94,0)</f>
        <v>0</v>
      </c>
      <c r="IA94" s="20" t="n">
        <f aca="false">MAX(0,HZ94+IF(AND(WI_Retire=0,WI_M&lt;0,G94=1),WI_M*12*F94,0))</f>
        <v>0</v>
      </c>
      <c r="IB94" s="20" t="n">
        <f aca="false">Slot1_IsWG*W94+Slot2_IsWG*AH94+Slot3_IsWG*AR94+Slot4_IsWG*BB94+Slot5_IsWG*BL94+Slot6_IsWG*BV94+Slot7_IsWG*CF94+Slot8_IsWG*CP94+Slot9_IsWG*CZ94+Slot10_IsWG*DJ94+Slot11_IsWG*DT94+Slot12_IsWG*ED94+Slot13_IsWG*EN94+Slot14_IsWG*EX94+Slot15_IsWG*FH94+Slot16_IsWG*FR94+Slot17_IsWG*GB94+Slot18_IsWG*GL94+Slot19_IsWG*GV94+Slot20_IsWG*HF94</f>
        <v>0</v>
      </c>
      <c r="IC94" s="20" t="n">
        <f aca="false">IF(AND(WI_Retire=0,WI_M&gt;0,G94=1,IB94&gt;=1),WI_M*12*F94,0)</f>
        <v>0</v>
      </c>
      <c r="ID94" s="20" t="n">
        <f aca="false">IF(HU94=1,MIN(IA94,HS94),0)</f>
        <v>0</v>
      </c>
      <c r="IE94" s="20" t="n">
        <f aca="false">IF(HU94=1,MIN(IC94,HS94-ID94),0)</f>
        <v>0</v>
      </c>
      <c r="IF94" s="20" t="n">
        <f aca="false">IF(W94=1,IF(ABS((1+AS_Wage)/(1+Slot1_Rate)-1)&lt;0.000000000001,(Slot1_Age-D94)*(1+Slot1_Rate)^(Slot1_Age-D94),(1+Slot1_Rate)^(Slot1_Age-D94)*(1-((1+AS_Wage)/(1+Slot1_Rate))^(Slot1_Age-D94))/(1-(1+AS_Wage)/(1+Slot1_Rate))),1)</f>
        <v>1</v>
      </c>
      <c r="IG94" s="20" t="n">
        <f aca="false">IF(AND(HU94=1,IE94&gt;0,Slot1_IsWG=1,W94=1),MAX(0,(Slot1_Cost-X94*(1+Slot1_Rate)^(Slot1_Age-D94))/IF94),0)</f>
        <v>0</v>
      </c>
      <c r="IH94" s="20" t="n">
        <f aca="false">IF(AND(HU94=1,IE94&gt;0,Slot1_IsWG=1,W94=1),MIN(IE94,IG94),0)</f>
        <v>0</v>
      </c>
      <c r="II94" s="20" t="n">
        <f aca="false">X94+IH94</f>
        <v>0</v>
      </c>
      <c r="IJ94" s="20" t="n">
        <f aca="false">IF(W94=1,MAX(0,(Slot1_Cost-II94*(1+Slot1_Rate)^(Slot1_Age-D94))/IF94),0)</f>
        <v>0</v>
      </c>
      <c r="IK94" s="20" t="n">
        <f aca="false">IF(W94=1,MAX(0,(Slot1_Cost-X94*(1+Slot1_Rate)^(Slot1_Age-D94))/IF94),0)</f>
        <v>0</v>
      </c>
      <c r="IL94" s="20" t="n">
        <f aca="false">IF(AND(HU94=1,W94=1),MIN(ID94,IJ94),0)</f>
        <v>0</v>
      </c>
      <c r="IM94" s="20" t="n">
        <f aca="false">ID94-IL94</f>
        <v>0</v>
      </c>
      <c r="IN94" s="20" t="n">
        <f aca="false">IF(AH94=1,IF(ABS((1+AS_Wage)/(1+Slot2_Rate)-1)&lt;0.000000000001,(Slot2_Age-D94)*(1+Slot2_Rate)^(Slot2_Age-D94),(1+Slot2_Rate)^(Slot2_Age-D94)*(1-((1+AS_Wage)/(1+Slot2_Rate))^(Slot2_Age-D94))/(1-(1+AS_Wage)/(1+Slot2_Rate))),1)</f>
        <v>1</v>
      </c>
      <c r="IO94" s="20" t="n">
        <f aca="false">IF(AND(HU94=1,IE94&gt;0,Slot2_IsWG=1,AH94=1),MAX(0,(Slot2_Cost-AI94*(1+Slot2_Rate)^(Slot2_Age-D94))/IN94),0)</f>
        <v>0</v>
      </c>
      <c r="IP94" s="20" t="n">
        <f aca="false">IF(AND(HU94=1,IE94&gt;0,Slot2_IsWG=1,AH94=1),MIN(IE94,IO94),0)</f>
        <v>0</v>
      </c>
      <c r="IQ94" s="20" t="n">
        <f aca="false">AI94+IP94</f>
        <v>0</v>
      </c>
      <c r="IR94" s="20" t="n">
        <f aca="false">IF(AH94=1,MAX(0,(Slot2_Cost-IQ94*(1+Slot2_Rate)^(Slot2_Age-D94))/IN94),0)</f>
        <v>0</v>
      </c>
      <c r="IS94" s="20" t="n">
        <f aca="false">IF(AH94=1,MAX(0,(Slot2_Cost-AI94*(1+Slot2_Rate)^(Slot2_Age-D94))/IN94),0)</f>
        <v>0</v>
      </c>
      <c r="IT94" s="20" t="n">
        <f aca="false">IF(AND(HU94=1,AH94=1),MIN(IM94,IR94),0)</f>
        <v>0</v>
      </c>
      <c r="IU94" s="20" t="n">
        <f aca="false">IM94-IT94</f>
        <v>0</v>
      </c>
      <c r="IV94" s="20" t="n">
        <f aca="false">IF(AR94=1,IF(ABS((1+AS_Wage)/(1+Slot3_Rate)-1)&lt;0.000000000001,(Slot3_Age-D94)*(1+Slot3_Rate)^(Slot3_Age-D94),(1+Slot3_Rate)^(Slot3_Age-D94)*(1-((1+AS_Wage)/(1+Slot3_Rate))^(Slot3_Age-D94))/(1-(1+AS_Wage)/(1+Slot3_Rate))),1)</f>
        <v>1</v>
      </c>
      <c r="IW94" s="20" t="n">
        <f aca="false">IF(AND(HU94=1,IE94&gt;0,Slot3_IsWG=1,AR94=1),MAX(0,(Slot3_Cost-AS94*(1+Slot3_Rate)^(Slot3_Age-D94))/IV94),0)</f>
        <v>0</v>
      </c>
      <c r="IX94" s="20" t="n">
        <f aca="false">IF(AND(HU94=1,IE94&gt;0,Slot3_IsWG=1,AR94=1),MIN(IE94,IW94),0)</f>
        <v>0</v>
      </c>
      <c r="IY94" s="20" t="n">
        <f aca="false">AS94+IX94</f>
        <v>0</v>
      </c>
      <c r="IZ94" s="20" t="n">
        <f aca="false">IF(AR94=1,MAX(0,(Slot3_Cost-IY94*(1+Slot3_Rate)^(Slot3_Age-D94))/IV94),0)</f>
        <v>0</v>
      </c>
      <c r="JA94" s="20" t="n">
        <f aca="false">IF(AR94=1,MAX(0,(Slot3_Cost-AS94*(1+Slot3_Rate)^(Slot3_Age-D94))/IV94),0)</f>
        <v>0</v>
      </c>
      <c r="JB94" s="20" t="n">
        <f aca="false">IF(AND(HU94=1,AR94=1),MIN(IU94,IZ94),0)</f>
        <v>0</v>
      </c>
      <c r="JC94" s="20" t="n">
        <f aca="false">IU94-JB94</f>
        <v>0</v>
      </c>
      <c r="JD94" s="20" t="n">
        <f aca="false">IF(BB94=1,IF(ABS((1+AS_Wage)/(1+Slot4_Rate)-1)&lt;0.000000000001,(Slot4_Age-D94)*(1+Slot4_Rate)^(Slot4_Age-D94),(1+Slot4_Rate)^(Slot4_Age-D94)*(1-((1+AS_Wage)/(1+Slot4_Rate))^(Slot4_Age-D94))/(1-(1+AS_Wage)/(1+Slot4_Rate))),1)</f>
        <v>1</v>
      </c>
      <c r="JE94" s="20" t="n">
        <f aca="false">IF(AND(HU94=1,IE94&gt;0,Slot4_IsWG=1,BB94=1),MAX(0,(Slot4_Cost-BC94*(1+Slot4_Rate)^(Slot4_Age-D94))/JD94),0)</f>
        <v>0</v>
      </c>
      <c r="JF94" s="20" t="n">
        <f aca="false">IF(AND(HU94=1,IE94&gt;0,Slot4_IsWG=1,BB94=1),MIN(IE94,JE94),0)</f>
        <v>0</v>
      </c>
      <c r="JG94" s="20" t="n">
        <f aca="false">BC94+JF94</f>
        <v>0</v>
      </c>
      <c r="JH94" s="20" t="n">
        <f aca="false">IF(BB94=1,MAX(0,(Slot4_Cost-JG94*(1+Slot4_Rate)^(Slot4_Age-D94))/JD94),0)</f>
        <v>0</v>
      </c>
      <c r="JI94" s="20" t="n">
        <f aca="false">IF(BB94=1,MAX(0,(Slot4_Cost-BC94*(1+Slot4_Rate)^(Slot4_Age-D94))/JD94),0)</f>
        <v>0</v>
      </c>
      <c r="JJ94" s="20" t="n">
        <f aca="false">IF(AND(HU94=1,BB94=1),MIN(JC94,JH94),0)</f>
        <v>0</v>
      </c>
      <c r="JK94" s="20" t="n">
        <f aca="false">JC94-JJ94</f>
        <v>0</v>
      </c>
      <c r="JL94" s="20" t="n">
        <f aca="false">IF(BL94=1,IF(ABS((1+AS_Wage)/(1+Slot5_Rate)-1)&lt;0.000000000001,(Slot5_Age-D94)*(1+Slot5_Rate)^(Slot5_Age-D94),(1+Slot5_Rate)^(Slot5_Age-D94)*(1-((1+AS_Wage)/(1+Slot5_Rate))^(Slot5_Age-D94))/(1-(1+AS_Wage)/(1+Slot5_Rate))),1)</f>
        <v>1</v>
      </c>
      <c r="JM94" s="20" t="n">
        <f aca="false">IF(AND(HU94=1,IE94&gt;0,Slot5_IsWG=1,BL94=1),MAX(0,(Slot5_Cost-BM94*(1+Slot5_Rate)^(Slot5_Age-D94))/JL94),0)</f>
        <v>0</v>
      </c>
      <c r="JN94" s="20" t="n">
        <f aca="false">IF(AND(HU94=1,IE94&gt;0,Slot5_IsWG=1,BL94=1),MIN(IE94,JM94),0)</f>
        <v>0</v>
      </c>
      <c r="JO94" s="20" t="n">
        <f aca="false">BM94+JN94</f>
        <v>0</v>
      </c>
      <c r="JP94" s="20" t="n">
        <f aca="false">IF(BL94=1,MAX(0,(Slot5_Cost-JO94*(1+Slot5_Rate)^(Slot5_Age-D94))/JL94),0)</f>
        <v>0</v>
      </c>
      <c r="JQ94" s="20" t="n">
        <f aca="false">IF(BL94=1,MAX(0,(Slot5_Cost-BM94*(1+Slot5_Rate)^(Slot5_Age-D94))/JL94),0)</f>
        <v>0</v>
      </c>
      <c r="JR94" s="20" t="n">
        <f aca="false">IF(AND(HU94=1,BL94=1),MIN(JK94,JP94),0)</f>
        <v>0</v>
      </c>
      <c r="JS94" s="20" t="n">
        <f aca="false">JK94-JR94</f>
        <v>0</v>
      </c>
      <c r="JT94" s="20" t="n">
        <f aca="false">IF(BV94=1,IF(ABS((1+AS_Wage)/(1+Slot6_Rate)-1)&lt;0.000000000001,(Slot6_Age-D94)*(1+Slot6_Rate)^(Slot6_Age-D94),(1+Slot6_Rate)^(Slot6_Age-D94)*(1-((1+AS_Wage)/(1+Slot6_Rate))^(Slot6_Age-D94))/(1-(1+AS_Wage)/(1+Slot6_Rate))),1)</f>
        <v>1</v>
      </c>
      <c r="JU94" s="20" t="n">
        <f aca="false">IF(AND(HU94=1,IE94&gt;0,Slot6_IsWG=1,BV94=1),MAX(0,(Slot6_Cost-BW94*(1+Slot6_Rate)^(Slot6_Age-D94))/JT94),0)</f>
        <v>0</v>
      </c>
      <c r="JV94" s="20" t="n">
        <f aca="false">IF(AND(HU94=1,IE94&gt;0,Slot6_IsWG=1,BV94=1),MIN(IE94,JU94),0)</f>
        <v>0</v>
      </c>
      <c r="JW94" s="20" t="n">
        <f aca="false">BW94+JV94</f>
        <v>0</v>
      </c>
      <c r="JX94" s="20" t="n">
        <f aca="false">IF(BV94=1,MAX(0,(Slot6_Cost-JW94*(1+Slot6_Rate)^(Slot6_Age-D94))/JT94),0)</f>
        <v>0</v>
      </c>
      <c r="JY94" s="20" t="n">
        <f aca="false">IF(BV94=1,MAX(0,(Slot6_Cost-BW94*(1+Slot6_Rate)^(Slot6_Age-D94))/JT94),0)</f>
        <v>0</v>
      </c>
      <c r="JZ94" s="20" t="n">
        <f aca="false">IF(AND(HU94=1,BV94=1),MIN(JS94,JX94),0)</f>
        <v>0</v>
      </c>
      <c r="KA94" s="20" t="n">
        <f aca="false">JS94-JZ94</f>
        <v>0</v>
      </c>
      <c r="KB94" s="20" t="n">
        <f aca="false">IF(CF94=1,IF(ABS((1+AS_Wage)/(1+Slot7_Rate)-1)&lt;0.000000000001,(Slot7_Age-D94)*(1+Slot7_Rate)^(Slot7_Age-D94),(1+Slot7_Rate)^(Slot7_Age-D94)*(1-((1+AS_Wage)/(1+Slot7_Rate))^(Slot7_Age-D94))/(1-(1+AS_Wage)/(1+Slot7_Rate))),1)</f>
        <v>1</v>
      </c>
      <c r="KC94" s="20" t="n">
        <f aca="false">IF(AND(HU94=1,IE94&gt;0,Slot7_IsWG=1,CF94=1),MAX(0,(Slot7_Cost-CG94*(1+Slot7_Rate)^(Slot7_Age-D94))/KB94),0)</f>
        <v>0</v>
      </c>
      <c r="KD94" s="20" t="n">
        <f aca="false">IF(AND(HU94=1,IE94&gt;0,Slot7_IsWG=1,CF94=1),MIN(IE94,KC94),0)</f>
        <v>0</v>
      </c>
      <c r="KE94" s="20" t="n">
        <f aca="false">CG94+KD94</f>
        <v>0</v>
      </c>
      <c r="KF94" s="20" t="n">
        <f aca="false">IF(CF94=1,MAX(0,(Slot7_Cost-KE94*(1+Slot7_Rate)^(Slot7_Age-D94))/KB94),0)</f>
        <v>0</v>
      </c>
      <c r="KG94" s="20" t="n">
        <f aca="false">IF(CF94=1,MAX(0,(Slot7_Cost-CG94*(1+Slot7_Rate)^(Slot7_Age-D94))/KB94),0)</f>
        <v>0</v>
      </c>
      <c r="KH94" s="20" t="n">
        <f aca="false">IF(AND(HU94=1,CF94=1),MIN(KA94,KF94),0)</f>
        <v>0</v>
      </c>
      <c r="KI94" s="20" t="n">
        <f aca="false">KA94-KH94</f>
        <v>0</v>
      </c>
      <c r="KJ94" s="20" t="n">
        <f aca="false">IF(CP94=1,IF(ABS((1+AS_Wage)/(1+Slot8_Rate)-1)&lt;0.000000000001,(Slot8_Age-D94)*(1+Slot8_Rate)^(Slot8_Age-D94),(1+Slot8_Rate)^(Slot8_Age-D94)*(1-((1+AS_Wage)/(1+Slot8_Rate))^(Slot8_Age-D94))/(1-(1+AS_Wage)/(1+Slot8_Rate))),1)</f>
        <v>1</v>
      </c>
      <c r="KK94" s="20" t="n">
        <f aca="false">IF(AND(HU94=1,IE94&gt;0,Slot8_IsWG=1,CP94=1),MAX(0,(Slot8_Cost-CQ94*(1+Slot8_Rate)^(Slot8_Age-D94))/KJ94),0)</f>
        <v>0</v>
      </c>
      <c r="KL94" s="20" t="n">
        <f aca="false">IF(AND(HU94=1,IE94&gt;0,Slot8_IsWG=1,CP94=1),MIN(IE94,KK94),0)</f>
        <v>0</v>
      </c>
      <c r="KM94" s="20" t="n">
        <f aca="false">CQ94+KL94</f>
        <v>0</v>
      </c>
      <c r="KN94" s="20" t="n">
        <f aca="false">IF(CP94=1,MAX(0,(Slot8_Cost-KM94*(1+Slot8_Rate)^(Slot8_Age-D94))/KJ94),0)</f>
        <v>0</v>
      </c>
      <c r="KO94" s="20" t="n">
        <f aca="false">IF(CP94=1,MAX(0,(Slot8_Cost-CQ94*(1+Slot8_Rate)^(Slot8_Age-D94))/KJ94),0)</f>
        <v>0</v>
      </c>
      <c r="KP94" s="20" t="n">
        <f aca="false">IF(AND(HU94=1,CP94=1),MIN(KI94,KN94),0)</f>
        <v>0</v>
      </c>
      <c r="KQ94" s="20" t="n">
        <f aca="false">KI94-KP94</f>
        <v>0</v>
      </c>
      <c r="KR94" s="20" t="n">
        <f aca="false">IF(CZ94=1,IF(ABS((1+AS_Wage)/(1+Slot9_Rate)-1)&lt;0.000000000001,(Slot9_Age-D94)*(1+Slot9_Rate)^(Slot9_Age-D94),(1+Slot9_Rate)^(Slot9_Age-D94)*(1-((1+AS_Wage)/(1+Slot9_Rate))^(Slot9_Age-D94))/(1-(1+AS_Wage)/(1+Slot9_Rate))),1)</f>
        <v>1</v>
      </c>
      <c r="KS94" s="20" t="n">
        <f aca="false">IF(AND(HU94=1,IE94&gt;0,Slot9_IsWG=1,CZ94=1),MAX(0,(Slot9_Cost-DA94*(1+Slot9_Rate)^(Slot9_Age-D94))/KR94),0)</f>
        <v>0</v>
      </c>
      <c r="KT94" s="20" t="n">
        <f aca="false">IF(AND(HU94=1,IE94&gt;0,Slot9_IsWG=1,CZ94=1),MIN(IE94,KS94),0)</f>
        <v>0</v>
      </c>
      <c r="KU94" s="20" t="n">
        <f aca="false">DA94+KT94</f>
        <v>0</v>
      </c>
      <c r="KV94" s="20" t="n">
        <f aca="false">IF(CZ94=1,MAX(0,(Slot9_Cost-KU94*(1+Slot9_Rate)^(Slot9_Age-D94))/KR94),0)</f>
        <v>0</v>
      </c>
      <c r="KW94" s="20" t="n">
        <f aca="false">IF(CZ94=1,MAX(0,(Slot9_Cost-DA94*(1+Slot9_Rate)^(Slot9_Age-D94))/KR94),0)</f>
        <v>0</v>
      </c>
      <c r="KX94" s="20" t="n">
        <f aca="false">IF(AND(HU94=1,CZ94=1),MIN(KQ94,KV94),0)</f>
        <v>0</v>
      </c>
      <c r="KY94" s="20" t="n">
        <f aca="false">KQ94-KX94</f>
        <v>0</v>
      </c>
      <c r="KZ94" s="20" t="n">
        <f aca="false">IF(DJ94=1,IF(ABS((1+AS_Wage)/(1+Slot10_Rate)-1)&lt;0.000000000001,(Slot10_Age-D94)*(1+Slot10_Rate)^(Slot10_Age-D94),(1+Slot10_Rate)^(Slot10_Age-D94)*(1-((1+AS_Wage)/(1+Slot10_Rate))^(Slot10_Age-D94))/(1-(1+AS_Wage)/(1+Slot10_Rate))),1)</f>
        <v>1</v>
      </c>
      <c r="LA94" s="20" t="n">
        <f aca="false">IF(AND(HU94=1,IE94&gt;0,Slot10_IsWG=1,DJ94=1),MAX(0,(Slot10_Cost-DK94*(1+Slot10_Rate)^(Slot10_Age-D94))/KZ94),0)</f>
        <v>0</v>
      </c>
      <c r="LB94" s="20" t="n">
        <f aca="false">IF(AND(HU94=1,IE94&gt;0,Slot10_IsWG=1,DJ94=1),MIN(IE94,LA94),0)</f>
        <v>0</v>
      </c>
      <c r="LC94" s="20" t="n">
        <f aca="false">DK94+LB94</f>
        <v>0</v>
      </c>
      <c r="LD94" s="20" t="n">
        <f aca="false">IF(DJ94=1,MAX(0,(Slot10_Cost-LC94*(1+Slot10_Rate)^(Slot10_Age-D94))/KZ94),0)</f>
        <v>0</v>
      </c>
      <c r="LE94" s="20" t="n">
        <f aca="false">IF(DJ94=1,MAX(0,(Slot10_Cost-DK94*(1+Slot10_Rate)^(Slot10_Age-D94))/KZ94),0)</f>
        <v>0</v>
      </c>
      <c r="LF94" s="20" t="n">
        <f aca="false">IF(AND(HU94=1,DJ94=1),MIN(KY94,LD94),0)</f>
        <v>0</v>
      </c>
      <c r="LG94" s="20" t="n">
        <f aca="false">KY94-LF94</f>
        <v>0</v>
      </c>
      <c r="LH94" s="20" t="n">
        <f aca="false">IF(DT94=1,IF(ABS((1+AS_Wage)/(1+Slot11_Rate)-1)&lt;0.000000000001,(Slot11_Age-D94)*(1+Slot11_Rate)^(Slot11_Age-D94),(1+Slot11_Rate)^(Slot11_Age-D94)*(1-((1+AS_Wage)/(1+Slot11_Rate))^(Slot11_Age-D94))/(1-(1+AS_Wage)/(1+Slot11_Rate))),1)</f>
        <v>1</v>
      </c>
      <c r="LI94" s="20" t="n">
        <f aca="false">IF(AND(HU94=1,IE94&gt;0,Slot11_IsWG=1,DT94=1),MAX(0,(Slot11_Cost-DU94*(1+Slot11_Rate)^(Slot11_Age-D94))/LH94),0)</f>
        <v>0</v>
      </c>
      <c r="LJ94" s="20" t="n">
        <f aca="false">IF(AND(HU94=1,IE94&gt;0,Slot11_IsWG=1,DT94=1),MIN(IE94,LI94),0)</f>
        <v>0</v>
      </c>
      <c r="LK94" s="20" t="n">
        <f aca="false">DU94+LJ94</f>
        <v>0</v>
      </c>
      <c r="LL94" s="20" t="n">
        <f aca="false">IF(DT94=1,MAX(0,(Slot11_Cost-LK94*(1+Slot11_Rate)^(Slot11_Age-D94))/LH94),0)</f>
        <v>0</v>
      </c>
      <c r="LM94" s="20" t="n">
        <f aca="false">IF(DT94=1,MAX(0,(Slot11_Cost-DU94*(1+Slot11_Rate)^(Slot11_Age-D94))/LH94),0)</f>
        <v>0</v>
      </c>
      <c r="LN94" s="20" t="n">
        <f aca="false">IF(AND(HU94=1,DT94=1),MIN(LG94,LL94),0)</f>
        <v>0</v>
      </c>
      <c r="LO94" s="20" t="n">
        <f aca="false">LG94-LN94</f>
        <v>0</v>
      </c>
      <c r="LP94" s="20" t="n">
        <f aca="false">IF(ED94=1,IF(ABS((1+AS_Wage)/(1+Slot12_Rate)-1)&lt;0.000000000001,(Slot12_Age-D94)*(1+Slot12_Rate)^(Slot12_Age-D94),(1+Slot12_Rate)^(Slot12_Age-D94)*(1-((1+AS_Wage)/(1+Slot12_Rate))^(Slot12_Age-D94))/(1-(1+AS_Wage)/(1+Slot12_Rate))),1)</f>
        <v>1</v>
      </c>
      <c r="LQ94" s="20" t="n">
        <f aca="false">IF(AND(HU94=1,IE94&gt;0,Slot12_IsWG=1,ED94=1),MAX(0,(Slot12_Cost-EE94*(1+Slot12_Rate)^(Slot12_Age-D94))/LP94),0)</f>
        <v>0</v>
      </c>
      <c r="LR94" s="20" t="n">
        <f aca="false">IF(AND(HU94=1,IE94&gt;0,Slot12_IsWG=1,ED94=1),MIN(IE94,LQ94),0)</f>
        <v>0</v>
      </c>
      <c r="LS94" s="20" t="n">
        <f aca="false">EE94+LR94</f>
        <v>0</v>
      </c>
      <c r="LT94" s="20" t="n">
        <f aca="false">IF(ED94=1,MAX(0,(Slot12_Cost-LS94*(1+Slot12_Rate)^(Slot12_Age-D94))/LP94),0)</f>
        <v>0</v>
      </c>
      <c r="LU94" s="20" t="n">
        <f aca="false">IF(ED94=1,MAX(0,(Slot12_Cost-EE94*(1+Slot12_Rate)^(Slot12_Age-D94))/LP94),0)</f>
        <v>0</v>
      </c>
      <c r="LV94" s="20" t="n">
        <f aca="false">IF(AND(HU94=1,ED94=1),MIN(LO94,LT94),0)</f>
        <v>0</v>
      </c>
      <c r="LW94" s="20" t="n">
        <f aca="false">LO94-LV94</f>
        <v>0</v>
      </c>
      <c r="LX94" s="20" t="n">
        <f aca="false">IF(EN94=1,IF(ABS((1+AS_Wage)/(1+Slot13_Rate)-1)&lt;0.000000000001,(Slot13_Age-D94)*(1+Slot13_Rate)^(Slot13_Age-D94),(1+Slot13_Rate)^(Slot13_Age-D94)*(1-((1+AS_Wage)/(1+Slot13_Rate))^(Slot13_Age-D94))/(1-(1+AS_Wage)/(1+Slot13_Rate))),1)</f>
        <v>1</v>
      </c>
      <c r="LY94" s="20" t="n">
        <f aca="false">IF(AND(HU94=1,IE94&gt;0,Slot13_IsWG=1,EN94=1),MAX(0,(Slot13_Cost-EO94*(1+Slot13_Rate)^(Slot13_Age-D94))/LX94),0)</f>
        <v>0</v>
      </c>
      <c r="LZ94" s="20" t="n">
        <f aca="false">IF(AND(HU94=1,IE94&gt;0,Slot13_IsWG=1,EN94=1),MIN(IE94,LY94),0)</f>
        <v>0</v>
      </c>
      <c r="MA94" s="20" t="n">
        <f aca="false">EO94+LZ94</f>
        <v>0</v>
      </c>
      <c r="MB94" s="20" t="n">
        <f aca="false">IF(EN94=1,MAX(0,(Slot13_Cost-MA94*(1+Slot13_Rate)^(Slot13_Age-D94))/LX94),0)</f>
        <v>0</v>
      </c>
      <c r="MC94" s="20" t="n">
        <f aca="false">IF(EN94=1,MAX(0,(Slot13_Cost-EO94*(1+Slot13_Rate)^(Slot13_Age-D94))/LX94),0)</f>
        <v>0</v>
      </c>
      <c r="MD94" s="20" t="n">
        <f aca="false">IF(AND(HU94=1,EN94=1),MIN(LW94,MB94),0)</f>
        <v>0</v>
      </c>
      <c r="ME94" s="20" t="n">
        <f aca="false">LW94-MD94</f>
        <v>0</v>
      </c>
      <c r="MF94" s="20" t="n">
        <f aca="false">IF(EX94=1,IF(ABS((1+AS_Wage)/(1+Slot14_Rate)-1)&lt;0.000000000001,(Slot14_Age-D94)*(1+Slot14_Rate)^(Slot14_Age-D94),(1+Slot14_Rate)^(Slot14_Age-D94)*(1-((1+AS_Wage)/(1+Slot14_Rate))^(Slot14_Age-D94))/(1-(1+AS_Wage)/(1+Slot14_Rate))),1)</f>
        <v>1</v>
      </c>
      <c r="MG94" s="20" t="n">
        <f aca="false">IF(AND(HU94=1,IE94&gt;0,Slot14_IsWG=1,EX94=1),MAX(0,(Slot14_Cost-EY94*(1+Slot14_Rate)^(Slot14_Age-D94))/MF94),0)</f>
        <v>0</v>
      </c>
      <c r="MH94" s="20" t="n">
        <f aca="false">IF(AND(HU94=1,IE94&gt;0,Slot14_IsWG=1,EX94=1),MIN(IE94,MG94),0)</f>
        <v>0</v>
      </c>
      <c r="MI94" s="20" t="n">
        <f aca="false">EY94+MH94</f>
        <v>0</v>
      </c>
      <c r="MJ94" s="20" t="n">
        <f aca="false">IF(EX94=1,MAX(0,(Slot14_Cost-MI94*(1+Slot14_Rate)^(Slot14_Age-D94))/MF94),0)</f>
        <v>0</v>
      </c>
      <c r="MK94" s="20" t="n">
        <f aca="false">IF(EX94=1,MAX(0,(Slot14_Cost-EY94*(1+Slot14_Rate)^(Slot14_Age-D94))/MF94),0)</f>
        <v>0</v>
      </c>
      <c r="ML94" s="20" t="n">
        <f aca="false">IF(AND(HU94=1,EX94=1),MIN(ME94,MJ94),0)</f>
        <v>0</v>
      </c>
      <c r="MM94" s="20" t="n">
        <f aca="false">ME94-ML94</f>
        <v>0</v>
      </c>
      <c r="MN94" s="20" t="n">
        <f aca="false">IF(FH94=1,IF(ABS((1+AS_Wage)/(1+Slot15_Rate)-1)&lt;0.000000000001,(Slot15_Age-D94)*(1+Slot15_Rate)^(Slot15_Age-D94),(1+Slot15_Rate)^(Slot15_Age-D94)*(1-((1+AS_Wage)/(1+Slot15_Rate))^(Slot15_Age-D94))/(1-(1+AS_Wage)/(1+Slot15_Rate))),1)</f>
        <v>1</v>
      </c>
      <c r="MO94" s="20" t="n">
        <f aca="false">IF(AND(HU94=1,IE94&gt;0,Slot15_IsWG=1,FH94=1),MAX(0,(Slot15_Cost-FI94*(1+Slot15_Rate)^(Slot15_Age-D94))/MN94),0)</f>
        <v>0</v>
      </c>
      <c r="MP94" s="20" t="n">
        <f aca="false">IF(AND(HU94=1,IE94&gt;0,Slot15_IsWG=1,FH94=1),MIN(IE94,MO94),0)</f>
        <v>0</v>
      </c>
      <c r="MQ94" s="20" t="n">
        <f aca="false">FI94+MP94</f>
        <v>0</v>
      </c>
      <c r="MR94" s="20" t="n">
        <f aca="false">IF(FH94=1,MAX(0,(Slot15_Cost-MQ94*(1+Slot15_Rate)^(Slot15_Age-D94))/MN94),0)</f>
        <v>0</v>
      </c>
      <c r="MS94" s="20" t="n">
        <f aca="false">IF(FH94=1,MAX(0,(Slot15_Cost-FI94*(1+Slot15_Rate)^(Slot15_Age-D94))/MN94),0)</f>
        <v>0</v>
      </c>
      <c r="MT94" s="20" t="n">
        <f aca="false">IF(AND(HU94=1,FH94=1),MIN(MM94,MR94),0)</f>
        <v>0</v>
      </c>
      <c r="MU94" s="20" t="n">
        <f aca="false">MM94-MT94</f>
        <v>0</v>
      </c>
      <c r="MV94" s="20" t="n">
        <f aca="false">IF(FR94=1,IF(ABS((1+AS_Wage)/(1+Slot16_Rate)-1)&lt;0.000000000001,(Slot16_Age-D94)*(1+Slot16_Rate)^(Slot16_Age-D94),(1+Slot16_Rate)^(Slot16_Age-D94)*(1-((1+AS_Wage)/(1+Slot16_Rate))^(Slot16_Age-D94))/(1-(1+AS_Wage)/(1+Slot16_Rate))),1)</f>
        <v>1</v>
      </c>
      <c r="MW94" s="20" t="n">
        <f aca="false">IF(AND(HU94=1,IE94&gt;0,Slot16_IsWG=1,FR94=1),MAX(0,(Slot16_Cost-FS94*(1+Slot16_Rate)^(Slot16_Age-D94))/MV94),0)</f>
        <v>0</v>
      </c>
      <c r="MX94" s="20" t="n">
        <f aca="false">IF(AND(HU94=1,IE94&gt;0,Slot16_IsWG=1,FR94=1),MIN(IE94,MW94),0)</f>
        <v>0</v>
      </c>
      <c r="MY94" s="20" t="n">
        <f aca="false">FS94+MX94</f>
        <v>0</v>
      </c>
      <c r="MZ94" s="20" t="n">
        <f aca="false">IF(FR94=1,MAX(0,(Slot16_Cost-MY94*(1+Slot16_Rate)^(Slot16_Age-D94))/MV94),0)</f>
        <v>0</v>
      </c>
      <c r="NA94" s="20" t="n">
        <f aca="false">IF(FR94=1,MAX(0,(Slot16_Cost-FS94*(1+Slot16_Rate)^(Slot16_Age-D94))/MV94),0)</f>
        <v>0</v>
      </c>
      <c r="NB94" s="20" t="n">
        <f aca="false">IF(AND(HU94=1,FR94=1),MIN(MU94,MZ94),0)</f>
        <v>0</v>
      </c>
      <c r="NC94" s="20" t="n">
        <f aca="false">MU94-NB94</f>
        <v>0</v>
      </c>
      <c r="ND94" s="20" t="n">
        <f aca="false">IF(GB94=1,IF(ABS((1+AS_Wage)/(1+Slot17_Rate)-1)&lt;0.000000000001,(Slot17_Age-D94)*(1+Slot17_Rate)^(Slot17_Age-D94),(1+Slot17_Rate)^(Slot17_Age-D94)*(1-((1+AS_Wage)/(1+Slot17_Rate))^(Slot17_Age-D94))/(1-(1+AS_Wage)/(1+Slot17_Rate))),1)</f>
        <v>1</v>
      </c>
      <c r="NE94" s="20" t="n">
        <f aca="false">IF(AND(HU94=1,IE94&gt;0,Slot17_IsWG=1,GB94=1),MAX(0,(Slot17_Cost-GC94*(1+Slot17_Rate)^(Slot17_Age-D94))/ND94),0)</f>
        <v>0</v>
      </c>
      <c r="NF94" s="20" t="n">
        <f aca="false">IF(AND(HU94=1,IE94&gt;0,Slot17_IsWG=1,GB94=1),MIN(IE94,NE94),0)</f>
        <v>0</v>
      </c>
      <c r="NG94" s="20" t="n">
        <f aca="false">GC94+NF94</f>
        <v>0</v>
      </c>
      <c r="NH94" s="20" t="n">
        <f aca="false">IF(GB94=1,MAX(0,(Slot17_Cost-NG94*(1+Slot17_Rate)^(Slot17_Age-D94))/ND94),0)</f>
        <v>0</v>
      </c>
      <c r="NI94" s="20" t="n">
        <f aca="false">IF(GB94=1,MAX(0,(Slot17_Cost-GC94*(1+Slot17_Rate)^(Slot17_Age-D94))/ND94),0)</f>
        <v>0</v>
      </c>
      <c r="NJ94" s="20" t="n">
        <f aca="false">IF(AND(HU94=1,GB94=1),MIN(NC94,NH94),0)</f>
        <v>0</v>
      </c>
      <c r="NK94" s="20" t="n">
        <f aca="false">NC94-NJ94</f>
        <v>0</v>
      </c>
      <c r="NL94" s="20" t="n">
        <f aca="false">IF(GL94=1,IF(ABS((1+AS_Wage)/(1+Slot18_Rate)-1)&lt;0.000000000001,(Slot18_Age-D94)*(1+Slot18_Rate)^(Slot18_Age-D94),(1+Slot18_Rate)^(Slot18_Age-D94)*(1-((1+AS_Wage)/(1+Slot18_Rate))^(Slot18_Age-D94))/(1-(1+AS_Wage)/(1+Slot18_Rate))),1)</f>
        <v>1</v>
      </c>
      <c r="NM94" s="20" t="n">
        <f aca="false">IF(AND(HU94=1,IE94&gt;0,Slot18_IsWG=1,GL94=1),MAX(0,(Slot18_Cost-GM94*(1+Slot18_Rate)^(Slot18_Age-D94))/NL94),0)</f>
        <v>0</v>
      </c>
      <c r="NN94" s="20" t="n">
        <f aca="false">IF(AND(HU94=1,IE94&gt;0,Slot18_IsWG=1,GL94=1),MIN(IE94,NM94),0)</f>
        <v>0</v>
      </c>
      <c r="NO94" s="20" t="n">
        <f aca="false">GM94+NN94</f>
        <v>0</v>
      </c>
      <c r="NP94" s="20" t="n">
        <f aca="false">IF(GL94=1,MAX(0,(Slot18_Cost-NO94*(1+Slot18_Rate)^(Slot18_Age-D94))/NL94),0)</f>
        <v>0</v>
      </c>
      <c r="NQ94" s="20" t="n">
        <f aca="false">IF(GL94=1,MAX(0,(Slot18_Cost-GM94*(1+Slot18_Rate)^(Slot18_Age-D94))/NL94),0)</f>
        <v>0</v>
      </c>
      <c r="NR94" s="20" t="n">
        <f aca="false">IF(AND(HU94=1,GL94=1),MIN(NK94,NP94),0)</f>
        <v>0</v>
      </c>
      <c r="NS94" s="20" t="n">
        <f aca="false">NK94-NR94</f>
        <v>0</v>
      </c>
      <c r="NT94" s="20" t="n">
        <f aca="false">IF(GV94=1,IF(ABS((1+AS_Wage)/(1+Slot19_Rate)-1)&lt;0.000000000001,(Slot19_Age-D94)*(1+Slot19_Rate)^(Slot19_Age-D94),(1+Slot19_Rate)^(Slot19_Age-D94)*(1-((1+AS_Wage)/(1+Slot19_Rate))^(Slot19_Age-D94))/(1-(1+AS_Wage)/(1+Slot19_Rate))),1)</f>
        <v>1</v>
      </c>
      <c r="NU94" s="20" t="n">
        <f aca="false">IF(AND(HU94=1,IE94&gt;0,Slot19_IsWG=1,GV94=1),MAX(0,(Slot19_Cost-GW94*(1+Slot19_Rate)^(Slot19_Age-D94))/NT94),0)</f>
        <v>0</v>
      </c>
      <c r="NV94" s="20" t="n">
        <f aca="false">IF(AND(HU94=1,IE94&gt;0,Slot19_IsWG=1,GV94=1),MIN(IE94,NU94),0)</f>
        <v>0</v>
      </c>
      <c r="NW94" s="20" t="n">
        <f aca="false">GW94+NV94</f>
        <v>0</v>
      </c>
      <c r="NX94" s="20" t="n">
        <f aca="false">IF(GV94=1,MAX(0,(Slot19_Cost-NW94*(1+Slot19_Rate)^(Slot19_Age-D94))/NT94),0)</f>
        <v>0</v>
      </c>
      <c r="NY94" s="20" t="n">
        <f aca="false">IF(GV94=1,MAX(0,(Slot19_Cost-GW94*(1+Slot19_Rate)^(Slot19_Age-D94))/NT94),0)</f>
        <v>0</v>
      </c>
      <c r="NZ94" s="20" t="n">
        <f aca="false">IF(AND(HU94=1,GV94=1),MIN(NS94,NX94),0)</f>
        <v>0</v>
      </c>
      <c r="OA94" s="20" t="n">
        <f aca="false">NS94-NZ94</f>
        <v>0</v>
      </c>
      <c r="OB94" s="20" t="n">
        <f aca="false">IF(HF94=1,IF(ABS((1+AS_Wage)/(1+Slot20_Rate)-1)&lt;0.000000000001,(Slot20_Age-D94)*(1+Slot20_Rate)^(Slot20_Age-D94),(1+Slot20_Rate)^(Slot20_Age-D94)*(1-((1+AS_Wage)/(1+Slot20_Rate))^(Slot20_Age-D94))/(1-(1+AS_Wage)/(1+Slot20_Rate))),1)</f>
        <v>1</v>
      </c>
      <c r="OC94" s="20" t="n">
        <f aca="false">IF(AND(HU94=1,IE94&gt;0,Slot20_IsWG=1,HF94=1),MAX(0,(Slot20_Cost-HG94*(1+Slot20_Rate)^(Slot20_Age-D94))/OB94),0)</f>
        <v>0</v>
      </c>
      <c r="OD94" s="20" t="n">
        <f aca="false">IF(AND(HU94=1,IE94&gt;0,Slot20_IsWG=1,HF94=1),MIN(IE94,OC94),0)</f>
        <v>0</v>
      </c>
      <c r="OE94" s="20" t="n">
        <f aca="false">HG94+OD94</f>
        <v>0</v>
      </c>
      <c r="OF94" s="20" t="n">
        <f aca="false">IF(HF94=1,MAX(0,(Slot20_Cost-OE94*(1+Slot20_Rate)^(Slot20_Age-D94))/OB94),0)</f>
        <v>0</v>
      </c>
      <c r="OG94" s="20" t="n">
        <f aca="false">IF(HF94=1,MAX(0,(Slot20_Cost-HG94*(1+Slot20_Rate)^(Slot20_Age-D94))/OB94),0)</f>
        <v>0</v>
      </c>
      <c r="OH94" s="20" t="n">
        <f aca="false">IF(AND(HU94=1,HF94=1),MIN(OA94,OF94),0)</f>
        <v>0</v>
      </c>
      <c r="OI94" s="20" t="n">
        <f aca="false">OA94-OH94</f>
        <v>0</v>
      </c>
      <c r="OJ94" s="20" t="n">
        <f aca="false">IE94-(IH94+IP94+IX94+JF94+JN94+JV94+KD94+KL94+KT94+LB94+LJ94+LR94+LZ94+MH94+MP94+MX94+NF94+NN94+NV94+OD94)</f>
        <v>0</v>
      </c>
      <c r="OK94" s="20" t="n">
        <f aca="false">IF(HU94=1,HS94-ID94-IE94,0)</f>
        <v>0</v>
      </c>
      <c r="OL94" s="20" t="n">
        <f aca="false">IF(HU94=0,-HS94,0)</f>
        <v>105778.037958056</v>
      </c>
      <c r="OM94" s="20" t="n">
        <f aca="false">MIN(OL94,HK94)</f>
        <v>0</v>
      </c>
      <c r="ON94" s="20" t="n">
        <f aca="false">OL94-OM94</f>
        <v>105778.037958056</v>
      </c>
      <c r="OO94" s="20" t="n">
        <f aca="false">MIN(ON94,HL94)</f>
        <v>0</v>
      </c>
      <c r="OP94" s="20" t="n">
        <f aca="false">ON94-OO94</f>
        <v>105778.037958056</v>
      </c>
      <c r="OQ94" s="20" t="n">
        <f aca="false">IF(AND(HU94=0,HF94=1,OP94&gt;0),MIN(OP94,HG94),0)</f>
        <v>0</v>
      </c>
      <c r="OR94" s="20" t="n">
        <f aca="false">OP94-OQ94</f>
        <v>105778.037958056</v>
      </c>
      <c r="OS94" s="20" t="n">
        <f aca="false">IF(AND(HU94=0,GV94=1,OR94&gt;0),MIN(OR94,GW94),0)</f>
        <v>0</v>
      </c>
      <c r="OT94" s="20" t="n">
        <f aca="false">OR94-OS94</f>
        <v>105778.037958056</v>
      </c>
      <c r="OU94" s="20" t="n">
        <f aca="false">IF(AND(HU94=0,GL94=1,OT94&gt;0),MIN(OT94,GM94),0)</f>
        <v>0</v>
      </c>
      <c r="OV94" s="20" t="n">
        <f aca="false">OT94-OU94</f>
        <v>105778.037958056</v>
      </c>
      <c r="OW94" s="20" t="n">
        <f aca="false">IF(AND(HU94=0,GB94=1,OV94&gt;0),MIN(OV94,GC94),0)</f>
        <v>0</v>
      </c>
      <c r="OX94" s="20" t="n">
        <f aca="false">OV94-OW94</f>
        <v>105778.037958056</v>
      </c>
      <c r="OY94" s="20" t="n">
        <f aca="false">IF(AND(HU94=0,FR94=1,OX94&gt;0),MIN(OX94,FS94),0)</f>
        <v>0</v>
      </c>
      <c r="OZ94" s="20" t="n">
        <f aca="false">OX94-OY94</f>
        <v>105778.037958056</v>
      </c>
      <c r="PA94" s="20" t="n">
        <f aca="false">IF(AND(HU94=0,FH94=1,OZ94&gt;0),MIN(OZ94,FI94),0)</f>
        <v>0</v>
      </c>
      <c r="PB94" s="20" t="n">
        <f aca="false">OZ94-PA94</f>
        <v>105778.037958056</v>
      </c>
      <c r="PC94" s="20" t="n">
        <f aca="false">IF(AND(HU94=0,EX94=1,PB94&gt;0),MIN(PB94,EY94),0)</f>
        <v>0</v>
      </c>
      <c r="PD94" s="20" t="n">
        <f aca="false">PB94-PC94</f>
        <v>105778.037958056</v>
      </c>
      <c r="PE94" s="20" t="n">
        <f aca="false">IF(AND(HU94=0,EN94=1,PD94&gt;0),MIN(PD94,EO94),0)</f>
        <v>0</v>
      </c>
      <c r="PF94" s="20" t="n">
        <f aca="false">PD94-PE94</f>
        <v>105778.037958056</v>
      </c>
      <c r="PG94" s="20" t="n">
        <f aca="false">IF(AND(HU94=0,ED94=1,PF94&gt;0),MIN(PF94,EE94),0)</f>
        <v>0</v>
      </c>
      <c r="PH94" s="20" t="n">
        <f aca="false">PF94-PG94</f>
        <v>105778.037958056</v>
      </c>
      <c r="PI94" s="20" t="n">
        <f aca="false">IF(AND(HU94=0,DT94=1,PH94&gt;0),MIN(PH94,DU94),0)</f>
        <v>0</v>
      </c>
      <c r="PJ94" s="20" t="n">
        <f aca="false">PH94-PI94</f>
        <v>105778.037958056</v>
      </c>
      <c r="PK94" s="20" t="n">
        <f aca="false">IF(AND(HU94=0,DJ94=1,PJ94&gt;0),MIN(PJ94,DK94),0)</f>
        <v>0</v>
      </c>
      <c r="PL94" s="20" t="n">
        <f aca="false">PJ94-PK94</f>
        <v>105778.037958056</v>
      </c>
      <c r="PM94" s="20" t="n">
        <f aca="false">IF(AND(HU94=0,CZ94=1,PL94&gt;0),MIN(PL94,DA94),0)</f>
        <v>0</v>
      </c>
      <c r="PN94" s="20" t="n">
        <f aca="false">PL94-PM94</f>
        <v>105778.037958056</v>
      </c>
      <c r="PO94" s="20" t="n">
        <f aca="false">IF(AND(HU94=0,CP94=1,PN94&gt;0),MIN(PN94,CQ94),0)</f>
        <v>0</v>
      </c>
      <c r="PP94" s="20" t="n">
        <f aca="false">PN94-PO94</f>
        <v>105778.037958056</v>
      </c>
      <c r="PQ94" s="20" t="n">
        <f aca="false">IF(AND(HU94=0,CF94=1,PP94&gt;0),MIN(PP94,CG94),0)</f>
        <v>0</v>
      </c>
      <c r="PR94" s="20" t="n">
        <f aca="false">PP94-PQ94</f>
        <v>105778.037958056</v>
      </c>
      <c r="PS94" s="20" t="n">
        <f aca="false">IF(AND(HU94=0,BV94=1,PR94&gt;0),MIN(PR94,BW94),0)</f>
        <v>0</v>
      </c>
      <c r="PT94" s="20" t="n">
        <f aca="false">PR94-PS94</f>
        <v>105778.037958056</v>
      </c>
      <c r="PU94" s="20" t="n">
        <f aca="false">IF(AND(HU94=0,BL94=1,PT94&gt;0),MIN(PT94,BM94),0)</f>
        <v>0</v>
      </c>
      <c r="PV94" s="20" t="n">
        <f aca="false">PT94-PU94</f>
        <v>105778.037958056</v>
      </c>
      <c r="PW94" s="20" t="n">
        <f aca="false">IF(AND(HU94=0,BB94=1,PV94&gt;0),MIN(PV94,BC94),0)</f>
        <v>0</v>
      </c>
      <c r="PX94" s="20" t="n">
        <f aca="false">PV94-PW94</f>
        <v>105778.037958056</v>
      </c>
      <c r="PY94" s="20" t="n">
        <f aca="false">IF(AND(HU94=0,AR94=1,PX94&gt;0),MIN(PX94,AS94),0)</f>
        <v>0</v>
      </c>
      <c r="PZ94" s="20" t="n">
        <f aca="false">PX94-PY94</f>
        <v>105778.037958056</v>
      </c>
      <c r="QA94" s="20" t="n">
        <f aca="false">IF(AND(HU94=0,AH94=1,PZ94&gt;0),MIN(PZ94,AI94),0)</f>
        <v>0</v>
      </c>
      <c r="QB94" s="20" t="n">
        <f aca="false">PZ94-QA94</f>
        <v>105778.037958056</v>
      </c>
      <c r="QC94" s="20" t="n">
        <f aca="false">IF(AND(HU94=0,W94=1,QB94&gt;0),MIN(QB94,X94),0)</f>
        <v>0</v>
      </c>
      <c r="QD94" s="20" t="n">
        <f aca="false">QB94-QC94</f>
        <v>105778.037958056</v>
      </c>
      <c r="QE94" s="20" t="n">
        <f aca="false">IF(HU94=0,QD94,0)</f>
        <v>105778.037958056</v>
      </c>
      <c r="QF94" s="20" t="n">
        <f aca="false">OM94+OO94+QC94+QA94+PY94+PW94+PU94+PS94+PQ94+PO94+PM94+PK94+PI94+PG94+PE94+PC94+PA94+OY94+OW94+OU94+OS94+OQ94</f>
        <v>0</v>
      </c>
      <c r="QG94" s="20" t="n">
        <f aca="false">IF(HU94=1,HK94+OJ94+OI94+IF(G94=1,0,OK94),HK94-OM94)</f>
        <v>0</v>
      </c>
      <c r="QH94" s="20" t="n">
        <f aca="false">HL94-OO94</f>
        <v>0</v>
      </c>
      <c r="QI94" s="20" t="n">
        <f aca="false">IF(HU94=1,IF(G94=1,ID94+IE94,HS94),0)</f>
        <v>0</v>
      </c>
      <c r="QJ94" s="20" t="n">
        <f aca="false">IF(HU94=1,IF(G94=1,HS94-ID94-IE94,0),0)</f>
        <v>0</v>
      </c>
      <c r="QK94" s="20" t="n">
        <f aca="false">QG94*(1+GR)</f>
        <v>0</v>
      </c>
      <c r="QL94" s="20" t="n">
        <f aca="false">QH94*(1+AS_Cash)</f>
        <v>0</v>
      </c>
      <c r="QM94" s="20" t="n">
        <f aca="false">IF(W94=1,IF(HU94=1,II94+IL94,X94-QC94)*(1+Slot1_Rate),0)</f>
        <v>0</v>
      </c>
      <c r="QN94" s="20" t="n">
        <f aca="false">IF(AND(HU94=1,W94=1),(IH94+IL94)/F94,0)</f>
        <v>0</v>
      </c>
      <c r="QO94" s="20" t="n">
        <f aca="false">IF(B94=0,IH94+IL94,0)</f>
        <v>0</v>
      </c>
      <c r="QP94" s="20" t="n">
        <f aca="false">IF(B94=0,IF(HU94=1,IJ94,IK94),0)</f>
        <v>0</v>
      </c>
      <c r="QQ94" s="20" t="n">
        <f aca="false">IF(AH94=1,IF(HU94=1,IQ94+IT94,AI94-QA94)*(1+Slot2_Rate),0)</f>
        <v>0</v>
      </c>
      <c r="QR94" s="20" t="n">
        <f aca="false">IF(AND(HU94=1,AH94=1),(IP94+IT94)/F94,0)</f>
        <v>0</v>
      </c>
      <c r="QS94" s="20" t="n">
        <f aca="false">IF(B94=0,IP94+IT94,0)</f>
        <v>0</v>
      </c>
      <c r="QT94" s="20" t="n">
        <f aca="false">IF(B94=0,IF(HU94=1,IR94,IS94),0)</f>
        <v>0</v>
      </c>
      <c r="QU94" s="20" t="n">
        <f aca="false">IF(AR94=1,IF(HU94=1,IY94+JB94,AS94-PY94)*(1+Slot3_Rate),0)</f>
        <v>0</v>
      </c>
      <c r="QV94" s="20" t="n">
        <f aca="false">IF(AND(HU94=1,AR94=1),(IX94+JB94)/F94,0)</f>
        <v>0</v>
      </c>
      <c r="QW94" s="20" t="n">
        <f aca="false">IF(B94=0,IX94+JB94,0)</f>
        <v>0</v>
      </c>
      <c r="QX94" s="20" t="n">
        <f aca="false">IF(B94=0,IF(HU94=1,IZ94,JA94),0)</f>
        <v>0</v>
      </c>
      <c r="QY94" s="20" t="n">
        <f aca="false">IF(BB94=1,IF(HU94=1,JG94+JJ94,BC94-PW94)*(1+Slot4_Rate),0)</f>
        <v>0</v>
      </c>
      <c r="QZ94" s="20" t="n">
        <f aca="false">IF(AND(HU94=1,BB94=1),(JF94+JJ94)/F94,0)</f>
        <v>0</v>
      </c>
      <c r="RA94" s="20" t="n">
        <f aca="false">IF(B94=0,JF94+JJ94,0)</f>
        <v>0</v>
      </c>
      <c r="RB94" s="20" t="n">
        <f aca="false">IF(B94=0,IF(HU94=1,JH94,JI94),0)</f>
        <v>0</v>
      </c>
      <c r="RC94" s="20" t="n">
        <f aca="false">IF(BL94=1,IF(HU94=1,JO94+JR94,BM94-PU94)*(1+Slot5_Rate),0)</f>
        <v>0</v>
      </c>
      <c r="RD94" s="20" t="n">
        <f aca="false">IF(AND(HU94=1,BL94=1),(JN94+JR94)/F94,0)</f>
        <v>0</v>
      </c>
      <c r="RE94" s="20" t="n">
        <f aca="false">IF(B94=0,JN94+JR94,0)</f>
        <v>0</v>
      </c>
      <c r="RF94" s="20" t="n">
        <f aca="false">IF(B94=0,IF(HU94=1,JP94,JQ94),0)</f>
        <v>0</v>
      </c>
      <c r="RG94" s="20" t="n">
        <f aca="false">IF(BV94=1,IF(HU94=1,JW94+JZ94,BW94-PS94)*(1+Slot6_Rate),0)</f>
        <v>0</v>
      </c>
      <c r="RH94" s="20" t="n">
        <f aca="false">IF(AND(HU94=1,BV94=1),(JV94+JZ94)/F94,0)</f>
        <v>0</v>
      </c>
      <c r="RI94" s="20" t="n">
        <f aca="false">IF(B94=0,JV94+JZ94,0)</f>
        <v>0</v>
      </c>
      <c r="RJ94" s="20" t="n">
        <f aca="false">IF(B94=0,IF(HU94=1,JX94,JY94),0)</f>
        <v>0</v>
      </c>
      <c r="RK94" s="20" t="n">
        <f aca="false">IF(CF94=1,IF(HU94=1,KE94+KH94,CG94-PQ94)*(1+Slot7_Rate),0)</f>
        <v>0</v>
      </c>
      <c r="RL94" s="20" t="n">
        <f aca="false">IF(AND(HU94=1,CF94=1),(KD94+KH94)/F94,0)</f>
        <v>0</v>
      </c>
      <c r="RM94" s="20" t="n">
        <f aca="false">IF(B94=0,KD94+KH94,0)</f>
        <v>0</v>
      </c>
      <c r="RN94" s="20" t="n">
        <f aca="false">IF(B94=0,IF(HU94=1,KF94,KG94),0)</f>
        <v>0</v>
      </c>
      <c r="RO94" s="20" t="n">
        <f aca="false">IF(CP94=1,IF(HU94=1,KM94+KP94,CQ94-PO94)*(1+Slot8_Rate),0)</f>
        <v>0</v>
      </c>
      <c r="RP94" s="20" t="n">
        <f aca="false">IF(AND(HU94=1,CP94=1),(KL94+KP94)/F94,0)</f>
        <v>0</v>
      </c>
      <c r="RQ94" s="20" t="n">
        <f aca="false">IF(B94=0,KL94+KP94,0)</f>
        <v>0</v>
      </c>
      <c r="RR94" s="20" t="n">
        <f aca="false">IF(B94=0,IF(HU94=1,KN94,KO94),0)</f>
        <v>0</v>
      </c>
      <c r="RS94" s="20" t="n">
        <f aca="false">IF(CZ94=1,IF(HU94=1,KU94+KX94,DA94-PM94)*(1+Slot9_Rate),0)</f>
        <v>0</v>
      </c>
      <c r="RT94" s="20" t="n">
        <f aca="false">IF(AND(HU94=1,CZ94=1),(KT94+KX94)/F94,0)</f>
        <v>0</v>
      </c>
      <c r="RU94" s="20" t="n">
        <f aca="false">IF(B94=0,KT94+KX94,0)</f>
        <v>0</v>
      </c>
      <c r="RV94" s="20" t="n">
        <f aca="false">IF(B94=0,IF(HU94=1,KV94,KW94),0)</f>
        <v>0</v>
      </c>
      <c r="RW94" s="20" t="n">
        <f aca="false">IF(DJ94=1,IF(HU94=1,LC94+LF94,DK94-PK94)*(1+Slot10_Rate),0)</f>
        <v>0</v>
      </c>
      <c r="RX94" s="20" t="n">
        <f aca="false">IF(AND(HU94=1,DJ94=1),(LB94+LF94)/F94,0)</f>
        <v>0</v>
      </c>
      <c r="RY94" s="20" t="n">
        <f aca="false">IF(B94=0,LB94+LF94,0)</f>
        <v>0</v>
      </c>
      <c r="RZ94" s="20" t="n">
        <f aca="false">IF(B94=0,IF(HU94=1,LD94,LE94),0)</f>
        <v>0</v>
      </c>
      <c r="SA94" s="20" t="n">
        <f aca="false">IF(DT94=1,IF(HU94=1,LK94+LN94,DU94-PI94)*(1+Slot11_Rate),0)</f>
        <v>0</v>
      </c>
      <c r="SB94" s="20" t="n">
        <f aca="false">IF(AND(HU94=1,DT94=1),(LJ94+LN94)/F94,0)</f>
        <v>0</v>
      </c>
      <c r="SC94" s="20" t="n">
        <f aca="false">IF(B94=0,LJ94+LN94,0)</f>
        <v>0</v>
      </c>
      <c r="SD94" s="20" t="n">
        <f aca="false">IF(B94=0,IF(HU94=1,LL94,LM94),0)</f>
        <v>0</v>
      </c>
      <c r="SE94" s="20" t="n">
        <f aca="false">IF(ED94=1,IF(HU94=1,LS94+LV94,EE94-PG94)*(1+Slot12_Rate),0)</f>
        <v>0</v>
      </c>
      <c r="SF94" s="20" t="n">
        <f aca="false">IF(AND(HU94=1,ED94=1),(LR94+LV94)/F94,0)</f>
        <v>0</v>
      </c>
      <c r="SG94" s="20" t="n">
        <f aca="false">IF(B94=0,LR94+LV94,0)</f>
        <v>0</v>
      </c>
      <c r="SH94" s="20" t="n">
        <f aca="false">IF(B94=0,IF(HU94=1,LT94,LU94),0)</f>
        <v>0</v>
      </c>
      <c r="SI94" s="20" t="n">
        <f aca="false">IF(EN94=1,IF(HU94=1,MA94+MD94,EO94-PE94)*(1+Slot13_Rate),0)</f>
        <v>0</v>
      </c>
      <c r="SJ94" s="20" t="n">
        <f aca="false">IF(AND(HU94=1,EN94=1),(LZ94+MD94)/F94,0)</f>
        <v>0</v>
      </c>
      <c r="SK94" s="20" t="n">
        <f aca="false">IF(B94=0,LZ94+MD94,0)</f>
        <v>0</v>
      </c>
      <c r="SL94" s="20" t="n">
        <f aca="false">IF(B94=0,IF(HU94=1,MB94,MC94),0)</f>
        <v>0</v>
      </c>
      <c r="SM94" s="20" t="n">
        <f aca="false">IF(EX94=1,IF(HU94=1,MI94+ML94,EY94-PC94)*(1+Slot14_Rate),0)</f>
        <v>0</v>
      </c>
      <c r="SN94" s="20" t="n">
        <f aca="false">IF(AND(HU94=1,EX94=1),(MH94+ML94)/F94,0)</f>
        <v>0</v>
      </c>
      <c r="SO94" s="20" t="n">
        <f aca="false">IF(B94=0,MH94+ML94,0)</f>
        <v>0</v>
      </c>
      <c r="SP94" s="20" t="n">
        <f aca="false">IF(B94=0,IF(HU94=1,MJ94,MK94),0)</f>
        <v>0</v>
      </c>
      <c r="SQ94" s="20" t="n">
        <f aca="false">IF(FH94=1,IF(HU94=1,MQ94+MT94,FI94-PA94)*(1+Slot15_Rate),0)</f>
        <v>0</v>
      </c>
      <c r="SR94" s="20" t="n">
        <f aca="false">IF(AND(HU94=1,FH94=1),(MP94+MT94)/F94,0)</f>
        <v>0</v>
      </c>
      <c r="SS94" s="20" t="n">
        <f aca="false">IF(B94=0,MP94+MT94,0)</f>
        <v>0</v>
      </c>
      <c r="ST94" s="20" t="n">
        <f aca="false">IF(B94=0,IF(HU94=1,MR94,MS94),0)</f>
        <v>0</v>
      </c>
      <c r="SU94" s="20" t="n">
        <f aca="false">IF(FR94=1,IF(HU94=1,MY94+NB94,FS94-OY94)*(1+Slot16_Rate),0)</f>
        <v>0</v>
      </c>
      <c r="SV94" s="20" t="n">
        <f aca="false">IF(AND(HU94=1,FR94=1),(MX94+NB94)/F94,0)</f>
        <v>0</v>
      </c>
      <c r="SW94" s="20" t="n">
        <f aca="false">IF(B94=0,MX94+NB94,0)</f>
        <v>0</v>
      </c>
      <c r="SX94" s="20" t="n">
        <f aca="false">IF(B94=0,IF(HU94=1,MZ94,NA94),0)</f>
        <v>0</v>
      </c>
      <c r="SY94" s="20" t="n">
        <f aca="false">IF(GB94=1,IF(HU94=1,NG94+NJ94,GC94-OW94)*(1+Slot17_Rate),0)</f>
        <v>0</v>
      </c>
      <c r="SZ94" s="20" t="n">
        <f aca="false">IF(AND(HU94=1,GB94=1),(NF94+NJ94)/F94,0)</f>
        <v>0</v>
      </c>
      <c r="TA94" s="20" t="n">
        <f aca="false">IF(B94=0,NF94+NJ94,0)</f>
        <v>0</v>
      </c>
      <c r="TB94" s="20" t="n">
        <f aca="false">IF(B94=0,IF(HU94=1,NH94,NI94),0)</f>
        <v>0</v>
      </c>
      <c r="TC94" s="20" t="n">
        <f aca="false">IF(GL94=1,IF(HU94=1,NO94+NR94,GM94-OU94)*(1+Slot18_Rate),0)</f>
        <v>0</v>
      </c>
      <c r="TD94" s="20" t="n">
        <f aca="false">IF(AND(HU94=1,GL94=1),(NN94+NR94)/F94,0)</f>
        <v>0</v>
      </c>
      <c r="TE94" s="20" t="n">
        <f aca="false">IF(B94=0,NN94+NR94,0)</f>
        <v>0</v>
      </c>
      <c r="TF94" s="20" t="n">
        <f aca="false">IF(B94=0,IF(HU94=1,NP94,NQ94),0)</f>
        <v>0</v>
      </c>
      <c r="TG94" s="20" t="n">
        <f aca="false">IF(GV94=1,IF(HU94=1,NW94+NZ94,GW94-OS94)*(1+Slot19_Rate),0)</f>
        <v>0</v>
      </c>
      <c r="TH94" s="20" t="n">
        <f aca="false">IF(AND(HU94=1,GV94=1),(NV94+NZ94)/F94,0)</f>
        <v>0</v>
      </c>
      <c r="TI94" s="20" t="n">
        <f aca="false">IF(B94=0,NV94+NZ94,0)</f>
        <v>0</v>
      </c>
      <c r="TJ94" s="20" t="n">
        <f aca="false">IF(B94=0,IF(HU94=1,NX94,NY94),0)</f>
        <v>0</v>
      </c>
      <c r="TK94" s="20" t="n">
        <f aca="false">IF(HF94=1,IF(HU94=1,OE94+OH94,HG94-OQ94)*(1+Slot20_Rate),0)</f>
        <v>0</v>
      </c>
      <c r="TL94" s="20" t="n">
        <f aca="false">IF(AND(HU94=1,HF94=1),(OD94+OH94)/F94,0)</f>
        <v>0</v>
      </c>
      <c r="TM94" s="20" t="n">
        <f aca="false">IF(B94=0,OD94+OH94,0)</f>
        <v>0</v>
      </c>
      <c r="TN94" s="20" t="n">
        <f aca="false">IF(B94=0,IF(HU94=1,OF94,OG94),0)</f>
        <v>0</v>
      </c>
      <c r="TO94" s="20" t="n">
        <f aca="false">QK94+QL94+QM94+QQ94+QU94+QY94+RC94+RG94+RK94+RO94+RS94+RW94+SA94+SE94+SI94+SM94+SQ94+SU94+SY94+TC94+TG94+TK94</f>
        <v>0</v>
      </c>
      <c r="TP94" s="20" t="n">
        <f aca="false">QE94+HP94</f>
        <v>105778.037958056</v>
      </c>
      <c r="TQ94" s="20" t="n">
        <f aca="false">I94+S94</f>
        <v>262447.637769189</v>
      </c>
      <c r="TR94" s="20" t="n">
        <f aca="false">1-G94</f>
        <v>1</v>
      </c>
      <c r="TS94" s="20" t="n">
        <f aca="false">IF(AND(RG_Exists=1,G94=0,C94=1),I94,0)</f>
        <v>0</v>
      </c>
      <c r="TT94" s="20" t="n">
        <f aca="false">IF(AND(RG_Exists=1,G94=0,C94=1),I94-MIN(QE94,I94),0)</f>
        <v>0</v>
      </c>
      <c r="TU94" s="20" t="n">
        <f aca="false">'Plan pay &amp; tax'!AD320</f>
        <v>0</v>
      </c>
      <c r="TV94" s="20" t="n">
        <f aca="false">IF(AND(C94=1,QE94&gt;MAX(PR_Short1,TQ94*PR_Short2)),1,0)</f>
        <v>0</v>
      </c>
      <c r="TW94" s="20" t="n">
        <f aca="false">MIN(H94,I94+S94)</f>
        <v>156669.599811133</v>
      </c>
      <c r="TX94" s="20" t="n">
        <f aca="false">QF94+MAX(0,HQ94-HP94)</f>
        <v>0</v>
      </c>
      <c r="TY94" s="20" t="n">
        <f aca="false">QE94+HP94</f>
        <v>105778.037958056</v>
      </c>
      <c r="TZ94" s="20" t="n">
        <f aca="false">IF(AND(C94=1,TY94&gt;PR_MinShort),1,0)</f>
        <v>0</v>
      </c>
      <c r="UA94" s="20" t="n">
        <f aca="false">IF(AND(C94=1,TZ94=0,TX94&gt;PR_MinShort),1,0)</f>
        <v>0</v>
      </c>
      <c r="UB94" s="20" t="n">
        <f aca="false">IF(AND(C94=1,QE94&gt;PR_MinShort),1,0)</f>
        <v>0</v>
      </c>
      <c r="UC94" s="20" t="n">
        <f aca="false">IF(AND(C94=1,QF94&gt;1,UJ94=0),1,0)</f>
        <v>0</v>
      </c>
      <c r="UD94" s="20" t="str">
        <f aca="false">IF(C94=0,"",IF(UJ94=1,"Gap to plan for: short "&amp;"€"&amp;TEXT(ROUND(TP94,0),"#,##0"),IF(QF94&gt;1,"Using savings","Comfortable")))</f>
        <v/>
      </c>
      <c r="UE94" s="20" t="n">
        <f aca="false">IF(AND(INT(D94/10)*10=90,B94&gt;0),80,INT(D94/10)*10)</f>
        <v>120</v>
      </c>
      <c r="UF94" s="20" t="n">
        <f aca="false">IF(B94=0,1,IF(UE94&lt;&gt;UE93,UF93+1,UF93))</f>
        <v>9</v>
      </c>
      <c r="UG94" s="20" t="n">
        <f aca="false">IF(AND(C94=1,G94=1,QE94&gt;MAX(PR_Short1,TQ94*PR_Short2)),1,0)</f>
        <v>0</v>
      </c>
      <c r="UH94" s="20" t="n">
        <f aca="false">TR94*TV94</f>
        <v>0</v>
      </c>
      <c r="UI94" s="20" t="n">
        <f aca="false">IF(AND(V94=1,Slot1_PctLow=1),1,0)+IF(AND(AG94=1,Slot2_PctLow=1),1,0)+IF(AND(AQ94=1,Slot3_PctLow=1),1,0)+IF(AND(BA94=1,Slot4_PctLow=1),1,0)+IF(AND(BK94=1,Slot5_PctLow=1),1,0)+IF(AND(BU94=1,Slot6_PctLow=1),1,0)+IF(AND(CE94=1,Slot7_PctLow=1),1,0)+IF(AND(CO94=1,Slot8_PctLow=1),1,0)+IF(AND(CY94=1,Slot9_PctLow=1),1,0)+IF(AND(DI94=1,Slot10_PctLow=1),1,0)+IF(AND(DS94=1,Slot11_PctLow=1),1,0)+IF(AND(EC94=1,Slot12_PctLow=1),1,0)+IF(AND(EM94=1,Slot13_PctLow=1),1,0)+IF(AND(EW94=1,Slot14_PctLow=1),1,0)+IF(AND(FG94=1,Slot15_PctLow=1),1,0)+IF(AND(FQ94=1,Slot16_PctLow=1),1,0)+IF(AND(GA94=1,Slot17_PctLow=1),1,0)+IF(AND(GK94=1,Slot18_PctLow=1),1,0)+IF(AND(GU94=1,Slot19_PctLow=1),1,0)+IF(AND(HE94=1,Slot20_PctLow=1),1,0)</f>
        <v>0</v>
      </c>
      <c r="UJ94" s="20" t="n">
        <f aca="false">IF(C94=1,IF(OR(TV94=1,UI94&gt;0),1,0),0)</f>
        <v>0</v>
      </c>
    </row>
    <row r="95" customFormat="false" ht="15" hidden="false" customHeight="true" outlineLevel="0" collapsed="false">
      <c r="B95" s="20" t="n">
        <v>87</v>
      </c>
      <c r="C95" s="20" t="n">
        <f aca="false">IF(B95&lt;=F_N,1,0)</f>
        <v>0</v>
      </c>
      <c r="D95" s="20" t="n">
        <f aca="false">'Plan pay &amp; tax'!C321</f>
        <v>125</v>
      </c>
      <c r="E95" s="20" t="str">
        <f aca="false">IF($C95=1,"Income tax "&amp;TEXT(N('Plan pay &amp; tax'!BK321),"#,##0")&amp;"; USC "&amp;TEXT(N('Plan pay &amp; tax'!BM321)+N('Plan pay &amp; tax'!BO321),"#,##0")&amp;"; PRSI "&amp;TEXT(N('Plan pay &amp; tax'!BP321)+N('Plan pay &amp; tax'!BQ321),"#,##0")&amp;". DIRT and exit tax are inside the growth rates here.","")</f>
        <v/>
      </c>
      <c r="F95" s="44" t="n">
        <f aca="false">'Plan pay &amp; tax'!E321</f>
        <v>5.60034708210403</v>
      </c>
      <c r="G95" s="20" t="n">
        <f aca="false">'Plan pay &amp; tax'!G321</f>
        <v>0</v>
      </c>
      <c r="H95" s="20" t="n">
        <f aca="false">'Plan pay &amp; tax'!BT321-'Plan pay &amp; tax'!BS321-'Plan pay &amp; tax'!R321</f>
        <v>159802.991807356</v>
      </c>
      <c r="I95" s="20" t="n">
        <f aca="false">IF(G95=1,F_CostsM*12,IF(RG_Exists=1,RG_Amount,F_CostsM*12*AS_RetireSpend))*F95+F_OneOffY*F95</f>
        <v>267696.590524573</v>
      </c>
      <c r="J95" s="20" t="n">
        <f aca="false">HR94</f>
        <v>0</v>
      </c>
      <c r="K95" s="20" t="n">
        <f aca="false">IF(J95&gt;1,'Plan debt months'!AC95,0)</f>
        <v>0</v>
      </c>
      <c r="L95" s="20" t="n">
        <f aca="false">IF(J95&gt;1,'Plan debt months'!AB95,J95)</f>
        <v>0</v>
      </c>
      <c r="M95" s="20" t="n">
        <f aca="false">O94</f>
        <v>0</v>
      </c>
      <c r="N95" s="20" t="n">
        <f aca="false">IF(M95&gt;1,'Plan debt months'!BD95,0)</f>
        <v>0</v>
      </c>
      <c r="O95" s="20" t="n">
        <f aca="false">IF(M95&gt;1,'Plan debt months'!BC95,M95)</f>
        <v>0</v>
      </c>
      <c r="P95" s="20" t="n">
        <f aca="false">R94</f>
        <v>0</v>
      </c>
      <c r="Q95" s="20" t="n">
        <f aca="false">IF(P95&gt;1,'Plan debt months'!CE95,0)</f>
        <v>0</v>
      </c>
      <c r="R95" s="20" t="n">
        <f aca="false">IF(P95&gt;1,'Plan debt months'!CD95,P95)</f>
        <v>0</v>
      </c>
      <c r="S95" s="20" t="n">
        <f aca="false">K95+N95+Q95</f>
        <v>0</v>
      </c>
      <c r="T95" s="20" t="n">
        <f aca="false">QK94+'Plan pay &amp; tax'!Y321</f>
        <v>0</v>
      </c>
      <c r="U95" s="20" t="n">
        <f aca="false">QK94</f>
        <v>0</v>
      </c>
      <c r="V95" s="20" t="n">
        <f aca="false">IF(AND(Slot1_On=1,D95=Slot1_Age),1,0)</f>
        <v>0</v>
      </c>
      <c r="W95" s="20" t="n">
        <f aca="false">IF(AND(Slot1_On=1,Slot1_Age&gt;D95),1,0)</f>
        <v>0</v>
      </c>
      <c r="X95" s="20" t="n">
        <f aca="false">QM94</f>
        <v>0</v>
      </c>
      <c r="Y95" s="20" t="n">
        <f aca="false">V95*MIN(Slot1_Cost,X95)</f>
        <v>0</v>
      </c>
      <c r="Z95" s="20" t="n">
        <f aca="false">V95*Slot1_SpendLike*MIN(Slot1_Cost-Y95,T95)</f>
        <v>0</v>
      </c>
      <c r="AA95" s="20" t="n">
        <f aca="false">Y95+Z95</f>
        <v>0</v>
      </c>
      <c r="AB95" s="20" t="n">
        <f aca="false">T95-Z95+V95*IF(Slot1_SpendLike=1,X95-Y95,IF(Slot1_PotFree=1,X95,0))</f>
        <v>0</v>
      </c>
      <c r="AC95" s="20" t="n">
        <f aca="false">AF95+V95*Slot1_BufPot*X95</f>
        <v>0</v>
      </c>
      <c r="AD95" s="20" t="n">
        <f aca="false">IF(AND(V95=1,Slot1_IsMfree=1),IF(AA95&gt;=Slot1_Cost-1,0,MAX(0,L95-AA95)),L95)</f>
        <v>0</v>
      </c>
      <c r="AE95" s="20" t="n">
        <f aca="false">V95*(Slot1_Cost-AA95)</f>
        <v>0</v>
      </c>
      <c r="AF95" s="20" t="n">
        <f aca="false">QL94</f>
        <v>0</v>
      </c>
      <c r="AG95" s="20" t="n">
        <f aca="false">IF(AND(Slot2_On=1,D95=Slot2_Age),1,0)</f>
        <v>0</v>
      </c>
      <c r="AH95" s="20" t="n">
        <f aca="false">IF(AND(Slot2_On=1,Slot2_Age&gt;D95),1,0)</f>
        <v>0</v>
      </c>
      <c r="AI95" s="20" t="n">
        <f aca="false">QQ94</f>
        <v>0</v>
      </c>
      <c r="AJ95" s="20" t="n">
        <f aca="false">AG95*MIN(Slot2_Cost,AI95)</f>
        <v>0</v>
      </c>
      <c r="AK95" s="20" t="n">
        <f aca="false">AG95*Slot2_SpendLike*MIN(Slot2_Cost-AJ95,AB95)</f>
        <v>0</v>
      </c>
      <c r="AL95" s="20" t="n">
        <f aca="false">AJ95+AK95</f>
        <v>0</v>
      </c>
      <c r="AM95" s="20" t="n">
        <f aca="false">AB95-AK95+AG95*IF(Slot2_SpendLike=1,AI95-AJ95,IF(Slot2_PotFree=1,AI95,0))</f>
        <v>0</v>
      </c>
      <c r="AN95" s="20" t="n">
        <f aca="false">AC95+AG95*Slot2_BufPot*AI95</f>
        <v>0</v>
      </c>
      <c r="AO95" s="20" t="n">
        <f aca="false">IF(AND(AG95=1,Slot2_IsMfree=1),IF(AL95&gt;=Slot2_Cost-1,0,MAX(0,AD95-AL95)),AD95)</f>
        <v>0</v>
      </c>
      <c r="AP95" s="20" t="n">
        <f aca="false">AG95*(Slot2_Cost-AL95)</f>
        <v>0</v>
      </c>
      <c r="AQ95" s="20" t="n">
        <f aca="false">IF(AND(Slot3_On=1,D95=Slot3_Age),1,0)</f>
        <v>0</v>
      </c>
      <c r="AR95" s="20" t="n">
        <f aca="false">IF(AND(Slot3_On=1,Slot3_Age&gt;D95),1,0)</f>
        <v>0</v>
      </c>
      <c r="AS95" s="20" t="n">
        <f aca="false">QU94</f>
        <v>0</v>
      </c>
      <c r="AT95" s="20" t="n">
        <f aca="false">AQ95*MIN(Slot3_Cost,AS95)</f>
        <v>0</v>
      </c>
      <c r="AU95" s="20" t="n">
        <f aca="false">AQ95*Slot3_SpendLike*MIN(Slot3_Cost-AT95,AM95)</f>
        <v>0</v>
      </c>
      <c r="AV95" s="20" t="n">
        <f aca="false">AT95+AU95</f>
        <v>0</v>
      </c>
      <c r="AW95" s="20" t="n">
        <f aca="false">AM95-AU95+AQ95*IF(Slot3_SpendLike=1,AS95-AT95,IF(Slot3_PotFree=1,AS95,0))</f>
        <v>0</v>
      </c>
      <c r="AX95" s="20" t="n">
        <f aca="false">AN95+AQ95*Slot3_BufPot*AS95</f>
        <v>0</v>
      </c>
      <c r="AY95" s="20" t="n">
        <f aca="false">IF(AND(AQ95=1,Slot3_IsMfree=1),IF(AV95&gt;=Slot3_Cost-1,0,MAX(0,AO95-AV95)),AO95)</f>
        <v>0</v>
      </c>
      <c r="AZ95" s="20" t="n">
        <f aca="false">AQ95*(Slot3_Cost-AV95)</f>
        <v>0</v>
      </c>
      <c r="BA95" s="20" t="n">
        <f aca="false">IF(AND(Slot4_On=1,D95=Slot4_Age),1,0)</f>
        <v>0</v>
      </c>
      <c r="BB95" s="20" t="n">
        <f aca="false">IF(AND(Slot4_On=1,Slot4_Age&gt;D95),1,0)</f>
        <v>0</v>
      </c>
      <c r="BC95" s="20" t="n">
        <f aca="false">QY94</f>
        <v>0</v>
      </c>
      <c r="BD95" s="20" t="n">
        <f aca="false">BA95*MIN(Slot4_Cost,BC95)</f>
        <v>0</v>
      </c>
      <c r="BE95" s="20" t="n">
        <f aca="false">BA95*Slot4_SpendLike*MIN(Slot4_Cost-BD95,AW95)</f>
        <v>0</v>
      </c>
      <c r="BF95" s="20" t="n">
        <f aca="false">BD95+BE95</f>
        <v>0</v>
      </c>
      <c r="BG95" s="20" t="n">
        <f aca="false">AW95-BE95+BA95*IF(Slot4_SpendLike=1,BC95-BD95,IF(Slot4_PotFree=1,BC95,0))</f>
        <v>0</v>
      </c>
      <c r="BH95" s="20" t="n">
        <f aca="false">AX95+BA95*Slot4_BufPot*BC95</f>
        <v>0</v>
      </c>
      <c r="BI95" s="20" t="n">
        <f aca="false">IF(AND(BA95=1,Slot4_IsMfree=1),IF(BF95&gt;=Slot4_Cost-1,0,MAX(0,AY95-BF95)),AY95)</f>
        <v>0</v>
      </c>
      <c r="BJ95" s="20" t="n">
        <f aca="false">BA95*(Slot4_Cost-BF95)</f>
        <v>0</v>
      </c>
      <c r="BK95" s="20" t="n">
        <f aca="false">IF(AND(Slot5_On=1,D95=Slot5_Age),1,0)</f>
        <v>0</v>
      </c>
      <c r="BL95" s="20" t="n">
        <f aca="false">IF(AND(Slot5_On=1,Slot5_Age&gt;D95),1,0)</f>
        <v>0</v>
      </c>
      <c r="BM95" s="20" t="n">
        <f aca="false">RC94</f>
        <v>0</v>
      </c>
      <c r="BN95" s="20" t="n">
        <f aca="false">BK95*MIN(Slot5_Cost,BM95)</f>
        <v>0</v>
      </c>
      <c r="BO95" s="20" t="n">
        <f aca="false">BK95*Slot5_SpendLike*MIN(Slot5_Cost-BN95,BG95)</f>
        <v>0</v>
      </c>
      <c r="BP95" s="20" t="n">
        <f aca="false">BN95+BO95</f>
        <v>0</v>
      </c>
      <c r="BQ95" s="20" t="n">
        <f aca="false">BG95-BO95+BK95*IF(Slot5_SpendLike=1,BM95-BN95,IF(Slot5_PotFree=1,BM95,0))</f>
        <v>0</v>
      </c>
      <c r="BR95" s="20" t="n">
        <f aca="false">BH95+BK95*Slot5_BufPot*BM95</f>
        <v>0</v>
      </c>
      <c r="BS95" s="20" t="n">
        <f aca="false">IF(AND(BK95=1,Slot5_IsMfree=1),IF(BP95&gt;=Slot5_Cost-1,0,MAX(0,BI95-BP95)),BI95)</f>
        <v>0</v>
      </c>
      <c r="BT95" s="20" t="n">
        <f aca="false">BK95*(Slot5_Cost-BP95)</f>
        <v>0</v>
      </c>
      <c r="BU95" s="20" t="n">
        <f aca="false">IF(AND(Slot6_On=1,D95=Slot6_Age),1,0)</f>
        <v>0</v>
      </c>
      <c r="BV95" s="20" t="n">
        <f aca="false">IF(AND(Slot6_On=1,Slot6_Age&gt;D95),1,0)</f>
        <v>0</v>
      </c>
      <c r="BW95" s="20" t="n">
        <f aca="false">RG94</f>
        <v>0</v>
      </c>
      <c r="BX95" s="20" t="n">
        <f aca="false">BU95*MIN(Slot6_Cost,BW95)</f>
        <v>0</v>
      </c>
      <c r="BY95" s="20" t="n">
        <f aca="false">BU95*Slot6_SpendLike*MIN(Slot6_Cost-BX95,BQ95)</f>
        <v>0</v>
      </c>
      <c r="BZ95" s="20" t="n">
        <f aca="false">BX95+BY95</f>
        <v>0</v>
      </c>
      <c r="CA95" s="20" t="n">
        <f aca="false">BQ95-BY95+BU95*IF(Slot6_SpendLike=1,BW95-BX95,IF(Slot6_PotFree=1,BW95,0))</f>
        <v>0</v>
      </c>
      <c r="CB95" s="20" t="n">
        <f aca="false">BR95+BU95*Slot6_BufPot*BW95</f>
        <v>0</v>
      </c>
      <c r="CC95" s="20" t="n">
        <f aca="false">IF(AND(BU95=1,Slot6_IsMfree=1),IF(BZ95&gt;=Slot6_Cost-1,0,MAX(0,BS95-BZ95)),BS95)</f>
        <v>0</v>
      </c>
      <c r="CD95" s="20" t="n">
        <f aca="false">BU95*(Slot6_Cost-BZ95)</f>
        <v>0</v>
      </c>
      <c r="CE95" s="20" t="n">
        <f aca="false">IF(AND(Slot7_On=1,D95=Slot7_Age),1,0)</f>
        <v>0</v>
      </c>
      <c r="CF95" s="20" t="n">
        <f aca="false">IF(AND(Slot7_On=1,Slot7_Age&gt;D95),1,0)</f>
        <v>0</v>
      </c>
      <c r="CG95" s="20" t="n">
        <f aca="false">RK94</f>
        <v>0</v>
      </c>
      <c r="CH95" s="20" t="n">
        <f aca="false">CE95*MIN(Slot7_Cost,CG95)</f>
        <v>0</v>
      </c>
      <c r="CI95" s="20" t="n">
        <f aca="false">CE95*Slot7_SpendLike*MIN(Slot7_Cost-CH95,CA95)</f>
        <v>0</v>
      </c>
      <c r="CJ95" s="20" t="n">
        <f aca="false">CH95+CI95</f>
        <v>0</v>
      </c>
      <c r="CK95" s="20" t="n">
        <f aca="false">CA95-CI95+CE95*IF(Slot7_SpendLike=1,CG95-CH95,IF(Slot7_PotFree=1,CG95,0))</f>
        <v>0</v>
      </c>
      <c r="CL95" s="20" t="n">
        <f aca="false">CB95+CE95*Slot7_BufPot*CG95</f>
        <v>0</v>
      </c>
      <c r="CM95" s="20" t="n">
        <f aca="false">IF(AND(CE95=1,Slot7_IsMfree=1),IF(CJ95&gt;=Slot7_Cost-1,0,MAX(0,CC95-CJ95)),CC95)</f>
        <v>0</v>
      </c>
      <c r="CN95" s="20" t="n">
        <f aca="false">CE95*(Slot7_Cost-CJ95)</f>
        <v>0</v>
      </c>
      <c r="CO95" s="20" t="n">
        <f aca="false">IF(AND(Slot8_On=1,D95=Slot8_Age),1,0)</f>
        <v>0</v>
      </c>
      <c r="CP95" s="20" t="n">
        <f aca="false">IF(AND(Slot8_On=1,Slot8_Age&gt;D95),1,0)</f>
        <v>0</v>
      </c>
      <c r="CQ95" s="20" t="n">
        <f aca="false">RO94</f>
        <v>0</v>
      </c>
      <c r="CR95" s="20" t="n">
        <f aca="false">CO95*MIN(Slot8_Cost,CQ95)</f>
        <v>0</v>
      </c>
      <c r="CS95" s="20" t="n">
        <f aca="false">CO95*Slot8_SpendLike*MIN(Slot8_Cost-CR95,CK95)</f>
        <v>0</v>
      </c>
      <c r="CT95" s="20" t="n">
        <f aca="false">CR95+CS95</f>
        <v>0</v>
      </c>
      <c r="CU95" s="20" t="n">
        <f aca="false">CK95-CS95+CO95*IF(Slot8_SpendLike=1,CQ95-CR95,IF(Slot8_PotFree=1,CQ95,0))</f>
        <v>0</v>
      </c>
      <c r="CV95" s="20" t="n">
        <f aca="false">CL95+CO95*Slot8_BufPot*CQ95</f>
        <v>0</v>
      </c>
      <c r="CW95" s="20" t="n">
        <f aca="false">IF(AND(CO95=1,Slot8_IsMfree=1),IF(CT95&gt;=Slot8_Cost-1,0,MAX(0,CM95-CT95)),CM95)</f>
        <v>0</v>
      </c>
      <c r="CX95" s="20" t="n">
        <f aca="false">CO95*(Slot8_Cost-CT95)</f>
        <v>0</v>
      </c>
      <c r="CY95" s="20" t="n">
        <f aca="false">IF(AND(Slot9_On=1,D95=Slot9_Age),1,0)</f>
        <v>0</v>
      </c>
      <c r="CZ95" s="20" t="n">
        <f aca="false">IF(AND(Slot9_On=1,Slot9_Age&gt;D95),1,0)</f>
        <v>0</v>
      </c>
      <c r="DA95" s="20" t="n">
        <f aca="false">RS94</f>
        <v>0</v>
      </c>
      <c r="DB95" s="20" t="n">
        <f aca="false">CY95*MIN(Slot9_Cost,DA95)</f>
        <v>0</v>
      </c>
      <c r="DC95" s="20" t="n">
        <f aca="false">CY95*Slot9_SpendLike*MIN(Slot9_Cost-DB95,CU95)</f>
        <v>0</v>
      </c>
      <c r="DD95" s="20" t="n">
        <f aca="false">DB95+DC95</f>
        <v>0</v>
      </c>
      <c r="DE95" s="20" t="n">
        <f aca="false">CU95-DC95+CY95*IF(Slot9_SpendLike=1,DA95-DB95,IF(Slot9_PotFree=1,DA95,0))</f>
        <v>0</v>
      </c>
      <c r="DF95" s="20" t="n">
        <f aca="false">CV95+CY95*Slot9_BufPot*DA95</f>
        <v>0</v>
      </c>
      <c r="DG95" s="20" t="n">
        <f aca="false">IF(AND(CY95=1,Slot9_IsMfree=1),IF(DD95&gt;=Slot9_Cost-1,0,MAX(0,CW95-DD95)),CW95)</f>
        <v>0</v>
      </c>
      <c r="DH95" s="20" t="n">
        <f aca="false">CY95*(Slot9_Cost-DD95)</f>
        <v>0</v>
      </c>
      <c r="DI95" s="20" t="n">
        <f aca="false">IF(AND(Slot10_On=1,D95=Slot10_Age),1,0)</f>
        <v>0</v>
      </c>
      <c r="DJ95" s="20" t="n">
        <f aca="false">IF(AND(Slot10_On=1,Slot10_Age&gt;D95),1,0)</f>
        <v>0</v>
      </c>
      <c r="DK95" s="20" t="n">
        <f aca="false">RW94</f>
        <v>0</v>
      </c>
      <c r="DL95" s="20" t="n">
        <f aca="false">DI95*MIN(Slot10_Cost,DK95)</f>
        <v>0</v>
      </c>
      <c r="DM95" s="20" t="n">
        <f aca="false">DI95*Slot10_SpendLike*MIN(Slot10_Cost-DL95,DE95)</f>
        <v>0</v>
      </c>
      <c r="DN95" s="20" t="n">
        <f aca="false">DL95+DM95</f>
        <v>0</v>
      </c>
      <c r="DO95" s="20" t="n">
        <f aca="false">DE95-DM95+DI95*IF(Slot10_SpendLike=1,DK95-DL95,IF(Slot10_PotFree=1,DK95,0))</f>
        <v>0</v>
      </c>
      <c r="DP95" s="20" t="n">
        <f aca="false">DF95+DI95*Slot10_BufPot*DK95</f>
        <v>0</v>
      </c>
      <c r="DQ95" s="20" t="n">
        <f aca="false">IF(AND(DI95=1,Slot10_IsMfree=1),IF(DN95&gt;=Slot10_Cost-1,0,MAX(0,DG95-DN95)),DG95)</f>
        <v>0</v>
      </c>
      <c r="DR95" s="20" t="n">
        <f aca="false">DI95*(Slot10_Cost-DN95)</f>
        <v>0</v>
      </c>
      <c r="DS95" s="20" t="n">
        <f aca="false">IF(AND(Slot11_On=1,D95=Slot11_Age),1,0)</f>
        <v>0</v>
      </c>
      <c r="DT95" s="20" t="n">
        <f aca="false">IF(AND(Slot11_On=1,Slot11_Age&gt;D95),1,0)</f>
        <v>0</v>
      </c>
      <c r="DU95" s="20" t="n">
        <f aca="false">SA94</f>
        <v>0</v>
      </c>
      <c r="DV95" s="20" t="n">
        <f aca="false">DS95*MIN(Slot11_Cost,DU95)</f>
        <v>0</v>
      </c>
      <c r="DW95" s="20" t="n">
        <f aca="false">DS95*Slot11_SpendLike*MIN(Slot11_Cost-DV95,DO95)</f>
        <v>0</v>
      </c>
      <c r="DX95" s="20" t="n">
        <f aca="false">DV95+DW95</f>
        <v>0</v>
      </c>
      <c r="DY95" s="20" t="n">
        <f aca="false">DO95-DW95+DS95*IF(Slot11_SpendLike=1,DU95-DV95,IF(Slot11_PotFree=1,DU95,0))</f>
        <v>0</v>
      </c>
      <c r="DZ95" s="20" t="n">
        <f aca="false">DP95+DS95*Slot11_BufPot*DU95</f>
        <v>0</v>
      </c>
      <c r="EA95" s="20" t="n">
        <f aca="false">IF(AND(DS95=1,Slot11_IsMfree=1),IF(DX95&gt;=Slot11_Cost-1,0,MAX(0,DQ95-DX95)),DQ95)</f>
        <v>0</v>
      </c>
      <c r="EB95" s="20" t="n">
        <f aca="false">DS95*(Slot11_Cost-DX95)</f>
        <v>0</v>
      </c>
      <c r="EC95" s="20" t="n">
        <f aca="false">IF(AND(Slot12_On=1,D95=Slot12_Age),1,0)</f>
        <v>0</v>
      </c>
      <c r="ED95" s="20" t="n">
        <f aca="false">IF(AND(Slot12_On=1,Slot12_Age&gt;D95),1,0)</f>
        <v>0</v>
      </c>
      <c r="EE95" s="20" t="n">
        <f aca="false">SE94</f>
        <v>0</v>
      </c>
      <c r="EF95" s="20" t="n">
        <f aca="false">EC95*MIN(Slot12_Cost,EE95)</f>
        <v>0</v>
      </c>
      <c r="EG95" s="20" t="n">
        <f aca="false">EC95*Slot12_SpendLike*MIN(Slot12_Cost-EF95,DY95)</f>
        <v>0</v>
      </c>
      <c r="EH95" s="20" t="n">
        <f aca="false">EF95+EG95</f>
        <v>0</v>
      </c>
      <c r="EI95" s="20" t="n">
        <f aca="false">DY95-EG95+EC95*IF(Slot12_SpendLike=1,EE95-EF95,IF(Slot12_PotFree=1,EE95,0))</f>
        <v>0</v>
      </c>
      <c r="EJ95" s="20" t="n">
        <f aca="false">DZ95+EC95*Slot12_BufPot*EE95</f>
        <v>0</v>
      </c>
      <c r="EK95" s="20" t="n">
        <f aca="false">IF(AND(EC95=1,Slot12_IsMfree=1),IF(EH95&gt;=Slot12_Cost-1,0,MAX(0,EA95-EH95)),EA95)</f>
        <v>0</v>
      </c>
      <c r="EL95" s="20" t="n">
        <f aca="false">EC95*(Slot12_Cost-EH95)</f>
        <v>0</v>
      </c>
      <c r="EM95" s="20" t="n">
        <f aca="false">IF(AND(Slot13_On=1,D95=Slot13_Age),1,0)</f>
        <v>0</v>
      </c>
      <c r="EN95" s="20" t="n">
        <f aca="false">IF(AND(Slot13_On=1,Slot13_Age&gt;D95),1,0)</f>
        <v>0</v>
      </c>
      <c r="EO95" s="20" t="n">
        <f aca="false">SI94</f>
        <v>0</v>
      </c>
      <c r="EP95" s="20" t="n">
        <f aca="false">EM95*MIN(Slot13_Cost,EO95)</f>
        <v>0</v>
      </c>
      <c r="EQ95" s="20" t="n">
        <f aca="false">EM95*Slot13_SpendLike*MIN(Slot13_Cost-EP95,EI95)</f>
        <v>0</v>
      </c>
      <c r="ER95" s="20" t="n">
        <f aca="false">EP95+EQ95</f>
        <v>0</v>
      </c>
      <c r="ES95" s="20" t="n">
        <f aca="false">EI95-EQ95+EM95*IF(Slot13_SpendLike=1,EO95-EP95,IF(Slot13_PotFree=1,EO95,0))</f>
        <v>0</v>
      </c>
      <c r="ET95" s="20" t="n">
        <f aca="false">EJ95+EM95*Slot13_BufPot*EO95</f>
        <v>0</v>
      </c>
      <c r="EU95" s="20" t="n">
        <f aca="false">IF(AND(EM95=1,Slot13_IsMfree=1),IF(ER95&gt;=Slot13_Cost-1,0,MAX(0,EK95-ER95)),EK95)</f>
        <v>0</v>
      </c>
      <c r="EV95" s="20" t="n">
        <f aca="false">EM95*(Slot13_Cost-ER95)</f>
        <v>0</v>
      </c>
      <c r="EW95" s="20" t="n">
        <f aca="false">IF(AND(Slot14_On=1,D95=Slot14_Age),1,0)</f>
        <v>0</v>
      </c>
      <c r="EX95" s="20" t="n">
        <f aca="false">IF(AND(Slot14_On=1,Slot14_Age&gt;D95),1,0)</f>
        <v>0</v>
      </c>
      <c r="EY95" s="20" t="n">
        <f aca="false">SM94</f>
        <v>0</v>
      </c>
      <c r="EZ95" s="20" t="n">
        <f aca="false">EW95*MIN(Slot14_Cost,EY95)</f>
        <v>0</v>
      </c>
      <c r="FA95" s="20" t="n">
        <f aca="false">EW95*Slot14_SpendLike*MIN(Slot14_Cost-EZ95,ES95)</f>
        <v>0</v>
      </c>
      <c r="FB95" s="20" t="n">
        <f aca="false">EZ95+FA95</f>
        <v>0</v>
      </c>
      <c r="FC95" s="20" t="n">
        <f aca="false">ES95-FA95+EW95*IF(Slot14_SpendLike=1,EY95-EZ95,IF(Slot14_PotFree=1,EY95,0))</f>
        <v>0</v>
      </c>
      <c r="FD95" s="20" t="n">
        <f aca="false">ET95+EW95*Slot14_BufPot*EY95</f>
        <v>0</v>
      </c>
      <c r="FE95" s="20" t="n">
        <f aca="false">IF(AND(EW95=1,Slot14_IsMfree=1),IF(FB95&gt;=Slot14_Cost-1,0,MAX(0,EU95-FB95)),EU95)</f>
        <v>0</v>
      </c>
      <c r="FF95" s="20" t="n">
        <f aca="false">EW95*(Slot14_Cost-FB95)</f>
        <v>0</v>
      </c>
      <c r="FG95" s="20" t="n">
        <f aca="false">IF(AND(Slot15_On=1,D95=Slot15_Age),1,0)</f>
        <v>0</v>
      </c>
      <c r="FH95" s="20" t="n">
        <f aca="false">IF(AND(Slot15_On=1,Slot15_Age&gt;D95),1,0)</f>
        <v>0</v>
      </c>
      <c r="FI95" s="20" t="n">
        <f aca="false">SQ94</f>
        <v>0</v>
      </c>
      <c r="FJ95" s="20" t="n">
        <f aca="false">FG95*MIN(Slot15_Cost,FI95)</f>
        <v>0</v>
      </c>
      <c r="FK95" s="20" t="n">
        <f aca="false">FG95*Slot15_SpendLike*MIN(Slot15_Cost-FJ95,FC95)</f>
        <v>0</v>
      </c>
      <c r="FL95" s="20" t="n">
        <f aca="false">FJ95+FK95</f>
        <v>0</v>
      </c>
      <c r="FM95" s="20" t="n">
        <f aca="false">FC95-FK95+FG95*IF(Slot15_SpendLike=1,FI95-FJ95,IF(Slot15_PotFree=1,FI95,0))</f>
        <v>0</v>
      </c>
      <c r="FN95" s="20" t="n">
        <f aca="false">FD95+FG95*Slot15_BufPot*FI95</f>
        <v>0</v>
      </c>
      <c r="FO95" s="20" t="n">
        <f aca="false">IF(AND(FG95=1,Slot15_IsMfree=1),IF(FL95&gt;=Slot15_Cost-1,0,MAX(0,FE95-FL95)),FE95)</f>
        <v>0</v>
      </c>
      <c r="FP95" s="20" t="n">
        <f aca="false">FG95*(Slot15_Cost-FL95)</f>
        <v>0</v>
      </c>
      <c r="FQ95" s="20" t="n">
        <f aca="false">IF(AND(Slot16_On=1,D95=Slot16_Age),1,0)</f>
        <v>0</v>
      </c>
      <c r="FR95" s="20" t="n">
        <f aca="false">IF(AND(Slot16_On=1,Slot16_Age&gt;D95),1,0)</f>
        <v>0</v>
      </c>
      <c r="FS95" s="20" t="n">
        <f aca="false">SU94</f>
        <v>0</v>
      </c>
      <c r="FT95" s="20" t="n">
        <f aca="false">FQ95*MIN(Slot16_Cost,FS95)</f>
        <v>0</v>
      </c>
      <c r="FU95" s="20" t="n">
        <f aca="false">FQ95*Slot16_SpendLike*MIN(Slot16_Cost-FT95,FM95)</f>
        <v>0</v>
      </c>
      <c r="FV95" s="20" t="n">
        <f aca="false">FT95+FU95</f>
        <v>0</v>
      </c>
      <c r="FW95" s="20" t="n">
        <f aca="false">FM95-FU95+FQ95*IF(Slot16_SpendLike=1,FS95-FT95,IF(Slot16_PotFree=1,FS95,0))</f>
        <v>0</v>
      </c>
      <c r="FX95" s="20" t="n">
        <f aca="false">FN95+FQ95*Slot16_BufPot*FS95</f>
        <v>0</v>
      </c>
      <c r="FY95" s="20" t="n">
        <f aca="false">IF(AND(FQ95=1,Slot16_IsMfree=1),IF(FV95&gt;=Slot16_Cost-1,0,MAX(0,FO95-FV95)),FO95)</f>
        <v>0</v>
      </c>
      <c r="FZ95" s="20" t="n">
        <f aca="false">FQ95*(Slot16_Cost-FV95)</f>
        <v>0</v>
      </c>
      <c r="GA95" s="20" t="n">
        <f aca="false">IF(AND(Slot17_On=1,D95=Slot17_Age),1,0)</f>
        <v>0</v>
      </c>
      <c r="GB95" s="20" t="n">
        <f aca="false">IF(AND(Slot17_On=1,Slot17_Age&gt;D95),1,0)</f>
        <v>0</v>
      </c>
      <c r="GC95" s="20" t="n">
        <f aca="false">SY94</f>
        <v>0</v>
      </c>
      <c r="GD95" s="20" t="n">
        <f aca="false">GA95*MIN(Slot17_Cost,GC95)</f>
        <v>0</v>
      </c>
      <c r="GE95" s="20" t="n">
        <f aca="false">GA95*Slot17_SpendLike*MIN(Slot17_Cost-GD95,FW95)</f>
        <v>0</v>
      </c>
      <c r="GF95" s="20" t="n">
        <f aca="false">GD95+GE95</f>
        <v>0</v>
      </c>
      <c r="GG95" s="20" t="n">
        <f aca="false">FW95-GE95+GA95*IF(Slot17_SpendLike=1,GC95-GD95,IF(Slot17_PotFree=1,GC95,0))</f>
        <v>0</v>
      </c>
      <c r="GH95" s="20" t="n">
        <f aca="false">FX95+GA95*Slot17_BufPot*GC95</f>
        <v>0</v>
      </c>
      <c r="GI95" s="20" t="n">
        <f aca="false">IF(AND(GA95=1,Slot17_IsMfree=1),IF(GF95&gt;=Slot17_Cost-1,0,MAX(0,FY95-GF95)),FY95)</f>
        <v>0</v>
      </c>
      <c r="GJ95" s="20" t="n">
        <f aca="false">GA95*(Slot17_Cost-GF95)</f>
        <v>0</v>
      </c>
      <c r="GK95" s="20" t="n">
        <f aca="false">IF(AND(Slot18_On=1,D95=Slot18_Age),1,0)</f>
        <v>0</v>
      </c>
      <c r="GL95" s="20" t="n">
        <f aca="false">IF(AND(Slot18_On=1,Slot18_Age&gt;D95),1,0)</f>
        <v>0</v>
      </c>
      <c r="GM95" s="20" t="n">
        <f aca="false">TC94</f>
        <v>0</v>
      </c>
      <c r="GN95" s="20" t="n">
        <f aca="false">GK95*MIN(Slot18_Cost,GM95)</f>
        <v>0</v>
      </c>
      <c r="GO95" s="20" t="n">
        <f aca="false">GK95*Slot18_SpendLike*MIN(Slot18_Cost-GN95,GG95)</f>
        <v>0</v>
      </c>
      <c r="GP95" s="20" t="n">
        <f aca="false">GN95+GO95</f>
        <v>0</v>
      </c>
      <c r="GQ95" s="20" t="n">
        <f aca="false">GG95-GO95+GK95*IF(Slot18_SpendLike=1,GM95-GN95,IF(Slot18_PotFree=1,GM95,0))</f>
        <v>0</v>
      </c>
      <c r="GR95" s="20" t="n">
        <f aca="false">GH95+GK95*Slot18_BufPot*GM95</f>
        <v>0</v>
      </c>
      <c r="GS95" s="20" t="n">
        <f aca="false">IF(AND(GK95=1,Slot18_IsMfree=1),IF(GP95&gt;=Slot18_Cost-1,0,MAX(0,GI95-GP95)),GI95)</f>
        <v>0</v>
      </c>
      <c r="GT95" s="20" t="n">
        <f aca="false">GK95*(Slot18_Cost-GP95)</f>
        <v>0</v>
      </c>
      <c r="GU95" s="20" t="n">
        <f aca="false">IF(AND(Slot19_On=1,D95=Slot19_Age),1,0)</f>
        <v>0</v>
      </c>
      <c r="GV95" s="20" t="n">
        <f aca="false">IF(AND(Slot19_On=1,Slot19_Age&gt;D95),1,0)</f>
        <v>0</v>
      </c>
      <c r="GW95" s="20" t="n">
        <f aca="false">TG94</f>
        <v>0</v>
      </c>
      <c r="GX95" s="20" t="n">
        <f aca="false">GU95*MIN(Slot19_Cost,GW95)</f>
        <v>0</v>
      </c>
      <c r="GY95" s="20" t="n">
        <f aca="false">GU95*Slot19_SpendLike*MIN(Slot19_Cost-GX95,GQ95)</f>
        <v>0</v>
      </c>
      <c r="GZ95" s="20" t="n">
        <f aca="false">GX95+GY95</f>
        <v>0</v>
      </c>
      <c r="HA95" s="20" t="n">
        <f aca="false">GQ95-GY95+GU95*IF(Slot19_SpendLike=1,GW95-GX95,IF(Slot19_PotFree=1,GW95,0))</f>
        <v>0</v>
      </c>
      <c r="HB95" s="20" t="n">
        <f aca="false">GR95+GU95*Slot19_BufPot*GW95</f>
        <v>0</v>
      </c>
      <c r="HC95" s="20" t="n">
        <f aca="false">IF(AND(GU95=1,Slot19_IsMfree=1),IF(GZ95&gt;=Slot19_Cost-1,0,MAX(0,GS95-GZ95)),GS95)</f>
        <v>0</v>
      </c>
      <c r="HD95" s="20" t="n">
        <f aca="false">GU95*(Slot19_Cost-GZ95)</f>
        <v>0</v>
      </c>
      <c r="HE95" s="20" t="n">
        <f aca="false">IF(AND(Slot20_On=1,D95=Slot20_Age),1,0)</f>
        <v>0</v>
      </c>
      <c r="HF95" s="20" t="n">
        <f aca="false">IF(AND(Slot20_On=1,Slot20_Age&gt;D95),1,0)</f>
        <v>0</v>
      </c>
      <c r="HG95" s="20" t="n">
        <f aca="false">TK94</f>
        <v>0</v>
      </c>
      <c r="HH95" s="20" t="n">
        <f aca="false">HE95*MIN(Slot20_Cost,HG95)</f>
        <v>0</v>
      </c>
      <c r="HI95" s="20" t="n">
        <f aca="false">HE95*Slot20_SpendLike*MIN(Slot20_Cost-HH95,HA95)</f>
        <v>0</v>
      </c>
      <c r="HJ95" s="20" t="n">
        <f aca="false">HH95+HI95</f>
        <v>0</v>
      </c>
      <c r="HK95" s="20" t="n">
        <f aca="false">HA95-HI95+HE95*IF(Slot20_SpendLike=1,HG95-HH95,IF(Slot20_PotFree=1,HG95,0))</f>
        <v>0</v>
      </c>
      <c r="HL95" s="20" t="n">
        <f aca="false">HB95+HE95*Slot20_BufPot*HG95</f>
        <v>0</v>
      </c>
      <c r="HM95" s="20" t="n">
        <f aca="false">IF(AND(HE95=1,Slot20_IsMfree=1),IF(HJ95&gt;=Slot20_Cost-1,0,MAX(0,HC95-HJ95)),HC95)</f>
        <v>0</v>
      </c>
      <c r="HN95" s="20" t="n">
        <f aca="false">HE95*(Slot20_Cost-HJ95)</f>
        <v>0</v>
      </c>
      <c r="HO95" s="20" t="n">
        <f aca="false">V95*Slot1_SpendLike*AA95+AG95*Slot2_SpendLike*AL95+AQ95*Slot3_SpendLike*AV95+BA95*Slot4_SpendLike*BF95+BK95*Slot5_SpendLike*BP95+BU95*Slot6_SpendLike*BZ95+CE95*Slot7_SpendLike*CJ95+CO95*Slot8_SpendLike*CT95+CY95*Slot9_SpendLike*DD95+DI95*Slot10_SpendLike*DN95+DS95*Slot11_SpendLike*DX95+EC95*Slot12_SpendLike*EH95+EM95*Slot13_SpendLike*ER95+EW95*Slot14_SpendLike*FB95+FG95*Slot15_SpendLike*FL95+FQ95*Slot16_SpendLike*FV95+GA95*Slot17_SpendLike*GF95+GK95*Slot18_SpendLike*GP95+GU95*Slot19_SpendLike*GZ95+HE95*Slot20_SpendLike*HJ95</f>
        <v>0</v>
      </c>
      <c r="HP95" s="20" t="n">
        <f aca="false">AE95+AP95+AZ95+BJ95+BT95+CD95+CN95+CX95+DH95+DR95+EB95+EL95+EV95+FF95+FP95+FZ95+GJ95+GT95+HD95+HN95</f>
        <v>0</v>
      </c>
      <c r="HQ95" s="20" t="n">
        <f aca="false">V95*Slot1_Cost+AG95*Slot2_Cost+AQ95*Slot3_Cost+BA95*Slot4_Cost+BK95*Slot5_Cost+BU95*Slot6_Cost+CE95*Slot7_Cost+CO95*Slot8_Cost+CY95*Slot9_Cost+DI95*Slot10_Cost+DS95*Slot11_Cost+EC95*Slot12_Cost+EM95*Slot13_Cost+EW95*Slot14_Cost+FG95*Slot15_Cost+FQ95*Slot16_Cost+GA95*Slot17_Cost+GK95*Slot18_Cost+GU95*Slot19_Cost+HE95*Slot20_Cost</f>
        <v>0</v>
      </c>
      <c r="HR95" s="20" t="n">
        <f aca="false">HM95</f>
        <v>0</v>
      </c>
      <c r="HS95" s="20" t="n">
        <f aca="false">H95-I95-S95</f>
        <v>-107893.598717217</v>
      </c>
      <c r="HT95" s="20" t="n">
        <f aca="false">IF(B95=0,IF(AND(Has_q6=1,In_q6=4),PR_ShareVaries*(MAX(0,HS95)/12),MIN(IF(Has_q6=1,CHOOSE(In_q6+1,PR_SaveB1,PR_SaveB2,PR_SaveB3,PR_SaveB4,0),AS_NoAnswer),AS_SaveShare*(MAX(0,HS95)/12))),HT94)</f>
        <v>62.3316893520437</v>
      </c>
      <c r="HU95" s="20" t="n">
        <f aca="false">IF(HS95&gt;=0,1,0)</f>
        <v>0</v>
      </c>
      <c r="HV95" s="20" t="n">
        <f aca="false">MAX(0,HS95/12/F95)</f>
        <v>0</v>
      </c>
      <c r="HW95" s="20" t="n">
        <f aca="false">IF(AND(Has_q6=1,In_q6=4),PR_ShareVaries*(HV95),MIN(IF(Has_q6=1,CHOOSE(In_q6+1,PR_SaveB1,PR_SaveB2,PR_SaveB3,PR_SaveB4,0),AS_NoAnswer),AS_SaveShare*(HV95)))</f>
        <v>0</v>
      </c>
      <c r="HX95" s="20" t="n">
        <f aca="false">IF(Has_saveM=1,IF(In_saveUp="Yes",1,IF(In_saveUp="No",0,IF(In_saveM&gt;=HT95-0.5,1,0))),0)</f>
        <v>0</v>
      </c>
      <c r="HY95" s="20" t="n">
        <f aca="false">IF(Has_saveM=1,MIN(HV95,IF(HX95=1,MAX(In_saveM,HW95),MIN(In_saveM,HW95))),HW95)</f>
        <v>0</v>
      </c>
      <c r="HZ95" s="20" t="n">
        <f aca="false">IF(G95=1,HY95*12*F95,0)</f>
        <v>0</v>
      </c>
      <c r="IA95" s="20" t="n">
        <f aca="false">MAX(0,HZ95+IF(AND(WI_Retire=0,WI_M&lt;0,G95=1),WI_M*12*F95,0))</f>
        <v>0</v>
      </c>
      <c r="IB95" s="20" t="n">
        <f aca="false">Slot1_IsWG*W95+Slot2_IsWG*AH95+Slot3_IsWG*AR95+Slot4_IsWG*BB95+Slot5_IsWG*BL95+Slot6_IsWG*BV95+Slot7_IsWG*CF95+Slot8_IsWG*CP95+Slot9_IsWG*CZ95+Slot10_IsWG*DJ95+Slot11_IsWG*DT95+Slot12_IsWG*ED95+Slot13_IsWG*EN95+Slot14_IsWG*EX95+Slot15_IsWG*FH95+Slot16_IsWG*FR95+Slot17_IsWG*GB95+Slot18_IsWG*GL95+Slot19_IsWG*GV95+Slot20_IsWG*HF95</f>
        <v>0</v>
      </c>
      <c r="IC95" s="20" t="n">
        <f aca="false">IF(AND(WI_Retire=0,WI_M&gt;0,G95=1,IB95&gt;=1),WI_M*12*F95,0)</f>
        <v>0</v>
      </c>
      <c r="ID95" s="20" t="n">
        <f aca="false">IF(HU95=1,MIN(IA95,HS95),0)</f>
        <v>0</v>
      </c>
      <c r="IE95" s="20" t="n">
        <f aca="false">IF(HU95=1,MIN(IC95,HS95-ID95),0)</f>
        <v>0</v>
      </c>
      <c r="IF95" s="20" t="n">
        <f aca="false">IF(W95=1,IF(ABS((1+AS_Wage)/(1+Slot1_Rate)-1)&lt;0.000000000001,(Slot1_Age-D95)*(1+Slot1_Rate)^(Slot1_Age-D95),(1+Slot1_Rate)^(Slot1_Age-D95)*(1-((1+AS_Wage)/(1+Slot1_Rate))^(Slot1_Age-D95))/(1-(1+AS_Wage)/(1+Slot1_Rate))),1)</f>
        <v>1</v>
      </c>
      <c r="IG95" s="20" t="n">
        <f aca="false">IF(AND(HU95=1,IE95&gt;0,Slot1_IsWG=1,W95=1),MAX(0,(Slot1_Cost-X95*(1+Slot1_Rate)^(Slot1_Age-D95))/IF95),0)</f>
        <v>0</v>
      </c>
      <c r="IH95" s="20" t="n">
        <f aca="false">IF(AND(HU95=1,IE95&gt;0,Slot1_IsWG=1,W95=1),MIN(IE95,IG95),0)</f>
        <v>0</v>
      </c>
      <c r="II95" s="20" t="n">
        <f aca="false">X95+IH95</f>
        <v>0</v>
      </c>
      <c r="IJ95" s="20" t="n">
        <f aca="false">IF(W95=1,MAX(0,(Slot1_Cost-II95*(1+Slot1_Rate)^(Slot1_Age-D95))/IF95),0)</f>
        <v>0</v>
      </c>
      <c r="IK95" s="20" t="n">
        <f aca="false">IF(W95=1,MAX(0,(Slot1_Cost-X95*(1+Slot1_Rate)^(Slot1_Age-D95))/IF95),0)</f>
        <v>0</v>
      </c>
      <c r="IL95" s="20" t="n">
        <f aca="false">IF(AND(HU95=1,W95=1),MIN(ID95,IJ95),0)</f>
        <v>0</v>
      </c>
      <c r="IM95" s="20" t="n">
        <f aca="false">ID95-IL95</f>
        <v>0</v>
      </c>
      <c r="IN95" s="20" t="n">
        <f aca="false">IF(AH95=1,IF(ABS((1+AS_Wage)/(1+Slot2_Rate)-1)&lt;0.000000000001,(Slot2_Age-D95)*(1+Slot2_Rate)^(Slot2_Age-D95),(1+Slot2_Rate)^(Slot2_Age-D95)*(1-((1+AS_Wage)/(1+Slot2_Rate))^(Slot2_Age-D95))/(1-(1+AS_Wage)/(1+Slot2_Rate))),1)</f>
        <v>1</v>
      </c>
      <c r="IO95" s="20" t="n">
        <f aca="false">IF(AND(HU95=1,IE95&gt;0,Slot2_IsWG=1,AH95=1),MAX(0,(Slot2_Cost-AI95*(1+Slot2_Rate)^(Slot2_Age-D95))/IN95),0)</f>
        <v>0</v>
      </c>
      <c r="IP95" s="20" t="n">
        <f aca="false">IF(AND(HU95=1,IE95&gt;0,Slot2_IsWG=1,AH95=1),MIN(IE95,IO95),0)</f>
        <v>0</v>
      </c>
      <c r="IQ95" s="20" t="n">
        <f aca="false">AI95+IP95</f>
        <v>0</v>
      </c>
      <c r="IR95" s="20" t="n">
        <f aca="false">IF(AH95=1,MAX(0,(Slot2_Cost-IQ95*(1+Slot2_Rate)^(Slot2_Age-D95))/IN95),0)</f>
        <v>0</v>
      </c>
      <c r="IS95" s="20" t="n">
        <f aca="false">IF(AH95=1,MAX(0,(Slot2_Cost-AI95*(1+Slot2_Rate)^(Slot2_Age-D95))/IN95),0)</f>
        <v>0</v>
      </c>
      <c r="IT95" s="20" t="n">
        <f aca="false">IF(AND(HU95=1,AH95=1),MIN(IM95,IR95),0)</f>
        <v>0</v>
      </c>
      <c r="IU95" s="20" t="n">
        <f aca="false">IM95-IT95</f>
        <v>0</v>
      </c>
      <c r="IV95" s="20" t="n">
        <f aca="false">IF(AR95=1,IF(ABS((1+AS_Wage)/(1+Slot3_Rate)-1)&lt;0.000000000001,(Slot3_Age-D95)*(1+Slot3_Rate)^(Slot3_Age-D95),(1+Slot3_Rate)^(Slot3_Age-D95)*(1-((1+AS_Wage)/(1+Slot3_Rate))^(Slot3_Age-D95))/(1-(1+AS_Wage)/(1+Slot3_Rate))),1)</f>
        <v>1</v>
      </c>
      <c r="IW95" s="20" t="n">
        <f aca="false">IF(AND(HU95=1,IE95&gt;0,Slot3_IsWG=1,AR95=1),MAX(0,(Slot3_Cost-AS95*(1+Slot3_Rate)^(Slot3_Age-D95))/IV95),0)</f>
        <v>0</v>
      </c>
      <c r="IX95" s="20" t="n">
        <f aca="false">IF(AND(HU95=1,IE95&gt;0,Slot3_IsWG=1,AR95=1),MIN(IE95,IW95),0)</f>
        <v>0</v>
      </c>
      <c r="IY95" s="20" t="n">
        <f aca="false">AS95+IX95</f>
        <v>0</v>
      </c>
      <c r="IZ95" s="20" t="n">
        <f aca="false">IF(AR95=1,MAX(0,(Slot3_Cost-IY95*(1+Slot3_Rate)^(Slot3_Age-D95))/IV95),0)</f>
        <v>0</v>
      </c>
      <c r="JA95" s="20" t="n">
        <f aca="false">IF(AR95=1,MAX(0,(Slot3_Cost-AS95*(1+Slot3_Rate)^(Slot3_Age-D95))/IV95),0)</f>
        <v>0</v>
      </c>
      <c r="JB95" s="20" t="n">
        <f aca="false">IF(AND(HU95=1,AR95=1),MIN(IU95,IZ95),0)</f>
        <v>0</v>
      </c>
      <c r="JC95" s="20" t="n">
        <f aca="false">IU95-JB95</f>
        <v>0</v>
      </c>
      <c r="JD95" s="20" t="n">
        <f aca="false">IF(BB95=1,IF(ABS((1+AS_Wage)/(1+Slot4_Rate)-1)&lt;0.000000000001,(Slot4_Age-D95)*(1+Slot4_Rate)^(Slot4_Age-D95),(1+Slot4_Rate)^(Slot4_Age-D95)*(1-((1+AS_Wage)/(1+Slot4_Rate))^(Slot4_Age-D95))/(1-(1+AS_Wage)/(1+Slot4_Rate))),1)</f>
        <v>1</v>
      </c>
      <c r="JE95" s="20" t="n">
        <f aca="false">IF(AND(HU95=1,IE95&gt;0,Slot4_IsWG=1,BB95=1),MAX(0,(Slot4_Cost-BC95*(1+Slot4_Rate)^(Slot4_Age-D95))/JD95),0)</f>
        <v>0</v>
      </c>
      <c r="JF95" s="20" t="n">
        <f aca="false">IF(AND(HU95=1,IE95&gt;0,Slot4_IsWG=1,BB95=1),MIN(IE95,JE95),0)</f>
        <v>0</v>
      </c>
      <c r="JG95" s="20" t="n">
        <f aca="false">BC95+JF95</f>
        <v>0</v>
      </c>
      <c r="JH95" s="20" t="n">
        <f aca="false">IF(BB95=1,MAX(0,(Slot4_Cost-JG95*(1+Slot4_Rate)^(Slot4_Age-D95))/JD95),0)</f>
        <v>0</v>
      </c>
      <c r="JI95" s="20" t="n">
        <f aca="false">IF(BB95=1,MAX(0,(Slot4_Cost-BC95*(1+Slot4_Rate)^(Slot4_Age-D95))/JD95),0)</f>
        <v>0</v>
      </c>
      <c r="JJ95" s="20" t="n">
        <f aca="false">IF(AND(HU95=1,BB95=1),MIN(JC95,JH95),0)</f>
        <v>0</v>
      </c>
      <c r="JK95" s="20" t="n">
        <f aca="false">JC95-JJ95</f>
        <v>0</v>
      </c>
      <c r="JL95" s="20" t="n">
        <f aca="false">IF(BL95=1,IF(ABS((1+AS_Wage)/(1+Slot5_Rate)-1)&lt;0.000000000001,(Slot5_Age-D95)*(1+Slot5_Rate)^(Slot5_Age-D95),(1+Slot5_Rate)^(Slot5_Age-D95)*(1-((1+AS_Wage)/(1+Slot5_Rate))^(Slot5_Age-D95))/(1-(1+AS_Wage)/(1+Slot5_Rate))),1)</f>
        <v>1</v>
      </c>
      <c r="JM95" s="20" t="n">
        <f aca="false">IF(AND(HU95=1,IE95&gt;0,Slot5_IsWG=1,BL95=1),MAX(0,(Slot5_Cost-BM95*(1+Slot5_Rate)^(Slot5_Age-D95))/JL95),0)</f>
        <v>0</v>
      </c>
      <c r="JN95" s="20" t="n">
        <f aca="false">IF(AND(HU95=1,IE95&gt;0,Slot5_IsWG=1,BL95=1),MIN(IE95,JM95),0)</f>
        <v>0</v>
      </c>
      <c r="JO95" s="20" t="n">
        <f aca="false">BM95+JN95</f>
        <v>0</v>
      </c>
      <c r="JP95" s="20" t="n">
        <f aca="false">IF(BL95=1,MAX(0,(Slot5_Cost-JO95*(1+Slot5_Rate)^(Slot5_Age-D95))/JL95),0)</f>
        <v>0</v>
      </c>
      <c r="JQ95" s="20" t="n">
        <f aca="false">IF(BL95=1,MAX(0,(Slot5_Cost-BM95*(1+Slot5_Rate)^(Slot5_Age-D95))/JL95),0)</f>
        <v>0</v>
      </c>
      <c r="JR95" s="20" t="n">
        <f aca="false">IF(AND(HU95=1,BL95=1),MIN(JK95,JP95),0)</f>
        <v>0</v>
      </c>
      <c r="JS95" s="20" t="n">
        <f aca="false">JK95-JR95</f>
        <v>0</v>
      </c>
      <c r="JT95" s="20" t="n">
        <f aca="false">IF(BV95=1,IF(ABS((1+AS_Wage)/(1+Slot6_Rate)-1)&lt;0.000000000001,(Slot6_Age-D95)*(1+Slot6_Rate)^(Slot6_Age-D95),(1+Slot6_Rate)^(Slot6_Age-D95)*(1-((1+AS_Wage)/(1+Slot6_Rate))^(Slot6_Age-D95))/(1-(1+AS_Wage)/(1+Slot6_Rate))),1)</f>
        <v>1</v>
      </c>
      <c r="JU95" s="20" t="n">
        <f aca="false">IF(AND(HU95=1,IE95&gt;0,Slot6_IsWG=1,BV95=1),MAX(0,(Slot6_Cost-BW95*(1+Slot6_Rate)^(Slot6_Age-D95))/JT95),0)</f>
        <v>0</v>
      </c>
      <c r="JV95" s="20" t="n">
        <f aca="false">IF(AND(HU95=1,IE95&gt;0,Slot6_IsWG=1,BV95=1),MIN(IE95,JU95),0)</f>
        <v>0</v>
      </c>
      <c r="JW95" s="20" t="n">
        <f aca="false">BW95+JV95</f>
        <v>0</v>
      </c>
      <c r="JX95" s="20" t="n">
        <f aca="false">IF(BV95=1,MAX(0,(Slot6_Cost-JW95*(1+Slot6_Rate)^(Slot6_Age-D95))/JT95),0)</f>
        <v>0</v>
      </c>
      <c r="JY95" s="20" t="n">
        <f aca="false">IF(BV95=1,MAX(0,(Slot6_Cost-BW95*(1+Slot6_Rate)^(Slot6_Age-D95))/JT95),0)</f>
        <v>0</v>
      </c>
      <c r="JZ95" s="20" t="n">
        <f aca="false">IF(AND(HU95=1,BV95=1),MIN(JS95,JX95),0)</f>
        <v>0</v>
      </c>
      <c r="KA95" s="20" t="n">
        <f aca="false">JS95-JZ95</f>
        <v>0</v>
      </c>
      <c r="KB95" s="20" t="n">
        <f aca="false">IF(CF95=1,IF(ABS((1+AS_Wage)/(1+Slot7_Rate)-1)&lt;0.000000000001,(Slot7_Age-D95)*(1+Slot7_Rate)^(Slot7_Age-D95),(1+Slot7_Rate)^(Slot7_Age-D95)*(1-((1+AS_Wage)/(1+Slot7_Rate))^(Slot7_Age-D95))/(1-(1+AS_Wage)/(1+Slot7_Rate))),1)</f>
        <v>1</v>
      </c>
      <c r="KC95" s="20" t="n">
        <f aca="false">IF(AND(HU95=1,IE95&gt;0,Slot7_IsWG=1,CF95=1),MAX(0,(Slot7_Cost-CG95*(1+Slot7_Rate)^(Slot7_Age-D95))/KB95),0)</f>
        <v>0</v>
      </c>
      <c r="KD95" s="20" t="n">
        <f aca="false">IF(AND(HU95=1,IE95&gt;0,Slot7_IsWG=1,CF95=1),MIN(IE95,KC95),0)</f>
        <v>0</v>
      </c>
      <c r="KE95" s="20" t="n">
        <f aca="false">CG95+KD95</f>
        <v>0</v>
      </c>
      <c r="KF95" s="20" t="n">
        <f aca="false">IF(CF95=1,MAX(0,(Slot7_Cost-KE95*(1+Slot7_Rate)^(Slot7_Age-D95))/KB95),0)</f>
        <v>0</v>
      </c>
      <c r="KG95" s="20" t="n">
        <f aca="false">IF(CF95=1,MAX(0,(Slot7_Cost-CG95*(1+Slot7_Rate)^(Slot7_Age-D95))/KB95),0)</f>
        <v>0</v>
      </c>
      <c r="KH95" s="20" t="n">
        <f aca="false">IF(AND(HU95=1,CF95=1),MIN(KA95,KF95),0)</f>
        <v>0</v>
      </c>
      <c r="KI95" s="20" t="n">
        <f aca="false">KA95-KH95</f>
        <v>0</v>
      </c>
      <c r="KJ95" s="20" t="n">
        <f aca="false">IF(CP95=1,IF(ABS((1+AS_Wage)/(1+Slot8_Rate)-1)&lt;0.000000000001,(Slot8_Age-D95)*(1+Slot8_Rate)^(Slot8_Age-D95),(1+Slot8_Rate)^(Slot8_Age-D95)*(1-((1+AS_Wage)/(1+Slot8_Rate))^(Slot8_Age-D95))/(1-(1+AS_Wage)/(1+Slot8_Rate))),1)</f>
        <v>1</v>
      </c>
      <c r="KK95" s="20" t="n">
        <f aca="false">IF(AND(HU95=1,IE95&gt;0,Slot8_IsWG=1,CP95=1),MAX(0,(Slot8_Cost-CQ95*(1+Slot8_Rate)^(Slot8_Age-D95))/KJ95),0)</f>
        <v>0</v>
      </c>
      <c r="KL95" s="20" t="n">
        <f aca="false">IF(AND(HU95=1,IE95&gt;0,Slot8_IsWG=1,CP95=1),MIN(IE95,KK95),0)</f>
        <v>0</v>
      </c>
      <c r="KM95" s="20" t="n">
        <f aca="false">CQ95+KL95</f>
        <v>0</v>
      </c>
      <c r="KN95" s="20" t="n">
        <f aca="false">IF(CP95=1,MAX(0,(Slot8_Cost-KM95*(1+Slot8_Rate)^(Slot8_Age-D95))/KJ95),0)</f>
        <v>0</v>
      </c>
      <c r="KO95" s="20" t="n">
        <f aca="false">IF(CP95=1,MAX(0,(Slot8_Cost-CQ95*(1+Slot8_Rate)^(Slot8_Age-D95))/KJ95),0)</f>
        <v>0</v>
      </c>
      <c r="KP95" s="20" t="n">
        <f aca="false">IF(AND(HU95=1,CP95=1),MIN(KI95,KN95),0)</f>
        <v>0</v>
      </c>
      <c r="KQ95" s="20" t="n">
        <f aca="false">KI95-KP95</f>
        <v>0</v>
      </c>
      <c r="KR95" s="20" t="n">
        <f aca="false">IF(CZ95=1,IF(ABS((1+AS_Wage)/(1+Slot9_Rate)-1)&lt;0.000000000001,(Slot9_Age-D95)*(1+Slot9_Rate)^(Slot9_Age-D95),(1+Slot9_Rate)^(Slot9_Age-D95)*(1-((1+AS_Wage)/(1+Slot9_Rate))^(Slot9_Age-D95))/(1-(1+AS_Wage)/(1+Slot9_Rate))),1)</f>
        <v>1</v>
      </c>
      <c r="KS95" s="20" t="n">
        <f aca="false">IF(AND(HU95=1,IE95&gt;0,Slot9_IsWG=1,CZ95=1),MAX(0,(Slot9_Cost-DA95*(1+Slot9_Rate)^(Slot9_Age-D95))/KR95),0)</f>
        <v>0</v>
      </c>
      <c r="KT95" s="20" t="n">
        <f aca="false">IF(AND(HU95=1,IE95&gt;0,Slot9_IsWG=1,CZ95=1),MIN(IE95,KS95),0)</f>
        <v>0</v>
      </c>
      <c r="KU95" s="20" t="n">
        <f aca="false">DA95+KT95</f>
        <v>0</v>
      </c>
      <c r="KV95" s="20" t="n">
        <f aca="false">IF(CZ95=1,MAX(0,(Slot9_Cost-KU95*(1+Slot9_Rate)^(Slot9_Age-D95))/KR95),0)</f>
        <v>0</v>
      </c>
      <c r="KW95" s="20" t="n">
        <f aca="false">IF(CZ95=1,MAX(0,(Slot9_Cost-DA95*(1+Slot9_Rate)^(Slot9_Age-D95))/KR95),0)</f>
        <v>0</v>
      </c>
      <c r="KX95" s="20" t="n">
        <f aca="false">IF(AND(HU95=1,CZ95=1),MIN(KQ95,KV95),0)</f>
        <v>0</v>
      </c>
      <c r="KY95" s="20" t="n">
        <f aca="false">KQ95-KX95</f>
        <v>0</v>
      </c>
      <c r="KZ95" s="20" t="n">
        <f aca="false">IF(DJ95=1,IF(ABS((1+AS_Wage)/(1+Slot10_Rate)-1)&lt;0.000000000001,(Slot10_Age-D95)*(1+Slot10_Rate)^(Slot10_Age-D95),(1+Slot10_Rate)^(Slot10_Age-D95)*(1-((1+AS_Wage)/(1+Slot10_Rate))^(Slot10_Age-D95))/(1-(1+AS_Wage)/(1+Slot10_Rate))),1)</f>
        <v>1</v>
      </c>
      <c r="LA95" s="20" t="n">
        <f aca="false">IF(AND(HU95=1,IE95&gt;0,Slot10_IsWG=1,DJ95=1),MAX(0,(Slot10_Cost-DK95*(1+Slot10_Rate)^(Slot10_Age-D95))/KZ95),0)</f>
        <v>0</v>
      </c>
      <c r="LB95" s="20" t="n">
        <f aca="false">IF(AND(HU95=1,IE95&gt;0,Slot10_IsWG=1,DJ95=1),MIN(IE95,LA95),0)</f>
        <v>0</v>
      </c>
      <c r="LC95" s="20" t="n">
        <f aca="false">DK95+LB95</f>
        <v>0</v>
      </c>
      <c r="LD95" s="20" t="n">
        <f aca="false">IF(DJ95=1,MAX(0,(Slot10_Cost-LC95*(1+Slot10_Rate)^(Slot10_Age-D95))/KZ95),0)</f>
        <v>0</v>
      </c>
      <c r="LE95" s="20" t="n">
        <f aca="false">IF(DJ95=1,MAX(0,(Slot10_Cost-DK95*(1+Slot10_Rate)^(Slot10_Age-D95))/KZ95),0)</f>
        <v>0</v>
      </c>
      <c r="LF95" s="20" t="n">
        <f aca="false">IF(AND(HU95=1,DJ95=1),MIN(KY95,LD95),0)</f>
        <v>0</v>
      </c>
      <c r="LG95" s="20" t="n">
        <f aca="false">KY95-LF95</f>
        <v>0</v>
      </c>
      <c r="LH95" s="20" t="n">
        <f aca="false">IF(DT95=1,IF(ABS((1+AS_Wage)/(1+Slot11_Rate)-1)&lt;0.000000000001,(Slot11_Age-D95)*(1+Slot11_Rate)^(Slot11_Age-D95),(1+Slot11_Rate)^(Slot11_Age-D95)*(1-((1+AS_Wage)/(1+Slot11_Rate))^(Slot11_Age-D95))/(1-(1+AS_Wage)/(1+Slot11_Rate))),1)</f>
        <v>1</v>
      </c>
      <c r="LI95" s="20" t="n">
        <f aca="false">IF(AND(HU95=1,IE95&gt;0,Slot11_IsWG=1,DT95=1),MAX(0,(Slot11_Cost-DU95*(1+Slot11_Rate)^(Slot11_Age-D95))/LH95),0)</f>
        <v>0</v>
      </c>
      <c r="LJ95" s="20" t="n">
        <f aca="false">IF(AND(HU95=1,IE95&gt;0,Slot11_IsWG=1,DT95=1),MIN(IE95,LI95),0)</f>
        <v>0</v>
      </c>
      <c r="LK95" s="20" t="n">
        <f aca="false">DU95+LJ95</f>
        <v>0</v>
      </c>
      <c r="LL95" s="20" t="n">
        <f aca="false">IF(DT95=1,MAX(0,(Slot11_Cost-LK95*(1+Slot11_Rate)^(Slot11_Age-D95))/LH95),0)</f>
        <v>0</v>
      </c>
      <c r="LM95" s="20" t="n">
        <f aca="false">IF(DT95=1,MAX(0,(Slot11_Cost-DU95*(1+Slot11_Rate)^(Slot11_Age-D95))/LH95),0)</f>
        <v>0</v>
      </c>
      <c r="LN95" s="20" t="n">
        <f aca="false">IF(AND(HU95=1,DT95=1),MIN(LG95,LL95),0)</f>
        <v>0</v>
      </c>
      <c r="LO95" s="20" t="n">
        <f aca="false">LG95-LN95</f>
        <v>0</v>
      </c>
      <c r="LP95" s="20" t="n">
        <f aca="false">IF(ED95=1,IF(ABS((1+AS_Wage)/(1+Slot12_Rate)-1)&lt;0.000000000001,(Slot12_Age-D95)*(1+Slot12_Rate)^(Slot12_Age-D95),(1+Slot12_Rate)^(Slot12_Age-D95)*(1-((1+AS_Wage)/(1+Slot12_Rate))^(Slot12_Age-D95))/(1-(1+AS_Wage)/(1+Slot12_Rate))),1)</f>
        <v>1</v>
      </c>
      <c r="LQ95" s="20" t="n">
        <f aca="false">IF(AND(HU95=1,IE95&gt;0,Slot12_IsWG=1,ED95=1),MAX(0,(Slot12_Cost-EE95*(1+Slot12_Rate)^(Slot12_Age-D95))/LP95),0)</f>
        <v>0</v>
      </c>
      <c r="LR95" s="20" t="n">
        <f aca="false">IF(AND(HU95=1,IE95&gt;0,Slot12_IsWG=1,ED95=1),MIN(IE95,LQ95),0)</f>
        <v>0</v>
      </c>
      <c r="LS95" s="20" t="n">
        <f aca="false">EE95+LR95</f>
        <v>0</v>
      </c>
      <c r="LT95" s="20" t="n">
        <f aca="false">IF(ED95=1,MAX(0,(Slot12_Cost-LS95*(1+Slot12_Rate)^(Slot12_Age-D95))/LP95),0)</f>
        <v>0</v>
      </c>
      <c r="LU95" s="20" t="n">
        <f aca="false">IF(ED95=1,MAX(0,(Slot12_Cost-EE95*(1+Slot12_Rate)^(Slot12_Age-D95))/LP95),0)</f>
        <v>0</v>
      </c>
      <c r="LV95" s="20" t="n">
        <f aca="false">IF(AND(HU95=1,ED95=1),MIN(LO95,LT95),0)</f>
        <v>0</v>
      </c>
      <c r="LW95" s="20" t="n">
        <f aca="false">LO95-LV95</f>
        <v>0</v>
      </c>
      <c r="LX95" s="20" t="n">
        <f aca="false">IF(EN95=1,IF(ABS((1+AS_Wage)/(1+Slot13_Rate)-1)&lt;0.000000000001,(Slot13_Age-D95)*(1+Slot13_Rate)^(Slot13_Age-D95),(1+Slot13_Rate)^(Slot13_Age-D95)*(1-((1+AS_Wage)/(1+Slot13_Rate))^(Slot13_Age-D95))/(1-(1+AS_Wage)/(1+Slot13_Rate))),1)</f>
        <v>1</v>
      </c>
      <c r="LY95" s="20" t="n">
        <f aca="false">IF(AND(HU95=1,IE95&gt;0,Slot13_IsWG=1,EN95=1),MAX(0,(Slot13_Cost-EO95*(1+Slot13_Rate)^(Slot13_Age-D95))/LX95),0)</f>
        <v>0</v>
      </c>
      <c r="LZ95" s="20" t="n">
        <f aca="false">IF(AND(HU95=1,IE95&gt;0,Slot13_IsWG=1,EN95=1),MIN(IE95,LY95),0)</f>
        <v>0</v>
      </c>
      <c r="MA95" s="20" t="n">
        <f aca="false">EO95+LZ95</f>
        <v>0</v>
      </c>
      <c r="MB95" s="20" t="n">
        <f aca="false">IF(EN95=1,MAX(0,(Slot13_Cost-MA95*(1+Slot13_Rate)^(Slot13_Age-D95))/LX95),0)</f>
        <v>0</v>
      </c>
      <c r="MC95" s="20" t="n">
        <f aca="false">IF(EN95=1,MAX(0,(Slot13_Cost-EO95*(1+Slot13_Rate)^(Slot13_Age-D95))/LX95),0)</f>
        <v>0</v>
      </c>
      <c r="MD95" s="20" t="n">
        <f aca="false">IF(AND(HU95=1,EN95=1),MIN(LW95,MB95),0)</f>
        <v>0</v>
      </c>
      <c r="ME95" s="20" t="n">
        <f aca="false">LW95-MD95</f>
        <v>0</v>
      </c>
      <c r="MF95" s="20" t="n">
        <f aca="false">IF(EX95=1,IF(ABS((1+AS_Wage)/(1+Slot14_Rate)-1)&lt;0.000000000001,(Slot14_Age-D95)*(1+Slot14_Rate)^(Slot14_Age-D95),(1+Slot14_Rate)^(Slot14_Age-D95)*(1-((1+AS_Wage)/(1+Slot14_Rate))^(Slot14_Age-D95))/(1-(1+AS_Wage)/(1+Slot14_Rate))),1)</f>
        <v>1</v>
      </c>
      <c r="MG95" s="20" t="n">
        <f aca="false">IF(AND(HU95=1,IE95&gt;0,Slot14_IsWG=1,EX95=1),MAX(0,(Slot14_Cost-EY95*(1+Slot14_Rate)^(Slot14_Age-D95))/MF95),0)</f>
        <v>0</v>
      </c>
      <c r="MH95" s="20" t="n">
        <f aca="false">IF(AND(HU95=1,IE95&gt;0,Slot14_IsWG=1,EX95=1),MIN(IE95,MG95),0)</f>
        <v>0</v>
      </c>
      <c r="MI95" s="20" t="n">
        <f aca="false">EY95+MH95</f>
        <v>0</v>
      </c>
      <c r="MJ95" s="20" t="n">
        <f aca="false">IF(EX95=1,MAX(0,(Slot14_Cost-MI95*(1+Slot14_Rate)^(Slot14_Age-D95))/MF95),0)</f>
        <v>0</v>
      </c>
      <c r="MK95" s="20" t="n">
        <f aca="false">IF(EX95=1,MAX(0,(Slot14_Cost-EY95*(1+Slot14_Rate)^(Slot14_Age-D95))/MF95),0)</f>
        <v>0</v>
      </c>
      <c r="ML95" s="20" t="n">
        <f aca="false">IF(AND(HU95=1,EX95=1),MIN(ME95,MJ95),0)</f>
        <v>0</v>
      </c>
      <c r="MM95" s="20" t="n">
        <f aca="false">ME95-ML95</f>
        <v>0</v>
      </c>
      <c r="MN95" s="20" t="n">
        <f aca="false">IF(FH95=1,IF(ABS((1+AS_Wage)/(1+Slot15_Rate)-1)&lt;0.000000000001,(Slot15_Age-D95)*(1+Slot15_Rate)^(Slot15_Age-D95),(1+Slot15_Rate)^(Slot15_Age-D95)*(1-((1+AS_Wage)/(1+Slot15_Rate))^(Slot15_Age-D95))/(1-(1+AS_Wage)/(1+Slot15_Rate))),1)</f>
        <v>1</v>
      </c>
      <c r="MO95" s="20" t="n">
        <f aca="false">IF(AND(HU95=1,IE95&gt;0,Slot15_IsWG=1,FH95=1),MAX(0,(Slot15_Cost-FI95*(1+Slot15_Rate)^(Slot15_Age-D95))/MN95),0)</f>
        <v>0</v>
      </c>
      <c r="MP95" s="20" t="n">
        <f aca="false">IF(AND(HU95=1,IE95&gt;0,Slot15_IsWG=1,FH95=1),MIN(IE95,MO95),0)</f>
        <v>0</v>
      </c>
      <c r="MQ95" s="20" t="n">
        <f aca="false">FI95+MP95</f>
        <v>0</v>
      </c>
      <c r="MR95" s="20" t="n">
        <f aca="false">IF(FH95=1,MAX(0,(Slot15_Cost-MQ95*(1+Slot15_Rate)^(Slot15_Age-D95))/MN95),0)</f>
        <v>0</v>
      </c>
      <c r="MS95" s="20" t="n">
        <f aca="false">IF(FH95=1,MAX(0,(Slot15_Cost-FI95*(1+Slot15_Rate)^(Slot15_Age-D95))/MN95),0)</f>
        <v>0</v>
      </c>
      <c r="MT95" s="20" t="n">
        <f aca="false">IF(AND(HU95=1,FH95=1),MIN(MM95,MR95),0)</f>
        <v>0</v>
      </c>
      <c r="MU95" s="20" t="n">
        <f aca="false">MM95-MT95</f>
        <v>0</v>
      </c>
      <c r="MV95" s="20" t="n">
        <f aca="false">IF(FR95=1,IF(ABS((1+AS_Wage)/(1+Slot16_Rate)-1)&lt;0.000000000001,(Slot16_Age-D95)*(1+Slot16_Rate)^(Slot16_Age-D95),(1+Slot16_Rate)^(Slot16_Age-D95)*(1-((1+AS_Wage)/(1+Slot16_Rate))^(Slot16_Age-D95))/(1-(1+AS_Wage)/(1+Slot16_Rate))),1)</f>
        <v>1</v>
      </c>
      <c r="MW95" s="20" t="n">
        <f aca="false">IF(AND(HU95=1,IE95&gt;0,Slot16_IsWG=1,FR95=1),MAX(0,(Slot16_Cost-FS95*(1+Slot16_Rate)^(Slot16_Age-D95))/MV95),0)</f>
        <v>0</v>
      </c>
      <c r="MX95" s="20" t="n">
        <f aca="false">IF(AND(HU95=1,IE95&gt;0,Slot16_IsWG=1,FR95=1),MIN(IE95,MW95),0)</f>
        <v>0</v>
      </c>
      <c r="MY95" s="20" t="n">
        <f aca="false">FS95+MX95</f>
        <v>0</v>
      </c>
      <c r="MZ95" s="20" t="n">
        <f aca="false">IF(FR95=1,MAX(0,(Slot16_Cost-MY95*(1+Slot16_Rate)^(Slot16_Age-D95))/MV95),0)</f>
        <v>0</v>
      </c>
      <c r="NA95" s="20" t="n">
        <f aca="false">IF(FR95=1,MAX(0,(Slot16_Cost-FS95*(1+Slot16_Rate)^(Slot16_Age-D95))/MV95),0)</f>
        <v>0</v>
      </c>
      <c r="NB95" s="20" t="n">
        <f aca="false">IF(AND(HU95=1,FR95=1),MIN(MU95,MZ95),0)</f>
        <v>0</v>
      </c>
      <c r="NC95" s="20" t="n">
        <f aca="false">MU95-NB95</f>
        <v>0</v>
      </c>
      <c r="ND95" s="20" t="n">
        <f aca="false">IF(GB95=1,IF(ABS((1+AS_Wage)/(1+Slot17_Rate)-1)&lt;0.000000000001,(Slot17_Age-D95)*(1+Slot17_Rate)^(Slot17_Age-D95),(1+Slot17_Rate)^(Slot17_Age-D95)*(1-((1+AS_Wage)/(1+Slot17_Rate))^(Slot17_Age-D95))/(1-(1+AS_Wage)/(1+Slot17_Rate))),1)</f>
        <v>1</v>
      </c>
      <c r="NE95" s="20" t="n">
        <f aca="false">IF(AND(HU95=1,IE95&gt;0,Slot17_IsWG=1,GB95=1),MAX(0,(Slot17_Cost-GC95*(1+Slot17_Rate)^(Slot17_Age-D95))/ND95),0)</f>
        <v>0</v>
      </c>
      <c r="NF95" s="20" t="n">
        <f aca="false">IF(AND(HU95=1,IE95&gt;0,Slot17_IsWG=1,GB95=1),MIN(IE95,NE95),0)</f>
        <v>0</v>
      </c>
      <c r="NG95" s="20" t="n">
        <f aca="false">GC95+NF95</f>
        <v>0</v>
      </c>
      <c r="NH95" s="20" t="n">
        <f aca="false">IF(GB95=1,MAX(0,(Slot17_Cost-NG95*(1+Slot17_Rate)^(Slot17_Age-D95))/ND95),0)</f>
        <v>0</v>
      </c>
      <c r="NI95" s="20" t="n">
        <f aca="false">IF(GB95=1,MAX(0,(Slot17_Cost-GC95*(1+Slot17_Rate)^(Slot17_Age-D95))/ND95),0)</f>
        <v>0</v>
      </c>
      <c r="NJ95" s="20" t="n">
        <f aca="false">IF(AND(HU95=1,GB95=1),MIN(NC95,NH95),0)</f>
        <v>0</v>
      </c>
      <c r="NK95" s="20" t="n">
        <f aca="false">NC95-NJ95</f>
        <v>0</v>
      </c>
      <c r="NL95" s="20" t="n">
        <f aca="false">IF(GL95=1,IF(ABS((1+AS_Wage)/(1+Slot18_Rate)-1)&lt;0.000000000001,(Slot18_Age-D95)*(1+Slot18_Rate)^(Slot18_Age-D95),(1+Slot18_Rate)^(Slot18_Age-D95)*(1-((1+AS_Wage)/(1+Slot18_Rate))^(Slot18_Age-D95))/(1-(1+AS_Wage)/(1+Slot18_Rate))),1)</f>
        <v>1</v>
      </c>
      <c r="NM95" s="20" t="n">
        <f aca="false">IF(AND(HU95=1,IE95&gt;0,Slot18_IsWG=1,GL95=1),MAX(0,(Slot18_Cost-GM95*(1+Slot18_Rate)^(Slot18_Age-D95))/NL95),0)</f>
        <v>0</v>
      </c>
      <c r="NN95" s="20" t="n">
        <f aca="false">IF(AND(HU95=1,IE95&gt;0,Slot18_IsWG=1,GL95=1),MIN(IE95,NM95),0)</f>
        <v>0</v>
      </c>
      <c r="NO95" s="20" t="n">
        <f aca="false">GM95+NN95</f>
        <v>0</v>
      </c>
      <c r="NP95" s="20" t="n">
        <f aca="false">IF(GL95=1,MAX(0,(Slot18_Cost-NO95*(1+Slot18_Rate)^(Slot18_Age-D95))/NL95),0)</f>
        <v>0</v>
      </c>
      <c r="NQ95" s="20" t="n">
        <f aca="false">IF(GL95=1,MAX(0,(Slot18_Cost-GM95*(1+Slot18_Rate)^(Slot18_Age-D95))/NL95),0)</f>
        <v>0</v>
      </c>
      <c r="NR95" s="20" t="n">
        <f aca="false">IF(AND(HU95=1,GL95=1),MIN(NK95,NP95),0)</f>
        <v>0</v>
      </c>
      <c r="NS95" s="20" t="n">
        <f aca="false">NK95-NR95</f>
        <v>0</v>
      </c>
      <c r="NT95" s="20" t="n">
        <f aca="false">IF(GV95=1,IF(ABS((1+AS_Wage)/(1+Slot19_Rate)-1)&lt;0.000000000001,(Slot19_Age-D95)*(1+Slot19_Rate)^(Slot19_Age-D95),(1+Slot19_Rate)^(Slot19_Age-D95)*(1-((1+AS_Wage)/(1+Slot19_Rate))^(Slot19_Age-D95))/(1-(1+AS_Wage)/(1+Slot19_Rate))),1)</f>
        <v>1</v>
      </c>
      <c r="NU95" s="20" t="n">
        <f aca="false">IF(AND(HU95=1,IE95&gt;0,Slot19_IsWG=1,GV95=1),MAX(0,(Slot19_Cost-GW95*(1+Slot19_Rate)^(Slot19_Age-D95))/NT95),0)</f>
        <v>0</v>
      </c>
      <c r="NV95" s="20" t="n">
        <f aca="false">IF(AND(HU95=1,IE95&gt;0,Slot19_IsWG=1,GV95=1),MIN(IE95,NU95),0)</f>
        <v>0</v>
      </c>
      <c r="NW95" s="20" t="n">
        <f aca="false">GW95+NV95</f>
        <v>0</v>
      </c>
      <c r="NX95" s="20" t="n">
        <f aca="false">IF(GV95=1,MAX(0,(Slot19_Cost-NW95*(1+Slot19_Rate)^(Slot19_Age-D95))/NT95),0)</f>
        <v>0</v>
      </c>
      <c r="NY95" s="20" t="n">
        <f aca="false">IF(GV95=1,MAX(0,(Slot19_Cost-GW95*(1+Slot19_Rate)^(Slot19_Age-D95))/NT95),0)</f>
        <v>0</v>
      </c>
      <c r="NZ95" s="20" t="n">
        <f aca="false">IF(AND(HU95=1,GV95=1),MIN(NS95,NX95),0)</f>
        <v>0</v>
      </c>
      <c r="OA95" s="20" t="n">
        <f aca="false">NS95-NZ95</f>
        <v>0</v>
      </c>
      <c r="OB95" s="20" t="n">
        <f aca="false">IF(HF95=1,IF(ABS((1+AS_Wage)/(1+Slot20_Rate)-1)&lt;0.000000000001,(Slot20_Age-D95)*(1+Slot20_Rate)^(Slot20_Age-D95),(1+Slot20_Rate)^(Slot20_Age-D95)*(1-((1+AS_Wage)/(1+Slot20_Rate))^(Slot20_Age-D95))/(1-(1+AS_Wage)/(1+Slot20_Rate))),1)</f>
        <v>1</v>
      </c>
      <c r="OC95" s="20" t="n">
        <f aca="false">IF(AND(HU95=1,IE95&gt;0,Slot20_IsWG=1,HF95=1),MAX(0,(Slot20_Cost-HG95*(1+Slot20_Rate)^(Slot20_Age-D95))/OB95),0)</f>
        <v>0</v>
      </c>
      <c r="OD95" s="20" t="n">
        <f aca="false">IF(AND(HU95=1,IE95&gt;0,Slot20_IsWG=1,HF95=1),MIN(IE95,OC95),0)</f>
        <v>0</v>
      </c>
      <c r="OE95" s="20" t="n">
        <f aca="false">HG95+OD95</f>
        <v>0</v>
      </c>
      <c r="OF95" s="20" t="n">
        <f aca="false">IF(HF95=1,MAX(0,(Slot20_Cost-OE95*(1+Slot20_Rate)^(Slot20_Age-D95))/OB95),0)</f>
        <v>0</v>
      </c>
      <c r="OG95" s="20" t="n">
        <f aca="false">IF(HF95=1,MAX(0,(Slot20_Cost-HG95*(1+Slot20_Rate)^(Slot20_Age-D95))/OB95),0)</f>
        <v>0</v>
      </c>
      <c r="OH95" s="20" t="n">
        <f aca="false">IF(AND(HU95=1,HF95=1),MIN(OA95,OF95),0)</f>
        <v>0</v>
      </c>
      <c r="OI95" s="20" t="n">
        <f aca="false">OA95-OH95</f>
        <v>0</v>
      </c>
      <c r="OJ95" s="20" t="n">
        <f aca="false">IE95-(IH95+IP95+IX95+JF95+JN95+JV95+KD95+KL95+KT95+LB95+LJ95+LR95+LZ95+MH95+MP95+MX95+NF95+NN95+NV95+OD95)</f>
        <v>0</v>
      </c>
      <c r="OK95" s="20" t="n">
        <f aca="false">IF(HU95=1,HS95-ID95-IE95,0)</f>
        <v>0</v>
      </c>
      <c r="OL95" s="20" t="n">
        <f aca="false">IF(HU95=0,-HS95,0)</f>
        <v>107893.598717217</v>
      </c>
      <c r="OM95" s="20" t="n">
        <f aca="false">MIN(OL95,HK95)</f>
        <v>0</v>
      </c>
      <c r="ON95" s="20" t="n">
        <f aca="false">OL95-OM95</f>
        <v>107893.598717217</v>
      </c>
      <c r="OO95" s="20" t="n">
        <f aca="false">MIN(ON95,HL95)</f>
        <v>0</v>
      </c>
      <c r="OP95" s="20" t="n">
        <f aca="false">ON95-OO95</f>
        <v>107893.598717217</v>
      </c>
      <c r="OQ95" s="20" t="n">
        <f aca="false">IF(AND(HU95=0,HF95=1,OP95&gt;0),MIN(OP95,HG95),0)</f>
        <v>0</v>
      </c>
      <c r="OR95" s="20" t="n">
        <f aca="false">OP95-OQ95</f>
        <v>107893.598717217</v>
      </c>
      <c r="OS95" s="20" t="n">
        <f aca="false">IF(AND(HU95=0,GV95=1,OR95&gt;0),MIN(OR95,GW95),0)</f>
        <v>0</v>
      </c>
      <c r="OT95" s="20" t="n">
        <f aca="false">OR95-OS95</f>
        <v>107893.598717217</v>
      </c>
      <c r="OU95" s="20" t="n">
        <f aca="false">IF(AND(HU95=0,GL95=1,OT95&gt;0),MIN(OT95,GM95),0)</f>
        <v>0</v>
      </c>
      <c r="OV95" s="20" t="n">
        <f aca="false">OT95-OU95</f>
        <v>107893.598717217</v>
      </c>
      <c r="OW95" s="20" t="n">
        <f aca="false">IF(AND(HU95=0,GB95=1,OV95&gt;0),MIN(OV95,GC95),0)</f>
        <v>0</v>
      </c>
      <c r="OX95" s="20" t="n">
        <f aca="false">OV95-OW95</f>
        <v>107893.598717217</v>
      </c>
      <c r="OY95" s="20" t="n">
        <f aca="false">IF(AND(HU95=0,FR95=1,OX95&gt;0),MIN(OX95,FS95),0)</f>
        <v>0</v>
      </c>
      <c r="OZ95" s="20" t="n">
        <f aca="false">OX95-OY95</f>
        <v>107893.598717217</v>
      </c>
      <c r="PA95" s="20" t="n">
        <f aca="false">IF(AND(HU95=0,FH95=1,OZ95&gt;0),MIN(OZ95,FI95),0)</f>
        <v>0</v>
      </c>
      <c r="PB95" s="20" t="n">
        <f aca="false">OZ95-PA95</f>
        <v>107893.598717217</v>
      </c>
      <c r="PC95" s="20" t="n">
        <f aca="false">IF(AND(HU95=0,EX95=1,PB95&gt;0),MIN(PB95,EY95),0)</f>
        <v>0</v>
      </c>
      <c r="PD95" s="20" t="n">
        <f aca="false">PB95-PC95</f>
        <v>107893.598717217</v>
      </c>
      <c r="PE95" s="20" t="n">
        <f aca="false">IF(AND(HU95=0,EN95=1,PD95&gt;0),MIN(PD95,EO95),0)</f>
        <v>0</v>
      </c>
      <c r="PF95" s="20" t="n">
        <f aca="false">PD95-PE95</f>
        <v>107893.598717217</v>
      </c>
      <c r="PG95" s="20" t="n">
        <f aca="false">IF(AND(HU95=0,ED95=1,PF95&gt;0),MIN(PF95,EE95),0)</f>
        <v>0</v>
      </c>
      <c r="PH95" s="20" t="n">
        <f aca="false">PF95-PG95</f>
        <v>107893.598717217</v>
      </c>
      <c r="PI95" s="20" t="n">
        <f aca="false">IF(AND(HU95=0,DT95=1,PH95&gt;0),MIN(PH95,DU95),0)</f>
        <v>0</v>
      </c>
      <c r="PJ95" s="20" t="n">
        <f aca="false">PH95-PI95</f>
        <v>107893.598717217</v>
      </c>
      <c r="PK95" s="20" t="n">
        <f aca="false">IF(AND(HU95=0,DJ95=1,PJ95&gt;0),MIN(PJ95,DK95),0)</f>
        <v>0</v>
      </c>
      <c r="PL95" s="20" t="n">
        <f aca="false">PJ95-PK95</f>
        <v>107893.598717217</v>
      </c>
      <c r="PM95" s="20" t="n">
        <f aca="false">IF(AND(HU95=0,CZ95=1,PL95&gt;0),MIN(PL95,DA95),0)</f>
        <v>0</v>
      </c>
      <c r="PN95" s="20" t="n">
        <f aca="false">PL95-PM95</f>
        <v>107893.598717217</v>
      </c>
      <c r="PO95" s="20" t="n">
        <f aca="false">IF(AND(HU95=0,CP95=1,PN95&gt;0),MIN(PN95,CQ95),0)</f>
        <v>0</v>
      </c>
      <c r="PP95" s="20" t="n">
        <f aca="false">PN95-PO95</f>
        <v>107893.598717217</v>
      </c>
      <c r="PQ95" s="20" t="n">
        <f aca="false">IF(AND(HU95=0,CF95=1,PP95&gt;0),MIN(PP95,CG95),0)</f>
        <v>0</v>
      </c>
      <c r="PR95" s="20" t="n">
        <f aca="false">PP95-PQ95</f>
        <v>107893.598717217</v>
      </c>
      <c r="PS95" s="20" t="n">
        <f aca="false">IF(AND(HU95=0,BV95=1,PR95&gt;0),MIN(PR95,BW95),0)</f>
        <v>0</v>
      </c>
      <c r="PT95" s="20" t="n">
        <f aca="false">PR95-PS95</f>
        <v>107893.598717217</v>
      </c>
      <c r="PU95" s="20" t="n">
        <f aca="false">IF(AND(HU95=0,BL95=1,PT95&gt;0),MIN(PT95,BM95),0)</f>
        <v>0</v>
      </c>
      <c r="PV95" s="20" t="n">
        <f aca="false">PT95-PU95</f>
        <v>107893.598717217</v>
      </c>
      <c r="PW95" s="20" t="n">
        <f aca="false">IF(AND(HU95=0,BB95=1,PV95&gt;0),MIN(PV95,BC95),0)</f>
        <v>0</v>
      </c>
      <c r="PX95" s="20" t="n">
        <f aca="false">PV95-PW95</f>
        <v>107893.598717217</v>
      </c>
      <c r="PY95" s="20" t="n">
        <f aca="false">IF(AND(HU95=0,AR95=1,PX95&gt;0),MIN(PX95,AS95),0)</f>
        <v>0</v>
      </c>
      <c r="PZ95" s="20" t="n">
        <f aca="false">PX95-PY95</f>
        <v>107893.598717217</v>
      </c>
      <c r="QA95" s="20" t="n">
        <f aca="false">IF(AND(HU95=0,AH95=1,PZ95&gt;0),MIN(PZ95,AI95),0)</f>
        <v>0</v>
      </c>
      <c r="QB95" s="20" t="n">
        <f aca="false">PZ95-QA95</f>
        <v>107893.598717217</v>
      </c>
      <c r="QC95" s="20" t="n">
        <f aca="false">IF(AND(HU95=0,W95=1,QB95&gt;0),MIN(QB95,X95),0)</f>
        <v>0</v>
      </c>
      <c r="QD95" s="20" t="n">
        <f aca="false">QB95-QC95</f>
        <v>107893.598717217</v>
      </c>
      <c r="QE95" s="20" t="n">
        <f aca="false">IF(HU95=0,QD95,0)</f>
        <v>107893.598717217</v>
      </c>
      <c r="QF95" s="20" t="n">
        <f aca="false">OM95+OO95+QC95+QA95+PY95+PW95+PU95+PS95+PQ95+PO95+PM95+PK95+PI95+PG95+PE95+PC95+PA95+OY95+OW95+OU95+OS95+OQ95</f>
        <v>0</v>
      </c>
      <c r="QG95" s="20" t="n">
        <f aca="false">IF(HU95=1,HK95+OJ95+OI95+IF(G95=1,0,OK95),HK95-OM95)</f>
        <v>0</v>
      </c>
      <c r="QH95" s="20" t="n">
        <f aca="false">HL95-OO95</f>
        <v>0</v>
      </c>
      <c r="QI95" s="20" t="n">
        <f aca="false">IF(HU95=1,IF(G95=1,ID95+IE95,HS95),0)</f>
        <v>0</v>
      </c>
      <c r="QJ95" s="20" t="n">
        <f aca="false">IF(HU95=1,IF(G95=1,HS95-ID95-IE95,0),0)</f>
        <v>0</v>
      </c>
      <c r="QK95" s="20" t="n">
        <f aca="false">QG95*(1+GR)</f>
        <v>0</v>
      </c>
      <c r="QL95" s="20" t="n">
        <f aca="false">QH95*(1+AS_Cash)</f>
        <v>0</v>
      </c>
      <c r="QM95" s="20" t="n">
        <f aca="false">IF(W95=1,IF(HU95=1,II95+IL95,X95-QC95)*(1+Slot1_Rate),0)</f>
        <v>0</v>
      </c>
      <c r="QN95" s="20" t="n">
        <f aca="false">IF(AND(HU95=1,W95=1),(IH95+IL95)/F95,0)</f>
        <v>0</v>
      </c>
      <c r="QO95" s="20" t="n">
        <f aca="false">IF(B95=0,IH95+IL95,0)</f>
        <v>0</v>
      </c>
      <c r="QP95" s="20" t="n">
        <f aca="false">IF(B95=0,IF(HU95=1,IJ95,IK95),0)</f>
        <v>0</v>
      </c>
      <c r="QQ95" s="20" t="n">
        <f aca="false">IF(AH95=1,IF(HU95=1,IQ95+IT95,AI95-QA95)*(1+Slot2_Rate),0)</f>
        <v>0</v>
      </c>
      <c r="QR95" s="20" t="n">
        <f aca="false">IF(AND(HU95=1,AH95=1),(IP95+IT95)/F95,0)</f>
        <v>0</v>
      </c>
      <c r="QS95" s="20" t="n">
        <f aca="false">IF(B95=0,IP95+IT95,0)</f>
        <v>0</v>
      </c>
      <c r="QT95" s="20" t="n">
        <f aca="false">IF(B95=0,IF(HU95=1,IR95,IS95),0)</f>
        <v>0</v>
      </c>
      <c r="QU95" s="20" t="n">
        <f aca="false">IF(AR95=1,IF(HU95=1,IY95+JB95,AS95-PY95)*(1+Slot3_Rate),0)</f>
        <v>0</v>
      </c>
      <c r="QV95" s="20" t="n">
        <f aca="false">IF(AND(HU95=1,AR95=1),(IX95+JB95)/F95,0)</f>
        <v>0</v>
      </c>
      <c r="QW95" s="20" t="n">
        <f aca="false">IF(B95=0,IX95+JB95,0)</f>
        <v>0</v>
      </c>
      <c r="QX95" s="20" t="n">
        <f aca="false">IF(B95=0,IF(HU95=1,IZ95,JA95),0)</f>
        <v>0</v>
      </c>
      <c r="QY95" s="20" t="n">
        <f aca="false">IF(BB95=1,IF(HU95=1,JG95+JJ95,BC95-PW95)*(1+Slot4_Rate),0)</f>
        <v>0</v>
      </c>
      <c r="QZ95" s="20" t="n">
        <f aca="false">IF(AND(HU95=1,BB95=1),(JF95+JJ95)/F95,0)</f>
        <v>0</v>
      </c>
      <c r="RA95" s="20" t="n">
        <f aca="false">IF(B95=0,JF95+JJ95,0)</f>
        <v>0</v>
      </c>
      <c r="RB95" s="20" t="n">
        <f aca="false">IF(B95=0,IF(HU95=1,JH95,JI95),0)</f>
        <v>0</v>
      </c>
      <c r="RC95" s="20" t="n">
        <f aca="false">IF(BL95=1,IF(HU95=1,JO95+JR95,BM95-PU95)*(1+Slot5_Rate),0)</f>
        <v>0</v>
      </c>
      <c r="RD95" s="20" t="n">
        <f aca="false">IF(AND(HU95=1,BL95=1),(JN95+JR95)/F95,0)</f>
        <v>0</v>
      </c>
      <c r="RE95" s="20" t="n">
        <f aca="false">IF(B95=0,JN95+JR95,0)</f>
        <v>0</v>
      </c>
      <c r="RF95" s="20" t="n">
        <f aca="false">IF(B95=0,IF(HU95=1,JP95,JQ95),0)</f>
        <v>0</v>
      </c>
      <c r="RG95" s="20" t="n">
        <f aca="false">IF(BV95=1,IF(HU95=1,JW95+JZ95,BW95-PS95)*(1+Slot6_Rate),0)</f>
        <v>0</v>
      </c>
      <c r="RH95" s="20" t="n">
        <f aca="false">IF(AND(HU95=1,BV95=1),(JV95+JZ95)/F95,0)</f>
        <v>0</v>
      </c>
      <c r="RI95" s="20" t="n">
        <f aca="false">IF(B95=0,JV95+JZ95,0)</f>
        <v>0</v>
      </c>
      <c r="RJ95" s="20" t="n">
        <f aca="false">IF(B95=0,IF(HU95=1,JX95,JY95),0)</f>
        <v>0</v>
      </c>
      <c r="RK95" s="20" t="n">
        <f aca="false">IF(CF95=1,IF(HU95=1,KE95+KH95,CG95-PQ95)*(1+Slot7_Rate),0)</f>
        <v>0</v>
      </c>
      <c r="RL95" s="20" t="n">
        <f aca="false">IF(AND(HU95=1,CF95=1),(KD95+KH95)/F95,0)</f>
        <v>0</v>
      </c>
      <c r="RM95" s="20" t="n">
        <f aca="false">IF(B95=0,KD95+KH95,0)</f>
        <v>0</v>
      </c>
      <c r="RN95" s="20" t="n">
        <f aca="false">IF(B95=0,IF(HU95=1,KF95,KG95),0)</f>
        <v>0</v>
      </c>
      <c r="RO95" s="20" t="n">
        <f aca="false">IF(CP95=1,IF(HU95=1,KM95+KP95,CQ95-PO95)*(1+Slot8_Rate),0)</f>
        <v>0</v>
      </c>
      <c r="RP95" s="20" t="n">
        <f aca="false">IF(AND(HU95=1,CP95=1),(KL95+KP95)/F95,0)</f>
        <v>0</v>
      </c>
      <c r="RQ95" s="20" t="n">
        <f aca="false">IF(B95=0,KL95+KP95,0)</f>
        <v>0</v>
      </c>
      <c r="RR95" s="20" t="n">
        <f aca="false">IF(B95=0,IF(HU95=1,KN95,KO95),0)</f>
        <v>0</v>
      </c>
      <c r="RS95" s="20" t="n">
        <f aca="false">IF(CZ95=1,IF(HU95=1,KU95+KX95,DA95-PM95)*(1+Slot9_Rate),0)</f>
        <v>0</v>
      </c>
      <c r="RT95" s="20" t="n">
        <f aca="false">IF(AND(HU95=1,CZ95=1),(KT95+KX95)/F95,0)</f>
        <v>0</v>
      </c>
      <c r="RU95" s="20" t="n">
        <f aca="false">IF(B95=0,KT95+KX95,0)</f>
        <v>0</v>
      </c>
      <c r="RV95" s="20" t="n">
        <f aca="false">IF(B95=0,IF(HU95=1,KV95,KW95),0)</f>
        <v>0</v>
      </c>
      <c r="RW95" s="20" t="n">
        <f aca="false">IF(DJ95=1,IF(HU95=1,LC95+LF95,DK95-PK95)*(1+Slot10_Rate),0)</f>
        <v>0</v>
      </c>
      <c r="RX95" s="20" t="n">
        <f aca="false">IF(AND(HU95=1,DJ95=1),(LB95+LF95)/F95,0)</f>
        <v>0</v>
      </c>
      <c r="RY95" s="20" t="n">
        <f aca="false">IF(B95=0,LB95+LF95,0)</f>
        <v>0</v>
      </c>
      <c r="RZ95" s="20" t="n">
        <f aca="false">IF(B95=0,IF(HU95=1,LD95,LE95),0)</f>
        <v>0</v>
      </c>
      <c r="SA95" s="20" t="n">
        <f aca="false">IF(DT95=1,IF(HU95=1,LK95+LN95,DU95-PI95)*(1+Slot11_Rate),0)</f>
        <v>0</v>
      </c>
      <c r="SB95" s="20" t="n">
        <f aca="false">IF(AND(HU95=1,DT95=1),(LJ95+LN95)/F95,0)</f>
        <v>0</v>
      </c>
      <c r="SC95" s="20" t="n">
        <f aca="false">IF(B95=0,LJ95+LN95,0)</f>
        <v>0</v>
      </c>
      <c r="SD95" s="20" t="n">
        <f aca="false">IF(B95=0,IF(HU95=1,LL95,LM95),0)</f>
        <v>0</v>
      </c>
      <c r="SE95" s="20" t="n">
        <f aca="false">IF(ED95=1,IF(HU95=1,LS95+LV95,EE95-PG95)*(1+Slot12_Rate),0)</f>
        <v>0</v>
      </c>
      <c r="SF95" s="20" t="n">
        <f aca="false">IF(AND(HU95=1,ED95=1),(LR95+LV95)/F95,0)</f>
        <v>0</v>
      </c>
      <c r="SG95" s="20" t="n">
        <f aca="false">IF(B95=0,LR95+LV95,0)</f>
        <v>0</v>
      </c>
      <c r="SH95" s="20" t="n">
        <f aca="false">IF(B95=0,IF(HU95=1,LT95,LU95),0)</f>
        <v>0</v>
      </c>
      <c r="SI95" s="20" t="n">
        <f aca="false">IF(EN95=1,IF(HU95=1,MA95+MD95,EO95-PE95)*(1+Slot13_Rate),0)</f>
        <v>0</v>
      </c>
      <c r="SJ95" s="20" t="n">
        <f aca="false">IF(AND(HU95=1,EN95=1),(LZ95+MD95)/F95,0)</f>
        <v>0</v>
      </c>
      <c r="SK95" s="20" t="n">
        <f aca="false">IF(B95=0,LZ95+MD95,0)</f>
        <v>0</v>
      </c>
      <c r="SL95" s="20" t="n">
        <f aca="false">IF(B95=0,IF(HU95=1,MB95,MC95),0)</f>
        <v>0</v>
      </c>
      <c r="SM95" s="20" t="n">
        <f aca="false">IF(EX95=1,IF(HU95=1,MI95+ML95,EY95-PC95)*(1+Slot14_Rate),0)</f>
        <v>0</v>
      </c>
      <c r="SN95" s="20" t="n">
        <f aca="false">IF(AND(HU95=1,EX95=1),(MH95+ML95)/F95,0)</f>
        <v>0</v>
      </c>
      <c r="SO95" s="20" t="n">
        <f aca="false">IF(B95=0,MH95+ML95,0)</f>
        <v>0</v>
      </c>
      <c r="SP95" s="20" t="n">
        <f aca="false">IF(B95=0,IF(HU95=1,MJ95,MK95),0)</f>
        <v>0</v>
      </c>
      <c r="SQ95" s="20" t="n">
        <f aca="false">IF(FH95=1,IF(HU95=1,MQ95+MT95,FI95-PA95)*(1+Slot15_Rate),0)</f>
        <v>0</v>
      </c>
      <c r="SR95" s="20" t="n">
        <f aca="false">IF(AND(HU95=1,FH95=1),(MP95+MT95)/F95,0)</f>
        <v>0</v>
      </c>
      <c r="SS95" s="20" t="n">
        <f aca="false">IF(B95=0,MP95+MT95,0)</f>
        <v>0</v>
      </c>
      <c r="ST95" s="20" t="n">
        <f aca="false">IF(B95=0,IF(HU95=1,MR95,MS95),0)</f>
        <v>0</v>
      </c>
      <c r="SU95" s="20" t="n">
        <f aca="false">IF(FR95=1,IF(HU95=1,MY95+NB95,FS95-OY95)*(1+Slot16_Rate),0)</f>
        <v>0</v>
      </c>
      <c r="SV95" s="20" t="n">
        <f aca="false">IF(AND(HU95=1,FR95=1),(MX95+NB95)/F95,0)</f>
        <v>0</v>
      </c>
      <c r="SW95" s="20" t="n">
        <f aca="false">IF(B95=0,MX95+NB95,0)</f>
        <v>0</v>
      </c>
      <c r="SX95" s="20" t="n">
        <f aca="false">IF(B95=0,IF(HU95=1,MZ95,NA95),0)</f>
        <v>0</v>
      </c>
      <c r="SY95" s="20" t="n">
        <f aca="false">IF(GB95=1,IF(HU95=1,NG95+NJ95,GC95-OW95)*(1+Slot17_Rate),0)</f>
        <v>0</v>
      </c>
      <c r="SZ95" s="20" t="n">
        <f aca="false">IF(AND(HU95=1,GB95=1),(NF95+NJ95)/F95,0)</f>
        <v>0</v>
      </c>
      <c r="TA95" s="20" t="n">
        <f aca="false">IF(B95=0,NF95+NJ95,0)</f>
        <v>0</v>
      </c>
      <c r="TB95" s="20" t="n">
        <f aca="false">IF(B95=0,IF(HU95=1,NH95,NI95),0)</f>
        <v>0</v>
      </c>
      <c r="TC95" s="20" t="n">
        <f aca="false">IF(GL95=1,IF(HU95=1,NO95+NR95,GM95-OU95)*(1+Slot18_Rate),0)</f>
        <v>0</v>
      </c>
      <c r="TD95" s="20" t="n">
        <f aca="false">IF(AND(HU95=1,GL95=1),(NN95+NR95)/F95,0)</f>
        <v>0</v>
      </c>
      <c r="TE95" s="20" t="n">
        <f aca="false">IF(B95=0,NN95+NR95,0)</f>
        <v>0</v>
      </c>
      <c r="TF95" s="20" t="n">
        <f aca="false">IF(B95=0,IF(HU95=1,NP95,NQ95),0)</f>
        <v>0</v>
      </c>
      <c r="TG95" s="20" t="n">
        <f aca="false">IF(GV95=1,IF(HU95=1,NW95+NZ95,GW95-OS95)*(1+Slot19_Rate),0)</f>
        <v>0</v>
      </c>
      <c r="TH95" s="20" t="n">
        <f aca="false">IF(AND(HU95=1,GV95=1),(NV95+NZ95)/F95,0)</f>
        <v>0</v>
      </c>
      <c r="TI95" s="20" t="n">
        <f aca="false">IF(B95=0,NV95+NZ95,0)</f>
        <v>0</v>
      </c>
      <c r="TJ95" s="20" t="n">
        <f aca="false">IF(B95=0,IF(HU95=1,NX95,NY95),0)</f>
        <v>0</v>
      </c>
      <c r="TK95" s="20" t="n">
        <f aca="false">IF(HF95=1,IF(HU95=1,OE95+OH95,HG95-OQ95)*(1+Slot20_Rate),0)</f>
        <v>0</v>
      </c>
      <c r="TL95" s="20" t="n">
        <f aca="false">IF(AND(HU95=1,HF95=1),(OD95+OH95)/F95,0)</f>
        <v>0</v>
      </c>
      <c r="TM95" s="20" t="n">
        <f aca="false">IF(B95=0,OD95+OH95,0)</f>
        <v>0</v>
      </c>
      <c r="TN95" s="20" t="n">
        <f aca="false">IF(B95=0,IF(HU95=1,OF95,OG95),0)</f>
        <v>0</v>
      </c>
      <c r="TO95" s="20" t="n">
        <f aca="false">QK95+QL95+QM95+QQ95+QU95+QY95+RC95+RG95+RK95+RO95+RS95+RW95+SA95+SE95+SI95+SM95+SQ95+SU95+SY95+TC95+TG95+TK95</f>
        <v>0</v>
      </c>
      <c r="TP95" s="20" t="n">
        <f aca="false">QE95+HP95</f>
        <v>107893.598717217</v>
      </c>
      <c r="TQ95" s="20" t="n">
        <f aca="false">I95+S95</f>
        <v>267696.590524573</v>
      </c>
      <c r="TR95" s="20" t="n">
        <f aca="false">1-G95</f>
        <v>1</v>
      </c>
      <c r="TS95" s="20" t="n">
        <f aca="false">IF(AND(RG_Exists=1,G95=0,C95=1),I95,0)</f>
        <v>0</v>
      </c>
      <c r="TT95" s="20" t="n">
        <f aca="false">IF(AND(RG_Exists=1,G95=0,C95=1),I95-MIN(QE95,I95),0)</f>
        <v>0</v>
      </c>
      <c r="TU95" s="20" t="n">
        <f aca="false">'Plan pay &amp; tax'!AD321</f>
        <v>0</v>
      </c>
      <c r="TV95" s="20" t="n">
        <f aca="false">IF(AND(C95=1,QE95&gt;MAX(PR_Short1,TQ95*PR_Short2)),1,0)</f>
        <v>0</v>
      </c>
      <c r="TW95" s="20" t="n">
        <f aca="false">MIN(H95,I95+S95)</f>
        <v>159802.991807356</v>
      </c>
      <c r="TX95" s="20" t="n">
        <f aca="false">QF95+MAX(0,HQ95-HP95)</f>
        <v>0</v>
      </c>
      <c r="TY95" s="20" t="n">
        <f aca="false">QE95+HP95</f>
        <v>107893.598717217</v>
      </c>
      <c r="TZ95" s="20" t="n">
        <f aca="false">IF(AND(C95=1,TY95&gt;PR_MinShort),1,0)</f>
        <v>0</v>
      </c>
      <c r="UA95" s="20" t="n">
        <f aca="false">IF(AND(C95=1,TZ95=0,TX95&gt;PR_MinShort),1,0)</f>
        <v>0</v>
      </c>
      <c r="UB95" s="20" t="n">
        <f aca="false">IF(AND(C95=1,QE95&gt;PR_MinShort),1,0)</f>
        <v>0</v>
      </c>
      <c r="UC95" s="20" t="n">
        <f aca="false">IF(AND(C95=1,QF95&gt;1,UJ95=0),1,0)</f>
        <v>0</v>
      </c>
      <c r="UD95" s="20" t="str">
        <f aca="false">IF(C95=0,"",IF(UJ95=1,"Gap to plan for: short "&amp;"€"&amp;TEXT(ROUND(TP95,0),"#,##0"),IF(QF95&gt;1,"Using savings","Comfortable")))</f>
        <v/>
      </c>
      <c r="UE95" s="20" t="n">
        <f aca="false">IF(AND(INT(D95/10)*10=90,B95&gt;0),80,INT(D95/10)*10)</f>
        <v>120</v>
      </c>
      <c r="UF95" s="20" t="n">
        <f aca="false">IF(B95=0,1,IF(UE95&lt;&gt;UE94,UF94+1,UF94))</f>
        <v>9</v>
      </c>
      <c r="UG95" s="20" t="n">
        <f aca="false">IF(AND(C95=1,G95=1,QE95&gt;MAX(PR_Short1,TQ95*PR_Short2)),1,0)</f>
        <v>0</v>
      </c>
      <c r="UH95" s="20" t="n">
        <f aca="false">TR95*TV95</f>
        <v>0</v>
      </c>
      <c r="UI95" s="20" t="n">
        <f aca="false">IF(AND(V95=1,Slot1_PctLow=1),1,0)+IF(AND(AG95=1,Slot2_PctLow=1),1,0)+IF(AND(AQ95=1,Slot3_PctLow=1),1,0)+IF(AND(BA95=1,Slot4_PctLow=1),1,0)+IF(AND(BK95=1,Slot5_PctLow=1),1,0)+IF(AND(BU95=1,Slot6_PctLow=1),1,0)+IF(AND(CE95=1,Slot7_PctLow=1),1,0)+IF(AND(CO95=1,Slot8_PctLow=1),1,0)+IF(AND(CY95=1,Slot9_PctLow=1),1,0)+IF(AND(DI95=1,Slot10_PctLow=1),1,0)+IF(AND(DS95=1,Slot11_PctLow=1),1,0)+IF(AND(EC95=1,Slot12_PctLow=1),1,0)+IF(AND(EM95=1,Slot13_PctLow=1),1,0)+IF(AND(EW95=1,Slot14_PctLow=1),1,0)+IF(AND(FG95=1,Slot15_PctLow=1),1,0)+IF(AND(FQ95=1,Slot16_PctLow=1),1,0)+IF(AND(GA95=1,Slot17_PctLow=1),1,0)+IF(AND(GK95=1,Slot18_PctLow=1),1,0)+IF(AND(GU95=1,Slot19_PctLow=1),1,0)+IF(AND(HE95=1,Slot20_PctLow=1),1,0)</f>
        <v>0</v>
      </c>
      <c r="UJ95" s="20" t="n">
        <f aca="false">IF(C95=1,IF(OR(TV95=1,UI95&gt;0),1,0),0)</f>
        <v>0</v>
      </c>
    </row>
    <row r="96" customFormat="false" ht="15" hidden="false" customHeight="true" outlineLevel="0" collapsed="false">
      <c r="B96" s="20" t="n">
        <v>88</v>
      </c>
      <c r="C96" s="20" t="n">
        <f aca="false">IF(B96&lt;=F_N,1,0)</f>
        <v>0</v>
      </c>
      <c r="D96" s="20" t="n">
        <f aca="false">'Plan pay &amp; tax'!C322</f>
        <v>126</v>
      </c>
      <c r="E96" s="20" t="str">
        <f aca="false">IF($C96=1,"Income tax "&amp;TEXT(N('Plan pay &amp; tax'!BK322),"#,##0")&amp;"; USC "&amp;TEXT(N('Plan pay &amp; tax'!BM322)+N('Plan pay &amp; tax'!BO322),"#,##0")&amp;"; PRSI "&amp;TEXT(N('Plan pay &amp; tax'!BP322)+N('Plan pay &amp; tax'!BQ322),"#,##0")&amp;". DIRT and exit tax are inside the growth rates here.","")</f>
        <v/>
      </c>
      <c r="F96" s="44" t="n">
        <f aca="false">'Plan pay &amp; tax'!E322</f>
        <v>5.71235402374611</v>
      </c>
      <c r="G96" s="20" t="n">
        <f aca="false">'Plan pay &amp; tax'!G322</f>
        <v>0</v>
      </c>
      <c r="H96" s="20" t="n">
        <f aca="false">'Plan pay &amp; tax'!BT322-'Plan pay &amp; tax'!BS322-'Plan pay &amp; tax'!R322</f>
        <v>162999.051643503</v>
      </c>
      <c r="I96" s="20" t="n">
        <f aca="false">IF(G96=1,F_CostsM*12,IF(RG_Exists=1,RG_Amount,F_CostsM*12*AS_RetireSpend))*F96+F_OneOffY*F96</f>
        <v>273050.522335064</v>
      </c>
      <c r="J96" s="20" t="n">
        <f aca="false">HR95</f>
        <v>0</v>
      </c>
      <c r="K96" s="20" t="n">
        <f aca="false">IF(J96&gt;1,'Plan debt months'!AC96,0)</f>
        <v>0</v>
      </c>
      <c r="L96" s="20" t="n">
        <f aca="false">IF(J96&gt;1,'Plan debt months'!AB96,J96)</f>
        <v>0</v>
      </c>
      <c r="M96" s="20" t="n">
        <f aca="false">O95</f>
        <v>0</v>
      </c>
      <c r="N96" s="20" t="n">
        <f aca="false">IF(M96&gt;1,'Plan debt months'!BD96,0)</f>
        <v>0</v>
      </c>
      <c r="O96" s="20" t="n">
        <f aca="false">IF(M96&gt;1,'Plan debt months'!BC96,M96)</f>
        <v>0</v>
      </c>
      <c r="P96" s="20" t="n">
        <f aca="false">R95</f>
        <v>0</v>
      </c>
      <c r="Q96" s="20" t="n">
        <f aca="false">IF(P96&gt;1,'Plan debt months'!CE96,0)</f>
        <v>0</v>
      </c>
      <c r="R96" s="20" t="n">
        <f aca="false">IF(P96&gt;1,'Plan debt months'!CD96,P96)</f>
        <v>0</v>
      </c>
      <c r="S96" s="20" t="n">
        <f aca="false">K96+N96+Q96</f>
        <v>0</v>
      </c>
      <c r="T96" s="20" t="n">
        <f aca="false">QK95+'Plan pay &amp; tax'!Y322</f>
        <v>0</v>
      </c>
      <c r="U96" s="20" t="n">
        <f aca="false">QK95</f>
        <v>0</v>
      </c>
      <c r="V96" s="20" t="n">
        <f aca="false">IF(AND(Slot1_On=1,D96=Slot1_Age),1,0)</f>
        <v>0</v>
      </c>
      <c r="W96" s="20" t="n">
        <f aca="false">IF(AND(Slot1_On=1,Slot1_Age&gt;D96),1,0)</f>
        <v>0</v>
      </c>
      <c r="X96" s="20" t="n">
        <f aca="false">QM95</f>
        <v>0</v>
      </c>
      <c r="Y96" s="20" t="n">
        <f aca="false">V96*MIN(Slot1_Cost,X96)</f>
        <v>0</v>
      </c>
      <c r="Z96" s="20" t="n">
        <f aca="false">V96*Slot1_SpendLike*MIN(Slot1_Cost-Y96,T96)</f>
        <v>0</v>
      </c>
      <c r="AA96" s="20" t="n">
        <f aca="false">Y96+Z96</f>
        <v>0</v>
      </c>
      <c r="AB96" s="20" t="n">
        <f aca="false">T96-Z96+V96*IF(Slot1_SpendLike=1,X96-Y96,IF(Slot1_PotFree=1,X96,0))</f>
        <v>0</v>
      </c>
      <c r="AC96" s="20" t="n">
        <f aca="false">AF96+V96*Slot1_BufPot*X96</f>
        <v>0</v>
      </c>
      <c r="AD96" s="20" t="n">
        <f aca="false">IF(AND(V96=1,Slot1_IsMfree=1),IF(AA96&gt;=Slot1_Cost-1,0,MAX(0,L96-AA96)),L96)</f>
        <v>0</v>
      </c>
      <c r="AE96" s="20" t="n">
        <f aca="false">V96*(Slot1_Cost-AA96)</f>
        <v>0</v>
      </c>
      <c r="AF96" s="20" t="n">
        <f aca="false">QL95</f>
        <v>0</v>
      </c>
      <c r="AG96" s="20" t="n">
        <f aca="false">IF(AND(Slot2_On=1,D96=Slot2_Age),1,0)</f>
        <v>0</v>
      </c>
      <c r="AH96" s="20" t="n">
        <f aca="false">IF(AND(Slot2_On=1,Slot2_Age&gt;D96),1,0)</f>
        <v>0</v>
      </c>
      <c r="AI96" s="20" t="n">
        <f aca="false">QQ95</f>
        <v>0</v>
      </c>
      <c r="AJ96" s="20" t="n">
        <f aca="false">AG96*MIN(Slot2_Cost,AI96)</f>
        <v>0</v>
      </c>
      <c r="AK96" s="20" t="n">
        <f aca="false">AG96*Slot2_SpendLike*MIN(Slot2_Cost-AJ96,AB96)</f>
        <v>0</v>
      </c>
      <c r="AL96" s="20" t="n">
        <f aca="false">AJ96+AK96</f>
        <v>0</v>
      </c>
      <c r="AM96" s="20" t="n">
        <f aca="false">AB96-AK96+AG96*IF(Slot2_SpendLike=1,AI96-AJ96,IF(Slot2_PotFree=1,AI96,0))</f>
        <v>0</v>
      </c>
      <c r="AN96" s="20" t="n">
        <f aca="false">AC96+AG96*Slot2_BufPot*AI96</f>
        <v>0</v>
      </c>
      <c r="AO96" s="20" t="n">
        <f aca="false">IF(AND(AG96=1,Slot2_IsMfree=1),IF(AL96&gt;=Slot2_Cost-1,0,MAX(0,AD96-AL96)),AD96)</f>
        <v>0</v>
      </c>
      <c r="AP96" s="20" t="n">
        <f aca="false">AG96*(Slot2_Cost-AL96)</f>
        <v>0</v>
      </c>
      <c r="AQ96" s="20" t="n">
        <f aca="false">IF(AND(Slot3_On=1,D96=Slot3_Age),1,0)</f>
        <v>0</v>
      </c>
      <c r="AR96" s="20" t="n">
        <f aca="false">IF(AND(Slot3_On=1,Slot3_Age&gt;D96),1,0)</f>
        <v>0</v>
      </c>
      <c r="AS96" s="20" t="n">
        <f aca="false">QU95</f>
        <v>0</v>
      </c>
      <c r="AT96" s="20" t="n">
        <f aca="false">AQ96*MIN(Slot3_Cost,AS96)</f>
        <v>0</v>
      </c>
      <c r="AU96" s="20" t="n">
        <f aca="false">AQ96*Slot3_SpendLike*MIN(Slot3_Cost-AT96,AM96)</f>
        <v>0</v>
      </c>
      <c r="AV96" s="20" t="n">
        <f aca="false">AT96+AU96</f>
        <v>0</v>
      </c>
      <c r="AW96" s="20" t="n">
        <f aca="false">AM96-AU96+AQ96*IF(Slot3_SpendLike=1,AS96-AT96,IF(Slot3_PotFree=1,AS96,0))</f>
        <v>0</v>
      </c>
      <c r="AX96" s="20" t="n">
        <f aca="false">AN96+AQ96*Slot3_BufPot*AS96</f>
        <v>0</v>
      </c>
      <c r="AY96" s="20" t="n">
        <f aca="false">IF(AND(AQ96=1,Slot3_IsMfree=1),IF(AV96&gt;=Slot3_Cost-1,0,MAX(0,AO96-AV96)),AO96)</f>
        <v>0</v>
      </c>
      <c r="AZ96" s="20" t="n">
        <f aca="false">AQ96*(Slot3_Cost-AV96)</f>
        <v>0</v>
      </c>
      <c r="BA96" s="20" t="n">
        <f aca="false">IF(AND(Slot4_On=1,D96=Slot4_Age),1,0)</f>
        <v>0</v>
      </c>
      <c r="BB96" s="20" t="n">
        <f aca="false">IF(AND(Slot4_On=1,Slot4_Age&gt;D96),1,0)</f>
        <v>0</v>
      </c>
      <c r="BC96" s="20" t="n">
        <f aca="false">QY95</f>
        <v>0</v>
      </c>
      <c r="BD96" s="20" t="n">
        <f aca="false">BA96*MIN(Slot4_Cost,BC96)</f>
        <v>0</v>
      </c>
      <c r="BE96" s="20" t="n">
        <f aca="false">BA96*Slot4_SpendLike*MIN(Slot4_Cost-BD96,AW96)</f>
        <v>0</v>
      </c>
      <c r="BF96" s="20" t="n">
        <f aca="false">BD96+BE96</f>
        <v>0</v>
      </c>
      <c r="BG96" s="20" t="n">
        <f aca="false">AW96-BE96+BA96*IF(Slot4_SpendLike=1,BC96-BD96,IF(Slot4_PotFree=1,BC96,0))</f>
        <v>0</v>
      </c>
      <c r="BH96" s="20" t="n">
        <f aca="false">AX96+BA96*Slot4_BufPot*BC96</f>
        <v>0</v>
      </c>
      <c r="BI96" s="20" t="n">
        <f aca="false">IF(AND(BA96=1,Slot4_IsMfree=1),IF(BF96&gt;=Slot4_Cost-1,0,MAX(0,AY96-BF96)),AY96)</f>
        <v>0</v>
      </c>
      <c r="BJ96" s="20" t="n">
        <f aca="false">BA96*(Slot4_Cost-BF96)</f>
        <v>0</v>
      </c>
      <c r="BK96" s="20" t="n">
        <f aca="false">IF(AND(Slot5_On=1,D96=Slot5_Age),1,0)</f>
        <v>0</v>
      </c>
      <c r="BL96" s="20" t="n">
        <f aca="false">IF(AND(Slot5_On=1,Slot5_Age&gt;D96),1,0)</f>
        <v>0</v>
      </c>
      <c r="BM96" s="20" t="n">
        <f aca="false">RC95</f>
        <v>0</v>
      </c>
      <c r="BN96" s="20" t="n">
        <f aca="false">BK96*MIN(Slot5_Cost,BM96)</f>
        <v>0</v>
      </c>
      <c r="BO96" s="20" t="n">
        <f aca="false">BK96*Slot5_SpendLike*MIN(Slot5_Cost-BN96,BG96)</f>
        <v>0</v>
      </c>
      <c r="BP96" s="20" t="n">
        <f aca="false">BN96+BO96</f>
        <v>0</v>
      </c>
      <c r="BQ96" s="20" t="n">
        <f aca="false">BG96-BO96+BK96*IF(Slot5_SpendLike=1,BM96-BN96,IF(Slot5_PotFree=1,BM96,0))</f>
        <v>0</v>
      </c>
      <c r="BR96" s="20" t="n">
        <f aca="false">BH96+BK96*Slot5_BufPot*BM96</f>
        <v>0</v>
      </c>
      <c r="BS96" s="20" t="n">
        <f aca="false">IF(AND(BK96=1,Slot5_IsMfree=1),IF(BP96&gt;=Slot5_Cost-1,0,MAX(0,BI96-BP96)),BI96)</f>
        <v>0</v>
      </c>
      <c r="BT96" s="20" t="n">
        <f aca="false">BK96*(Slot5_Cost-BP96)</f>
        <v>0</v>
      </c>
      <c r="BU96" s="20" t="n">
        <f aca="false">IF(AND(Slot6_On=1,D96=Slot6_Age),1,0)</f>
        <v>0</v>
      </c>
      <c r="BV96" s="20" t="n">
        <f aca="false">IF(AND(Slot6_On=1,Slot6_Age&gt;D96),1,0)</f>
        <v>0</v>
      </c>
      <c r="BW96" s="20" t="n">
        <f aca="false">RG95</f>
        <v>0</v>
      </c>
      <c r="BX96" s="20" t="n">
        <f aca="false">BU96*MIN(Slot6_Cost,BW96)</f>
        <v>0</v>
      </c>
      <c r="BY96" s="20" t="n">
        <f aca="false">BU96*Slot6_SpendLike*MIN(Slot6_Cost-BX96,BQ96)</f>
        <v>0</v>
      </c>
      <c r="BZ96" s="20" t="n">
        <f aca="false">BX96+BY96</f>
        <v>0</v>
      </c>
      <c r="CA96" s="20" t="n">
        <f aca="false">BQ96-BY96+BU96*IF(Slot6_SpendLike=1,BW96-BX96,IF(Slot6_PotFree=1,BW96,0))</f>
        <v>0</v>
      </c>
      <c r="CB96" s="20" t="n">
        <f aca="false">BR96+BU96*Slot6_BufPot*BW96</f>
        <v>0</v>
      </c>
      <c r="CC96" s="20" t="n">
        <f aca="false">IF(AND(BU96=1,Slot6_IsMfree=1),IF(BZ96&gt;=Slot6_Cost-1,0,MAX(0,BS96-BZ96)),BS96)</f>
        <v>0</v>
      </c>
      <c r="CD96" s="20" t="n">
        <f aca="false">BU96*(Slot6_Cost-BZ96)</f>
        <v>0</v>
      </c>
      <c r="CE96" s="20" t="n">
        <f aca="false">IF(AND(Slot7_On=1,D96=Slot7_Age),1,0)</f>
        <v>0</v>
      </c>
      <c r="CF96" s="20" t="n">
        <f aca="false">IF(AND(Slot7_On=1,Slot7_Age&gt;D96),1,0)</f>
        <v>0</v>
      </c>
      <c r="CG96" s="20" t="n">
        <f aca="false">RK95</f>
        <v>0</v>
      </c>
      <c r="CH96" s="20" t="n">
        <f aca="false">CE96*MIN(Slot7_Cost,CG96)</f>
        <v>0</v>
      </c>
      <c r="CI96" s="20" t="n">
        <f aca="false">CE96*Slot7_SpendLike*MIN(Slot7_Cost-CH96,CA96)</f>
        <v>0</v>
      </c>
      <c r="CJ96" s="20" t="n">
        <f aca="false">CH96+CI96</f>
        <v>0</v>
      </c>
      <c r="CK96" s="20" t="n">
        <f aca="false">CA96-CI96+CE96*IF(Slot7_SpendLike=1,CG96-CH96,IF(Slot7_PotFree=1,CG96,0))</f>
        <v>0</v>
      </c>
      <c r="CL96" s="20" t="n">
        <f aca="false">CB96+CE96*Slot7_BufPot*CG96</f>
        <v>0</v>
      </c>
      <c r="CM96" s="20" t="n">
        <f aca="false">IF(AND(CE96=1,Slot7_IsMfree=1),IF(CJ96&gt;=Slot7_Cost-1,0,MAX(0,CC96-CJ96)),CC96)</f>
        <v>0</v>
      </c>
      <c r="CN96" s="20" t="n">
        <f aca="false">CE96*(Slot7_Cost-CJ96)</f>
        <v>0</v>
      </c>
      <c r="CO96" s="20" t="n">
        <f aca="false">IF(AND(Slot8_On=1,D96=Slot8_Age),1,0)</f>
        <v>0</v>
      </c>
      <c r="CP96" s="20" t="n">
        <f aca="false">IF(AND(Slot8_On=1,Slot8_Age&gt;D96),1,0)</f>
        <v>0</v>
      </c>
      <c r="CQ96" s="20" t="n">
        <f aca="false">RO95</f>
        <v>0</v>
      </c>
      <c r="CR96" s="20" t="n">
        <f aca="false">CO96*MIN(Slot8_Cost,CQ96)</f>
        <v>0</v>
      </c>
      <c r="CS96" s="20" t="n">
        <f aca="false">CO96*Slot8_SpendLike*MIN(Slot8_Cost-CR96,CK96)</f>
        <v>0</v>
      </c>
      <c r="CT96" s="20" t="n">
        <f aca="false">CR96+CS96</f>
        <v>0</v>
      </c>
      <c r="CU96" s="20" t="n">
        <f aca="false">CK96-CS96+CO96*IF(Slot8_SpendLike=1,CQ96-CR96,IF(Slot8_PotFree=1,CQ96,0))</f>
        <v>0</v>
      </c>
      <c r="CV96" s="20" t="n">
        <f aca="false">CL96+CO96*Slot8_BufPot*CQ96</f>
        <v>0</v>
      </c>
      <c r="CW96" s="20" t="n">
        <f aca="false">IF(AND(CO96=1,Slot8_IsMfree=1),IF(CT96&gt;=Slot8_Cost-1,0,MAX(0,CM96-CT96)),CM96)</f>
        <v>0</v>
      </c>
      <c r="CX96" s="20" t="n">
        <f aca="false">CO96*(Slot8_Cost-CT96)</f>
        <v>0</v>
      </c>
      <c r="CY96" s="20" t="n">
        <f aca="false">IF(AND(Slot9_On=1,D96=Slot9_Age),1,0)</f>
        <v>0</v>
      </c>
      <c r="CZ96" s="20" t="n">
        <f aca="false">IF(AND(Slot9_On=1,Slot9_Age&gt;D96),1,0)</f>
        <v>0</v>
      </c>
      <c r="DA96" s="20" t="n">
        <f aca="false">RS95</f>
        <v>0</v>
      </c>
      <c r="DB96" s="20" t="n">
        <f aca="false">CY96*MIN(Slot9_Cost,DA96)</f>
        <v>0</v>
      </c>
      <c r="DC96" s="20" t="n">
        <f aca="false">CY96*Slot9_SpendLike*MIN(Slot9_Cost-DB96,CU96)</f>
        <v>0</v>
      </c>
      <c r="DD96" s="20" t="n">
        <f aca="false">DB96+DC96</f>
        <v>0</v>
      </c>
      <c r="DE96" s="20" t="n">
        <f aca="false">CU96-DC96+CY96*IF(Slot9_SpendLike=1,DA96-DB96,IF(Slot9_PotFree=1,DA96,0))</f>
        <v>0</v>
      </c>
      <c r="DF96" s="20" t="n">
        <f aca="false">CV96+CY96*Slot9_BufPot*DA96</f>
        <v>0</v>
      </c>
      <c r="DG96" s="20" t="n">
        <f aca="false">IF(AND(CY96=1,Slot9_IsMfree=1),IF(DD96&gt;=Slot9_Cost-1,0,MAX(0,CW96-DD96)),CW96)</f>
        <v>0</v>
      </c>
      <c r="DH96" s="20" t="n">
        <f aca="false">CY96*(Slot9_Cost-DD96)</f>
        <v>0</v>
      </c>
      <c r="DI96" s="20" t="n">
        <f aca="false">IF(AND(Slot10_On=1,D96=Slot10_Age),1,0)</f>
        <v>0</v>
      </c>
      <c r="DJ96" s="20" t="n">
        <f aca="false">IF(AND(Slot10_On=1,Slot10_Age&gt;D96),1,0)</f>
        <v>0</v>
      </c>
      <c r="DK96" s="20" t="n">
        <f aca="false">RW95</f>
        <v>0</v>
      </c>
      <c r="DL96" s="20" t="n">
        <f aca="false">DI96*MIN(Slot10_Cost,DK96)</f>
        <v>0</v>
      </c>
      <c r="DM96" s="20" t="n">
        <f aca="false">DI96*Slot10_SpendLike*MIN(Slot10_Cost-DL96,DE96)</f>
        <v>0</v>
      </c>
      <c r="DN96" s="20" t="n">
        <f aca="false">DL96+DM96</f>
        <v>0</v>
      </c>
      <c r="DO96" s="20" t="n">
        <f aca="false">DE96-DM96+DI96*IF(Slot10_SpendLike=1,DK96-DL96,IF(Slot10_PotFree=1,DK96,0))</f>
        <v>0</v>
      </c>
      <c r="DP96" s="20" t="n">
        <f aca="false">DF96+DI96*Slot10_BufPot*DK96</f>
        <v>0</v>
      </c>
      <c r="DQ96" s="20" t="n">
        <f aca="false">IF(AND(DI96=1,Slot10_IsMfree=1),IF(DN96&gt;=Slot10_Cost-1,0,MAX(0,DG96-DN96)),DG96)</f>
        <v>0</v>
      </c>
      <c r="DR96" s="20" t="n">
        <f aca="false">DI96*(Slot10_Cost-DN96)</f>
        <v>0</v>
      </c>
      <c r="DS96" s="20" t="n">
        <f aca="false">IF(AND(Slot11_On=1,D96=Slot11_Age),1,0)</f>
        <v>0</v>
      </c>
      <c r="DT96" s="20" t="n">
        <f aca="false">IF(AND(Slot11_On=1,Slot11_Age&gt;D96),1,0)</f>
        <v>0</v>
      </c>
      <c r="DU96" s="20" t="n">
        <f aca="false">SA95</f>
        <v>0</v>
      </c>
      <c r="DV96" s="20" t="n">
        <f aca="false">DS96*MIN(Slot11_Cost,DU96)</f>
        <v>0</v>
      </c>
      <c r="DW96" s="20" t="n">
        <f aca="false">DS96*Slot11_SpendLike*MIN(Slot11_Cost-DV96,DO96)</f>
        <v>0</v>
      </c>
      <c r="DX96" s="20" t="n">
        <f aca="false">DV96+DW96</f>
        <v>0</v>
      </c>
      <c r="DY96" s="20" t="n">
        <f aca="false">DO96-DW96+DS96*IF(Slot11_SpendLike=1,DU96-DV96,IF(Slot11_PotFree=1,DU96,0))</f>
        <v>0</v>
      </c>
      <c r="DZ96" s="20" t="n">
        <f aca="false">DP96+DS96*Slot11_BufPot*DU96</f>
        <v>0</v>
      </c>
      <c r="EA96" s="20" t="n">
        <f aca="false">IF(AND(DS96=1,Slot11_IsMfree=1),IF(DX96&gt;=Slot11_Cost-1,0,MAX(0,DQ96-DX96)),DQ96)</f>
        <v>0</v>
      </c>
      <c r="EB96" s="20" t="n">
        <f aca="false">DS96*(Slot11_Cost-DX96)</f>
        <v>0</v>
      </c>
      <c r="EC96" s="20" t="n">
        <f aca="false">IF(AND(Slot12_On=1,D96=Slot12_Age),1,0)</f>
        <v>0</v>
      </c>
      <c r="ED96" s="20" t="n">
        <f aca="false">IF(AND(Slot12_On=1,Slot12_Age&gt;D96),1,0)</f>
        <v>0</v>
      </c>
      <c r="EE96" s="20" t="n">
        <f aca="false">SE95</f>
        <v>0</v>
      </c>
      <c r="EF96" s="20" t="n">
        <f aca="false">EC96*MIN(Slot12_Cost,EE96)</f>
        <v>0</v>
      </c>
      <c r="EG96" s="20" t="n">
        <f aca="false">EC96*Slot12_SpendLike*MIN(Slot12_Cost-EF96,DY96)</f>
        <v>0</v>
      </c>
      <c r="EH96" s="20" t="n">
        <f aca="false">EF96+EG96</f>
        <v>0</v>
      </c>
      <c r="EI96" s="20" t="n">
        <f aca="false">DY96-EG96+EC96*IF(Slot12_SpendLike=1,EE96-EF96,IF(Slot12_PotFree=1,EE96,0))</f>
        <v>0</v>
      </c>
      <c r="EJ96" s="20" t="n">
        <f aca="false">DZ96+EC96*Slot12_BufPot*EE96</f>
        <v>0</v>
      </c>
      <c r="EK96" s="20" t="n">
        <f aca="false">IF(AND(EC96=1,Slot12_IsMfree=1),IF(EH96&gt;=Slot12_Cost-1,0,MAX(0,EA96-EH96)),EA96)</f>
        <v>0</v>
      </c>
      <c r="EL96" s="20" t="n">
        <f aca="false">EC96*(Slot12_Cost-EH96)</f>
        <v>0</v>
      </c>
      <c r="EM96" s="20" t="n">
        <f aca="false">IF(AND(Slot13_On=1,D96=Slot13_Age),1,0)</f>
        <v>0</v>
      </c>
      <c r="EN96" s="20" t="n">
        <f aca="false">IF(AND(Slot13_On=1,Slot13_Age&gt;D96),1,0)</f>
        <v>0</v>
      </c>
      <c r="EO96" s="20" t="n">
        <f aca="false">SI95</f>
        <v>0</v>
      </c>
      <c r="EP96" s="20" t="n">
        <f aca="false">EM96*MIN(Slot13_Cost,EO96)</f>
        <v>0</v>
      </c>
      <c r="EQ96" s="20" t="n">
        <f aca="false">EM96*Slot13_SpendLike*MIN(Slot13_Cost-EP96,EI96)</f>
        <v>0</v>
      </c>
      <c r="ER96" s="20" t="n">
        <f aca="false">EP96+EQ96</f>
        <v>0</v>
      </c>
      <c r="ES96" s="20" t="n">
        <f aca="false">EI96-EQ96+EM96*IF(Slot13_SpendLike=1,EO96-EP96,IF(Slot13_PotFree=1,EO96,0))</f>
        <v>0</v>
      </c>
      <c r="ET96" s="20" t="n">
        <f aca="false">EJ96+EM96*Slot13_BufPot*EO96</f>
        <v>0</v>
      </c>
      <c r="EU96" s="20" t="n">
        <f aca="false">IF(AND(EM96=1,Slot13_IsMfree=1),IF(ER96&gt;=Slot13_Cost-1,0,MAX(0,EK96-ER96)),EK96)</f>
        <v>0</v>
      </c>
      <c r="EV96" s="20" t="n">
        <f aca="false">EM96*(Slot13_Cost-ER96)</f>
        <v>0</v>
      </c>
      <c r="EW96" s="20" t="n">
        <f aca="false">IF(AND(Slot14_On=1,D96=Slot14_Age),1,0)</f>
        <v>0</v>
      </c>
      <c r="EX96" s="20" t="n">
        <f aca="false">IF(AND(Slot14_On=1,Slot14_Age&gt;D96),1,0)</f>
        <v>0</v>
      </c>
      <c r="EY96" s="20" t="n">
        <f aca="false">SM95</f>
        <v>0</v>
      </c>
      <c r="EZ96" s="20" t="n">
        <f aca="false">EW96*MIN(Slot14_Cost,EY96)</f>
        <v>0</v>
      </c>
      <c r="FA96" s="20" t="n">
        <f aca="false">EW96*Slot14_SpendLike*MIN(Slot14_Cost-EZ96,ES96)</f>
        <v>0</v>
      </c>
      <c r="FB96" s="20" t="n">
        <f aca="false">EZ96+FA96</f>
        <v>0</v>
      </c>
      <c r="FC96" s="20" t="n">
        <f aca="false">ES96-FA96+EW96*IF(Slot14_SpendLike=1,EY96-EZ96,IF(Slot14_PotFree=1,EY96,0))</f>
        <v>0</v>
      </c>
      <c r="FD96" s="20" t="n">
        <f aca="false">ET96+EW96*Slot14_BufPot*EY96</f>
        <v>0</v>
      </c>
      <c r="FE96" s="20" t="n">
        <f aca="false">IF(AND(EW96=1,Slot14_IsMfree=1),IF(FB96&gt;=Slot14_Cost-1,0,MAX(0,EU96-FB96)),EU96)</f>
        <v>0</v>
      </c>
      <c r="FF96" s="20" t="n">
        <f aca="false">EW96*(Slot14_Cost-FB96)</f>
        <v>0</v>
      </c>
      <c r="FG96" s="20" t="n">
        <f aca="false">IF(AND(Slot15_On=1,D96=Slot15_Age),1,0)</f>
        <v>0</v>
      </c>
      <c r="FH96" s="20" t="n">
        <f aca="false">IF(AND(Slot15_On=1,Slot15_Age&gt;D96),1,0)</f>
        <v>0</v>
      </c>
      <c r="FI96" s="20" t="n">
        <f aca="false">SQ95</f>
        <v>0</v>
      </c>
      <c r="FJ96" s="20" t="n">
        <f aca="false">FG96*MIN(Slot15_Cost,FI96)</f>
        <v>0</v>
      </c>
      <c r="FK96" s="20" t="n">
        <f aca="false">FG96*Slot15_SpendLike*MIN(Slot15_Cost-FJ96,FC96)</f>
        <v>0</v>
      </c>
      <c r="FL96" s="20" t="n">
        <f aca="false">FJ96+FK96</f>
        <v>0</v>
      </c>
      <c r="FM96" s="20" t="n">
        <f aca="false">FC96-FK96+FG96*IF(Slot15_SpendLike=1,FI96-FJ96,IF(Slot15_PotFree=1,FI96,0))</f>
        <v>0</v>
      </c>
      <c r="FN96" s="20" t="n">
        <f aca="false">FD96+FG96*Slot15_BufPot*FI96</f>
        <v>0</v>
      </c>
      <c r="FO96" s="20" t="n">
        <f aca="false">IF(AND(FG96=1,Slot15_IsMfree=1),IF(FL96&gt;=Slot15_Cost-1,0,MAX(0,FE96-FL96)),FE96)</f>
        <v>0</v>
      </c>
      <c r="FP96" s="20" t="n">
        <f aca="false">FG96*(Slot15_Cost-FL96)</f>
        <v>0</v>
      </c>
      <c r="FQ96" s="20" t="n">
        <f aca="false">IF(AND(Slot16_On=1,D96=Slot16_Age),1,0)</f>
        <v>0</v>
      </c>
      <c r="FR96" s="20" t="n">
        <f aca="false">IF(AND(Slot16_On=1,Slot16_Age&gt;D96),1,0)</f>
        <v>0</v>
      </c>
      <c r="FS96" s="20" t="n">
        <f aca="false">SU95</f>
        <v>0</v>
      </c>
      <c r="FT96" s="20" t="n">
        <f aca="false">FQ96*MIN(Slot16_Cost,FS96)</f>
        <v>0</v>
      </c>
      <c r="FU96" s="20" t="n">
        <f aca="false">FQ96*Slot16_SpendLike*MIN(Slot16_Cost-FT96,FM96)</f>
        <v>0</v>
      </c>
      <c r="FV96" s="20" t="n">
        <f aca="false">FT96+FU96</f>
        <v>0</v>
      </c>
      <c r="FW96" s="20" t="n">
        <f aca="false">FM96-FU96+FQ96*IF(Slot16_SpendLike=1,FS96-FT96,IF(Slot16_PotFree=1,FS96,0))</f>
        <v>0</v>
      </c>
      <c r="FX96" s="20" t="n">
        <f aca="false">FN96+FQ96*Slot16_BufPot*FS96</f>
        <v>0</v>
      </c>
      <c r="FY96" s="20" t="n">
        <f aca="false">IF(AND(FQ96=1,Slot16_IsMfree=1),IF(FV96&gt;=Slot16_Cost-1,0,MAX(0,FO96-FV96)),FO96)</f>
        <v>0</v>
      </c>
      <c r="FZ96" s="20" t="n">
        <f aca="false">FQ96*(Slot16_Cost-FV96)</f>
        <v>0</v>
      </c>
      <c r="GA96" s="20" t="n">
        <f aca="false">IF(AND(Slot17_On=1,D96=Slot17_Age),1,0)</f>
        <v>0</v>
      </c>
      <c r="GB96" s="20" t="n">
        <f aca="false">IF(AND(Slot17_On=1,Slot17_Age&gt;D96),1,0)</f>
        <v>0</v>
      </c>
      <c r="GC96" s="20" t="n">
        <f aca="false">SY95</f>
        <v>0</v>
      </c>
      <c r="GD96" s="20" t="n">
        <f aca="false">GA96*MIN(Slot17_Cost,GC96)</f>
        <v>0</v>
      </c>
      <c r="GE96" s="20" t="n">
        <f aca="false">GA96*Slot17_SpendLike*MIN(Slot17_Cost-GD96,FW96)</f>
        <v>0</v>
      </c>
      <c r="GF96" s="20" t="n">
        <f aca="false">GD96+GE96</f>
        <v>0</v>
      </c>
      <c r="GG96" s="20" t="n">
        <f aca="false">FW96-GE96+GA96*IF(Slot17_SpendLike=1,GC96-GD96,IF(Slot17_PotFree=1,GC96,0))</f>
        <v>0</v>
      </c>
      <c r="GH96" s="20" t="n">
        <f aca="false">FX96+GA96*Slot17_BufPot*GC96</f>
        <v>0</v>
      </c>
      <c r="GI96" s="20" t="n">
        <f aca="false">IF(AND(GA96=1,Slot17_IsMfree=1),IF(GF96&gt;=Slot17_Cost-1,0,MAX(0,FY96-GF96)),FY96)</f>
        <v>0</v>
      </c>
      <c r="GJ96" s="20" t="n">
        <f aca="false">GA96*(Slot17_Cost-GF96)</f>
        <v>0</v>
      </c>
      <c r="GK96" s="20" t="n">
        <f aca="false">IF(AND(Slot18_On=1,D96=Slot18_Age),1,0)</f>
        <v>0</v>
      </c>
      <c r="GL96" s="20" t="n">
        <f aca="false">IF(AND(Slot18_On=1,Slot18_Age&gt;D96),1,0)</f>
        <v>0</v>
      </c>
      <c r="GM96" s="20" t="n">
        <f aca="false">TC95</f>
        <v>0</v>
      </c>
      <c r="GN96" s="20" t="n">
        <f aca="false">GK96*MIN(Slot18_Cost,GM96)</f>
        <v>0</v>
      </c>
      <c r="GO96" s="20" t="n">
        <f aca="false">GK96*Slot18_SpendLike*MIN(Slot18_Cost-GN96,GG96)</f>
        <v>0</v>
      </c>
      <c r="GP96" s="20" t="n">
        <f aca="false">GN96+GO96</f>
        <v>0</v>
      </c>
      <c r="GQ96" s="20" t="n">
        <f aca="false">GG96-GO96+GK96*IF(Slot18_SpendLike=1,GM96-GN96,IF(Slot18_PotFree=1,GM96,0))</f>
        <v>0</v>
      </c>
      <c r="GR96" s="20" t="n">
        <f aca="false">GH96+GK96*Slot18_BufPot*GM96</f>
        <v>0</v>
      </c>
      <c r="GS96" s="20" t="n">
        <f aca="false">IF(AND(GK96=1,Slot18_IsMfree=1),IF(GP96&gt;=Slot18_Cost-1,0,MAX(0,GI96-GP96)),GI96)</f>
        <v>0</v>
      </c>
      <c r="GT96" s="20" t="n">
        <f aca="false">GK96*(Slot18_Cost-GP96)</f>
        <v>0</v>
      </c>
      <c r="GU96" s="20" t="n">
        <f aca="false">IF(AND(Slot19_On=1,D96=Slot19_Age),1,0)</f>
        <v>0</v>
      </c>
      <c r="GV96" s="20" t="n">
        <f aca="false">IF(AND(Slot19_On=1,Slot19_Age&gt;D96),1,0)</f>
        <v>0</v>
      </c>
      <c r="GW96" s="20" t="n">
        <f aca="false">TG95</f>
        <v>0</v>
      </c>
      <c r="GX96" s="20" t="n">
        <f aca="false">GU96*MIN(Slot19_Cost,GW96)</f>
        <v>0</v>
      </c>
      <c r="GY96" s="20" t="n">
        <f aca="false">GU96*Slot19_SpendLike*MIN(Slot19_Cost-GX96,GQ96)</f>
        <v>0</v>
      </c>
      <c r="GZ96" s="20" t="n">
        <f aca="false">GX96+GY96</f>
        <v>0</v>
      </c>
      <c r="HA96" s="20" t="n">
        <f aca="false">GQ96-GY96+GU96*IF(Slot19_SpendLike=1,GW96-GX96,IF(Slot19_PotFree=1,GW96,0))</f>
        <v>0</v>
      </c>
      <c r="HB96" s="20" t="n">
        <f aca="false">GR96+GU96*Slot19_BufPot*GW96</f>
        <v>0</v>
      </c>
      <c r="HC96" s="20" t="n">
        <f aca="false">IF(AND(GU96=1,Slot19_IsMfree=1),IF(GZ96&gt;=Slot19_Cost-1,0,MAX(0,GS96-GZ96)),GS96)</f>
        <v>0</v>
      </c>
      <c r="HD96" s="20" t="n">
        <f aca="false">GU96*(Slot19_Cost-GZ96)</f>
        <v>0</v>
      </c>
      <c r="HE96" s="20" t="n">
        <f aca="false">IF(AND(Slot20_On=1,D96=Slot20_Age),1,0)</f>
        <v>0</v>
      </c>
      <c r="HF96" s="20" t="n">
        <f aca="false">IF(AND(Slot20_On=1,Slot20_Age&gt;D96),1,0)</f>
        <v>0</v>
      </c>
      <c r="HG96" s="20" t="n">
        <f aca="false">TK95</f>
        <v>0</v>
      </c>
      <c r="HH96" s="20" t="n">
        <f aca="false">HE96*MIN(Slot20_Cost,HG96)</f>
        <v>0</v>
      </c>
      <c r="HI96" s="20" t="n">
        <f aca="false">HE96*Slot20_SpendLike*MIN(Slot20_Cost-HH96,HA96)</f>
        <v>0</v>
      </c>
      <c r="HJ96" s="20" t="n">
        <f aca="false">HH96+HI96</f>
        <v>0</v>
      </c>
      <c r="HK96" s="20" t="n">
        <f aca="false">HA96-HI96+HE96*IF(Slot20_SpendLike=1,HG96-HH96,IF(Slot20_PotFree=1,HG96,0))</f>
        <v>0</v>
      </c>
      <c r="HL96" s="20" t="n">
        <f aca="false">HB96+HE96*Slot20_BufPot*HG96</f>
        <v>0</v>
      </c>
      <c r="HM96" s="20" t="n">
        <f aca="false">IF(AND(HE96=1,Slot20_IsMfree=1),IF(HJ96&gt;=Slot20_Cost-1,0,MAX(0,HC96-HJ96)),HC96)</f>
        <v>0</v>
      </c>
      <c r="HN96" s="20" t="n">
        <f aca="false">HE96*(Slot20_Cost-HJ96)</f>
        <v>0</v>
      </c>
      <c r="HO96" s="20" t="n">
        <f aca="false">V96*Slot1_SpendLike*AA96+AG96*Slot2_SpendLike*AL96+AQ96*Slot3_SpendLike*AV96+BA96*Slot4_SpendLike*BF96+BK96*Slot5_SpendLike*BP96+BU96*Slot6_SpendLike*BZ96+CE96*Slot7_SpendLike*CJ96+CO96*Slot8_SpendLike*CT96+CY96*Slot9_SpendLike*DD96+DI96*Slot10_SpendLike*DN96+DS96*Slot11_SpendLike*DX96+EC96*Slot12_SpendLike*EH96+EM96*Slot13_SpendLike*ER96+EW96*Slot14_SpendLike*FB96+FG96*Slot15_SpendLike*FL96+FQ96*Slot16_SpendLike*FV96+GA96*Slot17_SpendLike*GF96+GK96*Slot18_SpendLike*GP96+GU96*Slot19_SpendLike*GZ96+HE96*Slot20_SpendLike*HJ96</f>
        <v>0</v>
      </c>
      <c r="HP96" s="20" t="n">
        <f aca="false">AE96+AP96+AZ96+BJ96+BT96+CD96+CN96+CX96+DH96+DR96+EB96+EL96+EV96+FF96+FP96+FZ96+GJ96+GT96+HD96+HN96</f>
        <v>0</v>
      </c>
      <c r="HQ96" s="20" t="n">
        <f aca="false">V96*Slot1_Cost+AG96*Slot2_Cost+AQ96*Slot3_Cost+BA96*Slot4_Cost+BK96*Slot5_Cost+BU96*Slot6_Cost+CE96*Slot7_Cost+CO96*Slot8_Cost+CY96*Slot9_Cost+DI96*Slot10_Cost+DS96*Slot11_Cost+EC96*Slot12_Cost+EM96*Slot13_Cost+EW96*Slot14_Cost+FG96*Slot15_Cost+FQ96*Slot16_Cost+GA96*Slot17_Cost+GK96*Slot18_Cost+GU96*Slot19_Cost+HE96*Slot20_Cost</f>
        <v>0</v>
      </c>
      <c r="HR96" s="20" t="n">
        <f aca="false">HM96</f>
        <v>0</v>
      </c>
      <c r="HS96" s="20" t="n">
        <f aca="false">H96-I96-S96</f>
        <v>-110051.470691561</v>
      </c>
      <c r="HT96" s="20" t="n">
        <f aca="false">IF(B96=0,IF(AND(Has_q6=1,In_q6=4),PR_ShareVaries*(MAX(0,HS96)/12),MIN(IF(Has_q6=1,CHOOSE(In_q6+1,PR_SaveB1,PR_SaveB2,PR_SaveB3,PR_SaveB4,0),AS_NoAnswer),AS_SaveShare*(MAX(0,HS96)/12))),HT95)</f>
        <v>62.3316893520437</v>
      </c>
      <c r="HU96" s="20" t="n">
        <f aca="false">IF(HS96&gt;=0,1,0)</f>
        <v>0</v>
      </c>
      <c r="HV96" s="20" t="n">
        <f aca="false">MAX(0,HS96/12/F96)</f>
        <v>0</v>
      </c>
      <c r="HW96" s="20" t="n">
        <f aca="false">IF(AND(Has_q6=1,In_q6=4),PR_ShareVaries*(HV96),MIN(IF(Has_q6=1,CHOOSE(In_q6+1,PR_SaveB1,PR_SaveB2,PR_SaveB3,PR_SaveB4,0),AS_NoAnswer),AS_SaveShare*(HV96)))</f>
        <v>0</v>
      </c>
      <c r="HX96" s="20" t="n">
        <f aca="false">IF(Has_saveM=1,IF(In_saveUp="Yes",1,IF(In_saveUp="No",0,IF(In_saveM&gt;=HT96-0.5,1,0))),0)</f>
        <v>0</v>
      </c>
      <c r="HY96" s="20" t="n">
        <f aca="false">IF(Has_saveM=1,MIN(HV96,IF(HX96=1,MAX(In_saveM,HW96),MIN(In_saveM,HW96))),HW96)</f>
        <v>0</v>
      </c>
      <c r="HZ96" s="20" t="n">
        <f aca="false">IF(G96=1,HY96*12*F96,0)</f>
        <v>0</v>
      </c>
      <c r="IA96" s="20" t="n">
        <f aca="false">MAX(0,HZ96+IF(AND(WI_Retire=0,WI_M&lt;0,G96=1),WI_M*12*F96,0))</f>
        <v>0</v>
      </c>
      <c r="IB96" s="20" t="n">
        <f aca="false">Slot1_IsWG*W96+Slot2_IsWG*AH96+Slot3_IsWG*AR96+Slot4_IsWG*BB96+Slot5_IsWG*BL96+Slot6_IsWG*BV96+Slot7_IsWG*CF96+Slot8_IsWG*CP96+Slot9_IsWG*CZ96+Slot10_IsWG*DJ96+Slot11_IsWG*DT96+Slot12_IsWG*ED96+Slot13_IsWG*EN96+Slot14_IsWG*EX96+Slot15_IsWG*FH96+Slot16_IsWG*FR96+Slot17_IsWG*GB96+Slot18_IsWG*GL96+Slot19_IsWG*GV96+Slot20_IsWG*HF96</f>
        <v>0</v>
      </c>
      <c r="IC96" s="20" t="n">
        <f aca="false">IF(AND(WI_Retire=0,WI_M&gt;0,G96=1,IB96&gt;=1),WI_M*12*F96,0)</f>
        <v>0</v>
      </c>
      <c r="ID96" s="20" t="n">
        <f aca="false">IF(HU96=1,MIN(IA96,HS96),0)</f>
        <v>0</v>
      </c>
      <c r="IE96" s="20" t="n">
        <f aca="false">IF(HU96=1,MIN(IC96,HS96-ID96),0)</f>
        <v>0</v>
      </c>
      <c r="IF96" s="20" t="n">
        <f aca="false">IF(W96=1,IF(ABS((1+AS_Wage)/(1+Slot1_Rate)-1)&lt;0.000000000001,(Slot1_Age-D96)*(1+Slot1_Rate)^(Slot1_Age-D96),(1+Slot1_Rate)^(Slot1_Age-D96)*(1-((1+AS_Wage)/(1+Slot1_Rate))^(Slot1_Age-D96))/(1-(1+AS_Wage)/(1+Slot1_Rate))),1)</f>
        <v>1</v>
      </c>
      <c r="IG96" s="20" t="n">
        <f aca="false">IF(AND(HU96=1,IE96&gt;0,Slot1_IsWG=1,W96=1),MAX(0,(Slot1_Cost-X96*(1+Slot1_Rate)^(Slot1_Age-D96))/IF96),0)</f>
        <v>0</v>
      </c>
      <c r="IH96" s="20" t="n">
        <f aca="false">IF(AND(HU96=1,IE96&gt;0,Slot1_IsWG=1,W96=1),MIN(IE96,IG96),0)</f>
        <v>0</v>
      </c>
      <c r="II96" s="20" t="n">
        <f aca="false">X96+IH96</f>
        <v>0</v>
      </c>
      <c r="IJ96" s="20" t="n">
        <f aca="false">IF(W96=1,MAX(0,(Slot1_Cost-II96*(1+Slot1_Rate)^(Slot1_Age-D96))/IF96),0)</f>
        <v>0</v>
      </c>
      <c r="IK96" s="20" t="n">
        <f aca="false">IF(W96=1,MAX(0,(Slot1_Cost-X96*(1+Slot1_Rate)^(Slot1_Age-D96))/IF96),0)</f>
        <v>0</v>
      </c>
      <c r="IL96" s="20" t="n">
        <f aca="false">IF(AND(HU96=1,W96=1),MIN(ID96,IJ96),0)</f>
        <v>0</v>
      </c>
      <c r="IM96" s="20" t="n">
        <f aca="false">ID96-IL96</f>
        <v>0</v>
      </c>
      <c r="IN96" s="20" t="n">
        <f aca="false">IF(AH96=1,IF(ABS((1+AS_Wage)/(1+Slot2_Rate)-1)&lt;0.000000000001,(Slot2_Age-D96)*(1+Slot2_Rate)^(Slot2_Age-D96),(1+Slot2_Rate)^(Slot2_Age-D96)*(1-((1+AS_Wage)/(1+Slot2_Rate))^(Slot2_Age-D96))/(1-(1+AS_Wage)/(1+Slot2_Rate))),1)</f>
        <v>1</v>
      </c>
      <c r="IO96" s="20" t="n">
        <f aca="false">IF(AND(HU96=1,IE96&gt;0,Slot2_IsWG=1,AH96=1),MAX(0,(Slot2_Cost-AI96*(1+Slot2_Rate)^(Slot2_Age-D96))/IN96),0)</f>
        <v>0</v>
      </c>
      <c r="IP96" s="20" t="n">
        <f aca="false">IF(AND(HU96=1,IE96&gt;0,Slot2_IsWG=1,AH96=1),MIN(IE96,IO96),0)</f>
        <v>0</v>
      </c>
      <c r="IQ96" s="20" t="n">
        <f aca="false">AI96+IP96</f>
        <v>0</v>
      </c>
      <c r="IR96" s="20" t="n">
        <f aca="false">IF(AH96=1,MAX(0,(Slot2_Cost-IQ96*(1+Slot2_Rate)^(Slot2_Age-D96))/IN96),0)</f>
        <v>0</v>
      </c>
      <c r="IS96" s="20" t="n">
        <f aca="false">IF(AH96=1,MAX(0,(Slot2_Cost-AI96*(1+Slot2_Rate)^(Slot2_Age-D96))/IN96),0)</f>
        <v>0</v>
      </c>
      <c r="IT96" s="20" t="n">
        <f aca="false">IF(AND(HU96=1,AH96=1),MIN(IM96,IR96),0)</f>
        <v>0</v>
      </c>
      <c r="IU96" s="20" t="n">
        <f aca="false">IM96-IT96</f>
        <v>0</v>
      </c>
      <c r="IV96" s="20" t="n">
        <f aca="false">IF(AR96=1,IF(ABS((1+AS_Wage)/(1+Slot3_Rate)-1)&lt;0.000000000001,(Slot3_Age-D96)*(1+Slot3_Rate)^(Slot3_Age-D96),(1+Slot3_Rate)^(Slot3_Age-D96)*(1-((1+AS_Wage)/(1+Slot3_Rate))^(Slot3_Age-D96))/(1-(1+AS_Wage)/(1+Slot3_Rate))),1)</f>
        <v>1</v>
      </c>
      <c r="IW96" s="20" t="n">
        <f aca="false">IF(AND(HU96=1,IE96&gt;0,Slot3_IsWG=1,AR96=1),MAX(0,(Slot3_Cost-AS96*(1+Slot3_Rate)^(Slot3_Age-D96))/IV96),0)</f>
        <v>0</v>
      </c>
      <c r="IX96" s="20" t="n">
        <f aca="false">IF(AND(HU96=1,IE96&gt;0,Slot3_IsWG=1,AR96=1),MIN(IE96,IW96),0)</f>
        <v>0</v>
      </c>
      <c r="IY96" s="20" t="n">
        <f aca="false">AS96+IX96</f>
        <v>0</v>
      </c>
      <c r="IZ96" s="20" t="n">
        <f aca="false">IF(AR96=1,MAX(0,(Slot3_Cost-IY96*(1+Slot3_Rate)^(Slot3_Age-D96))/IV96),0)</f>
        <v>0</v>
      </c>
      <c r="JA96" s="20" t="n">
        <f aca="false">IF(AR96=1,MAX(0,(Slot3_Cost-AS96*(1+Slot3_Rate)^(Slot3_Age-D96))/IV96),0)</f>
        <v>0</v>
      </c>
      <c r="JB96" s="20" t="n">
        <f aca="false">IF(AND(HU96=1,AR96=1),MIN(IU96,IZ96),0)</f>
        <v>0</v>
      </c>
      <c r="JC96" s="20" t="n">
        <f aca="false">IU96-JB96</f>
        <v>0</v>
      </c>
      <c r="JD96" s="20" t="n">
        <f aca="false">IF(BB96=1,IF(ABS((1+AS_Wage)/(1+Slot4_Rate)-1)&lt;0.000000000001,(Slot4_Age-D96)*(1+Slot4_Rate)^(Slot4_Age-D96),(1+Slot4_Rate)^(Slot4_Age-D96)*(1-((1+AS_Wage)/(1+Slot4_Rate))^(Slot4_Age-D96))/(1-(1+AS_Wage)/(1+Slot4_Rate))),1)</f>
        <v>1</v>
      </c>
      <c r="JE96" s="20" t="n">
        <f aca="false">IF(AND(HU96=1,IE96&gt;0,Slot4_IsWG=1,BB96=1),MAX(0,(Slot4_Cost-BC96*(1+Slot4_Rate)^(Slot4_Age-D96))/JD96),0)</f>
        <v>0</v>
      </c>
      <c r="JF96" s="20" t="n">
        <f aca="false">IF(AND(HU96=1,IE96&gt;0,Slot4_IsWG=1,BB96=1),MIN(IE96,JE96),0)</f>
        <v>0</v>
      </c>
      <c r="JG96" s="20" t="n">
        <f aca="false">BC96+JF96</f>
        <v>0</v>
      </c>
      <c r="JH96" s="20" t="n">
        <f aca="false">IF(BB96=1,MAX(0,(Slot4_Cost-JG96*(1+Slot4_Rate)^(Slot4_Age-D96))/JD96),0)</f>
        <v>0</v>
      </c>
      <c r="JI96" s="20" t="n">
        <f aca="false">IF(BB96=1,MAX(0,(Slot4_Cost-BC96*(1+Slot4_Rate)^(Slot4_Age-D96))/JD96),0)</f>
        <v>0</v>
      </c>
      <c r="JJ96" s="20" t="n">
        <f aca="false">IF(AND(HU96=1,BB96=1),MIN(JC96,JH96),0)</f>
        <v>0</v>
      </c>
      <c r="JK96" s="20" t="n">
        <f aca="false">JC96-JJ96</f>
        <v>0</v>
      </c>
      <c r="JL96" s="20" t="n">
        <f aca="false">IF(BL96=1,IF(ABS((1+AS_Wage)/(1+Slot5_Rate)-1)&lt;0.000000000001,(Slot5_Age-D96)*(1+Slot5_Rate)^(Slot5_Age-D96),(1+Slot5_Rate)^(Slot5_Age-D96)*(1-((1+AS_Wage)/(1+Slot5_Rate))^(Slot5_Age-D96))/(1-(1+AS_Wage)/(1+Slot5_Rate))),1)</f>
        <v>1</v>
      </c>
      <c r="JM96" s="20" t="n">
        <f aca="false">IF(AND(HU96=1,IE96&gt;0,Slot5_IsWG=1,BL96=1),MAX(0,(Slot5_Cost-BM96*(1+Slot5_Rate)^(Slot5_Age-D96))/JL96),0)</f>
        <v>0</v>
      </c>
      <c r="JN96" s="20" t="n">
        <f aca="false">IF(AND(HU96=1,IE96&gt;0,Slot5_IsWG=1,BL96=1),MIN(IE96,JM96),0)</f>
        <v>0</v>
      </c>
      <c r="JO96" s="20" t="n">
        <f aca="false">BM96+JN96</f>
        <v>0</v>
      </c>
      <c r="JP96" s="20" t="n">
        <f aca="false">IF(BL96=1,MAX(0,(Slot5_Cost-JO96*(1+Slot5_Rate)^(Slot5_Age-D96))/JL96),0)</f>
        <v>0</v>
      </c>
      <c r="JQ96" s="20" t="n">
        <f aca="false">IF(BL96=1,MAX(0,(Slot5_Cost-BM96*(1+Slot5_Rate)^(Slot5_Age-D96))/JL96),0)</f>
        <v>0</v>
      </c>
      <c r="JR96" s="20" t="n">
        <f aca="false">IF(AND(HU96=1,BL96=1),MIN(JK96,JP96),0)</f>
        <v>0</v>
      </c>
      <c r="JS96" s="20" t="n">
        <f aca="false">JK96-JR96</f>
        <v>0</v>
      </c>
      <c r="JT96" s="20" t="n">
        <f aca="false">IF(BV96=1,IF(ABS((1+AS_Wage)/(1+Slot6_Rate)-1)&lt;0.000000000001,(Slot6_Age-D96)*(1+Slot6_Rate)^(Slot6_Age-D96),(1+Slot6_Rate)^(Slot6_Age-D96)*(1-((1+AS_Wage)/(1+Slot6_Rate))^(Slot6_Age-D96))/(1-(1+AS_Wage)/(1+Slot6_Rate))),1)</f>
        <v>1</v>
      </c>
      <c r="JU96" s="20" t="n">
        <f aca="false">IF(AND(HU96=1,IE96&gt;0,Slot6_IsWG=1,BV96=1),MAX(0,(Slot6_Cost-BW96*(1+Slot6_Rate)^(Slot6_Age-D96))/JT96),0)</f>
        <v>0</v>
      </c>
      <c r="JV96" s="20" t="n">
        <f aca="false">IF(AND(HU96=1,IE96&gt;0,Slot6_IsWG=1,BV96=1),MIN(IE96,JU96),0)</f>
        <v>0</v>
      </c>
      <c r="JW96" s="20" t="n">
        <f aca="false">BW96+JV96</f>
        <v>0</v>
      </c>
      <c r="JX96" s="20" t="n">
        <f aca="false">IF(BV96=1,MAX(0,(Slot6_Cost-JW96*(1+Slot6_Rate)^(Slot6_Age-D96))/JT96),0)</f>
        <v>0</v>
      </c>
      <c r="JY96" s="20" t="n">
        <f aca="false">IF(BV96=1,MAX(0,(Slot6_Cost-BW96*(1+Slot6_Rate)^(Slot6_Age-D96))/JT96),0)</f>
        <v>0</v>
      </c>
      <c r="JZ96" s="20" t="n">
        <f aca="false">IF(AND(HU96=1,BV96=1),MIN(JS96,JX96),0)</f>
        <v>0</v>
      </c>
      <c r="KA96" s="20" t="n">
        <f aca="false">JS96-JZ96</f>
        <v>0</v>
      </c>
      <c r="KB96" s="20" t="n">
        <f aca="false">IF(CF96=1,IF(ABS((1+AS_Wage)/(1+Slot7_Rate)-1)&lt;0.000000000001,(Slot7_Age-D96)*(1+Slot7_Rate)^(Slot7_Age-D96),(1+Slot7_Rate)^(Slot7_Age-D96)*(1-((1+AS_Wage)/(1+Slot7_Rate))^(Slot7_Age-D96))/(1-(1+AS_Wage)/(1+Slot7_Rate))),1)</f>
        <v>1</v>
      </c>
      <c r="KC96" s="20" t="n">
        <f aca="false">IF(AND(HU96=1,IE96&gt;0,Slot7_IsWG=1,CF96=1),MAX(0,(Slot7_Cost-CG96*(1+Slot7_Rate)^(Slot7_Age-D96))/KB96),0)</f>
        <v>0</v>
      </c>
      <c r="KD96" s="20" t="n">
        <f aca="false">IF(AND(HU96=1,IE96&gt;0,Slot7_IsWG=1,CF96=1),MIN(IE96,KC96),0)</f>
        <v>0</v>
      </c>
      <c r="KE96" s="20" t="n">
        <f aca="false">CG96+KD96</f>
        <v>0</v>
      </c>
      <c r="KF96" s="20" t="n">
        <f aca="false">IF(CF96=1,MAX(0,(Slot7_Cost-KE96*(1+Slot7_Rate)^(Slot7_Age-D96))/KB96),0)</f>
        <v>0</v>
      </c>
      <c r="KG96" s="20" t="n">
        <f aca="false">IF(CF96=1,MAX(0,(Slot7_Cost-CG96*(1+Slot7_Rate)^(Slot7_Age-D96))/KB96),0)</f>
        <v>0</v>
      </c>
      <c r="KH96" s="20" t="n">
        <f aca="false">IF(AND(HU96=1,CF96=1),MIN(KA96,KF96),0)</f>
        <v>0</v>
      </c>
      <c r="KI96" s="20" t="n">
        <f aca="false">KA96-KH96</f>
        <v>0</v>
      </c>
      <c r="KJ96" s="20" t="n">
        <f aca="false">IF(CP96=1,IF(ABS((1+AS_Wage)/(1+Slot8_Rate)-1)&lt;0.000000000001,(Slot8_Age-D96)*(1+Slot8_Rate)^(Slot8_Age-D96),(1+Slot8_Rate)^(Slot8_Age-D96)*(1-((1+AS_Wage)/(1+Slot8_Rate))^(Slot8_Age-D96))/(1-(1+AS_Wage)/(1+Slot8_Rate))),1)</f>
        <v>1</v>
      </c>
      <c r="KK96" s="20" t="n">
        <f aca="false">IF(AND(HU96=1,IE96&gt;0,Slot8_IsWG=1,CP96=1),MAX(0,(Slot8_Cost-CQ96*(1+Slot8_Rate)^(Slot8_Age-D96))/KJ96),0)</f>
        <v>0</v>
      </c>
      <c r="KL96" s="20" t="n">
        <f aca="false">IF(AND(HU96=1,IE96&gt;0,Slot8_IsWG=1,CP96=1),MIN(IE96,KK96),0)</f>
        <v>0</v>
      </c>
      <c r="KM96" s="20" t="n">
        <f aca="false">CQ96+KL96</f>
        <v>0</v>
      </c>
      <c r="KN96" s="20" t="n">
        <f aca="false">IF(CP96=1,MAX(0,(Slot8_Cost-KM96*(1+Slot8_Rate)^(Slot8_Age-D96))/KJ96),0)</f>
        <v>0</v>
      </c>
      <c r="KO96" s="20" t="n">
        <f aca="false">IF(CP96=1,MAX(0,(Slot8_Cost-CQ96*(1+Slot8_Rate)^(Slot8_Age-D96))/KJ96),0)</f>
        <v>0</v>
      </c>
      <c r="KP96" s="20" t="n">
        <f aca="false">IF(AND(HU96=1,CP96=1),MIN(KI96,KN96),0)</f>
        <v>0</v>
      </c>
      <c r="KQ96" s="20" t="n">
        <f aca="false">KI96-KP96</f>
        <v>0</v>
      </c>
      <c r="KR96" s="20" t="n">
        <f aca="false">IF(CZ96=1,IF(ABS((1+AS_Wage)/(1+Slot9_Rate)-1)&lt;0.000000000001,(Slot9_Age-D96)*(1+Slot9_Rate)^(Slot9_Age-D96),(1+Slot9_Rate)^(Slot9_Age-D96)*(1-((1+AS_Wage)/(1+Slot9_Rate))^(Slot9_Age-D96))/(1-(1+AS_Wage)/(1+Slot9_Rate))),1)</f>
        <v>1</v>
      </c>
      <c r="KS96" s="20" t="n">
        <f aca="false">IF(AND(HU96=1,IE96&gt;0,Slot9_IsWG=1,CZ96=1),MAX(0,(Slot9_Cost-DA96*(1+Slot9_Rate)^(Slot9_Age-D96))/KR96),0)</f>
        <v>0</v>
      </c>
      <c r="KT96" s="20" t="n">
        <f aca="false">IF(AND(HU96=1,IE96&gt;0,Slot9_IsWG=1,CZ96=1),MIN(IE96,KS96),0)</f>
        <v>0</v>
      </c>
      <c r="KU96" s="20" t="n">
        <f aca="false">DA96+KT96</f>
        <v>0</v>
      </c>
      <c r="KV96" s="20" t="n">
        <f aca="false">IF(CZ96=1,MAX(0,(Slot9_Cost-KU96*(1+Slot9_Rate)^(Slot9_Age-D96))/KR96),0)</f>
        <v>0</v>
      </c>
      <c r="KW96" s="20" t="n">
        <f aca="false">IF(CZ96=1,MAX(0,(Slot9_Cost-DA96*(1+Slot9_Rate)^(Slot9_Age-D96))/KR96),0)</f>
        <v>0</v>
      </c>
      <c r="KX96" s="20" t="n">
        <f aca="false">IF(AND(HU96=1,CZ96=1),MIN(KQ96,KV96),0)</f>
        <v>0</v>
      </c>
      <c r="KY96" s="20" t="n">
        <f aca="false">KQ96-KX96</f>
        <v>0</v>
      </c>
      <c r="KZ96" s="20" t="n">
        <f aca="false">IF(DJ96=1,IF(ABS((1+AS_Wage)/(1+Slot10_Rate)-1)&lt;0.000000000001,(Slot10_Age-D96)*(1+Slot10_Rate)^(Slot10_Age-D96),(1+Slot10_Rate)^(Slot10_Age-D96)*(1-((1+AS_Wage)/(1+Slot10_Rate))^(Slot10_Age-D96))/(1-(1+AS_Wage)/(1+Slot10_Rate))),1)</f>
        <v>1</v>
      </c>
      <c r="LA96" s="20" t="n">
        <f aca="false">IF(AND(HU96=1,IE96&gt;0,Slot10_IsWG=1,DJ96=1),MAX(0,(Slot10_Cost-DK96*(1+Slot10_Rate)^(Slot10_Age-D96))/KZ96),0)</f>
        <v>0</v>
      </c>
      <c r="LB96" s="20" t="n">
        <f aca="false">IF(AND(HU96=1,IE96&gt;0,Slot10_IsWG=1,DJ96=1),MIN(IE96,LA96),0)</f>
        <v>0</v>
      </c>
      <c r="LC96" s="20" t="n">
        <f aca="false">DK96+LB96</f>
        <v>0</v>
      </c>
      <c r="LD96" s="20" t="n">
        <f aca="false">IF(DJ96=1,MAX(0,(Slot10_Cost-LC96*(1+Slot10_Rate)^(Slot10_Age-D96))/KZ96),0)</f>
        <v>0</v>
      </c>
      <c r="LE96" s="20" t="n">
        <f aca="false">IF(DJ96=1,MAX(0,(Slot10_Cost-DK96*(1+Slot10_Rate)^(Slot10_Age-D96))/KZ96),0)</f>
        <v>0</v>
      </c>
      <c r="LF96" s="20" t="n">
        <f aca="false">IF(AND(HU96=1,DJ96=1),MIN(KY96,LD96),0)</f>
        <v>0</v>
      </c>
      <c r="LG96" s="20" t="n">
        <f aca="false">KY96-LF96</f>
        <v>0</v>
      </c>
      <c r="LH96" s="20" t="n">
        <f aca="false">IF(DT96=1,IF(ABS((1+AS_Wage)/(1+Slot11_Rate)-1)&lt;0.000000000001,(Slot11_Age-D96)*(1+Slot11_Rate)^(Slot11_Age-D96),(1+Slot11_Rate)^(Slot11_Age-D96)*(1-((1+AS_Wage)/(1+Slot11_Rate))^(Slot11_Age-D96))/(1-(1+AS_Wage)/(1+Slot11_Rate))),1)</f>
        <v>1</v>
      </c>
      <c r="LI96" s="20" t="n">
        <f aca="false">IF(AND(HU96=1,IE96&gt;0,Slot11_IsWG=1,DT96=1),MAX(0,(Slot11_Cost-DU96*(1+Slot11_Rate)^(Slot11_Age-D96))/LH96),0)</f>
        <v>0</v>
      </c>
      <c r="LJ96" s="20" t="n">
        <f aca="false">IF(AND(HU96=1,IE96&gt;0,Slot11_IsWG=1,DT96=1),MIN(IE96,LI96),0)</f>
        <v>0</v>
      </c>
      <c r="LK96" s="20" t="n">
        <f aca="false">DU96+LJ96</f>
        <v>0</v>
      </c>
      <c r="LL96" s="20" t="n">
        <f aca="false">IF(DT96=1,MAX(0,(Slot11_Cost-LK96*(1+Slot11_Rate)^(Slot11_Age-D96))/LH96),0)</f>
        <v>0</v>
      </c>
      <c r="LM96" s="20" t="n">
        <f aca="false">IF(DT96=1,MAX(0,(Slot11_Cost-DU96*(1+Slot11_Rate)^(Slot11_Age-D96))/LH96),0)</f>
        <v>0</v>
      </c>
      <c r="LN96" s="20" t="n">
        <f aca="false">IF(AND(HU96=1,DT96=1),MIN(LG96,LL96),0)</f>
        <v>0</v>
      </c>
      <c r="LO96" s="20" t="n">
        <f aca="false">LG96-LN96</f>
        <v>0</v>
      </c>
      <c r="LP96" s="20" t="n">
        <f aca="false">IF(ED96=1,IF(ABS((1+AS_Wage)/(1+Slot12_Rate)-1)&lt;0.000000000001,(Slot12_Age-D96)*(1+Slot12_Rate)^(Slot12_Age-D96),(1+Slot12_Rate)^(Slot12_Age-D96)*(1-((1+AS_Wage)/(1+Slot12_Rate))^(Slot12_Age-D96))/(1-(1+AS_Wage)/(1+Slot12_Rate))),1)</f>
        <v>1</v>
      </c>
      <c r="LQ96" s="20" t="n">
        <f aca="false">IF(AND(HU96=1,IE96&gt;0,Slot12_IsWG=1,ED96=1),MAX(0,(Slot12_Cost-EE96*(1+Slot12_Rate)^(Slot12_Age-D96))/LP96),0)</f>
        <v>0</v>
      </c>
      <c r="LR96" s="20" t="n">
        <f aca="false">IF(AND(HU96=1,IE96&gt;0,Slot12_IsWG=1,ED96=1),MIN(IE96,LQ96),0)</f>
        <v>0</v>
      </c>
      <c r="LS96" s="20" t="n">
        <f aca="false">EE96+LR96</f>
        <v>0</v>
      </c>
      <c r="LT96" s="20" t="n">
        <f aca="false">IF(ED96=1,MAX(0,(Slot12_Cost-LS96*(1+Slot12_Rate)^(Slot12_Age-D96))/LP96),0)</f>
        <v>0</v>
      </c>
      <c r="LU96" s="20" t="n">
        <f aca="false">IF(ED96=1,MAX(0,(Slot12_Cost-EE96*(1+Slot12_Rate)^(Slot12_Age-D96))/LP96),0)</f>
        <v>0</v>
      </c>
      <c r="LV96" s="20" t="n">
        <f aca="false">IF(AND(HU96=1,ED96=1),MIN(LO96,LT96),0)</f>
        <v>0</v>
      </c>
      <c r="LW96" s="20" t="n">
        <f aca="false">LO96-LV96</f>
        <v>0</v>
      </c>
      <c r="LX96" s="20" t="n">
        <f aca="false">IF(EN96=1,IF(ABS((1+AS_Wage)/(1+Slot13_Rate)-1)&lt;0.000000000001,(Slot13_Age-D96)*(1+Slot13_Rate)^(Slot13_Age-D96),(1+Slot13_Rate)^(Slot13_Age-D96)*(1-((1+AS_Wage)/(1+Slot13_Rate))^(Slot13_Age-D96))/(1-(1+AS_Wage)/(1+Slot13_Rate))),1)</f>
        <v>1</v>
      </c>
      <c r="LY96" s="20" t="n">
        <f aca="false">IF(AND(HU96=1,IE96&gt;0,Slot13_IsWG=1,EN96=1),MAX(0,(Slot13_Cost-EO96*(1+Slot13_Rate)^(Slot13_Age-D96))/LX96),0)</f>
        <v>0</v>
      </c>
      <c r="LZ96" s="20" t="n">
        <f aca="false">IF(AND(HU96=1,IE96&gt;0,Slot13_IsWG=1,EN96=1),MIN(IE96,LY96),0)</f>
        <v>0</v>
      </c>
      <c r="MA96" s="20" t="n">
        <f aca="false">EO96+LZ96</f>
        <v>0</v>
      </c>
      <c r="MB96" s="20" t="n">
        <f aca="false">IF(EN96=1,MAX(0,(Slot13_Cost-MA96*(1+Slot13_Rate)^(Slot13_Age-D96))/LX96),0)</f>
        <v>0</v>
      </c>
      <c r="MC96" s="20" t="n">
        <f aca="false">IF(EN96=1,MAX(0,(Slot13_Cost-EO96*(1+Slot13_Rate)^(Slot13_Age-D96))/LX96),0)</f>
        <v>0</v>
      </c>
      <c r="MD96" s="20" t="n">
        <f aca="false">IF(AND(HU96=1,EN96=1),MIN(LW96,MB96),0)</f>
        <v>0</v>
      </c>
      <c r="ME96" s="20" t="n">
        <f aca="false">LW96-MD96</f>
        <v>0</v>
      </c>
      <c r="MF96" s="20" t="n">
        <f aca="false">IF(EX96=1,IF(ABS((1+AS_Wage)/(1+Slot14_Rate)-1)&lt;0.000000000001,(Slot14_Age-D96)*(1+Slot14_Rate)^(Slot14_Age-D96),(1+Slot14_Rate)^(Slot14_Age-D96)*(1-((1+AS_Wage)/(1+Slot14_Rate))^(Slot14_Age-D96))/(1-(1+AS_Wage)/(1+Slot14_Rate))),1)</f>
        <v>1</v>
      </c>
      <c r="MG96" s="20" t="n">
        <f aca="false">IF(AND(HU96=1,IE96&gt;0,Slot14_IsWG=1,EX96=1),MAX(0,(Slot14_Cost-EY96*(1+Slot14_Rate)^(Slot14_Age-D96))/MF96),0)</f>
        <v>0</v>
      </c>
      <c r="MH96" s="20" t="n">
        <f aca="false">IF(AND(HU96=1,IE96&gt;0,Slot14_IsWG=1,EX96=1),MIN(IE96,MG96),0)</f>
        <v>0</v>
      </c>
      <c r="MI96" s="20" t="n">
        <f aca="false">EY96+MH96</f>
        <v>0</v>
      </c>
      <c r="MJ96" s="20" t="n">
        <f aca="false">IF(EX96=1,MAX(0,(Slot14_Cost-MI96*(1+Slot14_Rate)^(Slot14_Age-D96))/MF96),0)</f>
        <v>0</v>
      </c>
      <c r="MK96" s="20" t="n">
        <f aca="false">IF(EX96=1,MAX(0,(Slot14_Cost-EY96*(1+Slot14_Rate)^(Slot14_Age-D96))/MF96),0)</f>
        <v>0</v>
      </c>
      <c r="ML96" s="20" t="n">
        <f aca="false">IF(AND(HU96=1,EX96=1),MIN(ME96,MJ96),0)</f>
        <v>0</v>
      </c>
      <c r="MM96" s="20" t="n">
        <f aca="false">ME96-ML96</f>
        <v>0</v>
      </c>
      <c r="MN96" s="20" t="n">
        <f aca="false">IF(FH96=1,IF(ABS((1+AS_Wage)/(1+Slot15_Rate)-1)&lt;0.000000000001,(Slot15_Age-D96)*(1+Slot15_Rate)^(Slot15_Age-D96),(1+Slot15_Rate)^(Slot15_Age-D96)*(1-((1+AS_Wage)/(1+Slot15_Rate))^(Slot15_Age-D96))/(1-(1+AS_Wage)/(1+Slot15_Rate))),1)</f>
        <v>1</v>
      </c>
      <c r="MO96" s="20" t="n">
        <f aca="false">IF(AND(HU96=1,IE96&gt;0,Slot15_IsWG=1,FH96=1),MAX(0,(Slot15_Cost-FI96*(1+Slot15_Rate)^(Slot15_Age-D96))/MN96),0)</f>
        <v>0</v>
      </c>
      <c r="MP96" s="20" t="n">
        <f aca="false">IF(AND(HU96=1,IE96&gt;0,Slot15_IsWG=1,FH96=1),MIN(IE96,MO96),0)</f>
        <v>0</v>
      </c>
      <c r="MQ96" s="20" t="n">
        <f aca="false">FI96+MP96</f>
        <v>0</v>
      </c>
      <c r="MR96" s="20" t="n">
        <f aca="false">IF(FH96=1,MAX(0,(Slot15_Cost-MQ96*(1+Slot15_Rate)^(Slot15_Age-D96))/MN96),0)</f>
        <v>0</v>
      </c>
      <c r="MS96" s="20" t="n">
        <f aca="false">IF(FH96=1,MAX(0,(Slot15_Cost-FI96*(1+Slot15_Rate)^(Slot15_Age-D96))/MN96),0)</f>
        <v>0</v>
      </c>
      <c r="MT96" s="20" t="n">
        <f aca="false">IF(AND(HU96=1,FH96=1),MIN(MM96,MR96),0)</f>
        <v>0</v>
      </c>
      <c r="MU96" s="20" t="n">
        <f aca="false">MM96-MT96</f>
        <v>0</v>
      </c>
      <c r="MV96" s="20" t="n">
        <f aca="false">IF(FR96=1,IF(ABS((1+AS_Wage)/(1+Slot16_Rate)-1)&lt;0.000000000001,(Slot16_Age-D96)*(1+Slot16_Rate)^(Slot16_Age-D96),(1+Slot16_Rate)^(Slot16_Age-D96)*(1-((1+AS_Wage)/(1+Slot16_Rate))^(Slot16_Age-D96))/(1-(1+AS_Wage)/(1+Slot16_Rate))),1)</f>
        <v>1</v>
      </c>
      <c r="MW96" s="20" t="n">
        <f aca="false">IF(AND(HU96=1,IE96&gt;0,Slot16_IsWG=1,FR96=1),MAX(0,(Slot16_Cost-FS96*(1+Slot16_Rate)^(Slot16_Age-D96))/MV96),0)</f>
        <v>0</v>
      </c>
      <c r="MX96" s="20" t="n">
        <f aca="false">IF(AND(HU96=1,IE96&gt;0,Slot16_IsWG=1,FR96=1),MIN(IE96,MW96),0)</f>
        <v>0</v>
      </c>
      <c r="MY96" s="20" t="n">
        <f aca="false">FS96+MX96</f>
        <v>0</v>
      </c>
      <c r="MZ96" s="20" t="n">
        <f aca="false">IF(FR96=1,MAX(0,(Slot16_Cost-MY96*(1+Slot16_Rate)^(Slot16_Age-D96))/MV96),0)</f>
        <v>0</v>
      </c>
      <c r="NA96" s="20" t="n">
        <f aca="false">IF(FR96=1,MAX(0,(Slot16_Cost-FS96*(1+Slot16_Rate)^(Slot16_Age-D96))/MV96),0)</f>
        <v>0</v>
      </c>
      <c r="NB96" s="20" t="n">
        <f aca="false">IF(AND(HU96=1,FR96=1),MIN(MU96,MZ96),0)</f>
        <v>0</v>
      </c>
      <c r="NC96" s="20" t="n">
        <f aca="false">MU96-NB96</f>
        <v>0</v>
      </c>
      <c r="ND96" s="20" t="n">
        <f aca="false">IF(GB96=1,IF(ABS((1+AS_Wage)/(1+Slot17_Rate)-1)&lt;0.000000000001,(Slot17_Age-D96)*(1+Slot17_Rate)^(Slot17_Age-D96),(1+Slot17_Rate)^(Slot17_Age-D96)*(1-((1+AS_Wage)/(1+Slot17_Rate))^(Slot17_Age-D96))/(1-(1+AS_Wage)/(1+Slot17_Rate))),1)</f>
        <v>1</v>
      </c>
      <c r="NE96" s="20" t="n">
        <f aca="false">IF(AND(HU96=1,IE96&gt;0,Slot17_IsWG=1,GB96=1),MAX(0,(Slot17_Cost-GC96*(1+Slot17_Rate)^(Slot17_Age-D96))/ND96),0)</f>
        <v>0</v>
      </c>
      <c r="NF96" s="20" t="n">
        <f aca="false">IF(AND(HU96=1,IE96&gt;0,Slot17_IsWG=1,GB96=1),MIN(IE96,NE96),0)</f>
        <v>0</v>
      </c>
      <c r="NG96" s="20" t="n">
        <f aca="false">GC96+NF96</f>
        <v>0</v>
      </c>
      <c r="NH96" s="20" t="n">
        <f aca="false">IF(GB96=1,MAX(0,(Slot17_Cost-NG96*(1+Slot17_Rate)^(Slot17_Age-D96))/ND96),0)</f>
        <v>0</v>
      </c>
      <c r="NI96" s="20" t="n">
        <f aca="false">IF(GB96=1,MAX(0,(Slot17_Cost-GC96*(1+Slot17_Rate)^(Slot17_Age-D96))/ND96),0)</f>
        <v>0</v>
      </c>
      <c r="NJ96" s="20" t="n">
        <f aca="false">IF(AND(HU96=1,GB96=1),MIN(NC96,NH96),0)</f>
        <v>0</v>
      </c>
      <c r="NK96" s="20" t="n">
        <f aca="false">NC96-NJ96</f>
        <v>0</v>
      </c>
      <c r="NL96" s="20" t="n">
        <f aca="false">IF(GL96=1,IF(ABS((1+AS_Wage)/(1+Slot18_Rate)-1)&lt;0.000000000001,(Slot18_Age-D96)*(1+Slot18_Rate)^(Slot18_Age-D96),(1+Slot18_Rate)^(Slot18_Age-D96)*(1-((1+AS_Wage)/(1+Slot18_Rate))^(Slot18_Age-D96))/(1-(1+AS_Wage)/(1+Slot18_Rate))),1)</f>
        <v>1</v>
      </c>
      <c r="NM96" s="20" t="n">
        <f aca="false">IF(AND(HU96=1,IE96&gt;0,Slot18_IsWG=1,GL96=1),MAX(0,(Slot18_Cost-GM96*(1+Slot18_Rate)^(Slot18_Age-D96))/NL96),0)</f>
        <v>0</v>
      </c>
      <c r="NN96" s="20" t="n">
        <f aca="false">IF(AND(HU96=1,IE96&gt;0,Slot18_IsWG=1,GL96=1),MIN(IE96,NM96),0)</f>
        <v>0</v>
      </c>
      <c r="NO96" s="20" t="n">
        <f aca="false">GM96+NN96</f>
        <v>0</v>
      </c>
      <c r="NP96" s="20" t="n">
        <f aca="false">IF(GL96=1,MAX(0,(Slot18_Cost-NO96*(1+Slot18_Rate)^(Slot18_Age-D96))/NL96),0)</f>
        <v>0</v>
      </c>
      <c r="NQ96" s="20" t="n">
        <f aca="false">IF(GL96=1,MAX(0,(Slot18_Cost-GM96*(1+Slot18_Rate)^(Slot18_Age-D96))/NL96),0)</f>
        <v>0</v>
      </c>
      <c r="NR96" s="20" t="n">
        <f aca="false">IF(AND(HU96=1,GL96=1),MIN(NK96,NP96),0)</f>
        <v>0</v>
      </c>
      <c r="NS96" s="20" t="n">
        <f aca="false">NK96-NR96</f>
        <v>0</v>
      </c>
      <c r="NT96" s="20" t="n">
        <f aca="false">IF(GV96=1,IF(ABS((1+AS_Wage)/(1+Slot19_Rate)-1)&lt;0.000000000001,(Slot19_Age-D96)*(1+Slot19_Rate)^(Slot19_Age-D96),(1+Slot19_Rate)^(Slot19_Age-D96)*(1-((1+AS_Wage)/(1+Slot19_Rate))^(Slot19_Age-D96))/(1-(1+AS_Wage)/(1+Slot19_Rate))),1)</f>
        <v>1</v>
      </c>
      <c r="NU96" s="20" t="n">
        <f aca="false">IF(AND(HU96=1,IE96&gt;0,Slot19_IsWG=1,GV96=1),MAX(0,(Slot19_Cost-GW96*(1+Slot19_Rate)^(Slot19_Age-D96))/NT96),0)</f>
        <v>0</v>
      </c>
      <c r="NV96" s="20" t="n">
        <f aca="false">IF(AND(HU96=1,IE96&gt;0,Slot19_IsWG=1,GV96=1),MIN(IE96,NU96),0)</f>
        <v>0</v>
      </c>
      <c r="NW96" s="20" t="n">
        <f aca="false">GW96+NV96</f>
        <v>0</v>
      </c>
      <c r="NX96" s="20" t="n">
        <f aca="false">IF(GV96=1,MAX(0,(Slot19_Cost-NW96*(1+Slot19_Rate)^(Slot19_Age-D96))/NT96),0)</f>
        <v>0</v>
      </c>
      <c r="NY96" s="20" t="n">
        <f aca="false">IF(GV96=1,MAX(0,(Slot19_Cost-GW96*(1+Slot19_Rate)^(Slot19_Age-D96))/NT96),0)</f>
        <v>0</v>
      </c>
      <c r="NZ96" s="20" t="n">
        <f aca="false">IF(AND(HU96=1,GV96=1),MIN(NS96,NX96),0)</f>
        <v>0</v>
      </c>
      <c r="OA96" s="20" t="n">
        <f aca="false">NS96-NZ96</f>
        <v>0</v>
      </c>
      <c r="OB96" s="20" t="n">
        <f aca="false">IF(HF96=1,IF(ABS((1+AS_Wage)/(1+Slot20_Rate)-1)&lt;0.000000000001,(Slot20_Age-D96)*(1+Slot20_Rate)^(Slot20_Age-D96),(1+Slot20_Rate)^(Slot20_Age-D96)*(1-((1+AS_Wage)/(1+Slot20_Rate))^(Slot20_Age-D96))/(1-(1+AS_Wage)/(1+Slot20_Rate))),1)</f>
        <v>1</v>
      </c>
      <c r="OC96" s="20" t="n">
        <f aca="false">IF(AND(HU96=1,IE96&gt;0,Slot20_IsWG=1,HF96=1),MAX(0,(Slot20_Cost-HG96*(1+Slot20_Rate)^(Slot20_Age-D96))/OB96),0)</f>
        <v>0</v>
      </c>
      <c r="OD96" s="20" t="n">
        <f aca="false">IF(AND(HU96=1,IE96&gt;0,Slot20_IsWG=1,HF96=1),MIN(IE96,OC96),0)</f>
        <v>0</v>
      </c>
      <c r="OE96" s="20" t="n">
        <f aca="false">HG96+OD96</f>
        <v>0</v>
      </c>
      <c r="OF96" s="20" t="n">
        <f aca="false">IF(HF96=1,MAX(0,(Slot20_Cost-OE96*(1+Slot20_Rate)^(Slot20_Age-D96))/OB96),0)</f>
        <v>0</v>
      </c>
      <c r="OG96" s="20" t="n">
        <f aca="false">IF(HF96=1,MAX(0,(Slot20_Cost-HG96*(1+Slot20_Rate)^(Slot20_Age-D96))/OB96),0)</f>
        <v>0</v>
      </c>
      <c r="OH96" s="20" t="n">
        <f aca="false">IF(AND(HU96=1,HF96=1),MIN(OA96,OF96),0)</f>
        <v>0</v>
      </c>
      <c r="OI96" s="20" t="n">
        <f aca="false">OA96-OH96</f>
        <v>0</v>
      </c>
      <c r="OJ96" s="20" t="n">
        <f aca="false">IE96-(IH96+IP96+IX96+JF96+JN96+JV96+KD96+KL96+KT96+LB96+LJ96+LR96+LZ96+MH96+MP96+MX96+NF96+NN96+NV96+OD96)</f>
        <v>0</v>
      </c>
      <c r="OK96" s="20" t="n">
        <f aca="false">IF(HU96=1,HS96-ID96-IE96,0)</f>
        <v>0</v>
      </c>
      <c r="OL96" s="20" t="n">
        <f aca="false">IF(HU96=0,-HS96,0)</f>
        <v>110051.470691561</v>
      </c>
      <c r="OM96" s="20" t="n">
        <f aca="false">MIN(OL96,HK96)</f>
        <v>0</v>
      </c>
      <c r="ON96" s="20" t="n">
        <f aca="false">OL96-OM96</f>
        <v>110051.470691561</v>
      </c>
      <c r="OO96" s="20" t="n">
        <f aca="false">MIN(ON96,HL96)</f>
        <v>0</v>
      </c>
      <c r="OP96" s="20" t="n">
        <f aca="false">ON96-OO96</f>
        <v>110051.470691561</v>
      </c>
      <c r="OQ96" s="20" t="n">
        <f aca="false">IF(AND(HU96=0,HF96=1,OP96&gt;0),MIN(OP96,HG96),0)</f>
        <v>0</v>
      </c>
      <c r="OR96" s="20" t="n">
        <f aca="false">OP96-OQ96</f>
        <v>110051.470691561</v>
      </c>
      <c r="OS96" s="20" t="n">
        <f aca="false">IF(AND(HU96=0,GV96=1,OR96&gt;0),MIN(OR96,GW96),0)</f>
        <v>0</v>
      </c>
      <c r="OT96" s="20" t="n">
        <f aca="false">OR96-OS96</f>
        <v>110051.470691561</v>
      </c>
      <c r="OU96" s="20" t="n">
        <f aca="false">IF(AND(HU96=0,GL96=1,OT96&gt;0),MIN(OT96,GM96),0)</f>
        <v>0</v>
      </c>
      <c r="OV96" s="20" t="n">
        <f aca="false">OT96-OU96</f>
        <v>110051.470691561</v>
      </c>
      <c r="OW96" s="20" t="n">
        <f aca="false">IF(AND(HU96=0,GB96=1,OV96&gt;0),MIN(OV96,GC96),0)</f>
        <v>0</v>
      </c>
      <c r="OX96" s="20" t="n">
        <f aca="false">OV96-OW96</f>
        <v>110051.470691561</v>
      </c>
      <c r="OY96" s="20" t="n">
        <f aca="false">IF(AND(HU96=0,FR96=1,OX96&gt;0),MIN(OX96,FS96),0)</f>
        <v>0</v>
      </c>
      <c r="OZ96" s="20" t="n">
        <f aca="false">OX96-OY96</f>
        <v>110051.470691561</v>
      </c>
      <c r="PA96" s="20" t="n">
        <f aca="false">IF(AND(HU96=0,FH96=1,OZ96&gt;0),MIN(OZ96,FI96),0)</f>
        <v>0</v>
      </c>
      <c r="PB96" s="20" t="n">
        <f aca="false">OZ96-PA96</f>
        <v>110051.470691561</v>
      </c>
      <c r="PC96" s="20" t="n">
        <f aca="false">IF(AND(HU96=0,EX96=1,PB96&gt;0),MIN(PB96,EY96),0)</f>
        <v>0</v>
      </c>
      <c r="PD96" s="20" t="n">
        <f aca="false">PB96-PC96</f>
        <v>110051.470691561</v>
      </c>
      <c r="PE96" s="20" t="n">
        <f aca="false">IF(AND(HU96=0,EN96=1,PD96&gt;0),MIN(PD96,EO96),0)</f>
        <v>0</v>
      </c>
      <c r="PF96" s="20" t="n">
        <f aca="false">PD96-PE96</f>
        <v>110051.470691561</v>
      </c>
      <c r="PG96" s="20" t="n">
        <f aca="false">IF(AND(HU96=0,ED96=1,PF96&gt;0),MIN(PF96,EE96),0)</f>
        <v>0</v>
      </c>
      <c r="PH96" s="20" t="n">
        <f aca="false">PF96-PG96</f>
        <v>110051.470691561</v>
      </c>
      <c r="PI96" s="20" t="n">
        <f aca="false">IF(AND(HU96=0,DT96=1,PH96&gt;0),MIN(PH96,DU96),0)</f>
        <v>0</v>
      </c>
      <c r="PJ96" s="20" t="n">
        <f aca="false">PH96-PI96</f>
        <v>110051.470691561</v>
      </c>
      <c r="PK96" s="20" t="n">
        <f aca="false">IF(AND(HU96=0,DJ96=1,PJ96&gt;0),MIN(PJ96,DK96),0)</f>
        <v>0</v>
      </c>
      <c r="PL96" s="20" t="n">
        <f aca="false">PJ96-PK96</f>
        <v>110051.470691561</v>
      </c>
      <c r="PM96" s="20" t="n">
        <f aca="false">IF(AND(HU96=0,CZ96=1,PL96&gt;0),MIN(PL96,DA96),0)</f>
        <v>0</v>
      </c>
      <c r="PN96" s="20" t="n">
        <f aca="false">PL96-PM96</f>
        <v>110051.470691561</v>
      </c>
      <c r="PO96" s="20" t="n">
        <f aca="false">IF(AND(HU96=0,CP96=1,PN96&gt;0),MIN(PN96,CQ96),0)</f>
        <v>0</v>
      </c>
      <c r="PP96" s="20" t="n">
        <f aca="false">PN96-PO96</f>
        <v>110051.470691561</v>
      </c>
      <c r="PQ96" s="20" t="n">
        <f aca="false">IF(AND(HU96=0,CF96=1,PP96&gt;0),MIN(PP96,CG96),0)</f>
        <v>0</v>
      </c>
      <c r="PR96" s="20" t="n">
        <f aca="false">PP96-PQ96</f>
        <v>110051.470691561</v>
      </c>
      <c r="PS96" s="20" t="n">
        <f aca="false">IF(AND(HU96=0,BV96=1,PR96&gt;0),MIN(PR96,BW96),0)</f>
        <v>0</v>
      </c>
      <c r="PT96" s="20" t="n">
        <f aca="false">PR96-PS96</f>
        <v>110051.470691561</v>
      </c>
      <c r="PU96" s="20" t="n">
        <f aca="false">IF(AND(HU96=0,BL96=1,PT96&gt;0),MIN(PT96,BM96),0)</f>
        <v>0</v>
      </c>
      <c r="PV96" s="20" t="n">
        <f aca="false">PT96-PU96</f>
        <v>110051.470691561</v>
      </c>
      <c r="PW96" s="20" t="n">
        <f aca="false">IF(AND(HU96=0,BB96=1,PV96&gt;0),MIN(PV96,BC96),0)</f>
        <v>0</v>
      </c>
      <c r="PX96" s="20" t="n">
        <f aca="false">PV96-PW96</f>
        <v>110051.470691561</v>
      </c>
      <c r="PY96" s="20" t="n">
        <f aca="false">IF(AND(HU96=0,AR96=1,PX96&gt;0),MIN(PX96,AS96),0)</f>
        <v>0</v>
      </c>
      <c r="PZ96" s="20" t="n">
        <f aca="false">PX96-PY96</f>
        <v>110051.470691561</v>
      </c>
      <c r="QA96" s="20" t="n">
        <f aca="false">IF(AND(HU96=0,AH96=1,PZ96&gt;0),MIN(PZ96,AI96),0)</f>
        <v>0</v>
      </c>
      <c r="QB96" s="20" t="n">
        <f aca="false">PZ96-QA96</f>
        <v>110051.470691561</v>
      </c>
      <c r="QC96" s="20" t="n">
        <f aca="false">IF(AND(HU96=0,W96=1,QB96&gt;0),MIN(QB96,X96),0)</f>
        <v>0</v>
      </c>
      <c r="QD96" s="20" t="n">
        <f aca="false">QB96-QC96</f>
        <v>110051.470691561</v>
      </c>
      <c r="QE96" s="20" t="n">
        <f aca="false">IF(HU96=0,QD96,0)</f>
        <v>110051.470691561</v>
      </c>
      <c r="QF96" s="20" t="n">
        <f aca="false">OM96+OO96+QC96+QA96+PY96+PW96+PU96+PS96+PQ96+PO96+PM96+PK96+PI96+PG96+PE96+PC96+PA96+OY96+OW96+OU96+OS96+OQ96</f>
        <v>0</v>
      </c>
      <c r="QG96" s="20" t="n">
        <f aca="false">IF(HU96=1,HK96+OJ96+OI96+IF(G96=1,0,OK96),HK96-OM96)</f>
        <v>0</v>
      </c>
      <c r="QH96" s="20" t="n">
        <f aca="false">HL96-OO96</f>
        <v>0</v>
      </c>
      <c r="QI96" s="20" t="n">
        <f aca="false">IF(HU96=1,IF(G96=1,ID96+IE96,HS96),0)</f>
        <v>0</v>
      </c>
      <c r="QJ96" s="20" t="n">
        <f aca="false">IF(HU96=1,IF(G96=1,HS96-ID96-IE96,0),0)</f>
        <v>0</v>
      </c>
      <c r="QK96" s="20" t="n">
        <f aca="false">QG96*(1+GR)</f>
        <v>0</v>
      </c>
      <c r="QL96" s="20" t="n">
        <f aca="false">QH96*(1+AS_Cash)</f>
        <v>0</v>
      </c>
      <c r="QM96" s="20" t="n">
        <f aca="false">IF(W96=1,IF(HU96=1,II96+IL96,X96-QC96)*(1+Slot1_Rate),0)</f>
        <v>0</v>
      </c>
      <c r="QN96" s="20" t="n">
        <f aca="false">IF(AND(HU96=1,W96=1),(IH96+IL96)/F96,0)</f>
        <v>0</v>
      </c>
      <c r="QO96" s="20" t="n">
        <f aca="false">IF(B96=0,IH96+IL96,0)</f>
        <v>0</v>
      </c>
      <c r="QP96" s="20" t="n">
        <f aca="false">IF(B96=0,IF(HU96=1,IJ96,IK96),0)</f>
        <v>0</v>
      </c>
      <c r="QQ96" s="20" t="n">
        <f aca="false">IF(AH96=1,IF(HU96=1,IQ96+IT96,AI96-QA96)*(1+Slot2_Rate),0)</f>
        <v>0</v>
      </c>
      <c r="QR96" s="20" t="n">
        <f aca="false">IF(AND(HU96=1,AH96=1),(IP96+IT96)/F96,0)</f>
        <v>0</v>
      </c>
      <c r="QS96" s="20" t="n">
        <f aca="false">IF(B96=0,IP96+IT96,0)</f>
        <v>0</v>
      </c>
      <c r="QT96" s="20" t="n">
        <f aca="false">IF(B96=0,IF(HU96=1,IR96,IS96),0)</f>
        <v>0</v>
      </c>
      <c r="QU96" s="20" t="n">
        <f aca="false">IF(AR96=1,IF(HU96=1,IY96+JB96,AS96-PY96)*(1+Slot3_Rate),0)</f>
        <v>0</v>
      </c>
      <c r="QV96" s="20" t="n">
        <f aca="false">IF(AND(HU96=1,AR96=1),(IX96+JB96)/F96,0)</f>
        <v>0</v>
      </c>
      <c r="QW96" s="20" t="n">
        <f aca="false">IF(B96=0,IX96+JB96,0)</f>
        <v>0</v>
      </c>
      <c r="QX96" s="20" t="n">
        <f aca="false">IF(B96=0,IF(HU96=1,IZ96,JA96),0)</f>
        <v>0</v>
      </c>
      <c r="QY96" s="20" t="n">
        <f aca="false">IF(BB96=1,IF(HU96=1,JG96+JJ96,BC96-PW96)*(1+Slot4_Rate),0)</f>
        <v>0</v>
      </c>
      <c r="QZ96" s="20" t="n">
        <f aca="false">IF(AND(HU96=1,BB96=1),(JF96+JJ96)/F96,0)</f>
        <v>0</v>
      </c>
      <c r="RA96" s="20" t="n">
        <f aca="false">IF(B96=0,JF96+JJ96,0)</f>
        <v>0</v>
      </c>
      <c r="RB96" s="20" t="n">
        <f aca="false">IF(B96=0,IF(HU96=1,JH96,JI96),0)</f>
        <v>0</v>
      </c>
      <c r="RC96" s="20" t="n">
        <f aca="false">IF(BL96=1,IF(HU96=1,JO96+JR96,BM96-PU96)*(1+Slot5_Rate),0)</f>
        <v>0</v>
      </c>
      <c r="RD96" s="20" t="n">
        <f aca="false">IF(AND(HU96=1,BL96=1),(JN96+JR96)/F96,0)</f>
        <v>0</v>
      </c>
      <c r="RE96" s="20" t="n">
        <f aca="false">IF(B96=0,JN96+JR96,0)</f>
        <v>0</v>
      </c>
      <c r="RF96" s="20" t="n">
        <f aca="false">IF(B96=0,IF(HU96=1,JP96,JQ96),0)</f>
        <v>0</v>
      </c>
      <c r="RG96" s="20" t="n">
        <f aca="false">IF(BV96=1,IF(HU96=1,JW96+JZ96,BW96-PS96)*(1+Slot6_Rate),0)</f>
        <v>0</v>
      </c>
      <c r="RH96" s="20" t="n">
        <f aca="false">IF(AND(HU96=1,BV96=1),(JV96+JZ96)/F96,0)</f>
        <v>0</v>
      </c>
      <c r="RI96" s="20" t="n">
        <f aca="false">IF(B96=0,JV96+JZ96,0)</f>
        <v>0</v>
      </c>
      <c r="RJ96" s="20" t="n">
        <f aca="false">IF(B96=0,IF(HU96=1,JX96,JY96),0)</f>
        <v>0</v>
      </c>
      <c r="RK96" s="20" t="n">
        <f aca="false">IF(CF96=1,IF(HU96=1,KE96+KH96,CG96-PQ96)*(1+Slot7_Rate),0)</f>
        <v>0</v>
      </c>
      <c r="RL96" s="20" t="n">
        <f aca="false">IF(AND(HU96=1,CF96=1),(KD96+KH96)/F96,0)</f>
        <v>0</v>
      </c>
      <c r="RM96" s="20" t="n">
        <f aca="false">IF(B96=0,KD96+KH96,0)</f>
        <v>0</v>
      </c>
      <c r="RN96" s="20" t="n">
        <f aca="false">IF(B96=0,IF(HU96=1,KF96,KG96),0)</f>
        <v>0</v>
      </c>
      <c r="RO96" s="20" t="n">
        <f aca="false">IF(CP96=1,IF(HU96=1,KM96+KP96,CQ96-PO96)*(1+Slot8_Rate),0)</f>
        <v>0</v>
      </c>
      <c r="RP96" s="20" t="n">
        <f aca="false">IF(AND(HU96=1,CP96=1),(KL96+KP96)/F96,0)</f>
        <v>0</v>
      </c>
      <c r="RQ96" s="20" t="n">
        <f aca="false">IF(B96=0,KL96+KP96,0)</f>
        <v>0</v>
      </c>
      <c r="RR96" s="20" t="n">
        <f aca="false">IF(B96=0,IF(HU96=1,KN96,KO96),0)</f>
        <v>0</v>
      </c>
      <c r="RS96" s="20" t="n">
        <f aca="false">IF(CZ96=1,IF(HU96=1,KU96+KX96,DA96-PM96)*(1+Slot9_Rate),0)</f>
        <v>0</v>
      </c>
      <c r="RT96" s="20" t="n">
        <f aca="false">IF(AND(HU96=1,CZ96=1),(KT96+KX96)/F96,0)</f>
        <v>0</v>
      </c>
      <c r="RU96" s="20" t="n">
        <f aca="false">IF(B96=0,KT96+KX96,0)</f>
        <v>0</v>
      </c>
      <c r="RV96" s="20" t="n">
        <f aca="false">IF(B96=0,IF(HU96=1,KV96,KW96),0)</f>
        <v>0</v>
      </c>
      <c r="RW96" s="20" t="n">
        <f aca="false">IF(DJ96=1,IF(HU96=1,LC96+LF96,DK96-PK96)*(1+Slot10_Rate),0)</f>
        <v>0</v>
      </c>
      <c r="RX96" s="20" t="n">
        <f aca="false">IF(AND(HU96=1,DJ96=1),(LB96+LF96)/F96,0)</f>
        <v>0</v>
      </c>
      <c r="RY96" s="20" t="n">
        <f aca="false">IF(B96=0,LB96+LF96,0)</f>
        <v>0</v>
      </c>
      <c r="RZ96" s="20" t="n">
        <f aca="false">IF(B96=0,IF(HU96=1,LD96,LE96),0)</f>
        <v>0</v>
      </c>
      <c r="SA96" s="20" t="n">
        <f aca="false">IF(DT96=1,IF(HU96=1,LK96+LN96,DU96-PI96)*(1+Slot11_Rate),0)</f>
        <v>0</v>
      </c>
      <c r="SB96" s="20" t="n">
        <f aca="false">IF(AND(HU96=1,DT96=1),(LJ96+LN96)/F96,0)</f>
        <v>0</v>
      </c>
      <c r="SC96" s="20" t="n">
        <f aca="false">IF(B96=0,LJ96+LN96,0)</f>
        <v>0</v>
      </c>
      <c r="SD96" s="20" t="n">
        <f aca="false">IF(B96=0,IF(HU96=1,LL96,LM96),0)</f>
        <v>0</v>
      </c>
      <c r="SE96" s="20" t="n">
        <f aca="false">IF(ED96=1,IF(HU96=1,LS96+LV96,EE96-PG96)*(1+Slot12_Rate),0)</f>
        <v>0</v>
      </c>
      <c r="SF96" s="20" t="n">
        <f aca="false">IF(AND(HU96=1,ED96=1),(LR96+LV96)/F96,0)</f>
        <v>0</v>
      </c>
      <c r="SG96" s="20" t="n">
        <f aca="false">IF(B96=0,LR96+LV96,0)</f>
        <v>0</v>
      </c>
      <c r="SH96" s="20" t="n">
        <f aca="false">IF(B96=0,IF(HU96=1,LT96,LU96),0)</f>
        <v>0</v>
      </c>
      <c r="SI96" s="20" t="n">
        <f aca="false">IF(EN96=1,IF(HU96=1,MA96+MD96,EO96-PE96)*(1+Slot13_Rate),0)</f>
        <v>0</v>
      </c>
      <c r="SJ96" s="20" t="n">
        <f aca="false">IF(AND(HU96=1,EN96=1),(LZ96+MD96)/F96,0)</f>
        <v>0</v>
      </c>
      <c r="SK96" s="20" t="n">
        <f aca="false">IF(B96=0,LZ96+MD96,0)</f>
        <v>0</v>
      </c>
      <c r="SL96" s="20" t="n">
        <f aca="false">IF(B96=0,IF(HU96=1,MB96,MC96),0)</f>
        <v>0</v>
      </c>
      <c r="SM96" s="20" t="n">
        <f aca="false">IF(EX96=1,IF(HU96=1,MI96+ML96,EY96-PC96)*(1+Slot14_Rate),0)</f>
        <v>0</v>
      </c>
      <c r="SN96" s="20" t="n">
        <f aca="false">IF(AND(HU96=1,EX96=1),(MH96+ML96)/F96,0)</f>
        <v>0</v>
      </c>
      <c r="SO96" s="20" t="n">
        <f aca="false">IF(B96=0,MH96+ML96,0)</f>
        <v>0</v>
      </c>
      <c r="SP96" s="20" t="n">
        <f aca="false">IF(B96=0,IF(HU96=1,MJ96,MK96),0)</f>
        <v>0</v>
      </c>
      <c r="SQ96" s="20" t="n">
        <f aca="false">IF(FH96=1,IF(HU96=1,MQ96+MT96,FI96-PA96)*(1+Slot15_Rate),0)</f>
        <v>0</v>
      </c>
      <c r="SR96" s="20" t="n">
        <f aca="false">IF(AND(HU96=1,FH96=1),(MP96+MT96)/F96,0)</f>
        <v>0</v>
      </c>
      <c r="SS96" s="20" t="n">
        <f aca="false">IF(B96=0,MP96+MT96,0)</f>
        <v>0</v>
      </c>
      <c r="ST96" s="20" t="n">
        <f aca="false">IF(B96=0,IF(HU96=1,MR96,MS96),0)</f>
        <v>0</v>
      </c>
      <c r="SU96" s="20" t="n">
        <f aca="false">IF(FR96=1,IF(HU96=1,MY96+NB96,FS96-OY96)*(1+Slot16_Rate),0)</f>
        <v>0</v>
      </c>
      <c r="SV96" s="20" t="n">
        <f aca="false">IF(AND(HU96=1,FR96=1),(MX96+NB96)/F96,0)</f>
        <v>0</v>
      </c>
      <c r="SW96" s="20" t="n">
        <f aca="false">IF(B96=0,MX96+NB96,0)</f>
        <v>0</v>
      </c>
      <c r="SX96" s="20" t="n">
        <f aca="false">IF(B96=0,IF(HU96=1,MZ96,NA96),0)</f>
        <v>0</v>
      </c>
      <c r="SY96" s="20" t="n">
        <f aca="false">IF(GB96=1,IF(HU96=1,NG96+NJ96,GC96-OW96)*(1+Slot17_Rate),0)</f>
        <v>0</v>
      </c>
      <c r="SZ96" s="20" t="n">
        <f aca="false">IF(AND(HU96=1,GB96=1),(NF96+NJ96)/F96,0)</f>
        <v>0</v>
      </c>
      <c r="TA96" s="20" t="n">
        <f aca="false">IF(B96=0,NF96+NJ96,0)</f>
        <v>0</v>
      </c>
      <c r="TB96" s="20" t="n">
        <f aca="false">IF(B96=0,IF(HU96=1,NH96,NI96),0)</f>
        <v>0</v>
      </c>
      <c r="TC96" s="20" t="n">
        <f aca="false">IF(GL96=1,IF(HU96=1,NO96+NR96,GM96-OU96)*(1+Slot18_Rate),0)</f>
        <v>0</v>
      </c>
      <c r="TD96" s="20" t="n">
        <f aca="false">IF(AND(HU96=1,GL96=1),(NN96+NR96)/F96,0)</f>
        <v>0</v>
      </c>
      <c r="TE96" s="20" t="n">
        <f aca="false">IF(B96=0,NN96+NR96,0)</f>
        <v>0</v>
      </c>
      <c r="TF96" s="20" t="n">
        <f aca="false">IF(B96=0,IF(HU96=1,NP96,NQ96),0)</f>
        <v>0</v>
      </c>
      <c r="TG96" s="20" t="n">
        <f aca="false">IF(GV96=1,IF(HU96=1,NW96+NZ96,GW96-OS96)*(1+Slot19_Rate),0)</f>
        <v>0</v>
      </c>
      <c r="TH96" s="20" t="n">
        <f aca="false">IF(AND(HU96=1,GV96=1),(NV96+NZ96)/F96,0)</f>
        <v>0</v>
      </c>
      <c r="TI96" s="20" t="n">
        <f aca="false">IF(B96=0,NV96+NZ96,0)</f>
        <v>0</v>
      </c>
      <c r="TJ96" s="20" t="n">
        <f aca="false">IF(B96=0,IF(HU96=1,NX96,NY96),0)</f>
        <v>0</v>
      </c>
      <c r="TK96" s="20" t="n">
        <f aca="false">IF(HF96=1,IF(HU96=1,OE96+OH96,HG96-OQ96)*(1+Slot20_Rate),0)</f>
        <v>0</v>
      </c>
      <c r="TL96" s="20" t="n">
        <f aca="false">IF(AND(HU96=1,HF96=1),(OD96+OH96)/F96,0)</f>
        <v>0</v>
      </c>
      <c r="TM96" s="20" t="n">
        <f aca="false">IF(B96=0,OD96+OH96,0)</f>
        <v>0</v>
      </c>
      <c r="TN96" s="20" t="n">
        <f aca="false">IF(B96=0,IF(HU96=1,OF96,OG96),0)</f>
        <v>0</v>
      </c>
      <c r="TO96" s="20" t="n">
        <f aca="false">QK96+QL96+QM96+QQ96+QU96+QY96+RC96+RG96+RK96+RO96+RS96+RW96+SA96+SE96+SI96+SM96+SQ96+SU96+SY96+TC96+TG96+TK96</f>
        <v>0</v>
      </c>
      <c r="TP96" s="20" t="n">
        <f aca="false">QE96+HP96</f>
        <v>110051.470691561</v>
      </c>
      <c r="TQ96" s="20" t="n">
        <f aca="false">I96+S96</f>
        <v>273050.522335064</v>
      </c>
      <c r="TR96" s="20" t="n">
        <f aca="false">1-G96</f>
        <v>1</v>
      </c>
      <c r="TS96" s="20" t="n">
        <f aca="false">IF(AND(RG_Exists=1,G96=0,C96=1),I96,0)</f>
        <v>0</v>
      </c>
      <c r="TT96" s="20" t="n">
        <f aca="false">IF(AND(RG_Exists=1,G96=0,C96=1),I96-MIN(QE96,I96),0)</f>
        <v>0</v>
      </c>
      <c r="TU96" s="20" t="n">
        <f aca="false">'Plan pay &amp; tax'!AD322</f>
        <v>0</v>
      </c>
      <c r="TV96" s="20" t="n">
        <f aca="false">IF(AND(C96=1,QE96&gt;MAX(PR_Short1,TQ96*PR_Short2)),1,0)</f>
        <v>0</v>
      </c>
      <c r="TW96" s="20" t="n">
        <f aca="false">MIN(H96,I96+S96)</f>
        <v>162999.051643503</v>
      </c>
      <c r="TX96" s="20" t="n">
        <f aca="false">QF96+MAX(0,HQ96-HP96)</f>
        <v>0</v>
      </c>
      <c r="TY96" s="20" t="n">
        <f aca="false">QE96+HP96</f>
        <v>110051.470691561</v>
      </c>
      <c r="TZ96" s="20" t="n">
        <f aca="false">IF(AND(C96=1,TY96&gt;PR_MinShort),1,0)</f>
        <v>0</v>
      </c>
      <c r="UA96" s="20" t="n">
        <f aca="false">IF(AND(C96=1,TZ96=0,TX96&gt;PR_MinShort),1,0)</f>
        <v>0</v>
      </c>
      <c r="UB96" s="20" t="n">
        <f aca="false">IF(AND(C96=1,QE96&gt;PR_MinShort),1,0)</f>
        <v>0</v>
      </c>
      <c r="UC96" s="20" t="n">
        <f aca="false">IF(AND(C96=1,QF96&gt;1,UJ96=0),1,0)</f>
        <v>0</v>
      </c>
      <c r="UD96" s="20" t="str">
        <f aca="false">IF(C96=0,"",IF(UJ96=1,"Gap to plan for: short "&amp;"€"&amp;TEXT(ROUND(TP96,0),"#,##0"),IF(QF96&gt;1,"Using savings","Comfortable")))</f>
        <v/>
      </c>
      <c r="UE96" s="20" t="n">
        <f aca="false">IF(AND(INT(D96/10)*10=90,B96&gt;0),80,INT(D96/10)*10)</f>
        <v>120</v>
      </c>
      <c r="UF96" s="20" t="n">
        <f aca="false">IF(B96=0,1,IF(UE96&lt;&gt;UE95,UF95+1,UF95))</f>
        <v>9</v>
      </c>
      <c r="UG96" s="20" t="n">
        <f aca="false">IF(AND(C96=1,G96=1,QE96&gt;MAX(PR_Short1,TQ96*PR_Short2)),1,0)</f>
        <v>0</v>
      </c>
      <c r="UH96" s="20" t="n">
        <f aca="false">TR96*TV96</f>
        <v>0</v>
      </c>
      <c r="UI96" s="20" t="n">
        <f aca="false">IF(AND(V96=1,Slot1_PctLow=1),1,0)+IF(AND(AG96=1,Slot2_PctLow=1),1,0)+IF(AND(AQ96=1,Slot3_PctLow=1),1,0)+IF(AND(BA96=1,Slot4_PctLow=1),1,0)+IF(AND(BK96=1,Slot5_PctLow=1),1,0)+IF(AND(BU96=1,Slot6_PctLow=1),1,0)+IF(AND(CE96=1,Slot7_PctLow=1),1,0)+IF(AND(CO96=1,Slot8_PctLow=1),1,0)+IF(AND(CY96=1,Slot9_PctLow=1),1,0)+IF(AND(DI96=1,Slot10_PctLow=1),1,0)+IF(AND(DS96=1,Slot11_PctLow=1),1,0)+IF(AND(EC96=1,Slot12_PctLow=1),1,0)+IF(AND(EM96=1,Slot13_PctLow=1),1,0)+IF(AND(EW96=1,Slot14_PctLow=1),1,0)+IF(AND(FG96=1,Slot15_PctLow=1),1,0)+IF(AND(FQ96=1,Slot16_PctLow=1),1,0)+IF(AND(GA96=1,Slot17_PctLow=1),1,0)+IF(AND(GK96=1,Slot18_PctLow=1),1,0)+IF(AND(GU96=1,Slot19_PctLow=1),1,0)+IF(AND(HE96=1,Slot20_PctLow=1),1,0)</f>
        <v>0</v>
      </c>
      <c r="UJ96" s="20" t="n">
        <f aca="false">IF(C96=1,IF(OR(TV96=1,UI96&gt;0),1,0),0)</f>
        <v>0</v>
      </c>
    </row>
    <row r="97" customFormat="false" ht="15" hidden="false" customHeight="true" outlineLevel="0" collapsed="false">
      <c r="B97" s="20" t="n">
        <v>89</v>
      </c>
      <c r="C97" s="20" t="n">
        <f aca="false">IF(B97&lt;=F_N,1,0)</f>
        <v>0</v>
      </c>
      <c r="D97" s="20" t="n">
        <f aca="false">'Plan pay &amp; tax'!C323</f>
        <v>127</v>
      </c>
      <c r="E97" s="20" t="str">
        <f aca="false">IF($C97=1,"Income tax "&amp;TEXT(N('Plan pay &amp; tax'!BK323),"#,##0")&amp;"; USC "&amp;TEXT(N('Plan pay &amp; tax'!BM323)+N('Plan pay &amp; tax'!BO323),"#,##0")&amp;"; PRSI "&amp;TEXT(N('Plan pay &amp; tax'!BP323)+N('Plan pay &amp; tax'!BQ323),"#,##0")&amp;". DIRT and exit tax are inside the growth rates here.","")</f>
        <v/>
      </c>
      <c r="F97" s="44" t="n">
        <f aca="false">'Plan pay &amp; tax'!E323</f>
        <v>5.82660110422104</v>
      </c>
      <c r="G97" s="20" t="n">
        <f aca="false">'Plan pay &amp; tax'!G323</f>
        <v>0</v>
      </c>
      <c r="H97" s="20" t="n">
        <f aca="false">'Plan pay &amp; tax'!BT323-'Plan pay &amp; tax'!BS323-'Plan pay &amp; tax'!R323</f>
        <v>166259.032676373</v>
      </c>
      <c r="I97" s="20" t="n">
        <f aca="false">IF(G97=1,F_CostsM*12,IF(RG_Exists=1,RG_Amount,F_CostsM*12*AS_RetireSpend))*F97+F_OneOffY*F97</f>
        <v>278511.532781766</v>
      </c>
      <c r="J97" s="20" t="n">
        <f aca="false">HR96</f>
        <v>0</v>
      </c>
      <c r="K97" s="20" t="n">
        <f aca="false">IF(J97&gt;1,'Plan debt months'!AC97,0)</f>
        <v>0</v>
      </c>
      <c r="L97" s="20" t="n">
        <f aca="false">IF(J97&gt;1,'Plan debt months'!AB97,J97)</f>
        <v>0</v>
      </c>
      <c r="M97" s="20" t="n">
        <f aca="false">O96</f>
        <v>0</v>
      </c>
      <c r="N97" s="20" t="n">
        <f aca="false">IF(M97&gt;1,'Plan debt months'!BD97,0)</f>
        <v>0</v>
      </c>
      <c r="O97" s="20" t="n">
        <f aca="false">IF(M97&gt;1,'Plan debt months'!BC97,M97)</f>
        <v>0</v>
      </c>
      <c r="P97" s="20" t="n">
        <f aca="false">R96</f>
        <v>0</v>
      </c>
      <c r="Q97" s="20" t="n">
        <f aca="false">IF(P97&gt;1,'Plan debt months'!CE97,0)</f>
        <v>0</v>
      </c>
      <c r="R97" s="20" t="n">
        <f aca="false">IF(P97&gt;1,'Plan debt months'!CD97,P97)</f>
        <v>0</v>
      </c>
      <c r="S97" s="20" t="n">
        <f aca="false">K97+N97+Q97</f>
        <v>0</v>
      </c>
      <c r="T97" s="20" t="n">
        <f aca="false">QK96+'Plan pay &amp; tax'!Y323</f>
        <v>0</v>
      </c>
      <c r="U97" s="20" t="n">
        <f aca="false">QK96</f>
        <v>0</v>
      </c>
      <c r="V97" s="20" t="n">
        <f aca="false">IF(AND(Slot1_On=1,D97=Slot1_Age),1,0)</f>
        <v>0</v>
      </c>
      <c r="W97" s="20" t="n">
        <f aca="false">IF(AND(Slot1_On=1,Slot1_Age&gt;D97),1,0)</f>
        <v>0</v>
      </c>
      <c r="X97" s="20" t="n">
        <f aca="false">QM96</f>
        <v>0</v>
      </c>
      <c r="Y97" s="20" t="n">
        <f aca="false">V97*MIN(Slot1_Cost,X97)</f>
        <v>0</v>
      </c>
      <c r="Z97" s="20" t="n">
        <f aca="false">V97*Slot1_SpendLike*MIN(Slot1_Cost-Y97,T97)</f>
        <v>0</v>
      </c>
      <c r="AA97" s="20" t="n">
        <f aca="false">Y97+Z97</f>
        <v>0</v>
      </c>
      <c r="AB97" s="20" t="n">
        <f aca="false">T97-Z97+V97*IF(Slot1_SpendLike=1,X97-Y97,IF(Slot1_PotFree=1,X97,0))</f>
        <v>0</v>
      </c>
      <c r="AC97" s="20" t="n">
        <f aca="false">AF97+V97*Slot1_BufPot*X97</f>
        <v>0</v>
      </c>
      <c r="AD97" s="20" t="n">
        <f aca="false">IF(AND(V97=1,Slot1_IsMfree=1),IF(AA97&gt;=Slot1_Cost-1,0,MAX(0,L97-AA97)),L97)</f>
        <v>0</v>
      </c>
      <c r="AE97" s="20" t="n">
        <f aca="false">V97*(Slot1_Cost-AA97)</f>
        <v>0</v>
      </c>
      <c r="AF97" s="20" t="n">
        <f aca="false">QL96</f>
        <v>0</v>
      </c>
      <c r="AG97" s="20" t="n">
        <f aca="false">IF(AND(Slot2_On=1,D97=Slot2_Age),1,0)</f>
        <v>0</v>
      </c>
      <c r="AH97" s="20" t="n">
        <f aca="false">IF(AND(Slot2_On=1,Slot2_Age&gt;D97),1,0)</f>
        <v>0</v>
      </c>
      <c r="AI97" s="20" t="n">
        <f aca="false">QQ96</f>
        <v>0</v>
      </c>
      <c r="AJ97" s="20" t="n">
        <f aca="false">AG97*MIN(Slot2_Cost,AI97)</f>
        <v>0</v>
      </c>
      <c r="AK97" s="20" t="n">
        <f aca="false">AG97*Slot2_SpendLike*MIN(Slot2_Cost-AJ97,AB97)</f>
        <v>0</v>
      </c>
      <c r="AL97" s="20" t="n">
        <f aca="false">AJ97+AK97</f>
        <v>0</v>
      </c>
      <c r="AM97" s="20" t="n">
        <f aca="false">AB97-AK97+AG97*IF(Slot2_SpendLike=1,AI97-AJ97,IF(Slot2_PotFree=1,AI97,0))</f>
        <v>0</v>
      </c>
      <c r="AN97" s="20" t="n">
        <f aca="false">AC97+AG97*Slot2_BufPot*AI97</f>
        <v>0</v>
      </c>
      <c r="AO97" s="20" t="n">
        <f aca="false">IF(AND(AG97=1,Slot2_IsMfree=1),IF(AL97&gt;=Slot2_Cost-1,0,MAX(0,AD97-AL97)),AD97)</f>
        <v>0</v>
      </c>
      <c r="AP97" s="20" t="n">
        <f aca="false">AG97*(Slot2_Cost-AL97)</f>
        <v>0</v>
      </c>
      <c r="AQ97" s="20" t="n">
        <f aca="false">IF(AND(Slot3_On=1,D97=Slot3_Age),1,0)</f>
        <v>0</v>
      </c>
      <c r="AR97" s="20" t="n">
        <f aca="false">IF(AND(Slot3_On=1,Slot3_Age&gt;D97),1,0)</f>
        <v>0</v>
      </c>
      <c r="AS97" s="20" t="n">
        <f aca="false">QU96</f>
        <v>0</v>
      </c>
      <c r="AT97" s="20" t="n">
        <f aca="false">AQ97*MIN(Slot3_Cost,AS97)</f>
        <v>0</v>
      </c>
      <c r="AU97" s="20" t="n">
        <f aca="false">AQ97*Slot3_SpendLike*MIN(Slot3_Cost-AT97,AM97)</f>
        <v>0</v>
      </c>
      <c r="AV97" s="20" t="n">
        <f aca="false">AT97+AU97</f>
        <v>0</v>
      </c>
      <c r="AW97" s="20" t="n">
        <f aca="false">AM97-AU97+AQ97*IF(Slot3_SpendLike=1,AS97-AT97,IF(Slot3_PotFree=1,AS97,0))</f>
        <v>0</v>
      </c>
      <c r="AX97" s="20" t="n">
        <f aca="false">AN97+AQ97*Slot3_BufPot*AS97</f>
        <v>0</v>
      </c>
      <c r="AY97" s="20" t="n">
        <f aca="false">IF(AND(AQ97=1,Slot3_IsMfree=1),IF(AV97&gt;=Slot3_Cost-1,0,MAX(0,AO97-AV97)),AO97)</f>
        <v>0</v>
      </c>
      <c r="AZ97" s="20" t="n">
        <f aca="false">AQ97*(Slot3_Cost-AV97)</f>
        <v>0</v>
      </c>
      <c r="BA97" s="20" t="n">
        <f aca="false">IF(AND(Slot4_On=1,D97=Slot4_Age),1,0)</f>
        <v>0</v>
      </c>
      <c r="BB97" s="20" t="n">
        <f aca="false">IF(AND(Slot4_On=1,Slot4_Age&gt;D97),1,0)</f>
        <v>0</v>
      </c>
      <c r="BC97" s="20" t="n">
        <f aca="false">QY96</f>
        <v>0</v>
      </c>
      <c r="BD97" s="20" t="n">
        <f aca="false">BA97*MIN(Slot4_Cost,BC97)</f>
        <v>0</v>
      </c>
      <c r="BE97" s="20" t="n">
        <f aca="false">BA97*Slot4_SpendLike*MIN(Slot4_Cost-BD97,AW97)</f>
        <v>0</v>
      </c>
      <c r="BF97" s="20" t="n">
        <f aca="false">BD97+BE97</f>
        <v>0</v>
      </c>
      <c r="BG97" s="20" t="n">
        <f aca="false">AW97-BE97+BA97*IF(Slot4_SpendLike=1,BC97-BD97,IF(Slot4_PotFree=1,BC97,0))</f>
        <v>0</v>
      </c>
      <c r="BH97" s="20" t="n">
        <f aca="false">AX97+BA97*Slot4_BufPot*BC97</f>
        <v>0</v>
      </c>
      <c r="BI97" s="20" t="n">
        <f aca="false">IF(AND(BA97=1,Slot4_IsMfree=1),IF(BF97&gt;=Slot4_Cost-1,0,MAX(0,AY97-BF97)),AY97)</f>
        <v>0</v>
      </c>
      <c r="BJ97" s="20" t="n">
        <f aca="false">BA97*(Slot4_Cost-BF97)</f>
        <v>0</v>
      </c>
      <c r="BK97" s="20" t="n">
        <f aca="false">IF(AND(Slot5_On=1,D97=Slot5_Age),1,0)</f>
        <v>0</v>
      </c>
      <c r="BL97" s="20" t="n">
        <f aca="false">IF(AND(Slot5_On=1,Slot5_Age&gt;D97),1,0)</f>
        <v>0</v>
      </c>
      <c r="BM97" s="20" t="n">
        <f aca="false">RC96</f>
        <v>0</v>
      </c>
      <c r="BN97" s="20" t="n">
        <f aca="false">BK97*MIN(Slot5_Cost,BM97)</f>
        <v>0</v>
      </c>
      <c r="BO97" s="20" t="n">
        <f aca="false">BK97*Slot5_SpendLike*MIN(Slot5_Cost-BN97,BG97)</f>
        <v>0</v>
      </c>
      <c r="BP97" s="20" t="n">
        <f aca="false">BN97+BO97</f>
        <v>0</v>
      </c>
      <c r="BQ97" s="20" t="n">
        <f aca="false">BG97-BO97+BK97*IF(Slot5_SpendLike=1,BM97-BN97,IF(Slot5_PotFree=1,BM97,0))</f>
        <v>0</v>
      </c>
      <c r="BR97" s="20" t="n">
        <f aca="false">BH97+BK97*Slot5_BufPot*BM97</f>
        <v>0</v>
      </c>
      <c r="BS97" s="20" t="n">
        <f aca="false">IF(AND(BK97=1,Slot5_IsMfree=1),IF(BP97&gt;=Slot5_Cost-1,0,MAX(0,BI97-BP97)),BI97)</f>
        <v>0</v>
      </c>
      <c r="BT97" s="20" t="n">
        <f aca="false">BK97*(Slot5_Cost-BP97)</f>
        <v>0</v>
      </c>
      <c r="BU97" s="20" t="n">
        <f aca="false">IF(AND(Slot6_On=1,D97=Slot6_Age),1,0)</f>
        <v>0</v>
      </c>
      <c r="BV97" s="20" t="n">
        <f aca="false">IF(AND(Slot6_On=1,Slot6_Age&gt;D97),1,0)</f>
        <v>0</v>
      </c>
      <c r="BW97" s="20" t="n">
        <f aca="false">RG96</f>
        <v>0</v>
      </c>
      <c r="BX97" s="20" t="n">
        <f aca="false">BU97*MIN(Slot6_Cost,BW97)</f>
        <v>0</v>
      </c>
      <c r="BY97" s="20" t="n">
        <f aca="false">BU97*Slot6_SpendLike*MIN(Slot6_Cost-BX97,BQ97)</f>
        <v>0</v>
      </c>
      <c r="BZ97" s="20" t="n">
        <f aca="false">BX97+BY97</f>
        <v>0</v>
      </c>
      <c r="CA97" s="20" t="n">
        <f aca="false">BQ97-BY97+BU97*IF(Slot6_SpendLike=1,BW97-BX97,IF(Slot6_PotFree=1,BW97,0))</f>
        <v>0</v>
      </c>
      <c r="CB97" s="20" t="n">
        <f aca="false">BR97+BU97*Slot6_BufPot*BW97</f>
        <v>0</v>
      </c>
      <c r="CC97" s="20" t="n">
        <f aca="false">IF(AND(BU97=1,Slot6_IsMfree=1),IF(BZ97&gt;=Slot6_Cost-1,0,MAX(0,BS97-BZ97)),BS97)</f>
        <v>0</v>
      </c>
      <c r="CD97" s="20" t="n">
        <f aca="false">BU97*(Slot6_Cost-BZ97)</f>
        <v>0</v>
      </c>
      <c r="CE97" s="20" t="n">
        <f aca="false">IF(AND(Slot7_On=1,D97=Slot7_Age),1,0)</f>
        <v>0</v>
      </c>
      <c r="CF97" s="20" t="n">
        <f aca="false">IF(AND(Slot7_On=1,Slot7_Age&gt;D97),1,0)</f>
        <v>0</v>
      </c>
      <c r="CG97" s="20" t="n">
        <f aca="false">RK96</f>
        <v>0</v>
      </c>
      <c r="CH97" s="20" t="n">
        <f aca="false">CE97*MIN(Slot7_Cost,CG97)</f>
        <v>0</v>
      </c>
      <c r="CI97" s="20" t="n">
        <f aca="false">CE97*Slot7_SpendLike*MIN(Slot7_Cost-CH97,CA97)</f>
        <v>0</v>
      </c>
      <c r="CJ97" s="20" t="n">
        <f aca="false">CH97+CI97</f>
        <v>0</v>
      </c>
      <c r="CK97" s="20" t="n">
        <f aca="false">CA97-CI97+CE97*IF(Slot7_SpendLike=1,CG97-CH97,IF(Slot7_PotFree=1,CG97,0))</f>
        <v>0</v>
      </c>
      <c r="CL97" s="20" t="n">
        <f aca="false">CB97+CE97*Slot7_BufPot*CG97</f>
        <v>0</v>
      </c>
      <c r="CM97" s="20" t="n">
        <f aca="false">IF(AND(CE97=1,Slot7_IsMfree=1),IF(CJ97&gt;=Slot7_Cost-1,0,MAX(0,CC97-CJ97)),CC97)</f>
        <v>0</v>
      </c>
      <c r="CN97" s="20" t="n">
        <f aca="false">CE97*(Slot7_Cost-CJ97)</f>
        <v>0</v>
      </c>
      <c r="CO97" s="20" t="n">
        <f aca="false">IF(AND(Slot8_On=1,D97=Slot8_Age),1,0)</f>
        <v>0</v>
      </c>
      <c r="CP97" s="20" t="n">
        <f aca="false">IF(AND(Slot8_On=1,Slot8_Age&gt;D97),1,0)</f>
        <v>0</v>
      </c>
      <c r="CQ97" s="20" t="n">
        <f aca="false">RO96</f>
        <v>0</v>
      </c>
      <c r="CR97" s="20" t="n">
        <f aca="false">CO97*MIN(Slot8_Cost,CQ97)</f>
        <v>0</v>
      </c>
      <c r="CS97" s="20" t="n">
        <f aca="false">CO97*Slot8_SpendLike*MIN(Slot8_Cost-CR97,CK97)</f>
        <v>0</v>
      </c>
      <c r="CT97" s="20" t="n">
        <f aca="false">CR97+CS97</f>
        <v>0</v>
      </c>
      <c r="CU97" s="20" t="n">
        <f aca="false">CK97-CS97+CO97*IF(Slot8_SpendLike=1,CQ97-CR97,IF(Slot8_PotFree=1,CQ97,0))</f>
        <v>0</v>
      </c>
      <c r="CV97" s="20" t="n">
        <f aca="false">CL97+CO97*Slot8_BufPot*CQ97</f>
        <v>0</v>
      </c>
      <c r="CW97" s="20" t="n">
        <f aca="false">IF(AND(CO97=1,Slot8_IsMfree=1),IF(CT97&gt;=Slot8_Cost-1,0,MAX(0,CM97-CT97)),CM97)</f>
        <v>0</v>
      </c>
      <c r="CX97" s="20" t="n">
        <f aca="false">CO97*(Slot8_Cost-CT97)</f>
        <v>0</v>
      </c>
      <c r="CY97" s="20" t="n">
        <f aca="false">IF(AND(Slot9_On=1,D97=Slot9_Age),1,0)</f>
        <v>0</v>
      </c>
      <c r="CZ97" s="20" t="n">
        <f aca="false">IF(AND(Slot9_On=1,Slot9_Age&gt;D97),1,0)</f>
        <v>0</v>
      </c>
      <c r="DA97" s="20" t="n">
        <f aca="false">RS96</f>
        <v>0</v>
      </c>
      <c r="DB97" s="20" t="n">
        <f aca="false">CY97*MIN(Slot9_Cost,DA97)</f>
        <v>0</v>
      </c>
      <c r="DC97" s="20" t="n">
        <f aca="false">CY97*Slot9_SpendLike*MIN(Slot9_Cost-DB97,CU97)</f>
        <v>0</v>
      </c>
      <c r="DD97" s="20" t="n">
        <f aca="false">DB97+DC97</f>
        <v>0</v>
      </c>
      <c r="DE97" s="20" t="n">
        <f aca="false">CU97-DC97+CY97*IF(Slot9_SpendLike=1,DA97-DB97,IF(Slot9_PotFree=1,DA97,0))</f>
        <v>0</v>
      </c>
      <c r="DF97" s="20" t="n">
        <f aca="false">CV97+CY97*Slot9_BufPot*DA97</f>
        <v>0</v>
      </c>
      <c r="DG97" s="20" t="n">
        <f aca="false">IF(AND(CY97=1,Slot9_IsMfree=1),IF(DD97&gt;=Slot9_Cost-1,0,MAX(0,CW97-DD97)),CW97)</f>
        <v>0</v>
      </c>
      <c r="DH97" s="20" t="n">
        <f aca="false">CY97*(Slot9_Cost-DD97)</f>
        <v>0</v>
      </c>
      <c r="DI97" s="20" t="n">
        <f aca="false">IF(AND(Slot10_On=1,D97=Slot10_Age),1,0)</f>
        <v>0</v>
      </c>
      <c r="DJ97" s="20" t="n">
        <f aca="false">IF(AND(Slot10_On=1,Slot10_Age&gt;D97),1,0)</f>
        <v>0</v>
      </c>
      <c r="DK97" s="20" t="n">
        <f aca="false">RW96</f>
        <v>0</v>
      </c>
      <c r="DL97" s="20" t="n">
        <f aca="false">DI97*MIN(Slot10_Cost,DK97)</f>
        <v>0</v>
      </c>
      <c r="DM97" s="20" t="n">
        <f aca="false">DI97*Slot10_SpendLike*MIN(Slot10_Cost-DL97,DE97)</f>
        <v>0</v>
      </c>
      <c r="DN97" s="20" t="n">
        <f aca="false">DL97+DM97</f>
        <v>0</v>
      </c>
      <c r="DO97" s="20" t="n">
        <f aca="false">DE97-DM97+DI97*IF(Slot10_SpendLike=1,DK97-DL97,IF(Slot10_PotFree=1,DK97,0))</f>
        <v>0</v>
      </c>
      <c r="DP97" s="20" t="n">
        <f aca="false">DF97+DI97*Slot10_BufPot*DK97</f>
        <v>0</v>
      </c>
      <c r="DQ97" s="20" t="n">
        <f aca="false">IF(AND(DI97=1,Slot10_IsMfree=1),IF(DN97&gt;=Slot10_Cost-1,0,MAX(0,DG97-DN97)),DG97)</f>
        <v>0</v>
      </c>
      <c r="DR97" s="20" t="n">
        <f aca="false">DI97*(Slot10_Cost-DN97)</f>
        <v>0</v>
      </c>
      <c r="DS97" s="20" t="n">
        <f aca="false">IF(AND(Slot11_On=1,D97=Slot11_Age),1,0)</f>
        <v>0</v>
      </c>
      <c r="DT97" s="20" t="n">
        <f aca="false">IF(AND(Slot11_On=1,Slot11_Age&gt;D97),1,0)</f>
        <v>0</v>
      </c>
      <c r="DU97" s="20" t="n">
        <f aca="false">SA96</f>
        <v>0</v>
      </c>
      <c r="DV97" s="20" t="n">
        <f aca="false">DS97*MIN(Slot11_Cost,DU97)</f>
        <v>0</v>
      </c>
      <c r="DW97" s="20" t="n">
        <f aca="false">DS97*Slot11_SpendLike*MIN(Slot11_Cost-DV97,DO97)</f>
        <v>0</v>
      </c>
      <c r="DX97" s="20" t="n">
        <f aca="false">DV97+DW97</f>
        <v>0</v>
      </c>
      <c r="DY97" s="20" t="n">
        <f aca="false">DO97-DW97+DS97*IF(Slot11_SpendLike=1,DU97-DV97,IF(Slot11_PotFree=1,DU97,0))</f>
        <v>0</v>
      </c>
      <c r="DZ97" s="20" t="n">
        <f aca="false">DP97+DS97*Slot11_BufPot*DU97</f>
        <v>0</v>
      </c>
      <c r="EA97" s="20" t="n">
        <f aca="false">IF(AND(DS97=1,Slot11_IsMfree=1),IF(DX97&gt;=Slot11_Cost-1,0,MAX(0,DQ97-DX97)),DQ97)</f>
        <v>0</v>
      </c>
      <c r="EB97" s="20" t="n">
        <f aca="false">DS97*(Slot11_Cost-DX97)</f>
        <v>0</v>
      </c>
      <c r="EC97" s="20" t="n">
        <f aca="false">IF(AND(Slot12_On=1,D97=Slot12_Age),1,0)</f>
        <v>0</v>
      </c>
      <c r="ED97" s="20" t="n">
        <f aca="false">IF(AND(Slot12_On=1,Slot12_Age&gt;D97),1,0)</f>
        <v>0</v>
      </c>
      <c r="EE97" s="20" t="n">
        <f aca="false">SE96</f>
        <v>0</v>
      </c>
      <c r="EF97" s="20" t="n">
        <f aca="false">EC97*MIN(Slot12_Cost,EE97)</f>
        <v>0</v>
      </c>
      <c r="EG97" s="20" t="n">
        <f aca="false">EC97*Slot12_SpendLike*MIN(Slot12_Cost-EF97,DY97)</f>
        <v>0</v>
      </c>
      <c r="EH97" s="20" t="n">
        <f aca="false">EF97+EG97</f>
        <v>0</v>
      </c>
      <c r="EI97" s="20" t="n">
        <f aca="false">DY97-EG97+EC97*IF(Slot12_SpendLike=1,EE97-EF97,IF(Slot12_PotFree=1,EE97,0))</f>
        <v>0</v>
      </c>
      <c r="EJ97" s="20" t="n">
        <f aca="false">DZ97+EC97*Slot12_BufPot*EE97</f>
        <v>0</v>
      </c>
      <c r="EK97" s="20" t="n">
        <f aca="false">IF(AND(EC97=1,Slot12_IsMfree=1),IF(EH97&gt;=Slot12_Cost-1,0,MAX(0,EA97-EH97)),EA97)</f>
        <v>0</v>
      </c>
      <c r="EL97" s="20" t="n">
        <f aca="false">EC97*(Slot12_Cost-EH97)</f>
        <v>0</v>
      </c>
      <c r="EM97" s="20" t="n">
        <f aca="false">IF(AND(Slot13_On=1,D97=Slot13_Age),1,0)</f>
        <v>0</v>
      </c>
      <c r="EN97" s="20" t="n">
        <f aca="false">IF(AND(Slot13_On=1,Slot13_Age&gt;D97),1,0)</f>
        <v>0</v>
      </c>
      <c r="EO97" s="20" t="n">
        <f aca="false">SI96</f>
        <v>0</v>
      </c>
      <c r="EP97" s="20" t="n">
        <f aca="false">EM97*MIN(Slot13_Cost,EO97)</f>
        <v>0</v>
      </c>
      <c r="EQ97" s="20" t="n">
        <f aca="false">EM97*Slot13_SpendLike*MIN(Slot13_Cost-EP97,EI97)</f>
        <v>0</v>
      </c>
      <c r="ER97" s="20" t="n">
        <f aca="false">EP97+EQ97</f>
        <v>0</v>
      </c>
      <c r="ES97" s="20" t="n">
        <f aca="false">EI97-EQ97+EM97*IF(Slot13_SpendLike=1,EO97-EP97,IF(Slot13_PotFree=1,EO97,0))</f>
        <v>0</v>
      </c>
      <c r="ET97" s="20" t="n">
        <f aca="false">EJ97+EM97*Slot13_BufPot*EO97</f>
        <v>0</v>
      </c>
      <c r="EU97" s="20" t="n">
        <f aca="false">IF(AND(EM97=1,Slot13_IsMfree=1),IF(ER97&gt;=Slot13_Cost-1,0,MAX(0,EK97-ER97)),EK97)</f>
        <v>0</v>
      </c>
      <c r="EV97" s="20" t="n">
        <f aca="false">EM97*(Slot13_Cost-ER97)</f>
        <v>0</v>
      </c>
      <c r="EW97" s="20" t="n">
        <f aca="false">IF(AND(Slot14_On=1,D97=Slot14_Age),1,0)</f>
        <v>0</v>
      </c>
      <c r="EX97" s="20" t="n">
        <f aca="false">IF(AND(Slot14_On=1,Slot14_Age&gt;D97),1,0)</f>
        <v>0</v>
      </c>
      <c r="EY97" s="20" t="n">
        <f aca="false">SM96</f>
        <v>0</v>
      </c>
      <c r="EZ97" s="20" t="n">
        <f aca="false">EW97*MIN(Slot14_Cost,EY97)</f>
        <v>0</v>
      </c>
      <c r="FA97" s="20" t="n">
        <f aca="false">EW97*Slot14_SpendLike*MIN(Slot14_Cost-EZ97,ES97)</f>
        <v>0</v>
      </c>
      <c r="FB97" s="20" t="n">
        <f aca="false">EZ97+FA97</f>
        <v>0</v>
      </c>
      <c r="FC97" s="20" t="n">
        <f aca="false">ES97-FA97+EW97*IF(Slot14_SpendLike=1,EY97-EZ97,IF(Slot14_PotFree=1,EY97,0))</f>
        <v>0</v>
      </c>
      <c r="FD97" s="20" t="n">
        <f aca="false">ET97+EW97*Slot14_BufPot*EY97</f>
        <v>0</v>
      </c>
      <c r="FE97" s="20" t="n">
        <f aca="false">IF(AND(EW97=1,Slot14_IsMfree=1),IF(FB97&gt;=Slot14_Cost-1,0,MAX(0,EU97-FB97)),EU97)</f>
        <v>0</v>
      </c>
      <c r="FF97" s="20" t="n">
        <f aca="false">EW97*(Slot14_Cost-FB97)</f>
        <v>0</v>
      </c>
      <c r="FG97" s="20" t="n">
        <f aca="false">IF(AND(Slot15_On=1,D97=Slot15_Age),1,0)</f>
        <v>0</v>
      </c>
      <c r="FH97" s="20" t="n">
        <f aca="false">IF(AND(Slot15_On=1,Slot15_Age&gt;D97),1,0)</f>
        <v>0</v>
      </c>
      <c r="FI97" s="20" t="n">
        <f aca="false">SQ96</f>
        <v>0</v>
      </c>
      <c r="FJ97" s="20" t="n">
        <f aca="false">FG97*MIN(Slot15_Cost,FI97)</f>
        <v>0</v>
      </c>
      <c r="FK97" s="20" t="n">
        <f aca="false">FG97*Slot15_SpendLike*MIN(Slot15_Cost-FJ97,FC97)</f>
        <v>0</v>
      </c>
      <c r="FL97" s="20" t="n">
        <f aca="false">FJ97+FK97</f>
        <v>0</v>
      </c>
      <c r="FM97" s="20" t="n">
        <f aca="false">FC97-FK97+FG97*IF(Slot15_SpendLike=1,FI97-FJ97,IF(Slot15_PotFree=1,FI97,0))</f>
        <v>0</v>
      </c>
      <c r="FN97" s="20" t="n">
        <f aca="false">FD97+FG97*Slot15_BufPot*FI97</f>
        <v>0</v>
      </c>
      <c r="FO97" s="20" t="n">
        <f aca="false">IF(AND(FG97=1,Slot15_IsMfree=1),IF(FL97&gt;=Slot15_Cost-1,0,MAX(0,FE97-FL97)),FE97)</f>
        <v>0</v>
      </c>
      <c r="FP97" s="20" t="n">
        <f aca="false">FG97*(Slot15_Cost-FL97)</f>
        <v>0</v>
      </c>
      <c r="FQ97" s="20" t="n">
        <f aca="false">IF(AND(Slot16_On=1,D97=Slot16_Age),1,0)</f>
        <v>0</v>
      </c>
      <c r="FR97" s="20" t="n">
        <f aca="false">IF(AND(Slot16_On=1,Slot16_Age&gt;D97),1,0)</f>
        <v>0</v>
      </c>
      <c r="FS97" s="20" t="n">
        <f aca="false">SU96</f>
        <v>0</v>
      </c>
      <c r="FT97" s="20" t="n">
        <f aca="false">FQ97*MIN(Slot16_Cost,FS97)</f>
        <v>0</v>
      </c>
      <c r="FU97" s="20" t="n">
        <f aca="false">FQ97*Slot16_SpendLike*MIN(Slot16_Cost-FT97,FM97)</f>
        <v>0</v>
      </c>
      <c r="FV97" s="20" t="n">
        <f aca="false">FT97+FU97</f>
        <v>0</v>
      </c>
      <c r="FW97" s="20" t="n">
        <f aca="false">FM97-FU97+FQ97*IF(Slot16_SpendLike=1,FS97-FT97,IF(Slot16_PotFree=1,FS97,0))</f>
        <v>0</v>
      </c>
      <c r="FX97" s="20" t="n">
        <f aca="false">FN97+FQ97*Slot16_BufPot*FS97</f>
        <v>0</v>
      </c>
      <c r="FY97" s="20" t="n">
        <f aca="false">IF(AND(FQ97=1,Slot16_IsMfree=1),IF(FV97&gt;=Slot16_Cost-1,0,MAX(0,FO97-FV97)),FO97)</f>
        <v>0</v>
      </c>
      <c r="FZ97" s="20" t="n">
        <f aca="false">FQ97*(Slot16_Cost-FV97)</f>
        <v>0</v>
      </c>
      <c r="GA97" s="20" t="n">
        <f aca="false">IF(AND(Slot17_On=1,D97=Slot17_Age),1,0)</f>
        <v>0</v>
      </c>
      <c r="GB97" s="20" t="n">
        <f aca="false">IF(AND(Slot17_On=1,Slot17_Age&gt;D97),1,0)</f>
        <v>0</v>
      </c>
      <c r="GC97" s="20" t="n">
        <f aca="false">SY96</f>
        <v>0</v>
      </c>
      <c r="GD97" s="20" t="n">
        <f aca="false">GA97*MIN(Slot17_Cost,GC97)</f>
        <v>0</v>
      </c>
      <c r="GE97" s="20" t="n">
        <f aca="false">GA97*Slot17_SpendLike*MIN(Slot17_Cost-GD97,FW97)</f>
        <v>0</v>
      </c>
      <c r="GF97" s="20" t="n">
        <f aca="false">GD97+GE97</f>
        <v>0</v>
      </c>
      <c r="GG97" s="20" t="n">
        <f aca="false">FW97-GE97+GA97*IF(Slot17_SpendLike=1,GC97-GD97,IF(Slot17_PotFree=1,GC97,0))</f>
        <v>0</v>
      </c>
      <c r="GH97" s="20" t="n">
        <f aca="false">FX97+GA97*Slot17_BufPot*GC97</f>
        <v>0</v>
      </c>
      <c r="GI97" s="20" t="n">
        <f aca="false">IF(AND(GA97=1,Slot17_IsMfree=1),IF(GF97&gt;=Slot17_Cost-1,0,MAX(0,FY97-GF97)),FY97)</f>
        <v>0</v>
      </c>
      <c r="GJ97" s="20" t="n">
        <f aca="false">GA97*(Slot17_Cost-GF97)</f>
        <v>0</v>
      </c>
      <c r="GK97" s="20" t="n">
        <f aca="false">IF(AND(Slot18_On=1,D97=Slot18_Age),1,0)</f>
        <v>0</v>
      </c>
      <c r="GL97" s="20" t="n">
        <f aca="false">IF(AND(Slot18_On=1,Slot18_Age&gt;D97),1,0)</f>
        <v>0</v>
      </c>
      <c r="GM97" s="20" t="n">
        <f aca="false">TC96</f>
        <v>0</v>
      </c>
      <c r="GN97" s="20" t="n">
        <f aca="false">GK97*MIN(Slot18_Cost,GM97)</f>
        <v>0</v>
      </c>
      <c r="GO97" s="20" t="n">
        <f aca="false">GK97*Slot18_SpendLike*MIN(Slot18_Cost-GN97,GG97)</f>
        <v>0</v>
      </c>
      <c r="GP97" s="20" t="n">
        <f aca="false">GN97+GO97</f>
        <v>0</v>
      </c>
      <c r="GQ97" s="20" t="n">
        <f aca="false">GG97-GO97+GK97*IF(Slot18_SpendLike=1,GM97-GN97,IF(Slot18_PotFree=1,GM97,0))</f>
        <v>0</v>
      </c>
      <c r="GR97" s="20" t="n">
        <f aca="false">GH97+GK97*Slot18_BufPot*GM97</f>
        <v>0</v>
      </c>
      <c r="GS97" s="20" t="n">
        <f aca="false">IF(AND(GK97=1,Slot18_IsMfree=1),IF(GP97&gt;=Slot18_Cost-1,0,MAX(0,GI97-GP97)),GI97)</f>
        <v>0</v>
      </c>
      <c r="GT97" s="20" t="n">
        <f aca="false">GK97*(Slot18_Cost-GP97)</f>
        <v>0</v>
      </c>
      <c r="GU97" s="20" t="n">
        <f aca="false">IF(AND(Slot19_On=1,D97=Slot19_Age),1,0)</f>
        <v>0</v>
      </c>
      <c r="GV97" s="20" t="n">
        <f aca="false">IF(AND(Slot19_On=1,Slot19_Age&gt;D97),1,0)</f>
        <v>0</v>
      </c>
      <c r="GW97" s="20" t="n">
        <f aca="false">TG96</f>
        <v>0</v>
      </c>
      <c r="GX97" s="20" t="n">
        <f aca="false">GU97*MIN(Slot19_Cost,GW97)</f>
        <v>0</v>
      </c>
      <c r="GY97" s="20" t="n">
        <f aca="false">GU97*Slot19_SpendLike*MIN(Slot19_Cost-GX97,GQ97)</f>
        <v>0</v>
      </c>
      <c r="GZ97" s="20" t="n">
        <f aca="false">GX97+GY97</f>
        <v>0</v>
      </c>
      <c r="HA97" s="20" t="n">
        <f aca="false">GQ97-GY97+GU97*IF(Slot19_SpendLike=1,GW97-GX97,IF(Slot19_PotFree=1,GW97,0))</f>
        <v>0</v>
      </c>
      <c r="HB97" s="20" t="n">
        <f aca="false">GR97+GU97*Slot19_BufPot*GW97</f>
        <v>0</v>
      </c>
      <c r="HC97" s="20" t="n">
        <f aca="false">IF(AND(GU97=1,Slot19_IsMfree=1),IF(GZ97&gt;=Slot19_Cost-1,0,MAX(0,GS97-GZ97)),GS97)</f>
        <v>0</v>
      </c>
      <c r="HD97" s="20" t="n">
        <f aca="false">GU97*(Slot19_Cost-GZ97)</f>
        <v>0</v>
      </c>
      <c r="HE97" s="20" t="n">
        <f aca="false">IF(AND(Slot20_On=1,D97=Slot20_Age),1,0)</f>
        <v>0</v>
      </c>
      <c r="HF97" s="20" t="n">
        <f aca="false">IF(AND(Slot20_On=1,Slot20_Age&gt;D97),1,0)</f>
        <v>0</v>
      </c>
      <c r="HG97" s="20" t="n">
        <f aca="false">TK96</f>
        <v>0</v>
      </c>
      <c r="HH97" s="20" t="n">
        <f aca="false">HE97*MIN(Slot20_Cost,HG97)</f>
        <v>0</v>
      </c>
      <c r="HI97" s="20" t="n">
        <f aca="false">HE97*Slot20_SpendLike*MIN(Slot20_Cost-HH97,HA97)</f>
        <v>0</v>
      </c>
      <c r="HJ97" s="20" t="n">
        <f aca="false">HH97+HI97</f>
        <v>0</v>
      </c>
      <c r="HK97" s="20" t="n">
        <f aca="false">HA97-HI97+HE97*IF(Slot20_SpendLike=1,HG97-HH97,IF(Slot20_PotFree=1,HG97,0))</f>
        <v>0</v>
      </c>
      <c r="HL97" s="20" t="n">
        <f aca="false">HB97+HE97*Slot20_BufPot*HG97</f>
        <v>0</v>
      </c>
      <c r="HM97" s="20" t="n">
        <f aca="false">IF(AND(HE97=1,Slot20_IsMfree=1),IF(HJ97&gt;=Slot20_Cost-1,0,MAX(0,HC97-HJ97)),HC97)</f>
        <v>0</v>
      </c>
      <c r="HN97" s="20" t="n">
        <f aca="false">HE97*(Slot20_Cost-HJ97)</f>
        <v>0</v>
      </c>
      <c r="HO97" s="20" t="n">
        <f aca="false">V97*Slot1_SpendLike*AA97+AG97*Slot2_SpendLike*AL97+AQ97*Slot3_SpendLike*AV97+BA97*Slot4_SpendLike*BF97+BK97*Slot5_SpendLike*BP97+BU97*Slot6_SpendLike*BZ97+CE97*Slot7_SpendLike*CJ97+CO97*Slot8_SpendLike*CT97+CY97*Slot9_SpendLike*DD97+DI97*Slot10_SpendLike*DN97+DS97*Slot11_SpendLike*DX97+EC97*Slot12_SpendLike*EH97+EM97*Slot13_SpendLike*ER97+EW97*Slot14_SpendLike*FB97+FG97*Slot15_SpendLike*FL97+FQ97*Slot16_SpendLike*FV97+GA97*Slot17_SpendLike*GF97+GK97*Slot18_SpendLike*GP97+GU97*Slot19_SpendLike*GZ97+HE97*Slot20_SpendLike*HJ97</f>
        <v>0</v>
      </c>
      <c r="HP97" s="20" t="n">
        <f aca="false">AE97+AP97+AZ97+BJ97+BT97+CD97+CN97+CX97+DH97+DR97+EB97+EL97+EV97+FF97+FP97+FZ97+GJ97+GT97+HD97+HN97</f>
        <v>0</v>
      </c>
      <c r="HQ97" s="20" t="n">
        <f aca="false">V97*Slot1_Cost+AG97*Slot2_Cost+AQ97*Slot3_Cost+BA97*Slot4_Cost+BK97*Slot5_Cost+BU97*Slot6_Cost+CE97*Slot7_Cost+CO97*Slot8_Cost+CY97*Slot9_Cost+DI97*Slot10_Cost+DS97*Slot11_Cost+EC97*Slot12_Cost+EM97*Slot13_Cost+EW97*Slot14_Cost+FG97*Slot15_Cost+FQ97*Slot16_Cost+GA97*Slot17_Cost+GK97*Slot18_Cost+GU97*Slot19_Cost+HE97*Slot20_Cost</f>
        <v>0</v>
      </c>
      <c r="HR97" s="20" t="n">
        <f aca="false">HM97</f>
        <v>0</v>
      </c>
      <c r="HS97" s="20" t="n">
        <f aca="false">H97-I97-S97</f>
        <v>-112252.500105392</v>
      </c>
      <c r="HT97" s="20" t="n">
        <f aca="false">IF(B97=0,IF(AND(Has_q6=1,In_q6=4),PR_ShareVaries*(MAX(0,HS97)/12),MIN(IF(Has_q6=1,CHOOSE(In_q6+1,PR_SaveB1,PR_SaveB2,PR_SaveB3,PR_SaveB4,0),AS_NoAnswer),AS_SaveShare*(MAX(0,HS97)/12))),HT96)</f>
        <v>62.3316893520437</v>
      </c>
      <c r="HU97" s="20" t="n">
        <f aca="false">IF(HS97&gt;=0,1,0)</f>
        <v>0</v>
      </c>
      <c r="HV97" s="20" t="n">
        <f aca="false">MAX(0,HS97/12/F97)</f>
        <v>0</v>
      </c>
      <c r="HW97" s="20" t="n">
        <f aca="false">IF(AND(Has_q6=1,In_q6=4),PR_ShareVaries*(HV97),MIN(IF(Has_q6=1,CHOOSE(In_q6+1,PR_SaveB1,PR_SaveB2,PR_SaveB3,PR_SaveB4,0),AS_NoAnswer),AS_SaveShare*(HV97)))</f>
        <v>0</v>
      </c>
      <c r="HX97" s="20" t="n">
        <f aca="false">IF(Has_saveM=1,IF(In_saveUp="Yes",1,IF(In_saveUp="No",0,IF(In_saveM&gt;=HT97-0.5,1,0))),0)</f>
        <v>0</v>
      </c>
      <c r="HY97" s="20" t="n">
        <f aca="false">IF(Has_saveM=1,MIN(HV97,IF(HX97=1,MAX(In_saveM,HW97),MIN(In_saveM,HW97))),HW97)</f>
        <v>0</v>
      </c>
      <c r="HZ97" s="20" t="n">
        <f aca="false">IF(G97=1,HY97*12*F97,0)</f>
        <v>0</v>
      </c>
      <c r="IA97" s="20" t="n">
        <f aca="false">MAX(0,HZ97+IF(AND(WI_Retire=0,WI_M&lt;0,G97=1),WI_M*12*F97,0))</f>
        <v>0</v>
      </c>
      <c r="IB97" s="20" t="n">
        <f aca="false">Slot1_IsWG*W97+Slot2_IsWG*AH97+Slot3_IsWG*AR97+Slot4_IsWG*BB97+Slot5_IsWG*BL97+Slot6_IsWG*BV97+Slot7_IsWG*CF97+Slot8_IsWG*CP97+Slot9_IsWG*CZ97+Slot10_IsWG*DJ97+Slot11_IsWG*DT97+Slot12_IsWG*ED97+Slot13_IsWG*EN97+Slot14_IsWG*EX97+Slot15_IsWG*FH97+Slot16_IsWG*FR97+Slot17_IsWG*GB97+Slot18_IsWG*GL97+Slot19_IsWG*GV97+Slot20_IsWG*HF97</f>
        <v>0</v>
      </c>
      <c r="IC97" s="20" t="n">
        <f aca="false">IF(AND(WI_Retire=0,WI_M&gt;0,G97=1,IB97&gt;=1),WI_M*12*F97,0)</f>
        <v>0</v>
      </c>
      <c r="ID97" s="20" t="n">
        <f aca="false">IF(HU97=1,MIN(IA97,HS97),0)</f>
        <v>0</v>
      </c>
      <c r="IE97" s="20" t="n">
        <f aca="false">IF(HU97=1,MIN(IC97,HS97-ID97),0)</f>
        <v>0</v>
      </c>
      <c r="IF97" s="20" t="n">
        <f aca="false">IF(W97=1,IF(ABS((1+AS_Wage)/(1+Slot1_Rate)-1)&lt;0.000000000001,(Slot1_Age-D97)*(1+Slot1_Rate)^(Slot1_Age-D97),(1+Slot1_Rate)^(Slot1_Age-D97)*(1-((1+AS_Wage)/(1+Slot1_Rate))^(Slot1_Age-D97))/(1-(1+AS_Wage)/(1+Slot1_Rate))),1)</f>
        <v>1</v>
      </c>
      <c r="IG97" s="20" t="n">
        <f aca="false">IF(AND(HU97=1,IE97&gt;0,Slot1_IsWG=1,W97=1),MAX(0,(Slot1_Cost-X97*(1+Slot1_Rate)^(Slot1_Age-D97))/IF97),0)</f>
        <v>0</v>
      </c>
      <c r="IH97" s="20" t="n">
        <f aca="false">IF(AND(HU97=1,IE97&gt;0,Slot1_IsWG=1,W97=1),MIN(IE97,IG97),0)</f>
        <v>0</v>
      </c>
      <c r="II97" s="20" t="n">
        <f aca="false">X97+IH97</f>
        <v>0</v>
      </c>
      <c r="IJ97" s="20" t="n">
        <f aca="false">IF(W97=1,MAX(0,(Slot1_Cost-II97*(1+Slot1_Rate)^(Slot1_Age-D97))/IF97),0)</f>
        <v>0</v>
      </c>
      <c r="IK97" s="20" t="n">
        <f aca="false">IF(W97=1,MAX(0,(Slot1_Cost-X97*(1+Slot1_Rate)^(Slot1_Age-D97))/IF97),0)</f>
        <v>0</v>
      </c>
      <c r="IL97" s="20" t="n">
        <f aca="false">IF(AND(HU97=1,W97=1),MIN(ID97,IJ97),0)</f>
        <v>0</v>
      </c>
      <c r="IM97" s="20" t="n">
        <f aca="false">ID97-IL97</f>
        <v>0</v>
      </c>
      <c r="IN97" s="20" t="n">
        <f aca="false">IF(AH97=1,IF(ABS((1+AS_Wage)/(1+Slot2_Rate)-1)&lt;0.000000000001,(Slot2_Age-D97)*(1+Slot2_Rate)^(Slot2_Age-D97),(1+Slot2_Rate)^(Slot2_Age-D97)*(1-((1+AS_Wage)/(1+Slot2_Rate))^(Slot2_Age-D97))/(1-(1+AS_Wage)/(1+Slot2_Rate))),1)</f>
        <v>1</v>
      </c>
      <c r="IO97" s="20" t="n">
        <f aca="false">IF(AND(HU97=1,IE97&gt;0,Slot2_IsWG=1,AH97=1),MAX(0,(Slot2_Cost-AI97*(1+Slot2_Rate)^(Slot2_Age-D97))/IN97),0)</f>
        <v>0</v>
      </c>
      <c r="IP97" s="20" t="n">
        <f aca="false">IF(AND(HU97=1,IE97&gt;0,Slot2_IsWG=1,AH97=1),MIN(IE97,IO97),0)</f>
        <v>0</v>
      </c>
      <c r="IQ97" s="20" t="n">
        <f aca="false">AI97+IP97</f>
        <v>0</v>
      </c>
      <c r="IR97" s="20" t="n">
        <f aca="false">IF(AH97=1,MAX(0,(Slot2_Cost-IQ97*(1+Slot2_Rate)^(Slot2_Age-D97))/IN97),0)</f>
        <v>0</v>
      </c>
      <c r="IS97" s="20" t="n">
        <f aca="false">IF(AH97=1,MAX(0,(Slot2_Cost-AI97*(1+Slot2_Rate)^(Slot2_Age-D97))/IN97),0)</f>
        <v>0</v>
      </c>
      <c r="IT97" s="20" t="n">
        <f aca="false">IF(AND(HU97=1,AH97=1),MIN(IM97,IR97),0)</f>
        <v>0</v>
      </c>
      <c r="IU97" s="20" t="n">
        <f aca="false">IM97-IT97</f>
        <v>0</v>
      </c>
      <c r="IV97" s="20" t="n">
        <f aca="false">IF(AR97=1,IF(ABS((1+AS_Wage)/(1+Slot3_Rate)-1)&lt;0.000000000001,(Slot3_Age-D97)*(1+Slot3_Rate)^(Slot3_Age-D97),(1+Slot3_Rate)^(Slot3_Age-D97)*(1-((1+AS_Wage)/(1+Slot3_Rate))^(Slot3_Age-D97))/(1-(1+AS_Wage)/(1+Slot3_Rate))),1)</f>
        <v>1</v>
      </c>
      <c r="IW97" s="20" t="n">
        <f aca="false">IF(AND(HU97=1,IE97&gt;0,Slot3_IsWG=1,AR97=1),MAX(0,(Slot3_Cost-AS97*(1+Slot3_Rate)^(Slot3_Age-D97))/IV97),0)</f>
        <v>0</v>
      </c>
      <c r="IX97" s="20" t="n">
        <f aca="false">IF(AND(HU97=1,IE97&gt;0,Slot3_IsWG=1,AR97=1),MIN(IE97,IW97),0)</f>
        <v>0</v>
      </c>
      <c r="IY97" s="20" t="n">
        <f aca="false">AS97+IX97</f>
        <v>0</v>
      </c>
      <c r="IZ97" s="20" t="n">
        <f aca="false">IF(AR97=1,MAX(0,(Slot3_Cost-IY97*(1+Slot3_Rate)^(Slot3_Age-D97))/IV97),0)</f>
        <v>0</v>
      </c>
      <c r="JA97" s="20" t="n">
        <f aca="false">IF(AR97=1,MAX(0,(Slot3_Cost-AS97*(1+Slot3_Rate)^(Slot3_Age-D97))/IV97),0)</f>
        <v>0</v>
      </c>
      <c r="JB97" s="20" t="n">
        <f aca="false">IF(AND(HU97=1,AR97=1),MIN(IU97,IZ97),0)</f>
        <v>0</v>
      </c>
      <c r="JC97" s="20" t="n">
        <f aca="false">IU97-JB97</f>
        <v>0</v>
      </c>
      <c r="JD97" s="20" t="n">
        <f aca="false">IF(BB97=1,IF(ABS((1+AS_Wage)/(1+Slot4_Rate)-1)&lt;0.000000000001,(Slot4_Age-D97)*(1+Slot4_Rate)^(Slot4_Age-D97),(1+Slot4_Rate)^(Slot4_Age-D97)*(1-((1+AS_Wage)/(1+Slot4_Rate))^(Slot4_Age-D97))/(1-(1+AS_Wage)/(1+Slot4_Rate))),1)</f>
        <v>1</v>
      </c>
      <c r="JE97" s="20" t="n">
        <f aca="false">IF(AND(HU97=1,IE97&gt;0,Slot4_IsWG=1,BB97=1),MAX(0,(Slot4_Cost-BC97*(1+Slot4_Rate)^(Slot4_Age-D97))/JD97),0)</f>
        <v>0</v>
      </c>
      <c r="JF97" s="20" t="n">
        <f aca="false">IF(AND(HU97=1,IE97&gt;0,Slot4_IsWG=1,BB97=1),MIN(IE97,JE97),0)</f>
        <v>0</v>
      </c>
      <c r="JG97" s="20" t="n">
        <f aca="false">BC97+JF97</f>
        <v>0</v>
      </c>
      <c r="JH97" s="20" t="n">
        <f aca="false">IF(BB97=1,MAX(0,(Slot4_Cost-JG97*(1+Slot4_Rate)^(Slot4_Age-D97))/JD97),0)</f>
        <v>0</v>
      </c>
      <c r="JI97" s="20" t="n">
        <f aca="false">IF(BB97=1,MAX(0,(Slot4_Cost-BC97*(1+Slot4_Rate)^(Slot4_Age-D97))/JD97),0)</f>
        <v>0</v>
      </c>
      <c r="JJ97" s="20" t="n">
        <f aca="false">IF(AND(HU97=1,BB97=1),MIN(JC97,JH97),0)</f>
        <v>0</v>
      </c>
      <c r="JK97" s="20" t="n">
        <f aca="false">JC97-JJ97</f>
        <v>0</v>
      </c>
      <c r="JL97" s="20" t="n">
        <f aca="false">IF(BL97=1,IF(ABS((1+AS_Wage)/(1+Slot5_Rate)-1)&lt;0.000000000001,(Slot5_Age-D97)*(1+Slot5_Rate)^(Slot5_Age-D97),(1+Slot5_Rate)^(Slot5_Age-D97)*(1-((1+AS_Wage)/(1+Slot5_Rate))^(Slot5_Age-D97))/(1-(1+AS_Wage)/(1+Slot5_Rate))),1)</f>
        <v>1</v>
      </c>
      <c r="JM97" s="20" t="n">
        <f aca="false">IF(AND(HU97=1,IE97&gt;0,Slot5_IsWG=1,BL97=1),MAX(0,(Slot5_Cost-BM97*(1+Slot5_Rate)^(Slot5_Age-D97))/JL97),0)</f>
        <v>0</v>
      </c>
      <c r="JN97" s="20" t="n">
        <f aca="false">IF(AND(HU97=1,IE97&gt;0,Slot5_IsWG=1,BL97=1),MIN(IE97,JM97),0)</f>
        <v>0</v>
      </c>
      <c r="JO97" s="20" t="n">
        <f aca="false">BM97+JN97</f>
        <v>0</v>
      </c>
      <c r="JP97" s="20" t="n">
        <f aca="false">IF(BL97=1,MAX(0,(Slot5_Cost-JO97*(1+Slot5_Rate)^(Slot5_Age-D97))/JL97),0)</f>
        <v>0</v>
      </c>
      <c r="JQ97" s="20" t="n">
        <f aca="false">IF(BL97=1,MAX(0,(Slot5_Cost-BM97*(1+Slot5_Rate)^(Slot5_Age-D97))/JL97),0)</f>
        <v>0</v>
      </c>
      <c r="JR97" s="20" t="n">
        <f aca="false">IF(AND(HU97=1,BL97=1),MIN(JK97,JP97),0)</f>
        <v>0</v>
      </c>
      <c r="JS97" s="20" t="n">
        <f aca="false">JK97-JR97</f>
        <v>0</v>
      </c>
      <c r="JT97" s="20" t="n">
        <f aca="false">IF(BV97=1,IF(ABS((1+AS_Wage)/(1+Slot6_Rate)-1)&lt;0.000000000001,(Slot6_Age-D97)*(1+Slot6_Rate)^(Slot6_Age-D97),(1+Slot6_Rate)^(Slot6_Age-D97)*(1-((1+AS_Wage)/(1+Slot6_Rate))^(Slot6_Age-D97))/(1-(1+AS_Wage)/(1+Slot6_Rate))),1)</f>
        <v>1</v>
      </c>
      <c r="JU97" s="20" t="n">
        <f aca="false">IF(AND(HU97=1,IE97&gt;0,Slot6_IsWG=1,BV97=1),MAX(0,(Slot6_Cost-BW97*(1+Slot6_Rate)^(Slot6_Age-D97))/JT97),0)</f>
        <v>0</v>
      </c>
      <c r="JV97" s="20" t="n">
        <f aca="false">IF(AND(HU97=1,IE97&gt;0,Slot6_IsWG=1,BV97=1),MIN(IE97,JU97),0)</f>
        <v>0</v>
      </c>
      <c r="JW97" s="20" t="n">
        <f aca="false">BW97+JV97</f>
        <v>0</v>
      </c>
      <c r="JX97" s="20" t="n">
        <f aca="false">IF(BV97=1,MAX(0,(Slot6_Cost-JW97*(1+Slot6_Rate)^(Slot6_Age-D97))/JT97),0)</f>
        <v>0</v>
      </c>
      <c r="JY97" s="20" t="n">
        <f aca="false">IF(BV97=1,MAX(0,(Slot6_Cost-BW97*(1+Slot6_Rate)^(Slot6_Age-D97))/JT97),0)</f>
        <v>0</v>
      </c>
      <c r="JZ97" s="20" t="n">
        <f aca="false">IF(AND(HU97=1,BV97=1),MIN(JS97,JX97),0)</f>
        <v>0</v>
      </c>
      <c r="KA97" s="20" t="n">
        <f aca="false">JS97-JZ97</f>
        <v>0</v>
      </c>
      <c r="KB97" s="20" t="n">
        <f aca="false">IF(CF97=1,IF(ABS((1+AS_Wage)/(1+Slot7_Rate)-1)&lt;0.000000000001,(Slot7_Age-D97)*(1+Slot7_Rate)^(Slot7_Age-D97),(1+Slot7_Rate)^(Slot7_Age-D97)*(1-((1+AS_Wage)/(1+Slot7_Rate))^(Slot7_Age-D97))/(1-(1+AS_Wage)/(1+Slot7_Rate))),1)</f>
        <v>1</v>
      </c>
      <c r="KC97" s="20" t="n">
        <f aca="false">IF(AND(HU97=1,IE97&gt;0,Slot7_IsWG=1,CF97=1),MAX(0,(Slot7_Cost-CG97*(1+Slot7_Rate)^(Slot7_Age-D97))/KB97),0)</f>
        <v>0</v>
      </c>
      <c r="KD97" s="20" t="n">
        <f aca="false">IF(AND(HU97=1,IE97&gt;0,Slot7_IsWG=1,CF97=1),MIN(IE97,KC97),0)</f>
        <v>0</v>
      </c>
      <c r="KE97" s="20" t="n">
        <f aca="false">CG97+KD97</f>
        <v>0</v>
      </c>
      <c r="KF97" s="20" t="n">
        <f aca="false">IF(CF97=1,MAX(0,(Slot7_Cost-KE97*(1+Slot7_Rate)^(Slot7_Age-D97))/KB97),0)</f>
        <v>0</v>
      </c>
      <c r="KG97" s="20" t="n">
        <f aca="false">IF(CF97=1,MAX(0,(Slot7_Cost-CG97*(1+Slot7_Rate)^(Slot7_Age-D97))/KB97),0)</f>
        <v>0</v>
      </c>
      <c r="KH97" s="20" t="n">
        <f aca="false">IF(AND(HU97=1,CF97=1),MIN(KA97,KF97),0)</f>
        <v>0</v>
      </c>
      <c r="KI97" s="20" t="n">
        <f aca="false">KA97-KH97</f>
        <v>0</v>
      </c>
      <c r="KJ97" s="20" t="n">
        <f aca="false">IF(CP97=1,IF(ABS((1+AS_Wage)/(1+Slot8_Rate)-1)&lt;0.000000000001,(Slot8_Age-D97)*(1+Slot8_Rate)^(Slot8_Age-D97),(1+Slot8_Rate)^(Slot8_Age-D97)*(1-((1+AS_Wage)/(1+Slot8_Rate))^(Slot8_Age-D97))/(1-(1+AS_Wage)/(1+Slot8_Rate))),1)</f>
        <v>1</v>
      </c>
      <c r="KK97" s="20" t="n">
        <f aca="false">IF(AND(HU97=1,IE97&gt;0,Slot8_IsWG=1,CP97=1),MAX(0,(Slot8_Cost-CQ97*(1+Slot8_Rate)^(Slot8_Age-D97))/KJ97),0)</f>
        <v>0</v>
      </c>
      <c r="KL97" s="20" t="n">
        <f aca="false">IF(AND(HU97=1,IE97&gt;0,Slot8_IsWG=1,CP97=1),MIN(IE97,KK97),0)</f>
        <v>0</v>
      </c>
      <c r="KM97" s="20" t="n">
        <f aca="false">CQ97+KL97</f>
        <v>0</v>
      </c>
      <c r="KN97" s="20" t="n">
        <f aca="false">IF(CP97=1,MAX(0,(Slot8_Cost-KM97*(1+Slot8_Rate)^(Slot8_Age-D97))/KJ97),0)</f>
        <v>0</v>
      </c>
      <c r="KO97" s="20" t="n">
        <f aca="false">IF(CP97=1,MAX(0,(Slot8_Cost-CQ97*(1+Slot8_Rate)^(Slot8_Age-D97))/KJ97),0)</f>
        <v>0</v>
      </c>
      <c r="KP97" s="20" t="n">
        <f aca="false">IF(AND(HU97=1,CP97=1),MIN(KI97,KN97),0)</f>
        <v>0</v>
      </c>
      <c r="KQ97" s="20" t="n">
        <f aca="false">KI97-KP97</f>
        <v>0</v>
      </c>
      <c r="KR97" s="20" t="n">
        <f aca="false">IF(CZ97=1,IF(ABS((1+AS_Wage)/(1+Slot9_Rate)-1)&lt;0.000000000001,(Slot9_Age-D97)*(1+Slot9_Rate)^(Slot9_Age-D97),(1+Slot9_Rate)^(Slot9_Age-D97)*(1-((1+AS_Wage)/(1+Slot9_Rate))^(Slot9_Age-D97))/(1-(1+AS_Wage)/(1+Slot9_Rate))),1)</f>
        <v>1</v>
      </c>
      <c r="KS97" s="20" t="n">
        <f aca="false">IF(AND(HU97=1,IE97&gt;0,Slot9_IsWG=1,CZ97=1),MAX(0,(Slot9_Cost-DA97*(1+Slot9_Rate)^(Slot9_Age-D97))/KR97),0)</f>
        <v>0</v>
      </c>
      <c r="KT97" s="20" t="n">
        <f aca="false">IF(AND(HU97=1,IE97&gt;0,Slot9_IsWG=1,CZ97=1),MIN(IE97,KS97),0)</f>
        <v>0</v>
      </c>
      <c r="KU97" s="20" t="n">
        <f aca="false">DA97+KT97</f>
        <v>0</v>
      </c>
      <c r="KV97" s="20" t="n">
        <f aca="false">IF(CZ97=1,MAX(0,(Slot9_Cost-KU97*(1+Slot9_Rate)^(Slot9_Age-D97))/KR97),0)</f>
        <v>0</v>
      </c>
      <c r="KW97" s="20" t="n">
        <f aca="false">IF(CZ97=1,MAX(0,(Slot9_Cost-DA97*(1+Slot9_Rate)^(Slot9_Age-D97))/KR97),0)</f>
        <v>0</v>
      </c>
      <c r="KX97" s="20" t="n">
        <f aca="false">IF(AND(HU97=1,CZ97=1),MIN(KQ97,KV97),0)</f>
        <v>0</v>
      </c>
      <c r="KY97" s="20" t="n">
        <f aca="false">KQ97-KX97</f>
        <v>0</v>
      </c>
      <c r="KZ97" s="20" t="n">
        <f aca="false">IF(DJ97=1,IF(ABS((1+AS_Wage)/(1+Slot10_Rate)-1)&lt;0.000000000001,(Slot10_Age-D97)*(1+Slot10_Rate)^(Slot10_Age-D97),(1+Slot10_Rate)^(Slot10_Age-D97)*(1-((1+AS_Wage)/(1+Slot10_Rate))^(Slot10_Age-D97))/(1-(1+AS_Wage)/(1+Slot10_Rate))),1)</f>
        <v>1</v>
      </c>
      <c r="LA97" s="20" t="n">
        <f aca="false">IF(AND(HU97=1,IE97&gt;0,Slot10_IsWG=1,DJ97=1),MAX(0,(Slot10_Cost-DK97*(1+Slot10_Rate)^(Slot10_Age-D97))/KZ97),0)</f>
        <v>0</v>
      </c>
      <c r="LB97" s="20" t="n">
        <f aca="false">IF(AND(HU97=1,IE97&gt;0,Slot10_IsWG=1,DJ97=1),MIN(IE97,LA97),0)</f>
        <v>0</v>
      </c>
      <c r="LC97" s="20" t="n">
        <f aca="false">DK97+LB97</f>
        <v>0</v>
      </c>
      <c r="LD97" s="20" t="n">
        <f aca="false">IF(DJ97=1,MAX(0,(Slot10_Cost-LC97*(1+Slot10_Rate)^(Slot10_Age-D97))/KZ97),0)</f>
        <v>0</v>
      </c>
      <c r="LE97" s="20" t="n">
        <f aca="false">IF(DJ97=1,MAX(0,(Slot10_Cost-DK97*(1+Slot10_Rate)^(Slot10_Age-D97))/KZ97),0)</f>
        <v>0</v>
      </c>
      <c r="LF97" s="20" t="n">
        <f aca="false">IF(AND(HU97=1,DJ97=1),MIN(KY97,LD97),0)</f>
        <v>0</v>
      </c>
      <c r="LG97" s="20" t="n">
        <f aca="false">KY97-LF97</f>
        <v>0</v>
      </c>
      <c r="LH97" s="20" t="n">
        <f aca="false">IF(DT97=1,IF(ABS((1+AS_Wage)/(1+Slot11_Rate)-1)&lt;0.000000000001,(Slot11_Age-D97)*(1+Slot11_Rate)^(Slot11_Age-D97),(1+Slot11_Rate)^(Slot11_Age-D97)*(1-((1+AS_Wage)/(1+Slot11_Rate))^(Slot11_Age-D97))/(1-(1+AS_Wage)/(1+Slot11_Rate))),1)</f>
        <v>1</v>
      </c>
      <c r="LI97" s="20" t="n">
        <f aca="false">IF(AND(HU97=1,IE97&gt;0,Slot11_IsWG=1,DT97=1),MAX(0,(Slot11_Cost-DU97*(1+Slot11_Rate)^(Slot11_Age-D97))/LH97),0)</f>
        <v>0</v>
      </c>
      <c r="LJ97" s="20" t="n">
        <f aca="false">IF(AND(HU97=1,IE97&gt;0,Slot11_IsWG=1,DT97=1),MIN(IE97,LI97),0)</f>
        <v>0</v>
      </c>
      <c r="LK97" s="20" t="n">
        <f aca="false">DU97+LJ97</f>
        <v>0</v>
      </c>
      <c r="LL97" s="20" t="n">
        <f aca="false">IF(DT97=1,MAX(0,(Slot11_Cost-LK97*(1+Slot11_Rate)^(Slot11_Age-D97))/LH97),0)</f>
        <v>0</v>
      </c>
      <c r="LM97" s="20" t="n">
        <f aca="false">IF(DT97=1,MAX(0,(Slot11_Cost-DU97*(1+Slot11_Rate)^(Slot11_Age-D97))/LH97),0)</f>
        <v>0</v>
      </c>
      <c r="LN97" s="20" t="n">
        <f aca="false">IF(AND(HU97=1,DT97=1),MIN(LG97,LL97),0)</f>
        <v>0</v>
      </c>
      <c r="LO97" s="20" t="n">
        <f aca="false">LG97-LN97</f>
        <v>0</v>
      </c>
      <c r="LP97" s="20" t="n">
        <f aca="false">IF(ED97=1,IF(ABS((1+AS_Wage)/(1+Slot12_Rate)-1)&lt;0.000000000001,(Slot12_Age-D97)*(1+Slot12_Rate)^(Slot12_Age-D97),(1+Slot12_Rate)^(Slot12_Age-D97)*(1-((1+AS_Wage)/(1+Slot12_Rate))^(Slot12_Age-D97))/(1-(1+AS_Wage)/(1+Slot12_Rate))),1)</f>
        <v>1</v>
      </c>
      <c r="LQ97" s="20" t="n">
        <f aca="false">IF(AND(HU97=1,IE97&gt;0,Slot12_IsWG=1,ED97=1),MAX(0,(Slot12_Cost-EE97*(1+Slot12_Rate)^(Slot12_Age-D97))/LP97),0)</f>
        <v>0</v>
      </c>
      <c r="LR97" s="20" t="n">
        <f aca="false">IF(AND(HU97=1,IE97&gt;0,Slot12_IsWG=1,ED97=1),MIN(IE97,LQ97),0)</f>
        <v>0</v>
      </c>
      <c r="LS97" s="20" t="n">
        <f aca="false">EE97+LR97</f>
        <v>0</v>
      </c>
      <c r="LT97" s="20" t="n">
        <f aca="false">IF(ED97=1,MAX(0,(Slot12_Cost-LS97*(1+Slot12_Rate)^(Slot12_Age-D97))/LP97),0)</f>
        <v>0</v>
      </c>
      <c r="LU97" s="20" t="n">
        <f aca="false">IF(ED97=1,MAX(0,(Slot12_Cost-EE97*(1+Slot12_Rate)^(Slot12_Age-D97))/LP97),0)</f>
        <v>0</v>
      </c>
      <c r="LV97" s="20" t="n">
        <f aca="false">IF(AND(HU97=1,ED97=1),MIN(LO97,LT97),0)</f>
        <v>0</v>
      </c>
      <c r="LW97" s="20" t="n">
        <f aca="false">LO97-LV97</f>
        <v>0</v>
      </c>
      <c r="LX97" s="20" t="n">
        <f aca="false">IF(EN97=1,IF(ABS((1+AS_Wage)/(1+Slot13_Rate)-1)&lt;0.000000000001,(Slot13_Age-D97)*(1+Slot13_Rate)^(Slot13_Age-D97),(1+Slot13_Rate)^(Slot13_Age-D97)*(1-((1+AS_Wage)/(1+Slot13_Rate))^(Slot13_Age-D97))/(1-(1+AS_Wage)/(1+Slot13_Rate))),1)</f>
        <v>1</v>
      </c>
      <c r="LY97" s="20" t="n">
        <f aca="false">IF(AND(HU97=1,IE97&gt;0,Slot13_IsWG=1,EN97=1),MAX(0,(Slot13_Cost-EO97*(1+Slot13_Rate)^(Slot13_Age-D97))/LX97),0)</f>
        <v>0</v>
      </c>
      <c r="LZ97" s="20" t="n">
        <f aca="false">IF(AND(HU97=1,IE97&gt;0,Slot13_IsWG=1,EN97=1),MIN(IE97,LY97),0)</f>
        <v>0</v>
      </c>
      <c r="MA97" s="20" t="n">
        <f aca="false">EO97+LZ97</f>
        <v>0</v>
      </c>
      <c r="MB97" s="20" t="n">
        <f aca="false">IF(EN97=1,MAX(0,(Slot13_Cost-MA97*(1+Slot13_Rate)^(Slot13_Age-D97))/LX97),0)</f>
        <v>0</v>
      </c>
      <c r="MC97" s="20" t="n">
        <f aca="false">IF(EN97=1,MAX(0,(Slot13_Cost-EO97*(1+Slot13_Rate)^(Slot13_Age-D97))/LX97),0)</f>
        <v>0</v>
      </c>
      <c r="MD97" s="20" t="n">
        <f aca="false">IF(AND(HU97=1,EN97=1),MIN(LW97,MB97),0)</f>
        <v>0</v>
      </c>
      <c r="ME97" s="20" t="n">
        <f aca="false">LW97-MD97</f>
        <v>0</v>
      </c>
      <c r="MF97" s="20" t="n">
        <f aca="false">IF(EX97=1,IF(ABS((1+AS_Wage)/(1+Slot14_Rate)-1)&lt;0.000000000001,(Slot14_Age-D97)*(1+Slot14_Rate)^(Slot14_Age-D97),(1+Slot14_Rate)^(Slot14_Age-D97)*(1-((1+AS_Wage)/(1+Slot14_Rate))^(Slot14_Age-D97))/(1-(1+AS_Wage)/(1+Slot14_Rate))),1)</f>
        <v>1</v>
      </c>
      <c r="MG97" s="20" t="n">
        <f aca="false">IF(AND(HU97=1,IE97&gt;0,Slot14_IsWG=1,EX97=1),MAX(0,(Slot14_Cost-EY97*(1+Slot14_Rate)^(Slot14_Age-D97))/MF97),0)</f>
        <v>0</v>
      </c>
      <c r="MH97" s="20" t="n">
        <f aca="false">IF(AND(HU97=1,IE97&gt;0,Slot14_IsWG=1,EX97=1),MIN(IE97,MG97),0)</f>
        <v>0</v>
      </c>
      <c r="MI97" s="20" t="n">
        <f aca="false">EY97+MH97</f>
        <v>0</v>
      </c>
      <c r="MJ97" s="20" t="n">
        <f aca="false">IF(EX97=1,MAX(0,(Slot14_Cost-MI97*(1+Slot14_Rate)^(Slot14_Age-D97))/MF97),0)</f>
        <v>0</v>
      </c>
      <c r="MK97" s="20" t="n">
        <f aca="false">IF(EX97=1,MAX(0,(Slot14_Cost-EY97*(1+Slot14_Rate)^(Slot14_Age-D97))/MF97),0)</f>
        <v>0</v>
      </c>
      <c r="ML97" s="20" t="n">
        <f aca="false">IF(AND(HU97=1,EX97=1),MIN(ME97,MJ97),0)</f>
        <v>0</v>
      </c>
      <c r="MM97" s="20" t="n">
        <f aca="false">ME97-ML97</f>
        <v>0</v>
      </c>
      <c r="MN97" s="20" t="n">
        <f aca="false">IF(FH97=1,IF(ABS((1+AS_Wage)/(1+Slot15_Rate)-1)&lt;0.000000000001,(Slot15_Age-D97)*(1+Slot15_Rate)^(Slot15_Age-D97),(1+Slot15_Rate)^(Slot15_Age-D97)*(1-((1+AS_Wage)/(1+Slot15_Rate))^(Slot15_Age-D97))/(1-(1+AS_Wage)/(1+Slot15_Rate))),1)</f>
        <v>1</v>
      </c>
      <c r="MO97" s="20" t="n">
        <f aca="false">IF(AND(HU97=1,IE97&gt;0,Slot15_IsWG=1,FH97=1),MAX(0,(Slot15_Cost-FI97*(1+Slot15_Rate)^(Slot15_Age-D97))/MN97),0)</f>
        <v>0</v>
      </c>
      <c r="MP97" s="20" t="n">
        <f aca="false">IF(AND(HU97=1,IE97&gt;0,Slot15_IsWG=1,FH97=1),MIN(IE97,MO97),0)</f>
        <v>0</v>
      </c>
      <c r="MQ97" s="20" t="n">
        <f aca="false">FI97+MP97</f>
        <v>0</v>
      </c>
      <c r="MR97" s="20" t="n">
        <f aca="false">IF(FH97=1,MAX(0,(Slot15_Cost-MQ97*(1+Slot15_Rate)^(Slot15_Age-D97))/MN97),0)</f>
        <v>0</v>
      </c>
      <c r="MS97" s="20" t="n">
        <f aca="false">IF(FH97=1,MAX(0,(Slot15_Cost-FI97*(1+Slot15_Rate)^(Slot15_Age-D97))/MN97),0)</f>
        <v>0</v>
      </c>
      <c r="MT97" s="20" t="n">
        <f aca="false">IF(AND(HU97=1,FH97=1),MIN(MM97,MR97),0)</f>
        <v>0</v>
      </c>
      <c r="MU97" s="20" t="n">
        <f aca="false">MM97-MT97</f>
        <v>0</v>
      </c>
      <c r="MV97" s="20" t="n">
        <f aca="false">IF(FR97=1,IF(ABS((1+AS_Wage)/(1+Slot16_Rate)-1)&lt;0.000000000001,(Slot16_Age-D97)*(1+Slot16_Rate)^(Slot16_Age-D97),(1+Slot16_Rate)^(Slot16_Age-D97)*(1-((1+AS_Wage)/(1+Slot16_Rate))^(Slot16_Age-D97))/(1-(1+AS_Wage)/(1+Slot16_Rate))),1)</f>
        <v>1</v>
      </c>
      <c r="MW97" s="20" t="n">
        <f aca="false">IF(AND(HU97=1,IE97&gt;0,Slot16_IsWG=1,FR97=1),MAX(0,(Slot16_Cost-FS97*(1+Slot16_Rate)^(Slot16_Age-D97))/MV97),0)</f>
        <v>0</v>
      </c>
      <c r="MX97" s="20" t="n">
        <f aca="false">IF(AND(HU97=1,IE97&gt;0,Slot16_IsWG=1,FR97=1),MIN(IE97,MW97),0)</f>
        <v>0</v>
      </c>
      <c r="MY97" s="20" t="n">
        <f aca="false">FS97+MX97</f>
        <v>0</v>
      </c>
      <c r="MZ97" s="20" t="n">
        <f aca="false">IF(FR97=1,MAX(0,(Slot16_Cost-MY97*(1+Slot16_Rate)^(Slot16_Age-D97))/MV97),0)</f>
        <v>0</v>
      </c>
      <c r="NA97" s="20" t="n">
        <f aca="false">IF(FR97=1,MAX(0,(Slot16_Cost-FS97*(1+Slot16_Rate)^(Slot16_Age-D97))/MV97),0)</f>
        <v>0</v>
      </c>
      <c r="NB97" s="20" t="n">
        <f aca="false">IF(AND(HU97=1,FR97=1),MIN(MU97,MZ97),0)</f>
        <v>0</v>
      </c>
      <c r="NC97" s="20" t="n">
        <f aca="false">MU97-NB97</f>
        <v>0</v>
      </c>
      <c r="ND97" s="20" t="n">
        <f aca="false">IF(GB97=1,IF(ABS((1+AS_Wage)/(1+Slot17_Rate)-1)&lt;0.000000000001,(Slot17_Age-D97)*(1+Slot17_Rate)^(Slot17_Age-D97),(1+Slot17_Rate)^(Slot17_Age-D97)*(1-((1+AS_Wage)/(1+Slot17_Rate))^(Slot17_Age-D97))/(1-(1+AS_Wage)/(1+Slot17_Rate))),1)</f>
        <v>1</v>
      </c>
      <c r="NE97" s="20" t="n">
        <f aca="false">IF(AND(HU97=1,IE97&gt;0,Slot17_IsWG=1,GB97=1),MAX(0,(Slot17_Cost-GC97*(1+Slot17_Rate)^(Slot17_Age-D97))/ND97),0)</f>
        <v>0</v>
      </c>
      <c r="NF97" s="20" t="n">
        <f aca="false">IF(AND(HU97=1,IE97&gt;0,Slot17_IsWG=1,GB97=1),MIN(IE97,NE97),0)</f>
        <v>0</v>
      </c>
      <c r="NG97" s="20" t="n">
        <f aca="false">GC97+NF97</f>
        <v>0</v>
      </c>
      <c r="NH97" s="20" t="n">
        <f aca="false">IF(GB97=1,MAX(0,(Slot17_Cost-NG97*(1+Slot17_Rate)^(Slot17_Age-D97))/ND97),0)</f>
        <v>0</v>
      </c>
      <c r="NI97" s="20" t="n">
        <f aca="false">IF(GB97=1,MAX(0,(Slot17_Cost-GC97*(1+Slot17_Rate)^(Slot17_Age-D97))/ND97),0)</f>
        <v>0</v>
      </c>
      <c r="NJ97" s="20" t="n">
        <f aca="false">IF(AND(HU97=1,GB97=1),MIN(NC97,NH97),0)</f>
        <v>0</v>
      </c>
      <c r="NK97" s="20" t="n">
        <f aca="false">NC97-NJ97</f>
        <v>0</v>
      </c>
      <c r="NL97" s="20" t="n">
        <f aca="false">IF(GL97=1,IF(ABS((1+AS_Wage)/(1+Slot18_Rate)-1)&lt;0.000000000001,(Slot18_Age-D97)*(1+Slot18_Rate)^(Slot18_Age-D97),(1+Slot18_Rate)^(Slot18_Age-D97)*(1-((1+AS_Wage)/(1+Slot18_Rate))^(Slot18_Age-D97))/(1-(1+AS_Wage)/(1+Slot18_Rate))),1)</f>
        <v>1</v>
      </c>
      <c r="NM97" s="20" t="n">
        <f aca="false">IF(AND(HU97=1,IE97&gt;0,Slot18_IsWG=1,GL97=1),MAX(0,(Slot18_Cost-GM97*(1+Slot18_Rate)^(Slot18_Age-D97))/NL97),0)</f>
        <v>0</v>
      </c>
      <c r="NN97" s="20" t="n">
        <f aca="false">IF(AND(HU97=1,IE97&gt;0,Slot18_IsWG=1,GL97=1),MIN(IE97,NM97),0)</f>
        <v>0</v>
      </c>
      <c r="NO97" s="20" t="n">
        <f aca="false">GM97+NN97</f>
        <v>0</v>
      </c>
      <c r="NP97" s="20" t="n">
        <f aca="false">IF(GL97=1,MAX(0,(Slot18_Cost-NO97*(1+Slot18_Rate)^(Slot18_Age-D97))/NL97),0)</f>
        <v>0</v>
      </c>
      <c r="NQ97" s="20" t="n">
        <f aca="false">IF(GL97=1,MAX(0,(Slot18_Cost-GM97*(1+Slot18_Rate)^(Slot18_Age-D97))/NL97),0)</f>
        <v>0</v>
      </c>
      <c r="NR97" s="20" t="n">
        <f aca="false">IF(AND(HU97=1,GL97=1),MIN(NK97,NP97),0)</f>
        <v>0</v>
      </c>
      <c r="NS97" s="20" t="n">
        <f aca="false">NK97-NR97</f>
        <v>0</v>
      </c>
      <c r="NT97" s="20" t="n">
        <f aca="false">IF(GV97=1,IF(ABS((1+AS_Wage)/(1+Slot19_Rate)-1)&lt;0.000000000001,(Slot19_Age-D97)*(1+Slot19_Rate)^(Slot19_Age-D97),(1+Slot19_Rate)^(Slot19_Age-D97)*(1-((1+AS_Wage)/(1+Slot19_Rate))^(Slot19_Age-D97))/(1-(1+AS_Wage)/(1+Slot19_Rate))),1)</f>
        <v>1</v>
      </c>
      <c r="NU97" s="20" t="n">
        <f aca="false">IF(AND(HU97=1,IE97&gt;0,Slot19_IsWG=1,GV97=1),MAX(0,(Slot19_Cost-GW97*(1+Slot19_Rate)^(Slot19_Age-D97))/NT97),0)</f>
        <v>0</v>
      </c>
      <c r="NV97" s="20" t="n">
        <f aca="false">IF(AND(HU97=1,IE97&gt;0,Slot19_IsWG=1,GV97=1),MIN(IE97,NU97),0)</f>
        <v>0</v>
      </c>
      <c r="NW97" s="20" t="n">
        <f aca="false">GW97+NV97</f>
        <v>0</v>
      </c>
      <c r="NX97" s="20" t="n">
        <f aca="false">IF(GV97=1,MAX(0,(Slot19_Cost-NW97*(1+Slot19_Rate)^(Slot19_Age-D97))/NT97),0)</f>
        <v>0</v>
      </c>
      <c r="NY97" s="20" t="n">
        <f aca="false">IF(GV97=1,MAX(0,(Slot19_Cost-GW97*(1+Slot19_Rate)^(Slot19_Age-D97))/NT97),0)</f>
        <v>0</v>
      </c>
      <c r="NZ97" s="20" t="n">
        <f aca="false">IF(AND(HU97=1,GV97=1),MIN(NS97,NX97),0)</f>
        <v>0</v>
      </c>
      <c r="OA97" s="20" t="n">
        <f aca="false">NS97-NZ97</f>
        <v>0</v>
      </c>
      <c r="OB97" s="20" t="n">
        <f aca="false">IF(HF97=1,IF(ABS((1+AS_Wage)/(1+Slot20_Rate)-1)&lt;0.000000000001,(Slot20_Age-D97)*(1+Slot20_Rate)^(Slot20_Age-D97),(1+Slot20_Rate)^(Slot20_Age-D97)*(1-((1+AS_Wage)/(1+Slot20_Rate))^(Slot20_Age-D97))/(1-(1+AS_Wage)/(1+Slot20_Rate))),1)</f>
        <v>1</v>
      </c>
      <c r="OC97" s="20" t="n">
        <f aca="false">IF(AND(HU97=1,IE97&gt;0,Slot20_IsWG=1,HF97=1),MAX(0,(Slot20_Cost-HG97*(1+Slot20_Rate)^(Slot20_Age-D97))/OB97),0)</f>
        <v>0</v>
      </c>
      <c r="OD97" s="20" t="n">
        <f aca="false">IF(AND(HU97=1,IE97&gt;0,Slot20_IsWG=1,HF97=1),MIN(IE97,OC97),0)</f>
        <v>0</v>
      </c>
      <c r="OE97" s="20" t="n">
        <f aca="false">HG97+OD97</f>
        <v>0</v>
      </c>
      <c r="OF97" s="20" t="n">
        <f aca="false">IF(HF97=1,MAX(0,(Slot20_Cost-OE97*(1+Slot20_Rate)^(Slot20_Age-D97))/OB97),0)</f>
        <v>0</v>
      </c>
      <c r="OG97" s="20" t="n">
        <f aca="false">IF(HF97=1,MAX(0,(Slot20_Cost-HG97*(1+Slot20_Rate)^(Slot20_Age-D97))/OB97),0)</f>
        <v>0</v>
      </c>
      <c r="OH97" s="20" t="n">
        <f aca="false">IF(AND(HU97=1,HF97=1),MIN(OA97,OF97),0)</f>
        <v>0</v>
      </c>
      <c r="OI97" s="20" t="n">
        <f aca="false">OA97-OH97</f>
        <v>0</v>
      </c>
      <c r="OJ97" s="20" t="n">
        <f aca="false">IE97-(IH97+IP97+IX97+JF97+JN97+JV97+KD97+KL97+KT97+LB97+LJ97+LR97+LZ97+MH97+MP97+MX97+NF97+NN97+NV97+OD97)</f>
        <v>0</v>
      </c>
      <c r="OK97" s="20" t="n">
        <f aca="false">IF(HU97=1,HS97-ID97-IE97,0)</f>
        <v>0</v>
      </c>
      <c r="OL97" s="20" t="n">
        <f aca="false">IF(HU97=0,-HS97,0)</f>
        <v>112252.500105392</v>
      </c>
      <c r="OM97" s="20" t="n">
        <f aca="false">MIN(OL97,HK97)</f>
        <v>0</v>
      </c>
      <c r="ON97" s="20" t="n">
        <f aca="false">OL97-OM97</f>
        <v>112252.500105392</v>
      </c>
      <c r="OO97" s="20" t="n">
        <f aca="false">MIN(ON97,HL97)</f>
        <v>0</v>
      </c>
      <c r="OP97" s="20" t="n">
        <f aca="false">ON97-OO97</f>
        <v>112252.500105392</v>
      </c>
      <c r="OQ97" s="20" t="n">
        <f aca="false">IF(AND(HU97=0,HF97=1,OP97&gt;0),MIN(OP97,HG97),0)</f>
        <v>0</v>
      </c>
      <c r="OR97" s="20" t="n">
        <f aca="false">OP97-OQ97</f>
        <v>112252.500105392</v>
      </c>
      <c r="OS97" s="20" t="n">
        <f aca="false">IF(AND(HU97=0,GV97=1,OR97&gt;0),MIN(OR97,GW97),0)</f>
        <v>0</v>
      </c>
      <c r="OT97" s="20" t="n">
        <f aca="false">OR97-OS97</f>
        <v>112252.500105392</v>
      </c>
      <c r="OU97" s="20" t="n">
        <f aca="false">IF(AND(HU97=0,GL97=1,OT97&gt;0),MIN(OT97,GM97),0)</f>
        <v>0</v>
      </c>
      <c r="OV97" s="20" t="n">
        <f aca="false">OT97-OU97</f>
        <v>112252.500105392</v>
      </c>
      <c r="OW97" s="20" t="n">
        <f aca="false">IF(AND(HU97=0,GB97=1,OV97&gt;0),MIN(OV97,GC97),0)</f>
        <v>0</v>
      </c>
      <c r="OX97" s="20" t="n">
        <f aca="false">OV97-OW97</f>
        <v>112252.500105392</v>
      </c>
      <c r="OY97" s="20" t="n">
        <f aca="false">IF(AND(HU97=0,FR97=1,OX97&gt;0),MIN(OX97,FS97),0)</f>
        <v>0</v>
      </c>
      <c r="OZ97" s="20" t="n">
        <f aca="false">OX97-OY97</f>
        <v>112252.500105392</v>
      </c>
      <c r="PA97" s="20" t="n">
        <f aca="false">IF(AND(HU97=0,FH97=1,OZ97&gt;0),MIN(OZ97,FI97),0)</f>
        <v>0</v>
      </c>
      <c r="PB97" s="20" t="n">
        <f aca="false">OZ97-PA97</f>
        <v>112252.500105392</v>
      </c>
      <c r="PC97" s="20" t="n">
        <f aca="false">IF(AND(HU97=0,EX97=1,PB97&gt;0),MIN(PB97,EY97),0)</f>
        <v>0</v>
      </c>
      <c r="PD97" s="20" t="n">
        <f aca="false">PB97-PC97</f>
        <v>112252.500105392</v>
      </c>
      <c r="PE97" s="20" t="n">
        <f aca="false">IF(AND(HU97=0,EN97=1,PD97&gt;0),MIN(PD97,EO97),0)</f>
        <v>0</v>
      </c>
      <c r="PF97" s="20" t="n">
        <f aca="false">PD97-PE97</f>
        <v>112252.500105392</v>
      </c>
      <c r="PG97" s="20" t="n">
        <f aca="false">IF(AND(HU97=0,ED97=1,PF97&gt;0),MIN(PF97,EE97),0)</f>
        <v>0</v>
      </c>
      <c r="PH97" s="20" t="n">
        <f aca="false">PF97-PG97</f>
        <v>112252.500105392</v>
      </c>
      <c r="PI97" s="20" t="n">
        <f aca="false">IF(AND(HU97=0,DT97=1,PH97&gt;0),MIN(PH97,DU97),0)</f>
        <v>0</v>
      </c>
      <c r="PJ97" s="20" t="n">
        <f aca="false">PH97-PI97</f>
        <v>112252.500105392</v>
      </c>
      <c r="PK97" s="20" t="n">
        <f aca="false">IF(AND(HU97=0,DJ97=1,PJ97&gt;0),MIN(PJ97,DK97),0)</f>
        <v>0</v>
      </c>
      <c r="PL97" s="20" t="n">
        <f aca="false">PJ97-PK97</f>
        <v>112252.500105392</v>
      </c>
      <c r="PM97" s="20" t="n">
        <f aca="false">IF(AND(HU97=0,CZ97=1,PL97&gt;0),MIN(PL97,DA97),0)</f>
        <v>0</v>
      </c>
      <c r="PN97" s="20" t="n">
        <f aca="false">PL97-PM97</f>
        <v>112252.500105392</v>
      </c>
      <c r="PO97" s="20" t="n">
        <f aca="false">IF(AND(HU97=0,CP97=1,PN97&gt;0),MIN(PN97,CQ97),0)</f>
        <v>0</v>
      </c>
      <c r="PP97" s="20" t="n">
        <f aca="false">PN97-PO97</f>
        <v>112252.500105392</v>
      </c>
      <c r="PQ97" s="20" t="n">
        <f aca="false">IF(AND(HU97=0,CF97=1,PP97&gt;0),MIN(PP97,CG97),0)</f>
        <v>0</v>
      </c>
      <c r="PR97" s="20" t="n">
        <f aca="false">PP97-PQ97</f>
        <v>112252.500105392</v>
      </c>
      <c r="PS97" s="20" t="n">
        <f aca="false">IF(AND(HU97=0,BV97=1,PR97&gt;0),MIN(PR97,BW97),0)</f>
        <v>0</v>
      </c>
      <c r="PT97" s="20" t="n">
        <f aca="false">PR97-PS97</f>
        <v>112252.500105392</v>
      </c>
      <c r="PU97" s="20" t="n">
        <f aca="false">IF(AND(HU97=0,BL97=1,PT97&gt;0),MIN(PT97,BM97),0)</f>
        <v>0</v>
      </c>
      <c r="PV97" s="20" t="n">
        <f aca="false">PT97-PU97</f>
        <v>112252.500105392</v>
      </c>
      <c r="PW97" s="20" t="n">
        <f aca="false">IF(AND(HU97=0,BB97=1,PV97&gt;0),MIN(PV97,BC97),0)</f>
        <v>0</v>
      </c>
      <c r="PX97" s="20" t="n">
        <f aca="false">PV97-PW97</f>
        <v>112252.500105392</v>
      </c>
      <c r="PY97" s="20" t="n">
        <f aca="false">IF(AND(HU97=0,AR97=1,PX97&gt;0),MIN(PX97,AS97),0)</f>
        <v>0</v>
      </c>
      <c r="PZ97" s="20" t="n">
        <f aca="false">PX97-PY97</f>
        <v>112252.500105392</v>
      </c>
      <c r="QA97" s="20" t="n">
        <f aca="false">IF(AND(HU97=0,AH97=1,PZ97&gt;0),MIN(PZ97,AI97),0)</f>
        <v>0</v>
      </c>
      <c r="QB97" s="20" t="n">
        <f aca="false">PZ97-QA97</f>
        <v>112252.500105392</v>
      </c>
      <c r="QC97" s="20" t="n">
        <f aca="false">IF(AND(HU97=0,W97=1,QB97&gt;0),MIN(QB97,X97),0)</f>
        <v>0</v>
      </c>
      <c r="QD97" s="20" t="n">
        <f aca="false">QB97-QC97</f>
        <v>112252.500105392</v>
      </c>
      <c r="QE97" s="20" t="n">
        <f aca="false">IF(HU97=0,QD97,0)</f>
        <v>112252.500105392</v>
      </c>
      <c r="QF97" s="20" t="n">
        <f aca="false">OM97+OO97+QC97+QA97+PY97+PW97+PU97+PS97+PQ97+PO97+PM97+PK97+PI97+PG97+PE97+PC97+PA97+OY97+OW97+OU97+OS97+OQ97</f>
        <v>0</v>
      </c>
      <c r="QG97" s="20" t="n">
        <f aca="false">IF(HU97=1,HK97+OJ97+OI97+IF(G97=1,0,OK97),HK97-OM97)</f>
        <v>0</v>
      </c>
      <c r="QH97" s="20" t="n">
        <f aca="false">HL97-OO97</f>
        <v>0</v>
      </c>
      <c r="QI97" s="20" t="n">
        <f aca="false">IF(HU97=1,IF(G97=1,ID97+IE97,HS97),0)</f>
        <v>0</v>
      </c>
      <c r="QJ97" s="20" t="n">
        <f aca="false">IF(HU97=1,IF(G97=1,HS97-ID97-IE97,0),0)</f>
        <v>0</v>
      </c>
      <c r="QK97" s="20" t="n">
        <f aca="false">QG97*(1+GR)</f>
        <v>0</v>
      </c>
      <c r="QL97" s="20" t="n">
        <f aca="false">QH97*(1+AS_Cash)</f>
        <v>0</v>
      </c>
      <c r="QM97" s="20" t="n">
        <f aca="false">IF(W97=1,IF(HU97=1,II97+IL97,X97-QC97)*(1+Slot1_Rate),0)</f>
        <v>0</v>
      </c>
      <c r="QN97" s="20" t="n">
        <f aca="false">IF(AND(HU97=1,W97=1),(IH97+IL97)/F97,0)</f>
        <v>0</v>
      </c>
      <c r="QO97" s="20" t="n">
        <f aca="false">IF(B97=0,IH97+IL97,0)</f>
        <v>0</v>
      </c>
      <c r="QP97" s="20" t="n">
        <f aca="false">IF(B97=0,IF(HU97=1,IJ97,IK97),0)</f>
        <v>0</v>
      </c>
      <c r="QQ97" s="20" t="n">
        <f aca="false">IF(AH97=1,IF(HU97=1,IQ97+IT97,AI97-QA97)*(1+Slot2_Rate),0)</f>
        <v>0</v>
      </c>
      <c r="QR97" s="20" t="n">
        <f aca="false">IF(AND(HU97=1,AH97=1),(IP97+IT97)/F97,0)</f>
        <v>0</v>
      </c>
      <c r="QS97" s="20" t="n">
        <f aca="false">IF(B97=0,IP97+IT97,0)</f>
        <v>0</v>
      </c>
      <c r="QT97" s="20" t="n">
        <f aca="false">IF(B97=0,IF(HU97=1,IR97,IS97),0)</f>
        <v>0</v>
      </c>
      <c r="QU97" s="20" t="n">
        <f aca="false">IF(AR97=1,IF(HU97=1,IY97+JB97,AS97-PY97)*(1+Slot3_Rate),0)</f>
        <v>0</v>
      </c>
      <c r="QV97" s="20" t="n">
        <f aca="false">IF(AND(HU97=1,AR97=1),(IX97+JB97)/F97,0)</f>
        <v>0</v>
      </c>
      <c r="QW97" s="20" t="n">
        <f aca="false">IF(B97=0,IX97+JB97,0)</f>
        <v>0</v>
      </c>
      <c r="QX97" s="20" t="n">
        <f aca="false">IF(B97=0,IF(HU97=1,IZ97,JA97),0)</f>
        <v>0</v>
      </c>
      <c r="QY97" s="20" t="n">
        <f aca="false">IF(BB97=1,IF(HU97=1,JG97+JJ97,BC97-PW97)*(1+Slot4_Rate),0)</f>
        <v>0</v>
      </c>
      <c r="QZ97" s="20" t="n">
        <f aca="false">IF(AND(HU97=1,BB97=1),(JF97+JJ97)/F97,0)</f>
        <v>0</v>
      </c>
      <c r="RA97" s="20" t="n">
        <f aca="false">IF(B97=0,JF97+JJ97,0)</f>
        <v>0</v>
      </c>
      <c r="RB97" s="20" t="n">
        <f aca="false">IF(B97=0,IF(HU97=1,JH97,JI97),0)</f>
        <v>0</v>
      </c>
      <c r="RC97" s="20" t="n">
        <f aca="false">IF(BL97=1,IF(HU97=1,JO97+JR97,BM97-PU97)*(1+Slot5_Rate),0)</f>
        <v>0</v>
      </c>
      <c r="RD97" s="20" t="n">
        <f aca="false">IF(AND(HU97=1,BL97=1),(JN97+JR97)/F97,0)</f>
        <v>0</v>
      </c>
      <c r="RE97" s="20" t="n">
        <f aca="false">IF(B97=0,JN97+JR97,0)</f>
        <v>0</v>
      </c>
      <c r="RF97" s="20" t="n">
        <f aca="false">IF(B97=0,IF(HU97=1,JP97,JQ97),0)</f>
        <v>0</v>
      </c>
      <c r="RG97" s="20" t="n">
        <f aca="false">IF(BV97=1,IF(HU97=1,JW97+JZ97,BW97-PS97)*(1+Slot6_Rate),0)</f>
        <v>0</v>
      </c>
      <c r="RH97" s="20" t="n">
        <f aca="false">IF(AND(HU97=1,BV97=1),(JV97+JZ97)/F97,0)</f>
        <v>0</v>
      </c>
      <c r="RI97" s="20" t="n">
        <f aca="false">IF(B97=0,JV97+JZ97,0)</f>
        <v>0</v>
      </c>
      <c r="RJ97" s="20" t="n">
        <f aca="false">IF(B97=0,IF(HU97=1,JX97,JY97),0)</f>
        <v>0</v>
      </c>
      <c r="RK97" s="20" t="n">
        <f aca="false">IF(CF97=1,IF(HU97=1,KE97+KH97,CG97-PQ97)*(1+Slot7_Rate),0)</f>
        <v>0</v>
      </c>
      <c r="RL97" s="20" t="n">
        <f aca="false">IF(AND(HU97=1,CF97=1),(KD97+KH97)/F97,0)</f>
        <v>0</v>
      </c>
      <c r="RM97" s="20" t="n">
        <f aca="false">IF(B97=0,KD97+KH97,0)</f>
        <v>0</v>
      </c>
      <c r="RN97" s="20" t="n">
        <f aca="false">IF(B97=0,IF(HU97=1,KF97,KG97),0)</f>
        <v>0</v>
      </c>
      <c r="RO97" s="20" t="n">
        <f aca="false">IF(CP97=1,IF(HU97=1,KM97+KP97,CQ97-PO97)*(1+Slot8_Rate),0)</f>
        <v>0</v>
      </c>
      <c r="RP97" s="20" t="n">
        <f aca="false">IF(AND(HU97=1,CP97=1),(KL97+KP97)/F97,0)</f>
        <v>0</v>
      </c>
      <c r="RQ97" s="20" t="n">
        <f aca="false">IF(B97=0,KL97+KP97,0)</f>
        <v>0</v>
      </c>
      <c r="RR97" s="20" t="n">
        <f aca="false">IF(B97=0,IF(HU97=1,KN97,KO97),0)</f>
        <v>0</v>
      </c>
      <c r="RS97" s="20" t="n">
        <f aca="false">IF(CZ97=1,IF(HU97=1,KU97+KX97,DA97-PM97)*(1+Slot9_Rate),0)</f>
        <v>0</v>
      </c>
      <c r="RT97" s="20" t="n">
        <f aca="false">IF(AND(HU97=1,CZ97=1),(KT97+KX97)/F97,0)</f>
        <v>0</v>
      </c>
      <c r="RU97" s="20" t="n">
        <f aca="false">IF(B97=0,KT97+KX97,0)</f>
        <v>0</v>
      </c>
      <c r="RV97" s="20" t="n">
        <f aca="false">IF(B97=0,IF(HU97=1,KV97,KW97),0)</f>
        <v>0</v>
      </c>
      <c r="RW97" s="20" t="n">
        <f aca="false">IF(DJ97=1,IF(HU97=1,LC97+LF97,DK97-PK97)*(1+Slot10_Rate),0)</f>
        <v>0</v>
      </c>
      <c r="RX97" s="20" t="n">
        <f aca="false">IF(AND(HU97=1,DJ97=1),(LB97+LF97)/F97,0)</f>
        <v>0</v>
      </c>
      <c r="RY97" s="20" t="n">
        <f aca="false">IF(B97=0,LB97+LF97,0)</f>
        <v>0</v>
      </c>
      <c r="RZ97" s="20" t="n">
        <f aca="false">IF(B97=0,IF(HU97=1,LD97,LE97),0)</f>
        <v>0</v>
      </c>
      <c r="SA97" s="20" t="n">
        <f aca="false">IF(DT97=1,IF(HU97=1,LK97+LN97,DU97-PI97)*(1+Slot11_Rate),0)</f>
        <v>0</v>
      </c>
      <c r="SB97" s="20" t="n">
        <f aca="false">IF(AND(HU97=1,DT97=1),(LJ97+LN97)/F97,0)</f>
        <v>0</v>
      </c>
      <c r="SC97" s="20" t="n">
        <f aca="false">IF(B97=0,LJ97+LN97,0)</f>
        <v>0</v>
      </c>
      <c r="SD97" s="20" t="n">
        <f aca="false">IF(B97=0,IF(HU97=1,LL97,LM97),0)</f>
        <v>0</v>
      </c>
      <c r="SE97" s="20" t="n">
        <f aca="false">IF(ED97=1,IF(HU97=1,LS97+LV97,EE97-PG97)*(1+Slot12_Rate),0)</f>
        <v>0</v>
      </c>
      <c r="SF97" s="20" t="n">
        <f aca="false">IF(AND(HU97=1,ED97=1),(LR97+LV97)/F97,0)</f>
        <v>0</v>
      </c>
      <c r="SG97" s="20" t="n">
        <f aca="false">IF(B97=0,LR97+LV97,0)</f>
        <v>0</v>
      </c>
      <c r="SH97" s="20" t="n">
        <f aca="false">IF(B97=0,IF(HU97=1,LT97,LU97),0)</f>
        <v>0</v>
      </c>
      <c r="SI97" s="20" t="n">
        <f aca="false">IF(EN97=1,IF(HU97=1,MA97+MD97,EO97-PE97)*(1+Slot13_Rate),0)</f>
        <v>0</v>
      </c>
      <c r="SJ97" s="20" t="n">
        <f aca="false">IF(AND(HU97=1,EN97=1),(LZ97+MD97)/F97,0)</f>
        <v>0</v>
      </c>
      <c r="SK97" s="20" t="n">
        <f aca="false">IF(B97=0,LZ97+MD97,0)</f>
        <v>0</v>
      </c>
      <c r="SL97" s="20" t="n">
        <f aca="false">IF(B97=0,IF(HU97=1,MB97,MC97),0)</f>
        <v>0</v>
      </c>
      <c r="SM97" s="20" t="n">
        <f aca="false">IF(EX97=1,IF(HU97=1,MI97+ML97,EY97-PC97)*(1+Slot14_Rate),0)</f>
        <v>0</v>
      </c>
      <c r="SN97" s="20" t="n">
        <f aca="false">IF(AND(HU97=1,EX97=1),(MH97+ML97)/F97,0)</f>
        <v>0</v>
      </c>
      <c r="SO97" s="20" t="n">
        <f aca="false">IF(B97=0,MH97+ML97,0)</f>
        <v>0</v>
      </c>
      <c r="SP97" s="20" t="n">
        <f aca="false">IF(B97=0,IF(HU97=1,MJ97,MK97),0)</f>
        <v>0</v>
      </c>
      <c r="SQ97" s="20" t="n">
        <f aca="false">IF(FH97=1,IF(HU97=1,MQ97+MT97,FI97-PA97)*(1+Slot15_Rate),0)</f>
        <v>0</v>
      </c>
      <c r="SR97" s="20" t="n">
        <f aca="false">IF(AND(HU97=1,FH97=1),(MP97+MT97)/F97,0)</f>
        <v>0</v>
      </c>
      <c r="SS97" s="20" t="n">
        <f aca="false">IF(B97=0,MP97+MT97,0)</f>
        <v>0</v>
      </c>
      <c r="ST97" s="20" t="n">
        <f aca="false">IF(B97=0,IF(HU97=1,MR97,MS97),0)</f>
        <v>0</v>
      </c>
      <c r="SU97" s="20" t="n">
        <f aca="false">IF(FR97=1,IF(HU97=1,MY97+NB97,FS97-OY97)*(1+Slot16_Rate),0)</f>
        <v>0</v>
      </c>
      <c r="SV97" s="20" t="n">
        <f aca="false">IF(AND(HU97=1,FR97=1),(MX97+NB97)/F97,0)</f>
        <v>0</v>
      </c>
      <c r="SW97" s="20" t="n">
        <f aca="false">IF(B97=0,MX97+NB97,0)</f>
        <v>0</v>
      </c>
      <c r="SX97" s="20" t="n">
        <f aca="false">IF(B97=0,IF(HU97=1,MZ97,NA97),0)</f>
        <v>0</v>
      </c>
      <c r="SY97" s="20" t="n">
        <f aca="false">IF(GB97=1,IF(HU97=1,NG97+NJ97,GC97-OW97)*(1+Slot17_Rate),0)</f>
        <v>0</v>
      </c>
      <c r="SZ97" s="20" t="n">
        <f aca="false">IF(AND(HU97=1,GB97=1),(NF97+NJ97)/F97,0)</f>
        <v>0</v>
      </c>
      <c r="TA97" s="20" t="n">
        <f aca="false">IF(B97=0,NF97+NJ97,0)</f>
        <v>0</v>
      </c>
      <c r="TB97" s="20" t="n">
        <f aca="false">IF(B97=0,IF(HU97=1,NH97,NI97),0)</f>
        <v>0</v>
      </c>
      <c r="TC97" s="20" t="n">
        <f aca="false">IF(GL97=1,IF(HU97=1,NO97+NR97,GM97-OU97)*(1+Slot18_Rate),0)</f>
        <v>0</v>
      </c>
      <c r="TD97" s="20" t="n">
        <f aca="false">IF(AND(HU97=1,GL97=1),(NN97+NR97)/F97,0)</f>
        <v>0</v>
      </c>
      <c r="TE97" s="20" t="n">
        <f aca="false">IF(B97=0,NN97+NR97,0)</f>
        <v>0</v>
      </c>
      <c r="TF97" s="20" t="n">
        <f aca="false">IF(B97=0,IF(HU97=1,NP97,NQ97),0)</f>
        <v>0</v>
      </c>
      <c r="TG97" s="20" t="n">
        <f aca="false">IF(GV97=1,IF(HU97=1,NW97+NZ97,GW97-OS97)*(1+Slot19_Rate),0)</f>
        <v>0</v>
      </c>
      <c r="TH97" s="20" t="n">
        <f aca="false">IF(AND(HU97=1,GV97=1),(NV97+NZ97)/F97,0)</f>
        <v>0</v>
      </c>
      <c r="TI97" s="20" t="n">
        <f aca="false">IF(B97=0,NV97+NZ97,0)</f>
        <v>0</v>
      </c>
      <c r="TJ97" s="20" t="n">
        <f aca="false">IF(B97=0,IF(HU97=1,NX97,NY97),0)</f>
        <v>0</v>
      </c>
      <c r="TK97" s="20" t="n">
        <f aca="false">IF(HF97=1,IF(HU97=1,OE97+OH97,HG97-OQ97)*(1+Slot20_Rate),0)</f>
        <v>0</v>
      </c>
      <c r="TL97" s="20" t="n">
        <f aca="false">IF(AND(HU97=1,HF97=1),(OD97+OH97)/F97,0)</f>
        <v>0</v>
      </c>
      <c r="TM97" s="20" t="n">
        <f aca="false">IF(B97=0,OD97+OH97,0)</f>
        <v>0</v>
      </c>
      <c r="TN97" s="20" t="n">
        <f aca="false">IF(B97=0,IF(HU97=1,OF97,OG97),0)</f>
        <v>0</v>
      </c>
      <c r="TO97" s="20" t="n">
        <f aca="false">QK97+QL97+QM97+QQ97+QU97+QY97+RC97+RG97+RK97+RO97+RS97+RW97+SA97+SE97+SI97+SM97+SQ97+SU97+SY97+TC97+TG97+TK97</f>
        <v>0</v>
      </c>
      <c r="TP97" s="20" t="n">
        <f aca="false">QE97+HP97</f>
        <v>112252.500105392</v>
      </c>
      <c r="TQ97" s="20" t="n">
        <f aca="false">I97+S97</f>
        <v>278511.532781766</v>
      </c>
      <c r="TR97" s="20" t="n">
        <f aca="false">1-G97</f>
        <v>1</v>
      </c>
      <c r="TS97" s="20" t="n">
        <f aca="false">IF(AND(RG_Exists=1,G97=0,C97=1),I97,0)</f>
        <v>0</v>
      </c>
      <c r="TT97" s="20" t="n">
        <f aca="false">IF(AND(RG_Exists=1,G97=0,C97=1),I97-MIN(QE97,I97),0)</f>
        <v>0</v>
      </c>
      <c r="TU97" s="20" t="n">
        <f aca="false">'Plan pay &amp; tax'!AD323</f>
        <v>0</v>
      </c>
      <c r="TV97" s="20" t="n">
        <f aca="false">IF(AND(C97=1,QE97&gt;MAX(PR_Short1,TQ97*PR_Short2)),1,0)</f>
        <v>0</v>
      </c>
      <c r="TW97" s="20" t="n">
        <f aca="false">MIN(H97,I97+S97)</f>
        <v>166259.032676373</v>
      </c>
      <c r="TX97" s="20" t="n">
        <f aca="false">QF97+MAX(0,HQ97-HP97)</f>
        <v>0</v>
      </c>
      <c r="TY97" s="20" t="n">
        <f aca="false">QE97+HP97</f>
        <v>112252.500105392</v>
      </c>
      <c r="TZ97" s="20" t="n">
        <f aca="false">IF(AND(C97=1,TY97&gt;PR_MinShort),1,0)</f>
        <v>0</v>
      </c>
      <c r="UA97" s="20" t="n">
        <f aca="false">IF(AND(C97=1,TZ97=0,TX97&gt;PR_MinShort),1,0)</f>
        <v>0</v>
      </c>
      <c r="UB97" s="20" t="n">
        <f aca="false">IF(AND(C97=1,QE97&gt;PR_MinShort),1,0)</f>
        <v>0</v>
      </c>
      <c r="UC97" s="20" t="n">
        <f aca="false">IF(AND(C97=1,QF97&gt;1,UJ97=0),1,0)</f>
        <v>0</v>
      </c>
      <c r="UD97" s="20" t="str">
        <f aca="false">IF(C97=0,"",IF(UJ97=1,"Gap to plan for: short "&amp;"€"&amp;TEXT(ROUND(TP97,0),"#,##0"),IF(QF97&gt;1,"Using savings","Comfortable")))</f>
        <v/>
      </c>
      <c r="UE97" s="20" t="n">
        <f aca="false">IF(AND(INT(D97/10)*10=90,B97&gt;0),80,INT(D97/10)*10)</f>
        <v>120</v>
      </c>
      <c r="UF97" s="20" t="n">
        <f aca="false">IF(B97=0,1,IF(UE97&lt;&gt;UE96,UF96+1,UF96))</f>
        <v>9</v>
      </c>
      <c r="UG97" s="20" t="n">
        <f aca="false">IF(AND(C97=1,G97=1,QE97&gt;MAX(PR_Short1,TQ97*PR_Short2)),1,0)</f>
        <v>0</v>
      </c>
      <c r="UH97" s="20" t="n">
        <f aca="false">TR97*TV97</f>
        <v>0</v>
      </c>
      <c r="UI97" s="20" t="n">
        <f aca="false">IF(AND(V97=1,Slot1_PctLow=1),1,0)+IF(AND(AG97=1,Slot2_PctLow=1),1,0)+IF(AND(AQ97=1,Slot3_PctLow=1),1,0)+IF(AND(BA97=1,Slot4_PctLow=1),1,0)+IF(AND(BK97=1,Slot5_PctLow=1),1,0)+IF(AND(BU97=1,Slot6_PctLow=1),1,0)+IF(AND(CE97=1,Slot7_PctLow=1),1,0)+IF(AND(CO97=1,Slot8_PctLow=1),1,0)+IF(AND(CY97=1,Slot9_PctLow=1),1,0)+IF(AND(DI97=1,Slot10_PctLow=1),1,0)+IF(AND(DS97=1,Slot11_PctLow=1),1,0)+IF(AND(EC97=1,Slot12_PctLow=1),1,0)+IF(AND(EM97=1,Slot13_PctLow=1),1,0)+IF(AND(EW97=1,Slot14_PctLow=1),1,0)+IF(AND(FG97=1,Slot15_PctLow=1),1,0)+IF(AND(FQ97=1,Slot16_PctLow=1),1,0)+IF(AND(GA97=1,Slot17_PctLow=1),1,0)+IF(AND(GK97=1,Slot18_PctLow=1),1,0)+IF(AND(GU97=1,Slot19_PctLow=1),1,0)+IF(AND(HE97=1,Slot20_PctLow=1),1,0)</f>
        <v>0</v>
      </c>
      <c r="UJ97" s="20" t="n">
        <f aca="false">IF(C97=1,IF(OR(TV97=1,UI97&gt;0),1,0),0)</f>
        <v>0</v>
      </c>
    </row>
  </sheetData>
  <mergeCells count="1">
    <mergeCell ref="B2:M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8B57"/>
    <pageSetUpPr fitToPage="false"/>
  </sheetPr>
  <dimension ref="B1:Q24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20" width="2"/>
    <col collapsed="false" customWidth="true" hidden="false" outlineLevel="0" max="2" min="2" style="20" width="62"/>
    <col collapsed="false" customWidth="true" hidden="false" outlineLevel="0" max="3" min="3" style="20" width="34"/>
    <col collapsed="false" customWidth="true" hidden="false" outlineLevel="0" max="7" min="4" style="20" width="14"/>
    <col collapsed="false" customWidth="true" hidden="false" outlineLevel="0" max="8" min="8" style="20" width="30"/>
    <col collapsed="false" customWidth="true" hidden="false" outlineLevel="0" max="11" min="11" style="20" width="60"/>
  </cols>
  <sheetData>
    <row r="1" customFormat="false" ht="17.25" hidden="false" customHeight="true" outlineLevel="0" collapsed="false">
      <c r="B1" s="21" t="s">
        <v>2250</v>
      </c>
    </row>
    <row r="2" customFormat="false" ht="48" hidden="false" customHeight="true" outlineLevel="0" collapsed="false">
      <c r="B2" s="2" t="s">
        <v>2251</v>
      </c>
      <c r="C2" s="2"/>
      <c r="D2" s="2"/>
      <c r="E2" s="2"/>
      <c r="F2" s="2"/>
      <c r="G2" s="2"/>
      <c r="H2" s="2"/>
    </row>
    <row r="3" customFormat="false" ht="30" hidden="false" customHeight="true" outlineLevel="0" collapsed="false">
      <c r="B3" s="22" t="str">
        <f aca="false">Warn_Goals</f>
        <v/>
      </c>
      <c r="C3" s="22"/>
      <c r="D3" s="22"/>
      <c r="E3" s="22"/>
      <c r="F3" s="22"/>
      <c r="G3" s="22"/>
      <c r="H3" s="22"/>
    </row>
    <row r="4" customFormat="false" ht="15" hidden="false" customHeight="true" outlineLevel="0" collapsed="false">
      <c r="B4" s="23" t="s">
        <v>2252</v>
      </c>
      <c r="C4" s="23" t="s">
        <v>1173</v>
      </c>
    </row>
    <row r="5" customFormat="false" ht="15" hidden="false" customHeight="true" outlineLevel="0" collapsed="false">
      <c r="B5" s="20" t="s">
        <v>2253</v>
      </c>
      <c r="C5" s="36" t="n">
        <f aca="false">ROUND(IF(F_Age&lt;F_R,('Plan cashflow'!$QI$8+'Plan cashflow'!$QJ$8)/12,0),0)</f>
        <v>125</v>
      </c>
    </row>
    <row r="6" customFormat="false" ht="15" hidden="false" customHeight="true" outlineLevel="0" collapsed="false">
      <c r="B6" s="20" t="s">
        <v>2254</v>
      </c>
      <c r="C6" s="36" t="n">
        <f aca="false">ROUND('Plan cashflow'!$QI$8/12,0)</f>
        <v>62</v>
      </c>
    </row>
    <row r="7" customFormat="false" ht="15" hidden="false" customHeight="true" outlineLevel="0" collapsed="false">
      <c r="B7" s="20" t="s">
        <v>2255</v>
      </c>
      <c r="C7" s="36" t="n">
        <f aca="false">'Plan cashflow'!$HT$8</f>
        <v>62.3316893520437</v>
      </c>
    </row>
    <row r="8" customFormat="false" ht="15" hidden="false" customHeight="true" outlineLevel="0" collapsed="false">
      <c r="B8" s="20" t="s">
        <v>2256</v>
      </c>
      <c r="C8" s="36" t="n">
        <f aca="false">SUM('Plan cashflow'!$UJ$8:$UJ$97)</f>
        <v>20</v>
      </c>
    </row>
    <row r="9" customFormat="false" ht="15" hidden="false" customHeight="true" outlineLevel="0" collapsed="false">
      <c r="B9" s="20" t="s">
        <v>2257</v>
      </c>
      <c r="C9" s="36" t="n">
        <f aca="false">SUM('Plan cashflow'!$TV$8:$TV$97)</f>
        <v>18</v>
      </c>
    </row>
    <row r="11" customFormat="false" ht="15" hidden="false" customHeight="true" outlineLevel="0" collapsed="false">
      <c r="B11" s="23" t="s">
        <v>2258</v>
      </c>
      <c r="C11" s="23" t="s">
        <v>1173</v>
      </c>
    </row>
    <row r="12" customFormat="false" ht="15" hidden="false" customHeight="true" outlineLevel="0" collapsed="false">
      <c r="B12" s="46" t="s">
        <v>47</v>
      </c>
      <c r="C12" s="46" t="s">
        <v>2259</v>
      </c>
      <c r="D12" s="46" t="s">
        <v>584</v>
      </c>
      <c r="E12" s="46" t="s">
        <v>2260</v>
      </c>
      <c r="F12" s="46" t="s">
        <v>2261</v>
      </c>
      <c r="G12" s="46" t="s">
        <v>2262</v>
      </c>
    </row>
    <row r="13" customFormat="false" ht="15" hidden="false" customHeight="true" outlineLevel="0" collapsed="false">
      <c r="B13" s="20" t="s">
        <v>2263</v>
      </c>
      <c r="C13" s="36" t="n">
        <f aca="false">IF(Has_age=0,1,0)</f>
        <v>0</v>
      </c>
      <c r="D13" s="20" t="s">
        <v>932</v>
      </c>
      <c r="E13" s="20" t="s">
        <v>2264</v>
      </c>
      <c r="F13" s="20" t="str">
        <f aca="false">""&amp;IF(C13=1,IF(""="","",",")&amp;D13,"")</f>
        <v/>
      </c>
      <c r="G13" s="20" t="str">
        <f aca="false">""&amp;IF(C13=1,IF(""="","",", ")&amp;E13,"")</f>
        <v/>
      </c>
    </row>
    <row r="14" customFormat="false" ht="15" hidden="false" customHeight="true" outlineLevel="0" collapsed="false">
      <c r="B14" s="20" t="s">
        <v>2265</v>
      </c>
      <c r="C14" s="36" t="n">
        <f aca="false">IF(AND(F_Partner=1,NOT(ISBLANK('Plan inputs'!C31)),Has_pAge=0),1,0)</f>
        <v>0</v>
      </c>
      <c r="D14" s="20" t="s">
        <v>2266</v>
      </c>
      <c r="E14" s="20" t="s">
        <v>2267</v>
      </c>
      <c r="F14" s="20" t="str">
        <f aca="false">F13&amp;IF(C14=1,IF(F13="","",",")&amp;D14,"")</f>
        <v/>
      </c>
      <c r="G14" s="20" t="str">
        <f aca="false">G13&amp;IF(C14=1,IF(G13="","",", ")&amp;E14,"")</f>
        <v/>
      </c>
    </row>
    <row r="15" customFormat="false" ht="15" hidden="false" customHeight="true" outlineLevel="0" collapsed="false">
      <c r="B15" s="20" t="s">
        <v>2268</v>
      </c>
      <c r="C15" s="36" t="n">
        <f aca="false">IF(Has_retireAge=0,1,0)</f>
        <v>0</v>
      </c>
      <c r="D15" s="20" t="s">
        <v>2269</v>
      </c>
      <c r="E15" s="20" t="s">
        <v>114</v>
      </c>
      <c r="F15" s="20" t="str">
        <f aca="false">F14&amp;IF(C15=1,IF(F14="","",",")&amp;D15,"")</f>
        <v/>
      </c>
      <c r="G15" s="20" t="str">
        <f aca="false">G14&amp;IF(C15=1,IF(G14="","",", ")&amp;E15,"")</f>
        <v/>
      </c>
    </row>
    <row r="16" customFormat="false" ht="15" hidden="false" customHeight="true" outlineLevel="0" collapsed="false">
      <c r="B16" s="20" t="s">
        <v>2270</v>
      </c>
      <c r="C16" s="36" t="n">
        <f aca="false">IF(Has_a_planEnd=0,1,0)</f>
        <v>0</v>
      </c>
      <c r="D16" s="20" t="s">
        <v>2271</v>
      </c>
      <c r="E16" s="20" t="s">
        <v>116</v>
      </c>
      <c r="F16" s="20" t="str">
        <f aca="false">F15&amp;IF(C16=1,IF(F15="","",",")&amp;D16,"")</f>
        <v/>
      </c>
      <c r="G16" s="20" t="str">
        <f aca="false">G15&amp;IF(C16=1,IF(G15="","",", ")&amp;E16,"")</f>
        <v/>
      </c>
    </row>
    <row r="17" customFormat="false" ht="15" hidden="false" customHeight="true" outlineLevel="0" collapsed="false">
      <c r="B17" s="20" t="s">
        <v>2272</v>
      </c>
      <c r="C17" s="36" t="n">
        <f aca="false">IF(Has_infl=0,1,0)</f>
        <v>0</v>
      </c>
      <c r="D17" s="20" t="s">
        <v>2273</v>
      </c>
      <c r="E17" s="20" t="s">
        <v>867</v>
      </c>
      <c r="F17" s="20" t="str">
        <f aca="false">F16&amp;IF(C17=1,IF(F16="","",",")&amp;D17,"")</f>
        <v/>
      </c>
      <c r="G17" s="20" t="str">
        <f aca="false">G16&amp;IF(C17=1,IF(G16="","",", ")&amp;E17,"")</f>
        <v/>
      </c>
    </row>
    <row r="18" customFormat="false" ht="15" hidden="false" customHeight="true" outlineLevel="0" collapsed="false">
      <c r="B18" s="20" t="s">
        <v>2274</v>
      </c>
      <c r="C18" s="36" t="n">
        <f aca="false">IF(AND(F_Partner=1,In_pIncome&gt;0,Has_pRet=0),1,0)</f>
        <v>0</v>
      </c>
      <c r="D18" s="20" t="s">
        <v>2275</v>
      </c>
      <c r="E18" s="20" t="s">
        <v>2276</v>
      </c>
      <c r="F18" s="20" t="str">
        <f aca="false">F17&amp;IF(C18=1,IF(F17="","",",")&amp;D18,"")</f>
        <v/>
      </c>
      <c r="G18" s="20" t="str">
        <f aca="false">G17&amp;IF(C18=1,IF(G17="","",", ")&amp;E18,"")</f>
        <v/>
      </c>
    </row>
    <row r="19" customFormat="false" ht="15" hidden="false" customHeight="true" outlineLevel="0" collapsed="false">
      <c r="B19" s="20" t="s">
        <v>2277</v>
      </c>
      <c r="C19" s="36" t="n">
        <f aca="false">SUM($C$13:$C$18)</f>
        <v>0</v>
      </c>
    </row>
    <row r="20" customFormat="false" ht="15" hidden="false" customHeight="true" outlineLevel="0" collapsed="false">
      <c r="B20" s="20" t="s">
        <v>2278</v>
      </c>
      <c r="C20" s="36" t="str">
        <f aca="false">F18</f>
        <v/>
      </c>
    </row>
    <row r="21" customFormat="false" ht="15" hidden="false" customHeight="true" outlineLevel="0" collapsed="false">
      <c r="B21" s="20" t="s">
        <v>2279</v>
      </c>
      <c r="C21" s="36" t="str">
        <f aca="false">G18</f>
        <v/>
      </c>
    </row>
    <row r="22" customFormat="false" ht="15" hidden="false" customHeight="true" outlineLevel="0" collapsed="false">
      <c r="B22" s="20" t="s">
        <v>2280</v>
      </c>
      <c r="C22" s="36" t="str">
        <f aca="false">IF(Gate_Count=0,"","To see your results we need "&amp;Gate_Count&amp;IF(Gate_Count=1," thing"," things"))</f>
        <v/>
      </c>
    </row>
    <row r="23" customFormat="false" ht="15" hidden="false" customHeight="true" outlineLevel="0" collapsed="false">
      <c r="B23" s="20" t="s">
        <v>2281</v>
      </c>
      <c r="C23" s="36" t="str">
        <f aca="false">IF(Gate_Count=0,"",IFERROR(INDEX($B$13:$B$18,MATCH(1,$C$13:$C$18,0)),""))</f>
        <v/>
      </c>
    </row>
    <row r="24" customFormat="false" ht="15" hidden="false" customHeight="true" outlineLevel="0" collapsed="false">
      <c r="B24" s="20" t="s">
        <v>2282</v>
      </c>
      <c r="C24" s="36" t="str">
        <f aca="false">IF(Gate_Count=0,"","Choose your "&amp;Gate_FirstLabel&amp;" to see this")</f>
        <v/>
      </c>
    </row>
    <row r="25" customFormat="false" ht="15" hidden="false" customHeight="true" outlineLevel="0" collapsed="false">
      <c r="B25" s="20" t="s">
        <v>2283</v>
      </c>
      <c r="C25" s="36" t="n">
        <f aca="false">IF(Gate_Count=0,1,0)</f>
        <v>1</v>
      </c>
    </row>
    <row r="26" customFormat="false" ht="15" hidden="false" customHeight="true" outlineLevel="0" collapsed="false">
      <c r="B26" s="20" t="s">
        <v>2284</v>
      </c>
      <c r="C26" s="36" t="n">
        <f aca="false">3+IF(AND(F_Partner=1,In_pIncome&gt;0),1,0)</f>
        <v>4</v>
      </c>
    </row>
    <row r="27" customFormat="false" ht="15" hidden="false" customHeight="true" outlineLevel="0" collapsed="false">
      <c r="B27" s="20" t="s">
        <v>2285</v>
      </c>
      <c r="C27" s="36" t="str">
        <f aca="false">IF(Req_Got=Req_Count,"All "&amp;Req_Count&amp;" chosen","Choose "&amp;Req_Count&amp;" things")</f>
        <v>All 4 chosen</v>
      </c>
    </row>
    <row r="28" customFormat="false" ht="15" hidden="false" customHeight="true" outlineLevel="0" collapsed="false">
      <c r="B28" s="20" t="s">
        <v>2286</v>
      </c>
      <c r="C28" s="36" t="n">
        <f aca="false">Req_Count-(C17+C15+C16+C18)</f>
        <v>4</v>
      </c>
    </row>
    <row r="30" customFormat="false" ht="15" hidden="false" customHeight="true" outlineLevel="0" collapsed="false">
      <c r="B30" s="23" t="s">
        <v>2287</v>
      </c>
      <c r="C30" s="23" t="s">
        <v>1173</v>
      </c>
    </row>
    <row r="31" customFormat="false" ht="15" hidden="false" customHeight="true" outlineLevel="0" collapsed="false">
      <c r="B31" s="20" t="s">
        <v>2288</v>
      </c>
      <c r="C31" s="36" t="n">
        <f aca="false">IF(SUM('Plan cashflow'!$UG$8:$UG$97)&gt;0,1,0)</f>
        <v>0</v>
      </c>
    </row>
    <row r="32" customFormat="false" ht="15" hidden="false" customHeight="true" outlineLevel="0" collapsed="false">
      <c r="B32" s="20" t="s">
        <v>2289</v>
      </c>
      <c r="C32" s="36" t="n">
        <f aca="false">IF(COUNT(GR_Best)&gt;0,MAX(GR_Best),"")</f>
        <v>99959996</v>
      </c>
    </row>
    <row r="33" customFormat="false" ht="15" hidden="false" customHeight="true" outlineLevel="0" collapsed="false">
      <c r="B33" s="20" t="s">
        <v>2290</v>
      </c>
      <c r="C33" s="36" t="n">
        <f aca="false">IF(Find_BestScore="",0,MATCH(Find_BestScore,GR_Best,0))</f>
        <v>4</v>
      </c>
    </row>
    <row r="34" customFormat="false" ht="15" hidden="false" customHeight="true" outlineLevel="0" collapsed="false">
      <c r="B34" s="20" t="s">
        <v>2291</v>
      </c>
      <c r="C34" s="36" t="n">
        <f aca="false">IF(COUNT(GR_Worst)&gt;0,MATCH(MIN(GR_Worst),GR_Worst,0),0)</f>
        <v>2</v>
      </c>
    </row>
    <row r="35" customFormat="false" ht="15" hidden="false" customHeight="true" outlineLevel="0" collapsed="false">
      <c r="B35" s="20" t="s">
        <v>2292</v>
      </c>
      <c r="C35" s="36" t="n">
        <f aca="false">IF(Find_WorstIdx&gt;0,INDEX(GR_Pct,Find_WorstIdx),"")</f>
        <v>28</v>
      </c>
    </row>
    <row r="36" customFormat="false" ht="15" hidden="false" customHeight="true" outlineLevel="0" collapsed="false">
      <c r="B36" s="20" t="s">
        <v>2293</v>
      </c>
      <c r="C36" s="36" t="str">
        <f aca="false">IF(Find_WorstIdx&gt;0,INDEX(GR_Name,Find_WorstIdx),"")</f>
        <v>Travel</v>
      </c>
    </row>
    <row r="37" customFormat="false" ht="15" hidden="false" customHeight="true" outlineLevel="0" collapsed="false">
      <c r="B37" s="20" t="s">
        <v>2294</v>
      </c>
      <c r="C37" s="24"/>
    </row>
    <row r="38" customFormat="false" ht="15" hidden="false" customHeight="true" outlineLevel="0" collapsed="false">
      <c r="B38" s="20" t="s">
        <v>2295</v>
      </c>
      <c r="C38" s="36" t="str">
        <f aca="false">IF(ISBLANK(Find_ExtraFor),IF(Fill_Example="Yes","none",""),Find_ExtraFor)</f>
        <v>none</v>
      </c>
    </row>
    <row r="39" customFormat="false" ht="15" hidden="false" customHeight="true" outlineLevel="0" collapsed="false">
      <c r="B39" s="20" t="s">
        <v>2296</v>
      </c>
      <c r="C39" s="36" t="str">
        <f aca="false">IF(Find_BestIdx&gt;0,IF(INDEX(GR_Kind,Find_BestIdx)="retire","Your pension and savings cover retiring at "&amp;INDEX(GR_AgeT,Find_BestIdx),INDEX(GR_Name,Find_BestIdx)&amp;" is "&amp;INDEX(GR_Pct,Find_BestIdx)&amp;"% covered"),IF(Findings_Over=1,"No strength to point to yet: your spending is more than comes in","Nothing is fully covered yet, so closing the gap comes first"))</f>
        <v>Emergency fund is 100% covered</v>
      </c>
    </row>
    <row r="40" customFormat="false" ht="15" hidden="false" customHeight="true" outlineLevel="0" collapsed="false">
      <c r="B40" s="20" t="s">
        <v>2297</v>
      </c>
      <c r="C40" s="36" t="str">
        <f aca="false">IF(Find_WorstIdx=0,"",IF(Find_WorstPct&gt;=PR_Good,"No big gaps right now",Find_WorstName&amp;" is "&amp;Find_WorstPct&amp;"% covered"))</f>
        <v>Travel is 28% covered</v>
      </c>
    </row>
    <row r="41" customFormat="false" ht="15" hidden="false" customHeight="true" outlineLevel="0" collapsed="false">
      <c r="B41" s="20" t="s">
        <v>2298</v>
      </c>
      <c r="C41" s="36" t="str">
        <f aca="false">IF(Find_WorstIdx=0,"",IF(Find_WorstPct&gt;=PR_Good,IF(OR(In_life&lt;&gt;"Yes",In_ip&lt;&gt;"Yes"),"Worth a look: would your plan cope with illness or death? An adviser can check your cover with you","A yearly review keeps it on track"),IF(ISNUMBER(Find_ExtraUsed),"Saving about "&amp;"€"&amp;TEXT(ROUND(Find_ExtraUsed,0),"#,##0")&amp;" more a month could close this gap, on our assumptions",IF(Find_ExtraUsed="","Type the extra the what-if search finds in Find_ExtraFor to see this line","Moving "&amp;LOWER(Find_WorstName)&amp;" later, or changing the amount, would make the biggest difference"))))</f>
        <v>Moving travel later, or changing the amount, would make the biggest difference</v>
      </c>
    </row>
    <row r="43" customFormat="false" ht="15" hidden="false" customHeight="true" outlineLevel="0" collapsed="false">
      <c r="B43" s="23" t="s">
        <v>2299</v>
      </c>
      <c r="C43" s="23" t="s">
        <v>1173</v>
      </c>
    </row>
    <row r="44" customFormat="false" ht="15" hidden="false" customHeight="true" outlineLevel="0" collapsed="false">
      <c r="B44" s="20" t="s">
        <v>2300</v>
      </c>
      <c r="C44" s="36" t="n">
        <f aca="false">F_R-F_Age</f>
        <v>25</v>
      </c>
    </row>
    <row r="45" customFormat="false" ht="15" hidden="false" customHeight="true" outlineLevel="0" collapsed="false">
      <c r="B45" s="20" t="s">
        <v>2301</v>
      </c>
      <c r="C45" s="36" t="n">
        <f aca="false">IF(AND(Ret_Year&gt;=0,Ret_Year&lt;=F_N),INDEX('Plan pay &amp; tax'!$S$234:$S$323,Ret_Year+1),"")</f>
        <v>595640.396053951</v>
      </c>
    </row>
    <row r="46" customFormat="false" ht="15" hidden="false" customHeight="true" outlineLevel="0" collapsed="false">
      <c r="B46" s="20" t="s">
        <v>2302</v>
      </c>
      <c r="C46" s="36" t="n">
        <f aca="false">IF(AND(Ret_Year&gt;=0,Ret_Year&lt;=F_N),INDEX('Plan cashflow'!$H$8:$H$97,Ret_Year+1)/INDEX('Plan cashflow'!$F$8:$F$97,Ret_Year+1)/12,"")</f>
        <v>2928.3717102725</v>
      </c>
    </row>
    <row r="47" customFormat="false" ht="15" hidden="false" customHeight="true" outlineLevel="0" collapsed="false">
      <c r="B47" s="20" t="s">
        <v>2303</v>
      </c>
      <c r="C47" s="36" t="n">
        <f aca="false">IF(AND(Ret_Year&gt;=0,Ret_Year&lt;=F_N),INDEX('Plan pay &amp; tax'!$Y$234:$Y$323,F_V-F_Age+1),0)</f>
        <v>148910.099013488</v>
      </c>
    </row>
    <row r="49" customFormat="false" ht="15" hidden="false" customHeight="true" outlineLevel="0" collapsed="false">
      <c r="B49" s="23" t="s">
        <v>2304</v>
      </c>
      <c r="C49" s="23" t="s">
        <v>1173</v>
      </c>
    </row>
    <row r="50" customFormat="false" ht="15" hidden="false" customHeight="true" outlineLevel="0" collapsed="false">
      <c r="B50" s="20" t="s">
        <v>2305</v>
      </c>
      <c r="C50" s="36" t="str">
        <f aca="false">IF(OR(AND(Has_income=0,In_work&lt;&gt;"Not working"),Has_costsM=0),"na",IF(ROUND(('Plan cashflow'!$H$8-'Plan cashflow'!$TQ$8)/12,0)&lt;0,"bad",IF(ROUND(('Plan cashflow'!$H$8-'Plan cashflow'!$TQ$8)/12,0)&lt;0.05*MAX(1,'Plan cashflow'!$H$8/12),"mid","ok")))</f>
        <v>mid</v>
      </c>
    </row>
    <row r="51" customFormat="false" ht="15" hidden="false" customHeight="true" outlineLevel="0" collapsed="false">
      <c r="B51" s="20" t="s">
        <v>2306</v>
      </c>
      <c r="C51" s="36" t="str">
        <f aca="false">IF(Fnd1_St="na","Add your income and spending to check this",IF(ROUND(('Plan cashflow'!$H$8-'Plan cashflow'!$TQ$8)/12,0)&lt;0,"Spending about "&amp;"€"&amp;TEXT(ROUND(-ROUND(('Plan cashflow'!$H$8-'Plan cashflow'!$TQ$8)/12,0),0),"#,##0")&amp;" a month more than comes in","About "&amp;"€"&amp;TEXT(ROUND(ROUND(('Plan cashflow'!$H$8-'Plan cashflow'!$TQ$8)/12,0),0),"#,##0")&amp;" a month spare"))</f>
        <v>About €125 a month spare</v>
      </c>
    </row>
    <row r="52" customFormat="false" ht="15" hidden="false" customHeight="true" outlineLevel="0" collapsed="false">
      <c r="B52" s="20" t="s">
        <v>2307</v>
      </c>
      <c r="C52" s="36" t="str">
        <f aca="false">IF(AND(Has_cash=1,Has_costsM=1,F_EssM&gt;0),IF(F_Cash/F_EssM&gt;=AS_Months,"ok",IF(F_Cash/F_EssM&gt;=3,"mid","bad")),"na")</f>
        <v>bad</v>
      </c>
    </row>
    <row r="53" customFormat="false" ht="15" hidden="false" customHeight="true" outlineLevel="0" collapsed="false">
      <c r="B53" s="20" t="s">
        <v>2308</v>
      </c>
      <c r="C53" s="36" t="str">
        <f aca="false">IF(Fnd2_St="na","Add your assets to check this",IF(Fnd2_St="ok",INT(F_Cash/F_EssM*10)/10&amp;" months of essential spending · target of "&amp;AS_Months&amp;" met",INT(F_Cash/F_EssM*10)/10&amp;" of "&amp;AS_Months&amp;" months of essential spending"))</f>
        <v>1.8 of 3 months of essential spending</v>
      </c>
    </row>
    <row r="54" customFormat="false" ht="15" hidden="false" customHeight="true" outlineLevel="0" collapsed="false">
      <c r="B54" s="20" t="s">
        <v>2309</v>
      </c>
      <c r="C54" s="36" t="n">
        <f aca="false">IF(OR(F_CardPayM&lt;=F_CardBal*D_iC,F_CardPayM&lt;=0),1E+099,CEILING(ROUND(IF(D_iC&lt;&gt;0,-LN(1-F_CardBal*D_iC/F_CardPayM)/LN(1+D_iC),F_CardBal/F_CardPayM)*1000000,0)/1000000,1))</f>
        <v>11</v>
      </c>
    </row>
    <row r="55" customFormat="false" ht="15" hidden="false" customHeight="true" outlineLevel="0" collapsed="false">
      <c r="B55" s="20" t="s">
        <v>2310</v>
      </c>
      <c r="C55" s="36" t="n">
        <f aca="false">IF(OR(F_LoanPayM&lt;=F_LoanBal*D_iL,F_LoanPayM&lt;=0),1E+099,CEILING(ROUND(IF(D_iL&lt;&gt;0,-LN(1-F_LoanBal*D_iL/F_LoanPayM)/LN(1+D_iL),F_LoanBal/F_LoanPayM)*1000000,0)/1000000,1))</f>
        <v>40</v>
      </c>
    </row>
    <row r="56" customFormat="false" ht="15" hidden="false" customHeight="true" outlineLevel="0" collapsed="false">
      <c r="B56" s="20" t="s">
        <v>2311</v>
      </c>
      <c r="C56" s="36" t="n">
        <f aca="false">IF(OR(Has_cardBal=1,Has_loanBal=1,Has_debt=1),1,0)</f>
        <v>1</v>
      </c>
    </row>
    <row r="57" customFormat="false" ht="15" hidden="false" customHeight="true" outlineLevel="0" collapsed="false">
      <c r="B57" s="20" t="s">
        <v>2312</v>
      </c>
      <c r="C57" s="36" t="str">
        <f aca="false">IF(AND(L3_Debt=1,F_CardBal&gt;1),IF(L3_CardM&lt;=12,"mid","bad"),"")</f>
        <v>mid</v>
      </c>
    </row>
    <row r="58" customFormat="false" ht="15" hidden="false" customHeight="true" outlineLevel="0" collapsed="false">
      <c r="B58" s="20" t="s">
        <v>2313</v>
      </c>
      <c r="C58" s="36" t="str">
        <f aca="false">IF(L3_CardSt="","","Credit card "&amp;"€"&amp;TEXT(ROUND(F_CardBal,0),"#,##0")&amp;IF(L3_CardSt="mid"," clears in about "&amp;MAX(1,L3_CardM)&amp;" months",IF(L3_CardM&gt;=1E+099," with no repayment set"," takes about "&amp;L3_CardM&amp;" months to clear"))&amp;IF(F_CardPayEst=1," (repayment worked out from your figures, because "&amp;IF(In_cardPayM&gt;0,"the repayment given doesn't cover the interest",IF(Has_cardPayM=1,"a €0 repayment wouldn't clear it","no repayment was given"))&amp;")",""))</f>
        <v>Credit card €400 clears in about 11 months</v>
      </c>
    </row>
    <row r="59" customFormat="false" ht="15" hidden="false" customHeight="true" outlineLevel="0" collapsed="false">
      <c r="B59" s="20" t="s">
        <v>2314</v>
      </c>
      <c r="C59" s="36" t="str">
        <f aca="false">IF(AND(L3_Debt=1,F_LoanBal&gt;1),IF(L3_LoanM&lt;=24,"mid","bad"),"")</f>
        <v>bad</v>
      </c>
    </row>
    <row r="60" customFormat="false" ht="15" hidden="false" customHeight="true" outlineLevel="0" collapsed="false">
      <c r="B60" s="20" t="s">
        <v>2315</v>
      </c>
      <c r="C60" s="36" t="str">
        <f aca="false">IF(L3_LoanSt="","","Loans of "&amp;"€"&amp;TEXT(ROUND(F_LoanBal,0),"#,##0")&amp;IF(L3_LoanSt="mid"," clear in about "&amp;MAX(1,L3_LoanM)&amp;" months",IF(L3_LoanM&gt;=1E+099," with no repayment set"," take about "&amp;CEILING(L3_LoanM/12,1)&amp;" years to clear"))&amp;IF(F_LoanPayEst=1," (repayment worked out from your figures, because "&amp;IF(In_loanPayM&gt;0,"the repayment given doesn't cover the interest",IF(Has_loanPayM=1,"a €0 repayment wouldn't clear it","no repayment was given"))&amp;")",""))</f>
        <v>Loans of €3,500 take about 4 years to clear</v>
      </c>
    </row>
    <row r="61" customFormat="false" ht="15" hidden="false" customHeight="true" outlineLevel="0" collapsed="false">
      <c r="B61" s="20" t="s">
        <v>2316</v>
      </c>
      <c r="C61" s="36" t="str">
        <f aca="false">IF(AND(L3_Debt=1,F_Debt&lt;=1),"ok","")</f>
        <v/>
      </c>
    </row>
    <row r="62" customFormat="false" ht="15" hidden="false" customHeight="true" outlineLevel="0" collapsed="false">
      <c r="B62" s="20" t="s">
        <v>2317</v>
      </c>
      <c r="C62" s="36" t="str">
        <f aca="false">IF(L3_NoDebtSt="","","No costly debt")</f>
        <v/>
      </c>
    </row>
    <row r="63" customFormat="false" ht="15" hidden="false" customHeight="true" outlineLevel="0" collapsed="false">
      <c r="B63" s="20" t="s">
        <v>2318</v>
      </c>
      <c r="C63" s="41" t="n">
        <f aca="false">IF(In_workCover="Yes",Cover_Work_Total,0)</f>
        <v>0</v>
      </c>
    </row>
    <row r="64" customFormat="false" ht="15" hidden="false" customHeight="true" outlineLevel="0" collapsed="false">
      <c r="B64" s="20" t="s">
        <v>2319</v>
      </c>
      <c r="C64" s="41" t="n">
        <f aca="false">IF(In_life="Yes",Cover_Life_Total,0)</f>
        <v>0</v>
      </c>
    </row>
    <row r="65" customFormat="false" ht="15" hidden="false" customHeight="true" outlineLevel="0" collapsed="false">
      <c r="B65" s="20" t="s">
        <v>2320</v>
      </c>
      <c r="C65" s="36" t="n">
        <f aca="false">IF(OR(F_Partner=1,In_deps&gt;0),1,0)</f>
        <v>1</v>
      </c>
    </row>
    <row r="66" customFormat="false" ht="15" hidden="false" customHeight="true" outlineLevel="0" collapsed="false">
      <c r="B66" s="20" t="s">
        <v>2321</v>
      </c>
      <c r="C66" s="36" t="str">
        <f aca="false">IF(L3_NeedLife=0,"",IF(Has_life=0,"na",IF(OR(In_life="Yes",L3_CoverWork&gt;0),"ok",IF(In_life="No","bad","mid"))))</f>
        <v>ok</v>
      </c>
    </row>
    <row r="67" customFormat="false" ht="15" hidden="false" customHeight="true" outlineLevel="0" collapsed="false">
      <c r="B67" s="20" t="s">
        <v>2322</v>
      </c>
      <c r="C67" s="36" t="str">
        <f aca="false">IF(L3_LifeSt="","",IF(L3_LifeSt="na","Add your protection to check life cover",IF(L3_LifeSt="ok",IF(In_life="Yes","Life cover in place"&amp;IF(L3_CoverLife&gt;0," ("&amp;"€"&amp;TEXT(ROUND(L3_CoverLife,0),"#,##0")&amp;" covered)","")&amp;IF(L3_CoverWork&gt;0,", plus "&amp;"€"&amp;TEXT(ROUND(L3_CoverWork,0),"#,##0")&amp;" through work",""),"Cover through work in place ("&amp;"€"&amp;TEXT(ROUND(L3_CoverWork,0),"#,##0")&amp;")"),IF(In_life="No","No life cover, and ","Not sure about life cover, and ")&amp;IF(In_deps&gt;0,"people rely on you","you plan with a partner"))))</f>
        <v>Life cover in place</v>
      </c>
    </row>
    <row r="68" customFormat="false" ht="15" hidden="false" customHeight="true" outlineLevel="0" collapsed="false">
      <c r="B68" s="20" t="s">
        <v>2323</v>
      </c>
      <c r="C68" s="36" t="str">
        <f aca="false">IF(AND(In_work&lt;&gt;"",In_work&lt;&gt;"Not working"),IF(Has_ip=0,"na",IF(In_ip="Yes","ok","mid")),"")</f>
        <v>mid</v>
      </c>
    </row>
    <row r="69" customFormat="false" ht="15" hidden="false" customHeight="true" outlineLevel="0" collapsed="false">
      <c r="B69" s="20" t="s">
        <v>2324</v>
      </c>
      <c r="C69" s="36" t="str">
        <f aca="false">IF(L3_IpSt="","",IF(L3_IpSt="na","Add your protection to check income protection",IF(L3_IpSt="ok","Income protection in place"&amp;IF(AND(In_ip="Yes",IP_Listed_Total&gt;0)," ("&amp;"€"&amp;TEXT(ROUND(IP_Listed_Total,0),"#,##0")&amp;" a month)",""),"No income protection if you couldn't work")))</f>
        <v>No income protection if you couldn't work</v>
      </c>
    </row>
    <row r="70" customFormat="false" ht="15" hidden="false" customHeight="true" outlineLevel="0" collapsed="false">
      <c r="B70" s="20" t="s">
        <v>2325</v>
      </c>
      <c r="C70" s="36" t="n">
        <f aca="false">MIN(IF(L3_CardSt="",9,IF(L3_CardSt="bad",0,IF(L3_CardSt="mid",1,IF(L3_CardSt="na",2,3)))),IF(L3_LoanSt="",9,IF(L3_LoanSt="bad",0,IF(L3_LoanSt="mid",1,IF(L3_LoanSt="na",2,3)))),IF(L3_NoDebtSt="",9,IF(L3_NoDebtSt="bad",0,IF(L3_NoDebtSt="mid",1,IF(L3_NoDebtSt="na",2,3)))),IF(L3_LifeSt="",9,IF(L3_LifeSt="bad",0,IF(L3_LifeSt="mid",1,IF(L3_LifeSt="na",2,3)))),IF(L3_IpSt="",9,IF(L3_IpSt="bad",0,IF(L3_IpSt="mid",1,IF(L3_IpSt="na",2,3)))))</f>
        <v>0</v>
      </c>
    </row>
    <row r="71" customFormat="false" ht="15" hidden="false" customHeight="true" outlineLevel="0" collapsed="false">
      <c r="B71" s="20" t="s">
        <v>2326</v>
      </c>
      <c r="C71" s="36" t="str">
        <f aca="false">IF(L3_Rank=9,"na",IF(IF(L3_CardSt="",9,IF(L3_CardSt="bad",0,IF(L3_CardSt="mid",1,IF(L3_CardSt="na",2,3))))=L3_Rank,L3_CardSt,IF(IF(L3_LoanSt="",9,IF(L3_LoanSt="bad",0,IF(L3_LoanSt="mid",1,IF(L3_LoanSt="na",2,3))))=L3_Rank,L3_LoanSt,IF(IF(L3_NoDebtSt="",9,IF(L3_NoDebtSt="bad",0,IF(L3_NoDebtSt="mid",1,IF(L3_NoDebtSt="na",2,3))))=L3_Rank,L3_NoDebtSt,IF(IF(L3_LifeSt="",9,IF(L3_LifeSt="bad",0,IF(L3_LifeSt="mid",1,IF(L3_LifeSt="na",2,3))))=L3_Rank,L3_LifeSt,L3_IpSt)))))</f>
        <v>bad</v>
      </c>
    </row>
    <row r="72" customFormat="false" ht="15" hidden="false" customHeight="true" outlineLevel="0" collapsed="false">
      <c r="B72" s="20" t="s">
        <v>2327</v>
      </c>
      <c r="C72" s="36" t="str">
        <f aca="false">IF(L3_Rank=9,"Add your loans and protection to check this",IF(IF(L3_CardSt="",9,IF(L3_CardSt="bad",0,IF(L3_CardSt="mid",1,IF(L3_CardSt="na",2,3))))=L3_Rank,L3_CardS,IF(IF(L3_LoanSt="",9,IF(L3_LoanSt="bad",0,IF(L3_LoanSt="mid",1,IF(L3_LoanSt="na",2,3))))=L3_Rank,L3_LoanS,IF(IF(L3_NoDebtSt="",9,IF(L3_NoDebtSt="bad",0,IF(L3_NoDebtSt="mid",1,IF(L3_NoDebtSt="na",2,3))))=L3_Rank,L3_NoDebtS,IF(IF(L3_LifeSt="",9,IF(L3_LifeSt="bad",0,IF(L3_LifeSt="mid",1,IF(L3_LifeSt="na",2,3))))=L3_Rank,L3_LifeS,L3_IpS)))))</f>
        <v>Loans of €3,500 take about 4 years to clear</v>
      </c>
    </row>
    <row r="73" customFormat="false" ht="15" hidden="false" customHeight="true" outlineLevel="0" collapsed="false">
      <c r="B73" s="20" t="s">
        <v>2328</v>
      </c>
      <c r="C73" s="36" t="n">
        <f aca="false">SUMPRODUCT((GR_Key&lt;&gt;"")*(GR_Kind&lt;&gt;"legacy"))</f>
        <v>5</v>
      </c>
    </row>
    <row r="74" customFormat="false" ht="15" hidden="false" customHeight="true" outlineLevel="0" collapsed="false">
      <c r="B74" s="20" t="s">
        <v>2329</v>
      </c>
      <c r="C74" s="36" t="n">
        <f aca="false">SUMPRODUCT((GR_Key&lt;&gt;"")*(GR_Kind&lt;&gt;"legacy")*(GR_PctN&gt;=PR_Good))</f>
        <v>2</v>
      </c>
    </row>
    <row r="75" customFormat="false" ht="15" hidden="false" customHeight="true" outlineLevel="0" collapsed="false">
      <c r="B75" s="20" t="s">
        <v>2330</v>
      </c>
      <c r="C75" s="36" t="n">
        <f aca="false">SUMPRODUCT((GR_Key&lt;&gt;"")*(GR_Kind&lt;&gt;"legacy")*(GR_PctN&lt;PR_LowPct))</f>
        <v>1</v>
      </c>
    </row>
    <row r="76" customFormat="false" ht="15" hidden="false" customHeight="true" outlineLevel="0" collapsed="false">
      <c r="B76" s="20" t="s">
        <v>2331</v>
      </c>
      <c r="C76" s="36" t="n">
        <f aca="false">IF(OR(F_PenM&gt;0,IF(RG_Exists=1,INDEX(GR_PctN,RG_Row)&gt;=PR_Good,FALSE())),1,0)</f>
        <v>1</v>
      </c>
    </row>
    <row r="77" customFormat="false" ht="15" hidden="false" customHeight="true" outlineLevel="0" collapsed="false">
      <c r="B77" s="20" t="s">
        <v>2332</v>
      </c>
      <c r="C77" s="36" t="str">
        <f aca="false">IF(L4_N=0,"na",IF(L4_Low&gt;L4_N/2,"bad",IF(AND(L4_On=L4_N,L4_PenOn=1),"ok","mid")))</f>
        <v>mid</v>
      </c>
    </row>
    <row r="78" customFormat="false" ht="15" hidden="false" customHeight="true" outlineLevel="0" collapsed="false">
      <c r="B78" s="20" t="s">
        <v>2333</v>
      </c>
      <c r="C78" s="36" t="str">
        <f aca="false">IF(L4_N&gt;0,L4_On&amp;" of "&amp;L4_N&amp;" goals on track"&amp;IF(L4_PenOn=1," · pension saving under way"," · no pension saving yet"),"Add goals to check this")</f>
        <v>2 of 5 goals on track · pension saving under way</v>
      </c>
    </row>
    <row r="79" customFormat="false" ht="15" hidden="false" customHeight="true" outlineLevel="0" collapsed="false">
      <c r="B79" s="20" t="s">
        <v>2334</v>
      </c>
      <c r="C79" s="36" t="n">
        <f aca="false">SUMPRODUCT((GR_Key&lt;&gt;"")*((GR_Key="wealth")+(GR_Kind="legacy")&gt;0))</f>
        <v>0</v>
      </c>
    </row>
    <row r="80" customFormat="false" ht="15" hidden="false" customHeight="true" outlineLevel="0" collapsed="false">
      <c r="B80" s="20" t="s">
        <v>2335</v>
      </c>
      <c r="C80" s="36" t="n">
        <f aca="false">IFERROR(MATCH(1,INDEX((GR_Key&lt;&gt;"")*((GR_Key="wealth")+(GR_Kind="legacy")&gt;0)*(GR_PctN&gt;=PR_Good),0),0),0)</f>
        <v>0</v>
      </c>
    </row>
    <row r="81" customFormat="false" ht="15" hidden="false" customHeight="true" outlineLevel="0" collapsed="false">
      <c r="B81" s="20" t="s">
        <v>2336</v>
      </c>
      <c r="C81" s="36" t="n">
        <f aca="false">IFERROR(MATCH(1,INDEX((GR_Key&lt;&gt;"")*((GR_Key="wealth")+(GR_Kind="legacy")&gt;0),0),0),0)</f>
        <v>0</v>
      </c>
    </row>
    <row r="82" customFormat="false" ht="15" hidden="false" customHeight="true" outlineLevel="0" collapsed="false">
      <c r="B82" s="20" t="s">
        <v>2337</v>
      </c>
      <c r="C82" s="36" t="n">
        <f aca="false">IF(AND(Has_invest=1,F_Invest&gt;0),1,0)</f>
        <v>1</v>
      </c>
    </row>
    <row r="83" customFormat="false" ht="15" hidden="false" customHeight="true" outlineLevel="0" collapsed="false">
      <c r="B83" s="20" t="s">
        <v>2338</v>
      </c>
      <c r="C83" s="36" t="str">
        <f aca="false">IF(OR(L5_Inv=1,L5_OnIdx&gt;0),"ok",IF(L5_N&gt;0,"mid","na"))</f>
        <v>ok</v>
      </c>
    </row>
    <row r="84" customFormat="false" ht="15" hidden="false" customHeight="true" outlineLevel="0" collapsed="false">
      <c r="B84" s="20" t="s">
        <v>2339</v>
      </c>
      <c r="C84" s="36" t="str">
        <f aca="false">IF(L5_Inv=1,"Investing "&amp;"€"&amp;TEXT(ROUND(F_Invest,0),"#,##0")&amp;IF(L5_OnIdx&gt;0," · "&amp;LOWER(INDEX(GR_Name,L5_OnIdx))&amp;" on track",""),IF(L5_OnIdx&gt;0,INDEX(GR_Name,L5_OnIdx)&amp;" on track",IF(L5_N&gt;0,INDEX(GR_Name,L5_FirstIdx)&amp;" not on track yet","Not started yet")))</f>
        <v>Investing €6,200</v>
      </c>
    </row>
    <row r="85" customFormat="false" ht="15" hidden="false" customHeight="true" outlineLevel="0" collapsed="false">
      <c r="B85" s="20" t="s">
        <v>2340</v>
      </c>
      <c r="C85" s="36" t="str">
        <f aca="false">IF(AND(Fnd2_St="ok",OR(Fnd1_St="bad",Fnd1_St="mid")),"held",Fnd2_St)</f>
        <v>bad</v>
      </c>
    </row>
    <row r="86" customFormat="false" ht="15" hidden="false" customHeight="true" outlineLevel="0" collapsed="false">
      <c r="B86" s="20" t="s">
        <v>2341</v>
      </c>
      <c r="C86" s="36" t="str">
        <f aca="false">IF(AND(Fnd3_St="ok",OR(Fnd1_St="bad",Fnd1_St="mid",Fnd2_St="bad",Fnd2_St="mid")),"held",Fnd3_St)</f>
        <v>bad</v>
      </c>
    </row>
    <row r="87" customFormat="false" ht="15" hidden="false" customHeight="true" outlineLevel="0" collapsed="false">
      <c r="B87" s="20" t="s">
        <v>2342</v>
      </c>
      <c r="C87" s="36" t="str">
        <f aca="false">IF(AND(Fnd4_St="ok",OR(Fnd1_St="bad",Fnd1_St="mid",Fnd2_St="bad",Fnd2_St="mid",Fnd3_St="bad",Fnd3_St="mid")),"held",Fnd4_St)</f>
        <v>mid</v>
      </c>
    </row>
    <row r="88" customFormat="false" ht="15" hidden="false" customHeight="true" outlineLevel="0" collapsed="false">
      <c r="B88" s="20" t="s">
        <v>2343</v>
      </c>
      <c r="C88" s="36" t="str">
        <f aca="false">IF(AND(Fnd5_St="ok",OR(Fnd1_St="bad",Fnd1_St="mid",Fnd2_St="bad",Fnd2_St="mid",Fnd3_St="bad",Fnd3_St="mid",Fnd4_St="bad",Fnd4_St="mid")),"held",Fnd5_St)</f>
        <v>held</v>
      </c>
    </row>
    <row r="89" customFormat="false" ht="15" hidden="false" customHeight="true" outlineLevel="0" collapsed="false">
      <c r="B89" s="20" t="s">
        <v>2344</v>
      </c>
      <c r="C89" s="36" t="str">
        <f aca="false">Fnd1_St</f>
        <v>mid</v>
      </c>
    </row>
    <row r="91" customFormat="false" ht="15" hidden="false" customHeight="true" outlineLevel="0" collapsed="false">
      <c r="B91" s="23" t="s">
        <v>2345</v>
      </c>
      <c r="C91" s="23" t="s">
        <v>1173</v>
      </c>
    </row>
    <row r="92" customFormat="false" ht="15" hidden="false" customHeight="true" outlineLevel="0" collapsed="false">
      <c r="B92" s="20" t="s">
        <v>2346</v>
      </c>
      <c r="C92" s="36" t="n">
        <f aca="false">IF(Fnd1_Fin&lt;&gt;"ok",1,IF(Fnd2_Fin&lt;&gt;"ok",2,IF(Fnd3_Fin&lt;&gt;"ok",3,IF(Fnd4_Fin&lt;&gt;"ok",4,IF(Fnd5_Fin&lt;&gt;"ok",5,0)))))</f>
        <v>1</v>
      </c>
    </row>
    <row r="93" customFormat="false" ht="15" hidden="false" customHeight="true" outlineLevel="0" collapsed="false">
      <c r="B93" s="20" t="s">
        <v>2347</v>
      </c>
      <c r="C93" s="36" t="str">
        <f aca="false">IF(L3_Rank=9,"",IF(AND(L3_CardSt&lt;&gt;"",IF(L3_CardSt="",9,IF(L3_CardSt="bad",0,IF(L3_CardSt="mid",1,IF(L3_CardSt="na",2,3))))=L3_Rank),"debtpay",IF(AND(L3_LoanSt&lt;&gt;"",IF(L3_LoanSt="",9,IF(L3_LoanSt="bad",0,IF(L3_LoanSt="mid",1,IF(L3_LoanSt="na",2,3))))=L3_Rank),"debtpay","")))</f>
        <v>debtpay</v>
      </c>
    </row>
    <row r="94" customFormat="false" ht="15" hidden="false" customHeight="true" outlineLevel="0" collapsed="false">
      <c r="B94" s="20" t="s">
        <v>2348</v>
      </c>
      <c r="C94" s="36" t="str">
        <f aca="false">IF(Fnd_NextN=0,"",CHOOSE(Fnd_NextN,IF(Fnd1_Fin="bad","Spend less than you earn first","Give yourself more room each month"),"Build your emergency fund first",IF(AND(Fnd3_Fin&lt;&gt;"na",L3_Kind="debtpay"),"Clear your costly debt first","Check your protection first"),"Get your goals on track","Start growing your wealth when you're ready"))</f>
        <v>Give yourself more room each month</v>
      </c>
    </row>
    <row r="95" customFormat="false" ht="15" hidden="false" customHeight="true" outlineLevel="0" collapsed="false">
      <c r="B95" s="20" t="s">
        <v>2349</v>
      </c>
      <c r="C95" s="36" t="str">
        <f aca="false">IF(Fnd_NextN=0,"",IF(AND(Fnd_NextN=2,Fnd2_St&lt;&gt;"na"),"You're "&amp;INT(F_Cash/F_EssM*10)/10&amp;" of "&amp;AS_Months&amp;" months there.",CHOOSE(Fnd_NextN,IF(Fnd1_Fin="held",Fnd1_S&amp;" · strengthen your foundations first",Fnd1_S)&amp;".",IF(Fnd2_Fin="held",Fnd2_S&amp;" · strengthen your foundations first",Fnd2_S)&amp;".",IF(Fnd3_Fin="held",Fnd3_S&amp;" · strengthen your foundations first",Fnd3_S)&amp;".",IF(Fnd4_Fin="held",Fnd4_S&amp;" · strengthen your foundations first",Fnd4_S)&amp;".",IF(Fnd5_Fin="held",Fnd5_S&amp;" · strengthen your foundations first",Fnd5_S)&amp;".")))</f>
        <v>About €125 a month spare.</v>
      </c>
    </row>
    <row r="96" customFormat="false" ht="15" hidden="false" customHeight="true" outlineLevel="0" collapsed="false">
      <c r="B96" s="20" t="s">
        <v>2350</v>
      </c>
      <c r="C96" s="36" t="n">
        <f aca="false">SUMPRODUCT((GR_Key&lt;&gt;"")*(GR_PctN&lt;PR_Good))</f>
        <v>3</v>
      </c>
    </row>
    <row r="97" customFormat="false" ht="15" hidden="false" customHeight="true" outlineLevel="0" collapsed="false">
      <c r="B97" s="20" t="s">
        <v>2351</v>
      </c>
      <c r="C97" s="36" t="str">
        <f aca="false">IF(AND(INDEX(GR_Key,1)&lt;&gt;"",INDEX(GR_PctN,1)&lt;PR_Good),INDEX(GR_Name,1)&amp;"|","")&amp;IF(AND(INDEX(GR_Key,2)&lt;&gt;"",INDEX(GR_PctN,2)&lt;PR_Good),INDEX(GR_Name,2)&amp;"|","")&amp;IF(AND(INDEX(GR_Key,3)&lt;&gt;"",INDEX(GR_PctN,3)&lt;PR_Good),INDEX(GR_Name,3)&amp;"|","")&amp;IF(AND(INDEX(GR_Key,4)&lt;&gt;"",INDEX(GR_PctN,4)&lt;PR_Good),INDEX(GR_Name,4)&amp;"|","")&amp;IF(AND(INDEX(GR_Key,5)&lt;&gt;"",INDEX(GR_PctN,5)&lt;PR_Good),INDEX(GR_Name,5)&amp;"|","")&amp;IF(AND(INDEX(GR_Key,6)&lt;&gt;"",INDEX(GR_PctN,6)&lt;PR_Good),INDEX(GR_Name,6)&amp;"|","")&amp;IF(AND(INDEX(GR_Key,7)&lt;&gt;"",INDEX(GR_PctN,7)&lt;PR_Good),INDEX(GR_Name,7)&amp;"|","")&amp;IF(AND(INDEX(GR_Key,8)&lt;&gt;"",INDEX(GR_PctN,8)&lt;PR_Good),INDEX(GR_Name,8)&amp;"|","")&amp;IF(AND(INDEX(GR_Key,9)&lt;&gt;"",INDEX(GR_PctN,9)&lt;PR_Good),INDEX(GR_Name,9)&amp;"|","")&amp;IF(AND(INDEX(GR_Key,10)&lt;&gt;"",INDEX(GR_PctN,10)&lt;PR_Good),INDEX(GR_Name,10)&amp;"|","")&amp;IF(AND(INDEX(GR_Key,11)&lt;&gt;"",INDEX(GR_PctN,11)&lt;PR_Good),INDEX(GR_Name,11)&amp;"|","")&amp;IF(AND(INDEX(GR_Key,12)&lt;&gt;"",INDEX(GR_PctN,12)&lt;PR_Good),INDEX(GR_Name,12)&amp;"|","")&amp;IF(AND(INDEX(GR_Key,13)&lt;&gt;"",INDEX(GR_PctN,13)&lt;PR_Good),INDEX(GR_Name,13)&amp;"|","")&amp;IF(AND(INDEX(GR_Key,14)&lt;&gt;"",INDEX(GR_PctN,14)&lt;PR_Good),INDEX(GR_Name,14)&amp;"|","")&amp;IF(AND(INDEX(GR_Key,15)&lt;&gt;"",INDEX(GR_PctN,15)&lt;PR_Good),INDEX(GR_Name,15)&amp;"|","")&amp;IF(AND(INDEX(GR_Key,16)&lt;&gt;"",INDEX(GR_PctN,16)&lt;PR_Good),INDEX(GR_Name,16)&amp;"|","")&amp;IF(AND(INDEX(GR_Key,17)&lt;&gt;"",INDEX(GR_PctN,17)&lt;PR_Good),INDEX(GR_Name,17)&amp;"|","")&amp;IF(AND(INDEX(GR_Key,18)&lt;&gt;"",INDEX(GR_PctN,18)&lt;PR_Good),INDEX(GR_Name,18)&amp;"|","")&amp;IF(AND(INDEX(GR_Key,19)&lt;&gt;"",INDEX(GR_PctN,19)&lt;PR_Good),INDEX(GR_Name,19)&amp;"|","")&amp;IF(AND(INDEX(GR_Key,20)&lt;&gt;"",INDEX(GR_PctN,20)&lt;PR_Good),INDEX(GR_Name,20)&amp;"|","")&amp;IF(AND(INDEX(GR_Key,21)&lt;&gt;"",INDEX(GR_PctN,21)&lt;PR_Good),INDEX(GR_Name,21)&amp;"|","")&amp;IF(AND(INDEX(GR_Key,22)&lt;&gt;"",INDEX(GR_PctN,22)&lt;PR_Good),INDEX(GR_Name,22)&amp;"|","")</f>
        <v>Kids' education|Travel|Retire comfortably|</v>
      </c>
    </row>
    <row r="99" customFormat="false" ht="15" hidden="false" customHeight="true" outlineLevel="0" collapsed="false">
      <c r="B99" s="23" t="s">
        <v>2352</v>
      </c>
      <c r="C99" s="23" t="s">
        <v>1173</v>
      </c>
    </row>
    <row r="100" customFormat="false" ht="61.5" hidden="false" customHeight="true" outlineLevel="0" collapsed="false">
      <c r="B100" s="33" t="s">
        <v>2353</v>
      </c>
      <c r="C100" s="33" t="s">
        <v>2354</v>
      </c>
      <c r="D100" s="33" t="s">
        <v>2355</v>
      </c>
      <c r="E100" s="33" t="s">
        <v>2356</v>
      </c>
      <c r="F100" s="33" t="s">
        <v>2357</v>
      </c>
      <c r="G100" s="33" t="s">
        <v>2358</v>
      </c>
      <c r="H100" s="33" t="s">
        <v>2359</v>
      </c>
      <c r="I100" s="33" t="s">
        <v>2360</v>
      </c>
      <c r="J100" s="33" t="s">
        <v>2361</v>
      </c>
      <c r="K100" s="33" t="s">
        <v>2362</v>
      </c>
      <c r="L100" s="33" t="s">
        <v>2363</v>
      </c>
      <c r="M100" s="33" t="s">
        <v>2364</v>
      </c>
      <c r="N100" s="33" t="s">
        <v>2365</v>
      </c>
      <c r="O100" s="33" t="s">
        <v>2366</v>
      </c>
      <c r="P100" s="33" t="s">
        <v>2367</v>
      </c>
      <c r="Q100" s="33" t="s">
        <v>584</v>
      </c>
    </row>
    <row r="101" customFormat="false" ht="15" hidden="false" customHeight="true" outlineLevel="0" collapsed="false">
      <c r="B101" s="20" t="s">
        <v>2368</v>
      </c>
      <c r="C101" s="20" t="n">
        <f aca="false">IF(1,1,0)</f>
        <v>1</v>
      </c>
      <c r="D101" s="20" t="n">
        <v>0</v>
      </c>
      <c r="E101" s="20" t="n">
        <f aca="false">IF(1,1,0)</f>
        <v>1</v>
      </c>
      <c r="F101" s="20" t="n">
        <v>1</v>
      </c>
      <c r="G101" s="20" t="n">
        <f aca="false">IF(ISNUMBER(SEARCH(","&amp;"name"&amp;",",","&amp;SUBSTITUTE(In_lookKeys," ","")&amp;",")),1,0)</f>
        <v>0</v>
      </c>
      <c r="H101" s="20" t="n">
        <f aca="false">IF(ISNUMBER(SEARCH(","&amp;"name"&amp;",",","&amp;SUBSTITUTE(In_ackKeys," ","")&amp;",")),1,0)</f>
        <v>0</v>
      </c>
      <c r="I101" s="20" t="n">
        <f aca="false">C101*(1-D101)</f>
        <v>1</v>
      </c>
      <c r="J101" s="20" t="n">
        <f aca="false">I101*E101</f>
        <v>1</v>
      </c>
      <c r="K101" s="20" t="n">
        <f aca="false">C101*G101*(1-H101)</f>
        <v>0</v>
      </c>
      <c r="L101" s="20" t="n">
        <f aca="false">C101*E101*(1-F101)</f>
        <v>0</v>
      </c>
      <c r="M101" s="20" t="n">
        <f aca="false">C101*MAX(E101,G101)</f>
        <v>1</v>
      </c>
      <c r="N101" s="20" t="n">
        <v>1</v>
      </c>
      <c r="O101" s="20" t="n">
        <f aca="false">C101*IF(G101=1,1,IF(AND(D101=0,E101=0),1,0))</f>
        <v>0</v>
      </c>
      <c r="P101" s="20" t="n">
        <f aca="false">C101*E101*(1-G101)</f>
        <v>1</v>
      </c>
      <c r="Q101" s="20" t="s">
        <v>2369</v>
      </c>
    </row>
    <row r="102" customFormat="false" ht="15" hidden="false" customHeight="true" outlineLevel="0" collapsed="false">
      <c r="B102" s="20" t="s">
        <v>2264</v>
      </c>
      <c r="C102" s="20" t="n">
        <f aca="false">IF(Has_age=0,1,0)</f>
        <v>0</v>
      </c>
      <c r="D102" s="20" t="n">
        <v>0</v>
      </c>
      <c r="E102" s="20" t="n">
        <f aca="false">IF(Has_age,1,0)</f>
        <v>1</v>
      </c>
      <c r="F102" s="20" t="n">
        <v>1</v>
      </c>
      <c r="G102" s="20" t="n">
        <f aca="false">IF(ISNUMBER(SEARCH(","&amp;"age"&amp;",",","&amp;SUBSTITUTE(In_lookKeys," ","")&amp;",")),1,0)</f>
        <v>0</v>
      </c>
      <c r="H102" s="20" t="n">
        <f aca="false">IF(ISNUMBER(SEARCH(","&amp;"age"&amp;",",","&amp;SUBSTITUTE(In_ackKeys," ","")&amp;",")),1,0)</f>
        <v>0</v>
      </c>
      <c r="I102" s="20" t="n">
        <f aca="false">C102*(1-D102)</f>
        <v>0</v>
      </c>
      <c r="J102" s="20" t="n">
        <f aca="false">I102*E102</f>
        <v>0</v>
      </c>
      <c r="K102" s="20" t="n">
        <f aca="false">C102*G102*(1-H102)</f>
        <v>0</v>
      </c>
      <c r="L102" s="20" t="n">
        <f aca="false">C102*E102*(1-F102)</f>
        <v>0</v>
      </c>
      <c r="M102" s="20" t="n">
        <f aca="false">C102*MAX(E102,G102)</f>
        <v>0</v>
      </c>
      <c r="N102" s="20" t="n">
        <v>1</v>
      </c>
      <c r="O102" s="20" t="n">
        <f aca="false">C102*IF(G102=1,1,IF(AND(D102=0,E102=0),1,0))</f>
        <v>0</v>
      </c>
      <c r="P102" s="20" t="n">
        <f aca="false">C102*E102*(1-G102)</f>
        <v>0</v>
      </c>
      <c r="Q102" s="20" t="s">
        <v>932</v>
      </c>
    </row>
    <row r="103" customFormat="false" ht="15" hidden="false" customHeight="true" outlineLevel="0" collapsed="false">
      <c r="B103" s="20" t="s">
        <v>114</v>
      </c>
      <c r="C103" s="20" t="n">
        <f aca="false">IF(1,1,0)</f>
        <v>1</v>
      </c>
      <c r="D103" s="20" t="n">
        <v>0</v>
      </c>
      <c r="E103" s="20" t="n">
        <f aca="false">IF(Has_retireAge,1,0)</f>
        <v>1</v>
      </c>
      <c r="F103" s="20" t="n">
        <v>0</v>
      </c>
      <c r="G103" s="20" t="n">
        <f aca="false">IF(ISNUMBER(SEARCH(","&amp;"retireAge"&amp;",",","&amp;SUBSTITUTE(In_lookKeys," ","")&amp;",")),1,0)</f>
        <v>0</v>
      </c>
      <c r="H103" s="20" t="n">
        <f aca="false">IF(ISNUMBER(SEARCH(","&amp;"retireAge"&amp;",",","&amp;SUBSTITUTE(In_ackKeys," ","")&amp;",")),1,0)</f>
        <v>0</v>
      </c>
      <c r="I103" s="20" t="n">
        <f aca="false">C103*(1-D103)</f>
        <v>1</v>
      </c>
      <c r="J103" s="20" t="n">
        <f aca="false">I103*E103</f>
        <v>1</v>
      </c>
      <c r="K103" s="20" t="n">
        <f aca="false">C103*G103*(1-H103)</f>
        <v>0</v>
      </c>
      <c r="L103" s="20" t="n">
        <f aca="false">C103*E103*(1-F103)</f>
        <v>1</v>
      </c>
      <c r="M103" s="20" t="n">
        <f aca="false">C103*MAX(E103,G103)</f>
        <v>1</v>
      </c>
      <c r="N103" s="20" t="n">
        <v>1</v>
      </c>
      <c r="O103" s="20" t="n">
        <f aca="false">0</f>
        <v>0</v>
      </c>
      <c r="P103" s="20" t="n">
        <f aca="false">0</f>
        <v>0</v>
      </c>
      <c r="Q103" s="20" t="s">
        <v>2269</v>
      </c>
    </row>
    <row r="104" customFormat="false" ht="15" hidden="false" customHeight="true" outlineLevel="0" collapsed="false">
      <c r="B104" s="20" t="s">
        <v>2267</v>
      </c>
      <c r="C104" s="20" t="n">
        <f aca="false">IF(AND(F_Partner=1,In_pIncome&gt;0),1,0)</f>
        <v>1</v>
      </c>
      <c r="D104" s="20" t="n">
        <v>0</v>
      </c>
      <c r="E104" s="20" t="n">
        <f aca="false">IF(Has_pAge,1,0)</f>
        <v>1</v>
      </c>
      <c r="F104" s="20" t="n">
        <v>0</v>
      </c>
      <c r="G104" s="20" t="n">
        <f aca="false">IF(ISNUMBER(SEARCH(","&amp;"pAge"&amp;",",","&amp;SUBSTITUTE(In_lookKeys," ","")&amp;",")),1,0)</f>
        <v>0</v>
      </c>
      <c r="H104" s="20" t="n">
        <f aca="false">IF(ISNUMBER(SEARCH(","&amp;"pAge"&amp;",",","&amp;SUBSTITUTE(In_ackKeys," ","")&amp;",")),1,0)</f>
        <v>0</v>
      </c>
      <c r="I104" s="20" t="n">
        <f aca="false">C104*(1-D104)</f>
        <v>1</v>
      </c>
      <c r="J104" s="20" t="n">
        <f aca="false">I104*E104</f>
        <v>1</v>
      </c>
      <c r="K104" s="20" t="n">
        <f aca="false">C104*G104*(1-H104)</f>
        <v>0</v>
      </c>
      <c r="L104" s="20" t="n">
        <f aca="false">C104*E104*(1-F104)</f>
        <v>1</v>
      </c>
      <c r="M104" s="20" t="n">
        <f aca="false">C104*MAX(E104,G104)</f>
        <v>1</v>
      </c>
      <c r="N104" s="20" t="n">
        <v>1</v>
      </c>
      <c r="O104" s="20" t="n">
        <f aca="false">C104*IF(G104=1,1,IF(AND(D104=0,E104=0),1,0))</f>
        <v>0</v>
      </c>
      <c r="P104" s="20" t="n">
        <f aca="false">C104*E104*(1-G104)</f>
        <v>1</v>
      </c>
      <c r="Q104" s="20" t="s">
        <v>2266</v>
      </c>
    </row>
    <row r="105" customFormat="false" ht="15" hidden="false" customHeight="true" outlineLevel="0" collapsed="false">
      <c r="B105" s="20" t="s">
        <v>2370</v>
      </c>
      <c r="C105" s="20" t="n">
        <f aca="false">IF(1,1,0)</f>
        <v>1</v>
      </c>
      <c r="D105" s="20" t="n">
        <v>0</v>
      </c>
      <c r="E105" s="20" t="n">
        <f aca="false">IF(Has_work,1,0)</f>
        <v>1</v>
      </c>
      <c r="F105" s="20" t="n">
        <v>0</v>
      </c>
      <c r="G105" s="20" t="n">
        <f aca="false">IF(ISNUMBER(SEARCH(","&amp;"work"&amp;",",","&amp;SUBSTITUTE(In_lookKeys," ","")&amp;",")),1,0)</f>
        <v>0</v>
      </c>
      <c r="H105" s="20" t="n">
        <f aca="false">IF(ISNUMBER(SEARCH(","&amp;"work"&amp;",",","&amp;SUBSTITUTE(In_ackKeys," ","")&amp;",")),1,0)</f>
        <v>0</v>
      </c>
      <c r="I105" s="20" t="n">
        <f aca="false">C105*(1-D105)</f>
        <v>1</v>
      </c>
      <c r="J105" s="20" t="n">
        <f aca="false">I105*E105</f>
        <v>1</v>
      </c>
      <c r="K105" s="20" t="n">
        <f aca="false">C105*G105*(1-H105)</f>
        <v>0</v>
      </c>
      <c r="L105" s="20" t="n">
        <f aca="false">C105*E105*(1-F105)</f>
        <v>1</v>
      </c>
      <c r="M105" s="20" t="n">
        <f aca="false">C105*MAX(E105,G105)</f>
        <v>1</v>
      </c>
      <c r="N105" s="20" t="n">
        <v>2</v>
      </c>
      <c r="O105" s="20" t="n">
        <f aca="false">C105*IF(G105=1,1,IF(AND(D105=0,E105=0),1,0))</f>
        <v>0</v>
      </c>
      <c r="P105" s="20" t="n">
        <f aca="false">C105*E105*(1-G105)</f>
        <v>1</v>
      </c>
      <c r="Q105" s="20" t="s">
        <v>2371</v>
      </c>
    </row>
    <row r="106" customFormat="false" ht="15" hidden="false" customHeight="true" outlineLevel="0" collapsed="false">
      <c r="B106" s="20" t="s">
        <v>970</v>
      </c>
      <c r="C106" s="20" t="n">
        <f aca="false">IF(1,1,0)</f>
        <v>1</v>
      </c>
      <c r="D106" s="20" t="n">
        <v>0</v>
      </c>
      <c r="E106" s="20" t="n">
        <f aca="false">IF(Has_income,1,0)</f>
        <v>1</v>
      </c>
      <c r="F106" s="20" t="n">
        <v>0</v>
      </c>
      <c r="G106" s="20" t="n">
        <f aca="false">IF(ISNUMBER(SEARCH(","&amp;"income"&amp;",",","&amp;SUBSTITUTE(In_lookKeys," ","")&amp;",")),1,0)</f>
        <v>0</v>
      </c>
      <c r="H106" s="20" t="n">
        <f aca="false">IF(ISNUMBER(SEARCH(","&amp;"income"&amp;",",","&amp;SUBSTITUTE(In_ackKeys," ","")&amp;",")),1,0)</f>
        <v>0</v>
      </c>
      <c r="I106" s="20" t="n">
        <f aca="false">C106*(1-D106)</f>
        <v>1</v>
      </c>
      <c r="J106" s="20" t="n">
        <f aca="false">I106*E106</f>
        <v>1</v>
      </c>
      <c r="K106" s="20" t="n">
        <f aca="false">C106*G106*(1-H106)</f>
        <v>0</v>
      </c>
      <c r="L106" s="20" t="n">
        <f aca="false">C106*E106*(1-F106)</f>
        <v>1</v>
      </c>
      <c r="M106" s="20" t="n">
        <f aca="false">C106*MAX(E106,G106)</f>
        <v>1</v>
      </c>
      <c r="N106" s="20" t="n">
        <v>2</v>
      </c>
      <c r="O106" s="20" t="n">
        <f aca="false">C106*IF(G106=1,1,IF(AND(D106=0,E106=0),1,0))</f>
        <v>0</v>
      </c>
      <c r="P106" s="20" t="n">
        <f aca="false">C106*E106*(1-G106)</f>
        <v>1</v>
      </c>
      <c r="Q106" s="20" t="s">
        <v>2372</v>
      </c>
    </row>
    <row r="107" customFormat="false" ht="15" hidden="false" customHeight="true" outlineLevel="0" collapsed="false">
      <c r="B107" s="20" t="s">
        <v>972</v>
      </c>
      <c r="C107" s="20" t="n">
        <f aca="false">IF(F_Partner=1,1,0)</f>
        <v>1</v>
      </c>
      <c r="D107" s="20" t="n">
        <v>0</v>
      </c>
      <c r="E107" s="20" t="n">
        <f aca="false">IF(Has_pIncome,1,0)</f>
        <v>1</v>
      </c>
      <c r="F107" s="20" t="n">
        <v>0</v>
      </c>
      <c r="G107" s="20" t="n">
        <f aca="false">IF(ISNUMBER(SEARCH(","&amp;"pIncome"&amp;",",","&amp;SUBSTITUTE(In_lookKeys," ","")&amp;",")),1,0)</f>
        <v>0</v>
      </c>
      <c r="H107" s="20" t="n">
        <f aca="false">IF(ISNUMBER(SEARCH(","&amp;"pIncome"&amp;",",","&amp;SUBSTITUTE(In_ackKeys," ","")&amp;",")),1,0)</f>
        <v>0</v>
      </c>
      <c r="I107" s="20" t="n">
        <f aca="false">C107*(1-D107)</f>
        <v>1</v>
      </c>
      <c r="J107" s="20" t="n">
        <f aca="false">I107*E107</f>
        <v>1</v>
      </c>
      <c r="K107" s="20" t="n">
        <f aca="false">C107*G107*(1-H107)</f>
        <v>0</v>
      </c>
      <c r="L107" s="20" t="n">
        <f aca="false">C107*E107*(1-F107)</f>
        <v>1</v>
      </c>
      <c r="M107" s="20" t="n">
        <f aca="false">C107*MAX(E107,G107)</f>
        <v>1</v>
      </c>
      <c r="N107" s="20" t="n">
        <v>2</v>
      </c>
      <c r="O107" s="20" t="n">
        <f aca="false">C107*IF(G107=1,1,IF(AND(D107=0,E107=0),1,0))</f>
        <v>0</v>
      </c>
      <c r="P107" s="20" t="n">
        <f aca="false">C107*E107*(1-G107)</f>
        <v>1</v>
      </c>
      <c r="Q107" s="20" t="s">
        <v>2373</v>
      </c>
    </row>
    <row r="108" customFormat="false" ht="15" hidden="false" customHeight="true" outlineLevel="0" collapsed="false">
      <c r="B108" s="20" t="s">
        <v>1453</v>
      </c>
      <c r="C108" s="20" t="n">
        <f aca="false">IF(1,1,0)</f>
        <v>1</v>
      </c>
      <c r="D108" s="20" t="n">
        <v>1</v>
      </c>
      <c r="E108" s="20" t="n">
        <f aca="false">IF(Has_otherM,1,0)</f>
        <v>1</v>
      </c>
      <c r="F108" s="20" t="n">
        <v>0</v>
      </c>
      <c r="G108" s="20" t="n">
        <f aca="false">IF(ISNUMBER(SEARCH(","&amp;"otherM"&amp;",",","&amp;SUBSTITUTE(In_lookKeys," ","")&amp;",")),1,0)</f>
        <v>0</v>
      </c>
      <c r="H108" s="20" t="n">
        <f aca="false">IF(ISNUMBER(SEARCH(","&amp;"otherM"&amp;",",","&amp;SUBSTITUTE(In_ackKeys," ","")&amp;",")),1,0)</f>
        <v>0</v>
      </c>
      <c r="I108" s="20" t="n">
        <f aca="false">C108*(1-D108)</f>
        <v>0</v>
      </c>
      <c r="J108" s="20" t="n">
        <f aca="false">I108*E108</f>
        <v>0</v>
      </c>
      <c r="K108" s="20" t="n">
        <f aca="false">C108*G108*(1-H108)</f>
        <v>0</v>
      </c>
      <c r="L108" s="20" t="n">
        <f aca="false">C108*E108*(1-F108)</f>
        <v>1</v>
      </c>
      <c r="M108" s="20" t="n">
        <f aca="false">C108*MAX(E108,G108)</f>
        <v>1</v>
      </c>
      <c r="N108" s="20" t="n">
        <v>2</v>
      </c>
      <c r="O108" s="20" t="n">
        <f aca="false">C108*IF(G108=1,1,IF(AND(D108=0,E108=0),1,0))</f>
        <v>0</v>
      </c>
      <c r="P108" s="20" t="n">
        <f aca="false">C108*E108*(1-G108)</f>
        <v>1</v>
      </c>
      <c r="Q108" s="20" t="s">
        <v>2374</v>
      </c>
    </row>
    <row r="109" customFormat="false" ht="15" hidden="false" customHeight="true" outlineLevel="0" collapsed="false">
      <c r="B109" s="20" t="s">
        <v>2375</v>
      </c>
      <c r="C109" s="20" t="n">
        <f aca="false">IF(1,1,0)</f>
        <v>1</v>
      </c>
      <c r="D109" s="20" t="n">
        <v>0</v>
      </c>
      <c r="E109" s="20" t="n">
        <f aca="false">IF(Has_costsM,1,0)</f>
        <v>1</v>
      </c>
      <c r="F109" s="20" t="n">
        <v>0</v>
      </c>
      <c r="G109" s="20" t="n">
        <f aca="false">IF(ISNUMBER(SEARCH(","&amp;"costsM"&amp;",",","&amp;SUBSTITUTE(In_lookKeys," ","")&amp;",")),1,0)</f>
        <v>0</v>
      </c>
      <c r="H109" s="20" t="n">
        <f aca="false">IF(ISNUMBER(SEARCH(","&amp;"costsM"&amp;",",","&amp;SUBSTITUTE(In_ackKeys," ","")&amp;",")),1,0)</f>
        <v>0</v>
      </c>
      <c r="I109" s="20" t="n">
        <f aca="false">C109*(1-D109)</f>
        <v>1</v>
      </c>
      <c r="J109" s="20" t="n">
        <f aca="false">I109*E109</f>
        <v>1</v>
      </c>
      <c r="K109" s="20" t="n">
        <f aca="false">C109*G109*(1-H109)</f>
        <v>0</v>
      </c>
      <c r="L109" s="20" t="n">
        <f aca="false">C109*E109*(1-F109)</f>
        <v>1</v>
      </c>
      <c r="M109" s="20" t="n">
        <f aca="false">C109*MAX(E109,G109)</f>
        <v>1</v>
      </c>
      <c r="N109" s="20" t="n">
        <v>2</v>
      </c>
      <c r="O109" s="20" t="n">
        <f aca="false">C109*IF(G109=1,1,IF(AND(D109=0,E109=0),1,0))</f>
        <v>0</v>
      </c>
      <c r="P109" s="20" t="n">
        <f aca="false">C109*E109*(1-G109)</f>
        <v>1</v>
      </c>
      <c r="Q109" s="20" t="s">
        <v>2376</v>
      </c>
    </row>
    <row r="110" customFormat="false" ht="15" hidden="false" customHeight="true" outlineLevel="0" collapsed="false">
      <c r="B110" s="20" t="s">
        <v>980</v>
      </c>
      <c r="C110" s="20" t="n">
        <f aca="false">IF(1,1,0)</f>
        <v>1</v>
      </c>
      <c r="D110" s="20" t="n">
        <v>1</v>
      </c>
      <c r="E110" s="20" t="n">
        <f aca="false">IF(Has_oneOffY,1,0)</f>
        <v>1</v>
      </c>
      <c r="F110" s="20" t="n">
        <v>0</v>
      </c>
      <c r="G110" s="20" t="n">
        <f aca="false">IF(ISNUMBER(SEARCH(","&amp;"oneOffY"&amp;",",","&amp;SUBSTITUTE(In_lookKeys," ","")&amp;",")),1,0)</f>
        <v>0</v>
      </c>
      <c r="H110" s="20" t="n">
        <f aca="false">IF(ISNUMBER(SEARCH(","&amp;"oneOffY"&amp;",",","&amp;SUBSTITUTE(In_ackKeys," ","")&amp;",")),1,0)</f>
        <v>0</v>
      </c>
      <c r="I110" s="20" t="n">
        <f aca="false">C110*(1-D110)</f>
        <v>0</v>
      </c>
      <c r="J110" s="20" t="n">
        <f aca="false">I110*E110</f>
        <v>0</v>
      </c>
      <c r="K110" s="20" t="n">
        <f aca="false">C110*G110*(1-H110)</f>
        <v>0</v>
      </c>
      <c r="L110" s="20" t="n">
        <f aca="false">C110*E110*(1-F110)</f>
        <v>1</v>
      </c>
      <c r="M110" s="20" t="n">
        <f aca="false">C110*MAX(E110,G110)</f>
        <v>1</v>
      </c>
      <c r="N110" s="20" t="n">
        <v>2</v>
      </c>
      <c r="O110" s="20" t="n">
        <f aca="false">C110*IF(G110=1,1,IF(AND(D110=0,E110=0),1,0))</f>
        <v>0</v>
      </c>
      <c r="P110" s="20" t="n">
        <f aca="false">C110*E110*(1-G110)</f>
        <v>1</v>
      </c>
      <c r="Q110" s="20" t="s">
        <v>2377</v>
      </c>
    </row>
    <row r="111" customFormat="false" ht="15" hidden="false" customHeight="true" outlineLevel="0" collapsed="false">
      <c r="B111" s="20" t="s">
        <v>466</v>
      </c>
      <c r="C111" s="20" t="n">
        <f aca="false">IF(1,1,0)</f>
        <v>1</v>
      </c>
      <c r="D111" s="20" t="n">
        <v>0</v>
      </c>
      <c r="E111" s="20" t="n">
        <f aca="false">IF(Has_home,1,0)</f>
        <v>1</v>
      </c>
      <c r="F111" s="20" t="n">
        <v>0</v>
      </c>
      <c r="G111" s="20" t="n">
        <f aca="false">IF(ISNUMBER(SEARCH(","&amp;"home"&amp;",",","&amp;SUBSTITUTE(In_lookKeys," ","")&amp;",")),1,0)</f>
        <v>0</v>
      </c>
      <c r="H111" s="20" t="n">
        <f aca="false">IF(ISNUMBER(SEARCH(","&amp;"home"&amp;",",","&amp;SUBSTITUTE(In_ackKeys," ","")&amp;",")),1,0)</f>
        <v>0</v>
      </c>
      <c r="I111" s="20" t="n">
        <f aca="false">C111*(1-D111)</f>
        <v>1</v>
      </c>
      <c r="J111" s="20" t="n">
        <f aca="false">I111*E111</f>
        <v>1</v>
      </c>
      <c r="K111" s="20" t="n">
        <f aca="false">C111*G111*(1-H111)</f>
        <v>0</v>
      </c>
      <c r="L111" s="20" t="n">
        <f aca="false">C111*E111*(1-F111)</f>
        <v>1</v>
      </c>
      <c r="M111" s="20" t="n">
        <f aca="false">C111*MAX(E111,G111)</f>
        <v>1</v>
      </c>
      <c r="N111" s="20" t="n">
        <v>3</v>
      </c>
      <c r="O111" s="20" t="n">
        <f aca="false">C111*IF(G111=1,1,IF(AND(D111=0,E111=0),1,0))</f>
        <v>0</v>
      </c>
      <c r="P111" s="20" t="n">
        <f aca="false">C111*E111*(1-G111)</f>
        <v>1</v>
      </c>
      <c r="Q111" s="20" t="s">
        <v>1584</v>
      </c>
    </row>
    <row r="112" customFormat="false" ht="15" hidden="false" customHeight="true" outlineLevel="0" collapsed="false">
      <c r="B112" s="20" t="s">
        <v>989</v>
      </c>
      <c r="C112" s="20" t="n">
        <f aca="false">IF(LEFT(In_home,3)="Own",1,0)</f>
        <v>1</v>
      </c>
      <c r="D112" s="20" t="n">
        <v>0</v>
      </c>
      <c r="E112" s="20" t="n">
        <f aca="false">IF(Has_homeValue,1,0)</f>
        <v>1</v>
      </c>
      <c r="F112" s="20" t="n">
        <v>0</v>
      </c>
      <c r="G112" s="20" t="n">
        <f aca="false">IF(ISNUMBER(SEARCH(","&amp;"homeValue"&amp;",",","&amp;SUBSTITUTE(In_lookKeys," ","")&amp;",")),1,0)</f>
        <v>0</v>
      </c>
      <c r="H112" s="20" t="n">
        <f aca="false">IF(ISNUMBER(SEARCH(","&amp;"homeValue"&amp;",",","&amp;SUBSTITUTE(In_ackKeys," ","")&amp;",")),1,0)</f>
        <v>0</v>
      </c>
      <c r="I112" s="20" t="n">
        <f aca="false">C112*(1-D112)</f>
        <v>1</v>
      </c>
      <c r="J112" s="20" t="n">
        <f aca="false">I112*E112</f>
        <v>1</v>
      </c>
      <c r="K112" s="20" t="n">
        <f aca="false">C112*G112*(1-H112)</f>
        <v>0</v>
      </c>
      <c r="L112" s="20" t="n">
        <f aca="false">C112*E112*(1-F112)</f>
        <v>1</v>
      </c>
      <c r="M112" s="20" t="n">
        <f aca="false">C112*MAX(E112,G112)</f>
        <v>1</v>
      </c>
      <c r="N112" s="20" t="n">
        <v>3</v>
      </c>
      <c r="O112" s="20" t="n">
        <f aca="false">C112*IF(G112=1,1,IF(AND(D112=0,E112=0),1,0))</f>
        <v>0</v>
      </c>
      <c r="P112" s="20" t="n">
        <f aca="false">C112*E112*(1-G112)</f>
        <v>1</v>
      </c>
      <c r="Q112" s="20" t="s">
        <v>2378</v>
      </c>
    </row>
    <row r="113" customFormat="false" ht="15" hidden="false" customHeight="true" outlineLevel="0" collapsed="false">
      <c r="B113" s="20" t="s">
        <v>991</v>
      </c>
      <c r="C113" s="20" t="n">
        <f aca="false">IF(1,1,0)</f>
        <v>1</v>
      </c>
      <c r="D113" s="20" t="n">
        <v>0</v>
      </c>
      <c r="E113" s="20" t="n">
        <f aca="false">IF(Has_cash,1,0)</f>
        <v>1</v>
      </c>
      <c r="F113" s="20" t="n">
        <v>0</v>
      </c>
      <c r="G113" s="20" t="n">
        <f aca="false">IF(ISNUMBER(SEARCH(","&amp;"cash"&amp;",",","&amp;SUBSTITUTE(In_lookKeys," ","")&amp;",")),1,0)</f>
        <v>0</v>
      </c>
      <c r="H113" s="20" t="n">
        <f aca="false">IF(ISNUMBER(SEARCH(","&amp;"cash"&amp;",",","&amp;SUBSTITUTE(In_ackKeys," ","")&amp;",")),1,0)</f>
        <v>0</v>
      </c>
      <c r="I113" s="20" t="n">
        <f aca="false">C113*(1-D113)</f>
        <v>1</v>
      </c>
      <c r="J113" s="20" t="n">
        <f aca="false">I113*E113</f>
        <v>1</v>
      </c>
      <c r="K113" s="20" t="n">
        <f aca="false">C113*G113*(1-H113)</f>
        <v>0</v>
      </c>
      <c r="L113" s="20" t="n">
        <f aca="false">C113*E113*(1-F113)</f>
        <v>1</v>
      </c>
      <c r="M113" s="20" t="n">
        <f aca="false">C113*MAX(E113,G113)</f>
        <v>1</v>
      </c>
      <c r="N113" s="20" t="n">
        <v>3</v>
      </c>
      <c r="O113" s="20" t="n">
        <f aca="false">C113*IF(G113=1,1,IF(AND(D113=0,E113=0),1,0))</f>
        <v>0</v>
      </c>
      <c r="P113" s="20" t="n">
        <f aca="false">C113*E113*(1-G113)</f>
        <v>1</v>
      </c>
      <c r="Q113" s="20" t="s">
        <v>2379</v>
      </c>
    </row>
    <row r="114" customFormat="false" ht="15" hidden="false" customHeight="true" outlineLevel="0" collapsed="false">
      <c r="B114" s="20" t="s">
        <v>993</v>
      </c>
      <c r="C114" s="20" t="n">
        <f aca="false">IF(1,1,0)</f>
        <v>1</v>
      </c>
      <c r="D114" s="20" t="n">
        <v>0</v>
      </c>
      <c r="E114" s="20" t="n">
        <f aca="false">IF(Has_invest,1,0)</f>
        <v>1</v>
      </c>
      <c r="F114" s="20" t="n">
        <v>0</v>
      </c>
      <c r="G114" s="20" t="n">
        <f aca="false">IF(ISNUMBER(SEARCH(","&amp;"invest"&amp;",",","&amp;SUBSTITUTE(In_lookKeys," ","")&amp;",")),1,0)</f>
        <v>0</v>
      </c>
      <c r="H114" s="20" t="n">
        <f aca="false">IF(ISNUMBER(SEARCH(","&amp;"invest"&amp;",",","&amp;SUBSTITUTE(In_ackKeys," ","")&amp;",")),1,0)</f>
        <v>0</v>
      </c>
      <c r="I114" s="20" t="n">
        <f aca="false">C114*(1-D114)</f>
        <v>1</v>
      </c>
      <c r="J114" s="20" t="n">
        <f aca="false">I114*E114</f>
        <v>1</v>
      </c>
      <c r="K114" s="20" t="n">
        <f aca="false">C114*G114*(1-H114)</f>
        <v>0</v>
      </c>
      <c r="L114" s="20" t="n">
        <f aca="false">C114*E114*(1-F114)</f>
        <v>1</v>
      </c>
      <c r="M114" s="20" t="n">
        <f aca="false">C114*MAX(E114,G114)</f>
        <v>1</v>
      </c>
      <c r="N114" s="20" t="n">
        <v>3</v>
      </c>
      <c r="O114" s="20" t="n">
        <f aca="false">C114*IF(G114=1,1,IF(AND(D114=0,E114=0),1,0))</f>
        <v>0</v>
      </c>
      <c r="P114" s="20" t="n">
        <f aca="false">C114*E114*(1-G114)</f>
        <v>1</v>
      </c>
      <c r="Q114" s="20" t="s">
        <v>2380</v>
      </c>
    </row>
    <row r="115" customFormat="false" ht="15" hidden="false" customHeight="true" outlineLevel="0" collapsed="false">
      <c r="B115" s="20" t="s">
        <v>2381</v>
      </c>
      <c r="C115" s="20" t="n">
        <f aca="false">IF(1,1,0)</f>
        <v>1</v>
      </c>
      <c r="D115" s="20" t="n">
        <v>1</v>
      </c>
      <c r="E115" s="20" t="n">
        <f aca="false">IF(Has_propValue,1,0)</f>
        <v>0</v>
      </c>
      <c r="F115" s="20" t="n">
        <v>0</v>
      </c>
      <c r="G115" s="20" t="n">
        <f aca="false">IF(ISNUMBER(SEARCH(","&amp;"propValue"&amp;",",","&amp;SUBSTITUTE(In_lookKeys," ","")&amp;",")),1,0)</f>
        <v>0</v>
      </c>
      <c r="H115" s="20" t="n">
        <f aca="false">IF(ISNUMBER(SEARCH(","&amp;"propValue"&amp;",",","&amp;SUBSTITUTE(In_ackKeys," ","")&amp;",")),1,0)</f>
        <v>0</v>
      </c>
      <c r="I115" s="20" t="n">
        <f aca="false">C115*(1-D115)</f>
        <v>0</v>
      </c>
      <c r="J115" s="20" t="n">
        <f aca="false">I115*E115</f>
        <v>0</v>
      </c>
      <c r="K115" s="20" t="n">
        <f aca="false">C115*G115*(1-H115)</f>
        <v>0</v>
      </c>
      <c r="L115" s="20" t="n">
        <f aca="false">C115*E115*(1-F115)</f>
        <v>0</v>
      </c>
      <c r="M115" s="20" t="n">
        <f aca="false">C115*MAX(E115,G115)</f>
        <v>0</v>
      </c>
      <c r="N115" s="20" t="n">
        <v>3</v>
      </c>
      <c r="O115" s="20" t="n">
        <f aca="false">C115*IF(G115=1,1,IF(AND(D115=0,E115=0),1,0))</f>
        <v>0</v>
      </c>
      <c r="P115" s="20" t="n">
        <f aca="false">C115*E115*(1-G115)</f>
        <v>0</v>
      </c>
      <c r="Q115" s="20" t="s">
        <v>2382</v>
      </c>
    </row>
    <row r="116" customFormat="false" ht="15" hidden="false" customHeight="true" outlineLevel="0" collapsed="false">
      <c r="B116" s="20" t="s">
        <v>2383</v>
      </c>
      <c r="C116" s="20" t="n">
        <f aca="false">IF(1,1,0)</f>
        <v>1</v>
      </c>
      <c r="D116" s="20" t="n">
        <v>1</v>
      </c>
      <c r="E116" s="20" t="n">
        <f aca="false">IF(Has_rentM,1,0)</f>
        <v>0</v>
      </c>
      <c r="F116" s="20" t="n">
        <v>0</v>
      </c>
      <c r="G116" s="20" t="n">
        <f aca="false">IF(ISNUMBER(SEARCH(","&amp;"rentM"&amp;",",","&amp;SUBSTITUTE(In_lookKeys," ","")&amp;",")),1,0)</f>
        <v>0</v>
      </c>
      <c r="H116" s="20" t="n">
        <f aca="false">IF(ISNUMBER(SEARCH(","&amp;"rentM"&amp;",",","&amp;SUBSTITUTE(In_ackKeys," ","")&amp;",")),1,0)</f>
        <v>0</v>
      </c>
      <c r="I116" s="20" t="n">
        <f aca="false">C116*(1-D116)</f>
        <v>0</v>
      </c>
      <c r="J116" s="20" t="n">
        <f aca="false">I116*E116</f>
        <v>0</v>
      </c>
      <c r="K116" s="20" t="n">
        <f aca="false">C116*G116*(1-H116)</f>
        <v>0</v>
      </c>
      <c r="L116" s="20" t="n">
        <f aca="false">C116*E116*(1-F116)</f>
        <v>0</v>
      </c>
      <c r="M116" s="20" t="n">
        <f aca="false">C116*MAX(E116,G116)</f>
        <v>0</v>
      </c>
      <c r="N116" s="20" t="n">
        <v>3</v>
      </c>
      <c r="O116" s="20" t="n">
        <f aca="false">C116*IF(G116=1,1,IF(AND(D116=0,E116=0),1,0))</f>
        <v>0</v>
      </c>
      <c r="P116" s="20" t="n">
        <f aca="false">C116*E116*(1-G116)</f>
        <v>0</v>
      </c>
      <c r="Q116" s="20" t="s">
        <v>2384</v>
      </c>
    </row>
    <row r="117" customFormat="false" ht="15" hidden="false" customHeight="true" outlineLevel="0" collapsed="false">
      <c r="B117" s="20" t="s">
        <v>2385</v>
      </c>
      <c r="C117" s="20" t="n">
        <f aca="false">IF(1,1,0)</f>
        <v>1</v>
      </c>
      <c r="D117" s="20" t="n">
        <v>1</v>
      </c>
      <c r="E117" s="20" t="n">
        <f aca="false">IF(0,1,0)</f>
        <v>0</v>
      </c>
      <c r="F117" s="20" t="n">
        <v>0</v>
      </c>
      <c r="G117" s="20" t="n">
        <f aca="false">IF(ISNUMBER(SEARCH(","&amp;"mortYN"&amp;",",","&amp;SUBSTITUTE(In_lookKeys," ","")&amp;",")),1,0)</f>
        <v>0</v>
      </c>
      <c r="H117" s="20" t="n">
        <f aca="false">IF(ISNUMBER(SEARCH(","&amp;"mortYN"&amp;",",","&amp;SUBSTITUTE(In_ackKeys," ","")&amp;",")),1,0)</f>
        <v>0</v>
      </c>
      <c r="I117" s="20" t="n">
        <f aca="false">C117*(1-D117)</f>
        <v>0</v>
      </c>
      <c r="J117" s="20" t="n">
        <f aca="false">I117*E117</f>
        <v>0</v>
      </c>
      <c r="K117" s="20" t="n">
        <f aca="false">C117*G117*(1-H117)</f>
        <v>0</v>
      </c>
      <c r="L117" s="20" t="n">
        <f aca="false">C117*E117*(1-F117)</f>
        <v>0</v>
      </c>
      <c r="M117" s="20" t="n">
        <f aca="false">C117*MAX(E117,G117)</f>
        <v>0</v>
      </c>
      <c r="N117" s="20" t="n">
        <v>4</v>
      </c>
      <c r="O117" s="20" t="n">
        <f aca="false">C117*IF(G117=1,1,IF(AND(D117=0,E117=0),1,0))</f>
        <v>0</v>
      </c>
      <c r="P117" s="20" t="n">
        <f aca="false">C117*E117*(1-G117)</f>
        <v>0</v>
      </c>
      <c r="Q117" s="20" t="s">
        <v>2386</v>
      </c>
    </row>
    <row r="118" customFormat="false" ht="15" hidden="false" customHeight="true" outlineLevel="0" collapsed="false">
      <c r="B118" s="20" t="s">
        <v>995</v>
      </c>
      <c r="C118" s="20" t="n">
        <f aca="false">IF(In_home="Own with mortgage",1,0)</f>
        <v>1</v>
      </c>
      <c r="D118" s="20" t="n">
        <v>0</v>
      </c>
      <c r="E118" s="20" t="n">
        <f aca="false">IF(Has_mortBal,1,0)</f>
        <v>1</v>
      </c>
      <c r="F118" s="20" t="n">
        <v>0</v>
      </c>
      <c r="G118" s="20" t="n">
        <f aca="false">IF(ISNUMBER(SEARCH(","&amp;"mortBal"&amp;",",","&amp;SUBSTITUTE(In_lookKeys," ","")&amp;",")),1,0)</f>
        <v>0</v>
      </c>
      <c r="H118" s="20" t="n">
        <f aca="false">IF(ISNUMBER(SEARCH(","&amp;"mortBal"&amp;",",","&amp;SUBSTITUTE(In_ackKeys," ","")&amp;",")),1,0)</f>
        <v>0</v>
      </c>
      <c r="I118" s="20" t="n">
        <f aca="false">C118*(1-D118)</f>
        <v>1</v>
      </c>
      <c r="J118" s="20" t="n">
        <f aca="false">I118*E118</f>
        <v>1</v>
      </c>
      <c r="K118" s="20" t="n">
        <f aca="false">C118*G118*(1-H118)</f>
        <v>0</v>
      </c>
      <c r="L118" s="20" t="n">
        <f aca="false">C118*E118*(1-F118)</f>
        <v>1</v>
      </c>
      <c r="M118" s="20" t="n">
        <f aca="false">C118*MAX(E118,G118)</f>
        <v>1</v>
      </c>
      <c r="N118" s="20" t="n">
        <v>4</v>
      </c>
      <c r="O118" s="20" t="n">
        <f aca="false">C118*IF(G118=1,1,IF(AND(D118=0,E118=0),1,0))</f>
        <v>0</v>
      </c>
      <c r="P118" s="20" t="n">
        <f aca="false">C118*E118*(1-G118)</f>
        <v>1</v>
      </c>
      <c r="Q118" s="20" t="s">
        <v>2387</v>
      </c>
    </row>
    <row r="119" customFormat="false" ht="15" hidden="false" customHeight="true" outlineLevel="0" collapsed="false">
      <c r="B119" s="20" t="s">
        <v>2388</v>
      </c>
      <c r="C119" s="20" t="n">
        <f aca="false">IF(In_home="Own with mortgage",1,0)</f>
        <v>1</v>
      </c>
      <c r="D119" s="20" t="n">
        <v>0</v>
      </c>
      <c r="E119" s="20" t="n">
        <f aca="false">IF(Has_mortPayM,1,0)</f>
        <v>1</v>
      </c>
      <c r="F119" s="20" t="n">
        <v>0</v>
      </c>
      <c r="G119" s="20" t="n">
        <f aca="false">IF(OR(ISNUMBER(SEARCH(","&amp;"mortPayM"&amp;",",","&amp;SUBSTITUTE(In_lookKeys," ","")&amp;",")),F_MortPayLow=1),1,0)</f>
        <v>0</v>
      </c>
      <c r="H119" s="20" t="n">
        <f aca="false">IF(ISNUMBER(SEARCH(","&amp;"mortPayM"&amp;",",","&amp;SUBSTITUTE(In_ackKeys," ","")&amp;",")),1,0)</f>
        <v>0</v>
      </c>
      <c r="I119" s="20" t="n">
        <f aca="false">C119*(1-D119)</f>
        <v>1</v>
      </c>
      <c r="J119" s="20" t="n">
        <f aca="false">I119*E119</f>
        <v>1</v>
      </c>
      <c r="K119" s="20" t="n">
        <f aca="false">C119*G119*(1-H119)</f>
        <v>0</v>
      </c>
      <c r="L119" s="20" t="n">
        <f aca="false">C119*E119*(1-F119)</f>
        <v>1</v>
      </c>
      <c r="M119" s="20" t="n">
        <f aca="false">C119*MAX(E119,G119)</f>
        <v>1</v>
      </c>
      <c r="N119" s="20" t="n">
        <v>4</v>
      </c>
      <c r="O119" s="20" t="n">
        <f aca="false">C119*IF(G119=1,1,IF(AND(D119=0,E119=0),1,0))</f>
        <v>0</v>
      </c>
      <c r="P119" s="20" t="n">
        <f aca="false">C119*E119*(1-G119)</f>
        <v>1</v>
      </c>
      <c r="Q119" s="20" t="s">
        <v>2389</v>
      </c>
    </row>
    <row r="120" customFormat="false" ht="15" hidden="false" customHeight="true" outlineLevel="0" collapsed="false">
      <c r="B120" s="20" t="s">
        <v>2390</v>
      </c>
      <c r="C120" s="20" t="n">
        <f aca="false">IF(In_home="Own with mortgage",1,0)</f>
        <v>1</v>
      </c>
      <c r="D120" s="20" t="n">
        <v>0</v>
      </c>
      <c r="E120" s="20" t="n">
        <f aca="false">IF(Has_mortYears,1,0)</f>
        <v>1</v>
      </c>
      <c r="F120" s="20" t="n">
        <v>0</v>
      </c>
      <c r="G120" s="20" t="n">
        <f aca="false">IF(ISNUMBER(SEARCH(","&amp;"mortYears"&amp;",",","&amp;SUBSTITUTE(In_lookKeys," ","")&amp;",")),1,0)</f>
        <v>0</v>
      </c>
      <c r="H120" s="20" t="n">
        <f aca="false">IF(ISNUMBER(SEARCH(","&amp;"mortYears"&amp;",",","&amp;SUBSTITUTE(In_ackKeys," ","")&amp;",")),1,0)</f>
        <v>0</v>
      </c>
      <c r="I120" s="20" t="n">
        <f aca="false">C120*(1-D120)</f>
        <v>1</v>
      </c>
      <c r="J120" s="20" t="n">
        <f aca="false">I120*E120</f>
        <v>1</v>
      </c>
      <c r="K120" s="20" t="n">
        <f aca="false">C120*G120*(1-H120)</f>
        <v>0</v>
      </c>
      <c r="L120" s="20" t="n">
        <f aca="false">C120*E120*(1-F120)</f>
        <v>1</v>
      </c>
      <c r="M120" s="20" t="n">
        <f aca="false">C120*MAX(E120,G120)</f>
        <v>1</v>
      </c>
      <c r="N120" s="20" t="n">
        <v>4</v>
      </c>
      <c r="O120" s="20" t="n">
        <f aca="false">C120*IF(G120=1,1,IF(AND(D120=0,E120=0),1,0))</f>
        <v>0</v>
      </c>
      <c r="P120" s="20" t="n">
        <f aca="false">C120*E120*(1-G120)</f>
        <v>1</v>
      </c>
      <c r="Q120" s="20" t="s">
        <v>2391</v>
      </c>
    </row>
    <row r="121" customFormat="false" ht="15" hidden="false" customHeight="true" outlineLevel="0" collapsed="false">
      <c r="B121" s="20" t="s">
        <v>2392</v>
      </c>
      <c r="C121" s="20" t="n">
        <f aca="false">IF(In_home="Own with mortgage",1,0)</f>
        <v>1</v>
      </c>
      <c r="D121" s="20" t="n">
        <v>0</v>
      </c>
      <c r="E121" s="20" t="n">
        <f aca="false">IF(OR(In_mortRate&gt;0,Has_a_mortRate=1),1,0)</f>
        <v>1</v>
      </c>
      <c r="F121" s="20" t="n">
        <v>0</v>
      </c>
      <c r="G121" s="20" t="n">
        <f aca="false">IF(ISNUMBER(SEARCH(","&amp;"mortRate"&amp;",",","&amp;SUBSTITUTE(In_lookKeys," ","")&amp;",")),1,0)</f>
        <v>0</v>
      </c>
      <c r="H121" s="20" t="n">
        <f aca="false">IF(ISNUMBER(SEARCH(","&amp;"mortRate"&amp;",",","&amp;SUBSTITUTE(In_ackKeys," ","")&amp;",")),1,0)</f>
        <v>0</v>
      </c>
      <c r="I121" s="20" t="n">
        <f aca="false">C121*(1-D121)</f>
        <v>1</v>
      </c>
      <c r="J121" s="20" t="n">
        <f aca="false">I121*E121</f>
        <v>1</v>
      </c>
      <c r="K121" s="20" t="n">
        <f aca="false">C121*G121*(1-H121)</f>
        <v>0</v>
      </c>
      <c r="L121" s="20" t="n">
        <f aca="false">C121*E121*(1-F121)</f>
        <v>1</v>
      </c>
      <c r="M121" s="20" t="n">
        <f aca="false">C121*MAX(E121,G121)</f>
        <v>1</v>
      </c>
      <c r="N121" s="20" t="n">
        <v>4</v>
      </c>
      <c r="O121" s="20" t="n">
        <f aca="false">C121*IF(G121=1,1,IF(AND(D121=0,E121=0),1,0))</f>
        <v>0</v>
      </c>
      <c r="P121" s="20" t="n">
        <f aca="false">C121*E121*(1-G121)</f>
        <v>1</v>
      </c>
      <c r="Q121" s="20" t="s">
        <v>2393</v>
      </c>
    </row>
    <row r="122" customFormat="false" ht="15" hidden="false" customHeight="true" outlineLevel="0" collapsed="false">
      <c r="B122" s="20" t="s">
        <v>2394</v>
      </c>
      <c r="C122" s="20" t="n">
        <f aca="false">IF(1,1,0)</f>
        <v>1</v>
      </c>
      <c r="D122" s="20" t="n">
        <v>0</v>
      </c>
      <c r="E122" s="20" t="n">
        <f aca="false">IF(Has_cardBal,1,0)</f>
        <v>1</v>
      </c>
      <c r="F122" s="20" t="n">
        <v>0</v>
      </c>
      <c r="G122" s="20" t="n">
        <f aca="false">IF(ISNUMBER(SEARCH(","&amp;"cardBal"&amp;",",","&amp;SUBSTITUTE(In_lookKeys," ","")&amp;",")),1,0)</f>
        <v>0</v>
      </c>
      <c r="H122" s="20" t="n">
        <f aca="false">IF(ISNUMBER(SEARCH(","&amp;"cardBal"&amp;",",","&amp;SUBSTITUTE(In_ackKeys," ","")&amp;",")),1,0)</f>
        <v>0</v>
      </c>
      <c r="I122" s="20" t="n">
        <f aca="false">C122*(1-D122)</f>
        <v>1</v>
      </c>
      <c r="J122" s="20" t="n">
        <f aca="false">I122*E122</f>
        <v>1</v>
      </c>
      <c r="K122" s="20" t="n">
        <f aca="false">C122*G122*(1-H122)</f>
        <v>0</v>
      </c>
      <c r="L122" s="20" t="n">
        <f aca="false">C122*E122*(1-F122)</f>
        <v>1</v>
      </c>
      <c r="M122" s="20" t="n">
        <f aca="false">C122*MAX(E122,G122)</f>
        <v>1</v>
      </c>
      <c r="N122" s="20" t="n">
        <v>4</v>
      </c>
      <c r="O122" s="20" t="n">
        <f aca="false">C122*IF(G122=1,1,IF(AND(D122=0,E122=0),1,0))</f>
        <v>0</v>
      </c>
      <c r="P122" s="20" t="n">
        <f aca="false">C122*E122*(1-G122)</f>
        <v>1</v>
      </c>
      <c r="Q122" s="20" t="s">
        <v>2395</v>
      </c>
    </row>
    <row r="123" customFormat="false" ht="15" hidden="false" customHeight="true" outlineLevel="0" collapsed="false">
      <c r="B123" s="20" t="s">
        <v>1006</v>
      </c>
      <c r="C123" s="20" t="n">
        <f aca="false">IF(1,1,0)</f>
        <v>1</v>
      </c>
      <c r="D123" s="20" t="n">
        <v>0</v>
      </c>
      <c r="E123" s="20" t="n">
        <f aca="false">IF(Has_cardPayM,1,0)</f>
        <v>1</v>
      </c>
      <c r="F123" s="20" t="n">
        <v>0</v>
      </c>
      <c r="G123" s="20" t="n">
        <f aca="false">IF(OR(ISNUMBER(SEARCH(","&amp;"cardPayM"&amp;",",","&amp;SUBSTITUTE(In_lookKeys," ","")&amp;",")),AND(In_cardBal&gt;0,In_cardPayM&gt;0,IF(In_cardRate&gt;0,In_cardRate,IF(Has_a_cardRate=1,In_a_cardRate,0))&gt;0,In_cardPayM&lt;In_cardBal*(IF(In_cardRate&gt;0,In_cardRate,IF(Has_a_cardRate=1,In_a_cardRate,0))/12+0.01))),1,0)</f>
        <v>0</v>
      </c>
      <c r="H123" s="20" t="n">
        <f aca="false">IF(ISNUMBER(SEARCH(","&amp;"cardPayM"&amp;",",","&amp;SUBSTITUTE(In_ackKeys," ","")&amp;",")),1,0)</f>
        <v>0</v>
      </c>
      <c r="I123" s="20" t="n">
        <f aca="false">C123*(1-D123)</f>
        <v>1</v>
      </c>
      <c r="J123" s="20" t="n">
        <f aca="false">I123*E123</f>
        <v>1</v>
      </c>
      <c r="K123" s="20" t="n">
        <f aca="false">C123*G123*(1-H123)</f>
        <v>0</v>
      </c>
      <c r="L123" s="20" t="n">
        <f aca="false">C123*E123*(1-F123)</f>
        <v>1</v>
      </c>
      <c r="M123" s="20" t="n">
        <f aca="false">C123*MAX(E123,G123)</f>
        <v>1</v>
      </c>
      <c r="N123" s="20" t="n">
        <v>4</v>
      </c>
      <c r="O123" s="20" t="n">
        <f aca="false">C123*IF(G123=1,1,IF(AND(D123=0,E123=0),1,0))</f>
        <v>0</v>
      </c>
      <c r="P123" s="20" t="n">
        <f aca="false">C123*E123*(1-G123)</f>
        <v>1</v>
      </c>
      <c r="Q123" s="20" t="s">
        <v>2396</v>
      </c>
    </row>
    <row r="124" customFormat="false" ht="15" hidden="false" customHeight="true" outlineLevel="0" collapsed="false">
      <c r="B124" s="20" t="s">
        <v>2397</v>
      </c>
      <c r="C124" s="20" t="n">
        <f aca="false">IF(In_cardBal&gt;0,1,0)</f>
        <v>1</v>
      </c>
      <c r="D124" s="20" t="n">
        <v>0</v>
      </c>
      <c r="E124" s="20" t="n">
        <f aca="false">IF(OR(In_cardRate&gt;0,Has_a_cardRate=1),1,0)</f>
        <v>1</v>
      </c>
      <c r="F124" s="20" t="n">
        <v>0</v>
      </c>
      <c r="G124" s="20" t="n">
        <f aca="false">IF(ISNUMBER(SEARCH(","&amp;"cardRate"&amp;",",","&amp;SUBSTITUTE(In_lookKeys," ","")&amp;",")),1,0)</f>
        <v>0</v>
      </c>
      <c r="H124" s="20" t="n">
        <f aca="false">IF(ISNUMBER(SEARCH(","&amp;"cardRate"&amp;",",","&amp;SUBSTITUTE(In_ackKeys," ","")&amp;",")),1,0)</f>
        <v>0</v>
      </c>
      <c r="I124" s="20" t="n">
        <f aca="false">C124*(1-D124)</f>
        <v>1</v>
      </c>
      <c r="J124" s="20" t="n">
        <f aca="false">I124*E124</f>
        <v>1</v>
      </c>
      <c r="K124" s="20" t="n">
        <f aca="false">C124*G124*(1-H124)</f>
        <v>0</v>
      </c>
      <c r="L124" s="20" t="n">
        <f aca="false">C124*E124*(1-F124)</f>
        <v>1</v>
      </c>
      <c r="M124" s="20" t="n">
        <f aca="false">C124*MAX(E124,G124)</f>
        <v>1</v>
      </c>
      <c r="N124" s="20" t="n">
        <v>4</v>
      </c>
      <c r="O124" s="20" t="n">
        <f aca="false">C124*IF(G124=1,1,IF(AND(D124=0,E124=0),1,0))</f>
        <v>0</v>
      </c>
      <c r="P124" s="20" t="n">
        <f aca="false">C124*E124*(1-G124)</f>
        <v>1</v>
      </c>
      <c r="Q124" s="20" t="s">
        <v>2398</v>
      </c>
    </row>
    <row r="125" customFormat="false" ht="15" hidden="false" customHeight="true" outlineLevel="0" collapsed="false">
      <c r="B125" s="20" t="s">
        <v>1010</v>
      </c>
      <c r="C125" s="20" t="n">
        <f aca="false">IF(1,1,0)</f>
        <v>1</v>
      </c>
      <c r="D125" s="20" t="n">
        <v>0</v>
      </c>
      <c r="E125" s="20" t="n">
        <f aca="false">IF(Has_loanBal,1,0)</f>
        <v>1</v>
      </c>
      <c r="F125" s="20" t="n">
        <v>0</v>
      </c>
      <c r="G125" s="20" t="n">
        <f aca="false">IF(ISNUMBER(SEARCH(","&amp;"loanBal"&amp;",",","&amp;SUBSTITUTE(In_lookKeys," ","")&amp;",")),1,0)</f>
        <v>0</v>
      </c>
      <c r="H125" s="20" t="n">
        <f aca="false">IF(ISNUMBER(SEARCH(","&amp;"loanBal"&amp;",",","&amp;SUBSTITUTE(In_ackKeys," ","")&amp;",")),1,0)</f>
        <v>0</v>
      </c>
      <c r="I125" s="20" t="n">
        <f aca="false">C125*(1-D125)</f>
        <v>1</v>
      </c>
      <c r="J125" s="20" t="n">
        <f aca="false">I125*E125</f>
        <v>1</v>
      </c>
      <c r="K125" s="20" t="n">
        <f aca="false">C125*G125*(1-H125)</f>
        <v>0</v>
      </c>
      <c r="L125" s="20" t="n">
        <f aca="false">C125*E125*(1-F125)</f>
        <v>1</v>
      </c>
      <c r="M125" s="20" t="n">
        <f aca="false">C125*MAX(E125,G125)</f>
        <v>1</v>
      </c>
      <c r="N125" s="20" t="n">
        <v>4</v>
      </c>
      <c r="O125" s="20" t="n">
        <f aca="false">C125*IF(G125=1,1,IF(AND(D125=0,E125=0),1,0))</f>
        <v>0</v>
      </c>
      <c r="P125" s="20" t="n">
        <f aca="false">C125*E125*(1-G125)</f>
        <v>1</v>
      </c>
      <c r="Q125" s="20" t="s">
        <v>2399</v>
      </c>
    </row>
    <row r="126" customFormat="false" ht="15" hidden="false" customHeight="true" outlineLevel="0" collapsed="false">
      <c r="B126" s="20" t="s">
        <v>1012</v>
      </c>
      <c r="C126" s="20" t="n">
        <f aca="false">IF(1,1,0)</f>
        <v>1</v>
      </c>
      <c r="D126" s="20" t="n">
        <v>0</v>
      </c>
      <c r="E126" s="20" t="n">
        <f aca="false">IF(Has_loanPayM,1,0)</f>
        <v>1</v>
      </c>
      <c r="F126" s="20" t="n">
        <v>0</v>
      </c>
      <c r="G126" s="20" t="n">
        <f aca="false">IF(OR(ISNUMBER(SEARCH(","&amp;"loanPayM"&amp;",",","&amp;SUBSTITUTE(In_lookKeys," ","")&amp;",")),AND(In_loanBal&gt;0,In_loanPayM&gt;0,IF(In_loanRate&gt;0,In_loanRate,IF(Has_a_loanRate=1,In_a_loanRate,0))&gt;0,In_loanPayM&lt;In_loanBal*(IF(In_loanRate&gt;0,In_loanRate,IF(Has_a_loanRate=1,In_a_loanRate,0))/12+0.01))),1,0)</f>
        <v>0</v>
      </c>
      <c r="H126" s="20" t="n">
        <f aca="false">IF(ISNUMBER(SEARCH(","&amp;"loanPayM"&amp;",",","&amp;SUBSTITUTE(In_ackKeys," ","")&amp;",")),1,0)</f>
        <v>0</v>
      </c>
      <c r="I126" s="20" t="n">
        <f aca="false">C126*(1-D126)</f>
        <v>1</v>
      </c>
      <c r="J126" s="20" t="n">
        <f aca="false">I126*E126</f>
        <v>1</v>
      </c>
      <c r="K126" s="20" t="n">
        <f aca="false">C126*G126*(1-H126)</f>
        <v>0</v>
      </c>
      <c r="L126" s="20" t="n">
        <f aca="false">C126*E126*(1-F126)</f>
        <v>1</v>
      </c>
      <c r="M126" s="20" t="n">
        <f aca="false">C126*MAX(E126,G126)</f>
        <v>1</v>
      </c>
      <c r="N126" s="20" t="n">
        <v>4</v>
      </c>
      <c r="O126" s="20" t="n">
        <f aca="false">C126*IF(G126=1,1,IF(AND(D126=0,E126=0),1,0))</f>
        <v>0</v>
      </c>
      <c r="P126" s="20" t="n">
        <f aca="false">C126*E126*(1-G126)</f>
        <v>1</v>
      </c>
      <c r="Q126" s="20" t="s">
        <v>2400</v>
      </c>
    </row>
    <row r="127" customFormat="false" ht="15" hidden="false" customHeight="true" outlineLevel="0" collapsed="false">
      <c r="B127" s="20" t="s">
        <v>2401</v>
      </c>
      <c r="C127" s="20" t="n">
        <f aca="false">IF(In_loanBal+In_debt&gt;0,1,0)</f>
        <v>1</v>
      </c>
      <c r="D127" s="20" t="n">
        <v>0</v>
      </c>
      <c r="E127" s="20" t="n">
        <f aca="false">IF(OR(In_loanRate&gt;0,Has_a_loanRate=1),1,0)</f>
        <v>1</v>
      </c>
      <c r="F127" s="20" t="n">
        <v>0</v>
      </c>
      <c r="G127" s="20" t="n">
        <f aca="false">IF(ISNUMBER(SEARCH(","&amp;"loanRate"&amp;",",","&amp;SUBSTITUTE(In_lookKeys," ","")&amp;",")),1,0)</f>
        <v>0</v>
      </c>
      <c r="H127" s="20" t="n">
        <f aca="false">IF(ISNUMBER(SEARCH(","&amp;"loanRate"&amp;",",","&amp;SUBSTITUTE(In_ackKeys," ","")&amp;",")),1,0)</f>
        <v>0</v>
      </c>
      <c r="I127" s="20" t="n">
        <f aca="false">C127*(1-D127)</f>
        <v>1</v>
      </c>
      <c r="J127" s="20" t="n">
        <f aca="false">I127*E127</f>
        <v>1</v>
      </c>
      <c r="K127" s="20" t="n">
        <f aca="false">C127*G127*(1-H127)</f>
        <v>0</v>
      </c>
      <c r="L127" s="20" t="n">
        <f aca="false">C127*E127*(1-F127)</f>
        <v>1</v>
      </c>
      <c r="M127" s="20" t="n">
        <f aca="false">C127*MAX(E127,G127)</f>
        <v>1</v>
      </c>
      <c r="N127" s="20" t="n">
        <v>4</v>
      </c>
      <c r="O127" s="20" t="n">
        <f aca="false">C127*IF(G127=1,1,IF(AND(D127=0,E127=0),1,0))</f>
        <v>0</v>
      </c>
      <c r="P127" s="20" t="n">
        <f aca="false">C127*E127*(1-G127)</f>
        <v>1</v>
      </c>
      <c r="Q127" s="20" t="s">
        <v>2402</v>
      </c>
    </row>
    <row r="128" customFormat="false" ht="15" hidden="false" customHeight="true" outlineLevel="0" collapsed="false">
      <c r="B128" s="20" t="s">
        <v>2403</v>
      </c>
      <c r="C128" s="20" t="n">
        <f aca="false">IF(Mort2_Bal&gt;0,1,0)</f>
        <v>0</v>
      </c>
      <c r="D128" s="20" t="n">
        <v>0</v>
      </c>
      <c r="E128" s="20" t="n">
        <f aca="false">IF(Mort2_NeedsTerm=0,1,0)</f>
        <v>1</v>
      </c>
      <c r="F128" s="20" t="n">
        <v>0</v>
      </c>
      <c r="G128" s="20" t="n">
        <f aca="false">IF(ISNUMBER(SEARCH(","&amp;"mort2"&amp;",",","&amp;SUBSTITUTE(In_lookKeys," ","")&amp;",")),1,0)</f>
        <v>0</v>
      </c>
      <c r="H128" s="20" t="n">
        <f aca="false">IF(ISNUMBER(SEARCH(","&amp;"mort2"&amp;",",","&amp;SUBSTITUTE(In_ackKeys," ","")&amp;",")),1,0)</f>
        <v>0</v>
      </c>
      <c r="I128" s="20" t="n">
        <f aca="false">C128*(1-D128)</f>
        <v>0</v>
      </c>
      <c r="J128" s="20" t="n">
        <f aca="false">I128*E128</f>
        <v>0</v>
      </c>
      <c r="K128" s="20" t="n">
        <f aca="false">C128*G128*(1-H128)</f>
        <v>0</v>
      </c>
      <c r="L128" s="20" t="n">
        <f aca="false">C128*E128*(1-F128)</f>
        <v>0</v>
      </c>
      <c r="M128" s="20" t="n">
        <f aca="false">C128*MAX(E128,G128)</f>
        <v>0</v>
      </c>
      <c r="N128" s="20" t="n">
        <v>4</v>
      </c>
      <c r="O128" s="20" t="n">
        <f aca="false">C128*IF(G128=1,1,IF(AND(D128=0,E128=0),1,0))</f>
        <v>0</v>
      </c>
      <c r="P128" s="20" t="n">
        <f aca="false">C128*E128*(1-G128)</f>
        <v>0</v>
      </c>
      <c r="Q128" s="20" t="s">
        <v>2404</v>
      </c>
    </row>
    <row r="129" customFormat="false" ht="15" hidden="false" customHeight="true" outlineLevel="0" collapsed="false">
      <c r="B129" s="20" t="s">
        <v>2405</v>
      </c>
      <c r="C129" s="20" t="n">
        <f aca="false">IF(1,1,0)</f>
        <v>1</v>
      </c>
      <c r="D129" s="20" t="n">
        <v>0</v>
      </c>
      <c r="E129" s="20" t="n">
        <f aca="false">IF(Has_life,1,0)</f>
        <v>1</v>
      </c>
      <c r="F129" s="20" t="n">
        <v>0</v>
      </c>
      <c r="G129" s="20" t="n">
        <f aca="false">IF(ISNUMBER(SEARCH(","&amp;"life"&amp;",",","&amp;SUBSTITUTE(In_lookKeys," ","")&amp;",")),1,0)</f>
        <v>0</v>
      </c>
      <c r="H129" s="20" t="n">
        <f aca="false">IF(ISNUMBER(SEARCH(","&amp;"life"&amp;",",","&amp;SUBSTITUTE(In_ackKeys," ","")&amp;",")),1,0)</f>
        <v>0</v>
      </c>
      <c r="I129" s="20" t="n">
        <f aca="false">C129*(1-D129)</f>
        <v>1</v>
      </c>
      <c r="J129" s="20" t="n">
        <f aca="false">I129*E129</f>
        <v>1</v>
      </c>
      <c r="K129" s="20" t="n">
        <f aca="false">C129*G129*(1-H129)</f>
        <v>0</v>
      </c>
      <c r="L129" s="20" t="n">
        <f aca="false">C129*E129*(1-F129)</f>
        <v>1</v>
      </c>
      <c r="M129" s="20" t="n">
        <f aca="false">C129*MAX(E129,G129)</f>
        <v>1</v>
      </c>
      <c r="N129" s="20" t="n">
        <v>5</v>
      </c>
      <c r="O129" s="20" t="n">
        <f aca="false">C129*IF(G129=1,1,IF(AND(D129=0,E129=0),1,0))</f>
        <v>0</v>
      </c>
      <c r="P129" s="20" t="n">
        <f aca="false">C129*E129*(1-G129)</f>
        <v>1</v>
      </c>
      <c r="Q129" s="20" t="s">
        <v>2406</v>
      </c>
    </row>
    <row r="130" customFormat="false" ht="15" hidden="false" customHeight="true" outlineLevel="0" collapsed="false">
      <c r="B130" s="20" t="s">
        <v>2407</v>
      </c>
      <c r="C130" s="20" t="n">
        <f aca="false">IF(1,1,0)</f>
        <v>1</v>
      </c>
      <c r="D130" s="20" t="n">
        <v>0</v>
      </c>
      <c r="E130" s="20" t="n">
        <f aca="false">IF(Has_ip,1,0)</f>
        <v>1</v>
      </c>
      <c r="F130" s="20" t="n">
        <v>0</v>
      </c>
      <c r="G130" s="20" t="n">
        <f aca="false">IF(ISNUMBER(SEARCH(","&amp;"ip"&amp;",",","&amp;SUBSTITUTE(In_lookKeys," ","")&amp;",")),1,0)</f>
        <v>0</v>
      </c>
      <c r="H130" s="20" t="n">
        <f aca="false">IF(ISNUMBER(SEARCH(","&amp;"ip"&amp;",",","&amp;SUBSTITUTE(In_ackKeys," ","")&amp;",")),1,0)</f>
        <v>0</v>
      </c>
      <c r="I130" s="20" t="n">
        <f aca="false">C130*(1-D130)</f>
        <v>1</v>
      </c>
      <c r="J130" s="20" t="n">
        <f aca="false">I130*E130</f>
        <v>1</v>
      </c>
      <c r="K130" s="20" t="n">
        <f aca="false">C130*G130*(1-H130)</f>
        <v>0</v>
      </c>
      <c r="L130" s="20" t="n">
        <f aca="false">C130*E130*(1-F130)</f>
        <v>1</v>
      </c>
      <c r="M130" s="20" t="n">
        <f aca="false">C130*MAX(E130,G130)</f>
        <v>1</v>
      </c>
      <c r="N130" s="20" t="n">
        <v>5</v>
      </c>
      <c r="O130" s="20" t="n">
        <f aca="false">C130*IF(G130=1,1,IF(AND(D130=0,E130=0),1,0))</f>
        <v>0</v>
      </c>
      <c r="P130" s="20" t="n">
        <f aca="false">C130*E130*(1-G130)</f>
        <v>1</v>
      </c>
      <c r="Q130" s="20" t="s">
        <v>2408</v>
      </c>
    </row>
    <row r="131" customFormat="false" ht="15" hidden="false" customHeight="true" outlineLevel="0" collapsed="false">
      <c r="B131" s="20" t="s">
        <v>2409</v>
      </c>
      <c r="C131" s="20" t="n">
        <f aca="false">IF(1,1,0)</f>
        <v>1</v>
      </c>
      <c r="D131" s="20" t="n">
        <v>0</v>
      </c>
      <c r="E131" s="20" t="n">
        <f aca="false">IF(Has_ci,1,0)</f>
        <v>1</v>
      </c>
      <c r="F131" s="20" t="n">
        <v>0</v>
      </c>
      <c r="G131" s="20" t="n">
        <f aca="false">IF(ISNUMBER(SEARCH(","&amp;"ci"&amp;",",","&amp;SUBSTITUTE(In_lookKeys," ","")&amp;",")),1,0)</f>
        <v>0</v>
      </c>
      <c r="H131" s="20" t="n">
        <f aca="false">IF(ISNUMBER(SEARCH(","&amp;"ci"&amp;",",","&amp;SUBSTITUTE(In_ackKeys," ","")&amp;",")),1,0)</f>
        <v>0</v>
      </c>
      <c r="I131" s="20" t="n">
        <f aca="false">C131*(1-D131)</f>
        <v>1</v>
      </c>
      <c r="J131" s="20" t="n">
        <f aca="false">I131*E131</f>
        <v>1</v>
      </c>
      <c r="K131" s="20" t="n">
        <f aca="false">C131*G131*(1-H131)</f>
        <v>0</v>
      </c>
      <c r="L131" s="20" t="n">
        <f aca="false">C131*E131*(1-F131)</f>
        <v>1</v>
      </c>
      <c r="M131" s="20" t="n">
        <f aca="false">C131*MAX(E131,G131)</f>
        <v>1</v>
      </c>
      <c r="N131" s="20" t="n">
        <v>5</v>
      </c>
      <c r="O131" s="20" t="n">
        <f aca="false">C131*IF(G131=1,1,IF(AND(D131=0,E131=0),1,0))</f>
        <v>0</v>
      </c>
      <c r="P131" s="20" t="n">
        <f aca="false">C131*E131*(1-G131)</f>
        <v>1</v>
      </c>
      <c r="Q131" s="20" t="s">
        <v>2410</v>
      </c>
    </row>
    <row r="132" customFormat="false" ht="15" hidden="false" customHeight="true" outlineLevel="0" collapsed="false">
      <c r="B132" s="20" t="s">
        <v>2411</v>
      </c>
      <c r="C132" s="20" t="n">
        <f aca="false">IF(1,1,0)</f>
        <v>1</v>
      </c>
      <c r="D132" s="20" t="n">
        <v>0</v>
      </c>
      <c r="E132" s="20" t="n">
        <f aca="false">IF(Has_workCover,1,0)</f>
        <v>1</v>
      </c>
      <c r="F132" s="20" t="n">
        <v>0</v>
      </c>
      <c r="G132" s="20" t="n">
        <f aca="false">IF(ISNUMBER(SEARCH(","&amp;"workCover"&amp;",",","&amp;SUBSTITUTE(In_lookKeys," ","")&amp;",")),1,0)</f>
        <v>0</v>
      </c>
      <c r="H132" s="20" t="n">
        <f aca="false">IF(ISNUMBER(SEARCH(","&amp;"workCover"&amp;",",","&amp;SUBSTITUTE(In_ackKeys," ","")&amp;",")),1,0)</f>
        <v>0</v>
      </c>
      <c r="I132" s="20" t="n">
        <f aca="false">C132*(1-D132)</f>
        <v>1</v>
      </c>
      <c r="J132" s="20" t="n">
        <f aca="false">I132*E132</f>
        <v>1</v>
      </c>
      <c r="K132" s="20" t="n">
        <f aca="false">C132*G132*(1-H132)</f>
        <v>0</v>
      </c>
      <c r="L132" s="20" t="n">
        <f aca="false">C132*E132*(1-F132)</f>
        <v>1</v>
      </c>
      <c r="M132" s="20" t="n">
        <f aca="false">C132*MAX(E132,G132)</f>
        <v>1</v>
      </c>
      <c r="N132" s="20" t="n">
        <v>5</v>
      </c>
      <c r="O132" s="20" t="n">
        <f aca="false">C132*IF(G132=1,1,IF(AND(D132=0,E132=0),1,0))</f>
        <v>0</v>
      </c>
      <c r="P132" s="20" t="n">
        <f aca="false">C132*E132*(1-G132)</f>
        <v>1</v>
      </c>
      <c r="Q132" s="20" t="s">
        <v>2412</v>
      </c>
    </row>
    <row r="133" customFormat="false" ht="15" hidden="false" customHeight="true" outlineLevel="0" collapsed="false">
      <c r="B133" s="20" t="s">
        <v>2413</v>
      </c>
      <c r="C133" s="20" t="n">
        <f aca="false">IF(1,1,0)</f>
        <v>1</v>
      </c>
      <c r="D133" s="20" t="n">
        <v>0</v>
      </c>
      <c r="E133" s="20" t="n">
        <f aca="false">IF(Has_health,1,0)</f>
        <v>1</v>
      </c>
      <c r="F133" s="20" t="n">
        <v>0</v>
      </c>
      <c r="G133" s="20" t="n">
        <f aca="false">IF(ISNUMBER(SEARCH(","&amp;"health"&amp;",",","&amp;SUBSTITUTE(In_lookKeys," ","")&amp;",")),1,0)</f>
        <v>0</v>
      </c>
      <c r="H133" s="20" t="n">
        <f aca="false">IF(ISNUMBER(SEARCH(","&amp;"health"&amp;",",","&amp;SUBSTITUTE(In_ackKeys," ","")&amp;",")),1,0)</f>
        <v>0</v>
      </c>
      <c r="I133" s="20" t="n">
        <f aca="false">C133*(1-D133)</f>
        <v>1</v>
      </c>
      <c r="J133" s="20" t="n">
        <f aca="false">I133*E133</f>
        <v>1</v>
      </c>
      <c r="K133" s="20" t="n">
        <f aca="false">C133*G133*(1-H133)</f>
        <v>0</v>
      </c>
      <c r="L133" s="20" t="n">
        <f aca="false">C133*E133*(1-F133)</f>
        <v>1</v>
      </c>
      <c r="M133" s="20" t="n">
        <f aca="false">C133*MAX(E133,G133)</f>
        <v>1</v>
      </c>
      <c r="N133" s="20" t="n">
        <v>5</v>
      </c>
      <c r="O133" s="20" t="n">
        <f aca="false">C133*IF(G133=1,1,IF(AND(D133=0,E133=0),1,0))</f>
        <v>0</v>
      </c>
      <c r="P133" s="20" t="n">
        <f aca="false">C133*E133*(1-G133)</f>
        <v>1</v>
      </c>
      <c r="Q133" s="20" t="s">
        <v>1615</v>
      </c>
    </row>
    <row r="134" customFormat="false" ht="15" hidden="false" customHeight="true" outlineLevel="0" collapsed="false">
      <c r="B134" s="20" t="s">
        <v>2414</v>
      </c>
      <c r="C134" s="20" t="n">
        <f aca="false">IF(1,1,0)</f>
        <v>1</v>
      </c>
      <c r="D134" s="20" t="n">
        <v>0</v>
      </c>
      <c r="E134" s="20" t="n">
        <f aca="false">IF(Has_pension,1,0)</f>
        <v>1</v>
      </c>
      <c r="F134" s="20" t="n">
        <v>0</v>
      </c>
      <c r="G134" s="20" t="n">
        <f aca="false">IF(ISNUMBER(SEARCH(","&amp;"pension"&amp;",",","&amp;SUBSTITUTE(In_lookKeys," ","")&amp;",")),1,0)</f>
        <v>1</v>
      </c>
      <c r="H134" s="20" t="n">
        <f aca="false">IF(ISNUMBER(SEARCH(","&amp;"pension"&amp;",",","&amp;SUBSTITUTE(In_ackKeys," ","")&amp;",")),1,0)</f>
        <v>0</v>
      </c>
      <c r="I134" s="20" t="n">
        <f aca="false">C134*(1-D134)</f>
        <v>1</v>
      </c>
      <c r="J134" s="20" t="n">
        <f aca="false">I134*E134</f>
        <v>1</v>
      </c>
      <c r="K134" s="20" t="n">
        <f aca="false">C134*G134*(1-H134)</f>
        <v>1</v>
      </c>
      <c r="L134" s="20" t="n">
        <f aca="false">C134*E134*(1-F134)</f>
        <v>1</v>
      </c>
      <c r="M134" s="20" t="n">
        <f aca="false">C134*MAX(E134,G134)</f>
        <v>1</v>
      </c>
      <c r="N134" s="20" t="n">
        <v>6</v>
      </c>
      <c r="O134" s="20" t="n">
        <f aca="false">C134*IF(G134=1,1,IF(AND(D134=0,E134=0),1,0))</f>
        <v>1</v>
      </c>
      <c r="P134" s="20" t="n">
        <f aca="false">C134*E134*(1-G134)</f>
        <v>0</v>
      </c>
      <c r="Q134" s="20" t="s">
        <v>1071</v>
      </c>
    </row>
    <row r="135" customFormat="false" ht="15" hidden="false" customHeight="true" outlineLevel="0" collapsed="false">
      <c r="B135" s="20" t="s">
        <v>2415</v>
      </c>
      <c r="C135" s="20" t="n">
        <f aca="false">IF(1,1,0)</f>
        <v>1</v>
      </c>
      <c r="D135" s="20" t="n">
        <v>0</v>
      </c>
      <c r="E135" s="20" t="n">
        <f aca="false">IF(Has_pensionM,1,0)</f>
        <v>1</v>
      </c>
      <c r="F135" s="20" t="n">
        <v>0</v>
      </c>
      <c r="G135" s="20" t="n">
        <f aca="false">IF(ISNUMBER(SEARCH(","&amp;"pensionM"&amp;",",","&amp;SUBSTITUTE(In_lookKeys," ","")&amp;",")),1,0)</f>
        <v>0</v>
      </c>
      <c r="H135" s="20" t="n">
        <f aca="false">IF(ISNUMBER(SEARCH(","&amp;"pensionM"&amp;",",","&amp;SUBSTITUTE(In_ackKeys," ","")&amp;",")),1,0)</f>
        <v>0</v>
      </c>
      <c r="I135" s="20" t="n">
        <f aca="false">C135*(1-D135)</f>
        <v>1</v>
      </c>
      <c r="J135" s="20" t="n">
        <f aca="false">I135*E135</f>
        <v>1</v>
      </c>
      <c r="K135" s="20" t="n">
        <f aca="false">C135*G135*(1-H135)</f>
        <v>0</v>
      </c>
      <c r="L135" s="20" t="n">
        <f aca="false">C135*E135*(1-F135)</f>
        <v>1</v>
      </c>
      <c r="M135" s="20" t="n">
        <f aca="false">C135*MAX(E135,G135)</f>
        <v>1</v>
      </c>
      <c r="N135" s="20" t="n">
        <v>6</v>
      </c>
      <c r="O135" s="20" t="n">
        <f aca="false">C135*IF(G135=1,1,IF(AND(D135=0,E135=0),1,0))</f>
        <v>0</v>
      </c>
      <c r="P135" s="20" t="n">
        <f aca="false">C135*E135*(1-G135)</f>
        <v>1</v>
      </c>
      <c r="Q135" s="20" t="s">
        <v>2416</v>
      </c>
    </row>
    <row r="136" customFormat="false" ht="15" hidden="false" customHeight="true" outlineLevel="0" collapsed="false">
      <c r="B136" s="20" t="s">
        <v>1487</v>
      </c>
      <c r="C136" s="20" t="n">
        <f aca="false">IF(AND(In_pensionM&gt;0,In_work&lt;&gt;"Not working"),1,0)</f>
        <v>1</v>
      </c>
      <c r="D136" s="20" t="n">
        <v>1</v>
      </c>
      <c r="E136" s="20" t="n">
        <f aca="false">IF(Has_pensionOwnM,1,0)</f>
        <v>0</v>
      </c>
      <c r="F136" s="20" t="n">
        <v>0</v>
      </c>
      <c r="G136" s="20" t="n">
        <f aca="false">IF(ISNUMBER(SEARCH(","&amp;"pensionOwnM"&amp;",",","&amp;SUBSTITUTE(In_lookKeys," ","")&amp;",")),1,0)</f>
        <v>0</v>
      </c>
      <c r="H136" s="20" t="n">
        <f aca="false">IF(ISNUMBER(SEARCH(","&amp;"pensionOwnM"&amp;",",","&amp;SUBSTITUTE(In_ackKeys," ","")&amp;",")),1,0)</f>
        <v>0</v>
      </c>
      <c r="I136" s="20" t="n">
        <f aca="false">C136*(1-D136)</f>
        <v>0</v>
      </c>
      <c r="J136" s="20" t="n">
        <f aca="false">I136*E136</f>
        <v>0</v>
      </c>
      <c r="K136" s="20" t="n">
        <f aca="false">C136*G136*(1-H136)</f>
        <v>0</v>
      </c>
      <c r="L136" s="20" t="n">
        <f aca="false">C136*E136*(1-F136)</f>
        <v>0</v>
      </c>
      <c r="M136" s="20" t="n">
        <f aca="false">C136*MAX(E136,G136)</f>
        <v>0</v>
      </c>
      <c r="N136" s="20" t="n">
        <v>6</v>
      </c>
      <c r="O136" s="20" t="n">
        <f aca="false">C136*IF(G136=1,1,IF(AND(D136=0,E136=0),1,0))</f>
        <v>0</v>
      </c>
      <c r="P136" s="20" t="n">
        <f aca="false">C136*E136*(1-G136)</f>
        <v>0</v>
      </c>
      <c r="Q136" s="20" t="s">
        <v>2417</v>
      </c>
    </row>
    <row r="137" customFormat="false" ht="15" hidden="false" customHeight="true" outlineLevel="0" collapsed="false">
      <c r="B137" s="20" t="s">
        <v>2418</v>
      </c>
      <c r="C137" s="20" t="n">
        <f aca="false">IF(AND(In_work="Employed",In_age&gt;=PR_AEageMin,In_age&lt;=PR_AEageMax,In_income&gt;PR_AEearnMin,NOT(In_pensionM&gt;0)),1,0)</f>
        <v>0</v>
      </c>
      <c r="D137" s="20" t="n">
        <v>1</v>
      </c>
      <c r="E137" s="20" t="n">
        <f aca="false">IF(Has_ae,1,0)</f>
        <v>0</v>
      </c>
      <c r="F137" s="20" t="n">
        <v>0</v>
      </c>
      <c r="G137" s="20" t="n">
        <f aca="false">IF(ISNUMBER(SEARCH(","&amp;"ae"&amp;",",","&amp;SUBSTITUTE(In_lookKeys," ","")&amp;",")),1,0)</f>
        <v>0</v>
      </c>
      <c r="H137" s="20" t="n">
        <f aca="false">IF(ISNUMBER(SEARCH(","&amp;"ae"&amp;",",","&amp;SUBSTITUTE(In_ackKeys," ","")&amp;",")),1,0)</f>
        <v>0</v>
      </c>
      <c r="I137" s="20" t="n">
        <f aca="false">C137*(1-D137)</f>
        <v>0</v>
      </c>
      <c r="J137" s="20" t="n">
        <f aca="false">I137*E137</f>
        <v>0</v>
      </c>
      <c r="K137" s="20" t="n">
        <f aca="false">C137*G137*(1-H137)</f>
        <v>0</v>
      </c>
      <c r="L137" s="20" t="n">
        <f aca="false">C137*E137*(1-F137)</f>
        <v>0</v>
      </c>
      <c r="M137" s="20" t="n">
        <f aca="false">C137*MAX(E137,G137)</f>
        <v>0</v>
      </c>
      <c r="N137" s="20" t="n">
        <v>6</v>
      </c>
      <c r="O137" s="20" t="n">
        <f aca="false">C137*IF(G137=1,1,IF(AND(D137=0,E137=0),1,0))</f>
        <v>0</v>
      </c>
      <c r="P137" s="20" t="n">
        <f aca="false">C137*E137*(1-G137)</f>
        <v>0</v>
      </c>
      <c r="Q137" s="20" t="s">
        <v>2419</v>
      </c>
    </row>
    <row r="138" customFormat="false" ht="15" hidden="false" customHeight="true" outlineLevel="0" collapsed="false">
      <c r="B138" s="20" t="s">
        <v>2420</v>
      </c>
      <c r="C138" s="20" t="n">
        <f aca="false">IF(1,1,0)</f>
        <v>1</v>
      </c>
      <c r="D138" s="20" t="n">
        <v>0</v>
      </c>
      <c r="E138" s="20" t="n">
        <f aca="false">IF(Has_sp,1,0)</f>
        <v>1</v>
      </c>
      <c r="F138" s="20" t="n">
        <v>0</v>
      </c>
      <c r="G138" s="20" t="n">
        <f aca="false">IF(ISNUMBER(SEARCH(","&amp;"sp"&amp;",",","&amp;SUBSTITUTE(In_lookKeys," ","")&amp;",")),1,0)</f>
        <v>0</v>
      </c>
      <c r="H138" s="20" t="n">
        <f aca="false">IF(ISNUMBER(SEARCH(","&amp;"sp"&amp;",",","&amp;SUBSTITUTE(In_ackKeys," ","")&amp;",")),1,0)</f>
        <v>0</v>
      </c>
      <c r="I138" s="20" t="n">
        <f aca="false">C138*(1-D138)</f>
        <v>1</v>
      </c>
      <c r="J138" s="20" t="n">
        <f aca="false">I138*E138</f>
        <v>1</v>
      </c>
      <c r="K138" s="20" t="n">
        <f aca="false">C138*G138*(1-H138)</f>
        <v>0</v>
      </c>
      <c r="L138" s="20" t="n">
        <f aca="false">C138*E138*(1-F138)</f>
        <v>1</v>
      </c>
      <c r="M138" s="20" t="n">
        <f aca="false">C138*MAX(E138,G138)</f>
        <v>1</v>
      </c>
      <c r="N138" s="20" t="n">
        <v>6</v>
      </c>
      <c r="O138" s="20" t="n">
        <f aca="false">C138*IF(G138=1,1,IF(AND(D138=0,E138=0),1,0))</f>
        <v>0</v>
      </c>
      <c r="P138" s="20" t="n">
        <f aca="false">C138*E138*(1-G138)</f>
        <v>1</v>
      </c>
      <c r="Q138" s="20" t="s">
        <v>2421</v>
      </c>
    </row>
    <row r="139" customFormat="false" ht="15" hidden="false" customHeight="true" outlineLevel="0" collapsed="false">
      <c r="B139" s="20" t="s">
        <v>1537</v>
      </c>
      <c r="C139" s="20" t="n">
        <f aca="false">IF(F_Partner=1,1,0)</f>
        <v>1</v>
      </c>
      <c r="D139" s="20" t="n">
        <v>1</v>
      </c>
      <c r="E139" s="20" t="n">
        <f aca="false">IF(Has_pSp,1,0)</f>
        <v>0</v>
      </c>
      <c r="F139" s="20" t="n">
        <v>0</v>
      </c>
      <c r="G139" s="20" t="n">
        <f aca="false">IF(ISNUMBER(SEARCH(","&amp;"pSp"&amp;",",","&amp;SUBSTITUTE(In_lookKeys," ","")&amp;",")),1,0)</f>
        <v>0</v>
      </c>
      <c r="H139" s="20" t="n">
        <f aca="false">IF(ISNUMBER(SEARCH(","&amp;"pSp"&amp;",",","&amp;SUBSTITUTE(In_ackKeys," ","")&amp;",")),1,0)</f>
        <v>0</v>
      </c>
      <c r="I139" s="20" t="n">
        <f aca="false">C139*(1-D139)</f>
        <v>0</v>
      </c>
      <c r="J139" s="20" t="n">
        <f aca="false">I139*E139</f>
        <v>0</v>
      </c>
      <c r="K139" s="20" t="n">
        <f aca="false">C139*G139*(1-H139)</f>
        <v>0</v>
      </c>
      <c r="L139" s="20" t="n">
        <f aca="false">C139*E139*(1-F139)</f>
        <v>0</v>
      </c>
      <c r="M139" s="20" t="n">
        <f aca="false">C139*MAX(E139,G139)</f>
        <v>0</v>
      </c>
      <c r="N139" s="20" t="n">
        <v>6</v>
      </c>
      <c r="O139" s="20" t="n">
        <f aca="false">C139*IF(G139=1,1,IF(AND(D139=0,E139=0),1,0))</f>
        <v>0</v>
      </c>
      <c r="P139" s="20" t="n">
        <f aca="false">C139*E139*(1-G139)</f>
        <v>0</v>
      </c>
      <c r="Q139" s="20" t="s">
        <v>2422</v>
      </c>
    </row>
    <row r="140" customFormat="false" ht="15" hidden="false" customHeight="true" outlineLevel="0" collapsed="false">
      <c r="B140" s="20" t="s">
        <v>2423</v>
      </c>
      <c r="C140" s="36" t="n">
        <f aca="false">SUM($O$101:$O$139)</f>
        <v>1</v>
      </c>
    </row>
    <row r="141" customFormat="false" ht="15" hidden="false" customHeight="true" outlineLevel="0" collapsed="false">
      <c r="B141" s="20" t="s">
        <v>2424</v>
      </c>
      <c r="C141" s="36" t="n">
        <f aca="false">SUMPRODUCT($K$101:$K$139*($Q$101:$Q$139&lt;&gt;"retireAge"))</f>
        <v>1</v>
      </c>
    </row>
    <row r="142" customFormat="false" ht="15" hidden="false" customHeight="true" outlineLevel="0" collapsed="false">
      <c r="B142" s="20" t="s">
        <v>2425</v>
      </c>
      <c r="C142" s="36" t="n">
        <f aca="false">SUM($P$101:$P$139)</f>
        <v>29</v>
      </c>
    </row>
    <row r="143" customFormat="false" ht="15" hidden="false" customHeight="true" outlineLevel="0" collapsed="false">
      <c r="B143" s="20" t="s">
        <v>2426</v>
      </c>
      <c r="C143" s="36" t="str">
        <f aca="false">IF(SUMIFS($K$101:$K$139,$N$101:$N$139,1)&gt;0,"look",IF(OR(SUMIFS($J$101:$J$139,$N$101:$N$139,1)=SUMIFS($I$101:$I$139,$N$101:$N$139,1),In_saved1="Yes"),"done",IF(SUMIFS($L$101:$L$139,$N$101:$N$139,1)&gt;0,"part","none")))</f>
        <v>done</v>
      </c>
    </row>
    <row r="144" customFormat="false" ht="15" hidden="false" customHeight="true" outlineLevel="0" collapsed="false">
      <c r="B144" s="20" t="s">
        <v>2427</v>
      </c>
      <c r="C144" s="36" t="str">
        <f aca="false">IF(SUMIFS($K$101:$K$139,$N$101:$N$139,2)&gt;0,"look",IF(OR(SUMIFS($J$101:$J$139,$N$101:$N$139,2)=SUMIFS($I$101:$I$139,$N$101:$N$139,2),In_saved2="Yes"),"done",IF(SUMIFS($L$101:$L$139,$N$101:$N$139,2)&gt;0,"part","none")))</f>
        <v>done</v>
      </c>
    </row>
    <row r="145" customFormat="false" ht="15" hidden="false" customHeight="true" outlineLevel="0" collapsed="false">
      <c r="B145" s="20" t="s">
        <v>2428</v>
      </c>
      <c r="C145" s="36" t="str">
        <f aca="false">IF(SUMIFS($K$101:$K$139,$N$101:$N$139,3)&gt;0,"look",IF(OR(SUMIFS($J$101:$J$139,$N$101:$N$139,3)=SUMIFS($I$101:$I$139,$N$101:$N$139,3),In_saved3="Yes"),"done",IF(SUMIFS($L$101:$L$139,$N$101:$N$139,3)&gt;0,"part","none")))</f>
        <v>done</v>
      </c>
    </row>
    <row r="146" customFormat="false" ht="15" hidden="false" customHeight="true" outlineLevel="0" collapsed="false">
      <c r="B146" s="20" t="s">
        <v>2429</v>
      </c>
      <c r="C146" s="36" t="str">
        <f aca="false">IF(SUMIFS($K$101:$K$139,$N$101:$N$139,4)&gt;0,"look",IF(OR(SUMIFS($J$101:$J$139,$N$101:$N$139,4)=SUMIFS($I$101:$I$139,$N$101:$N$139,4),In_saved4="Yes"),"done",IF(SUMIFS($L$101:$L$139,$N$101:$N$139,4)&gt;0,"part","none")))</f>
        <v>done</v>
      </c>
    </row>
    <row r="147" customFormat="false" ht="15" hidden="false" customHeight="true" outlineLevel="0" collapsed="false">
      <c r="B147" s="20" t="s">
        <v>2430</v>
      </c>
      <c r="C147" s="36" t="str">
        <f aca="false">IF(SUMIFS($K$101:$K$139,$N$101:$N$139,5)&gt;0,"look",IF(OR(SUMIFS($J$101:$J$139,$N$101:$N$139,5)=SUMIFS($I$101:$I$139,$N$101:$N$139,5),In_saved5="Yes"),"done",IF(SUMIFS($L$101:$L$139,$N$101:$N$139,5)&gt;0,"part","none")))</f>
        <v>done</v>
      </c>
    </row>
    <row r="148" customFormat="false" ht="15" hidden="false" customHeight="true" outlineLevel="0" collapsed="false">
      <c r="B148" s="20" t="s">
        <v>2431</v>
      </c>
      <c r="C148" s="36" t="str">
        <f aca="false">IF(SUMIFS($K$101:$K$139,$N$101:$N$139,6)&gt;0,"look",IF(OR(SUMIFS($J$101:$J$139,$N$101:$N$139,6)=SUMIFS($I$101:$I$139,$N$101:$N$139,6),In_saved6="Yes"),"done",IF(SUMIFS($L$101:$L$139,$N$101:$N$139,6)&gt;0,"part","none")))</f>
        <v>look</v>
      </c>
    </row>
    <row r="149" customFormat="false" ht="15" hidden="false" customHeight="true" outlineLevel="0" collapsed="false">
      <c r="B149" s="20" t="s">
        <v>2432</v>
      </c>
      <c r="C149" s="36" t="n">
        <f aca="false">IF(Fin1_St="done",1,0)+IF(Fin2_St="done",1,0)+IF(Fin3_St="done",1,0)+IF(Fin4_St="done",1,0)+IF(Fin5_St="done",1,0)+IF(Fin6_St="done",1,0)</f>
        <v>5</v>
      </c>
    </row>
    <row r="150" customFormat="false" ht="15" hidden="false" customHeight="true" outlineLevel="0" collapsed="false">
      <c r="B150" s="20" t="s">
        <v>2433</v>
      </c>
      <c r="C150" s="36" t="n">
        <f aca="false">IF(AND(OR(Fin1_St="done",Fin1_St="look"),OR(Fin2_St="done",Fin2_St="look"),OR(Fin3_St="done",Fin3_St="look",Fin6_St="done",Fin6_St="look")),1,0)</f>
        <v>1</v>
      </c>
    </row>
    <row r="151" customFormat="false" ht="15" hidden="false" customHeight="true" outlineLevel="0" collapsed="false">
      <c r="B151" s="20" t="s">
        <v>2434</v>
      </c>
      <c r="C151" s="36" t="n">
        <f aca="false">SUM($I$101:$I$139)-SUM($J$101:$J$139)</f>
        <v>0</v>
      </c>
    </row>
    <row r="152" customFormat="false" ht="15" hidden="false" customHeight="true" outlineLevel="0" collapsed="false">
      <c r="B152" s="20" t="s">
        <v>2435</v>
      </c>
      <c r="C152" s="36" t="n">
        <f aca="false">IF(AND(SUMIFS($C$101:$C$139,$N$101:$N$139,1)&gt;0,SUMIFS($M$101:$M$139,$N$101:$N$139,1)=0),1,0)+IF(AND(SUMIFS($C$101:$C$139,$N$101:$N$139,2)&gt;0,SUMIFS($M$101:$M$139,$N$101:$N$139,2)=0),1,0)+IF(AND(SUMIFS($C$101:$C$139,$N$101:$N$139,3)&gt;0,SUMIFS($M$101:$M$139,$N$101:$N$139,3)=0),1,0)+IF(AND(SUMIFS($C$101:$C$139,$N$101:$N$139,4)&gt;0,SUMIFS($M$101:$M$139,$N$101:$N$139,4)=0),1,0)+IF(AND(SUMIFS($C$101:$C$139,$N$101:$N$139,5)&gt;0,SUMIFS($M$101:$M$139,$N$101:$N$139,5)=0),1,0)+IF(AND(SUMIFS($C$101:$C$139,$N$101:$N$139,6)&gt;0,SUMIFS($M$101:$M$139,$N$101:$N$139,6)=0),1,0)</f>
        <v>0</v>
      </c>
    </row>
    <row r="153" customFormat="false" ht="15" hidden="false" customHeight="true" outlineLevel="0" collapsed="false">
      <c r="B153" s="20" t="s">
        <v>2436</v>
      </c>
      <c r="C153" s="36" t="n">
        <f aca="false">IF(OR(Fin_Skipped&gt;0,Fin_Quality&gt;2),1,0)</f>
        <v>0</v>
      </c>
    </row>
    <row r="154" customFormat="false" ht="15" hidden="false" customHeight="true" outlineLevel="0" collapsed="false">
      <c r="B154" s="20" t="s">
        <v>2437</v>
      </c>
      <c r="C154" s="36" t="n">
        <f aca="false">IF(AND(Home_Rough=1,Missing_Count=0),1,0)</f>
        <v>0</v>
      </c>
    </row>
    <row r="156" customFormat="false" ht="15" hidden="false" customHeight="true" outlineLevel="0" collapsed="false">
      <c r="B156" s="23" t="s">
        <v>2438</v>
      </c>
      <c r="C156" s="23" t="s">
        <v>1173</v>
      </c>
    </row>
    <row r="157" customFormat="false" ht="15" hidden="false" customHeight="true" outlineLevel="0" collapsed="false">
      <c r="B157" s="20" t="s">
        <v>2439</v>
      </c>
      <c r="C157" s="36" t="n">
        <f aca="false">F_Age+1</f>
        <v>39</v>
      </c>
    </row>
    <row r="158" customFormat="false" ht="15" hidden="false" customHeight="true" outlineLevel="0" collapsed="false">
      <c r="B158" s="20" t="s">
        <v>2440</v>
      </c>
      <c r="C158" s="36" t="n">
        <f aca="false">MAX(Retire_Min,AS_End-1)</f>
        <v>94</v>
      </c>
    </row>
    <row r="159" customFormat="false" ht="15" hidden="false" customHeight="true" outlineLevel="0" collapsed="false">
      <c r="B159" s="20" t="s">
        <v>2441</v>
      </c>
      <c r="C159" s="36" t="str">
        <f aca="false">"You can usually draw a pension from "&amp;Pension_Earliest_Age&amp;" (some occupational schemes from "&amp;Scheme_Earliest_Age&amp;"); State Pension is paid from "&amp;State_Pension_Age&amp;"."</f>
        <v>You can usually draw a pension from 60 (some occupational schemes from 50); State Pension is paid from 66.</v>
      </c>
    </row>
    <row r="160" customFormat="false" ht="15" hidden="false" customHeight="true" outlineLevel="0" collapsed="false">
      <c r="B160" s="20" t="s">
        <v>2442</v>
      </c>
      <c r="C160" s="36" t="str">
        <f aca="false">Retire_Help&amp;" Choose the age you want to plan for, any age from "&amp;Retire_Min&amp;" to "&amp;Retire_Max&amp;"."</f>
        <v>You can usually draw a pension from 60 (some occupational schemes from 50); State Pension is paid from 66. Choose the age you want to plan for, any age from 39 to 94.</v>
      </c>
    </row>
    <row r="161" customFormat="false" ht="15" hidden="false" customHeight="true" outlineLevel="0" collapsed="false">
      <c r="B161" s="20" t="s">
        <v>2443</v>
      </c>
      <c r="C161" s="36" t="str">
        <f aca="false">IF(Has_retireAge=0,"",IF(F_R&lt;Scheme_Earliest_Age,"Retiring before "&amp;Scheme_Earliest_Age&amp;" is possible. "&amp;"Pensions can usually be drawn from "&amp;Pension_Earliest_Age&amp;" (some schemes from "&amp;Scheme_Earliest_Age&amp;") and the State Pension from "&amp;State_Pension_Age&amp;", so until then your plan uses savings and other income. Your results will show any gap honestly.",IF(OR(F_R&lt;AS_AccessAge,F_R&lt;Pension_Earliest_Age),"Pensions can usually be drawn from "&amp;Pension_Earliest_Age&amp;" (some schemes from "&amp;Scheme_Earliest_Age&amp;") and the State Pension from "&amp;State_Pension_Age&amp;", so until then your plan uses savings and other income. Your results will show any gap honestly.","")))</f>
        <v/>
      </c>
    </row>
    <row r="162" customFormat="false" ht="15" hidden="false" customHeight="true" outlineLevel="0" collapsed="false">
      <c r="B162" s="20" t="s">
        <v>2444</v>
      </c>
      <c r="C162" s="36" t="str">
        <f aca="false">IF(OR(F_Partner=0,Has_pRet=0),"",IF(In_pRet&lt;Scheme_Earliest_Age,"Their pay stops at this age. Until their State Pension at "&amp;State_Pension_Age&amp;" your plan uses savings and other income, and the results will show any gap honestly.",IF(In_pRet&lt;Pension_Earliest_Age,"Their pay stops at this age. Their own pension is not modelled, so until their State Pension at "&amp;State_Pension_Age&amp;" your plan relies on savings and other income. Your results will show any gap honestly.","")))</f>
        <v/>
      </c>
    </row>
    <row r="163" customFormat="false" ht="15" hidden="false" customHeight="true" outlineLevel="0" collapsed="false">
      <c r="B163" s="20" t="s">
        <v>2445</v>
      </c>
      <c r="C163" s="36" t="n">
        <f aca="true">IF(Has_age=1,DATEDIF(IF(ISNUMBER('Plan inputs'!C6),'Plan inputs'!C6,'Plan inputs'!F6),TODAY(),"Y"),"")</f>
        <v>37</v>
      </c>
    </row>
    <row r="164" customFormat="false" ht="15" hidden="false" customHeight="true" outlineLevel="0" collapsed="false">
      <c r="B164" s="20" t="s">
        <v>2446</v>
      </c>
      <c r="C164" s="40" t="n">
        <f aca="true">IF(Has_age=1,DATE(YEAR(TODAY())+IF(DATE(YEAR(TODAY()),MONTH(IF(ISNUMBER('Plan inputs'!C6),'Plan inputs'!C6,'Plan inputs'!F6)),DAY(IF(ISNUMBER('Plan inputs'!C6),'Plan inputs'!C6,'Plan inputs'!F6)))&lt;=TODAY(),1,0),MONTH(IF(ISNUMBER('Plan inputs'!C6),'Plan inputs'!C6,'Plan inputs'!F6)),DAY(IF(ISNUMBER('Plan inputs'!C6),'Plan inputs'!C6,'Plan inputs'!F6))),"")</f>
        <v>46620</v>
      </c>
    </row>
    <row r="165" customFormat="false" ht="15" hidden="false" customHeight="true" outlineLevel="0" collapsed="false">
      <c r="B165" s="20" t="s">
        <v>2447</v>
      </c>
      <c r="C165" s="36" t="str">
        <f aca="false">IF(Has_age=0,"","Thanks"&amp;IF(LEN(In_name)&gt;0,", "&amp;In_name,"")&amp;". You're "&amp;DOB_AgeToday&amp;" today and turn "&amp;(DOB_AgeToday+1)&amp;" on "&amp;TEXT(DOB_NextBirthday,"d mmmm yyyy")&amp;".")</f>
        <v>Thanks, Aoife. You're 37 today and turn 38 on 21 August 2027.</v>
      </c>
    </row>
    <row r="166" customFormat="false" ht="15" hidden="false" customHeight="true" outlineLevel="0" collapsed="false">
      <c r="B166" s="20" t="s">
        <v>2448</v>
      </c>
      <c r="C166" s="36" t="n">
        <f aca="true">IF(AND(F_Partner=1,Has_pAge=1),DATEDIF(IF(ISNUMBER('Plan inputs'!C31),'Plan inputs'!C31,'Plan inputs'!F31),TODAY(),"Y"),"")</f>
        <v>36</v>
      </c>
    </row>
    <row r="167" customFormat="false" ht="15" hidden="false" customHeight="true" outlineLevel="0" collapsed="false">
      <c r="B167" s="20" t="s">
        <v>2449</v>
      </c>
      <c r="C167" s="36" t="str">
        <f aca="true">IF(PDOB_AgeToday="","","Thanks. They're "&amp;PDOB_AgeToday&amp;" today and turn "&amp;(PDOB_AgeToday+1)&amp;" on "&amp;TEXT(DATE(YEAR(TODAY())+IF(DATE(YEAR(TODAY()),MONTH(IF(ISNUMBER('Plan inputs'!C31),'Plan inputs'!C31,'Plan inputs'!F31)),DAY(IF(ISNUMBER('Plan inputs'!C31),'Plan inputs'!C31,'Plan inputs'!F31)))&lt;=TODAY(),1,0),MONTH(IF(ISNUMBER('Plan inputs'!C31),'Plan inputs'!C31,'Plan inputs'!F31)),DAY(IF(ISNUMBER('Plan inputs'!C31),'Plan inputs'!C31,'Plan inputs'!F31))),"d mmmm yyyy")&amp;".")</f>
        <v>Thanks. They're 36 today and turn 37 on 3 March 2027.</v>
      </c>
    </row>
    <row r="168" customFormat="false" ht="15" hidden="false" customHeight="true" outlineLevel="0" collapsed="false">
      <c r="B168" s="20" t="s">
        <v>2450</v>
      </c>
      <c r="C168" s="36" t="str">
        <f aca="false">IF(AND(O120=1,G120=0),"Assumed: add yours · we use "&amp;PR_FbMortYears&amp;" years","")</f>
        <v/>
      </c>
    </row>
    <row r="169" customFormat="false" ht="15" hidden="false" customHeight="true" outlineLevel="0" collapsed="false">
      <c r="B169" s="20" t="s">
        <v>2451</v>
      </c>
      <c r="C169" s="36" t="str">
        <f aca="false">IF(AND(O128=1,G128=0),"Assumed: add yours · we use "&amp;PR_FbMortYears&amp;" years","")</f>
        <v/>
      </c>
    </row>
    <row r="170" customFormat="false" ht="15" hidden="false" customHeight="true" outlineLevel="0" collapsed="false">
      <c r="B170" s="20" t="s">
        <v>2452</v>
      </c>
      <c r="C170" s="36" t="str">
        <f aca="false">IF(AND(O104=1,G104=0),"Assumed: add yours · we use your age","")</f>
        <v/>
      </c>
    </row>
    <row r="171" customFormat="false" ht="15" hidden="false" customHeight="true" outlineLevel="0" collapsed="false">
      <c r="B171" s="20" t="s">
        <v>2453</v>
      </c>
      <c r="C171" s="36" t="str">
        <f aca="false">IF(AND(O105=1,G105=0),"Assumed: add yours · we use Employed","")</f>
        <v/>
      </c>
    </row>
    <row r="172" customFormat="false" ht="15" hidden="false" customHeight="true" outlineLevel="0" collapsed="false">
      <c r="B172" s="20" t="s">
        <v>2454</v>
      </c>
      <c r="C172" s="36" t="str">
        <f aca="false">IF(AND(O121=1,G121=0),"Assumed: add yours · we use the Central Bank average rate","")</f>
        <v/>
      </c>
    </row>
    <row r="173" customFormat="false" ht="15" hidden="false" customHeight="true" outlineLevel="0" collapsed="false">
      <c r="B173" s="20" t="s">
        <v>2455</v>
      </c>
      <c r="C173" s="36" t="str">
        <f aca="false">IF(AND(O127=1,G127=0),"Assumed: add yours · we use the Central Bank average rate","")</f>
        <v/>
      </c>
    </row>
    <row r="174" customFormat="false" ht="15" hidden="false" customHeight="true" outlineLevel="0" collapsed="false">
      <c r="B174" s="20" t="s">
        <v>2456</v>
      </c>
      <c r="C174" s="36" t="str">
        <f aca="false">IF(AND(O124=1,G124=0),"Assumed: add yours · we use a planning rate of "&amp;ROUND(AS_CardRate*100,2)&amp;"%","")</f>
        <v/>
      </c>
    </row>
    <row r="176" customFormat="false" ht="15" hidden="false" customHeight="true" outlineLevel="0" collapsed="false">
      <c r="B176" s="23" t="s">
        <v>2457</v>
      </c>
      <c r="C176" s="23" t="s">
        <v>1173</v>
      </c>
    </row>
    <row r="177" customFormat="false" ht="15" hidden="false" customHeight="true" outlineLevel="0" collapsed="false">
      <c r="B177" s="20" t="s">
        <v>2458</v>
      </c>
      <c r="C177" s="36" t="n">
        <f aca="false">SUMPRODUCT((GR_Key&lt;&gt;"")*1)</f>
        <v>5</v>
      </c>
    </row>
    <row r="178" customFormat="false" ht="15" hidden="false" customHeight="true" outlineLevel="0" collapsed="false">
      <c r="B178" s="20" t="s">
        <v>2459</v>
      </c>
      <c r="C178" s="36" t="n">
        <f aca="false">IF(Home_N&gt;0,ROUND(SUM(GR_PctN)/Home_N,0),0)</f>
        <v>73</v>
      </c>
    </row>
    <row r="179" customFormat="false" ht="15" hidden="false" customHeight="true" outlineLevel="0" collapsed="false">
      <c r="B179" s="20" t="s">
        <v>2460</v>
      </c>
      <c r="C179" s="36" t="n">
        <f aca="false">SUMPRODUCT((GR_Key&lt;&gt;"")*(GR_PctN&gt;=PR_Good))</f>
        <v>2</v>
      </c>
    </row>
    <row r="180" customFormat="false" ht="15" hidden="false" customHeight="true" outlineLevel="0" collapsed="false">
      <c r="B180" s="20" t="s">
        <v>2461</v>
      </c>
      <c r="C180" s="36" t="str">
        <f aca="false">IF(Home_Avg&gt;=PR_Good,"good",IF(Home_Avg&gt;=PR_Nudge,"nudge","alert"))</f>
        <v>nudge</v>
      </c>
    </row>
    <row r="181" customFormat="false" ht="15" hidden="false" customHeight="true" outlineLevel="0" collapsed="false">
      <c r="B181" s="20" t="s">
        <v>2462</v>
      </c>
      <c r="C181" s="36" t="str">
        <f aca="false">IF(SUMPRODUCT((GR_Spec="mortgage")*1)&gt;0,"borrow,deposit,","")&amp;IF(SUMPRODUCT((GR_Spec="pension")*1)&gt;0,"retirement,contrib,","")&amp;"goalplanner,emergency,surplus,lifecover,compound"</f>
        <v>borrow,deposit,retirement,contrib,goalplanner,emergency,surplus,lifecover,compound</v>
      </c>
    </row>
    <row r="182" customFormat="false" ht="15" hidden="false" customHeight="true" outlineLevel="0" collapsed="false">
      <c r="B182" s="20" t="s">
        <v>2463</v>
      </c>
      <c r="C182" s="36" t="str">
        <f aca="false">IF(LEN(Tools_All)-LEN(SUBSTITUTE(Tools_All,",",""))&gt;=6,LEFT(Tools_All,FIND("|",SUBSTITUTE(Tools_All,",","|",6))-1),Tools_All)</f>
        <v>borrow,deposit,retirement,contrib,goalplanner,emergency</v>
      </c>
    </row>
    <row r="183" customFormat="false" ht="15" hidden="false" customHeight="true" outlineLevel="0" collapsed="false">
      <c r="B183" s="20" t="s">
        <v>2464</v>
      </c>
      <c r="C183" s="36" t="n">
        <f aca="false">IF(Home_N&gt;0,MATCH(MIN(GR_PctB),GR_PctB,0),0)</f>
        <v>2</v>
      </c>
    </row>
    <row r="184" customFormat="false" ht="15" hidden="false" customHeight="true" outlineLevel="0" collapsed="false">
      <c r="B184" s="20" t="s">
        <v>2465</v>
      </c>
      <c r="C184" s="36" t="str">
        <f aca="false">IF(Expert_Idx=0,"planner",INDEX(GR_Spec,Expert_Idx))</f>
        <v>planner</v>
      </c>
    </row>
    <row r="185" customFormat="false" ht="15" hidden="false" customHeight="true" outlineLevel="0" collapsed="false">
      <c r="B185" s="20" t="s">
        <v>2466</v>
      </c>
      <c r="C185" s="36" t="str">
        <f aca="false">IF(Expert_Key="mortgage","Mortgage expert",IF(Expert_Key="pension","Pension &amp; retirement expert",IF(Expert_Key="protection","Protection expert",IF(Expert_Key="investment","Investment expert","Financial planner"))))</f>
        <v>Financial planner</v>
      </c>
    </row>
    <row r="186" customFormat="false" ht="15" hidden="false" customHeight="true" outlineLevel="0" collapsed="false">
      <c r="B186" s="20" t="s">
        <v>2467</v>
      </c>
      <c r="C186" s="36" t="n">
        <f aca="false">ROUND(IF('Plan cashflow'!$HU$8=1,IF('Plan cashflow'!$G$8=1,MIN(MAX(0,'Plan cashflow'!$HZ$8),'Plan cashflow'!$HS$8),'Plan cashflow'!$HS$8),0)/12,0)</f>
        <v>62</v>
      </c>
    </row>
    <row r="187" customFormat="false" ht="15" hidden="false" customHeight="true" outlineLevel="0" collapsed="false">
      <c r="B187" s="20" t="s">
        <v>2468</v>
      </c>
      <c r="C187" s="36" t="n">
        <f aca="false">INT(AS_SaveShare*Save_SurplusM/25)*25</f>
        <v>50</v>
      </c>
    </row>
    <row r="188" customFormat="false" ht="15" hidden="false" customHeight="true" outlineLevel="0" collapsed="false">
      <c r="B188" s="20" t="s">
        <v>2469</v>
      </c>
      <c r="C188" s="36" t="n">
        <f aca="false">IF(AND(Nudge_X&gt;=Save_SaveM_Base+PR_NudgeStep,Nudge_X&gt;=IF(Has_saveM=1,In_saveM,Save_SaveM_Base)+PR_NudgeStep),1,0)</f>
        <v>0</v>
      </c>
    </row>
    <row r="189" customFormat="false" ht="15" hidden="false" customHeight="true" outlineLevel="0" collapsed="false">
      <c r="B189" s="20" t="s">
        <v>2470</v>
      </c>
      <c r="C189" s="36" t="n">
        <f aca="false">MAX(0,Save_SaveM_Base+WI_M)</f>
        <v>62</v>
      </c>
    </row>
    <row r="190" customFormat="false" ht="15" hidden="false" customHeight="true" outlineLevel="0" collapsed="false">
      <c r="B190" s="20" t="s">
        <v>2471</v>
      </c>
      <c r="C190" s="36" t="n">
        <f aca="false">IF(AND(WI_M&lt;&gt;0,Wi_Total&gt;MAX(0,Save_SurplusM)+PR_MinShort),1,0)</f>
        <v>0</v>
      </c>
    </row>
    <row r="192" customFormat="false" ht="15" hidden="false" customHeight="true" outlineLevel="0" collapsed="false">
      <c r="B192" s="23" t="s">
        <v>2472</v>
      </c>
      <c r="C192" s="23" t="s">
        <v>1173</v>
      </c>
    </row>
    <row r="193" customFormat="false" ht="15" hidden="false" customHeight="true" outlineLevel="0" collapsed="false">
      <c r="B193" s="20" t="s">
        <v>2473</v>
      </c>
      <c r="C193" s="36" t="n">
        <f aca="false">SUM('Plan cashflow'!$TZ$8:$TZ$97)</f>
        <v>21</v>
      </c>
    </row>
    <row r="194" customFormat="false" ht="15" hidden="false" customHeight="true" outlineLevel="0" collapsed="false">
      <c r="B194" s="20" t="s">
        <v>2474</v>
      </c>
      <c r="C194" s="36" t="n">
        <f aca="false">SUM('Plan cashflow'!$UA$8:$UA$97)</f>
        <v>15</v>
      </c>
    </row>
    <row r="195" customFormat="false" ht="15" hidden="false" customHeight="true" outlineLevel="0" collapsed="false">
      <c r="B195" s="20" t="s">
        <v>2475</v>
      </c>
      <c r="C195" s="36" t="n">
        <f aca="false">IFERROR(MATCH(1,'Plan cashflow'!$TZ$8:$TZ$97,0),0)</f>
        <v>4</v>
      </c>
    </row>
    <row r="196" customFormat="false" ht="15" hidden="false" customHeight="true" outlineLevel="0" collapsed="false">
      <c r="B196" s="20" t="s">
        <v>2476</v>
      </c>
      <c r="C196" s="36" t="n">
        <f aca="false">IF(Chart_FirstShortIdx&gt;0,F_Age+Chart_FirstShortIdx-1,"")</f>
        <v>41</v>
      </c>
    </row>
    <row r="197" customFormat="false" ht="15" hidden="false" customHeight="true" outlineLevel="0" collapsed="false">
      <c r="B197" s="20" t="s">
        <v>2477</v>
      </c>
      <c r="C197" s="36" t="n">
        <f aca="false">IF(Chart_FirstShortIdx&gt;0,INDEX('Plan cashflow'!$TY$8:$TY$97,Chart_FirstShortIdx),"")</f>
        <v>9091.3681434668</v>
      </c>
    </row>
    <row r="198" customFormat="false" ht="15" hidden="false" customHeight="true" outlineLevel="0" collapsed="false">
      <c r="B198" s="20" t="s">
        <v>2478</v>
      </c>
      <c r="C198" s="36" t="n">
        <f aca="false">SUMPRODUCT('Plan cashflow'!$TZ$8:$TZ$97*'Plan cashflow'!$TY$8:$TY$97)</f>
        <v>528200.893956798</v>
      </c>
    </row>
    <row r="199" customFormat="false" ht="15" hidden="false" customHeight="true" outlineLevel="0" collapsed="false">
      <c r="B199" s="20" t="s">
        <v>2479</v>
      </c>
      <c r="C199" s="36" t="n">
        <f aca="false">SUM('Plan cashflow'!$UB$8:$UB$97)</f>
        <v>19</v>
      </c>
    </row>
    <row r="200" customFormat="false" ht="15" hidden="false" customHeight="true" outlineLevel="0" collapsed="false">
      <c r="B200" s="20" t="s">
        <v>2480</v>
      </c>
      <c r="C200" s="36" t="n">
        <f aca="false">IFERROR(F_Age+MATCH(1,'Plan cashflow'!$UB$8:$UB$97,0)-1,"")</f>
        <v>77</v>
      </c>
    </row>
    <row r="201" customFormat="false" ht="15" hidden="false" customHeight="true" outlineLevel="0" collapsed="false">
      <c r="B201" s="20" t="s">
        <v>2481</v>
      </c>
      <c r="C201" s="36" t="n">
        <f aca="false">IFERROR(F_Age+MATCH(1,'Plan cashflow'!$UJ$8:$UJ$97,0)-1,"")</f>
        <v>41</v>
      </c>
    </row>
    <row r="202" customFormat="false" ht="15" hidden="false" customHeight="true" outlineLevel="0" collapsed="false">
      <c r="B202" s="20" t="s">
        <v>2482</v>
      </c>
      <c r="C202" s="36" t="n">
        <f aca="false">SUM('Plan cashflow'!$UJ$8:$UJ$97)</f>
        <v>20</v>
      </c>
    </row>
    <row r="203" customFormat="false" ht="15" hidden="false" customHeight="true" outlineLevel="0" collapsed="false">
      <c r="B203" s="46" t="s">
        <v>2483</v>
      </c>
      <c r="C203" s="46" t="s">
        <v>2484</v>
      </c>
      <c r="D203" s="46" t="s">
        <v>2485</v>
      </c>
      <c r="E203" s="46" t="s">
        <v>2486</v>
      </c>
      <c r="F203" s="46" t="s">
        <v>2487</v>
      </c>
      <c r="G203" s="46" t="s">
        <v>2488</v>
      </c>
      <c r="H203" s="46" t="s">
        <v>2489</v>
      </c>
      <c r="I203" s="46" t="s">
        <v>2490</v>
      </c>
      <c r="J203" s="46" t="s">
        <v>2491</v>
      </c>
      <c r="K203" s="46" t="s">
        <v>2492</v>
      </c>
    </row>
    <row r="204" customFormat="false" ht="15" hidden="false" customHeight="true" outlineLevel="0" collapsed="false">
      <c r="B204" s="20" t="n">
        <v>1</v>
      </c>
      <c r="C204" s="20" t="n">
        <f aca="false">IF(COUNTIFS('Plan cashflow'!$UF$8:$UF$97,1,'Plan cashflow'!$C$8:$C$97,1)=0,"",INDEX('Plan cashflow'!$UE$8:$UE$97,MATCH(1,'Plan cashflow'!$UF$8:$UF$97,0)))</f>
        <v>30</v>
      </c>
      <c r="D204" s="20" t="n">
        <f aca="false">IF(COUNTIFS('Plan cashflow'!$UF$8:$UF$97,1,'Plan cashflow'!$C$8:$C$97,1)=0,"",F_Age+MATCH(1,'Plan cashflow'!$UF$8:$UF$97,0)-1)</f>
        <v>38</v>
      </c>
      <c r="E204" s="20" t="n">
        <f aca="false">IF(COUNTIFS('Plan cashflow'!$UF$8:$UF$97,1,'Plan cashflow'!$C$8:$C$97,1)=0,"",D204+COUNTIFS('Plan cashflow'!$UF$8:$UF$97,1,'Plan cashflow'!$C$8:$C$97,1)-1)</f>
        <v>39</v>
      </c>
      <c r="F204" s="20" t="n">
        <f aca="false">COUNTIFS('Plan cashflow'!$UF$8:$UF$97,1,'Plan cashflow'!$C$8:$C$97,1)</f>
        <v>2</v>
      </c>
      <c r="G204" s="20" t="n">
        <f aca="false">COUNTIFS('Plan cashflow'!$UF$8:$UF$97,1,'Plan cashflow'!$UJ$8:$UJ$97,1)</f>
        <v>0</v>
      </c>
      <c r="H204" s="20" t="n">
        <f aca="false">COUNTIFS('Plan cashflow'!$UF$8:$UF$97,1,'Plan cashflow'!$UC$8:$UC$97,1)</f>
        <v>0</v>
      </c>
      <c r="I204" s="20" t="n">
        <f aca="false">IF(G204&gt;0,SUMIFS('Plan cashflow'!$TP$8:$TP$97,'Plan cashflow'!$UF$8:$UF$97,1,'Plan cashflow'!$UJ$8:$UJ$97,1)/G204,0)</f>
        <v>0</v>
      </c>
      <c r="J204" s="20" t="str">
        <f aca="false">IF(F204=0,"",IF(G204&gt;0,"storm",IF(H204&gt;F204/3,"showers",IF(H204&gt;0,"partly","sun"))))</f>
        <v>sun</v>
      </c>
      <c r="K204" s="20" t="str">
        <f aca="false">IF(F204=0,"",IF(G204&gt;0,"Short by about "&amp;"€"&amp;TEXT(ROUND(I204,0),"#,##0")&amp;" a year in "&amp;G204&amp;" of these years.",IF(COUNTIFS('Plan cashflow'!$UF$8:$UF$97,1,'Plan cashflow'!$C$8:$C$97,1,'Plan pay &amp; tax'!$G$234:$G$323,0)=F204,"Living on your pensions and savings, and they hold up.",IF(H204&gt;0,"Some years dip into savings. That's what they're for.","Income comfortably covers life."))))</f>
        <v>Income comfortably covers life.</v>
      </c>
    </row>
    <row r="205" customFormat="false" ht="15" hidden="false" customHeight="true" outlineLevel="0" collapsed="false">
      <c r="B205" s="20" t="n">
        <v>2</v>
      </c>
      <c r="C205" s="20" t="n">
        <f aca="false">IF(COUNTIFS('Plan cashflow'!$UF$8:$UF$97,2,'Plan cashflow'!$C$8:$C$97,1)=0,"",INDEX('Plan cashflow'!$UE$8:$UE$97,MATCH(2,'Plan cashflow'!$UF$8:$UF$97,0)))</f>
        <v>40</v>
      </c>
      <c r="D205" s="20" t="n">
        <f aca="false">IF(COUNTIFS('Plan cashflow'!$UF$8:$UF$97,2,'Plan cashflow'!$C$8:$C$97,1)=0,"",F_Age+MATCH(2,'Plan cashflow'!$UF$8:$UF$97,0)-1)</f>
        <v>40</v>
      </c>
      <c r="E205" s="20" t="n">
        <f aca="false">IF(COUNTIFS('Plan cashflow'!$UF$8:$UF$97,2,'Plan cashflow'!$C$8:$C$97,1)=0,"",D205+COUNTIFS('Plan cashflow'!$UF$8:$UF$97,2,'Plan cashflow'!$C$8:$C$97,1)-1)</f>
        <v>49</v>
      </c>
      <c r="F205" s="20" t="n">
        <f aca="false">COUNTIFS('Plan cashflow'!$UF$8:$UF$97,2,'Plan cashflow'!$C$8:$C$97,1)</f>
        <v>10</v>
      </c>
      <c r="G205" s="20" t="n">
        <f aca="false">COUNTIFS('Plan cashflow'!$UF$8:$UF$97,2,'Plan cashflow'!$UJ$8:$UJ$97,1)</f>
        <v>2</v>
      </c>
      <c r="H205" s="20" t="n">
        <f aca="false">COUNTIFS('Plan cashflow'!$UF$8:$UF$97,2,'Plan cashflow'!$UC$8:$UC$97,1)</f>
        <v>0</v>
      </c>
      <c r="I205" s="20" t="n">
        <f aca="false">IF(G205&gt;0,SUMIFS('Plan cashflow'!$TP$8:$TP$97,'Plan cashflow'!$UF$8:$UF$97,2,'Plan cashflow'!$UJ$8:$UJ$97,1)/G205,0)</f>
        <v>19556.9839835656</v>
      </c>
      <c r="J205" s="20" t="str">
        <f aca="false">IF(F205=0,"",IF(G205&gt;0,"storm",IF(H205&gt;F205/3,"showers",IF(H205&gt;0,"partly","sun"))))</f>
        <v>storm</v>
      </c>
      <c r="K205" s="20" t="str">
        <f aca="false">IF(F205=0,"",IF(G205&gt;0,"Short by about "&amp;"€"&amp;TEXT(ROUND(I205,0),"#,##0")&amp;" a year in "&amp;G205&amp;" of these years.",IF(COUNTIFS('Plan cashflow'!$UF$8:$UF$97,2,'Plan cashflow'!$C$8:$C$97,1,'Plan pay &amp; tax'!$G$234:$G$323,0)=F205,"Living on your pensions and savings, and they hold up.",IF(H205&gt;0,"Some years dip into savings. That's what they're for.","Income comfortably covers life."))))</f>
        <v>Short by about €19,557 a year in 2 of these years.</v>
      </c>
    </row>
    <row r="206" customFormat="false" ht="15" hidden="false" customHeight="true" outlineLevel="0" collapsed="false">
      <c r="B206" s="20" t="n">
        <v>3</v>
      </c>
      <c r="C206" s="20" t="n">
        <f aca="false">IF(COUNTIFS('Plan cashflow'!$UF$8:$UF$97,3,'Plan cashflow'!$C$8:$C$97,1)=0,"",INDEX('Plan cashflow'!$UE$8:$UE$97,MATCH(3,'Plan cashflow'!$UF$8:$UF$97,0)))</f>
        <v>50</v>
      </c>
      <c r="D206" s="20" t="n">
        <f aca="false">IF(COUNTIFS('Plan cashflow'!$UF$8:$UF$97,3,'Plan cashflow'!$C$8:$C$97,1)=0,"",F_Age+MATCH(3,'Plan cashflow'!$UF$8:$UF$97,0)-1)</f>
        <v>50</v>
      </c>
      <c r="E206" s="20" t="n">
        <f aca="false">IF(COUNTIFS('Plan cashflow'!$UF$8:$UF$97,3,'Plan cashflow'!$C$8:$C$97,1)=0,"",D206+COUNTIFS('Plan cashflow'!$UF$8:$UF$97,3,'Plan cashflow'!$C$8:$C$97,1)-1)</f>
        <v>59</v>
      </c>
      <c r="F206" s="20" t="n">
        <f aca="false">COUNTIFS('Plan cashflow'!$UF$8:$UF$97,3,'Plan cashflow'!$C$8:$C$97,1)</f>
        <v>10</v>
      </c>
      <c r="G206" s="20" t="n">
        <f aca="false">COUNTIFS('Plan cashflow'!$UF$8:$UF$97,3,'Plan cashflow'!$UJ$8:$UJ$97,1)</f>
        <v>0</v>
      </c>
      <c r="H206" s="20" t="n">
        <f aca="false">COUNTIFS('Plan cashflow'!$UF$8:$UF$97,3,'Plan cashflow'!$UC$8:$UC$97,1)</f>
        <v>0</v>
      </c>
      <c r="I206" s="20" t="n">
        <f aca="false">IF(G206&gt;0,SUMIFS('Plan cashflow'!$TP$8:$TP$97,'Plan cashflow'!$UF$8:$UF$97,3,'Plan cashflow'!$UJ$8:$UJ$97,1)/G206,0)</f>
        <v>0</v>
      </c>
      <c r="J206" s="20" t="str">
        <f aca="false">IF(F206=0,"",IF(G206&gt;0,"storm",IF(H206&gt;F206/3,"showers",IF(H206&gt;0,"partly","sun"))))</f>
        <v>sun</v>
      </c>
      <c r="K206" s="20" t="str">
        <f aca="false">IF(F206=0,"",IF(G206&gt;0,"Short by about "&amp;"€"&amp;TEXT(ROUND(I206,0),"#,##0")&amp;" a year in "&amp;G206&amp;" of these years.",IF(COUNTIFS('Plan cashflow'!$UF$8:$UF$97,3,'Plan cashflow'!$C$8:$C$97,1,'Plan pay &amp; tax'!$G$234:$G$323,0)=F206,"Living on your pensions and savings, and they hold up.",IF(H206&gt;0,"Some years dip into savings. That's what they're for.","Income comfortably covers life."))))</f>
        <v>Income comfortably covers life.</v>
      </c>
    </row>
    <row r="207" customFormat="false" ht="15" hidden="false" customHeight="true" outlineLevel="0" collapsed="false">
      <c r="B207" s="20" t="n">
        <v>4</v>
      </c>
      <c r="C207" s="20" t="n">
        <f aca="false">IF(COUNTIFS('Plan cashflow'!$UF$8:$UF$97,4,'Plan cashflow'!$C$8:$C$97,1)=0,"",INDEX('Plan cashflow'!$UE$8:$UE$97,MATCH(4,'Plan cashflow'!$UF$8:$UF$97,0)))</f>
        <v>60</v>
      </c>
      <c r="D207" s="20" t="n">
        <f aca="false">IF(COUNTIFS('Plan cashflow'!$UF$8:$UF$97,4,'Plan cashflow'!$C$8:$C$97,1)=0,"",F_Age+MATCH(4,'Plan cashflow'!$UF$8:$UF$97,0)-1)</f>
        <v>60</v>
      </c>
      <c r="E207" s="20" t="n">
        <f aca="false">IF(COUNTIFS('Plan cashflow'!$UF$8:$UF$97,4,'Plan cashflow'!$C$8:$C$97,1)=0,"",D207+COUNTIFS('Plan cashflow'!$UF$8:$UF$97,4,'Plan cashflow'!$C$8:$C$97,1)-1)</f>
        <v>69</v>
      </c>
      <c r="F207" s="20" t="n">
        <f aca="false">COUNTIFS('Plan cashflow'!$UF$8:$UF$97,4,'Plan cashflow'!$C$8:$C$97,1)</f>
        <v>10</v>
      </c>
      <c r="G207" s="20" t="n">
        <f aca="false">COUNTIFS('Plan cashflow'!$UF$8:$UF$97,4,'Plan cashflow'!$UJ$8:$UJ$97,1)</f>
        <v>0</v>
      </c>
      <c r="H207" s="20" t="n">
        <f aca="false">COUNTIFS('Plan cashflow'!$UF$8:$UF$97,4,'Plan cashflow'!$UC$8:$UC$97,1)</f>
        <v>6</v>
      </c>
      <c r="I207" s="20" t="n">
        <f aca="false">IF(G207&gt;0,SUMIFS('Plan cashflow'!$TP$8:$TP$97,'Plan cashflow'!$UF$8:$UF$97,4,'Plan cashflow'!$UJ$8:$UJ$97,1)/G207,0)</f>
        <v>0</v>
      </c>
      <c r="J207" s="20" t="str">
        <f aca="false">IF(F207=0,"",IF(G207&gt;0,"storm",IF(H207&gt;F207/3,"showers",IF(H207&gt;0,"partly","sun"))))</f>
        <v>showers</v>
      </c>
      <c r="K207" s="20" t="str">
        <f aca="false">IF(F207=0,"",IF(G207&gt;0,"Short by about "&amp;"€"&amp;TEXT(ROUND(I207,0),"#,##0")&amp;" a year in "&amp;G207&amp;" of these years.",IF(COUNTIFS('Plan cashflow'!$UF$8:$UF$97,4,'Plan cashflow'!$C$8:$C$97,1,'Plan pay &amp; tax'!$G$234:$G$323,0)=F207,"Living on your pensions and savings, and they hold up.",IF(H207&gt;0,"Some years dip into savings. That's what they're for.","Income comfortably covers life."))))</f>
        <v>Some years dip into savings. That's what they're for.</v>
      </c>
    </row>
    <row r="208" customFormat="false" ht="15" hidden="false" customHeight="true" outlineLevel="0" collapsed="false">
      <c r="B208" s="20" t="n">
        <v>5</v>
      </c>
      <c r="C208" s="20" t="n">
        <f aca="false">IF(COUNTIFS('Plan cashflow'!$UF$8:$UF$97,5,'Plan cashflow'!$C$8:$C$97,1)=0,"",INDEX('Plan cashflow'!$UE$8:$UE$97,MATCH(5,'Plan cashflow'!$UF$8:$UF$97,0)))</f>
        <v>70</v>
      </c>
      <c r="D208" s="20" t="n">
        <f aca="false">IF(COUNTIFS('Plan cashflow'!$UF$8:$UF$97,5,'Plan cashflow'!$C$8:$C$97,1)=0,"",F_Age+MATCH(5,'Plan cashflow'!$UF$8:$UF$97,0)-1)</f>
        <v>70</v>
      </c>
      <c r="E208" s="20" t="n">
        <f aca="false">IF(COUNTIFS('Plan cashflow'!$UF$8:$UF$97,5,'Plan cashflow'!$C$8:$C$97,1)=0,"",D208+COUNTIFS('Plan cashflow'!$UF$8:$UF$97,5,'Plan cashflow'!$C$8:$C$97,1)-1)</f>
        <v>79</v>
      </c>
      <c r="F208" s="20" t="n">
        <f aca="false">COUNTIFS('Plan cashflow'!$UF$8:$UF$97,5,'Plan cashflow'!$C$8:$C$97,1)</f>
        <v>10</v>
      </c>
      <c r="G208" s="20" t="n">
        <f aca="false">COUNTIFS('Plan cashflow'!$UF$8:$UF$97,5,'Plan cashflow'!$UJ$8:$UJ$97,1)</f>
        <v>2</v>
      </c>
      <c r="H208" s="20" t="n">
        <f aca="false">COUNTIFS('Plan cashflow'!$UF$8:$UF$97,5,'Plan cashflow'!$UC$8:$UC$97,1)</f>
        <v>8</v>
      </c>
      <c r="I208" s="20" t="n">
        <f aca="false">IF(G208&gt;0,SUMIFS('Plan cashflow'!$TP$8:$TP$97,'Plan cashflow'!$UF$8:$UF$97,5,'Plan cashflow'!$UJ$8:$UJ$97,1)/G208,0)</f>
        <v>25465.8357713701</v>
      </c>
      <c r="J208" s="20" t="str">
        <f aca="false">IF(F208=0,"",IF(G208&gt;0,"storm",IF(H208&gt;F208/3,"showers",IF(H208&gt;0,"partly","sun"))))</f>
        <v>storm</v>
      </c>
      <c r="K208" s="20" t="str">
        <f aca="false">IF(F208=0,"",IF(G208&gt;0,"Short by about "&amp;"€"&amp;TEXT(ROUND(I208,0),"#,##0")&amp;" a year in "&amp;G208&amp;" of these years.",IF(COUNTIFS('Plan cashflow'!$UF$8:$UF$97,5,'Plan cashflow'!$C$8:$C$97,1,'Plan pay &amp; tax'!$G$234:$G$323,0)=F208,"Living on your pensions and savings, and they hold up.",IF(H208&gt;0,"Some years dip into savings. That's what they're for.","Income comfortably covers life."))))</f>
        <v>Short by about €25,466 a year in 2 of these years.</v>
      </c>
    </row>
    <row r="209" customFormat="false" ht="15" hidden="false" customHeight="true" outlineLevel="0" collapsed="false">
      <c r="B209" s="20" t="n">
        <v>6</v>
      </c>
      <c r="C209" s="20" t="n">
        <f aca="false">IF(COUNTIFS('Plan cashflow'!$UF$8:$UF$97,6,'Plan cashflow'!$C$8:$C$97,1)=0,"",INDEX('Plan cashflow'!$UE$8:$UE$97,MATCH(6,'Plan cashflow'!$UF$8:$UF$97,0)))</f>
        <v>80</v>
      </c>
      <c r="D209" s="20" t="n">
        <f aca="false">IF(COUNTIFS('Plan cashflow'!$UF$8:$UF$97,6,'Plan cashflow'!$C$8:$C$97,1)=0,"",F_Age+MATCH(6,'Plan cashflow'!$UF$8:$UF$97,0)-1)</f>
        <v>80</v>
      </c>
      <c r="E209" s="20" t="n">
        <f aca="false">IF(COUNTIFS('Plan cashflow'!$UF$8:$UF$97,6,'Plan cashflow'!$C$8:$C$97,1)=0,"",D209+COUNTIFS('Plan cashflow'!$UF$8:$UF$97,6,'Plan cashflow'!$C$8:$C$97,1)-1)</f>
        <v>95</v>
      </c>
      <c r="F209" s="20" t="n">
        <f aca="false">COUNTIFS('Plan cashflow'!$UF$8:$UF$97,6,'Plan cashflow'!$C$8:$C$97,1)</f>
        <v>16</v>
      </c>
      <c r="G209" s="20" t="n">
        <f aca="false">COUNTIFS('Plan cashflow'!$UF$8:$UF$97,6,'Plan cashflow'!$UJ$8:$UJ$97,1)</f>
        <v>16</v>
      </c>
      <c r="H209" s="20" t="n">
        <f aca="false">COUNTIFS('Plan cashflow'!$UF$8:$UF$97,6,'Plan cashflow'!$UC$8:$UC$97,1)</f>
        <v>0</v>
      </c>
      <c r="I209" s="20" t="n">
        <f aca="false">IF(G209&gt;0,SUMIFS('Plan cashflow'!$TP$8:$TP$97,'Plan cashflow'!$UF$8:$UF$97,6,'Plan cashflow'!$UJ$8:$UJ$97,1)/G209,0)</f>
        <v>27262.641332225</v>
      </c>
      <c r="J209" s="20" t="str">
        <f aca="false">IF(F209=0,"",IF(G209&gt;0,"storm",IF(H209&gt;F209/3,"showers",IF(H209&gt;0,"partly","sun"))))</f>
        <v>storm</v>
      </c>
      <c r="K209" s="20" t="str">
        <f aca="false">IF(F209=0,"",IF(G209&gt;0,"Short by about "&amp;"€"&amp;TEXT(ROUND(I209,0),"#,##0")&amp;" a year in "&amp;G209&amp;" of these years.",IF(COUNTIFS('Plan cashflow'!$UF$8:$UF$97,6,'Plan cashflow'!$C$8:$C$97,1,'Plan pay &amp; tax'!$G$234:$G$323,0)=F209,"Living on your pensions and savings, and they hold up.",IF(H209&gt;0,"Some years dip into savings. That's what they're for.","Income comfortably covers life."))))</f>
        <v>Short by about €27,263 a year in 16 of these years.</v>
      </c>
    </row>
    <row r="210" customFormat="false" ht="15" hidden="false" customHeight="true" outlineLevel="0" collapsed="false">
      <c r="B210" s="20" t="n">
        <v>7</v>
      </c>
      <c r="C210" s="20" t="str">
        <f aca="false">IF(COUNTIFS('Plan cashflow'!$UF$8:$UF$97,7,'Plan cashflow'!$C$8:$C$97,1)=0,"",INDEX('Plan cashflow'!$UE$8:$UE$97,MATCH(7,'Plan cashflow'!$UF$8:$UF$97,0)))</f>
        <v/>
      </c>
      <c r="D210" s="20" t="str">
        <f aca="false">IF(COUNTIFS('Plan cashflow'!$UF$8:$UF$97,7,'Plan cashflow'!$C$8:$C$97,1)=0,"",F_Age+MATCH(7,'Plan cashflow'!$UF$8:$UF$97,0)-1)</f>
        <v/>
      </c>
      <c r="E210" s="20" t="str">
        <f aca="false">IF(COUNTIFS('Plan cashflow'!$UF$8:$UF$97,7,'Plan cashflow'!$C$8:$C$97,1)=0,"",D210+COUNTIFS('Plan cashflow'!$UF$8:$UF$97,7,'Plan cashflow'!$C$8:$C$97,1)-1)</f>
        <v/>
      </c>
      <c r="F210" s="20" t="n">
        <f aca="false">COUNTIFS('Plan cashflow'!$UF$8:$UF$97,7,'Plan cashflow'!$C$8:$C$97,1)</f>
        <v>0</v>
      </c>
      <c r="G210" s="20" t="n">
        <f aca="false">COUNTIFS('Plan cashflow'!$UF$8:$UF$97,7,'Plan cashflow'!$UJ$8:$UJ$97,1)</f>
        <v>0</v>
      </c>
      <c r="H210" s="20" t="n">
        <f aca="false">COUNTIFS('Plan cashflow'!$UF$8:$UF$97,7,'Plan cashflow'!$UC$8:$UC$97,1)</f>
        <v>0</v>
      </c>
      <c r="I210" s="20" t="n">
        <f aca="false">IF(G210&gt;0,SUMIFS('Plan cashflow'!$TP$8:$TP$97,'Plan cashflow'!$UF$8:$UF$97,7,'Plan cashflow'!$UJ$8:$UJ$97,1)/G210,0)</f>
        <v>0</v>
      </c>
      <c r="J210" s="20" t="str">
        <f aca="false">IF(F210=0,"",IF(G210&gt;0,"storm",IF(H210&gt;F210/3,"showers",IF(H210&gt;0,"partly","sun"))))</f>
        <v/>
      </c>
      <c r="K210" s="20" t="str">
        <f aca="false">IF(F210=0,"",IF(G210&gt;0,"Short by about "&amp;"€"&amp;TEXT(ROUND(I210,0),"#,##0")&amp;" a year in "&amp;G210&amp;" of these years.",IF(COUNTIFS('Plan cashflow'!$UF$8:$UF$97,7,'Plan cashflow'!$C$8:$C$97,1,'Plan pay &amp; tax'!$G$234:$G$323,0)=F210,"Living on your pensions and savings, and they hold up.",IF(H210&gt;0,"Some years dip into savings. That's what they're for.","Income comfortably covers life."))))</f>
        <v/>
      </c>
    </row>
    <row r="211" customFormat="false" ht="15" hidden="false" customHeight="true" outlineLevel="0" collapsed="false">
      <c r="B211" s="20" t="n">
        <v>8</v>
      </c>
      <c r="C211" s="20" t="str">
        <f aca="false">IF(COUNTIFS('Plan cashflow'!$UF$8:$UF$97,8,'Plan cashflow'!$C$8:$C$97,1)=0,"",INDEX('Plan cashflow'!$UE$8:$UE$97,MATCH(8,'Plan cashflow'!$UF$8:$UF$97,0)))</f>
        <v/>
      </c>
      <c r="D211" s="20" t="str">
        <f aca="false">IF(COUNTIFS('Plan cashflow'!$UF$8:$UF$97,8,'Plan cashflow'!$C$8:$C$97,1)=0,"",F_Age+MATCH(8,'Plan cashflow'!$UF$8:$UF$97,0)-1)</f>
        <v/>
      </c>
      <c r="E211" s="20" t="str">
        <f aca="false">IF(COUNTIFS('Plan cashflow'!$UF$8:$UF$97,8,'Plan cashflow'!$C$8:$C$97,1)=0,"",D211+COUNTIFS('Plan cashflow'!$UF$8:$UF$97,8,'Plan cashflow'!$C$8:$C$97,1)-1)</f>
        <v/>
      </c>
      <c r="F211" s="20" t="n">
        <f aca="false">COUNTIFS('Plan cashflow'!$UF$8:$UF$97,8,'Plan cashflow'!$C$8:$C$97,1)</f>
        <v>0</v>
      </c>
      <c r="G211" s="20" t="n">
        <f aca="false">COUNTIFS('Plan cashflow'!$UF$8:$UF$97,8,'Plan cashflow'!$UJ$8:$UJ$97,1)</f>
        <v>0</v>
      </c>
      <c r="H211" s="20" t="n">
        <f aca="false">COUNTIFS('Plan cashflow'!$UF$8:$UF$97,8,'Plan cashflow'!$UC$8:$UC$97,1)</f>
        <v>0</v>
      </c>
      <c r="I211" s="20" t="n">
        <f aca="false">IF(G211&gt;0,SUMIFS('Plan cashflow'!$TP$8:$TP$97,'Plan cashflow'!$UF$8:$UF$97,8,'Plan cashflow'!$UJ$8:$UJ$97,1)/G211,0)</f>
        <v>0</v>
      </c>
      <c r="J211" s="20" t="str">
        <f aca="false">IF(F211=0,"",IF(G211&gt;0,"storm",IF(H211&gt;F211/3,"showers",IF(H211&gt;0,"partly","sun"))))</f>
        <v/>
      </c>
      <c r="K211" s="20" t="str">
        <f aca="false">IF(F211=0,"",IF(G211&gt;0,"Short by about "&amp;"€"&amp;TEXT(ROUND(I211,0),"#,##0")&amp;" a year in "&amp;G211&amp;" of these years.",IF(COUNTIFS('Plan cashflow'!$UF$8:$UF$97,8,'Plan cashflow'!$C$8:$C$97,1,'Plan pay &amp; tax'!$G$234:$G$323,0)=F211,"Living on your pensions and savings, and they hold up.",IF(H211&gt;0,"Some years dip into savings. That's what they're for.","Income comfortably covers life."))))</f>
        <v/>
      </c>
    </row>
    <row r="212" customFormat="false" ht="15" hidden="false" customHeight="true" outlineLevel="0" collapsed="false">
      <c r="B212" s="20" t="n">
        <v>9</v>
      </c>
      <c r="C212" s="20" t="str">
        <f aca="false">IF(COUNTIFS('Plan cashflow'!$UF$8:$UF$97,9,'Plan cashflow'!$C$8:$C$97,1)=0,"",INDEX('Plan cashflow'!$UE$8:$UE$97,MATCH(9,'Plan cashflow'!$UF$8:$UF$97,0)))</f>
        <v/>
      </c>
      <c r="D212" s="20" t="str">
        <f aca="false">IF(COUNTIFS('Plan cashflow'!$UF$8:$UF$97,9,'Plan cashflow'!$C$8:$C$97,1)=0,"",F_Age+MATCH(9,'Plan cashflow'!$UF$8:$UF$97,0)-1)</f>
        <v/>
      </c>
      <c r="E212" s="20" t="str">
        <f aca="false">IF(COUNTIFS('Plan cashflow'!$UF$8:$UF$97,9,'Plan cashflow'!$C$8:$C$97,1)=0,"",D212+COUNTIFS('Plan cashflow'!$UF$8:$UF$97,9,'Plan cashflow'!$C$8:$C$97,1)-1)</f>
        <v/>
      </c>
      <c r="F212" s="20" t="n">
        <f aca="false">COUNTIFS('Plan cashflow'!$UF$8:$UF$97,9,'Plan cashflow'!$C$8:$C$97,1)</f>
        <v>0</v>
      </c>
      <c r="G212" s="20" t="n">
        <f aca="false">COUNTIFS('Plan cashflow'!$UF$8:$UF$97,9,'Plan cashflow'!$UJ$8:$UJ$97,1)</f>
        <v>0</v>
      </c>
      <c r="H212" s="20" t="n">
        <f aca="false">COUNTIFS('Plan cashflow'!$UF$8:$UF$97,9,'Plan cashflow'!$UC$8:$UC$97,1)</f>
        <v>0</v>
      </c>
      <c r="I212" s="20" t="n">
        <f aca="false">IF(G212&gt;0,SUMIFS('Plan cashflow'!$TP$8:$TP$97,'Plan cashflow'!$UF$8:$UF$97,9,'Plan cashflow'!$UJ$8:$UJ$97,1)/G212,0)</f>
        <v>0</v>
      </c>
      <c r="J212" s="20" t="str">
        <f aca="false">IF(F212=0,"",IF(G212&gt;0,"storm",IF(H212&gt;F212/3,"showers",IF(H212&gt;0,"partly","sun"))))</f>
        <v/>
      </c>
      <c r="K212" s="20" t="str">
        <f aca="false">IF(F212=0,"",IF(G212&gt;0,"Short by about "&amp;"€"&amp;TEXT(ROUND(I212,0),"#,##0")&amp;" a year in "&amp;G212&amp;" of these years.",IF(COUNTIFS('Plan cashflow'!$UF$8:$UF$97,9,'Plan cashflow'!$C$8:$C$97,1,'Plan pay &amp; tax'!$G$234:$G$323,0)=F212,"Living on your pensions and savings, and they hold up.",IF(H212&gt;0,"Some years dip into savings. That's what they're for.","Income comfortably covers life."))))</f>
        <v/>
      </c>
    </row>
    <row r="213" customFormat="false" ht="15" hidden="false" customHeight="true" outlineLevel="0" collapsed="false">
      <c r="B213" s="20" t="n">
        <v>10</v>
      </c>
      <c r="C213" s="20" t="str">
        <f aca="false">IF(COUNTIFS('Plan cashflow'!$UF$8:$UF$97,10,'Plan cashflow'!$C$8:$C$97,1)=0,"",INDEX('Plan cashflow'!$UE$8:$UE$97,MATCH(10,'Plan cashflow'!$UF$8:$UF$97,0)))</f>
        <v/>
      </c>
      <c r="D213" s="20" t="str">
        <f aca="false">IF(COUNTIFS('Plan cashflow'!$UF$8:$UF$97,10,'Plan cashflow'!$C$8:$C$97,1)=0,"",F_Age+MATCH(10,'Plan cashflow'!$UF$8:$UF$97,0)-1)</f>
        <v/>
      </c>
      <c r="E213" s="20" t="str">
        <f aca="false">IF(COUNTIFS('Plan cashflow'!$UF$8:$UF$97,10,'Plan cashflow'!$C$8:$C$97,1)=0,"",D213+COUNTIFS('Plan cashflow'!$UF$8:$UF$97,10,'Plan cashflow'!$C$8:$C$97,1)-1)</f>
        <v/>
      </c>
      <c r="F213" s="20" t="n">
        <f aca="false">COUNTIFS('Plan cashflow'!$UF$8:$UF$97,10,'Plan cashflow'!$C$8:$C$97,1)</f>
        <v>0</v>
      </c>
      <c r="G213" s="20" t="n">
        <f aca="false">COUNTIFS('Plan cashflow'!$UF$8:$UF$97,10,'Plan cashflow'!$UJ$8:$UJ$97,1)</f>
        <v>0</v>
      </c>
      <c r="H213" s="20" t="n">
        <f aca="false">COUNTIFS('Plan cashflow'!$UF$8:$UF$97,10,'Plan cashflow'!$UC$8:$UC$97,1)</f>
        <v>0</v>
      </c>
      <c r="I213" s="20" t="n">
        <f aca="false">IF(G213&gt;0,SUMIFS('Plan cashflow'!$TP$8:$TP$97,'Plan cashflow'!$UF$8:$UF$97,10,'Plan cashflow'!$UJ$8:$UJ$97,1)/G213,0)</f>
        <v>0</v>
      </c>
      <c r="J213" s="20" t="str">
        <f aca="false">IF(F213=0,"",IF(G213&gt;0,"storm",IF(H213&gt;F213/3,"showers",IF(H213&gt;0,"partly","sun"))))</f>
        <v/>
      </c>
      <c r="K213" s="20" t="str">
        <f aca="false">IF(F213=0,"",IF(G213&gt;0,"Short by about "&amp;"€"&amp;TEXT(ROUND(I213,0),"#,##0")&amp;" a year in "&amp;G213&amp;" of these years.",IF(COUNTIFS('Plan cashflow'!$UF$8:$UF$97,10,'Plan cashflow'!$C$8:$C$97,1,'Plan pay &amp; tax'!$G$234:$G$323,0)=F213,"Living on your pensions and savings, and they hold up.",IF(H213&gt;0,"Some years dip into savings. That's what they're for.","Income comfortably covers life."))))</f>
        <v/>
      </c>
    </row>
    <row r="215" customFormat="false" ht="15" hidden="false" customHeight="true" outlineLevel="0" collapsed="false">
      <c r="B215" s="23" t="s">
        <v>2493</v>
      </c>
      <c r="C215" s="23" t="s">
        <v>1173</v>
      </c>
    </row>
    <row r="216" customFormat="false" ht="15" hidden="false" customHeight="true" outlineLevel="0" collapsed="false">
      <c r="B216" s="20" t="s">
        <v>2494</v>
      </c>
      <c r="C216" s="36" t="n">
        <f aca="false">IF(COUNT(GR_NextKey)&gt;0,MATCH(MIN(GR_NextKey),GR_NextKey,0),0)</f>
        <v>2</v>
      </c>
    </row>
    <row r="217" customFormat="false" ht="15" hidden="false" customHeight="true" outlineLevel="0" collapsed="false">
      <c r="B217" s="20" t="s">
        <v>2495</v>
      </c>
      <c r="C217" s="36" t="n">
        <f aca="false">IF(Next_WIdx&gt;0,INDEX(GR_PctN,Next_WIdx),"")</f>
        <v>28</v>
      </c>
    </row>
    <row r="218" customFormat="false" ht="15" hidden="false" customHeight="true" outlineLevel="0" collapsed="false">
      <c r="B218" s="20" t="s">
        <v>2496</v>
      </c>
      <c r="C218" s="36" t="str">
        <f aca="false">IF(Next_WIdx&gt;0,INDEX(GR_Name,Next_WIdx),"")</f>
        <v>Travel</v>
      </c>
    </row>
    <row r="219" customFormat="false" ht="15" hidden="false" customHeight="true" outlineLevel="0" collapsed="false">
      <c r="B219" s="20" t="s">
        <v>2497</v>
      </c>
      <c r="C219" s="36" t="n">
        <f aca="false">IF(OR(Prof_UmCount&lt;13,In_rechecked&lt;&gt;"Yes"),1,0)</f>
        <v>1</v>
      </c>
    </row>
    <row r="220" customFormat="false" ht="15" hidden="false" customHeight="true" outlineLevel="0" collapsed="false">
      <c r="B220" s="20" t="s">
        <v>2498</v>
      </c>
      <c r="C220" s="36" t="n">
        <f aca="false">IF(Look_Count&gt;0,1,IF(AND(Fnd_NextN&gt;0,Fnd_NextN&lt;=4),2,IF(AND(In_booked="Yes",Prof_NeedsProfile=1),3,IF(AND(Next_WIdx&gt;0,N(Next_WPct)&lt;PR_Good,In_prefSet&lt;&gt;"Yes"),4,IF(Prof_UmCount&lt;13,5,IF(In_booked&lt;&gt;"Yes",6,7))))))</f>
        <v>1</v>
      </c>
    </row>
    <row r="221" customFormat="false" ht="15" hidden="false" customHeight="true" outlineLevel="0" collapsed="false">
      <c r="B221" s="20" t="s">
        <v>2348</v>
      </c>
      <c r="C221" s="36" t="str">
        <f aca="false">CHOOSE(Next_N,IF(Look_Count=1,"One detail needs a look",Look_Count&amp;" details need a look"),Fnd_NextT,"Check your profile before your adviser meeting","Try a what-if for "&amp;LOWER(Next_WName),"Finish your profile","Talk it through with an adviser","You're all set")</f>
        <v>One detail needs a look</v>
      </c>
    </row>
    <row r="222" customFormat="false" ht="15" hidden="false" customHeight="true" outlineLevel="0" collapsed="false">
      <c r="B222" s="20" t="s">
        <v>2349</v>
      </c>
      <c r="C222" s="36" t="str">
        <f aca="false">CHOOSE(Next_N,"So your plan stays accurate. It takes a minute.",Fnd_NextD,In_slot&amp;". About 2 minutes.",Next_WName&amp;" is "&amp;Next_WPct&amp;"% covered. See what a small change would do.","6 quick questions on risk, capacity and how you invest.","Free, no obligation.","Your meeting: "&amp;In_slot&amp;".")</f>
        <v>So your plan stays accurate. It takes a minute.</v>
      </c>
    </row>
    <row r="223" customFormat="false" ht="15" hidden="false" customHeight="true" outlineLevel="0" collapsed="false">
      <c r="B223" s="20" t="s">
        <v>2499</v>
      </c>
      <c r="C223" s="36" t="str">
        <f aca="false">CHOOSE(Next_N,"Check it","See why","Check my profile","Try it","Start","Book a meeting","See my meeting")</f>
        <v>Check it</v>
      </c>
    </row>
    <row r="225" customFormat="false" ht="15" hidden="false" customHeight="true" outlineLevel="0" collapsed="false">
      <c r="B225" s="23" t="s">
        <v>2500</v>
      </c>
      <c r="C225" s="23" t="s">
        <v>1173</v>
      </c>
    </row>
    <row r="226" customFormat="false" ht="15" hidden="false" customHeight="true" outlineLevel="0" collapsed="false">
      <c r="B226" s="20" t="s">
        <v>2501</v>
      </c>
      <c r="C226" s="36" t="str">
        <f aca="false">IF(AND(WI_M=0,WI_L=0),"Move the sliders to see what changes.",IF(COUNTIF(GR_WiTxt,"?*")=0,"No change to your goals. Everything that could be covered already is.",_xlfn.TEXTJOIN(CHAR(10),TRUE(),GR_WiTxt)))</f>
        <v>Move the sliders to see what changes.</v>
      </c>
    </row>
    <row r="228" customFormat="false" ht="15" hidden="false" customHeight="true" outlineLevel="0" collapsed="false">
      <c r="B228" s="23" t="s">
        <v>2502</v>
      </c>
      <c r="C228" s="23" t="s">
        <v>1173</v>
      </c>
    </row>
    <row r="229" customFormat="false" ht="15" hidden="false" customHeight="true" outlineLevel="0" collapsed="false">
      <c r="B229" s="20" t="s">
        <v>2503</v>
      </c>
      <c r="C229" s="36" t="n">
        <f aca="false">IFERROR(MATCH(1,INDEX((GR_Spec="mortgage")*(GR_Kind&lt;&gt;"retire")*(GR_Key&lt;&gt;""),0),0),0)</f>
        <v>3</v>
      </c>
    </row>
    <row r="230" customFormat="false" ht="15" hidden="false" customHeight="true" outlineLevel="0" collapsed="false">
      <c r="B230" s="20" t="s">
        <v>2504</v>
      </c>
      <c r="C230" s="36" t="n">
        <f aca="false">IF(Vid_mortgage_Idx&gt;0,INDEX(GR_PctN,Vid_mortgage_Idx),"")</f>
        <v>100</v>
      </c>
    </row>
    <row r="231" customFormat="false" ht="15" hidden="false" customHeight="true" outlineLevel="0" collapsed="false">
      <c r="B231" s="20" t="s">
        <v>2505</v>
      </c>
      <c r="C231" s="36" t="n">
        <f aca="false">IF(IFERROR(MATCH(1,INDEX((GR_Spec="pension")*(GR_Kind&lt;&gt;"retire")*(GR_Key&lt;&gt;""),0),0),0)&gt;0,IFERROR(MATCH(1,INDEX((GR_Spec="pension")*(GR_Kind&lt;&gt;"retire")*(GR_Key&lt;&gt;""),0),0),0),IF(RG_Exists=1,RG_Row,0))</f>
        <v>5</v>
      </c>
    </row>
    <row r="232" customFormat="false" ht="15" hidden="false" customHeight="true" outlineLevel="0" collapsed="false">
      <c r="B232" s="20" t="s">
        <v>2506</v>
      </c>
      <c r="C232" s="36" t="n">
        <f aca="false">IF(Vid_pension_Idx&gt;0,INDEX(GR_PctN,Vid_pension_Idx),"")</f>
        <v>86</v>
      </c>
    </row>
    <row r="233" customFormat="false" ht="15" hidden="false" customHeight="true" outlineLevel="0" collapsed="false">
      <c r="B233" s="20" t="s">
        <v>2507</v>
      </c>
      <c r="C233" s="36" t="n">
        <f aca="false">IFERROR(MATCH(1,INDEX((GR_Spec="protection")*(GR_Kind&lt;&gt;"retire")*(GR_Key&lt;&gt;""),0),0),0)</f>
        <v>0</v>
      </c>
    </row>
    <row r="234" customFormat="false" ht="15" hidden="false" customHeight="true" outlineLevel="0" collapsed="false">
      <c r="B234" s="20" t="s">
        <v>2508</v>
      </c>
      <c r="C234" s="36" t="str">
        <f aca="false">IF(Vid_protection_Idx&gt;0,INDEX(GR_PctN,Vid_protection_Idx),"")</f>
        <v/>
      </c>
    </row>
    <row r="235" customFormat="false" ht="15" hidden="false" customHeight="true" outlineLevel="0" collapsed="false">
      <c r="B235" s="20" t="s">
        <v>2509</v>
      </c>
      <c r="C235" s="36" t="n">
        <f aca="false">IFERROR(MATCH(1,INDEX((GR_Spec="investment")*(GR_Kind&lt;&gt;"retire")*(GR_Key&lt;&gt;""),0),0),0)</f>
        <v>0</v>
      </c>
    </row>
    <row r="236" customFormat="false" ht="15" hidden="false" customHeight="true" outlineLevel="0" collapsed="false">
      <c r="B236" s="20" t="s">
        <v>2510</v>
      </c>
      <c r="C236" s="36" t="str">
        <f aca="false">IF(Vid_investment_Idx&gt;0,INDEX(GR_PctN,Vid_investment_Idx),"")</f>
        <v/>
      </c>
    </row>
    <row r="237" customFormat="false" ht="15" hidden="false" customHeight="true" outlineLevel="0" collapsed="false">
      <c r="B237" s="20" t="s">
        <v>2511</v>
      </c>
      <c r="C237" s="36" t="n">
        <f aca="false">IFERROR(MATCH(1,INDEX((GR_Spec="planner")*(GR_Kind&lt;&gt;"retire")*(GR_Key&lt;&gt;""),0),0),0)</f>
        <v>1</v>
      </c>
    </row>
    <row r="238" customFormat="false" ht="15" hidden="false" customHeight="true" outlineLevel="0" collapsed="false">
      <c r="B238" s="20" t="s">
        <v>2512</v>
      </c>
      <c r="C238" s="36" t="n">
        <f aca="false">IF(Vid_planner_Idx&gt;0,INDEX(GR_PctN,Vid_planner_Idx),"")</f>
        <v>50</v>
      </c>
    </row>
    <row r="239" customFormat="false" ht="15" hidden="false" customHeight="true" outlineLevel="0" collapsed="false">
      <c r="B239" s="20" t="s">
        <v>2513</v>
      </c>
      <c r="C239" s="36" t="n">
        <f aca="false">COUNTIF(README!$E$32:$E$59,"Home &amp; Mortgage")</f>
        <v>7</v>
      </c>
    </row>
    <row r="240" customFormat="false" ht="15" hidden="false" customHeight="true" outlineLevel="0" collapsed="false">
      <c r="B240" s="20" t="s">
        <v>2514</v>
      </c>
      <c r="C240" s="36" t="n">
        <f aca="false">COUNTIF(README!$E$32:$E$59,"Savings &amp; Goals")</f>
        <v>3</v>
      </c>
    </row>
    <row r="241" customFormat="false" ht="15" hidden="false" customHeight="true" outlineLevel="0" collapsed="false">
      <c r="B241" s="20" t="s">
        <v>2515</v>
      </c>
      <c r="C241" s="36" t="n">
        <f aca="false">COUNTIF(README!$E$32:$E$59,"Pensions &amp; Retirement")</f>
        <v>5</v>
      </c>
    </row>
    <row r="242" customFormat="false" ht="15" hidden="false" customHeight="true" outlineLevel="0" collapsed="false">
      <c r="B242" s="20" t="s">
        <v>2516</v>
      </c>
      <c r="C242" s="36" t="n">
        <f aca="false">COUNTIF(README!$E$32:$E$59,"Investments")</f>
        <v>5</v>
      </c>
    </row>
    <row r="243" customFormat="false" ht="15" hidden="false" customHeight="true" outlineLevel="0" collapsed="false">
      <c r="B243" s="20" t="s">
        <v>2517</v>
      </c>
      <c r="C243" s="36" t="n">
        <f aca="false">COUNTIF(README!$E$32:$E$59,"Protection")</f>
        <v>3</v>
      </c>
    </row>
    <row r="244" customFormat="false" ht="15" hidden="false" customHeight="true" outlineLevel="0" collapsed="false">
      <c r="B244" s="20" t="s">
        <v>2518</v>
      </c>
      <c r="C244" s="36" t="n">
        <f aca="false">COUNTIF(README!$E$32:$E$59,"Everyday Money")</f>
        <v>5</v>
      </c>
    </row>
  </sheetData>
  <mergeCells count="2">
    <mergeCell ref="B2:H2"/>
    <mergeCell ref="B3:H3"/>
  </mergeCells>
  <conditionalFormatting sqref="B3:H3">
    <cfRule type="expression" priority="2" aboveAverage="0" equalAverage="0" bottom="0" percent="0" rank="0" text="" dxfId="0">
      <formula>LEN($B$3)&gt;0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8B57"/>
    <pageSetUpPr fitToPage="false"/>
  </sheetPr>
  <dimension ref="B1:K1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20" width="2"/>
    <col collapsed="false" customWidth="true" hidden="false" outlineLevel="0" max="2" min="2" style="20" width="58"/>
    <col collapsed="false" customWidth="true" hidden="false" outlineLevel="0" max="3" min="3" style="20" width="22"/>
    <col collapsed="false" customWidth="true" hidden="false" outlineLevel="0" max="8" min="4" style="20" width="10"/>
    <col collapsed="false" customWidth="true" hidden="false" outlineLevel="0" max="9" min="9" style="20" width="40"/>
    <col collapsed="false" customWidth="true" hidden="false" outlineLevel="0" max="12" min="10" style="20" width="10"/>
  </cols>
  <sheetData>
    <row r="1" customFormat="false" ht="17.25" hidden="false" customHeight="true" outlineLevel="0" collapsed="false">
      <c r="B1" s="21" t="s">
        <v>2519</v>
      </c>
    </row>
    <row r="2" customFormat="false" ht="51.75" hidden="false" customHeight="true" outlineLevel="0" collapsed="false">
      <c r="B2" s="2" t="s">
        <v>2520</v>
      </c>
      <c r="C2" s="2"/>
      <c r="D2" s="2"/>
      <c r="E2" s="2"/>
      <c r="F2" s="2"/>
      <c r="G2" s="2"/>
      <c r="H2" s="2"/>
    </row>
    <row r="4" customFormat="false" ht="15" hidden="false" customHeight="true" outlineLevel="0" collapsed="false">
      <c r="B4" s="23" t="s">
        <v>2521</v>
      </c>
      <c r="C4" s="23" t="s">
        <v>2522</v>
      </c>
    </row>
    <row r="5" customFormat="false" ht="15" hidden="false" customHeight="true" outlineLevel="0" collapsed="false">
      <c r="B5" s="20" t="s">
        <v>2523</v>
      </c>
      <c r="C5" s="24"/>
      <c r="D5" s="26" t="n">
        <f aca="false">IF(ISBLANK(C5),0,IF(IF(ISNUMBER(C5),AND(C5&gt;=1,C5&lt;=4,C5=INT(C5)),FALSE()),C5,0))</f>
        <v>0</v>
      </c>
    </row>
    <row r="6" customFormat="false" ht="15" hidden="false" customHeight="true" outlineLevel="0" collapsed="false">
      <c r="B6" s="20" t="s">
        <v>2524</v>
      </c>
      <c r="C6" s="24"/>
      <c r="D6" s="26" t="n">
        <f aca="false">IF(ISBLANK(C6),0,IF(IF(ISNUMBER(C6),AND(C6&gt;=1,C6&lt;=4,C6=INT(C6)),FALSE()),C6,0))</f>
        <v>0</v>
      </c>
    </row>
    <row r="7" customFormat="false" ht="15" hidden="false" customHeight="true" outlineLevel="0" collapsed="false">
      <c r="B7" s="20" t="s">
        <v>2525</v>
      </c>
      <c r="C7" s="48" t="s">
        <v>2526</v>
      </c>
      <c r="D7" s="26" t="n">
        <f aca="false">IF(Has_q6=1,In_q6+1,0)</f>
        <v>3</v>
      </c>
    </row>
    <row r="8" customFormat="false" ht="15" hidden="false" customHeight="true" outlineLevel="0" collapsed="false">
      <c r="B8" s="20" t="s">
        <v>2527</v>
      </c>
      <c r="C8" s="24"/>
      <c r="D8" s="26" t="n">
        <f aca="false">IF(ISBLANK(C8),0,IF(IF(ISNUMBER(C8),AND(C8&gt;=1,C8&lt;=4,C8=INT(C8)),FALSE()),C8,0))</f>
        <v>0</v>
      </c>
    </row>
    <row r="9" customFormat="false" ht="15" hidden="false" customHeight="true" outlineLevel="0" collapsed="false">
      <c r="B9" s="20" t="s">
        <v>2528</v>
      </c>
      <c r="C9" s="24"/>
      <c r="D9" s="26" t="n">
        <f aca="false">IF(ISBLANK(C9),0,IF(IF(ISNUMBER(C9),AND(C9&gt;=1,C9&lt;=4,C9=INT(C9)),FALSE()),C9,0))</f>
        <v>0</v>
      </c>
    </row>
    <row r="10" customFormat="false" ht="15" hidden="false" customHeight="true" outlineLevel="0" collapsed="false">
      <c r="B10" s="20" t="s">
        <v>2529</v>
      </c>
      <c r="C10" s="24"/>
      <c r="D10" s="26" t="n">
        <f aca="false">IF(ISBLANK(C10),0,IF(IF(ISNUMBER(C10),AND(C10&gt;=1,C10&lt;=4,C10=INT(C10)),FALSE()),C10,0))</f>
        <v>0</v>
      </c>
    </row>
    <row r="11" customFormat="false" ht="15" hidden="false" customHeight="true" outlineLevel="0" collapsed="false">
      <c r="B11" s="20" t="s">
        <v>2530</v>
      </c>
      <c r="C11" s="24"/>
      <c r="D11" s="26" t="n">
        <f aca="false">IF(ISBLANK(C11),0,IF(IF(ISNUMBER(C11),AND(C11&gt;=1,C11&lt;=4,C11=INT(C11)),FALSE()),C11,0))</f>
        <v>0</v>
      </c>
    </row>
    <row r="12" customFormat="false" ht="15" hidden="false" customHeight="true" outlineLevel="0" collapsed="false">
      <c r="B12" s="20" t="s">
        <v>2531</v>
      </c>
      <c r="C12" s="24"/>
      <c r="D12" s="26" t="n">
        <f aca="false">IF(ISBLANK(C12),0,IF(IF(ISNUMBER(C12),AND(C12&gt;=1,C12&lt;=4,C12=INT(C12)),FALSE()),C12,0))</f>
        <v>0</v>
      </c>
    </row>
    <row r="13" customFormat="false" ht="15" hidden="false" customHeight="true" outlineLevel="0" collapsed="false">
      <c r="B13" s="20" t="s">
        <v>2532</v>
      </c>
      <c r="C13" s="24"/>
      <c r="D13" s="26" t="n">
        <f aca="false">IF(ISBLANK(C13),0,IF(IF(ISNUMBER(C13),AND(C13&gt;=1,C13&lt;=4,C13=INT(C13)),FALSE()),C13,0))</f>
        <v>0</v>
      </c>
    </row>
    <row r="14" customFormat="false" ht="15" hidden="false" customHeight="true" outlineLevel="0" collapsed="false">
      <c r="B14" s="20" t="s">
        <v>2533</v>
      </c>
      <c r="C14" s="24"/>
      <c r="D14" s="26" t="n">
        <f aca="false">IF(ISBLANK(C14),0,IF(IF(ISNUMBER(C14),AND(C14&gt;=1,C14&lt;=4,C14=INT(C14)),FALSE()),C14,0))</f>
        <v>0</v>
      </c>
    </row>
    <row r="15" customFormat="false" ht="15" hidden="false" customHeight="true" outlineLevel="0" collapsed="false">
      <c r="B15" s="20" t="s">
        <v>2534</v>
      </c>
      <c r="C15" s="24"/>
      <c r="D15" s="26" t="n">
        <f aca="false">IF(ISBLANK(C15),0,IF(IF(ISNUMBER(C15),AND(C15&gt;=1,C15&lt;=4,C15=INT(C15)),FALSE()),C15,0))</f>
        <v>0</v>
      </c>
    </row>
    <row r="16" customFormat="false" ht="15" hidden="false" customHeight="true" outlineLevel="0" collapsed="false">
      <c r="B16" s="20" t="s">
        <v>2535</v>
      </c>
      <c r="C16" s="24"/>
      <c r="D16" s="26" t="n">
        <f aca="false">IF(ISBLANK(C16),0,IF(IF(ISNUMBER(C16),AND(C16&gt;=1,C16&lt;=4,C16=INT(C16)),FALSE()),C16,0))</f>
        <v>0</v>
      </c>
    </row>
    <row r="17" customFormat="false" ht="15" hidden="false" customHeight="true" outlineLevel="0" collapsed="false">
      <c r="B17" s="20" t="s">
        <v>2536</v>
      </c>
      <c r="C17" s="24"/>
      <c r="D17" s="26" t="n">
        <f aca="false">IF(ISBLANK(C17),0,IF(IF(ISNUMBER(C17),AND(C17&gt;=1,C17&lt;=4,C17=INT(C17)),FALSE()),C17,0))</f>
        <v>0</v>
      </c>
    </row>
    <row r="18" customFormat="false" ht="15" hidden="false" customHeight="true" outlineLevel="0" collapsed="false">
      <c r="B18" s="20" t="s">
        <v>2537</v>
      </c>
      <c r="C18" s="24"/>
      <c r="D18" s="26" t="n">
        <f aca="false">IF(ISBLANK(C18),0,IF(IF(ISNUMBER(C18),AND(C18&gt;=0,C18&lt;=7,C18=INT(C18)),FALSE()),C18,0))</f>
        <v>0</v>
      </c>
    </row>
    <row r="19" customFormat="false" ht="15" hidden="false" customHeight="true" outlineLevel="0" collapsed="false">
      <c r="B19" s="20" t="s">
        <v>2538</v>
      </c>
      <c r="C19" s="24"/>
      <c r="D19" s="26" t="n">
        <f aca="false">IF(C19="Yes",1,0)</f>
        <v>0</v>
      </c>
    </row>
    <row r="20" customFormat="false" ht="15" hidden="false" customHeight="true" outlineLevel="0" collapsed="false">
      <c r="B20" s="20" t="s">
        <v>2539</v>
      </c>
      <c r="C20" s="24"/>
      <c r="D20" s="26" t="n">
        <f aca="false">IF(C20="Yes",1,0)</f>
        <v>0</v>
      </c>
    </row>
    <row r="22" customFormat="false" ht="15" hidden="false" customHeight="true" outlineLevel="0" collapsed="false">
      <c r="B22" s="23" t="s">
        <v>2540</v>
      </c>
      <c r="C22" s="23" t="s">
        <v>2541</v>
      </c>
      <c r="D22" s="23" t="s">
        <v>2542</v>
      </c>
      <c r="E22" s="23" t="s">
        <v>2543</v>
      </c>
      <c r="F22" s="23" t="s">
        <v>2544</v>
      </c>
      <c r="G22" s="23" t="s">
        <v>2545</v>
      </c>
      <c r="H22" s="23" t="s">
        <v>2546</v>
      </c>
      <c r="I22" s="49"/>
      <c r="J22" s="49"/>
      <c r="K22" s="49"/>
    </row>
    <row r="23" customFormat="false" ht="15" hidden="false" customHeight="true" outlineLevel="0" collapsed="false">
      <c r="B23" s="20" t="s">
        <v>2547</v>
      </c>
      <c r="D23" s="20" t="n">
        <v>2</v>
      </c>
      <c r="E23" s="20" t="n">
        <v>0</v>
      </c>
      <c r="F23" s="20" t="n">
        <v>0</v>
      </c>
      <c r="G23" s="20" t="n">
        <v>0</v>
      </c>
      <c r="H23" s="20" t="s">
        <v>2548</v>
      </c>
    </row>
    <row r="24" customFormat="false" ht="15" hidden="false" customHeight="true" outlineLevel="0" collapsed="false">
      <c r="B24" s="20" t="s">
        <v>2549</v>
      </c>
      <c r="D24" s="20" t="n">
        <v>0</v>
      </c>
      <c r="E24" s="20" t="n">
        <v>2</v>
      </c>
      <c r="F24" s="20" t="n">
        <v>0</v>
      </c>
      <c r="G24" s="20" t="n">
        <v>0</v>
      </c>
      <c r="H24" s="20" t="s">
        <v>2550</v>
      </c>
    </row>
    <row r="25" customFormat="false" ht="15" hidden="false" customHeight="true" outlineLevel="0" collapsed="false">
      <c r="B25" s="20" t="s">
        <v>2551</v>
      </c>
      <c r="D25" s="20" t="n">
        <v>0</v>
      </c>
      <c r="E25" s="20" t="n">
        <v>0</v>
      </c>
      <c r="F25" s="20" t="n">
        <v>2</v>
      </c>
      <c r="G25" s="20" t="n">
        <v>0</v>
      </c>
      <c r="H25" s="20" t="s">
        <v>2552</v>
      </c>
    </row>
    <row r="26" customFormat="false" ht="15" hidden="false" customHeight="true" outlineLevel="0" collapsed="false">
      <c r="B26" s="20" t="s">
        <v>2553</v>
      </c>
      <c r="D26" s="20" t="n">
        <v>0</v>
      </c>
      <c r="E26" s="20" t="n">
        <v>0</v>
      </c>
      <c r="F26" s="20" t="n">
        <v>0</v>
      </c>
      <c r="G26" s="20" t="n">
        <v>2</v>
      </c>
      <c r="H26" s="20" t="s">
        <v>2554</v>
      </c>
    </row>
    <row r="27" customFormat="false" ht="15" hidden="false" customHeight="true" outlineLevel="0" collapsed="false">
      <c r="B27" s="20" t="s">
        <v>2555</v>
      </c>
      <c r="D27" s="20" t="n">
        <v>0</v>
      </c>
      <c r="E27" s="20" t="n">
        <v>0</v>
      </c>
      <c r="F27" s="20" t="n">
        <v>1</v>
      </c>
      <c r="G27" s="20" t="n">
        <v>0</v>
      </c>
      <c r="H27" s="20" t="s">
        <v>2556</v>
      </c>
    </row>
    <row r="28" customFormat="false" ht="15" hidden="false" customHeight="true" outlineLevel="0" collapsed="false">
      <c r="B28" s="20" t="s">
        <v>2557</v>
      </c>
      <c r="D28" s="20" t="n">
        <v>1</v>
      </c>
      <c r="E28" s="20" t="n">
        <v>0</v>
      </c>
      <c r="F28" s="20" t="n">
        <v>0</v>
      </c>
      <c r="G28" s="20" t="n">
        <v>0</v>
      </c>
      <c r="H28" s="20" t="s">
        <v>2558</v>
      </c>
    </row>
    <row r="29" customFormat="false" ht="15" hidden="false" customHeight="true" outlineLevel="0" collapsed="false">
      <c r="B29" s="20" t="s">
        <v>2559</v>
      </c>
      <c r="D29" s="20" t="n">
        <v>0</v>
      </c>
      <c r="E29" s="20" t="n">
        <v>1</v>
      </c>
      <c r="F29" s="20" t="n">
        <v>0</v>
      </c>
      <c r="G29" s="20" t="n">
        <v>0</v>
      </c>
      <c r="H29" s="20" t="s">
        <v>2560</v>
      </c>
    </row>
    <row r="30" customFormat="false" ht="15" hidden="false" customHeight="true" outlineLevel="0" collapsed="false">
      <c r="B30" s="20" t="s">
        <v>2561</v>
      </c>
      <c r="D30" s="20" t="n">
        <v>0</v>
      </c>
      <c r="E30" s="20" t="n">
        <v>0.5</v>
      </c>
      <c r="F30" s="20" t="n">
        <v>0</v>
      </c>
      <c r="G30" s="20" t="n">
        <v>0.5</v>
      </c>
      <c r="H30" s="20" t="s">
        <v>2562</v>
      </c>
    </row>
    <row r="31" customFormat="false" ht="15" hidden="false" customHeight="true" outlineLevel="0" collapsed="false">
      <c r="B31" s="20" t="s">
        <v>2563</v>
      </c>
      <c r="C31" s="20" t="n">
        <v>1</v>
      </c>
      <c r="D31" s="20" t="n">
        <v>0</v>
      </c>
      <c r="E31" s="20" t="n">
        <v>0</v>
      </c>
      <c r="F31" s="20" t="n">
        <v>0</v>
      </c>
      <c r="G31" s="20" t="n">
        <v>0</v>
      </c>
      <c r="H31" s="20" t="s">
        <v>2564</v>
      </c>
    </row>
    <row r="32" customFormat="false" ht="15" hidden="false" customHeight="true" outlineLevel="0" collapsed="false">
      <c r="B32" s="20" t="s">
        <v>2565</v>
      </c>
      <c r="C32" s="20" t="n">
        <v>2</v>
      </c>
      <c r="D32" s="20" t="n">
        <v>0</v>
      </c>
      <c r="E32" s="20" t="n">
        <v>0</v>
      </c>
      <c r="F32" s="20" t="n">
        <v>0</v>
      </c>
      <c r="G32" s="20" t="n">
        <v>0</v>
      </c>
      <c r="H32" s="20" t="s">
        <v>2566</v>
      </c>
    </row>
    <row r="33" customFormat="false" ht="15" hidden="false" customHeight="true" outlineLevel="0" collapsed="false">
      <c r="B33" s="20" t="s">
        <v>2567</v>
      </c>
      <c r="C33" s="20" t="n">
        <v>3</v>
      </c>
      <c r="D33" s="20" t="n">
        <v>0</v>
      </c>
      <c r="E33" s="20" t="n">
        <v>0</v>
      </c>
      <c r="F33" s="20" t="n">
        <v>0</v>
      </c>
      <c r="G33" s="20" t="n">
        <v>0</v>
      </c>
      <c r="H33" s="20" t="s">
        <v>2568</v>
      </c>
    </row>
    <row r="34" customFormat="false" ht="15" hidden="false" customHeight="true" outlineLevel="0" collapsed="false">
      <c r="B34" s="20" t="s">
        <v>2569</v>
      </c>
      <c r="C34" s="20" t="n">
        <v>4</v>
      </c>
      <c r="D34" s="20" t="n">
        <v>0</v>
      </c>
      <c r="E34" s="20" t="n">
        <v>0</v>
      </c>
      <c r="F34" s="20" t="n">
        <v>0</v>
      </c>
      <c r="G34" s="20" t="n">
        <v>0</v>
      </c>
      <c r="H34" s="20" t="s">
        <v>2570</v>
      </c>
    </row>
    <row r="35" customFormat="false" ht="15" hidden="false" customHeight="true" outlineLevel="0" collapsed="false">
      <c r="B35" s="20" t="s">
        <v>2571</v>
      </c>
      <c r="C35" s="20" t="n">
        <v>2</v>
      </c>
      <c r="D35" s="20" t="n">
        <v>0</v>
      </c>
      <c r="E35" s="20" t="n">
        <v>0</v>
      </c>
      <c r="F35" s="20" t="n">
        <v>0</v>
      </c>
      <c r="G35" s="20" t="n">
        <v>0</v>
      </c>
      <c r="H35" s="20" t="s">
        <v>2572</v>
      </c>
    </row>
    <row r="36" customFormat="false" ht="15" hidden="false" customHeight="true" outlineLevel="0" collapsed="false">
      <c r="B36" s="20" t="s">
        <v>2573</v>
      </c>
      <c r="C36" s="20" t="n">
        <v>4</v>
      </c>
      <c r="D36" s="20" t="n">
        <v>0.5</v>
      </c>
      <c r="E36" s="20" t="n">
        <v>0</v>
      </c>
      <c r="F36" s="20" t="n">
        <v>0</v>
      </c>
      <c r="G36" s="20" t="n">
        <v>0</v>
      </c>
      <c r="H36" s="20" t="s">
        <v>141</v>
      </c>
    </row>
    <row r="37" customFormat="false" ht="15" hidden="false" customHeight="true" outlineLevel="0" collapsed="false">
      <c r="B37" s="20" t="s">
        <v>2574</v>
      </c>
      <c r="C37" s="20" t="n">
        <v>2</v>
      </c>
      <c r="D37" s="20" t="n">
        <v>0</v>
      </c>
      <c r="E37" s="20" t="n">
        <v>0</v>
      </c>
      <c r="F37" s="20" t="n">
        <v>0</v>
      </c>
      <c r="G37" s="20" t="n">
        <v>0</v>
      </c>
      <c r="H37" s="20" t="s">
        <v>2575</v>
      </c>
    </row>
    <row r="38" customFormat="false" ht="15" hidden="false" customHeight="true" outlineLevel="0" collapsed="false">
      <c r="B38" s="20" t="s">
        <v>2576</v>
      </c>
      <c r="C38" s="20" t="n">
        <v>1</v>
      </c>
      <c r="D38" s="20" t="n">
        <v>0</v>
      </c>
      <c r="E38" s="20" t="n">
        <v>0</v>
      </c>
      <c r="F38" s="20" t="n">
        <v>0</v>
      </c>
      <c r="G38" s="20" t="n">
        <v>0</v>
      </c>
      <c r="H38" s="20" t="s">
        <v>2577</v>
      </c>
    </row>
    <row r="39" customFormat="false" ht="15" hidden="false" customHeight="true" outlineLevel="0" collapsed="false">
      <c r="B39" s="20" t="s">
        <v>2578</v>
      </c>
      <c r="C39" s="20" t="n">
        <v>1</v>
      </c>
      <c r="D39" s="20" t="n">
        <v>0</v>
      </c>
      <c r="E39" s="20" t="n">
        <v>0</v>
      </c>
      <c r="F39" s="20" t="n">
        <v>0</v>
      </c>
      <c r="G39" s="20" t="n">
        <v>0.5</v>
      </c>
      <c r="H39" s="20" t="s">
        <v>2579</v>
      </c>
    </row>
    <row r="40" customFormat="false" ht="15" hidden="false" customHeight="true" outlineLevel="0" collapsed="false">
      <c r="B40" s="20" t="s">
        <v>2580</v>
      </c>
      <c r="C40" s="20" t="n">
        <v>1</v>
      </c>
      <c r="D40" s="20" t="n">
        <v>0</v>
      </c>
      <c r="E40" s="20" t="n">
        <v>0.5</v>
      </c>
      <c r="F40" s="20" t="n">
        <v>0</v>
      </c>
      <c r="G40" s="20" t="n">
        <v>0.5</v>
      </c>
      <c r="H40" s="20" t="s">
        <v>2581</v>
      </c>
    </row>
    <row r="41" customFormat="false" ht="15" hidden="false" customHeight="true" outlineLevel="0" collapsed="false">
      <c r="B41" s="20" t="s">
        <v>2582</v>
      </c>
      <c r="C41" s="20" t="n">
        <v>2</v>
      </c>
      <c r="D41" s="20" t="n">
        <v>0.5</v>
      </c>
      <c r="E41" s="20" t="n">
        <v>0.5</v>
      </c>
      <c r="F41" s="20" t="n">
        <v>0</v>
      </c>
      <c r="G41" s="20" t="n">
        <v>0</v>
      </c>
      <c r="H41" s="20" t="s">
        <v>2583</v>
      </c>
    </row>
    <row r="42" customFormat="false" ht="15" hidden="false" customHeight="true" outlineLevel="0" collapsed="false">
      <c r="B42" s="20" t="s">
        <v>2584</v>
      </c>
      <c r="C42" s="20" t="n">
        <v>3</v>
      </c>
      <c r="D42" s="20" t="n">
        <v>0.5</v>
      </c>
      <c r="E42" s="20" t="n">
        <v>0</v>
      </c>
      <c r="F42" s="20" t="n">
        <v>0.5</v>
      </c>
      <c r="G42" s="20" t="n">
        <v>0</v>
      </c>
      <c r="H42" s="20" t="s">
        <v>2585</v>
      </c>
    </row>
    <row r="43" customFormat="false" ht="15" hidden="false" customHeight="true" outlineLevel="0" collapsed="false">
      <c r="B43" s="20" t="s">
        <v>2586</v>
      </c>
      <c r="C43" s="20" t="n">
        <v>4</v>
      </c>
      <c r="D43" s="20" t="n">
        <v>0</v>
      </c>
      <c r="E43" s="20" t="n">
        <v>0</v>
      </c>
      <c r="F43" s="20" t="n">
        <v>1</v>
      </c>
      <c r="G43" s="20" t="n">
        <v>0</v>
      </c>
      <c r="H43" s="20" t="s">
        <v>2587</v>
      </c>
    </row>
    <row r="44" customFormat="false" ht="15" hidden="false" customHeight="true" outlineLevel="0" collapsed="false">
      <c r="B44" s="20" t="s">
        <v>2588</v>
      </c>
      <c r="C44" s="20" t="n">
        <v>1</v>
      </c>
      <c r="D44" s="20" t="n">
        <v>0</v>
      </c>
      <c r="E44" s="20" t="n">
        <v>1</v>
      </c>
      <c r="F44" s="20" t="n">
        <v>0</v>
      </c>
      <c r="G44" s="20" t="n">
        <v>0</v>
      </c>
      <c r="H44" s="20" t="s">
        <v>2589</v>
      </c>
    </row>
    <row r="45" customFormat="false" ht="15" hidden="false" customHeight="true" outlineLevel="0" collapsed="false">
      <c r="B45" s="20" t="s">
        <v>2590</v>
      </c>
      <c r="C45" s="20" t="n">
        <v>2</v>
      </c>
      <c r="D45" s="20" t="n">
        <v>0</v>
      </c>
      <c r="E45" s="20" t="n">
        <v>0.5</v>
      </c>
      <c r="F45" s="20" t="n">
        <v>0</v>
      </c>
      <c r="G45" s="20" t="n">
        <v>0</v>
      </c>
      <c r="H45" s="20" t="s">
        <v>2591</v>
      </c>
    </row>
    <row r="46" customFormat="false" ht="15" hidden="false" customHeight="true" outlineLevel="0" collapsed="false">
      <c r="B46" s="20" t="s">
        <v>2592</v>
      </c>
      <c r="C46" s="20" t="n">
        <v>3</v>
      </c>
      <c r="D46" s="20" t="n">
        <v>0.5</v>
      </c>
      <c r="E46" s="20" t="n">
        <v>0</v>
      </c>
      <c r="F46" s="20" t="n">
        <v>0</v>
      </c>
      <c r="G46" s="20" t="n">
        <v>0.5</v>
      </c>
      <c r="H46" s="20" t="s">
        <v>2593</v>
      </c>
    </row>
    <row r="47" customFormat="false" ht="15" hidden="false" customHeight="true" outlineLevel="0" collapsed="false">
      <c r="B47" s="20" t="s">
        <v>2594</v>
      </c>
      <c r="C47" s="20" t="n">
        <v>4</v>
      </c>
      <c r="D47" s="20" t="n">
        <v>0</v>
      </c>
      <c r="E47" s="20" t="n">
        <v>0</v>
      </c>
      <c r="F47" s="20" t="n">
        <v>1</v>
      </c>
      <c r="G47" s="20" t="n">
        <v>0</v>
      </c>
      <c r="H47" s="20" t="s">
        <v>2595</v>
      </c>
    </row>
    <row r="48" customFormat="false" ht="15" hidden="false" customHeight="true" outlineLevel="0" collapsed="false">
      <c r="B48" s="20" t="s">
        <v>2596</v>
      </c>
      <c r="C48" s="20" t="n">
        <v>1</v>
      </c>
      <c r="D48" s="20" t="n">
        <v>0</v>
      </c>
      <c r="E48" s="20" t="n">
        <v>1</v>
      </c>
      <c r="F48" s="20" t="n">
        <v>0</v>
      </c>
      <c r="G48" s="20" t="n">
        <v>0</v>
      </c>
      <c r="H48" s="20" t="s">
        <v>2597</v>
      </c>
    </row>
    <row r="49" customFormat="false" ht="15" hidden="false" customHeight="true" outlineLevel="0" collapsed="false">
      <c r="B49" s="20" t="s">
        <v>2598</v>
      </c>
      <c r="C49" s="20" t="n">
        <v>2</v>
      </c>
      <c r="D49" s="20" t="n">
        <v>0</v>
      </c>
      <c r="E49" s="20" t="n">
        <v>0</v>
      </c>
      <c r="F49" s="20" t="n">
        <v>0.5</v>
      </c>
      <c r="G49" s="20" t="n">
        <v>0</v>
      </c>
      <c r="H49" s="20" t="s">
        <v>2599</v>
      </c>
    </row>
    <row r="50" customFormat="false" ht="15" hidden="false" customHeight="true" outlineLevel="0" collapsed="false">
      <c r="B50" s="20" t="s">
        <v>2600</v>
      </c>
      <c r="C50" s="20" t="n">
        <v>4</v>
      </c>
      <c r="D50" s="20" t="n">
        <v>1</v>
      </c>
      <c r="E50" s="20" t="n">
        <v>0</v>
      </c>
      <c r="F50" s="20" t="n">
        <v>0</v>
      </c>
      <c r="G50" s="20" t="n">
        <v>0</v>
      </c>
      <c r="H50" s="20" t="s">
        <v>2601</v>
      </c>
    </row>
    <row r="51" customFormat="false" ht="15" hidden="false" customHeight="true" outlineLevel="0" collapsed="false">
      <c r="B51" s="20" t="s">
        <v>2602</v>
      </c>
      <c r="C51" s="20" t="n">
        <v>1</v>
      </c>
      <c r="D51" s="20" t="n">
        <v>0</v>
      </c>
      <c r="E51" s="20" t="n">
        <v>0</v>
      </c>
      <c r="F51" s="20" t="n">
        <v>0</v>
      </c>
      <c r="G51" s="20" t="n">
        <v>1</v>
      </c>
      <c r="H51" s="20" t="s">
        <v>2603</v>
      </c>
    </row>
    <row r="52" customFormat="false" ht="15" hidden="false" customHeight="true" outlineLevel="0" collapsed="false">
      <c r="B52" s="20" t="s">
        <v>2604</v>
      </c>
      <c r="C52" s="20" t="n">
        <v>1</v>
      </c>
      <c r="D52" s="20" t="n">
        <v>0</v>
      </c>
      <c r="E52" s="20" t="n">
        <v>0</v>
      </c>
      <c r="F52" s="20" t="n">
        <v>0</v>
      </c>
      <c r="G52" s="20" t="n">
        <v>0</v>
      </c>
    </row>
    <row r="53" customFormat="false" ht="15" hidden="false" customHeight="true" outlineLevel="0" collapsed="false">
      <c r="B53" s="20" t="s">
        <v>2605</v>
      </c>
      <c r="C53" s="20" t="n">
        <v>2</v>
      </c>
      <c r="D53" s="20" t="n">
        <v>0</v>
      </c>
      <c r="E53" s="20" t="n">
        <v>0</v>
      </c>
      <c r="F53" s="20" t="n">
        <v>0</v>
      </c>
      <c r="G53" s="20" t="n">
        <v>0</v>
      </c>
    </row>
    <row r="54" customFormat="false" ht="15" hidden="false" customHeight="true" outlineLevel="0" collapsed="false">
      <c r="B54" s="20" t="s">
        <v>2606</v>
      </c>
      <c r="C54" s="20" t="n">
        <v>3</v>
      </c>
      <c r="D54" s="20" t="n">
        <v>0</v>
      </c>
      <c r="E54" s="20" t="n">
        <v>0</v>
      </c>
      <c r="F54" s="20" t="n">
        <v>0</v>
      </c>
      <c r="G54" s="20" t="n">
        <v>0</v>
      </c>
    </row>
    <row r="55" customFormat="false" ht="15" hidden="false" customHeight="true" outlineLevel="0" collapsed="false">
      <c r="B55" s="20" t="s">
        <v>2607</v>
      </c>
      <c r="C55" s="20" t="n">
        <v>4</v>
      </c>
      <c r="D55" s="20" t="n">
        <v>0</v>
      </c>
      <c r="E55" s="20" t="n">
        <v>0</v>
      </c>
      <c r="F55" s="20" t="n">
        <v>0</v>
      </c>
      <c r="G55" s="20" t="n">
        <v>0</v>
      </c>
    </row>
    <row r="56" customFormat="false" ht="15" hidden="false" customHeight="true" outlineLevel="0" collapsed="false">
      <c r="B56" s="20" t="s">
        <v>2608</v>
      </c>
      <c r="C56" s="20" t="n">
        <v>1</v>
      </c>
      <c r="D56" s="20" t="n">
        <v>0</v>
      </c>
      <c r="E56" s="20" t="n">
        <v>0</v>
      </c>
      <c r="F56" s="20" t="n">
        <v>0</v>
      </c>
      <c r="G56" s="20" t="n">
        <v>0</v>
      </c>
    </row>
    <row r="57" customFormat="false" ht="15" hidden="false" customHeight="true" outlineLevel="0" collapsed="false">
      <c r="B57" s="20" t="s">
        <v>2609</v>
      </c>
      <c r="C57" s="20" t="n">
        <v>2</v>
      </c>
      <c r="D57" s="20" t="n">
        <v>0</v>
      </c>
      <c r="E57" s="20" t="n">
        <v>0</v>
      </c>
      <c r="F57" s="20" t="n">
        <v>0</v>
      </c>
      <c r="G57" s="20" t="n">
        <v>0</v>
      </c>
    </row>
    <row r="58" customFormat="false" ht="15" hidden="false" customHeight="true" outlineLevel="0" collapsed="false">
      <c r="B58" s="20" t="s">
        <v>2610</v>
      </c>
      <c r="C58" s="20" t="n">
        <v>3</v>
      </c>
      <c r="D58" s="20" t="n">
        <v>0</v>
      </c>
      <c r="E58" s="20" t="n">
        <v>0</v>
      </c>
      <c r="F58" s="20" t="n">
        <v>0</v>
      </c>
      <c r="G58" s="20" t="n">
        <v>0</v>
      </c>
    </row>
    <row r="59" customFormat="false" ht="15" hidden="false" customHeight="true" outlineLevel="0" collapsed="false">
      <c r="B59" s="20" t="s">
        <v>2611</v>
      </c>
      <c r="C59" s="20" t="n">
        <v>4</v>
      </c>
      <c r="D59" s="20" t="n">
        <v>0</v>
      </c>
      <c r="E59" s="20" t="n">
        <v>0</v>
      </c>
      <c r="F59" s="20" t="n">
        <v>0</v>
      </c>
      <c r="G59" s="20" t="n">
        <v>0</v>
      </c>
    </row>
    <row r="60" customFormat="false" ht="15" hidden="false" customHeight="true" outlineLevel="0" collapsed="false">
      <c r="B60" s="20" t="s">
        <v>2612</v>
      </c>
      <c r="C60" s="20" t="n">
        <v>1</v>
      </c>
      <c r="D60" s="20" t="n">
        <v>0</v>
      </c>
      <c r="E60" s="20" t="n">
        <v>0</v>
      </c>
      <c r="F60" s="20" t="n">
        <v>0</v>
      </c>
      <c r="G60" s="20" t="n">
        <v>0</v>
      </c>
    </row>
    <row r="61" customFormat="false" ht="15" hidden="false" customHeight="true" outlineLevel="0" collapsed="false">
      <c r="B61" s="20" t="s">
        <v>2613</v>
      </c>
      <c r="C61" s="20" t="n">
        <v>2</v>
      </c>
      <c r="D61" s="20" t="n">
        <v>0</v>
      </c>
      <c r="E61" s="20" t="n">
        <v>0</v>
      </c>
      <c r="F61" s="20" t="n">
        <v>0</v>
      </c>
      <c r="G61" s="20" t="n">
        <v>0</v>
      </c>
    </row>
    <row r="62" customFormat="false" ht="15" hidden="false" customHeight="true" outlineLevel="0" collapsed="false">
      <c r="B62" s="20" t="s">
        <v>2614</v>
      </c>
      <c r="C62" s="20" t="n">
        <v>3</v>
      </c>
      <c r="D62" s="20" t="n">
        <v>0</v>
      </c>
      <c r="E62" s="20" t="n">
        <v>0</v>
      </c>
      <c r="F62" s="20" t="n">
        <v>0</v>
      </c>
      <c r="G62" s="20" t="n">
        <v>0</v>
      </c>
    </row>
    <row r="63" customFormat="false" ht="15" hidden="false" customHeight="true" outlineLevel="0" collapsed="false">
      <c r="B63" s="20" t="s">
        <v>2615</v>
      </c>
      <c r="C63" s="20" t="n">
        <v>4</v>
      </c>
      <c r="D63" s="20" t="n">
        <v>0</v>
      </c>
      <c r="E63" s="20" t="n">
        <v>0</v>
      </c>
      <c r="F63" s="20" t="n">
        <v>0</v>
      </c>
      <c r="G63" s="20" t="n">
        <v>0</v>
      </c>
    </row>
    <row r="64" customFormat="false" ht="15" hidden="false" customHeight="true" outlineLevel="0" collapsed="false">
      <c r="B64" s="20" t="s">
        <v>2616</v>
      </c>
      <c r="C64" s="20" t="n">
        <v>1</v>
      </c>
      <c r="D64" s="20" t="n">
        <v>0</v>
      </c>
      <c r="E64" s="20" t="n">
        <v>0</v>
      </c>
      <c r="F64" s="20" t="n">
        <v>0</v>
      </c>
      <c r="G64" s="20" t="n">
        <v>0</v>
      </c>
    </row>
    <row r="65" customFormat="false" ht="15" hidden="false" customHeight="true" outlineLevel="0" collapsed="false">
      <c r="B65" s="20" t="s">
        <v>2617</v>
      </c>
      <c r="C65" s="20" t="n">
        <v>2</v>
      </c>
      <c r="D65" s="20" t="n">
        <v>0</v>
      </c>
      <c r="E65" s="20" t="n">
        <v>0</v>
      </c>
      <c r="F65" s="20" t="n">
        <v>0</v>
      </c>
      <c r="G65" s="20" t="n">
        <v>0</v>
      </c>
    </row>
    <row r="66" customFormat="false" ht="15" hidden="false" customHeight="true" outlineLevel="0" collapsed="false">
      <c r="B66" s="20" t="s">
        <v>2618</v>
      </c>
      <c r="C66" s="20" t="n">
        <v>3</v>
      </c>
      <c r="D66" s="20" t="n">
        <v>0</v>
      </c>
      <c r="E66" s="20" t="n">
        <v>0</v>
      </c>
      <c r="F66" s="20" t="n">
        <v>0</v>
      </c>
      <c r="G66" s="20" t="n">
        <v>0</v>
      </c>
    </row>
    <row r="67" customFormat="false" ht="15" hidden="false" customHeight="true" outlineLevel="0" collapsed="false">
      <c r="B67" s="20" t="s">
        <v>2619</v>
      </c>
      <c r="C67" s="20" t="n">
        <v>4</v>
      </c>
      <c r="D67" s="20" t="n">
        <v>0</v>
      </c>
      <c r="E67" s="20" t="n">
        <v>0</v>
      </c>
      <c r="F67" s="20" t="n">
        <v>0</v>
      </c>
      <c r="G67" s="20" t="n">
        <v>0</v>
      </c>
    </row>
    <row r="68" customFormat="false" ht="15" hidden="false" customHeight="true" outlineLevel="0" collapsed="false">
      <c r="B68" s="20" t="s">
        <v>2620</v>
      </c>
      <c r="D68" s="20" t="n">
        <v>0.5</v>
      </c>
      <c r="E68" s="20" t="n">
        <v>0</v>
      </c>
      <c r="F68" s="20" t="n">
        <v>0.5</v>
      </c>
      <c r="G68" s="20" t="n">
        <v>0</v>
      </c>
    </row>
    <row r="69" customFormat="false" ht="15" hidden="false" customHeight="true" outlineLevel="0" collapsed="false">
      <c r="B69" s="20" t="s">
        <v>2621</v>
      </c>
      <c r="D69" s="20" t="n">
        <v>0.5</v>
      </c>
      <c r="E69" s="20" t="n">
        <v>0.5</v>
      </c>
      <c r="F69" s="20" t="n">
        <v>0</v>
      </c>
      <c r="G69" s="20" t="n">
        <v>0</v>
      </c>
    </row>
    <row r="70" customFormat="false" ht="15" hidden="false" customHeight="true" outlineLevel="0" collapsed="false">
      <c r="B70" s="20" t="s">
        <v>2622</v>
      </c>
      <c r="D70" s="20" t="n">
        <v>0</v>
      </c>
      <c r="E70" s="20" t="n">
        <v>1</v>
      </c>
      <c r="F70" s="20" t="n">
        <v>0</v>
      </c>
      <c r="G70" s="20" t="n">
        <v>0</v>
      </c>
    </row>
    <row r="71" customFormat="false" ht="15" hidden="false" customHeight="true" outlineLevel="0" collapsed="false">
      <c r="B71" s="20" t="s">
        <v>2623</v>
      </c>
      <c r="D71" s="20" t="n">
        <v>0</v>
      </c>
      <c r="E71" s="20" t="n">
        <v>0</v>
      </c>
      <c r="F71" s="20" t="n">
        <v>0</v>
      </c>
      <c r="G71" s="20" t="n">
        <v>1</v>
      </c>
      <c r="H71" s="20" t="s">
        <v>2624</v>
      </c>
    </row>
    <row r="72" customFormat="false" ht="15" hidden="false" customHeight="true" outlineLevel="0" collapsed="false">
      <c r="B72" s="20" t="s">
        <v>2625</v>
      </c>
      <c r="C72" s="20" t="n">
        <v>1</v>
      </c>
      <c r="D72" s="20" t="n">
        <v>0</v>
      </c>
      <c r="E72" s="20" t="n">
        <v>0</v>
      </c>
      <c r="F72" s="20" t="n">
        <v>0</v>
      </c>
      <c r="G72" s="20" t="n">
        <v>0</v>
      </c>
    </row>
    <row r="73" customFormat="false" ht="15" hidden="false" customHeight="true" outlineLevel="0" collapsed="false">
      <c r="B73" s="20" t="s">
        <v>2626</v>
      </c>
      <c r="C73" s="20" t="n">
        <v>2</v>
      </c>
      <c r="D73" s="20" t="n">
        <v>0</v>
      </c>
      <c r="E73" s="20" t="n">
        <v>0</v>
      </c>
      <c r="F73" s="20" t="n">
        <v>0</v>
      </c>
      <c r="G73" s="20" t="n">
        <v>0</v>
      </c>
    </row>
    <row r="74" customFormat="false" ht="15" hidden="false" customHeight="true" outlineLevel="0" collapsed="false">
      <c r="B74" s="20" t="s">
        <v>2627</v>
      </c>
      <c r="C74" s="20" t="n">
        <v>3</v>
      </c>
      <c r="D74" s="20" t="n">
        <v>0</v>
      </c>
      <c r="E74" s="20" t="n">
        <v>0</v>
      </c>
      <c r="F74" s="20" t="n">
        <v>0</v>
      </c>
      <c r="G74" s="20" t="n">
        <v>0</v>
      </c>
    </row>
    <row r="75" customFormat="false" ht="15" hidden="false" customHeight="true" outlineLevel="0" collapsed="false">
      <c r="B75" s="20" t="s">
        <v>2628</v>
      </c>
      <c r="C75" s="20" t="n">
        <v>4</v>
      </c>
      <c r="D75" s="20" t="n">
        <v>0</v>
      </c>
      <c r="E75" s="20" t="n">
        <v>0</v>
      </c>
      <c r="F75" s="20" t="n">
        <v>0</v>
      </c>
      <c r="G75" s="20" t="n">
        <v>0</v>
      </c>
      <c r="H75" s="20" t="s">
        <v>2629</v>
      </c>
    </row>
    <row r="77" customFormat="false" ht="15" hidden="false" customHeight="true" outlineLevel="0" collapsed="false">
      <c r="B77" s="23" t="s">
        <v>2630</v>
      </c>
      <c r="C77" s="23" t="s">
        <v>1173</v>
      </c>
    </row>
    <row r="78" customFormat="false" ht="15" hidden="false" customHeight="true" outlineLevel="0" collapsed="false">
      <c r="B78" s="20" t="s">
        <v>2631</v>
      </c>
      <c r="C78" s="36" t="n">
        <f aca="false">(PA_2&gt;0)+(PA_4&gt;0)+(PA_7&gt;0)+(PA_8&gt;0)+(PA_9&gt;0)+(PA_12&gt;0)</f>
        <v>0</v>
      </c>
    </row>
    <row r="79" customFormat="false" ht="15" hidden="false" customHeight="true" outlineLevel="0" collapsed="false">
      <c r="B79" s="20" t="s">
        <v>2632</v>
      </c>
      <c r="C79" s="36" t="n">
        <f aca="false">(PA_2&gt;0)+(PA_4&gt;0)+(PA_6&gt;0)+(PA_7&gt;0)+(PA_8&gt;0)+(PA_9&gt;0)+(PA_12&gt;0)+(PA_u4&gt;0)+(PA_u9&gt;0)+(PA_u10&gt;0)+(PA_u11&gt;0)+(PA_u12&gt;0)+(PA_u14&gt;0)</f>
        <v>1</v>
      </c>
    </row>
    <row r="80" customFormat="false" ht="15" hidden="false" customHeight="true" outlineLevel="0" collapsed="false">
      <c r="B80" s="20" t="s">
        <v>2633</v>
      </c>
      <c r="C80" s="36" t="n">
        <f aca="false">(PA_8&gt;0)+(PA_9&gt;0)+(PA_u9&gt;0)</f>
        <v>0</v>
      </c>
    </row>
    <row r="81" customFormat="false" ht="15" hidden="false" customHeight="true" outlineLevel="0" collapsed="false">
      <c r="B81" s="20" t="s">
        <v>2634</v>
      </c>
      <c r="C81" s="36" t="n">
        <f aca="false">(PA_6&gt;0)+(PA_7&gt;0)+(PA_u10&gt;0)+(PA_u12&gt;0)+(PA_u14&gt;0)</f>
        <v>1</v>
      </c>
    </row>
    <row r="82" customFormat="false" ht="15" hidden="false" customHeight="true" outlineLevel="0" collapsed="false">
      <c r="B82" s="20" t="s">
        <v>2635</v>
      </c>
      <c r="C82" s="36" t="n">
        <f aca="false">(PA_2&gt;0)+(PA_12&gt;0)+(PA_4&gt;0)+(PA_u4&gt;0)+(PA_u11&gt;0)</f>
        <v>0</v>
      </c>
    </row>
    <row r="83" customFormat="false" ht="15" hidden="false" customHeight="true" outlineLevel="0" collapsed="false">
      <c r="B83" s="20" t="s">
        <v>2636</v>
      </c>
      <c r="C83" s="36" t="n">
        <f aca="false">7-((PA_6&gt;0)+(PA_u9&gt;0)+(PA_u10&gt;0)+(PA_u12&gt;0)+(PA_u14&gt;0)+(PA_u4&gt;0)+(PA_u11&gt;0))</f>
        <v>6</v>
      </c>
    </row>
    <row r="84" customFormat="false" ht="15" hidden="false" customHeight="true" outlineLevel="0" collapsed="false">
      <c r="B84" s="20" t="s">
        <v>2637</v>
      </c>
      <c r="C84" s="36" t="str">
        <f aca="false">IF(Prof_UmLeft=7,"7 quick questions · your first "&amp;Prof_DiscCount&amp;" answers are filled in",IF(Prof_UmLeft&gt;0,Prof_UmLeft&amp;" of 7 left · your first "&amp;Prof_DiscCount&amp;" answers are filled in","All 7 answered · your first "&amp;Prof_DiscCount&amp;" answers are filled in"))</f>
        <v>6 of 7 left · your first 0 answers are filled in</v>
      </c>
    </row>
    <row r="85" customFormat="false" ht="15" hidden="false" customHeight="true" outlineLevel="0" collapsed="false">
      <c r="B85" s="20" t="s">
        <v>2638</v>
      </c>
      <c r="C85" s="36" t="n">
        <f aca="false">IF(Prof_DiscCount&gt;=4,1,0)</f>
        <v>0</v>
      </c>
    </row>
    <row r="86" customFormat="false" ht="15" hidden="false" customHeight="true" outlineLevel="0" collapsed="false">
      <c r="B86" s="20" t="s">
        <v>2639</v>
      </c>
      <c r="C86" s="36" t="n">
        <f aca="false">IF(PA_2&gt;0,SUMIFS('Plan profile'!$D$23:$D$75,Prof_Key,"2|"&amp;PA_2),0)+IF(PA_4&gt;0,SUMIFS('Plan profile'!$D$23:$D$75,Prof_Key,"4|"&amp;PA_4),0)+IF(PA_7&gt;0,SUMIFS('Plan profile'!$D$23:$D$75,Prof_Key,"7|"&amp;PA_7),0)+IF(PA_8&gt;0,SUMIFS('Plan profile'!$D$23:$D$75,Prof_Key,"8|"&amp;PA_8),0)+IF(PA_9&gt;0,SUMIFS('Plan profile'!$D$23:$D$75,Prof_Key,"9|"&amp;PA_9),0)+IF(PA_12&gt;0,SUMIFS('Plan profile'!$D$23:$D$75,Prof_Key,"12|"&amp;PA_12),0)+IF(PA_u4&gt;0,SUMIFS('Plan profile'!$D$23:$D$75,Prof_Key,"u4|"&amp;PA_u4),0)</f>
        <v>0</v>
      </c>
    </row>
    <row r="87" customFormat="false" ht="15" hidden="false" customHeight="true" outlineLevel="0" collapsed="false">
      <c r="B87" s="20" t="s">
        <v>2640</v>
      </c>
      <c r="C87" s="36" t="n">
        <f aca="false">IF(PA_2&gt;0,SUMIFS('Plan profile'!$E$23:$E$75,Prof_Key,"2|"&amp;PA_2),0)+IF(PA_4&gt;0,SUMIFS('Plan profile'!$E$23:$E$75,Prof_Key,"4|"&amp;PA_4),0)+IF(PA_7&gt;0,SUMIFS('Plan profile'!$E$23:$E$75,Prof_Key,"7|"&amp;PA_7),0)+IF(PA_8&gt;0,SUMIFS('Plan profile'!$E$23:$E$75,Prof_Key,"8|"&amp;PA_8),0)+IF(PA_9&gt;0,SUMIFS('Plan profile'!$E$23:$E$75,Prof_Key,"9|"&amp;PA_9),0)+IF(PA_12&gt;0,SUMIFS('Plan profile'!$E$23:$E$75,Prof_Key,"12|"&amp;PA_12),0)+IF(PA_u4&gt;0,SUMIFS('Plan profile'!$E$23:$E$75,Prof_Key,"u4|"&amp;PA_u4),0)</f>
        <v>0</v>
      </c>
    </row>
    <row r="88" customFormat="false" ht="15" hidden="false" customHeight="true" outlineLevel="0" collapsed="false">
      <c r="B88" s="20" t="s">
        <v>2641</v>
      </c>
      <c r="C88" s="36" t="n">
        <f aca="false">IF(PA_2&gt;0,SUMIFS('Plan profile'!$F$23:$F$75,Prof_Key,"2|"&amp;PA_2),0)+IF(PA_4&gt;0,SUMIFS('Plan profile'!$F$23:$F$75,Prof_Key,"4|"&amp;PA_4),0)+IF(PA_7&gt;0,SUMIFS('Plan profile'!$F$23:$F$75,Prof_Key,"7|"&amp;PA_7),0)+IF(PA_8&gt;0,SUMIFS('Plan profile'!$F$23:$F$75,Prof_Key,"8|"&amp;PA_8),0)+IF(PA_9&gt;0,SUMIFS('Plan profile'!$F$23:$F$75,Prof_Key,"9|"&amp;PA_9),0)+IF(PA_12&gt;0,SUMIFS('Plan profile'!$F$23:$F$75,Prof_Key,"12|"&amp;PA_12),0)+IF(PA_u4&gt;0,SUMIFS('Plan profile'!$F$23:$F$75,Prof_Key,"u4|"&amp;PA_u4),0)</f>
        <v>0</v>
      </c>
    </row>
    <row r="89" customFormat="false" ht="15" hidden="false" customHeight="true" outlineLevel="0" collapsed="false">
      <c r="B89" s="20" t="s">
        <v>2642</v>
      </c>
      <c r="C89" s="36" t="n">
        <f aca="false">IF(PA_2&gt;0,SUMIFS('Plan profile'!$G$23:$G$75,Prof_Key,"2|"&amp;PA_2),0)+IF(PA_4&gt;0,SUMIFS('Plan profile'!$G$23:$G$75,Prof_Key,"4|"&amp;PA_4),0)+IF(PA_7&gt;0,SUMIFS('Plan profile'!$G$23:$G$75,Prof_Key,"7|"&amp;PA_7),0)+IF(PA_8&gt;0,SUMIFS('Plan profile'!$G$23:$G$75,Prof_Key,"8|"&amp;PA_8),0)+IF(PA_9&gt;0,SUMIFS('Plan profile'!$G$23:$G$75,Prof_Key,"9|"&amp;PA_9),0)+IF(PA_12&gt;0,SUMIFS('Plan profile'!$G$23:$G$75,Prof_Key,"12|"&amp;PA_12),0)+IF(PA_u4&gt;0,SUMIFS('Plan profile'!$G$23:$G$75,Prof_Key,"u4|"&amp;PA_u4),0)</f>
        <v>0</v>
      </c>
    </row>
    <row r="90" customFormat="false" ht="15" hidden="false" customHeight="true" outlineLevel="0" collapsed="false">
      <c r="B90" s="20" t="s">
        <v>2643</v>
      </c>
      <c r="C90" s="36" t="n">
        <f aca="false">MAX(Prof_SA,Prof_SB,Prof_SE,Prof_SC)</f>
        <v>0</v>
      </c>
    </row>
    <row r="91" customFormat="false" ht="15" hidden="false" customHeight="true" outlineLevel="0" collapsed="false">
      <c r="B91" s="20" t="s">
        <v>2644</v>
      </c>
      <c r="C91" s="36" t="n">
        <f aca="false">IF(Prof_SA=Prof_Top,1,0)</f>
        <v>1</v>
      </c>
    </row>
    <row r="92" customFormat="false" ht="15" hidden="false" customHeight="true" outlineLevel="0" collapsed="false">
      <c r="B92" s="20" t="s">
        <v>2645</v>
      </c>
      <c r="C92" s="36" t="n">
        <f aca="false">IF(Prof_SB=Prof_Top,1,0)</f>
        <v>1</v>
      </c>
    </row>
    <row r="93" customFormat="false" ht="15" hidden="false" customHeight="true" outlineLevel="0" collapsed="false">
      <c r="B93" s="20" t="s">
        <v>2646</v>
      </c>
      <c r="C93" s="36" t="n">
        <f aca="false">IF(Prof_SE=Prof_Top,1,0)</f>
        <v>1</v>
      </c>
    </row>
    <row r="94" customFormat="false" ht="15" hidden="false" customHeight="true" outlineLevel="0" collapsed="false">
      <c r="B94" s="20" t="s">
        <v>2647</v>
      </c>
      <c r="C94" s="36" t="n">
        <f aca="false">IF(Prof_SC=Prof_Top,1,0)</f>
        <v>1</v>
      </c>
    </row>
    <row r="95" customFormat="false" ht="15" hidden="false" customHeight="true" outlineLevel="0" collapsed="false">
      <c r="B95" s="20" t="s">
        <v>2648</v>
      </c>
      <c r="C95" s="36" t="n">
        <f aca="false">Prof_TA+Prof_TB+Prof_TE+Prof_TC</f>
        <v>4</v>
      </c>
    </row>
    <row r="96" customFormat="false" ht="15" hidden="false" customHeight="true" outlineLevel="0" collapsed="false">
      <c r="B96" s="20" t="s">
        <v>2649</v>
      </c>
      <c r="C96" s="36" t="str">
        <f aca="false">IF(PA_2&gt;0,CHOOSE(PA_2,IF(Prof_TA=1,"A",""),IF(Prof_TB=1,"B",""),IF(Prof_TE=1,"E",""),IF(Prof_TC=1,"C","")),"")</f>
        <v/>
      </c>
    </row>
    <row r="97" customFormat="false" ht="15" hidden="false" customHeight="true" outlineLevel="0" collapsed="false">
      <c r="B97" s="20" t="s">
        <v>2650</v>
      </c>
      <c r="C97" s="36" t="n">
        <f aca="false">IF(PA_4&gt;0,CHOOSE(PA_4,Prof_TE,Prof_TA,Prof_TB,Prof_TB+Prof_TC),0)</f>
        <v>0</v>
      </c>
    </row>
    <row r="98" customFormat="false" ht="15" hidden="false" customHeight="true" outlineLevel="0" collapsed="false">
      <c r="B98" s="20" t="s">
        <v>2651</v>
      </c>
      <c r="C98" s="36" t="str">
        <f aca="false">IF(Prof_Q4N=1,CHOOSE(PA_4,"E","A","B",IF(Prof_TB=1,"B","C")),"")</f>
        <v/>
      </c>
    </row>
    <row r="99" customFormat="false" ht="15" hidden="false" customHeight="true" outlineLevel="0" collapsed="false">
      <c r="B99" s="20" t="s">
        <v>2652</v>
      </c>
      <c r="C99" s="36" t="str">
        <f aca="false">IF(Prof_TB=1,"B",IF(Prof_TA=1,"A",IF(Prof_TC=1,"C","E")))</f>
        <v>B</v>
      </c>
    </row>
    <row r="100" customFormat="false" ht="15" hidden="false" customHeight="true" outlineLevel="0" collapsed="false">
      <c r="B100" s="20" t="s">
        <v>2653</v>
      </c>
      <c r="C100" s="36" t="str">
        <f aca="false">IF(Prof_DiscCount&lt;4,"",IF(Prof_TiedN=1,IF(Prof_TA=1,"A",IF(Prof_TB=1,"B",IF(Prof_TE=1,"E","C"))),IF(Prof_L2&lt;&gt;"",Prof_L2,IF(Prof_Q4L&lt;&gt;"",Prof_Q4L,Prof_First))))</f>
        <v/>
      </c>
    </row>
    <row r="101" customFormat="false" ht="15" hidden="false" customHeight="true" outlineLevel="0" collapsed="false">
      <c r="B101" s="20" t="s">
        <v>2654</v>
      </c>
      <c r="C101" s="36" t="str">
        <f aca="false">IF(Prof_TypeKey="","",IF(Prof_TypeKey="A","Achiever",IF(Prof_TypeKey="B","Balancer",IF(Prof_TypeKey="E","Explorer","Contented"))))</f>
        <v/>
      </c>
    </row>
    <row r="102" customFormat="false" ht="15" hidden="false" customHeight="true" outlineLevel="0" collapsed="false">
      <c r="B102" s="20" t="s">
        <v>2655</v>
      </c>
      <c r="C102" s="36" t="n">
        <f aca="false">IF(PA_6&gt;0,SUMIFS('Plan profile'!$C$23:$C$75,Prof_Key,"6|"&amp;PA_6),-1)</f>
        <v>3</v>
      </c>
    </row>
    <row r="103" customFormat="false" ht="15" hidden="false" customHeight="true" outlineLevel="0" collapsed="false">
      <c r="B103" s="20" t="s">
        <v>2656</v>
      </c>
      <c r="C103" s="36" t="n">
        <f aca="false">IF(PA_7&gt;0,SUMIFS('Plan profile'!$C$23:$C$75,Prof_Key,"7|"&amp;PA_7),-1)</f>
        <v>-1</v>
      </c>
    </row>
    <row r="104" customFormat="false" ht="15" hidden="false" customHeight="true" outlineLevel="0" collapsed="false">
      <c r="B104" s="20" t="s">
        <v>2657</v>
      </c>
      <c r="C104" s="36" t="n">
        <f aca="false">IF(PA_8&gt;0,SUMIFS('Plan profile'!$C$23:$C$75,Prof_Key,"8|"&amp;PA_8),-1)</f>
        <v>-1</v>
      </c>
    </row>
    <row r="105" customFormat="false" ht="15" hidden="false" customHeight="true" outlineLevel="0" collapsed="false">
      <c r="B105" s="20" t="s">
        <v>2658</v>
      </c>
      <c r="C105" s="36" t="n">
        <f aca="false">IF(PA_9&gt;0,SUMIFS('Plan profile'!$C$23:$C$75,Prof_Key,"9|"&amp;PA_9),-1)</f>
        <v>-1</v>
      </c>
    </row>
    <row r="106" customFormat="false" ht="15" hidden="false" customHeight="true" outlineLevel="0" collapsed="false">
      <c r="B106" s="20" t="s">
        <v>2659</v>
      </c>
      <c r="C106" s="36" t="n">
        <f aca="false">IF(Prof_UmCount=13,1,0)</f>
        <v>0</v>
      </c>
    </row>
    <row r="107" customFormat="false" ht="15" hidden="false" customHeight="true" outlineLevel="0" collapsed="false">
      <c r="B107" s="20" t="s">
        <v>2660</v>
      </c>
      <c r="C107" s="36" t="n">
        <f aca="false">IF(COUNTIFS(GL_Kind,"pot",GL_AgeRaw,"&gt;"&amp;(F_Age+2))=0,9999,_xlfn.MINIFS(GL_AgeRaw,GL_Kind,"pot",GL_AgeRaw,"&gt;"&amp;(F_Age+2)))</f>
        <v>9999</v>
      </c>
    </row>
    <row r="108" customFormat="false" ht="15" hidden="false" customHeight="true" outlineLevel="0" collapsed="false">
      <c r="B108" s="20" t="s">
        <v>2661</v>
      </c>
      <c r="C108" s="36" t="n">
        <f aca="false">MIN(IF(COUNTIFS(GL_Kind,"spend",GL_AgeRaw,"&gt;"&amp;(F_Age+2),GL_Saved,"&lt;=0")=0,9999,_xlfn.MINIFS(GL_AgeRaw,GL_Kind,"spend",GL_AgeRaw,"&gt;"&amp;(F_Age+2),GL_Saved,"&lt;=0")),IF(COUNTIFS(GL_Kind,"mfree",GL_AgeRaw,"&gt;"&amp;(F_Age+2),GL_Saved,"&lt;=0")=0,9999,_xlfn.MINIFS(GL_AgeRaw,GL_Kind,"mfree",GL_AgeRaw,"&gt;"&amp;(F_Age+2),GL_Saved,"&lt;=0")),IF(COUNTIFS(GL_Kind,"pot",GL_AgeRaw,"&gt;"&amp;(F_Age+2),GL_Saved,"&lt;=0")=0,9999,_xlfn.MINIFS(GL_AgeRaw,GL_Kind,"pot",GL_AgeRaw,"&gt;"&amp;(F_Age+2),GL_Saved,"&lt;=0")),IF(COUNTIFS(GL_Kind,"legacy",GL_AgeRaw,"&gt;"&amp;(F_Age+2),GL_Saved,"&lt;=0")=0,9999,_xlfn.MINIFS(GL_AgeRaw,GL_Kind,"legacy",GL_AgeRaw,"&gt;"&amp;(F_Age+2),GL_Saved,"&lt;=0")))</f>
        <v>41</v>
      </c>
    </row>
    <row r="109" customFormat="false" ht="15" hidden="false" customHeight="true" outlineLevel="0" collapsed="false">
      <c r="B109" s="20" t="s">
        <v>2662</v>
      </c>
      <c r="C109" s="36" t="n">
        <f aca="false">IF(IF(Prof_PotAge&lt;9999,Prof_PotAge-F_Age,IF(Prof_OtherAge&lt;9999,Prof_OtherAge-F_Age,F_R-F_Age+10))&lt;=2,0,IF(IF(Prof_PotAge&lt;9999,Prof_PotAge-F_Age,IF(Prof_OtherAge&lt;9999,Prof_OtherAge-F_Age,F_R-F_Age+10))&lt;=5,1,IF(IF(Prof_PotAge&lt;9999,Prof_PotAge-F_Age,IF(Prof_OtherAge&lt;9999,Prof_OtherAge-F_Age,F_R-F_Age+10))&lt;=10,2,3)))</f>
        <v>1</v>
      </c>
    </row>
    <row r="110" customFormat="false" ht="15" hidden="false" customHeight="true" outlineLevel="0" collapsed="false">
      <c r="B110" s="20" t="s">
        <v>2663</v>
      </c>
      <c r="C110" s="36" t="n">
        <f aca="false">IF(PA_u9&gt;0,PA_u9-1,Prof_SuggestU9)</f>
        <v>1</v>
      </c>
    </row>
    <row r="111" customFormat="false" ht="15" hidden="false" customHeight="true" outlineLevel="0" collapsed="false">
      <c r="B111" s="20" t="s">
        <v>2664</v>
      </c>
      <c r="C111" s="36" t="str">
        <f aca="false">IF(OR(Prof_q8&lt;0,Prof_q9&lt;0),"",MIN(Prof_q8+IF(AND(Prof_q9=4,Prof_q8&gt;=3),1,0),IF(Prof_q9=1,2,IF(Prof_q9=2,3,5))))</f>
        <v/>
      </c>
    </row>
    <row r="112" customFormat="false" ht="15" hidden="false" customHeight="true" outlineLevel="0" collapsed="false">
      <c r="B112" s="20" t="s">
        <v>2665</v>
      </c>
      <c r="C112" s="36" t="str">
        <f aca="false">IF(Prof_T="","",MIN(IF(Prof_q7=2,3,5),IF(Prof_q7=1,2,5),IF(Prof_Full=1,IF(PA_u10=1,2,IF(PA_u10=2,3,IF(PA_u10=3,4,5))),5),IF(Prof_Full=1,IF(PA_u12=1,2,IF(PA_u12=2,4,5)),5),IF(Prof_Full=1,IF(PA_u14=1,2,IF(PA_u14=2,3,5)),5),IF(AND(Has_cash=1,Has_costsM=1,F_CostsM&gt;0,F_Cash&lt;3*F_CostsM),3,5)))</f>
        <v/>
      </c>
    </row>
    <row r="113" customFormat="false" ht="15" hidden="false" customHeight="true" outlineLevel="0" collapsed="false">
      <c r="B113" s="20" t="s">
        <v>2666</v>
      </c>
      <c r="C113" s="36" t="str">
        <f aca="false">IF(Prof_T="","",CHOOSE(Prof_Wait+1,1,2,4,5))</f>
        <v/>
      </c>
    </row>
    <row r="114" customFormat="false" ht="15" hidden="false" customHeight="true" outlineLevel="0" collapsed="false">
      <c r="B114" s="20" t="s">
        <v>2667</v>
      </c>
      <c r="C114" s="36" t="str">
        <f aca="false">IF(Prof_T="","",IF(OR(Prof_Full=0,PA_u11=0),3,MIN(CHOOSE(PA_u11,3,4,5,IF(PA_chipShares=1,5,4)),IF(AND(PA_u11&gt;=3,PA_chipsN&gt;0,PA_chipsSafe=1),4,9))))</f>
        <v/>
      </c>
    </row>
    <row r="115" customFormat="false" ht="15" hidden="false" customHeight="true" outlineLevel="0" collapsed="false">
      <c r="B115" s="20" t="s">
        <v>2668</v>
      </c>
      <c r="C115" s="36" t="str">
        <f aca="false">IF(Prof_T="","",MIN(Prof_T,Prof_C,Prof_H,Prof_KE))</f>
        <v/>
      </c>
    </row>
    <row r="116" customFormat="false" ht="15" hidden="false" customHeight="true" outlineLevel="0" collapsed="false">
      <c r="B116" s="20" t="s">
        <v>2669</v>
      </c>
      <c r="C116" s="36" t="str">
        <f aca="false">IF(Prof_Level="","",CHOOSE(Prof_Level,"Cautious","Cautious–balanced","Balanced","Balanced–growth","Growth"))</f>
        <v/>
      </c>
    </row>
    <row r="117" customFormat="false" ht="15" hidden="false" customHeight="true" outlineLevel="0" collapsed="false">
      <c r="B117" s="20" t="s">
        <v>2670</v>
      </c>
      <c r="C117" s="36" t="str">
        <f aca="false">IF(Prof_Level="","",IF(Prof_Level=Prof_T,"want",IF(Prof_Level=Prof_C,"can",IF(Prof_Level=Prof_H,"time","experience"))))</f>
        <v/>
      </c>
    </row>
    <row r="118" customFormat="false" ht="15" hidden="false" customHeight="true" outlineLevel="0" collapsed="false">
      <c r="B118" s="20" t="s">
        <v>2671</v>
      </c>
      <c r="C118" s="36" t="str">
        <f aca="false">IF(Prof_q8&lt;=0,"",CHOOSE(Prof_q8,"Steady","Mostly steady","Balanced","Adventurous"))</f>
        <v/>
      </c>
    </row>
    <row r="119" customFormat="false" ht="15" hidden="false" customHeight="true" outlineLevel="0" collapsed="false">
      <c r="B119" s="20" t="s">
        <v>2672</v>
      </c>
      <c r="C119" s="36" t="str">
        <f aca="false">IF(Prof_q7&lt;0,"",IF(Prof_q7=4,"Strong","Thin"))</f>
        <v/>
      </c>
    </row>
    <row r="120" customFormat="false" ht="15" hidden="false" customHeight="true" outlineLevel="0" collapsed="false">
      <c r="B120" s="20" t="s">
        <v>2673</v>
      </c>
      <c r="C120" s="36" t="n">
        <f aca="false">IF(Prof_Full=1,0,1)</f>
        <v>1</v>
      </c>
    </row>
    <row r="121" customFormat="false" ht="15" hidden="false" customHeight="true" outlineLevel="0" collapsed="false">
      <c r="B121" s="20" t="s">
        <v>2674</v>
      </c>
      <c r="C121" s="36" t="n">
        <f aca="false">IF(Prof_q8&gt;=3,1,0)</f>
        <v>0</v>
      </c>
    </row>
    <row r="122" customFormat="false" ht="15" hidden="false" customHeight="true" outlineLevel="0" collapsed="false">
      <c r="B122" s="20" t="s">
        <v>2675</v>
      </c>
      <c r="C122" s="36" t="n">
        <f aca="false">IF(AND(Prof_q8&gt;=1,Prof_q8&lt;=2),1,0)</f>
        <v>0</v>
      </c>
    </row>
    <row r="123" customFormat="false" ht="15" hidden="false" customHeight="true" outlineLevel="0" collapsed="false">
      <c r="B123" s="20" t="s">
        <v>2676</v>
      </c>
      <c r="C123" s="36" t="n">
        <f aca="false">IF(Prof_q9&gt;=3,1,0)</f>
        <v>0</v>
      </c>
    </row>
    <row r="124" customFormat="false" ht="15" hidden="false" customHeight="true" outlineLevel="0" collapsed="false">
      <c r="B124" s="20" t="s">
        <v>2677</v>
      </c>
      <c r="C124" s="36" t="n">
        <f aca="false">IF(AND(Prof_q9&gt;=1,Prof_q9&lt;=2),1,0)</f>
        <v>0</v>
      </c>
    </row>
    <row r="125" customFormat="false" ht="15" hidden="false" customHeight="true" outlineLevel="0" collapsed="false">
      <c r="B125" s="20" t="s">
        <v>2678</v>
      </c>
      <c r="C125" s="36" t="n">
        <f aca="false">IF(OR(AND(Prof_q7&gt;=0,Prof_q7&lt;=2),AND(Prof_Full=1,PA_u14&gt;0,PA_u14&lt;=2)),1,0)</f>
        <v>0</v>
      </c>
    </row>
    <row r="126" customFormat="false" ht="15" hidden="false" customHeight="true" outlineLevel="0" collapsed="false">
      <c r="B126" s="20" t="s">
        <v>2679</v>
      </c>
      <c r="C126" s="36" t="n">
        <f aca="false">IF(AND(Prof_Full=1,Prof_H&lt;&gt;"",Prof_H&lt;=2),1,0)</f>
        <v>0</v>
      </c>
    </row>
    <row r="127" customFormat="false" ht="15" hidden="false" customHeight="true" outlineLevel="0" collapsed="false">
      <c r="B127" s="20" t="s">
        <v>2680</v>
      </c>
      <c r="C127" s="36" t="n">
        <f aca="false">IF(AND(Prof_Full=1,Prof_C&lt;&gt;"",Prof_C&lt;=2),1,0)</f>
        <v>0</v>
      </c>
    </row>
    <row r="128" customFormat="false" ht="15" hidden="false" customHeight="true" outlineLevel="0" collapsed="false">
      <c r="B128" s="20" t="s">
        <v>2681</v>
      </c>
      <c r="C128" s="36" t="n">
        <f aca="false">IF(OR(Prof_Thin=1,Prof_LossLo=1,Prof_ShortT=1),1,0)</f>
        <v>0</v>
      </c>
    </row>
    <row r="129" customFormat="false" ht="15" hidden="false" customHeight="true" outlineLevel="0" collapsed="false">
      <c r="B129" s="20" t="s">
        <v>2682</v>
      </c>
      <c r="C129" s="36" t="n">
        <f aca="false">IF(Prof_Level="",0,IF(Prof_Full=1,IF(AND(Prof_C&gt;=4,Prof_H&gt;=4),1,0),IF(AND(Prof_q7=4,Prof_q6&gt;=3),1,0)))</f>
        <v>0</v>
      </c>
    </row>
    <row r="130" customFormat="false" ht="15" hidden="false" customHeight="true" outlineLevel="0" collapsed="false">
      <c r="B130" s="20" t="s">
        <v>2683</v>
      </c>
      <c r="C130" s="36" t="str">
        <f aca="false">IF(Prof_Level="","",IF(AND(Prof_WantLo=1,Prof_CompLo=1,Prof_CapLo=1),"K16",IF(AND(Prof_WantHi=1,Prof_CapLo=1),IF(Prof_Thin=1,"K14c",IF(Prof_LossLo=1,"K14l","K14t")),IF(AND(Prof_WantHi=1,Prof_CompLo=1),"K13",IF(AND(Prof_WantLo=1,Prof_CapHi=1),"K15",IF(AND(Prof_Full=1,Prof_WantHi=1,Prof_CompHi=1,Prof_CapHi=1,PA_u11&gt;=2,PA_u11&lt;&gt;4),"K17","OK"))))))</f>
        <v/>
      </c>
    </row>
    <row r="131" customFormat="false" ht="15" hidden="false" customHeight="true" outlineLevel="0" collapsed="false">
      <c r="B131" s="20" t="s">
        <v>2684</v>
      </c>
      <c r="C131" s="36" t="str">
        <f aca="false">IF(Prof_DiscEnough=0,"Risk profile: not enough answers yet","Risk profile"&amp;IF(AND(Prof_Provisional=1,Prof_Label&lt;&gt;"")," (first read)","")&amp;": "&amp;IF(Prof_Label="","Not answered yet",Prof_Label)&amp;" · "&amp;IF(Prof_Full=1,"from your profile in Me","Finish in Me to confirm"))</f>
        <v>Risk profile: not enough answers yet</v>
      </c>
    </row>
    <row r="132" customFormat="false" ht="15" hidden="false" customHeight="true" outlineLevel="0" collapsed="false">
      <c r="B132" s="20" t="s">
        <v>2685</v>
      </c>
      <c r="C132" s="36" t="str">
        <f aca="false">MID(IF(IF(PA_2&gt;0,INDEX('Plan profile'!$H$23:$H$75,MATCH("2|"&amp;PA_2,Prof_Key,0)),"")="","","|"&amp;IF(PA_2&gt;0,INDEX('Plan profile'!$H$23:$H$75,MATCH("2|"&amp;PA_2,Prof_Key,0)),""))&amp;IF(IF(PA_12&gt;0,INDEX('Plan profile'!$H$23:$H$75,MATCH("12|"&amp;PA_12,Prof_Key,0)),"")="","","|"&amp;IF(PA_12&gt;0,INDEX('Plan profile'!$H$23:$H$75,MATCH("12|"&amp;PA_12,Prof_Key,0)),"")),2,500)</f>
        <v/>
      </c>
    </row>
    <row r="133" customFormat="false" ht="15" hidden="false" customHeight="true" outlineLevel="0" collapsed="false">
      <c r="B133" s="20" t="s">
        <v>2686</v>
      </c>
      <c r="C133" s="36" t="str">
        <f aca="false">MID(IF(IF(PA_4&gt;0,INDEX('Plan profile'!$H$23:$H$75,MATCH("4|"&amp;PA_4,Prof_Key,0)),"")="","","|"&amp;IF(PA_4&gt;0,INDEX('Plan profile'!$H$23:$H$75,MATCH("4|"&amp;PA_4,Prof_Key,0)),""))&amp;IF(IF(PA_9&gt;0,INDEX('Plan profile'!$H$23:$H$75,MATCH("9|"&amp;PA_9,Prof_Key,0)),"")="","","|"&amp;IF(PA_9&gt;0,INDEX('Plan profile'!$H$23:$H$75,MATCH("9|"&amp;PA_9,Prof_Key,0)),""))&amp;IF(IF(PA_u4=4,"Procrastination · Status quo bias","")="","","|"&amp;IF(PA_u4=4,"Procrastination · Status quo bias",""))&amp;IF(IF(PA_u11=4,"Overconfidence bias","")="","","|"&amp;IF(PA_u11=4,"Overconfidence bias","")),2,500)</f>
        <v/>
      </c>
    </row>
    <row r="134" customFormat="false" ht="15" hidden="false" customHeight="true" outlineLevel="0" collapsed="false">
      <c r="B134" s="20" t="s">
        <v>2687</v>
      </c>
      <c r="C134" s="36" t="str">
        <f aca="false">MID(IF(IF(PA_8&gt;0,INDEX('Plan profile'!$H$23:$H$75,MATCH("8|"&amp;PA_8,Prof_Key,0)),"")="","","|"&amp;IF(PA_8&gt;0,INDEX('Plan profile'!$H$23:$H$75,MATCH("8|"&amp;PA_8,Prof_Key,0)),"")),2,500)</f>
        <v/>
      </c>
    </row>
    <row r="135" customFormat="false" ht="15" hidden="false" customHeight="true" outlineLevel="0" collapsed="false">
      <c r="B135" s="20" t="s">
        <v>2688</v>
      </c>
      <c r="C135" s="36" t="str">
        <f aca="false">MID(IF(IF(PA_7&gt;0,INDEX('Plan profile'!$H$23:$H$75,MATCH("7|"&amp;PA_7,Prof_Key,0)),"")="","","|"&amp;IF(PA_7&gt;0,INDEX('Plan profile'!$H$23:$H$75,MATCH("7|"&amp;PA_7,Prof_Key,0)),""))&amp;IF(IF(PA_6&gt;0,INDEX('Plan profile'!$H$23:$H$75,MATCH("6|"&amp;PA_6,Prof_Key,0)),"")="","","|"&amp;IF(PA_6&gt;0,INDEX('Plan profile'!$H$23:$H$75,MATCH("6|"&amp;PA_6,Prof_Key,0)),"")),2,500)</f>
        <v>Good capacity</v>
      </c>
    </row>
  </sheetData>
  <mergeCells count="1">
    <mergeCell ref="B2:H2"/>
  </mergeCells>
  <dataValidations count="4">
    <dataValidation allowBlank="true" error="Option picked: allowed 1 to 4 (whole numbers)" errorStyle="stop" errorTitle="Outside the allowed range" operator="between" showDropDown="false" showErrorMessage="true" showInputMessage="false" sqref="C5:C6 C8:C17" type="whole">
      <formula1>1</formula1>
      <formula2>4</formula2>
    </dataValidation>
    <dataValidation allowBlank="true" error="How many chips: allowed 0 to 7 (whole numbers)" errorStyle="stop" errorTitle="Outside the allowed range" operator="between" showDropDown="false" showErrorMessage="true" showInputMessage="false" sqref="C18" type="whole">
      <formula1>0</formula1>
      <formula2>7</formula2>
    </dataValidation>
    <dataValidation allowBlank="true" error="Choose one of: Yes,No" errorStyle="stop" errorTitle="Not in the list" operator="between" showDropDown="false" showErrorMessage="true" showInputMessage="false" sqref="C19" type="list">
      <formula1>"Yes,No"</formula1>
      <formula2>0</formula2>
    </dataValidation>
    <dataValidation allowBlank="true" error="Choose one of: Yes,No" errorStyle="stop" errorTitle="Not in the list" operator="between" showDropDown="false" showErrorMessage="true" showInputMessage="false" sqref="C20"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8B57"/>
    <pageSetUpPr fitToPage="false"/>
  </sheetPr>
  <dimension ref="A1:DG9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7" topLeftCell="C8" activePane="bottomRight" state="frozen"/>
      <selection pane="topLeft" activeCell="A1" activeCellId="0" sqref="A1"/>
      <selection pane="topRight" activeCell="C1" activeCellId="0" sqref="C1"/>
      <selection pane="bottomLeft" activeCell="A8" activeCellId="0" sqref="A8"/>
      <selection pane="bottomRight" activeCell="A1" activeCellId="0" sqref="A1"/>
    </sheetView>
  </sheetViews>
  <sheetFormatPr defaultColWidth="8.5390625" defaultRowHeight="15" zeroHeight="false" outlineLevelRow="0" outlineLevelCol="0"/>
  <cols>
    <col collapsed="false" customWidth="true" hidden="false" outlineLevel="0" max="2" min="2" style="20" width="6"/>
    <col collapsed="false" customWidth="true" hidden="false" outlineLevel="0" max="3" min="3" style="20" width="12"/>
    <col collapsed="false" customWidth="true" hidden="false" outlineLevel="0" max="27" min="4" style="20" width="10"/>
    <col collapsed="false" customWidth="true" hidden="false" outlineLevel="0" max="30" min="28" style="20" width="12"/>
    <col collapsed="false" customWidth="true" hidden="false" outlineLevel="0" max="54" min="31" style="20" width="10"/>
    <col collapsed="false" customWidth="true" hidden="false" outlineLevel="0" max="57" min="55" style="20" width="12"/>
    <col collapsed="false" customWidth="true" hidden="false" outlineLevel="0" max="81" min="58" style="20" width="10"/>
    <col collapsed="false" customWidth="true" hidden="false" outlineLevel="0" max="84" min="82" style="20" width="12"/>
    <col collapsed="false" customWidth="true" hidden="false" outlineLevel="0" max="108" min="85" style="20" width="10"/>
    <col collapsed="false" customWidth="true" hidden="false" outlineLevel="0" max="111" min="109" style="20" width="12"/>
  </cols>
  <sheetData>
    <row r="1" customFormat="false" ht="17.25" hidden="false" customHeight="true" outlineLevel="0" collapsed="false">
      <c r="B1" s="21" t="s">
        <v>2689</v>
      </c>
    </row>
    <row r="2" customFormat="false" ht="39.75" hidden="false" customHeight="true" outlineLevel="0" collapsed="false">
      <c r="B2" s="2" t="s">
        <v>2690</v>
      </c>
      <c r="C2" s="2"/>
      <c r="D2" s="2"/>
      <c r="E2" s="2"/>
      <c r="F2" s="2"/>
      <c r="G2" s="2"/>
      <c r="H2" s="2"/>
      <c r="I2" s="2"/>
      <c r="J2" s="2"/>
      <c r="K2" s="2"/>
      <c r="L2" s="2"/>
    </row>
    <row r="6" customFormat="false" ht="81.75" hidden="false" customHeight="true" outlineLevel="0" collapsed="false">
      <c r="A6" s="23" t="s">
        <v>1506</v>
      </c>
      <c r="B6" s="33" t="s">
        <v>1507</v>
      </c>
      <c r="C6" s="33" t="s">
        <v>2691</v>
      </c>
      <c r="D6" s="33" t="s">
        <v>2692</v>
      </c>
      <c r="E6" s="33" t="s">
        <v>2693</v>
      </c>
      <c r="F6" s="33" t="s">
        <v>2694</v>
      </c>
      <c r="G6" s="33" t="s">
        <v>2695</v>
      </c>
      <c r="H6" s="33" t="s">
        <v>2696</v>
      </c>
      <c r="I6" s="33" t="s">
        <v>2697</v>
      </c>
      <c r="J6" s="33" t="s">
        <v>2698</v>
      </c>
      <c r="K6" s="33" t="s">
        <v>2699</v>
      </c>
      <c r="L6" s="33" t="s">
        <v>2700</v>
      </c>
      <c r="M6" s="33" t="s">
        <v>2701</v>
      </c>
      <c r="N6" s="33" t="s">
        <v>2702</v>
      </c>
      <c r="O6" s="33" t="s">
        <v>2703</v>
      </c>
      <c r="P6" s="33" t="s">
        <v>2704</v>
      </c>
      <c r="Q6" s="33" t="s">
        <v>2705</v>
      </c>
      <c r="R6" s="33" t="s">
        <v>2706</v>
      </c>
      <c r="S6" s="33" t="s">
        <v>2707</v>
      </c>
      <c r="T6" s="33" t="s">
        <v>2708</v>
      </c>
      <c r="U6" s="33" t="s">
        <v>2709</v>
      </c>
      <c r="V6" s="33" t="s">
        <v>2710</v>
      </c>
      <c r="W6" s="33" t="s">
        <v>2711</v>
      </c>
      <c r="X6" s="33" t="s">
        <v>2712</v>
      </c>
      <c r="Y6" s="33" t="s">
        <v>2713</v>
      </c>
      <c r="Z6" s="33" t="s">
        <v>2714</v>
      </c>
      <c r="AA6" s="33" t="s">
        <v>2715</v>
      </c>
      <c r="AB6" s="33" t="s">
        <v>2716</v>
      </c>
      <c r="AC6" s="33" t="s">
        <v>2717</v>
      </c>
      <c r="AD6" s="33" t="s">
        <v>2718</v>
      </c>
      <c r="AE6" s="33" t="s">
        <v>2719</v>
      </c>
      <c r="AF6" s="33" t="s">
        <v>2720</v>
      </c>
      <c r="AG6" s="33" t="s">
        <v>2721</v>
      </c>
      <c r="AH6" s="33" t="s">
        <v>2722</v>
      </c>
      <c r="AI6" s="33" t="s">
        <v>2723</v>
      </c>
      <c r="AJ6" s="33" t="s">
        <v>2724</v>
      </c>
      <c r="AK6" s="33" t="s">
        <v>2725</v>
      </c>
      <c r="AL6" s="33" t="s">
        <v>2726</v>
      </c>
      <c r="AM6" s="33" t="s">
        <v>2727</v>
      </c>
      <c r="AN6" s="33" t="s">
        <v>2728</v>
      </c>
      <c r="AO6" s="33" t="s">
        <v>2729</v>
      </c>
      <c r="AP6" s="33" t="s">
        <v>2730</v>
      </c>
      <c r="AQ6" s="33" t="s">
        <v>2731</v>
      </c>
      <c r="AR6" s="33" t="s">
        <v>2732</v>
      </c>
      <c r="AS6" s="33" t="s">
        <v>2733</v>
      </c>
      <c r="AT6" s="33" t="s">
        <v>2734</v>
      </c>
      <c r="AU6" s="33" t="s">
        <v>2735</v>
      </c>
      <c r="AV6" s="33" t="s">
        <v>2736</v>
      </c>
      <c r="AW6" s="33" t="s">
        <v>2737</v>
      </c>
      <c r="AX6" s="33" t="s">
        <v>2738</v>
      </c>
      <c r="AY6" s="33" t="s">
        <v>2739</v>
      </c>
      <c r="AZ6" s="33" t="s">
        <v>2740</v>
      </c>
      <c r="BA6" s="33" t="s">
        <v>2741</v>
      </c>
      <c r="BB6" s="33" t="s">
        <v>2742</v>
      </c>
      <c r="BC6" s="33" t="s">
        <v>2743</v>
      </c>
      <c r="BD6" s="33" t="s">
        <v>2744</v>
      </c>
      <c r="BE6" s="33" t="s">
        <v>2745</v>
      </c>
      <c r="BF6" s="33" t="s">
        <v>2746</v>
      </c>
      <c r="BG6" s="33" t="s">
        <v>2747</v>
      </c>
      <c r="BH6" s="33" t="s">
        <v>2748</v>
      </c>
      <c r="BI6" s="33" t="s">
        <v>2749</v>
      </c>
      <c r="BJ6" s="33" t="s">
        <v>2750</v>
      </c>
      <c r="BK6" s="33" t="s">
        <v>2751</v>
      </c>
      <c r="BL6" s="33" t="s">
        <v>2752</v>
      </c>
      <c r="BM6" s="33" t="s">
        <v>2753</v>
      </c>
      <c r="BN6" s="33" t="s">
        <v>2754</v>
      </c>
      <c r="BO6" s="33" t="s">
        <v>2755</v>
      </c>
      <c r="BP6" s="33" t="s">
        <v>2756</v>
      </c>
      <c r="BQ6" s="33" t="s">
        <v>2757</v>
      </c>
      <c r="BR6" s="33" t="s">
        <v>2758</v>
      </c>
      <c r="BS6" s="33" t="s">
        <v>2759</v>
      </c>
      <c r="BT6" s="33" t="s">
        <v>2760</v>
      </c>
      <c r="BU6" s="33" t="s">
        <v>2761</v>
      </c>
      <c r="BV6" s="33" t="s">
        <v>2762</v>
      </c>
      <c r="BW6" s="33" t="s">
        <v>2763</v>
      </c>
      <c r="BX6" s="33" t="s">
        <v>2764</v>
      </c>
      <c r="BY6" s="33" t="s">
        <v>2765</v>
      </c>
      <c r="BZ6" s="33" t="s">
        <v>2766</v>
      </c>
      <c r="CA6" s="33" t="s">
        <v>2767</v>
      </c>
      <c r="CB6" s="33" t="s">
        <v>2768</v>
      </c>
      <c r="CC6" s="33" t="s">
        <v>2769</v>
      </c>
      <c r="CD6" s="33" t="s">
        <v>2770</v>
      </c>
      <c r="CE6" s="33" t="s">
        <v>2771</v>
      </c>
      <c r="CF6" s="33" t="s">
        <v>2772</v>
      </c>
      <c r="CG6" s="33" t="s">
        <v>2773</v>
      </c>
      <c r="CH6" s="33" t="s">
        <v>2774</v>
      </c>
      <c r="CI6" s="33" t="s">
        <v>2775</v>
      </c>
      <c r="CJ6" s="33" t="s">
        <v>2776</v>
      </c>
      <c r="CK6" s="33" t="s">
        <v>2777</v>
      </c>
      <c r="CL6" s="33" t="s">
        <v>2778</v>
      </c>
      <c r="CM6" s="33" t="s">
        <v>2779</v>
      </c>
      <c r="CN6" s="33" t="s">
        <v>2780</v>
      </c>
      <c r="CO6" s="33" t="s">
        <v>2781</v>
      </c>
      <c r="CP6" s="33" t="s">
        <v>2782</v>
      </c>
      <c r="CQ6" s="33" t="s">
        <v>2783</v>
      </c>
      <c r="CR6" s="33" t="s">
        <v>2784</v>
      </c>
      <c r="CS6" s="33" t="s">
        <v>2785</v>
      </c>
      <c r="CT6" s="33" t="s">
        <v>2786</v>
      </c>
      <c r="CU6" s="33" t="s">
        <v>2787</v>
      </c>
      <c r="CV6" s="33" t="s">
        <v>2788</v>
      </c>
      <c r="CW6" s="33" t="s">
        <v>2789</v>
      </c>
      <c r="CX6" s="33" t="s">
        <v>2790</v>
      </c>
      <c r="CY6" s="33" t="s">
        <v>2791</v>
      </c>
      <c r="CZ6" s="33" t="s">
        <v>2792</v>
      </c>
      <c r="DA6" s="33" t="s">
        <v>2793</v>
      </c>
      <c r="DB6" s="33" t="s">
        <v>2794</v>
      </c>
      <c r="DC6" s="33" t="s">
        <v>2795</v>
      </c>
      <c r="DD6" s="33" t="s">
        <v>2796</v>
      </c>
      <c r="DE6" s="33" t="s">
        <v>2797</v>
      </c>
      <c r="DF6" s="33" t="s">
        <v>2798</v>
      </c>
      <c r="DG6" s="33" t="s">
        <v>2799</v>
      </c>
    </row>
    <row r="7" customFormat="false" ht="15" hidden="false" customHeight="true" outlineLevel="0" collapsed="false">
      <c r="A7" s="20" t="s">
        <v>1575</v>
      </c>
      <c r="CF7" s="43" t="n">
        <f aca="false">F_MortBal</f>
        <v>203700</v>
      </c>
      <c r="DE7" s="43" t="n">
        <f aca="false">F_MortBal</f>
        <v>203700</v>
      </c>
    </row>
    <row r="8" customFormat="false" ht="15" hidden="false" customHeight="true" outlineLevel="0" collapsed="false">
      <c r="B8" s="20" t="n">
        <v>0</v>
      </c>
      <c r="C8" s="20" t="n">
        <f aca="false">'Plan cashflow'!J8</f>
        <v>203700</v>
      </c>
      <c r="D8" s="20" t="n">
        <f aca="false">IF(C8&gt;PR_BalDone,C8+C8*(F_MR/12)-MIN(F_MortPayM,C8+C8*(F_MR/12)),C8)</f>
        <v>203173.5375</v>
      </c>
      <c r="E8" s="20" t="n">
        <f aca="false">IF(D8&gt;PR_BalDone,D8+D8*(F_MR/12)-MIN(F_MortPayM,D8+D8*(F_MR/12)),D8)</f>
        <v>202645.385932813</v>
      </c>
      <c r="F8" s="20" t="n">
        <f aca="false">IF(E8&gt;PR_BalDone,E8+E8*(F_MR/12)-MIN(F_MortPayM,E8+E8*(F_MR/12)),E8)</f>
        <v>202115.539879347</v>
      </c>
      <c r="G8" s="20" t="n">
        <f aca="false">IF(F8&gt;PR_BalDone,F8+F8*(F_MR/12)-MIN(F_MortPayM,F8+F8*(F_MR/12)),F8)</f>
        <v>201583.993903127</v>
      </c>
      <c r="H8" s="20" t="n">
        <f aca="false">IF(G8&gt;PR_BalDone,G8+G8*(F_MR/12)-MIN(F_MortPayM,G8+G8*(F_MR/12)),G8)</f>
        <v>201050.742550232</v>
      </c>
      <c r="I8" s="20" t="n">
        <f aca="false">IF(H8&gt;PR_BalDone,H8+H8*(F_MR/12)-MIN(F_MortPayM,H8+H8*(F_MR/12)),H8)</f>
        <v>200515.780349248</v>
      </c>
      <c r="J8" s="20" t="n">
        <f aca="false">IF(I8&gt;PR_BalDone,I8+I8*(F_MR/12)-MIN(F_MortPayM,I8+I8*(F_MR/12)),I8)</f>
        <v>199979.101811202</v>
      </c>
      <c r="K8" s="20" t="n">
        <f aca="false">IF(J8&gt;PR_BalDone,J8+J8*(F_MR/12)-MIN(F_MortPayM,J8+J8*(F_MR/12)),J8)</f>
        <v>199440.701429512</v>
      </c>
      <c r="L8" s="20" t="n">
        <f aca="false">IF(K8&gt;PR_BalDone,K8+K8*(F_MR/12)-MIN(F_MortPayM,K8+K8*(F_MR/12)),K8)</f>
        <v>198900.573679932</v>
      </c>
      <c r="M8" s="20" t="n">
        <f aca="false">IF(L8&gt;PR_BalDone,L8+L8*(F_MR/12)-MIN(F_MortPayM,L8+L8*(F_MR/12)),L8)</f>
        <v>198358.713020489</v>
      </c>
      <c r="N8" s="20" t="n">
        <f aca="false">IF(M8&gt;PR_BalDone,M8+M8*(F_MR/12)-MIN(F_MortPayM,M8+M8*(F_MR/12)),M8)</f>
        <v>197815.113891429</v>
      </c>
      <c r="O8" s="20" t="n">
        <f aca="false">IF(N8&gt;PR_BalDone,N8+N8*(F_MR/12)-MIN(F_MortPayM,N8+N8*(F_MR/12)),N8)</f>
        <v>197269.770715164</v>
      </c>
      <c r="P8" s="20" t="n">
        <f aca="false">IF(C8&gt;PR_BalDone,MIN(F_MortPayM,C8+C8*(F_MR/12)),0)</f>
        <v>1180</v>
      </c>
      <c r="Q8" s="20" t="n">
        <f aca="false">IF(D8&gt;PR_BalDone,MIN(F_MortPayM,D8+D8*(F_MR/12)),0)</f>
        <v>1180</v>
      </c>
      <c r="R8" s="20" t="n">
        <f aca="false">IF(E8&gt;PR_BalDone,MIN(F_MortPayM,E8+E8*(F_MR/12)),0)</f>
        <v>1180</v>
      </c>
      <c r="S8" s="20" t="n">
        <f aca="false">IF(F8&gt;PR_BalDone,MIN(F_MortPayM,F8+F8*(F_MR/12)),0)</f>
        <v>1180</v>
      </c>
      <c r="T8" s="20" t="n">
        <f aca="false">IF(G8&gt;PR_BalDone,MIN(F_MortPayM,G8+G8*(F_MR/12)),0)</f>
        <v>1180</v>
      </c>
      <c r="U8" s="20" t="n">
        <f aca="false">IF(H8&gt;PR_BalDone,MIN(F_MortPayM,H8+H8*(F_MR/12)),0)</f>
        <v>1180</v>
      </c>
      <c r="V8" s="20" t="n">
        <f aca="false">IF(I8&gt;PR_BalDone,MIN(F_MortPayM,I8+I8*(F_MR/12)),0)</f>
        <v>1180</v>
      </c>
      <c r="W8" s="20" t="n">
        <f aca="false">IF(J8&gt;PR_BalDone,MIN(F_MortPayM,J8+J8*(F_MR/12)),0)</f>
        <v>1180</v>
      </c>
      <c r="X8" s="20" t="n">
        <f aca="false">IF(K8&gt;PR_BalDone,MIN(F_MortPayM,K8+K8*(F_MR/12)),0)</f>
        <v>1180</v>
      </c>
      <c r="Y8" s="20" t="n">
        <f aca="false">IF(L8&gt;PR_BalDone,MIN(F_MortPayM,L8+L8*(F_MR/12)),0)</f>
        <v>1180</v>
      </c>
      <c r="Z8" s="20" t="n">
        <f aca="false">IF(M8&gt;PR_BalDone,MIN(F_MortPayM,M8+M8*(F_MR/12)),0)</f>
        <v>1180</v>
      </c>
      <c r="AA8" s="20" t="n">
        <f aca="false">IF(N8&gt;PR_BalDone,MIN(F_MortPayM,N8+N8*(F_MR/12)),0)</f>
        <v>1180</v>
      </c>
      <c r="AB8" s="20" t="n">
        <f aca="false">MAX(0,O8)</f>
        <v>197269.770715164</v>
      </c>
      <c r="AC8" s="20" t="n">
        <f aca="false">SUM(P8:AA8)</f>
        <v>14160</v>
      </c>
      <c r="AD8" s="20" t="n">
        <f aca="false">'Plan cashflow'!M8</f>
        <v>400</v>
      </c>
      <c r="AE8" s="20" t="n">
        <f aca="false">IF(AD8&gt;PR_BalDone,AD8+AD8*(D_iC)-MIN(F_CardPayM,AD8+AD8*(D_iC)),AD8)</f>
        <v>366.123788199893</v>
      </c>
      <c r="AF8" s="20" t="n">
        <f aca="false">IF(AE8&gt;PR_BalDone,AE8+AE8*(D_iC)-MIN(F_CardPayM,AE8+AE8*(D_iC)),AE8)</f>
        <v>331.728949534589</v>
      </c>
      <c r="AG8" s="20" t="n">
        <f aca="false">IF(AF8&gt;PR_BalDone,AF8+AF8*(D_iC)-MIN(F_CardPayM,AF8+AF8*(D_iC)),AF8)</f>
        <v>296.807544101395</v>
      </c>
      <c r="AH8" s="20" t="n">
        <f aca="false">IF(AG8&gt;PR_BalDone,AG8+AG8*(D_iC)-MIN(F_CardPayM,AG8+AG8*(D_iC)),AG8)</f>
        <v>261.351510441913</v>
      </c>
      <c r="AI8" s="20" t="n">
        <f aca="false">IF(AH8&gt;PR_BalDone,AH8+AH8*(D_iC)-MIN(F_CardPayM,AH8+AH8*(D_iC)),AH8)</f>
        <v>225.352663681084</v>
      </c>
      <c r="AJ8" s="20" t="n">
        <f aca="false">IF(AI8&gt;PR_BalDone,AI8+AI8*(D_iC)-MIN(F_CardPayM,AI8+AI8*(D_iC)),AI8)</f>
        <v>188.802693637745</v>
      </c>
      <c r="AK8" s="20" t="n">
        <f aca="false">IF(AJ8&gt;PR_BalDone,AJ8+AJ8*(D_iC)-MIN(F_CardPayM,AJ8+AJ8*(D_iC)),AJ8)</f>
        <v>151.693162906262</v>
      </c>
      <c r="AL8" s="20" t="n">
        <f aca="false">IF(AK8&gt;PR_BalDone,AK8+AK8*(D_iC)-MIN(F_CardPayM,AK8+AK8*(D_iC)),AK8)</f>
        <v>114.015504908786</v>
      </c>
      <c r="AM8" s="20" t="n">
        <f aca="false">IF(AL8&gt;PR_BalDone,AL8+AL8*(D_iC)-MIN(F_CardPayM,AL8+AL8*(D_iC)),AL8)</f>
        <v>75.7610219176994</v>
      </c>
      <c r="AN8" s="20" t="n">
        <f aca="false">IF(AM8&gt;PR_BalDone,AM8+AM8*(D_iC)-MIN(F_CardPayM,AM8+AM8*(D_iC)),AM8)</f>
        <v>36.9208830477779</v>
      </c>
      <c r="AO8" s="20" t="n">
        <f aca="false">IF(AN8&gt;PR_BalDone,AN8+AN8*(D_iC)-MIN(F_CardPayM,AN8+AN8*(D_iC)),AN8)</f>
        <v>0</v>
      </c>
      <c r="AP8" s="20" t="n">
        <f aca="false">IF(AO8&gt;PR_BalDone,AO8+AO8*(D_iC)-MIN(F_CardPayM,AO8+AO8*(D_iC)),AO8)</f>
        <v>0</v>
      </c>
      <c r="AQ8" s="20" t="n">
        <f aca="false">IF(AD8&gt;PR_BalDone,MIN(F_CardPayM,AD8+AD8*(D_iC)),0)</f>
        <v>40</v>
      </c>
      <c r="AR8" s="20" t="n">
        <f aca="false">IF(AE8&gt;PR_BalDone,MIN(F_CardPayM,AE8+AE8*(D_iC)),0)</f>
        <v>40</v>
      </c>
      <c r="AS8" s="20" t="n">
        <f aca="false">IF(AF8&gt;PR_BalDone,MIN(F_CardPayM,AF8+AF8*(D_iC)),0)</f>
        <v>40</v>
      </c>
      <c r="AT8" s="20" t="n">
        <f aca="false">IF(AG8&gt;PR_BalDone,MIN(F_CardPayM,AG8+AG8*(D_iC)),0)</f>
        <v>40</v>
      </c>
      <c r="AU8" s="20" t="n">
        <f aca="false">IF(AH8&gt;PR_BalDone,MIN(F_CardPayM,AH8+AH8*(D_iC)),0)</f>
        <v>40</v>
      </c>
      <c r="AV8" s="20" t="n">
        <f aca="false">IF(AI8&gt;PR_BalDone,MIN(F_CardPayM,AI8+AI8*(D_iC)),0)</f>
        <v>40</v>
      </c>
      <c r="AW8" s="20" t="n">
        <f aca="false">IF(AJ8&gt;PR_BalDone,MIN(F_CardPayM,AJ8+AJ8*(D_iC)),0)</f>
        <v>40</v>
      </c>
      <c r="AX8" s="20" t="n">
        <f aca="false">IF(AK8&gt;PR_BalDone,MIN(F_CardPayM,AK8+AK8*(D_iC)),0)</f>
        <v>40</v>
      </c>
      <c r="AY8" s="20" t="n">
        <f aca="false">IF(AL8&gt;PR_BalDone,MIN(F_CardPayM,AL8+AL8*(D_iC)),0)</f>
        <v>40</v>
      </c>
      <c r="AZ8" s="20" t="n">
        <f aca="false">IF(AM8&gt;PR_BalDone,MIN(F_CardPayM,AM8+AM8*(D_iC)),0)</f>
        <v>40</v>
      </c>
      <c r="BA8" s="20" t="n">
        <f aca="false">IF(AN8&gt;PR_BalDone,MIN(F_CardPayM,AN8+AN8*(D_iC)),0)</f>
        <v>37.4861222176219</v>
      </c>
      <c r="BB8" s="20" t="n">
        <f aca="false">IF(AO8&gt;PR_BalDone,MIN(F_CardPayM,AO8+AO8*(D_iC)),0)</f>
        <v>0</v>
      </c>
      <c r="BC8" s="20" t="n">
        <f aca="false">MAX(0,AP8)</f>
        <v>0</v>
      </c>
      <c r="BD8" s="20" t="n">
        <f aca="false">SUM(AQ8:BB8)</f>
        <v>437.486122217622</v>
      </c>
      <c r="BE8" s="20" t="n">
        <f aca="false">'Plan cashflow'!P8</f>
        <v>3500</v>
      </c>
      <c r="BF8" s="20" t="n">
        <f aca="false">IF(BE8&gt;PR_BalDone,BE8+BE8*(D_iL)-MIN(F_LoanPayM,BE8+BE8*(D_iL)),BE8)</f>
        <v>3422.51910538501</v>
      </c>
      <c r="BG8" s="20" t="n">
        <f aca="false">IF(BF8&gt;PR_BalDone,BF8+BF8*(D_iL)-MIN(F_LoanPayM,BF8+BF8*(D_iL)),BF8)</f>
        <v>3344.53969636112</v>
      </c>
      <c r="BH8" s="20" t="n">
        <f aca="false">IF(BG8&gt;PR_BalDone,BG8+BG8*(D_iL)-MIN(F_LoanPayM,BG8+BG8*(D_iL)),BG8)</f>
        <v>3266.05856547161</v>
      </c>
      <c r="BI8" s="20" t="n">
        <f aca="false">IF(BH8&gt;PR_BalDone,BH8+BH8*(D_iL)-MIN(F_LoanPayM,BH8+BH8*(D_iL)),BH8)</f>
        <v>3187.07248462289</v>
      </c>
      <c r="BJ8" s="20" t="n">
        <f aca="false">IF(BI8&gt;PR_BalDone,BI8+BI8*(D_iL)-MIN(F_LoanPayM,BI8+BI8*(D_iL)),BI8)</f>
        <v>3107.57820495172</v>
      </c>
      <c r="BK8" s="20" t="n">
        <f aca="false">IF(BJ8&gt;PR_BalDone,BJ8+BJ8*(D_iL)-MIN(F_LoanPayM,BJ8+BJ8*(D_iL)),BJ8)</f>
        <v>3027.57245669157</v>
      </c>
      <c r="BL8" s="20" t="n">
        <f aca="false">IF(BK8&gt;PR_BalDone,BK8+BK8*(D_iL)-MIN(F_LoanPayM,BK8+BK8*(D_iL)),BK8)</f>
        <v>2947.05194903814</v>
      </c>
      <c r="BM8" s="20" t="n">
        <f aca="false">IF(BL8&gt;PR_BalDone,BL8+BL8*(D_iL)-MIN(F_LoanPayM,BL8+BL8*(D_iL)),BL8)</f>
        <v>2866.01337001399</v>
      </c>
      <c r="BN8" s="20" t="n">
        <f aca="false">IF(BM8&gt;PR_BalDone,BM8+BM8*(D_iL)-MIN(F_LoanPayM,BM8+BM8*(D_iL)),BM8)</f>
        <v>2784.45338633234</v>
      </c>
      <c r="BO8" s="20" t="n">
        <f aca="false">IF(BN8&gt;PR_BalDone,BN8+BN8*(D_iL)-MIN(F_LoanPayM,BN8+BN8*(D_iL)),BN8)</f>
        <v>2702.3686432599</v>
      </c>
      <c r="BP8" s="20" t="n">
        <f aca="false">IF(BO8&gt;PR_BalDone,BO8+BO8*(D_iL)-MIN(F_LoanPayM,BO8+BO8*(D_iL)),BO8)</f>
        <v>2619.75576447896</v>
      </c>
      <c r="BQ8" s="20" t="n">
        <f aca="false">IF(BP8&gt;PR_BalDone,BP8+BP8*(D_iL)-MIN(F_LoanPayM,BP8+BP8*(D_iL)),BP8)</f>
        <v>2536.61135194847</v>
      </c>
      <c r="BR8" s="20" t="n">
        <f aca="false">IF(BE8&gt;PR_BalDone,MIN(F_LoanPayM,BE8+BE8*(D_iL)),0)</f>
        <v>100</v>
      </c>
      <c r="BS8" s="20" t="n">
        <f aca="false">IF(BF8&gt;PR_BalDone,MIN(F_LoanPayM,BF8+BF8*(D_iL)),0)</f>
        <v>100</v>
      </c>
      <c r="BT8" s="20" t="n">
        <f aca="false">IF(BG8&gt;PR_BalDone,MIN(F_LoanPayM,BG8+BG8*(D_iL)),0)</f>
        <v>100</v>
      </c>
      <c r="BU8" s="20" t="n">
        <f aca="false">IF(BH8&gt;PR_BalDone,MIN(F_LoanPayM,BH8+BH8*(D_iL)),0)</f>
        <v>100</v>
      </c>
      <c r="BV8" s="20" t="n">
        <f aca="false">IF(BI8&gt;PR_BalDone,MIN(F_LoanPayM,BI8+BI8*(D_iL)),0)</f>
        <v>100</v>
      </c>
      <c r="BW8" s="20" t="n">
        <f aca="false">IF(BJ8&gt;PR_BalDone,MIN(F_LoanPayM,BJ8+BJ8*(D_iL)),0)</f>
        <v>100</v>
      </c>
      <c r="BX8" s="20" t="n">
        <f aca="false">IF(BK8&gt;PR_BalDone,MIN(F_LoanPayM,BK8+BK8*(D_iL)),0)</f>
        <v>100</v>
      </c>
      <c r="BY8" s="20" t="n">
        <f aca="false">IF(BL8&gt;PR_BalDone,MIN(F_LoanPayM,BL8+BL8*(D_iL)),0)</f>
        <v>100</v>
      </c>
      <c r="BZ8" s="20" t="n">
        <f aca="false">IF(BM8&gt;PR_BalDone,MIN(F_LoanPayM,BM8+BM8*(D_iL)),0)</f>
        <v>100</v>
      </c>
      <c r="CA8" s="20" t="n">
        <f aca="false">IF(BN8&gt;PR_BalDone,MIN(F_LoanPayM,BN8+BN8*(D_iL)),0)</f>
        <v>100</v>
      </c>
      <c r="CB8" s="20" t="n">
        <f aca="false">IF(BO8&gt;PR_BalDone,MIN(F_LoanPayM,BO8+BO8*(D_iL)),0)</f>
        <v>100</v>
      </c>
      <c r="CC8" s="20" t="n">
        <f aca="false">IF(BP8&gt;PR_BalDone,MIN(F_LoanPayM,BP8+BP8*(D_iL)),0)</f>
        <v>100</v>
      </c>
      <c r="CD8" s="20" t="n">
        <f aca="false">MAX(0,BQ8)</f>
        <v>2536.61135194847</v>
      </c>
      <c r="CE8" s="20" t="n">
        <f aca="false">SUM(BR8:CC8)</f>
        <v>1200</v>
      </c>
      <c r="CF8" s="20" t="n">
        <f aca="false">IF(CF7&gt;1,DE7,CF7)</f>
        <v>203700</v>
      </c>
      <c r="CG8" s="20" t="n">
        <f aca="false">IF(CF8&gt;PR_BalDone,CF8+CF8*(F_MR/12)-MIN(F_MortPayM,CF8+CF8*(F_MR/12)),CF8)</f>
        <v>203173.5375</v>
      </c>
      <c r="CH8" s="20" t="n">
        <f aca="false">IF(CG8&gt;PR_BalDone,CG8+CG8*(F_MR/12)-MIN(F_MortPayM,CG8+CG8*(F_MR/12)),CG8)</f>
        <v>202645.385932813</v>
      </c>
      <c r="CI8" s="20" t="n">
        <f aca="false">IF(CH8&gt;PR_BalDone,CH8+CH8*(F_MR/12)-MIN(F_MortPayM,CH8+CH8*(F_MR/12)),CH8)</f>
        <v>202115.539879347</v>
      </c>
      <c r="CJ8" s="20" t="n">
        <f aca="false">IF(CI8&gt;PR_BalDone,CI8+CI8*(F_MR/12)-MIN(F_MortPayM,CI8+CI8*(F_MR/12)),CI8)</f>
        <v>201583.993903127</v>
      </c>
      <c r="CK8" s="20" t="n">
        <f aca="false">IF(CJ8&gt;PR_BalDone,CJ8+CJ8*(F_MR/12)-MIN(F_MortPayM,CJ8+CJ8*(F_MR/12)),CJ8)</f>
        <v>201050.742550232</v>
      </c>
      <c r="CL8" s="20" t="n">
        <f aca="false">IF(CK8&gt;PR_BalDone,CK8+CK8*(F_MR/12)-MIN(F_MortPayM,CK8+CK8*(F_MR/12)),CK8)</f>
        <v>200515.780349248</v>
      </c>
      <c r="CM8" s="20" t="n">
        <f aca="false">IF(CL8&gt;PR_BalDone,CL8+CL8*(F_MR/12)-MIN(F_MortPayM,CL8+CL8*(F_MR/12)),CL8)</f>
        <v>199979.101811202</v>
      </c>
      <c r="CN8" s="20" t="n">
        <f aca="false">IF(CM8&gt;PR_BalDone,CM8+CM8*(F_MR/12)-MIN(F_MortPayM,CM8+CM8*(F_MR/12)),CM8)</f>
        <v>199440.701429512</v>
      </c>
      <c r="CO8" s="20" t="n">
        <f aca="false">IF(CN8&gt;PR_BalDone,CN8+CN8*(F_MR/12)-MIN(F_MortPayM,CN8+CN8*(F_MR/12)),CN8)</f>
        <v>198900.573679932</v>
      </c>
      <c r="CP8" s="20" t="n">
        <f aca="false">IF(CO8&gt;PR_BalDone,CO8+CO8*(F_MR/12)-MIN(F_MortPayM,CO8+CO8*(F_MR/12)),CO8)</f>
        <v>198358.713020489</v>
      </c>
      <c r="CQ8" s="20" t="n">
        <f aca="false">IF(CP8&gt;PR_BalDone,CP8+CP8*(F_MR/12)-MIN(F_MortPayM,CP8+CP8*(F_MR/12)),CP8)</f>
        <v>197815.113891429</v>
      </c>
      <c r="CR8" s="20" t="n">
        <f aca="false">IF(CQ8&gt;PR_BalDone,CQ8+CQ8*(F_MR/12)-MIN(F_MortPayM,CQ8+CQ8*(F_MR/12)),CQ8)</f>
        <v>197269.770715164</v>
      </c>
      <c r="CS8" s="20" t="n">
        <f aca="false">IF(CF8&gt;PR_BalDone,MIN(F_MortPayM,CF8+CF8*(F_MR/12)),0)</f>
        <v>1180</v>
      </c>
      <c r="CT8" s="20" t="n">
        <f aca="false">IF(CG8&gt;PR_BalDone,MIN(F_MortPayM,CG8+CG8*(F_MR/12)),0)</f>
        <v>1180</v>
      </c>
      <c r="CU8" s="20" t="n">
        <f aca="false">IF(CH8&gt;PR_BalDone,MIN(F_MortPayM,CH8+CH8*(F_MR/12)),0)</f>
        <v>1180</v>
      </c>
      <c r="CV8" s="20" t="n">
        <f aca="false">IF(CI8&gt;PR_BalDone,MIN(F_MortPayM,CI8+CI8*(F_MR/12)),0)</f>
        <v>1180</v>
      </c>
      <c r="CW8" s="20" t="n">
        <f aca="false">IF(CJ8&gt;PR_BalDone,MIN(F_MortPayM,CJ8+CJ8*(F_MR/12)),0)</f>
        <v>1180</v>
      </c>
      <c r="CX8" s="20" t="n">
        <f aca="false">IF(CK8&gt;PR_BalDone,MIN(F_MortPayM,CK8+CK8*(F_MR/12)),0)</f>
        <v>1180</v>
      </c>
      <c r="CY8" s="20" t="n">
        <f aca="false">IF(CL8&gt;PR_BalDone,MIN(F_MortPayM,CL8+CL8*(F_MR/12)),0)</f>
        <v>1180</v>
      </c>
      <c r="CZ8" s="20" t="n">
        <f aca="false">IF(CM8&gt;PR_BalDone,MIN(F_MortPayM,CM8+CM8*(F_MR/12)),0)</f>
        <v>1180</v>
      </c>
      <c r="DA8" s="20" t="n">
        <f aca="false">IF(CN8&gt;PR_BalDone,MIN(F_MortPayM,CN8+CN8*(F_MR/12)),0)</f>
        <v>1180</v>
      </c>
      <c r="DB8" s="20" t="n">
        <f aca="false">IF(CO8&gt;PR_BalDone,MIN(F_MortPayM,CO8+CO8*(F_MR/12)),0)</f>
        <v>1180</v>
      </c>
      <c r="DC8" s="20" t="n">
        <f aca="false">IF(CP8&gt;PR_BalDone,MIN(F_MortPayM,CP8+CP8*(F_MR/12)),0)</f>
        <v>1180</v>
      </c>
      <c r="DD8" s="20" t="n">
        <f aca="false">IF(CQ8&gt;PR_BalDone,MIN(F_MortPayM,CQ8+CQ8*(F_MR/12)),0)</f>
        <v>1180</v>
      </c>
      <c r="DE8" s="20" t="n">
        <f aca="false">MAX(0,CR8)</f>
        <v>197269.770715164</v>
      </c>
      <c r="DF8" s="20" t="n">
        <f aca="false">SUM(CS8:DD8)</f>
        <v>14160</v>
      </c>
      <c r="DG8" s="20" t="n">
        <f aca="false">MAX(0,CF8)</f>
        <v>203700</v>
      </c>
    </row>
    <row r="9" customFormat="false" ht="15" hidden="false" customHeight="true" outlineLevel="0" collapsed="false">
      <c r="B9" s="20" t="n">
        <v>1</v>
      </c>
      <c r="C9" s="20" t="n">
        <f aca="false">'Plan cashflow'!J9</f>
        <v>197269.770715164</v>
      </c>
      <c r="D9" s="20" t="n">
        <f aca="false">IF(C9&gt;PR_BalDone,C9+C9*(F_MR/12)-MIN(F_MortPayM,C9+C9*(F_MR/12)),C9)</f>
        <v>196722.677896209</v>
      </c>
      <c r="E9" s="20" t="n">
        <f aca="false">IF(D9&gt;PR_BalDone,D9+D9*(F_MR/12)-MIN(F_MortPayM,D9+D9*(F_MR/12)),D9)</f>
        <v>196173.829821126</v>
      </c>
      <c r="F9" s="20" t="n">
        <f aca="false">IF(E9&gt;PR_BalDone,E9+E9*(F_MR/12)-MIN(F_MortPayM,E9+E9*(F_MR/12)),E9)</f>
        <v>195623.220858469</v>
      </c>
      <c r="G9" s="20" t="n">
        <f aca="false">IF(F9&gt;PR_BalDone,F9+F9*(F_MR/12)-MIN(F_MortPayM,F9+F9*(F_MR/12)),F9)</f>
        <v>195070.845358723</v>
      </c>
      <c r="H9" s="20" t="n">
        <f aca="false">IF(G9&gt;PR_BalDone,G9+G9*(F_MR/12)-MIN(F_MortPayM,G9+G9*(F_MR/12)),G9)</f>
        <v>194516.697654249</v>
      </c>
      <c r="I9" s="20" t="n">
        <f aca="false">IF(H9&gt;PR_BalDone,H9+H9*(F_MR/12)-MIN(F_MortPayM,H9+H9*(F_MR/12)),H9)</f>
        <v>193960.772059223</v>
      </c>
      <c r="J9" s="20" t="n">
        <f aca="false">IF(I9&gt;PR_BalDone,I9+I9*(F_MR/12)-MIN(F_MortPayM,I9+I9*(F_MR/12)),I9)</f>
        <v>193403.06286958</v>
      </c>
      <c r="K9" s="20" t="n">
        <f aca="false">IF(J9&gt;PR_BalDone,J9+J9*(F_MR/12)-MIN(F_MortPayM,J9+J9*(F_MR/12)),J9)</f>
        <v>192843.564362953</v>
      </c>
      <c r="L9" s="20" t="n">
        <f aca="false">IF(K9&gt;PR_BalDone,K9+K9*(F_MR/12)-MIN(F_MortPayM,K9+K9*(F_MR/12)),K9)</f>
        <v>192282.270798617</v>
      </c>
      <c r="M9" s="20" t="n">
        <f aca="false">IF(L9&gt;PR_BalDone,L9+L9*(F_MR/12)-MIN(F_MortPayM,L9+L9*(F_MR/12)),L9)</f>
        <v>191719.176417429</v>
      </c>
      <c r="N9" s="20" t="n">
        <f aca="false">IF(M9&gt;PR_BalDone,M9+M9*(F_MR/12)-MIN(F_MortPayM,M9+M9*(F_MR/12)),M9)</f>
        <v>191154.275441769</v>
      </c>
      <c r="O9" s="20" t="n">
        <f aca="false">IF(N9&gt;PR_BalDone,N9+N9*(F_MR/12)-MIN(F_MortPayM,N9+N9*(F_MR/12)),N9)</f>
        <v>190587.562075478</v>
      </c>
      <c r="P9" s="20" t="n">
        <f aca="false">IF(C9&gt;PR_BalDone,MIN(F_MortPayM,C9+C9*(F_MR/12)),0)</f>
        <v>1180</v>
      </c>
      <c r="Q9" s="20" t="n">
        <f aca="false">IF(D9&gt;PR_BalDone,MIN(F_MortPayM,D9+D9*(F_MR/12)),0)</f>
        <v>1180</v>
      </c>
      <c r="R9" s="20" t="n">
        <f aca="false">IF(E9&gt;PR_BalDone,MIN(F_MortPayM,E9+E9*(F_MR/12)),0)</f>
        <v>1180</v>
      </c>
      <c r="S9" s="20" t="n">
        <f aca="false">IF(F9&gt;PR_BalDone,MIN(F_MortPayM,F9+F9*(F_MR/12)),0)</f>
        <v>1180</v>
      </c>
      <c r="T9" s="20" t="n">
        <f aca="false">IF(G9&gt;PR_BalDone,MIN(F_MortPayM,G9+G9*(F_MR/12)),0)</f>
        <v>1180</v>
      </c>
      <c r="U9" s="20" t="n">
        <f aca="false">IF(H9&gt;PR_BalDone,MIN(F_MortPayM,H9+H9*(F_MR/12)),0)</f>
        <v>1180</v>
      </c>
      <c r="V9" s="20" t="n">
        <f aca="false">IF(I9&gt;PR_BalDone,MIN(F_MortPayM,I9+I9*(F_MR/12)),0)</f>
        <v>1180</v>
      </c>
      <c r="W9" s="20" t="n">
        <f aca="false">IF(J9&gt;PR_BalDone,MIN(F_MortPayM,J9+J9*(F_MR/12)),0)</f>
        <v>1180</v>
      </c>
      <c r="X9" s="20" t="n">
        <f aca="false">IF(K9&gt;PR_BalDone,MIN(F_MortPayM,K9+K9*(F_MR/12)),0)</f>
        <v>1180</v>
      </c>
      <c r="Y9" s="20" t="n">
        <f aca="false">IF(L9&gt;PR_BalDone,MIN(F_MortPayM,L9+L9*(F_MR/12)),0)</f>
        <v>1180</v>
      </c>
      <c r="Z9" s="20" t="n">
        <f aca="false">IF(M9&gt;PR_BalDone,MIN(F_MortPayM,M9+M9*(F_MR/12)),0)</f>
        <v>1180</v>
      </c>
      <c r="AA9" s="20" t="n">
        <f aca="false">IF(N9&gt;PR_BalDone,MIN(F_MortPayM,N9+N9*(F_MR/12)),0)</f>
        <v>1180</v>
      </c>
      <c r="AB9" s="20" t="n">
        <f aca="false">MAX(0,O9)</f>
        <v>190587.562075478</v>
      </c>
      <c r="AC9" s="20" t="n">
        <f aca="false">SUM(P9:AA9)</f>
        <v>14160</v>
      </c>
      <c r="AD9" s="20" t="n">
        <f aca="false">'Plan cashflow'!M9</f>
        <v>0</v>
      </c>
      <c r="AE9" s="20" t="n">
        <f aca="false">IF(AD9&gt;PR_BalDone,AD9+AD9*(D_iC)-MIN(F_CardPayM,AD9+AD9*(D_iC)),AD9)</f>
        <v>0</v>
      </c>
      <c r="AF9" s="20" t="n">
        <f aca="false">IF(AE9&gt;PR_BalDone,AE9+AE9*(D_iC)-MIN(F_CardPayM,AE9+AE9*(D_iC)),AE9)</f>
        <v>0</v>
      </c>
      <c r="AG9" s="20" t="n">
        <f aca="false">IF(AF9&gt;PR_BalDone,AF9+AF9*(D_iC)-MIN(F_CardPayM,AF9+AF9*(D_iC)),AF9)</f>
        <v>0</v>
      </c>
      <c r="AH9" s="20" t="n">
        <f aca="false">IF(AG9&gt;PR_BalDone,AG9+AG9*(D_iC)-MIN(F_CardPayM,AG9+AG9*(D_iC)),AG9)</f>
        <v>0</v>
      </c>
      <c r="AI9" s="20" t="n">
        <f aca="false">IF(AH9&gt;PR_BalDone,AH9+AH9*(D_iC)-MIN(F_CardPayM,AH9+AH9*(D_iC)),AH9)</f>
        <v>0</v>
      </c>
      <c r="AJ9" s="20" t="n">
        <f aca="false">IF(AI9&gt;PR_BalDone,AI9+AI9*(D_iC)-MIN(F_CardPayM,AI9+AI9*(D_iC)),AI9)</f>
        <v>0</v>
      </c>
      <c r="AK9" s="20" t="n">
        <f aca="false">IF(AJ9&gt;PR_BalDone,AJ9+AJ9*(D_iC)-MIN(F_CardPayM,AJ9+AJ9*(D_iC)),AJ9)</f>
        <v>0</v>
      </c>
      <c r="AL9" s="20" t="n">
        <f aca="false">IF(AK9&gt;PR_BalDone,AK9+AK9*(D_iC)-MIN(F_CardPayM,AK9+AK9*(D_iC)),AK9)</f>
        <v>0</v>
      </c>
      <c r="AM9" s="20" t="n">
        <f aca="false">IF(AL9&gt;PR_BalDone,AL9+AL9*(D_iC)-MIN(F_CardPayM,AL9+AL9*(D_iC)),AL9)</f>
        <v>0</v>
      </c>
      <c r="AN9" s="20" t="n">
        <f aca="false">IF(AM9&gt;PR_BalDone,AM9+AM9*(D_iC)-MIN(F_CardPayM,AM9+AM9*(D_iC)),AM9)</f>
        <v>0</v>
      </c>
      <c r="AO9" s="20" t="n">
        <f aca="false">IF(AN9&gt;PR_BalDone,AN9+AN9*(D_iC)-MIN(F_CardPayM,AN9+AN9*(D_iC)),AN9)</f>
        <v>0</v>
      </c>
      <c r="AP9" s="20" t="n">
        <f aca="false">IF(AO9&gt;PR_BalDone,AO9+AO9*(D_iC)-MIN(F_CardPayM,AO9+AO9*(D_iC)),AO9)</f>
        <v>0</v>
      </c>
      <c r="AQ9" s="20" t="n">
        <f aca="false">IF(AD9&gt;PR_BalDone,MIN(F_CardPayM,AD9+AD9*(D_iC)),0)</f>
        <v>0</v>
      </c>
      <c r="AR9" s="20" t="n">
        <f aca="false">IF(AE9&gt;PR_BalDone,MIN(F_CardPayM,AE9+AE9*(D_iC)),0)</f>
        <v>0</v>
      </c>
      <c r="AS9" s="20" t="n">
        <f aca="false">IF(AF9&gt;PR_BalDone,MIN(F_CardPayM,AF9+AF9*(D_iC)),0)</f>
        <v>0</v>
      </c>
      <c r="AT9" s="20" t="n">
        <f aca="false">IF(AG9&gt;PR_BalDone,MIN(F_CardPayM,AG9+AG9*(D_iC)),0)</f>
        <v>0</v>
      </c>
      <c r="AU9" s="20" t="n">
        <f aca="false">IF(AH9&gt;PR_BalDone,MIN(F_CardPayM,AH9+AH9*(D_iC)),0)</f>
        <v>0</v>
      </c>
      <c r="AV9" s="20" t="n">
        <f aca="false">IF(AI9&gt;PR_BalDone,MIN(F_CardPayM,AI9+AI9*(D_iC)),0)</f>
        <v>0</v>
      </c>
      <c r="AW9" s="20" t="n">
        <f aca="false">IF(AJ9&gt;PR_BalDone,MIN(F_CardPayM,AJ9+AJ9*(D_iC)),0)</f>
        <v>0</v>
      </c>
      <c r="AX9" s="20" t="n">
        <f aca="false">IF(AK9&gt;PR_BalDone,MIN(F_CardPayM,AK9+AK9*(D_iC)),0)</f>
        <v>0</v>
      </c>
      <c r="AY9" s="20" t="n">
        <f aca="false">IF(AL9&gt;PR_BalDone,MIN(F_CardPayM,AL9+AL9*(D_iC)),0)</f>
        <v>0</v>
      </c>
      <c r="AZ9" s="20" t="n">
        <f aca="false">IF(AM9&gt;PR_BalDone,MIN(F_CardPayM,AM9+AM9*(D_iC)),0)</f>
        <v>0</v>
      </c>
      <c r="BA9" s="20" t="n">
        <f aca="false">IF(AN9&gt;PR_BalDone,MIN(F_CardPayM,AN9+AN9*(D_iC)),0)</f>
        <v>0</v>
      </c>
      <c r="BB9" s="20" t="n">
        <f aca="false">IF(AO9&gt;PR_BalDone,MIN(F_CardPayM,AO9+AO9*(D_iC)),0)</f>
        <v>0</v>
      </c>
      <c r="BC9" s="20" t="n">
        <f aca="false">MAX(0,AP9)</f>
        <v>0</v>
      </c>
      <c r="BD9" s="20" t="n">
        <f aca="false">SUM(AQ9:BB9)</f>
        <v>0</v>
      </c>
      <c r="BE9" s="20" t="n">
        <f aca="false">'Plan cashflow'!P9</f>
        <v>2536.61135194847</v>
      </c>
      <c r="BF9" s="20" t="n">
        <f aca="false">IF(BE9&gt;PR_BalDone,BE9+BE9*(D_iL)-MIN(F_LoanPayM,BE9+BE9*(D_iL)),BE9)</f>
        <v>2452.93198576429</v>
      </c>
      <c r="BG9" s="20" t="n">
        <f aca="false">IF(BF9&gt;PR_BalDone,BF9+BF9*(D_iL)-MIN(F_LoanPayM,BF9+BF9*(D_iL)),BF9)</f>
        <v>2368.71422401849</v>
      </c>
      <c r="BH9" s="20" t="n">
        <f aca="false">IF(BG9&gt;PR_BalDone,BG9+BG9*(D_iL)-MIN(F_LoanPayM,BG9+BG9*(D_iL)),BG9)</f>
        <v>2283.95460265781</v>
      </c>
      <c r="BI9" s="20" t="n">
        <f aca="false">IF(BH9&gt;PR_BalDone,BH9+BH9*(D_iL)-MIN(F_LoanPayM,BH9+BH9*(D_iL)),BH9)</f>
        <v>2198.6496353412</v>
      </c>
      <c r="BJ9" s="20" t="n">
        <f aca="false">IF(BI9&gt;PR_BalDone,BI9+BI9*(D_iL)-MIN(F_LoanPayM,BI9+BI9*(D_iL)),BI9)</f>
        <v>2112.79581329633</v>
      </c>
      <c r="BK9" s="20" t="n">
        <f aca="false">IF(BJ9&gt;PR_BalDone,BJ9+BJ9*(D_iL)-MIN(F_LoanPayM,BJ9+BJ9*(D_iL)),BJ9)</f>
        <v>2026.38960517537</v>
      </c>
      <c r="BL9" s="20" t="n">
        <f aca="false">IF(BK9&gt;PR_BalDone,BK9+BK9*(D_iL)-MIN(F_LoanPayM,BK9+BK9*(D_iL)),BK9)</f>
        <v>1939.42745690966</v>
      </c>
      <c r="BM9" s="20" t="n">
        <f aca="false">IF(BL9&gt;PR_BalDone,BL9+BL9*(D_iL)-MIN(F_LoanPayM,BL9+BL9*(D_iL)),BL9)</f>
        <v>1851.90579156359</v>
      </c>
      <c r="BN9" s="20" t="n">
        <f aca="false">IF(BM9&gt;PR_BalDone,BM9+BM9*(D_iL)-MIN(F_LoanPayM,BM9+BM9*(D_iL)),BM9)</f>
        <v>1763.8210091874</v>
      </c>
      <c r="BO9" s="20" t="n">
        <f aca="false">IF(BN9&gt;PR_BalDone,BN9+BN9*(D_iL)-MIN(F_LoanPayM,BN9+BN9*(D_iL)),BN9)</f>
        <v>1675.16948666916</v>
      </c>
      <c r="BP9" s="20" t="n">
        <f aca="false">IF(BO9&gt;PR_BalDone,BO9+BO9*(D_iL)-MIN(F_LoanPayM,BO9+BO9*(D_iL)),BO9)</f>
        <v>1585.94757758575</v>
      </c>
      <c r="BQ9" s="20" t="n">
        <f aca="false">IF(BP9&gt;PR_BalDone,BP9+BP9*(D_iL)-MIN(F_LoanPayM,BP9+BP9*(D_iL)),BP9)</f>
        <v>1496.15161205283</v>
      </c>
      <c r="BR9" s="20" t="n">
        <f aca="false">IF(BE9&gt;PR_BalDone,MIN(F_LoanPayM,BE9+BE9*(D_iL)),0)</f>
        <v>100</v>
      </c>
      <c r="BS9" s="20" t="n">
        <f aca="false">IF(BF9&gt;PR_BalDone,MIN(F_LoanPayM,BF9+BF9*(D_iL)),0)</f>
        <v>100</v>
      </c>
      <c r="BT9" s="20" t="n">
        <f aca="false">IF(BG9&gt;PR_BalDone,MIN(F_LoanPayM,BG9+BG9*(D_iL)),0)</f>
        <v>100</v>
      </c>
      <c r="BU9" s="20" t="n">
        <f aca="false">IF(BH9&gt;PR_BalDone,MIN(F_LoanPayM,BH9+BH9*(D_iL)),0)</f>
        <v>100</v>
      </c>
      <c r="BV9" s="20" t="n">
        <f aca="false">IF(BI9&gt;PR_BalDone,MIN(F_LoanPayM,BI9+BI9*(D_iL)),0)</f>
        <v>100</v>
      </c>
      <c r="BW9" s="20" t="n">
        <f aca="false">IF(BJ9&gt;PR_BalDone,MIN(F_LoanPayM,BJ9+BJ9*(D_iL)),0)</f>
        <v>100</v>
      </c>
      <c r="BX9" s="20" t="n">
        <f aca="false">IF(BK9&gt;PR_BalDone,MIN(F_LoanPayM,BK9+BK9*(D_iL)),0)</f>
        <v>100</v>
      </c>
      <c r="BY9" s="20" t="n">
        <f aca="false">IF(BL9&gt;PR_BalDone,MIN(F_LoanPayM,BL9+BL9*(D_iL)),0)</f>
        <v>100</v>
      </c>
      <c r="BZ9" s="20" t="n">
        <f aca="false">IF(BM9&gt;PR_BalDone,MIN(F_LoanPayM,BM9+BM9*(D_iL)),0)</f>
        <v>100</v>
      </c>
      <c r="CA9" s="20" t="n">
        <f aca="false">IF(BN9&gt;PR_BalDone,MIN(F_LoanPayM,BN9+BN9*(D_iL)),0)</f>
        <v>100</v>
      </c>
      <c r="CB9" s="20" t="n">
        <f aca="false">IF(BO9&gt;PR_BalDone,MIN(F_LoanPayM,BO9+BO9*(D_iL)),0)</f>
        <v>100</v>
      </c>
      <c r="CC9" s="20" t="n">
        <f aca="false">IF(BP9&gt;PR_BalDone,MIN(F_LoanPayM,BP9+BP9*(D_iL)),0)</f>
        <v>100</v>
      </c>
      <c r="CD9" s="20" t="n">
        <f aca="false">MAX(0,BQ9)</f>
        <v>1496.15161205283</v>
      </c>
      <c r="CE9" s="20" t="n">
        <f aca="false">SUM(BR9:CC9)</f>
        <v>1200</v>
      </c>
      <c r="CF9" s="20" t="n">
        <f aca="false">IF(CF8&gt;1,DE8,CF8)</f>
        <v>197269.770715164</v>
      </c>
      <c r="CG9" s="20" t="n">
        <f aca="false">IF(CF9&gt;PR_BalDone,CF9+CF9*(F_MR/12)-MIN(F_MortPayM,CF9+CF9*(F_MR/12)),CF9)</f>
        <v>196722.677896209</v>
      </c>
      <c r="CH9" s="20" t="n">
        <f aca="false">IF(CG9&gt;PR_BalDone,CG9+CG9*(F_MR/12)-MIN(F_MortPayM,CG9+CG9*(F_MR/12)),CG9)</f>
        <v>196173.829821126</v>
      </c>
      <c r="CI9" s="20" t="n">
        <f aca="false">IF(CH9&gt;PR_BalDone,CH9+CH9*(F_MR/12)-MIN(F_MortPayM,CH9+CH9*(F_MR/12)),CH9)</f>
        <v>195623.220858469</v>
      </c>
      <c r="CJ9" s="20" t="n">
        <f aca="false">IF(CI9&gt;PR_BalDone,CI9+CI9*(F_MR/12)-MIN(F_MortPayM,CI9+CI9*(F_MR/12)),CI9)</f>
        <v>195070.845358723</v>
      </c>
      <c r="CK9" s="20" t="n">
        <f aca="false">IF(CJ9&gt;PR_BalDone,CJ9+CJ9*(F_MR/12)-MIN(F_MortPayM,CJ9+CJ9*(F_MR/12)),CJ9)</f>
        <v>194516.697654249</v>
      </c>
      <c r="CL9" s="20" t="n">
        <f aca="false">IF(CK9&gt;PR_BalDone,CK9+CK9*(F_MR/12)-MIN(F_MortPayM,CK9+CK9*(F_MR/12)),CK9)</f>
        <v>193960.772059223</v>
      </c>
      <c r="CM9" s="20" t="n">
        <f aca="false">IF(CL9&gt;PR_BalDone,CL9+CL9*(F_MR/12)-MIN(F_MortPayM,CL9+CL9*(F_MR/12)),CL9)</f>
        <v>193403.06286958</v>
      </c>
      <c r="CN9" s="20" t="n">
        <f aca="false">IF(CM9&gt;PR_BalDone,CM9+CM9*(F_MR/12)-MIN(F_MortPayM,CM9+CM9*(F_MR/12)),CM9)</f>
        <v>192843.564362953</v>
      </c>
      <c r="CO9" s="20" t="n">
        <f aca="false">IF(CN9&gt;PR_BalDone,CN9+CN9*(F_MR/12)-MIN(F_MortPayM,CN9+CN9*(F_MR/12)),CN9)</f>
        <v>192282.270798617</v>
      </c>
      <c r="CP9" s="20" t="n">
        <f aca="false">IF(CO9&gt;PR_BalDone,CO9+CO9*(F_MR/12)-MIN(F_MortPayM,CO9+CO9*(F_MR/12)),CO9)</f>
        <v>191719.176417429</v>
      </c>
      <c r="CQ9" s="20" t="n">
        <f aca="false">IF(CP9&gt;PR_BalDone,CP9+CP9*(F_MR/12)-MIN(F_MortPayM,CP9+CP9*(F_MR/12)),CP9)</f>
        <v>191154.275441769</v>
      </c>
      <c r="CR9" s="20" t="n">
        <f aca="false">IF(CQ9&gt;PR_BalDone,CQ9+CQ9*(F_MR/12)-MIN(F_MortPayM,CQ9+CQ9*(F_MR/12)),CQ9)</f>
        <v>190587.562075478</v>
      </c>
      <c r="CS9" s="20" t="n">
        <f aca="false">IF(CF9&gt;PR_BalDone,MIN(F_MortPayM,CF9+CF9*(F_MR/12)),0)</f>
        <v>1180</v>
      </c>
      <c r="CT9" s="20" t="n">
        <f aca="false">IF(CG9&gt;PR_BalDone,MIN(F_MortPayM,CG9+CG9*(F_MR/12)),0)</f>
        <v>1180</v>
      </c>
      <c r="CU9" s="20" t="n">
        <f aca="false">IF(CH9&gt;PR_BalDone,MIN(F_MortPayM,CH9+CH9*(F_MR/12)),0)</f>
        <v>1180</v>
      </c>
      <c r="CV9" s="20" t="n">
        <f aca="false">IF(CI9&gt;PR_BalDone,MIN(F_MortPayM,CI9+CI9*(F_MR/12)),0)</f>
        <v>1180</v>
      </c>
      <c r="CW9" s="20" t="n">
        <f aca="false">IF(CJ9&gt;PR_BalDone,MIN(F_MortPayM,CJ9+CJ9*(F_MR/12)),0)</f>
        <v>1180</v>
      </c>
      <c r="CX9" s="20" t="n">
        <f aca="false">IF(CK9&gt;PR_BalDone,MIN(F_MortPayM,CK9+CK9*(F_MR/12)),0)</f>
        <v>1180</v>
      </c>
      <c r="CY9" s="20" t="n">
        <f aca="false">IF(CL9&gt;PR_BalDone,MIN(F_MortPayM,CL9+CL9*(F_MR/12)),0)</f>
        <v>1180</v>
      </c>
      <c r="CZ9" s="20" t="n">
        <f aca="false">IF(CM9&gt;PR_BalDone,MIN(F_MortPayM,CM9+CM9*(F_MR/12)),0)</f>
        <v>1180</v>
      </c>
      <c r="DA9" s="20" t="n">
        <f aca="false">IF(CN9&gt;PR_BalDone,MIN(F_MortPayM,CN9+CN9*(F_MR/12)),0)</f>
        <v>1180</v>
      </c>
      <c r="DB9" s="20" t="n">
        <f aca="false">IF(CO9&gt;PR_BalDone,MIN(F_MortPayM,CO9+CO9*(F_MR/12)),0)</f>
        <v>1180</v>
      </c>
      <c r="DC9" s="20" t="n">
        <f aca="false">IF(CP9&gt;PR_BalDone,MIN(F_MortPayM,CP9+CP9*(F_MR/12)),0)</f>
        <v>1180</v>
      </c>
      <c r="DD9" s="20" t="n">
        <f aca="false">IF(CQ9&gt;PR_BalDone,MIN(F_MortPayM,CQ9+CQ9*(F_MR/12)),0)</f>
        <v>1180</v>
      </c>
      <c r="DE9" s="20" t="n">
        <f aca="false">MAX(0,CR9)</f>
        <v>190587.562075478</v>
      </c>
      <c r="DF9" s="20" t="n">
        <f aca="false">SUM(CS9:DD9)</f>
        <v>14160</v>
      </c>
      <c r="DG9" s="20" t="n">
        <f aca="false">MAX(0,CF9)</f>
        <v>197269.770715164</v>
      </c>
    </row>
    <row r="10" customFormat="false" ht="15" hidden="false" customHeight="true" outlineLevel="0" collapsed="false">
      <c r="B10" s="20" t="n">
        <v>2</v>
      </c>
      <c r="C10" s="20" t="n">
        <f aca="false">'Plan cashflow'!J10</f>
        <v>190587.562075478</v>
      </c>
      <c r="D10" s="20" t="n">
        <f aca="false">IF(C10&gt;PR_BalDone,C10+C10*(F_MR/12)-MIN(F_MortPayM,C10+C10*(F_MR/12)),C10)</f>
        <v>190019.030503803</v>
      </c>
      <c r="E10" s="20" t="n">
        <f aca="false">IF(D10&gt;PR_BalDone,D10+D10*(F_MR/12)-MIN(F_MortPayM,D10+D10*(F_MR/12)),D10)</f>
        <v>189448.674893336</v>
      </c>
      <c r="F10" s="20" t="n">
        <f aca="false">IF(E10&gt;PR_BalDone,E10+E10*(F_MR/12)-MIN(F_MortPayM,E10+E10*(F_MR/12)),E10)</f>
        <v>188876.489391952</v>
      </c>
      <c r="G10" s="20" t="n">
        <f aca="false">IF(F10&gt;PR_BalDone,F10+F10*(F_MR/12)-MIN(F_MortPayM,F10+F10*(F_MR/12)),F10)</f>
        <v>188302.468128752</v>
      </c>
      <c r="H10" s="20" t="n">
        <f aca="false">IF(G10&gt;PR_BalDone,G10+G10*(F_MR/12)-MIN(F_MortPayM,G10+G10*(F_MR/12)),G10)</f>
        <v>187726.605213998</v>
      </c>
      <c r="I10" s="20" t="n">
        <f aca="false">IF(H10&gt;PR_BalDone,H10+H10*(F_MR/12)-MIN(F_MortPayM,H10+H10*(F_MR/12)),H10)</f>
        <v>187148.89473906</v>
      </c>
      <c r="J10" s="20" t="n">
        <f aca="false">IF(I10&gt;PR_BalDone,I10+I10*(F_MR/12)-MIN(F_MortPayM,I10+I10*(F_MR/12)),I10)</f>
        <v>186569.330776347</v>
      </c>
      <c r="K10" s="20" t="n">
        <f aca="false">IF(J10&gt;PR_BalDone,J10+J10*(F_MR/12)-MIN(F_MortPayM,J10+J10*(F_MR/12)),J10)</f>
        <v>185987.907379255</v>
      </c>
      <c r="L10" s="20" t="n">
        <f aca="false">IF(K10&gt;PR_BalDone,K10+K10*(F_MR/12)-MIN(F_MortPayM,K10+K10*(F_MR/12)),K10)</f>
        <v>185404.618582097</v>
      </c>
      <c r="M10" s="20" t="n">
        <f aca="false">IF(L10&gt;PR_BalDone,L10+L10*(F_MR/12)-MIN(F_MortPayM,L10+L10*(F_MR/12)),L10)</f>
        <v>184819.458400047</v>
      </c>
      <c r="N10" s="20" t="n">
        <f aca="false">IF(M10&gt;PR_BalDone,M10+M10*(F_MR/12)-MIN(F_MortPayM,M10+M10*(F_MR/12)),M10)</f>
        <v>184232.420829081</v>
      </c>
      <c r="O10" s="20" t="n">
        <f aca="false">IF(N10&gt;PR_BalDone,N10+N10*(F_MR/12)-MIN(F_MortPayM,N10+N10*(F_MR/12)),N10)</f>
        <v>183643.499845908</v>
      </c>
      <c r="P10" s="20" t="n">
        <f aca="false">IF(C10&gt;PR_BalDone,MIN(F_MortPayM,C10+C10*(F_MR/12)),0)</f>
        <v>1180</v>
      </c>
      <c r="Q10" s="20" t="n">
        <f aca="false">IF(D10&gt;PR_BalDone,MIN(F_MortPayM,D10+D10*(F_MR/12)),0)</f>
        <v>1180</v>
      </c>
      <c r="R10" s="20" t="n">
        <f aca="false">IF(E10&gt;PR_BalDone,MIN(F_MortPayM,E10+E10*(F_MR/12)),0)</f>
        <v>1180</v>
      </c>
      <c r="S10" s="20" t="n">
        <f aca="false">IF(F10&gt;PR_BalDone,MIN(F_MortPayM,F10+F10*(F_MR/12)),0)</f>
        <v>1180</v>
      </c>
      <c r="T10" s="20" t="n">
        <f aca="false">IF(G10&gt;PR_BalDone,MIN(F_MortPayM,G10+G10*(F_MR/12)),0)</f>
        <v>1180</v>
      </c>
      <c r="U10" s="20" t="n">
        <f aca="false">IF(H10&gt;PR_BalDone,MIN(F_MortPayM,H10+H10*(F_MR/12)),0)</f>
        <v>1180</v>
      </c>
      <c r="V10" s="20" t="n">
        <f aca="false">IF(I10&gt;PR_BalDone,MIN(F_MortPayM,I10+I10*(F_MR/12)),0)</f>
        <v>1180</v>
      </c>
      <c r="W10" s="20" t="n">
        <f aca="false">IF(J10&gt;PR_BalDone,MIN(F_MortPayM,J10+J10*(F_MR/12)),0)</f>
        <v>1180</v>
      </c>
      <c r="X10" s="20" t="n">
        <f aca="false">IF(K10&gt;PR_BalDone,MIN(F_MortPayM,K10+K10*(F_MR/12)),0)</f>
        <v>1180</v>
      </c>
      <c r="Y10" s="20" t="n">
        <f aca="false">IF(L10&gt;PR_BalDone,MIN(F_MortPayM,L10+L10*(F_MR/12)),0)</f>
        <v>1180</v>
      </c>
      <c r="Z10" s="20" t="n">
        <f aca="false">IF(M10&gt;PR_BalDone,MIN(F_MortPayM,M10+M10*(F_MR/12)),0)</f>
        <v>1180</v>
      </c>
      <c r="AA10" s="20" t="n">
        <f aca="false">IF(N10&gt;PR_BalDone,MIN(F_MortPayM,N10+N10*(F_MR/12)),0)</f>
        <v>1180</v>
      </c>
      <c r="AB10" s="20" t="n">
        <f aca="false">MAX(0,O10)</f>
        <v>183643.499845908</v>
      </c>
      <c r="AC10" s="20" t="n">
        <f aca="false">SUM(P10:AA10)</f>
        <v>14160</v>
      </c>
      <c r="AD10" s="20" t="n">
        <f aca="false">'Plan cashflow'!M10</f>
        <v>0</v>
      </c>
      <c r="AE10" s="20" t="n">
        <f aca="false">IF(AD10&gt;PR_BalDone,AD10+AD10*(D_iC)-MIN(F_CardPayM,AD10+AD10*(D_iC)),AD10)</f>
        <v>0</v>
      </c>
      <c r="AF10" s="20" t="n">
        <f aca="false">IF(AE10&gt;PR_BalDone,AE10+AE10*(D_iC)-MIN(F_CardPayM,AE10+AE10*(D_iC)),AE10)</f>
        <v>0</v>
      </c>
      <c r="AG10" s="20" t="n">
        <f aca="false">IF(AF10&gt;PR_BalDone,AF10+AF10*(D_iC)-MIN(F_CardPayM,AF10+AF10*(D_iC)),AF10)</f>
        <v>0</v>
      </c>
      <c r="AH10" s="20" t="n">
        <f aca="false">IF(AG10&gt;PR_BalDone,AG10+AG10*(D_iC)-MIN(F_CardPayM,AG10+AG10*(D_iC)),AG10)</f>
        <v>0</v>
      </c>
      <c r="AI10" s="20" t="n">
        <f aca="false">IF(AH10&gt;PR_BalDone,AH10+AH10*(D_iC)-MIN(F_CardPayM,AH10+AH10*(D_iC)),AH10)</f>
        <v>0</v>
      </c>
      <c r="AJ10" s="20" t="n">
        <f aca="false">IF(AI10&gt;PR_BalDone,AI10+AI10*(D_iC)-MIN(F_CardPayM,AI10+AI10*(D_iC)),AI10)</f>
        <v>0</v>
      </c>
      <c r="AK10" s="20" t="n">
        <f aca="false">IF(AJ10&gt;PR_BalDone,AJ10+AJ10*(D_iC)-MIN(F_CardPayM,AJ10+AJ10*(D_iC)),AJ10)</f>
        <v>0</v>
      </c>
      <c r="AL10" s="20" t="n">
        <f aca="false">IF(AK10&gt;PR_BalDone,AK10+AK10*(D_iC)-MIN(F_CardPayM,AK10+AK10*(D_iC)),AK10)</f>
        <v>0</v>
      </c>
      <c r="AM10" s="20" t="n">
        <f aca="false">IF(AL10&gt;PR_BalDone,AL10+AL10*(D_iC)-MIN(F_CardPayM,AL10+AL10*(D_iC)),AL10)</f>
        <v>0</v>
      </c>
      <c r="AN10" s="20" t="n">
        <f aca="false">IF(AM10&gt;PR_BalDone,AM10+AM10*(D_iC)-MIN(F_CardPayM,AM10+AM10*(D_iC)),AM10)</f>
        <v>0</v>
      </c>
      <c r="AO10" s="20" t="n">
        <f aca="false">IF(AN10&gt;PR_BalDone,AN10+AN10*(D_iC)-MIN(F_CardPayM,AN10+AN10*(D_iC)),AN10)</f>
        <v>0</v>
      </c>
      <c r="AP10" s="20" t="n">
        <f aca="false">IF(AO10&gt;PR_BalDone,AO10+AO10*(D_iC)-MIN(F_CardPayM,AO10+AO10*(D_iC)),AO10)</f>
        <v>0</v>
      </c>
      <c r="AQ10" s="20" t="n">
        <f aca="false">IF(AD10&gt;PR_BalDone,MIN(F_CardPayM,AD10+AD10*(D_iC)),0)</f>
        <v>0</v>
      </c>
      <c r="AR10" s="20" t="n">
        <f aca="false">IF(AE10&gt;PR_BalDone,MIN(F_CardPayM,AE10+AE10*(D_iC)),0)</f>
        <v>0</v>
      </c>
      <c r="AS10" s="20" t="n">
        <f aca="false">IF(AF10&gt;PR_BalDone,MIN(F_CardPayM,AF10+AF10*(D_iC)),0)</f>
        <v>0</v>
      </c>
      <c r="AT10" s="20" t="n">
        <f aca="false">IF(AG10&gt;PR_BalDone,MIN(F_CardPayM,AG10+AG10*(D_iC)),0)</f>
        <v>0</v>
      </c>
      <c r="AU10" s="20" t="n">
        <f aca="false">IF(AH10&gt;PR_BalDone,MIN(F_CardPayM,AH10+AH10*(D_iC)),0)</f>
        <v>0</v>
      </c>
      <c r="AV10" s="20" t="n">
        <f aca="false">IF(AI10&gt;PR_BalDone,MIN(F_CardPayM,AI10+AI10*(D_iC)),0)</f>
        <v>0</v>
      </c>
      <c r="AW10" s="20" t="n">
        <f aca="false">IF(AJ10&gt;PR_BalDone,MIN(F_CardPayM,AJ10+AJ10*(D_iC)),0)</f>
        <v>0</v>
      </c>
      <c r="AX10" s="20" t="n">
        <f aca="false">IF(AK10&gt;PR_BalDone,MIN(F_CardPayM,AK10+AK10*(D_iC)),0)</f>
        <v>0</v>
      </c>
      <c r="AY10" s="20" t="n">
        <f aca="false">IF(AL10&gt;PR_BalDone,MIN(F_CardPayM,AL10+AL10*(D_iC)),0)</f>
        <v>0</v>
      </c>
      <c r="AZ10" s="20" t="n">
        <f aca="false">IF(AM10&gt;PR_BalDone,MIN(F_CardPayM,AM10+AM10*(D_iC)),0)</f>
        <v>0</v>
      </c>
      <c r="BA10" s="20" t="n">
        <f aca="false">IF(AN10&gt;PR_BalDone,MIN(F_CardPayM,AN10+AN10*(D_iC)),0)</f>
        <v>0</v>
      </c>
      <c r="BB10" s="20" t="n">
        <f aca="false">IF(AO10&gt;PR_BalDone,MIN(F_CardPayM,AO10+AO10*(D_iC)),0)</f>
        <v>0</v>
      </c>
      <c r="BC10" s="20" t="n">
        <f aca="false">MAX(0,AP10)</f>
        <v>0</v>
      </c>
      <c r="BD10" s="20" t="n">
        <f aca="false">SUM(AQ10:BB10)</f>
        <v>0</v>
      </c>
      <c r="BE10" s="20" t="n">
        <f aca="false">'Plan cashflow'!P10</f>
        <v>1496.15161205283</v>
      </c>
      <c r="BF10" s="20" t="n">
        <f aca="false">IF(BE10&gt;PR_BalDone,BE10+BE10*(D_iL)-MIN(F_LoanPayM,BE10+BE10*(D_iL)),BE10)</f>
        <v>1405.7778965739</v>
      </c>
      <c r="BG10" s="20" t="n">
        <f aca="false">IF(BF10&gt;PR_BalDone,BF10+BF10*(D_iL)-MIN(F_LoanPayM,BF10+BF10*(D_iL)),BF10)</f>
        <v>1314.82271388844</v>
      </c>
      <c r="BH10" s="20" t="n">
        <f aca="false">IF(BG10&gt;PR_BalDone,BG10+BG10*(D_iL)-MIN(F_LoanPayM,BG10+BG10*(D_iL)),BG10)</f>
        <v>1223.28232281891</v>
      </c>
      <c r="BI10" s="20" t="n">
        <f aca="false">IF(BH10&gt;PR_BalDone,BH10+BH10*(D_iL)-MIN(F_LoanPayM,BH10+BH10*(D_iL)),BH10)</f>
        <v>1131.15295811697</v>
      </c>
      <c r="BJ10" s="20" t="n">
        <f aca="false">IF(BI10&gt;PR_BalDone,BI10+BI10*(D_iL)-MIN(F_LoanPayM,BI10+BI10*(D_iL)),BI10)</f>
        <v>1038.43083030851</v>
      </c>
      <c r="BK10" s="20" t="n">
        <f aca="false">IF(BJ10&gt;PR_BalDone,BJ10+BJ10*(D_iL)-MIN(F_LoanPayM,BJ10+BJ10*(D_iL)),BJ10)</f>
        <v>945.11212553787</v>
      </c>
      <c r="BL10" s="20" t="n">
        <f aca="false">IF(BK10&gt;PR_BalDone,BK10+BK10*(D_iL)-MIN(F_LoanPayM,BK10+BK10*(D_iL)),BK10)</f>
        <v>851.19300541091</v>
      </c>
      <c r="BM10" s="20" t="n">
        <f aca="false">IF(BL10&gt;PR_BalDone,BL10+BL10*(D_iL)-MIN(F_LoanPayM,BL10+BL10*(D_iL)),BL10)</f>
        <v>756.669606837148</v>
      </c>
      <c r="BN10" s="20" t="n">
        <f aca="false">IF(BM10&gt;PR_BalDone,BM10+BM10*(D_iL)-MIN(F_LoanPayM,BM10+BM10*(D_iL)),BM10)</f>
        <v>661.538041870863</v>
      </c>
      <c r="BO10" s="20" t="n">
        <f aca="false">IF(BN10&gt;PR_BalDone,BN10+BN10*(D_iL)-MIN(F_LoanPayM,BN10+BN10*(D_iL)),BN10)</f>
        <v>565.794397551172</v>
      </c>
      <c r="BP10" s="20" t="n">
        <f aca="false">IF(BO10&gt;PR_BalDone,BO10+BO10*(D_iL)-MIN(F_LoanPayM,BO10+BO10*(D_iL)),BO10)</f>
        <v>469.434735741088</v>
      </c>
      <c r="BQ10" s="20" t="n">
        <f aca="false">IF(BP10&gt;PR_BalDone,BP10+BP10*(D_iL)-MIN(F_LoanPayM,BP10+BP10*(D_iL)),BP10)</f>
        <v>372.455092965528</v>
      </c>
      <c r="BR10" s="20" t="n">
        <f aca="false">IF(BE10&gt;PR_BalDone,MIN(F_LoanPayM,BE10+BE10*(D_iL)),0)</f>
        <v>100</v>
      </c>
      <c r="BS10" s="20" t="n">
        <f aca="false">IF(BF10&gt;PR_BalDone,MIN(F_LoanPayM,BF10+BF10*(D_iL)),0)</f>
        <v>100</v>
      </c>
      <c r="BT10" s="20" t="n">
        <f aca="false">IF(BG10&gt;PR_BalDone,MIN(F_LoanPayM,BG10+BG10*(D_iL)),0)</f>
        <v>100</v>
      </c>
      <c r="BU10" s="20" t="n">
        <f aca="false">IF(BH10&gt;PR_BalDone,MIN(F_LoanPayM,BH10+BH10*(D_iL)),0)</f>
        <v>100</v>
      </c>
      <c r="BV10" s="20" t="n">
        <f aca="false">IF(BI10&gt;PR_BalDone,MIN(F_LoanPayM,BI10+BI10*(D_iL)),0)</f>
        <v>100</v>
      </c>
      <c r="BW10" s="20" t="n">
        <f aca="false">IF(BJ10&gt;PR_BalDone,MIN(F_LoanPayM,BJ10+BJ10*(D_iL)),0)</f>
        <v>100</v>
      </c>
      <c r="BX10" s="20" t="n">
        <f aca="false">IF(BK10&gt;PR_BalDone,MIN(F_LoanPayM,BK10+BK10*(D_iL)),0)</f>
        <v>100</v>
      </c>
      <c r="BY10" s="20" t="n">
        <f aca="false">IF(BL10&gt;PR_BalDone,MIN(F_LoanPayM,BL10+BL10*(D_iL)),0)</f>
        <v>100</v>
      </c>
      <c r="BZ10" s="20" t="n">
        <f aca="false">IF(BM10&gt;PR_BalDone,MIN(F_LoanPayM,BM10+BM10*(D_iL)),0)</f>
        <v>100</v>
      </c>
      <c r="CA10" s="20" t="n">
        <f aca="false">IF(BN10&gt;PR_BalDone,MIN(F_LoanPayM,BN10+BN10*(D_iL)),0)</f>
        <v>100</v>
      </c>
      <c r="CB10" s="20" t="n">
        <f aca="false">IF(BO10&gt;PR_BalDone,MIN(F_LoanPayM,BO10+BO10*(D_iL)),0)</f>
        <v>100</v>
      </c>
      <c r="CC10" s="20" t="n">
        <f aca="false">IF(BP10&gt;PR_BalDone,MIN(F_LoanPayM,BP10+BP10*(D_iL)),0)</f>
        <v>100</v>
      </c>
      <c r="CD10" s="20" t="n">
        <f aca="false">MAX(0,BQ10)</f>
        <v>372.455092965528</v>
      </c>
      <c r="CE10" s="20" t="n">
        <f aca="false">SUM(BR10:CC10)</f>
        <v>1200</v>
      </c>
      <c r="CF10" s="20" t="n">
        <f aca="false">IF(CF9&gt;1,DE9,CF9)</f>
        <v>190587.562075478</v>
      </c>
      <c r="CG10" s="20" t="n">
        <f aca="false">IF(CF10&gt;PR_BalDone,CF10+CF10*(F_MR/12)-MIN(F_MortPayM,CF10+CF10*(F_MR/12)),CF10)</f>
        <v>190019.030503803</v>
      </c>
      <c r="CH10" s="20" t="n">
        <f aca="false">IF(CG10&gt;PR_BalDone,CG10+CG10*(F_MR/12)-MIN(F_MortPayM,CG10+CG10*(F_MR/12)),CG10)</f>
        <v>189448.674893336</v>
      </c>
      <c r="CI10" s="20" t="n">
        <f aca="false">IF(CH10&gt;PR_BalDone,CH10+CH10*(F_MR/12)-MIN(F_MortPayM,CH10+CH10*(F_MR/12)),CH10)</f>
        <v>188876.489391952</v>
      </c>
      <c r="CJ10" s="20" t="n">
        <f aca="false">IF(CI10&gt;PR_BalDone,CI10+CI10*(F_MR/12)-MIN(F_MortPayM,CI10+CI10*(F_MR/12)),CI10)</f>
        <v>188302.468128752</v>
      </c>
      <c r="CK10" s="20" t="n">
        <f aca="false">IF(CJ10&gt;PR_BalDone,CJ10+CJ10*(F_MR/12)-MIN(F_MortPayM,CJ10+CJ10*(F_MR/12)),CJ10)</f>
        <v>187726.605213998</v>
      </c>
      <c r="CL10" s="20" t="n">
        <f aca="false">IF(CK10&gt;PR_BalDone,CK10+CK10*(F_MR/12)-MIN(F_MortPayM,CK10+CK10*(F_MR/12)),CK10)</f>
        <v>187148.89473906</v>
      </c>
      <c r="CM10" s="20" t="n">
        <f aca="false">IF(CL10&gt;PR_BalDone,CL10+CL10*(F_MR/12)-MIN(F_MortPayM,CL10+CL10*(F_MR/12)),CL10)</f>
        <v>186569.330776347</v>
      </c>
      <c r="CN10" s="20" t="n">
        <f aca="false">IF(CM10&gt;PR_BalDone,CM10+CM10*(F_MR/12)-MIN(F_MortPayM,CM10+CM10*(F_MR/12)),CM10)</f>
        <v>185987.907379255</v>
      </c>
      <c r="CO10" s="20" t="n">
        <f aca="false">IF(CN10&gt;PR_BalDone,CN10+CN10*(F_MR/12)-MIN(F_MortPayM,CN10+CN10*(F_MR/12)),CN10)</f>
        <v>185404.618582097</v>
      </c>
      <c r="CP10" s="20" t="n">
        <f aca="false">IF(CO10&gt;PR_BalDone,CO10+CO10*(F_MR/12)-MIN(F_MortPayM,CO10+CO10*(F_MR/12)),CO10)</f>
        <v>184819.458400047</v>
      </c>
      <c r="CQ10" s="20" t="n">
        <f aca="false">IF(CP10&gt;PR_BalDone,CP10+CP10*(F_MR/12)-MIN(F_MortPayM,CP10+CP10*(F_MR/12)),CP10)</f>
        <v>184232.420829081</v>
      </c>
      <c r="CR10" s="20" t="n">
        <f aca="false">IF(CQ10&gt;PR_BalDone,CQ10+CQ10*(F_MR/12)-MIN(F_MortPayM,CQ10+CQ10*(F_MR/12)),CQ10)</f>
        <v>183643.499845908</v>
      </c>
      <c r="CS10" s="20" t="n">
        <f aca="false">IF(CF10&gt;PR_BalDone,MIN(F_MortPayM,CF10+CF10*(F_MR/12)),0)</f>
        <v>1180</v>
      </c>
      <c r="CT10" s="20" t="n">
        <f aca="false">IF(CG10&gt;PR_BalDone,MIN(F_MortPayM,CG10+CG10*(F_MR/12)),0)</f>
        <v>1180</v>
      </c>
      <c r="CU10" s="20" t="n">
        <f aca="false">IF(CH10&gt;PR_BalDone,MIN(F_MortPayM,CH10+CH10*(F_MR/12)),0)</f>
        <v>1180</v>
      </c>
      <c r="CV10" s="20" t="n">
        <f aca="false">IF(CI10&gt;PR_BalDone,MIN(F_MortPayM,CI10+CI10*(F_MR/12)),0)</f>
        <v>1180</v>
      </c>
      <c r="CW10" s="20" t="n">
        <f aca="false">IF(CJ10&gt;PR_BalDone,MIN(F_MortPayM,CJ10+CJ10*(F_MR/12)),0)</f>
        <v>1180</v>
      </c>
      <c r="CX10" s="20" t="n">
        <f aca="false">IF(CK10&gt;PR_BalDone,MIN(F_MortPayM,CK10+CK10*(F_MR/12)),0)</f>
        <v>1180</v>
      </c>
      <c r="CY10" s="20" t="n">
        <f aca="false">IF(CL10&gt;PR_BalDone,MIN(F_MortPayM,CL10+CL10*(F_MR/12)),0)</f>
        <v>1180</v>
      </c>
      <c r="CZ10" s="20" t="n">
        <f aca="false">IF(CM10&gt;PR_BalDone,MIN(F_MortPayM,CM10+CM10*(F_MR/12)),0)</f>
        <v>1180</v>
      </c>
      <c r="DA10" s="20" t="n">
        <f aca="false">IF(CN10&gt;PR_BalDone,MIN(F_MortPayM,CN10+CN10*(F_MR/12)),0)</f>
        <v>1180</v>
      </c>
      <c r="DB10" s="20" t="n">
        <f aca="false">IF(CO10&gt;PR_BalDone,MIN(F_MortPayM,CO10+CO10*(F_MR/12)),0)</f>
        <v>1180</v>
      </c>
      <c r="DC10" s="20" t="n">
        <f aca="false">IF(CP10&gt;PR_BalDone,MIN(F_MortPayM,CP10+CP10*(F_MR/12)),0)</f>
        <v>1180</v>
      </c>
      <c r="DD10" s="20" t="n">
        <f aca="false">IF(CQ10&gt;PR_BalDone,MIN(F_MortPayM,CQ10+CQ10*(F_MR/12)),0)</f>
        <v>1180</v>
      </c>
      <c r="DE10" s="20" t="n">
        <f aca="false">MAX(0,CR10)</f>
        <v>183643.499845908</v>
      </c>
      <c r="DF10" s="20" t="n">
        <f aca="false">SUM(CS10:DD10)</f>
        <v>14160</v>
      </c>
      <c r="DG10" s="20" t="n">
        <f aca="false">MAX(0,CF10)</f>
        <v>190587.562075478</v>
      </c>
    </row>
    <row r="11" customFormat="false" ht="15" hidden="false" customHeight="true" outlineLevel="0" collapsed="false">
      <c r="B11" s="20" t="n">
        <v>3</v>
      </c>
      <c r="C11" s="20" t="n">
        <f aca="false">'Plan cashflow'!J11</f>
        <v>183643.499845908</v>
      </c>
      <c r="D11" s="20" t="n">
        <f aca="false">IF(C11&gt;PR_BalDone,C11+C11*(F_MR/12)-MIN(F_MortPayM,C11+C11*(F_MR/12)),C11)</f>
        <v>183052.689407913</v>
      </c>
      <c r="E11" s="20" t="n">
        <f aca="false">IF(D11&gt;PR_BalDone,D11+D11*(F_MR/12)-MIN(F_MortPayM,D11+D11*(F_MR/12)),D11)</f>
        <v>182459.983453097</v>
      </c>
      <c r="F11" s="20" t="n">
        <f aca="false">IF(E11&gt;PR_BalDone,E11+E11*(F_MR/12)-MIN(F_MortPayM,E11+E11*(F_MR/12)),E11)</f>
        <v>181865.375900009</v>
      </c>
      <c r="G11" s="20" t="n">
        <f aca="false">IF(F11&gt;PR_BalDone,F11+F11*(F_MR/12)-MIN(F_MortPayM,F11+F11*(F_MR/12)),F11)</f>
        <v>181268.860647688</v>
      </c>
      <c r="H11" s="20" t="n">
        <f aca="false">IF(G11&gt;PR_BalDone,G11+G11*(F_MR/12)-MIN(F_MortPayM,G11+G11*(F_MR/12)),G11)</f>
        <v>180670.431575599</v>
      </c>
      <c r="I11" s="20" t="n">
        <f aca="false">IF(H11&gt;PR_BalDone,H11+H11*(F_MR/12)-MIN(F_MortPayM,H11+H11*(F_MR/12)),H11)</f>
        <v>180070.082543571</v>
      </c>
      <c r="J11" s="20" t="n">
        <f aca="false">IF(I11&gt;PR_BalDone,I11+I11*(F_MR/12)-MIN(F_MortPayM,I11+I11*(F_MR/12)),I11)</f>
        <v>179467.807391732</v>
      </c>
      <c r="K11" s="20" t="n">
        <f aca="false">IF(J11&gt;PR_BalDone,J11+J11*(F_MR/12)-MIN(F_MortPayM,J11+J11*(F_MR/12)),J11)</f>
        <v>178863.599940447</v>
      </c>
      <c r="L11" s="20" t="n">
        <f aca="false">IF(K11&gt;PR_BalDone,K11+K11*(F_MR/12)-MIN(F_MortPayM,K11+K11*(F_MR/12)),K11)</f>
        <v>178257.453990256</v>
      </c>
      <c r="M11" s="20" t="n">
        <f aca="false">IF(L11&gt;PR_BalDone,L11+L11*(F_MR/12)-MIN(F_MortPayM,L11+L11*(F_MR/12)),L11)</f>
        <v>177649.363321808</v>
      </c>
      <c r="N11" s="20" t="n">
        <f aca="false">IF(M11&gt;PR_BalDone,M11+M11*(F_MR/12)-MIN(F_MortPayM,M11+M11*(F_MR/12)),M11)</f>
        <v>177039.321695799</v>
      </c>
      <c r="O11" s="20" t="n">
        <f aca="false">IF(N11&gt;PR_BalDone,N11+N11*(F_MR/12)-MIN(F_MortPayM,N11+N11*(F_MR/12)),N11)</f>
        <v>176427.322852906</v>
      </c>
      <c r="P11" s="20" t="n">
        <f aca="false">IF(C11&gt;PR_BalDone,MIN(F_MortPayM,C11+C11*(F_MR/12)),0)</f>
        <v>1180</v>
      </c>
      <c r="Q11" s="20" t="n">
        <f aca="false">IF(D11&gt;PR_BalDone,MIN(F_MortPayM,D11+D11*(F_MR/12)),0)</f>
        <v>1180</v>
      </c>
      <c r="R11" s="20" t="n">
        <f aca="false">IF(E11&gt;PR_BalDone,MIN(F_MortPayM,E11+E11*(F_MR/12)),0)</f>
        <v>1180</v>
      </c>
      <c r="S11" s="20" t="n">
        <f aca="false">IF(F11&gt;PR_BalDone,MIN(F_MortPayM,F11+F11*(F_MR/12)),0)</f>
        <v>1180</v>
      </c>
      <c r="T11" s="20" t="n">
        <f aca="false">IF(G11&gt;PR_BalDone,MIN(F_MortPayM,G11+G11*(F_MR/12)),0)</f>
        <v>1180</v>
      </c>
      <c r="U11" s="20" t="n">
        <f aca="false">IF(H11&gt;PR_BalDone,MIN(F_MortPayM,H11+H11*(F_MR/12)),0)</f>
        <v>1180</v>
      </c>
      <c r="V11" s="20" t="n">
        <f aca="false">IF(I11&gt;PR_BalDone,MIN(F_MortPayM,I11+I11*(F_MR/12)),0)</f>
        <v>1180</v>
      </c>
      <c r="W11" s="20" t="n">
        <f aca="false">IF(J11&gt;PR_BalDone,MIN(F_MortPayM,J11+J11*(F_MR/12)),0)</f>
        <v>1180</v>
      </c>
      <c r="X11" s="20" t="n">
        <f aca="false">IF(K11&gt;PR_BalDone,MIN(F_MortPayM,K11+K11*(F_MR/12)),0)</f>
        <v>1180</v>
      </c>
      <c r="Y11" s="20" t="n">
        <f aca="false">IF(L11&gt;PR_BalDone,MIN(F_MortPayM,L11+L11*(F_MR/12)),0)</f>
        <v>1180</v>
      </c>
      <c r="Z11" s="20" t="n">
        <f aca="false">IF(M11&gt;PR_BalDone,MIN(F_MortPayM,M11+M11*(F_MR/12)),0)</f>
        <v>1180</v>
      </c>
      <c r="AA11" s="20" t="n">
        <f aca="false">IF(N11&gt;PR_BalDone,MIN(F_MortPayM,N11+N11*(F_MR/12)),0)</f>
        <v>1180</v>
      </c>
      <c r="AB11" s="20" t="n">
        <f aca="false">MAX(0,O11)</f>
        <v>176427.322852906</v>
      </c>
      <c r="AC11" s="20" t="n">
        <f aca="false">SUM(P11:AA11)</f>
        <v>14160</v>
      </c>
      <c r="AD11" s="20" t="n">
        <f aca="false">'Plan cashflow'!M11</f>
        <v>0</v>
      </c>
      <c r="AE11" s="20" t="n">
        <f aca="false">IF(AD11&gt;PR_BalDone,AD11+AD11*(D_iC)-MIN(F_CardPayM,AD11+AD11*(D_iC)),AD11)</f>
        <v>0</v>
      </c>
      <c r="AF11" s="20" t="n">
        <f aca="false">IF(AE11&gt;PR_BalDone,AE11+AE11*(D_iC)-MIN(F_CardPayM,AE11+AE11*(D_iC)),AE11)</f>
        <v>0</v>
      </c>
      <c r="AG11" s="20" t="n">
        <f aca="false">IF(AF11&gt;PR_BalDone,AF11+AF11*(D_iC)-MIN(F_CardPayM,AF11+AF11*(D_iC)),AF11)</f>
        <v>0</v>
      </c>
      <c r="AH11" s="20" t="n">
        <f aca="false">IF(AG11&gt;PR_BalDone,AG11+AG11*(D_iC)-MIN(F_CardPayM,AG11+AG11*(D_iC)),AG11)</f>
        <v>0</v>
      </c>
      <c r="AI11" s="20" t="n">
        <f aca="false">IF(AH11&gt;PR_BalDone,AH11+AH11*(D_iC)-MIN(F_CardPayM,AH11+AH11*(D_iC)),AH11)</f>
        <v>0</v>
      </c>
      <c r="AJ11" s="20" t="n">
        <f aca="false">IF(AI11&gt;PR_BalDone,AI11+AI11*(D_iC)-MIN(F_CardPayM,AI11+AI11*(D_iC)),AI11)</f>
        <v>0</v>
      </c>
      <c r="AK11" s="20" t="n">
        <f aca="false">IF(AJ11&gt;PR_BalDone,AJ11+AJ11*(D_iC)-MIN(F_CardPayM,AJ11+AJ11*(D_iC)),AJ11)</f>
        <v>0</v>
      </c>
      <c r="AL11" s="20" t="n">
        <f aca="false">IF(AK11&gt;PR_BalDone,AK11+AK11*(D_iC)-MIN(F_CardPayM,AK11+AK11*(D_iC)),AK11)</f>
        <v>0</v>
      </c>
      <c r="AM11" s="20" t="n">
        <f aca="false">IF(AL11&gt;PR_BalDone,AL11+AL11*(D_iC)-MIN(F_CardPayM,AL11+AL11*(D_iC)),AL11)</f>
        <v>0</v>
      </c>
      <c r="AN11" s="20" t="n">
        <f aca="false">IF(AM11&gt;PR_BalDone,AM11+AM11*(D_iC)-MIN(F_CardPayM,AM11+AM11*(D_iC)),AM11)</f>
        <v>0</v>
      </c>
      <c r="AO11" s="20" t="n">
        <f aca="false">IF(AN11&gt;PR_BalDone,AN11+AN11*(D_iC)-MIN(F_CardPayM,AN11+AN11*(D_iC)),AN11)</f>
        <v>0</v>
      </c>
      <c r="AP11" s="20" t="n">
        <f aca="false">IF(AO11&gt;PR_BalDone,AO11+AO11*(D_iC)-MIN(F_CardPayM,AO11+AO11*(D_iC)),AO11)</f>
        <v>0</v>
      </c>
      <c r="AQ11" s="20" t="n">
        <f aca="false">IF(AD11&gt;PR_BalDone,MIN(F_CardPayM,AD11+AD11*(D_iC)),0)</f>
        <v>0</v>
      </c>
      <c r="AR11" s="20" t="n">
        <f aca="false">IF(AE11&gt;PR_BalDone,MIN(F_CardPayM,AE11+AE11*(D_iC)),0)</f>
        <v>0</v>
      </c>
      <c r="AS11" s="20" t="n">
        <f aca="false">IF(AF11&gt;PR_BalDone,MIN(F_CardPayM,AF11+AF11*(D_iC)),0)</f>
        <v>0</v>
      </c>
      <c r="AT11" s="20" t="n">
        <f aca="false">IF(AG11&gt;PR_BalDone,MIN(F_CardPayM,AG11+AG11*(D_iC)),0)</f>
        <v>0</v>
      </c>
      <c r="AU11" s="20" t="n">
        <f aca="false">IF(AH11&gt;PR_BalDone,MIN(F_CardPayM,AH11+AH11*(D_iC)),0)</f>
        <v>0</v>
      </c>
      <c r="AV11" s="20" t="n">
        <f aca="false">IF(AI11&gt;PR_BalDone,MIN(F_CardPayM,AI11+AI11*(D_iC)),0)</f>
        <v>0</v>
      </c>
      <c r="AW11" s="20" t="n">
        <f aca="false">IF(AJ11&gt;PR_BalDone,MIN(F_CardPayM,AJ11+AJ11*(D_iC)),0)</f>
        <v>0</v>
      </c>
      <c r="AX11" s="20" t="n">
        <f aca="false">IF(AK11&gt;PR_BalDone,MIN(F_CardPayM,AK11+AK11*(D_iC)),0)</f>
        <v>0</v>
      </c>
      <c r="AY11" s="20" t="n">
        <f aca="false">IF(AL11&gt;PR_BalDone,MIN(F_CardPayM,AL11+AL11*(D_iC)),0)</f>
        <v>0</v>
      </c>
      <c r="AZ11" s="20" t="n">
        <f aca="false">IF(AM11&gt;PR_BalDone,MIN(F_CardPayM,AM11+AM11*(D_iC)),0)</f>
        <v>0</v>
      </c>
      <c r="BA11" s="20" t="n">
        <f aca="false">IF(AN11&gt;PR_BalDone,MIN(F_CardPayM,AN11+AN11*(D_iC)),0)</f>
        <v>0</v>
      </c>
      <c r="BB11" s="20" t="n">
        <f aca="false">IF(AO11&gt;PR_BalDone,MIN(F_CardPayM,AO11+AO11*(D_iC)),0)</f>
        <v>0</v>
      </c>
      <c r="BC11" s="20" t="n">
        <f aca="false">MAX(0,AP11)</f>
        <v>0</v>
      </c>
      <c r="BD11" s="20" t="n">
        <f aca="false">SUM(AQ11:BB11)</f>
        <v>0</v>
      </c>
      <c r="BE11" s="20" t="n">
        <f aca="false">'Plan cashflow'!P11</f>
        <v>372.455092965528</v>
      </c>
      <c r="BF11" s="20" t="n">
        <f aca="false">IF(BE11&gt;PR_BalDone,BE11+BE11*(D_iL)-MIN(F_LoanPayM,BE11+BE11*(D_iL)),BE11)</f>
        <v>274.851480248292</v>
      </c>
      <c r="BG11" s="20" t="n">
        <f aca="false">IF(BF11&gt;PR_BalDone,BF11+BF11*(D_iL)-MIN(F_LoanPayM,BF11+BF11*(D_iL)),BF11)</f>
        <v>176.619882947988</v>
      </c>
      <c r="BH11" s="20" t="n">
        <f aca="false">IF(BG11&gt;PR_BalDone,BG11+BG11*(D_iL)-MIN(F_LoanPayM,BG11+BG11*(D_iL)),BG11)</f>
        <v>77.7562605929011</v>
      </c>
      <c r="BI11" s="20" t="n">
        <f aca="false">IF(BH11&gt;PR_BalDone,BH11+BH11*(D_iL)-MIN(F_LoanPayM,BH11+BH11*(D_iL)),BH11)</f>
        <v>0</v>
      </c>
      <c r="BJ11" s="20" t="n">
        <f aca="false">IF(BI11&gt;PR_BalDone,BI11+BI11*(D_iL)-MIN(F_LoanPayM,BI11+BI11*(D_iL)),BI11)</f>
        <v>0</v>
      </c>
      <c r="BK11" s="20" t="n">
        <f aca="false">IF(BJ11&gt;PR_BalDone,BJ11+BJ11*(D_iL)-MIN(F_LoanPayM,BJ11+BJ11*(D_iL)),BJ11)</f>
        <v>0</v>
      </c>
      <c r="BL11" s="20" t="n">
        <f aca="false">IF(BK11&gt;PR_BalDone,BK11+BK11*(D_iL)-MIN(F_LoanPayM,BK11+BK11*(D_iL)),BK11)</f>
        <v>0</v>
      </c>
      <c r="BM11" s="20" t="n">
        <f aca="false">IF(BL11&gt;PR_BalDone,BL11+BL11*(D_iL)-MIN(F_LoanPayM,BL11+BL11*(D_iL)),BL11)</f>
        <v>0</v>
      </c>
      <c r="BN11" s="20" t="n">
        <f aca="false">IF(BM11&gt;PR_BalDone,BM11+BM11*(D_iL)-MIN(F_LoanPayM,BM11+BM11*(D_iL)),BM11)</f>
        <v>0</v>
      </c>
      <c r="BO11" s="20" t="n">
        <f aca="false">IF(BN11&gt;PR_BalDone,BN11+BN11*(D_iL)-MIN(F_LoanPayM,BN11+BN11*(D_iL)),BN11)</f>
        <v>0</v>
      </c>
      <c r="BP11" s="20" t="n">
        <f aca="false">IF(BO11&gt;PR_BalDone,BO11+BO11*(D_iL)-MIN(F_LoanPayM,BO11+BO11*(D_iL)),BO11)</f>
        <v>0</v>
      </c>
      <c r="BQ11" s="20" t="n">
        <f aca="false">IF(BP11&gt;PR_BalDone,BP11+BP11*(D_iL)-MIN(F_LoanPayM,BP11+BP11*(D_iL)),BP11)</f>
        <v>0</v>
      </c>
      <c r="BR11" s="20" t="n">
        <f aca="false">IF(BE11&gt;PR_BalDone,MIN(F_LoanPayM,BE11+BE11*(D_iL)),0)</f>
        <v>100</v>
      </c>
      <c r="BS11" s="20" t="n">
        <f aca="false">IF(BF11&gt;PR_BalDone,MIN(F_LoanPayM,BF11+BF11*(D_iL)),0)</f>
        <v>100</v>
      </c>
      <c r="BT11" s="20" t="n">
        <f aca="false">IF(BG11&gt;PR_BalDone,MIN(F_LoanPayM,BG11+BG11*(D_iL)),0)</f>
        <v>100</v>
      </c>
      <c r="BU11" s="20" t="n">
        <f aca="false">IF(BH11&gt;PR_BalDone,MIN(F_LoanPayM,BH11+BH11*(D_iL)),0)</f>
        <v>78.2565467147971</v>
      </c>
      <c r="BV11" s="20" t="n">
        <f aca="false">IF(BI11&gt;PR_BalDone,MIN(F_LoanPayM,BI11+BI11*(D_iL)),0)</f>
        <v>0</v>
      </c>
      <c r="BW11" s="20" t="n">
        <f aca="false">IF(BJ11&gt;PR_BalDone,MIN(F_LoanPayM,BJ11+BJ11*(D_iL)),0)</f>
        <v>0</v>
      </c>
      <c r="BX11" s="20" t="n">
        <f aca="false">IF(BK11&gt;PR_BalDone,MIN(F_LoanPayM,BK11+BK11*(D_iL)),0)</f>
        <v>0</v>
      </c>
      <c r="BY11" s="20" t="n">
        <f aca="false">IF(BL11&gt;PR_BalDone,MIN(F_LoanPayM,BL11+BL11*(D_iL)),0)</f>
        <v>0</v>
      </c>
      <c r="BZ11" s="20" t="n">
        <f aca="false">IF(BM11&gt;PR_BalDone,MIN(F_LoanPayM,BM11+BM11*(D_iL)),0)</f>
        <v>0</v>
      </c>
      <c r="CA11" s="20" t="n">
        <f aca="false">IF(BN11&gt;PR_BalDone,MIN(F_LoanPayM,BN11+BN11*(D_iL)),0)</f>
        <v>0</v>
      </c>
      <c r="CB11" s="20" t="n">
        <f aca="false">IF(BO11&gt;PR_BalDone,MIN(F_LoanPayM,BO11+BO11*(D_iL)),0)</f>
        <v>0</v>
      </c>
      <c r="CC11" s="20" t="n">
        <f aca="false">IF(BP11&gt;PR_BalDone,MIN(F_LoanPayM,BP11+BP11*(D_iL)),0)</f>
        <v>0</v>
      </c>
      <c r="CD11" s="20" t="n">
        <f aca="false">MAX(0,BQ11)</f>
        <v>0</v>
      </c>
      <c r="CE11" s="20" t="n">
        <f aca="false">SUM(BR11:CC11)</f>
        <v>378.256546714797</v>
      </c>
      <c r="CF11" s="20" t="n">
        <f aca="false">IF(CF10&gt;1,DE10,CF10)</f>
        <v>183643.499845908</v>
      </c>
      <c r="CG11" s="20" t="n">
        <f aca="false">IF(CF11&gt;PR_BalDone,CF11+CF11*(F_MR/12)-MIN(F_MortPayM,CF11+CF11*(F_MR/12)),CF11)</f>
        <v>183052.689407913</v>
      </c>
      <c r="CH11" s="20" t="n">
        <f aca="false">IF(CG11&gt;PR_BalDone,CG11+CG11*(F_MR/12)-MIN(F_MortPayM,CG11+CG11*(F_MR/12)),CG11)</f>
        <v>182459.983453097</v>
      </c>
      <c r="CI11" s="20" t="n">
        <f aca="false">IF(CH11&gt;PR_BalDone,CH11+CH11*(F_MR/12)-MIN(F_MortPayM,CH11+CH11*(F_MR/12)),CH11)</f>
        <v>181865.375900009</v>
      </c>
      <c r="CJ11" s="20" t="n">
        <f aca="false">IF(CI11&gt;PR_BalDone,CI11+CI11*(F_MR/12)-MIN(F_MortPayM,CI11+CI11*(F_MR/12)),CI11)</f>
        <v>181268.860647688</v>
      </c>
      <c r="CK11" s="20" t="n">
        <f aca="false">IF(CJ11&gt;PR_BalDone,CJ11+CJ11*(F_MR/12)-MIN(F_MortPayM,CJ11+CJ11*(F_MR/12)),CJ11)</f>
        <v>180670.431575599</v>
      </c>
      <c r="CL11" s="20" t="n">
        <f aca="false">IF(CK11&gt;PR_BalDone,CK11+CK11*(F_MR/12)-MIN(F_MortPayM,CK11+CK11*(F_MR/12)),CK11)</f>
        <v>180070.082543571</v>
      </c>
      <c r="CM11" s="20" t="n">
        <f aca="false">IF(CL11&gt;PR_BalDone,CL11+CL11*(F_MR/12)-MIN(F_MortPayM,CL11+CL11*(F_MR/12)),CL11)</f>
        <v>179467.807391732</v>
      </c>
      <c r="CN11" s="20" t="n">
        <f aca="false">IF(CM11&gt;PR_BalDone,CM11+CM11*(F_MR/12)-MIN(F_MortPayM,CM11+CM11*(F_MR/12)),CM11)</f>
        <v>178863.599940447</v>
      </c>
      <c r="CO11" s="20" t="n">
        <f aca="false">IF(CN11&gt;PR_BalDone,CN11+CN11*(F_MR/12)-MIN(F_MortPayM,CN11+CN11*(F_MR/12)),CN11)</f>
        <v>178257.453990256</v>
      </c>
      <c r="CP11" s="20" t="n">
        <f aca="false">IF(CO11&gt;PR_BalDone,CO11+CO11*(F_MR/12)-MIN(F_MortPayM,CO11+CO11*(F_MR/12)),CO11)</f>
        <v>177649.363321808</v>
      </c>
      <c r="CQ11" s="20" t="n">
        <f aca="false">IF(CP11&gt;PR_BalDone,CP11+CP11*(F_MR/12)-MIN(F_MortPayM,CP11+CP11*(F_MR/12)),CP11)</f>
        <v>177039.321695799</v>
      </c>
      <c r="CR11" s="20" t="n">
        <f aca="false">IF(CQ11&gt;PR_BalDone,CQ11+CQ11*(F_MR/12)-MIN(F_MortPayM,CQ11+CQ11*(F_MR/12)),CQ11)</f>
        <v>176427.322852906</v>
      </c>
      <c r="CS11" s="20" t="n">
        <f aca="false">IF(CF11&gt;PR_BalDone,MIN(F_MortPayM,CF11+CF11*(F_MR/12)),0)</f>
        <v>1180</v>
      </c>
      <c r="CT11" s="20" t="n">
        <f aca="false">IF(CG11&gt;PR_BalDone,MIN(F_MortPayM,CG11+CG11*(F_MR/12)),0)</f>
        <v>1180</v>
      </c>
      <c r="CU11" s="20" t="n">
        <f aca="false">IF(CH11&gt;PR_BalDone,MIN(F_MortPayM,CH11+CH11*(F_MR/12)),0)</f>
        <v>1180</v>
      </c>
      <c r="CV11" s="20" t="n">
        <f aca="false">IF(CI11&gt;PR_BalDone,MIN(F_MortPayM,CI11+CI11*(F_MR/12)),0)</f>
        <v>1180</v>
      </c>
      <c r="CW11" s="20" t="n">
        <f aca="false">IF(CJ11&gt;PR_BalDone,MIN(F_MortPayM,CJ11+CJ11*(F_MR/12)),0)</f>
        <v>1180</v>
      </c>
      <c r="CX11" s="20" t="n">
        <f aca="false">IF(CK11&gt;PR_BalDone,MIN(F_MortPayM,CK11+CK11*(F_MR/12)),0)</f>
        <v>1180</v>
      </c>
      <c r="CY11" s="20" t="n">
        <f aca="false">IF(CL11&gt;PR_BalDone,MIN(F_MortPayM,CL11+CL11*(F_MR/12)),0)</f>
        <v>1180</v>
      </c>
      <c r="CZ11" s="20" t="n">
        <f aca="false">IF(CM11&gt;PR_BalDone,MIN(F_MortPayM,CM11+CM11*(F_MR/12)),0)</f>
        <v>1180</v>
      </c>
      <c r="DA11" s="20" t="n">
        <f aca="false">IF(CN11&gt;PR_BalDone,MIN(F_MortPayM,CN11+CN11*(F_MR/12)),0)</f>
        <v>1180</v>
      </c>
      <c r="DB11" s="20" t="n">
        <f aca="false">IF(CO11&gt;PR_BalDone,MIN(F_MortPayM,CO11+CO11*(F_MR/12)),0)</f>
        <v>1180</v>
      </c>
      <c r="DC11" s="20" t="n">
        <f aca="false">IF(CP11&gt;PR_BalDone,MIN(F_MortPayM,CP11+CP11*(F_MR/12)),0)</f>
        <v>1180</v>
      </c>
      <c r="DD11" s="20" t="n">
        <f aca="false">IF(CQ11&gt;PR_BalDone,MIN(F_MortPayM,CQ11+CQ11*(F_MR/12)),0)</f>
        <v>1180</v>
      </c>
      <c r="DE11" s="20" t="n">
        <f aca="false">MAX(0,CR11)</f>
        <v>176427.322852906</v>
      </c>
      <c r="DF11" s="20" t="n">
        <f aca="false">SUM(CS11:DD11)</f>
        <v>14160</v>
      </c>
      <c r="DG11" s="20" t="n">
        <f aca="false">MAX(0,CF11)</f>
        <v>183643.499845908</v>
      </c>
    </row>
    <row r="12" customFormat="false" ht="15" hidden="false" customHeight="true" outlineLevel="0" collapsed="false">
      <c r="B12" s="20" t="n">
        <v>4</v>
      </c>
      <c r="C12" s="20" t="n">
        <f aca="false">'Plan cashflow'!J12</f>
        <v>176427.322852906</v>
      </c>
      <c r="D12" s="20" t="n">
        <f aca="false">IF(C12&gt;PR_BalDone,C12+C12*(F_MR/12)-MIN(F_MortPayM,C12+C12*(F_MR/12)),C12)</f>
        <v>175813.360513726</v>
      </c>
      <c r="E12" s="20" t="n">
        <f aca="false">IF(D12&gt;PR_BalDone,D12+D12*(F_MR/12)-MIN(F_MortPayM,D12+D12*(F_MR/12)),D12)</f>
        <v>175197.428378707</v>
      </c>
      <c r="F12" s="20" t="n">
        <f aca="false">IF(E12&gt;PR_BalDone,E12+E12*(F_MR/12)-MIN(F_MortPayM,E12+E12*(F_MR/12)),E12)</f>
        <v>174579.520128089</v>
      </c>
      <c r="G12" s="20" t="n">
        <f aca="false">IF(F12&gt;PR_BalDone,F12+F12*(F_MR/12)-MIN(F_MortPayM,F12+F12*(F_MR/12)),F12)</f>
        <v>173959.629421833</v>
      </c>
      <c r="H12" s="20" t="n">
        <f aca="false">IF(G12&gt;PR_BalDone,G12+G12*(F_MR/12)-MIN(F_MortPayM,G12+G12*(F_MR/12)),G12)</f>
        <v>173337.749899562</v>
      </c>
      <c r="I12" s="20" t="n">
        <f aca="false">IF(H12&gt;PR_BalDone,H12+H12*(F_MR/12)-MIN(F_MortPayM,H12+H12*(F_MR/12)),H12)</f>
        <v>172713.87518049</v>
      </c>
      <c r="J12" s="20" t="n">
        <f aca="false">IF(I12&gt;PR_BalDone,I12+I12*(F_MR/12)-MIN(F_MortPayM,I12+I12*(F_MR/12)),I12)</f>
        <v>172087.99886336</v>
      </c>
      <c r="K12" s="20" t="n">
        <f aca="false">IF(J12&gt;PR_BalDone,J12+J12*(F_MR/12)-MIN(F_MortPayM,J12+J12*(F_MR/12)),J12)</f>
        <v>171460.11452638</v>
      </c>
      <c r="L12" s="20" t="n">
        <f aca="false">IF(K12&gt;PR_BalDone,K12+K12*(F_MR/12)-MIN(F_MortPayM,K12+K12*(F_MR/12)),K12)</f>
        <v>170830.215727152</v>
      </c>
      <c r="M12" s="20" t="n">
        <f aca="false">IF(L12&gt;PR_BalDone,L12+L12*(F_MR/12)-MIN(F_MortPayM,L12+L12*(F_MR/12)),L12)</f>
        <v>170198.29600261</v>
      </c>
      <c r="N12" s="20" t="n">
        <f aca="false">IF(M12&gt;PR_BalDone,M12+M12*(F_MR/12)-MIN(F_MortPayM,M12+M12*(F_MR/12)),M12)</f>
        <v>169564.348868952</v>
      </c>
      <c r="O12" s="20" t="n">
        <f aca="false">IF(N12&gt;PR_BalDone,N12+N12*(F_MR/12)-MIN(F_MortPayM,N12+N12*(F_MR/12)),N12)</f>
        <v>168928.367821573</v>
      </c>
      <c r="P12" s="20" t="n">
        <f aca="false">IF(C12&gt;PR_BalDone,MIN(F_MortPayM,C12+C12*(F_MR/12)),0)</f>
        <v>1180</v>
      </c>
      <c r="Q12" s="20" t="n">
        <f aca="false">IF(D12&gt;PR_BalDone,MIN(F_MortPayM,D12+D12*(F_MR/12)),0)</f>
        <v>1180</v>
      </c>
      <c r="R12" s="20" t="n">
        <f aca="false">IF(E12&gt;PR_BalDone,MIN(F_MortPayM,E12+E12*(F_MR/12)),0)</f>
        <v>1180</v>
      </c>
      <c r="S12" s="20" t="n">
        <f aca="false">IF(F12&gt;PR_BalDone,MIN(F_MortPayM,F12+F12*(F_MR/12)),0)</f>
        <v>1180</v>
      </c>
      <c r="T12" s="20" t="n">
        <f aca="false">IF(G12&gt;PR_BalDone,MIN(F_MortPayM,G12+G12*(F_MR/12)),0)</f>
        <v>1180</v>
      </c>
      <c r="U12" s="20" t="n">
        <f aca="false">IF(H12&gt;PR_BalDone,MIN(F_MortPayM,H12+H12*(F_MR/12)),0)</f>
        <v>1180</v>
      </c>
      <c r="V12" s="20" t="n">
        <f aca="false">IF(I12&gt;PR_BalDone,MIN(F_MortPayM,I12+I12*(F_MR/12)),0)</f>
        <v>1180</v>
      </c>
      <c r="W12" s="20" t="n">
        <f aca="false">IF(J12&gt;PR_BalDone,MIN(F_MortPayM,J12+J12*(F_MR/12)),0)</f>
        <v>1180</v>
      </c>
      <c r="X12" s="20" t="n">
        <f aca="false">IF(K12&gt;PR_BalDone,MIN(F_MortPayM,K12+K12*(F_MR/12)),0)</f>
        <v>1180</v>
      </c>
      <c r="Y12" s="20" t="n">
        <f aca="false">IF(L12&gt;PR_BalDone,MIN(F_MortPayM,L12+L12*(F_MR/12)),0)</f>
        <v>1180</v>
      </c>
      <c r="Z12" s="20" t="n">
        <f aca="false">IF(M12&gt;PR_BalDone,MIN(F_MortPayM,M12+M12*(F_MR/12)),0)</f>
        <v>1180</v>
      </c>
      <c r="AA12" s="20" t="n">
        <f aca="false">IF(N12&gt;PR_BalDone,MIN(F_MortPayM,N12+N12*(F_MR/12)),0)</f>
        <v>1180</v>
      </c>
      <c r="AB12" s="20" t="n">
        <f aca="false">MAX(0,O12)</f>
        <v>168928.367821573</v>
      </c>
      <c r="AC12" s="20" t="n">
        <f aca="false">SUM(P12:AA12)</f>
        <v>14160</v>
      </c>
      <c r="AD12" s="20" t="n">
        <f aca="false">'Plan cashflow'!M12</f>
        <v>0</v>
      </c>
      <c r="AE12" s="20" t="n">
        <f aca="false">IF(AD12&gt;PR_BalDone,AD12+AD12*(D_iC)-MIN(F_CardPayM,AD12+AD12*(D_iC)),AD12)</f>
        <v>0</v>
      </c>
      <c r="AF12" s="20" t="n">
        <f aca="false">IF(AE12&gt;PR_BalDone,AE12+AE12*(D_iC)-MIN(F_CardPayM,AE12+AE12*(D_iC)),AE12)</f>
        <v>0</v>
      </c>
      <c r="AG12" s="20" t="n">
        <f aca="false">IF(AF12&gt;PR_BalDone,AF12+AF12*(D_iC)-MIN(F_CardPayM,AF12+AF12*(D_iC)),AF12)</f>
        <v>0</v>
      </c>
      <c r="AH12" s="20" t="n">
        <f aca="false">IF(AG12&gt;PR_BalDone,AG12+AG12*(D_iC)-MIN(F_CardPayM,AG12+AG12*(D_iC)),AG12)</f>
        <v>0</v>
      </c>
      <c r="AI12" s="20" t="n">
        <f aca="false">IF(AH12&gt;PR_BalDone,AH12+AH12*(D_iC)-MIN(F_CardPayM,AH12+AH12*(D_iC)),AH12)</f>
        <v>0</v>
      </c>
      <c r="AJ12" s="20" t="n">
        <f aca="false">IF(AI12&gt;PR_BalDone,AI12+AI12*(D_iC)-MIN(F_CardPayM,AI12+AI12*(D_iC)),AI12)</f>
        <v>0</v>
      </c>
      <c r="AK12" s="20" t="n">
        <f aca="false">IF(AJ12&gt;PR_BalDone,AJ12+AJ12*(D_iC)-MIN(F_CardPayM,AJ12+AJ12*(D_iC)),AJ12)</f>
        <v>0</v>
      </c>
      <c r="AL12" s="20" t="n">
        <f aca="false">IF(AK12&gt;PR_BalDone,AK12+AK12*(D_iC)-MIN(F_CardPayM,AK12+AK12*(D_iC)),AK12)</f>
        <v>0</v>
      </c>
      <c r="AM12" s="20" t="n">
        <f aca="false">IF(AL12&gt;PR_BalDone,AL12+AL12*(D_iC)-MIN(F_CardPayM,AL12+AL12*(D_iC)),AL12)</f>
        <v>0</v>
      </c>
      <c r="AN12" s="20" t="n">
        <f aca="false">IF(AM12&gt;PR_BalDone,AM12+AM12*(D_iC)-MIN(F_CardPayM,AM12+AM12*(D_iC)),AM12)</f>
        <v>0</v>
      </c>
      <c r="AO12" s="20" t="n">
        <f aca="false">IF(AN12&gt;PR_BalDone,AN12+AN12*(D_iC)-MIN(F_CardPayM,AN12+AN12*(D_iC)),AN12)</f>
        <v>0</v>
      </c>
      <c r="AP12" s="20" t="n">
        <f aca="false">IF(AO12&gt;PR_BalDone,AO12+AO12*(D_iC)-MIN(F_CardPayM,AO12+AO12*(D_iC)),AO12)</f>
        <v>0</v>
      </c>
      <c r="AQ12" s="20" t="n">
        <f aca="false">IF(AD12&gt;PR_BalDone,MIN(F_CardPayM,AD12+AD12*(D_iC)),0)</f>
        <v>0</v>
      </c>
      <c r="AR12" s="20" t="n">
        <f aca="false">IF(AE12&gt;PR_BalDone,MIN(F_CardPayM,AE12+AE12*(D_iC)),0)</f>
        <v>0</v>
      </c>
      <c r="AS12" s="20" t="n">
        <f aca="false">IF(AF12&gt;PR_BalDone,MIN(F_CardPayM,AF12+AF12*(D_iC)),0)</f>
        <v>0</v>
      </c>
      <c r="AT12" s="20" t="n">
        <f aca="false">IF(AG12&gt;PR_BalDone,MIN(F_CardPayM,AG12+AG12*(D_iC)),0)</f>
        <v>0</v>
      </c>
      <c r="AU12" s="20" t="n">
        <f aca="false">IF(AH12&gt;PR_BalDone,MIN(F_CardPayM,AH12+AH12*(D_iC)),0)</f>
        <v>0</v>
      </c>
      <c r="AV12" s="20" t="n">
        <f aca="false">IF(AI12&gt;PR_BalDone,MIN(F_CardPayM,AI12+AI12*(D_iC)),0)</f>
        <v>0</v>
      </c>
      <c r="AW12" s="20" t="n">
        <f aca="false">IF(AJ12&gt;PR_BalDone,MIN(F_CardPayM,AJ12+AJ12*(D_iC)),0)</f>
        <v>0</v>
      </c>
      <c r="AX12" s="20" t="n">
        <f aca="false">IF(AK12&gt;PR_BalDone,MIN(F_CardPayM,AK12+AK12*(D_iC)),0)</f>
        <v>0</v>
      </c>
      <c r="AY12" s="20" t="n">
        <f aca="false">IF(AL12&gt;PR_BalDone,MIN(F_CardPayM,AL12+AL12*(D_iC)),0)</f>
        <v>0</v>
      </c>
      <c r="AZ12" s="20" t="n">
        <f aca="false">IF(AM12&gt;PR_BalDone,MIN(F_CardPayM,AM12+AM12*(D_iC)),0)</f>
        <v>0</v>
      </c>
      <c r="BA12" s="20" t="n">
        <f aca="false">IF(AN12&gt;PR_BalDone,MIN(F_CardPayM,AN12+AN12*(D_iC)),0)</f>
        <v>0</v>
      </c>
      <c r="BB12" s="20" t="n">
        <f aca="false">IF(AO12&gt;PR_BalDone,MIN(F_CardPayM,AO12+AO12*(D_iC)),0)</f>
        <v>0</v>
      </c>
      <c r="BC12" s="20" t="n">
        <f aca="false">MAX(0,AP12)</f>
        <v>0</v>
      </c>
      <c r="BD12" s="20" t="n">
        <f aca="false">SUM(AQ12:BB12)</f>
        <v>0</v>
      </c>
      <c r="BE12" s="20" t="n">
        <f aca="false">'Plan cashflow'!P12</f>
        <v>0</v>
      </c>
      <c r="BF12" s="20" t="n">
        <f aca="false">IF(BE12&gt;PR_BalDone,BE12+BE12*(D_iL)-MIN(F_LoanPayM,BE12+BE12*(D_iL)),BE12)</f>
        <v>0</v>
      </c>
      <c r="BG12" s="20" t="n">
        <f aca="false">IF(BF12&gt;PR_BalDone,BF12+BF12*(D_iL)-MIN(F_LoanPayM,BF12+BF12*(D_iL)),BF12)</f>
        <v>0</v>
      </c>
      <c r="BH12" s="20" t="n">
        <f aca="false">IF(BG12&gt;PR_BalDone,BG12+BG12*(D_iL)-MIN(F_LoanPayM,BG12+BG12*(D_iL)),BG12)</f>
        <v>0</v>
      </c>
      <c r="BI12" s="20" t="n">
        <f aca="false">IF(BH12&gt;PR_BalDone,BH12+BH12*(D_iL)-MIN(F_LoanPayM,BH12+BH12*(D_iL)),BH12)</f>
        <v>0</v>
      </c>
      <c r="BJ12" s="20" t="n">
        <f aca="false">IF(BI12&gt;PR_BalDone,BI12+BI12*(D_iL)-MIN(F_LoanPayM,BI12+BI12*(D_iL)),BI12)</f>
        <v>0</v>
      </c>
      <c r="BK12" s="20" t="n">
        <f aca="false">IF(BJ12&gt;PR_BalDone,BJ12+BJ12*(D_iL)-MIN(F_LoanPayM,BJ12+BJ12*(D_iL)),BJ12)</f>
        <v>0</v>
      </c>
      <c r="BL12" s="20" t="n">
        <f aca="false">IF(BK12&gt;PR_BalDone,BK12+BK12*(D_iL)-MIN(F_LoanPayM,BK12+BK12*(D_iL)),BK12)</f>
        <v>0</v>
      </c>
      <c r="BM12" s="20" t="n">
        <f aca="false">IF(BL12&gt;PR_BalDone,BL12+BL12*(D_iL)-MIN(F_LoanPayM,BL12+BL12*(D_iL)),BL12)</f>
        <v>0</v>
      </c>
      <c r="BN12" s="20" t="n">
        <f aca="false">IF(BM12&gt;PR_BalDone,BM12+BM12*(D_iL)-MIN(F_LoanPayM,BM12+BM12*(D_iL)),BM12)</f>
        <v>0</v>
      </c>
      <c r="BO12" s="20" t="n">
        <f aca="false">IF(BN12&gt;PR_BalDone,BN12+BN12*(D_iL)-MIN(F_LoanPayM,BN12+BN12*(D_iL)),BN12)</f>
        <v>0</v>
      </c>
      <c r="BP12" s="20" t="n">
        <f aca="false">IF(BO12&gt;PR_BalDone,BO12+BO12*(D_iL)-MIN(F_LoanPayM,BO12+BO12*(D_iL)),BO12)</f>
        <v>0</v>
      </c>
      <c r="BQ12" s="20" t="n">
        <f aca="false">IF(BP12&gt;PR_BalDone,BP12+BP12*(D_iL)-MIN(F_LoanPayM,BP12+BP12*(D_iL)),BP12)</f>
        <v>0</v>
      </c>
      <c r="BR12" s="20" t="n">
        <f aca="false">IF(BE12&gt;PR_BalDone,MIN(F_LoanPayM,BE12+BE12*(D_iL)),0)</f>
        <v>0</v>
      </c>
      <c r="BS12" s="20" t="n">
        <f aca="false">IF(BF12&gt;PR_BalDone,MIN(F_LoanPayM,BF12+BF12*(D_iL)),0)</f>
        <v>0</v>
      </c>
      <c r="BT12" s="20" t="n">
        <f aca="false">IF(BG12&gt;PR_BalDone,MIN(F_LoanPayM,BG12+BG12*(D_iL)),0)</f>
        <v>0</v>
      </c>
      <c r="BU12" s="20" t="n">
        <f aca="false">IF(BH12&gt;PR_BalDone,MIN(F_LoanPayM,BH12+BH12*(D_iL)),0)</f>
        <v>0</v>
      </c>
      <c r="BV12" s="20" t="n">
        <f aca="false">IF(BI12&gt;PR_BalDone,MIN(F_LoanPayM,BI12+BI12*(D_iL)),0)</f>
        <v>0</v>
      </c>
      <c r="BW12" s="20" t="n">
        <f aca="false">IF(BJ12&gt;PR_BalDone,MIN(F_LoanPayM,BJ12+BJ12*(D_iL)),0)</f>
        <v>0</v>
      </c>
      <c r="BX12" s="20" t="n">
        <f aca="false">IF(BK12&gt;PR_BalDone,MIN(F_LoanPayM,BK12+BK12*(D_iL)),0)</f>
        <v>0</v>
      </c>
      <c r="BY12" s="20" t="n">
        <f aca="false">IF(BL12&gt;PR_BalDone,MIN(F_LoanPayM,BL12+BL12*(D_iL)),0)</f>
        <v>0</v>
      </c>
      <c r="BZ12" s="20" t="n">
        <f aca="false">IF(BM12&gt;PR_BalDone,MIN(F_LoanPayM,BM12+BM12*(D_iL)),0)</f>
        <v>0</v>
      </c>
      <c r="CA12" s="20" t="n">
        <f aca="false">IF(BN12&gt;PR_BalDone,MIN(F_LoanPayM,BN12+BN12*(D_iL)),0)</f>
        <v>0</v>
      </c>
      <c r="CB12" s="20" t="n">
        <f aca="false">IF(BO12&gt;PR_BalDone,MIN(F_LoanPayM,BO12+BO12*(D_iL)),0)</f>
        <v>0</v>
      </c>
      <c r="CC12" s="20" t="n">
        <f aca="false">IF(BP12&gt;PR_BalDone,MIN(F_LoanPayM,BP12+BP12*(D_iL)),0)</f>
        <v>0</v>
      </c>
      <c r="CD12" s="20" t="n">
        <f aca="false">MAX(0,BQ12)</f>
        <v>0</v>
      </c>
      <c r="CE12" s="20" t="n">
        <f aca="false">SUM(BR12:CC12)</f>
        <v>0</v>
      </c>
      <c r="CF12" s="20" t="n">
        <f aca="false">IF(CF11&gt;1,DE11,CF11)</f>
        <v>176427.322852906</v>
      </c>
      <c r="CG12" s="20" t="n">
        <f aca="false">IF(CF12&gt;PR_BalDone,CF12+CF12*(F_MR/12)-MIN(F_MortPayM,CF12+CF12*(F_MR/12)),CF12)</f>
        <v>175813.360513726</v>
      </c>
      <c r="CH12" s="20" t="n">
        <f aca="false">IF(CG12&gt;PR_BalDone,CG12+CG12*(F_MR/12)-MIN(F_MortPayM,CG12+CG12*(F_MR/12)),CG12)</f>
        <v>175197.428378707</v>
      </c>
      <c r="CI12" s="20" t="n">
        <f aca="false">IF(CH12&gt;PR_BalDone,CH12+CH12*(F_MR/12)-MIN(F_MortPayM,CH12+CH12*(F_MR/12)),CH12)</f>
        <v>174579.520128089</v>
      </c>
      <c r="CJ12" s="20" t="n">
        <f aca="false">IF(CI12&gt;PR_BalDone,CI12+CI12*(F_MR/12)-MIN(F_MortPayM,CI12+CI12*(F_MR/12)),CI12)</f>
        <v>173959.629421833</v>
      </c>
      <c r="CK12" s="20" t="n">
        <f aca="false">IF(CJ12&gt;PR_BalDone,CJ12+CJ12*(F_MR/12)-MIN(F_MortPayM,CJ12+CJ12*(F_MR/12)),CJ12)</f>
        <v>173337.749899562</v>
      </c>
      <c r="CL12" s="20" t="n">
        <f aca="false">IF(CK12&gt;PR_BalDone,CK12+CK12*(F_MR/12)-MIN(F_MortPayM,CK12+CK12*(F_MR/12)),CK12)</f>
        <v>172713.87518049</v>
      </c>
      <c r="CM12" s="20" t="n">
        <f aca="false">IF(CL12&gt;PR_BalDone,CL12+CL12*(F_MR/12)-MIN(F_MortPayM,CL12+CL12*(F_MR/12)),CL12)</f>
        <v>172087.99886336</v>
      </c>
      <c r="CN12" s="20" t="n">
        <f aca="false">IF(CM12&gt;PR_BalDone,CM12+CM12*(F_MR/12)-MIN(F_MortPayM,CM12+CM12*(F_MR/12)),CM12)</f>
        <v>171460.11452638</v>
      </c>
      <c r="CO12" s="20" t="n">
        <f aca="false">IF(CN12&gt;PR_BalDone,CN12+CN12*(F_MR/12)-MIN(F_MortPayM,CN12+CN12*(F_MR/12)),CN12)</f>
        <v>170830.215727152</v>
      </c>
      <c r="CP12" s="20" t="n">
        <f aca="false">IF(CO12&gt;PR_BalDone,CO12+CO12*(F_MR/12)-MIN(F_MortPayM,CO12+CO12*(F_MR/12)),CO12)</f>
        <v>170198.29600261</v>
      </c>
      <c r="CQ12" s="20" t="n">
        <f aca="false">IF(CP12&gt;PR_BalDone,CP12+CP12*(F_MR/12)-MIN(F_MortPayM,CP12+CP12*(F_MR/12)),CP12)</f>
        <v>169564.348868952</v>
      </c>
      <c r="CR12" s="20" t="n">
        <f aca="false">IF(CQ12&gt;PR_BalDone,CQ12+CQ12*(F_MR/12)-MIN(F_MortPayM,CQ12+CQ12*(F_MR/12)),CQ12)</f>
        <v>168928.367821573</v>
      </c>
      <c r="CS12" s="20" t="n">
        <f aca="false">IF(CF12&gt;PR_BalDone,MIN(F_MortPayM,CF12+CF12*(F_MR/12)),0)</f>
        <v>1180</v>
      </c>
      <c r="CT12" s="20" t="n">
        <f aca="false">IF(CG12&gt;PR_BalDone,MIN(F_MortPayM,CG12+CG12*(F_MR/12)),0)</f>
        <v>1180</v>
      </c>
      <c r="CU12" s="20" t="n">
        <f aca="false">IF(CH12&gt;PR_BalDone,MIN(F_MortPayM,CH12+CH12*(F_MR/12)),0)</f>
        <v>1180</v>
      </c>
      <c r="CV12" s="20" t="n">
        <f aca="false">IF(CI12&gt;PR_BalDone,MIN(F_MortPayM,CI12+CI12*(F_MR/12)),0)</f>
        <v>1180</v>
      </c>
      <c r="CW12" s="20" t="n">
        <f aca="false">IF(CJ12&gt;PR_BalDone,MIN(F_MortPayM,CJ12+CJ12*(F_MR/12)),0)</f>
        <v>1180</v>
      </c>
      <c r="CX12" s="20" t="n">
        <f aca="false">IF(CK12&gt;PR_BalDone,MIN(F_MortPayM,CK12+CK12*(F_MR/12)),0)</f>
        <v>1180</v>
      </c>
      <c r="CY12" s="20" t="n">
        <f aca="false">IF(CL12&gt;PR_BalDone,MIN(F_MortPayM,CL12+CL12*(F_MR/12)),0)</f>
        <v>1180</v>
      </c>
      <c r="CZ12" s="20" t="n">
        <f aca="false">IF(CM12&gt;PR_BalDone,MIN(F_MortPayM,CM12+CM12*(F_MR/12)),0)</f>
        <v>1180</v>
      </c>
      <c r="DA12" s="20" t="n">
        <f aca="false">IF(CN12&gt;PR_BalDone,MIN(F_MortPayM,CN12+CN12*(F_MR/12)),0)</f>
        <v>1180</v>
      </c>
      <c r="DB12" s="20" t="n">
        <f aca="false">IF(CO12&gt;PR_BalDone,MIN(F_MortPayM,CO12+CO12*(F_MR/12)),0)</f>
        <v>1180</v>
      </c>
      <c r="DC12" s="20" t="n">
        <f aca="false">IF(CP12&gt;PR_BalDone,MIN(F_MortPayM,CP12+CP12*(F_MR/12)),0)</f>
        <v>1180</v>
      </c>
      <c r="DD12" s="20" t="n">
        <f aca="false">IF(CQ12&gt;PR_BalDone,MIN(F_MortPayM,CQ12+CQ12*(F_MR/12)),0)</f>
        <v>1180</v>
      </c>
      <c r="DE12" s="20" t="n">
        <f aca="false">MAX(0,CR12)</f>
        <v>168928.367821573</v>
      </c>
      <c r="DF12" s="20" t="n">
        <f aca="false">SUM(CS12:DD12)</f>
        <v>14160</v>
      </c>
      <c r="DG12" s="20" t="n">
        <f aca="false">MAX(0,CF12)</f>
        <v>176427.322852906</v>
      </c>
    </row>
    <row r="13" customFormat="false" ht="15" hidden="false" customHeight="true" outlineLevel="0" collapsed="false">
      <c r="B13" s="20" t="n">
        <v>5</v>
      </c>
      <c r="C13" s="20" t="n">
        <f aca="false">'Plan cashflow'!J13</f>
        <v>168928.367821573</v>
      </c>
      <c r="D13" s="20" t="n">
        <f aca="false">IF(C13&gt;PR_BalDone,C13+C13*(F_MR/12)-MIN(F_MortPayM,C13+C13*(F_MR/12)),C13)</f>
        <v>168290.346335001</v>
      </c>
      <c r="E13" s="20" t="n">
        <f aca="false">IF(D13&gt;PR_BalDone,D13+D13*(F_MR/12)-MIN(F_MortPayM,D13+D13*(F_MR/12)),D13)</f>
        <v>167650.277862826</v>
      </c>
      <c r="F13" s="20" t="n">
        <f aca="false">IF(E13&gt;PR_BalDone,E13+E13*(F_MR/12)-MIN(F_MortPayM,E13+E13*(F_MR/12)),E13)</f>
        <v>167008.155837635</v>
      </c>
      <c r="G13" s="20" t="n">
        <f aca="false">IF(F13&gt;PR_BalDone,F13+F13*(F_MR/12)-MIN(F_MortPayM,F13+F13*(F_MR/12)),F13)</f>
        <v>166363.973670948</v>
      </c>
      <c r="H13" s="20" t="n">
        <f aca="false">IF(G13&gt;PR_BalDone,G13+G13*(F_MR/12)-MIN(F_MortPayM,G13+G13*(F_MR/12)),G13)</f>
        <v>165717.724753142</v>
      </c>
      <c r="I13" s="20" t="n">
        <f aca="false">IF(H13&gt;PR_BalDone,H13+H13*(F_MR/12)-MIN(F_MortPayM,H13+H13*(F_MR/12)),H13)</f>
        <v>165069.402453392</v>
      </c>
      <c r="J13" s="20" t="n">
        <f aca="false">IF(I13&gt;PR_BalDone,I13+I13*(F_MR/12)-MIN(F_MortPayM,I13+I13*(F_MR/12)),I13)</f>
        <v>164419.000119596</v>
      </c>
      <c r="K13" s="20" t="n">
        <f aca="false">IF(J13&gt;PR_BalDone,J13+J13*(F_MR/12)-MIN(F_MortPayM,J13+J13*(F_MR/12)),J13)</f>
        <v>163766.511078313</v>
      </c>
      <c r="L13" s="20" t="n">
        <f aca="false">IF(K13&gt;PR_BalDone,K13+K13*(F_MR/12)-MIN(F_MortPayM,K13+K13*(F_MR/12)),K13)</f>
        <v>163111.92863469</v>
      </c>
      <c r="M13" s="20" t="n">
        <f aca="false">IF(L13&gt;PR_BalDone,L13+L13*(F_MR/12)-MIN(F_MortPayM,L13+L13*(F_MR/12)),L13)</f>
        <v>162455.246072393</v>
      </c>
      <c r="N13" s="20" t="n">
        <f aca="false">IF(M13&gt;PR_BalDone,M13+M13*(F_MR/12)-MIN(F_MortPayM,M13+M13*(F_MR/12)),M13)</f>
        <v>161796.456653542</v>
      </c>
      <c r="O13" s="20" t="n">
        <f aca="false">IF(N13&gt;PR_BalDone,N13+N13*(F_MR/12)-MIN(F_MortPayM,N13+N13*(F_MR/12)),N13)</f>
        <v>161135.553618638</v>
      </c>
      <c r="P13" s="20" t="n">
        <f aca="false">IF(C13&gt;PR_BalDone,MIN(F_MortPayM,C13+C13*(F_MR/12)),0)</f>
        <v>1180</v>
      </c>
      <c r="Q13" s="20" t="n">
        <f aca="false">IF(D13&gt;PR_BalDone,MIN(F_MortPayM,D13+D13*(F_MR/12)),0)</f>
        <v>1180</v>
      </c>
      <c r="R13" s="20" t="n">
        <f aca="false">IF(E13&gt;PR_BalDone,MIN(F_MortPayM,E13+E13*(F_MR/12)),0)</f>
        <v>1180</v>
      </c>
      <c r="S13" s="20" t="n">
        <f aca="false">IF(F13&gt;PR_BalDone,MIN(F_MortPayM,F13+F13*(F_MR/12)),0)</f>
        <v>1180</v>
      </c>
      <c r="T13" s="20" t="n">
        <f aca="false">IF(G13&gt;PR_BalDone,MIN(F_MortPayM,G13+G13*(F_MR/12)),0)</f>
        <v>1180</v>
      </c>
      <c r="U13" s="20" t="n">
        <f aca="false">IF(H13&gt;PR_BalDone,MIN(F_MortPayM,H13+H13*(F_MR/12)),0)</f>
        <v>1180</v>
      </c>
      <c r="V13" s="20" t="n">
        <f aca="false">IF(I13&gt;PR_BalDone,MIN(F_MortPayM,I13+I13*(F_MR/12)),0)</f>
        <v>1180</v>
      </c>
      <c r="W13" s="20" t="n">
        <f aca="false">IF(J13&gt;PR_BalDone,MIN(F_MortPayM,J13+J13*(F_MR/12)),0)</f>
        <v>1180</v>
      </c>
      <c r="X13" s="20" t="n">
        <f aca="false">IF(K13&gt;PR_BalDone,MIN(F_MortPayM,K13+K13*(F_MR/12)),0)</f>
        <v>1180</v>
      </c>
      <c r="Y13" s="20" t="n">
        <f aca="false">IF(L13&gt;PR_BalDone,MIN(F_MortPayM,L13+L13*(F_MR/12)),0)</f>
        <v>1180</v>
      </c>
      <c r="Z13" s="20" t="n">
        <f aca="false">IF(M13&gt;PR_BalDone,MIN(F_MortPayM,M13+M13*(F_MR/12)),0)</f>
        <v>1180</v>
      </c>
      <c r="AA13" s="20" t="n">
        <f aca="false">IF(N13&gt;PR_BalDone,MIN(F_MortPayM,N13+N13*(F_MR/12)),0)</f>
        <v>1180</v>
      </c>
      <c r="AB13" s="20" t="n">
        <f aca="false">MAX(0,O13)</f>
        <v>161135.553618638</v>
      </c>
      <c r="AC13" s="20" t="n">
        <f aca="false">SUM(P13:AA13)</f>
        <v>14160</v>
      </c>
      <c r="AD13" s="20" t="n">
        <f aca="false">'Plan cashflow'!M13</f>
        <v>0</v>
      </c>
      <c r="AE13" s="20" t="n">
        <f aca="false">IF(AD13&gt;PR_BalDone,AD13+AD13*(D_iC)-MIN(F_CardPayM,AD13+AD13*(D_iC)),AD13)</f>
        <v>0</v>
      </c>
      <c r="AF13" s="20" t="n">
        <f aca="false">IF(AE13&gt;PR_BalDone,AE13+AE13*(D_iC)-MIN(F_CardPayM,AE13+AE13*(D_iC)),AE13)</f>
        <v>0</v>
      </c>
      <c r="AG13" s="20" t="n">
        <f aca="false">IF(AF13&gt;PR_BalDone,AF13+AF13*(D_iC)-MIN(F_CardPayM,AF13+AF13*(D_iC)),AF13)</f>
        <v>0</v>
      </c>
      <c r="AH13" s="20" t="n">
        <f aca="false">IF(AG13&gt;PR_BalDone,AG13+AG13*(D_iC)-MIN(F_CardPayM,AG13+AG13*(D_iC)),AG13)</f>
        <v>0</v>
      </c>
      <c r="AI13" s="20" t="n">
        <f aca="false">IF(AH13&gt;PR_BalDone,AH13+AH13*(D_iC)-MIN(F_CardPayM,AH13+AH13*(D_iC)),AH13)</f>
        <v>0</v>
      </c>
      <c r="AJ13" s="20" t="n">
        <f aca="false">IF(AI13&gt;PR_BalDone,AI13+AI13*(D_iC)-MIN(F_CardPayM,AI13+AI13*(D_iC)),AI13)</f>
        <v>0</v>
      </c>
      <c r="AK13" s="20" t="n">
        <f aca="false">IF(AJ13&gt;PR_BalDone,AJ13+AJ13*(D_iC)-MIN(F_CardPayM,AJ13+AJ13*(D_iC)),AJ13)</f>
        <v>0</v>
      </c>
      <c r="AL13" s="20" t="n">
        <f aca="false">IF(AK13&gt;PR_BalDone,AK13+AK13*(D_iC)-MIN(F_CardPayM,AK13+AK13*(D_iC)),AK13)</f>
        <v>0</v>
      </c>
      <c r="AM13" s="20" t="n">
        <f aca="false">IF(AL13&gt;PR_BalDone,AL13+AL13*(D_iC)-MIN(F_CardPayM,AL13+AL13*(D_iC)),AL13)</f>
        <v>0</v>
      </c>
      <c r="AN13" s="20" t="n">
        <f aca="false">IF(AM13&gt;PR_BalDone,AM13+AM13*(D_iC)-MIN(F_CardPayM,AM13+AM13*(D_iC)),AM13)</f>
        <v>0</v>
      </c>
      <c r="AO13" s="20" t="n">
        <f aca="false">IF(AN13&gt;PR_BalDone,AN13+AN13*(D_iC)-MIN(F_CardPayM,AN13+AN13*(D_iC)),AN13)</f>
        <v>0</v>
      </c>
      <c r="AP13" s="20" t="n">
        <f aca="false">IF(AO13&gt;PR_BalDone,AO13+AO13*(D_iC)-MIN(F_CardPayM,AO13+AO13*(D_iC)),AO13)</f>
        <v>0</v>
      </c>
      <c r="AQ13" s="20" t="n">
        <f aca="false">IF(AD13&gt;PR_BalDone,MIN(F_CardPayM,AD13+AD13*(D_iC)),0)</f>
        <v>0</v>
      </c>
      <c r="AR13" s="20" t="n">
        <f aca="false">IF(AE13&gt;PR_BalDone,MIN(F_CardPayM,AE13+AE13*(D_iC)),0)</f>
        <v>0</v>
      </c>
      <c r="AS13" s="20" t="n">
        <f aca="false">IF(AF13&gt;PR_BalDone,MIN(F_CardPayM,AF13+AF13*(D_iC)),0)</f>
        <v>0</v>
      </c>
      <c r="AT13" s="20" t="n">
        <f aca="false">IF(AG13&gt;PR_BalDone,MIN(F_CardPayM,AG13+AG13*(D_iC)),0)</f>
        <v>0</v>
      </c>
      <c r="AU13" s="20" t="n">
        <f aca="false">IF(AH13&gt;PR_BalDone,MIN(F_CardPayM,AH13+AH13*(D_iC)),0)</f>
        <v>0</v>
      </c>
      <c r="AV13" s="20" t="n">
        <f aca="false">IF(AI13&gt;PR_BalDone,MIN(F_CardPayM,AI13+AI13*(D_iC)),0)</f>
        <v>0</v>
      </c>
      <c r="AW13" s="20" t="n">
        <f aca="false">IF(AJ13&gt;PR_BalDone,MIN(F_CardPayM,AJ13+AJ13*(D_iC)),0)</f>
        <v>0</v>
      </c>
      <c r="AX13" s="20" t="n">
        <f aca="false">IF(AK13&gt;PR_BalDone,MIN(F_CardPayM,AK13+AK13*(D_iC)),0)</f>
        <v>0</v>
      </c>
      <c r="AY13" s="20" t="n">
        <f aca="false">IF(AL13&gt;PR_BalDone,MIN(F_CardPayM,AL13+AL13*(D_iC)),0)</f>
        <v>0</v>
      </c>
      <c r="AZ13" s="20" t="n">
        <f aca="false">IF(AM13&gt;PR_BalDone,MIN(F_CardPayM,AM13+AM13*(D_iC)),0)</f>
        <v>0</v>
      </c>
      <c r="BA13" s="20" t="n">
        <f aca="false">IF(AN13&gt;PR_BalDone,MIN(F_CardPayM,AN13+AN13*(D_iC)),0)</f>
        <v>0</v>
      </c>
      <c r="BB13" s="20" t="n">
        <f aca="false">IF(AO13&gt;PR_BalDone,MIN(F_CardPayM,AO13+AO13*(D_iC)),0)</f>
        <v>0</v>
      </c>
      <c r="BC13" s="20" t="n">
        <f aca="false">MAX(0,AP13)</f>
        <v>0</v>
      </c>
      <c r="BD13" s="20" t="n">
        <f aca="false">SUM(AQ13:BB13)</f>
        <v>0</v>
      </c>
      <c r="BE13" s="20" t="n">
        <f aca="false">'Plan cashflow'!P13</f>
        <v>0</v>
      </c>
      <c r="BF13" s="20" t="n">
        <f aca="false">IF(BE13&gt;PR_BalDone,BE13+BE13*(D_iL)-MIN(F_LoanPayM,BE13+BE13*(D_iL)),BE13)</f>
        <v>0</v>
      </c>
      <c r="BG13" s="20" t="n">
        <f aca="false">IF(BF13&gt;PR_BalDone,BF13+BF13*(D_iL)-MIN(F_LoanPayM,BF13+BF13*(D_iL)),BF13)</f>
        <v>0</v>
      </c>
      <c r="BH13" s="20" t="n">
        <f aca="false">IF(BG13&gt;PR_BalDone,BG13+BG13*(D_iL)-MIN(F_LoanPayM,BG13+BG13*(D_iL)),BG13)</f>
        <v>0</v>
      </c>
      <c r="BI13" s="20" t="n">
        <f aca="false">IF(BH13&gt;PR_BalDone,BH13+BH13*(D_iL)-MIN(F_LoanPayM,BH13+BH13*(D_iL)),BH13)</f>
        <v>0</v>
      </c>
      <c r="BJ13" s="20" t="n">
        <f aca="false">IF(BI13&gt;PR_BalDone,BI13+BI13*(D_iL)-MIN(F_LoanPayM,BI13+BI13*(D_iL)),BI13)</f>
        <v>0</v>
      </c>
      <c r="BK13" s="20" t="n">
        <f aca="false">IF(BJ13&gt;PR_BalDone,BJ13+BJ13*(D_iL)-MIN(F_LoanPayM,BJ13+BJ13*(D_iL)),BJ13)</f>
        <v>0</v>
      </c>
      <c r="BL13" s="20" t="n">
        <f aca="false">IF(BK13&gt;PR_BalDone,BK13+BK13*(D_iL)-MIN(F_LoanPayM,BK13+BK13*(D_iL)),BK13)</f>
        <v>0</v>
      </c>
      <c r="BM13" s="20" t="n">
        <f aca="false">IF(BL13&gt;PR_BalDone,BL13+BL13*(D_iL)-MIN(F_LoanPayM,BL13+BL13*(D_iL)),BL13)</f>
        <v>0</v>
      </c>
      <c r="BN13" s="20" t="n">
        <f aca="false">IF(BM13&gt;PR_BalDone,BM13+BM13*(D_iL)-MIN(F_LoanPayM,BM13+BM13*(D_iL)),BM13)</f>
        <v>0</v>
      </c>
      <c r="BO13" s="20" t="n">
        <f aca="false">IF(BN13&gt;PR_BalDone,BN13+BN13*(D_iL)-MIN(F_LoanPayM,BN13+BN13*(D_iL)),BN13)</f>
        <v>0</v>
      </c>
      <c r="BP13" s="20" t="n">
        <f aca="false">IF(BO13&gt;PR_BalDone,BO13+BO13*(D_iL)-MIN(F_LoanPayM,BO13+BO13*(D_iL)),BO13)</f>
        <v>0</v>
      </c>
      <c r="BQ13" s="20" t="n">
        <f aca="false">IF(BP13&gt;PR_BalDone,BP13+BP13*(D_iL)-MIN(F_LoanPayM,BP13+BP13*(D_iL)),BP13)</f>
        <v>0</v>
      </c>
      <c r="BR13" s="20" t="n">
        <f aca="false">IF(BE13&gt;PR_BalDone,MIN(F_LoanPayM,BE13+BE13*(D_iL)),0)</f>
        <v>0</v>
      </c>
      <c r="BS13" s="20" t="n">
        <f aca="false">IF(BF13&gt;PR_BalDone,MIN(F_LoanPayM,BF13+BF13*(D_iL)),0)</f>
        <v>0</v>
      </c>
      <c r="BT13" s="20" t="n">
        <f aca="false">IF(BG13&gt;PR_BalDone,MIN(F_LoanPayM,BG13+BG13*(D_iL)),0)</f>
        <v>0</v>
      </c>
      <c r="BU13" s="20" t="n">
        <f aca="false">IF(BH13&gt;PR_BalDone,MIN(F_LoanPayM,BH13+BH13*(D_iL)),0)</f>
        <v>0</v>
      </c>
      <c r="BV13" s="20" t="n">
        <f aca="false">IF(BI13&gt;PR_BalDone,MIN(F_LoanPayM,BI13+BI13*(D_iL)),0)</f>
        <v>0</v>
      </c>
      <c r="BW13" s="20" t="n">
        <f aca="false">IF(BJ13&gt;PR_BalDone,MIN(F_LoanPayM,BJ13+BJ13*(D_iL)),0)</f>
        <v>0</v>
      </c>
      <c r="BX13" s="20" t="n">
        <f aca="false">IF(BK13&gt;PR_BalDone,MIN(F_LoanPayM,BK13+BK13*(D_iL)),0)</f>
        <v>0</v>
      </c>
      <c r="BY13" s="20" t="n">
        <f aca="false">IF(BL13&gt;PR_BalDone,MIN(F_LoanPayM,BL13+BL13*(D_iL)),0)</f>
        <v>0</v>
      </c>
      <c r="BZ13" s="20" t="n">
        <f aca="false">IF(BM13&gt;PR_BalDone,MIN(F_LoanPayM,BM13+BM13*(D_iL)),0)</f>
        <v>0</v>
      </c>
      <c r="CA13" s="20" t="n">
        <f aca="false">IF(BN13&gt;PR_BalDone,MIN(F_LoanPayM,BN13+BN13*(D_iL)),0)</f>
        <v>0</v>
      </c>
      <c r="CB13" s="20" t="n">
        <f aca="false">IF(BO13&gt;PR_BalDone,MIN(F_LoanPayM,BO13+BO13*(D_iL)),0)</f>
        <v>0</v>
      </c>
      <c r="CC13" s="20" t="n">
        <f aca="false">IF(BP13&gt;PR_BalDone,MIN(F_LoanPayM,BP13+BP13*(D_iL)),0)</f>
        <v>0</v>
      </c>
      <c r="CD13" s="20" t="n">
        <f aca="false">MAX(0,BQ13)</f>
        <v>0</v>
      </c>
      <c r="CE13" s="20" t="n">
        <f aca="false">SUM(BR13:CC13)</f>
        <v>0</v>
      </c>
      <c r="CF13" s="20" t="n">
        <f aca="false">IF(CF12&gt;1,DE12,CF12)</f>
        <v>168928.367821573</v>
      </c>
      <c r="CG13" s="20" t="n">
        <f aca="false">IF(CF13&gt;PR_BalDone,CF13+CF13*(F_MR/12)-MIN(F_MortPayM,CF13+CF13*(F_MR/12)),CF13)</f>
        <v>168290.346335001</v>
      </c>
      <c r="CH13" s="20" t="n">
        <f aca="false">IF(CG13&gt;PR_BalDone,CG13+CG13*(F_MR/12)-MIN(F_MortPayM,CG13+CG13*(F_MR/12)),CG13)</f>
        <v>167650.277862826</v>
      </c>
      <c r="CI13" s="20" t="n">
        <f aca="false">IF(CH13&gt;PR_BalDone,CH13+CH13*(F_MR/12)-MIN(F_MortPayM,CH13+CH13*(F_MR/12)),CH13)</f>
        <v>167008.155837635</v>
      </c>
      <c r="CJ13" s="20" t="n">
        <f aca="false">IF(CI13&gt;PR_BalDone,CI13+CI13*(F_MR/12)-MIN(F_MortPayM,CI13+CI13*(F_MR/12)),CI13)</f>
        <v>166363.973670948</v>
      </c>
      <c r="CK13" s="20" t="n">
        <f aca="false">IF(CJ13&gt;PR_BalDone,CJ13+CJ13*(F_MR/12)-MIN(F_MortPayM,CJ13+CJ13*(F_MR/12)),CJ13)</f>
        <v>165717.724753142</v>
      </c>
      <c r="CL13" s="20" t="n">
        <f aca="false">IF(CK13&gt;PR_BalDone,CK13+CK13*(F_MR/12)-MIN(F_MortPayM,CK13+CK13*(F_MR/12)),CK13)</f>
        <v>165069.402453392</v>
      </c>
      <c r="CM13" s="20" t="n">
        <f aca="false">IF(CL13&gt;PR_BalDone,CL13+CL13*(F_MR/12)-MIN(F_MortPayM,CL13+CL13*(F_MR/12)),CL13)</f>
        <v>164419.000119596</v>
      </c>
      <c r="CN13" s="20" t="n">
        <f aca="false">IF(CM13&gt;PR_BalDone,CM13+CM13*(F_MR/12)-MIN(F_MortPayM,CM13+CM13*(F_MR/12)),CM13)</f>
        <v>163766.511078313</v>
      </c>
      <c r="CO13" s="20" t="n">
        <f aca="false">IF(CN13&gt;PR_BalDone,CN13+CN13*(F_MR/12)-MIN(F_MortPayM,CN13+CN13*(F_MR/12)),CN13)</f>
        <v>163111.92863469</v>
      </c>
      <c r="CP13" s="20" t="n">
        <f aca="false">IF(CO13&gt;PR_BalDone,CO13+CO13*(F_MR/12)-MIN(F_MortPayM,CO13+CO13*(F_MR/12)),CO13)</f>
        <v>162455.246072393</v>
      </c>
      <c r="CQ13" s="20" t="n">
        <f aca="false">IF(CP13&gt;PR_BalDone,CP13+CP13*(F_MR/12)-MIN(F_MortPayM,CP13+CP13*(F_MR/12)),CP13)</f>
        <v>161796.456653542</v>
      </c>
      <c r="CR13" s="20" t="n">
        <f aca="false">IF(CQ13&gt;PR_BalDone,CQ13+CQ13*(F_MR/12)-MIN(F_MortPayM,CQ13+CQ13*(F_MR/12)),CQ13)</f>
        <v>161135.553618638</v>
      </c>
      <c r="CS13" s="20" t="n">
        <f aca="false">IF(CF13&gt;PR_BalDone,MIN(F_MortPayM,CF13+CF13*(F_MR/12)),0)</f>
        <v>1180</v>
      </c>
      <c r="CT13" s="20" t="n">
        <f aca="false">IF(CG13&gt;PR_BalDone,MIN(F_MortPayM,CG13+CG13*(F_MR/12)),0)</f>
        <v>1180</v>
      </c>
      <c r="CU13" s="20" t="n">
        <f aca="false">IF(CH13&gt;PR_BalDone,MIN(F_MortPayM,CH13+CH13*(F_MR/12)),0)</f>
        <v>1180</v>
      </c>
      <c r="CV13" s="20" t="n">
        <f aca="false">IF(CI13&gt;PR_BalDone,MIN(F_MortPayM,CI13+CI13*(F_MR/12)),0)</f>
        <v>1180</v>
      </c>
      <c r="CW13" s="20" t="n">
        <f aca="false">IF(CJ13&gt;PR_BalDone,MIN(F_MortPayM,CJ13+CJ13*(F_MR/12)),0)</f>
        <v>1180</v>
      </c>
      <c r="CX13" s="20" t="n">
        <f aca="false">IF(CK13&gt;PR_BalDone,MIN(F_MortPayM,CK13+CK13*(F_MR/12)),0)</f>
        <v>1180</v>
      </c>
      <c r="CY13" s="20" t="n">
        <f aca="false">IF(CL13&gt;PR_BalDone,MIN(F_MortPayM,CL13+CL13*(F_MR/12)),0)</f>
        <v>1180</v>
      </c>
      <c r="CZ13" s="20" t="n">
        <f aca="false">IF(CM13&gt;PR_BalDone,MIN(F_MortPayM,CM13+CM13*(F_MR/12)),0)</f>
        <v>1180</v>
      </c>
      <c r="DA13" s="20" t="n">
        <f aca="false">IF(CN13&gt;PR_BalDone,MIN(F_MortPayM,CN13+CN13*(F_MR/12)),0)</f>
        <v>1180</v>
      </c>
      <c r="DB13" s="20" t="n">
        <f aca="false">IF(CO13&gt;PR_BalDone,MIN(F_MortPayM,CO13+CO13*(F_MR/12)),0)</f>
        <v>1180</v>
      </c>
      <c r="DC13" s="20" t="n">
        <f aca="false">IF(CP13&gt;PR_BalDone,MIN(F_MortPayM,CP13+CP13*(F_MR/12)),0)</f>
        <v>1180</v>
      </c>
      <c r="DD13" s="20" t="n">
        <f aca="false">IF(CQ13&gt;PR_BalDone,MIN(F_MortPayM,CQ13+CQ13*(F_MR/12)),0)</f>
        <v>1180</v>
      </c>
      <c r="DE13" s="20" t="n">
        <f aca="false">MAX(0,CR13)</f>
        <v>161135.553618638</v>
      </c>
      <c r="DF13" s="20" t="n">
        <f aca="false">SUM(CS13:DD13)</f>
        <v>14160</v>
      </c>
      <c r="DG13" s="20" t="n">
        <f aca="false">MAX(0,CF13)</f>
        <v>168928.367821573</v>
      </c>
    </row>
    <row r="14" customFormat="false" ht="15" hidden="false" customHeight="true" outlineLevel="0" collapsed="false">
      <c r="B14" s="20" t="n">
        <v>6</v>
      </c>
      <c r="C14" s="20" t="n">
        <f aca="false">'Plan cashflow'!J14</f>
        <v>161135.553618638</v>
      </c>
      <c r="D14" s="20" t="n">
        <f aca="false">IF(C14&gt;PR_BalDone,C14+C14*(F_MR/12)-MIN(F_MortPayM,C14+C14*(F_MR/12)),C14)</f>
        <v>160472.530186498</v>
      </c>
      <c r="E14" s="20" t="n">
        <f aca="false">IF(D14&gt;PR_BalDone,D14+D14*(F_MR/12)-MIN(F_MortPayM,D14+D14*(F_MR/12)),D14)</f>
        <v>159807.37955418</v>
      </c>
      <c r="F14" s="20" t="n">
        <f aca="false">IF(E14&gt;PR_BalDone,E14+E14*(F_MR/12)-MIN(F_MortPayM,E14+E14*(F_MR/12)),E14)</f>
        <v>159140.094896916</v>
      </c>
      <c r="G14" s="20" t="n">
        <f aca="false">IF(F14&gt;PR_BalDone,F14+F14*(F_MR/12)-MIN(F_MortPayM,F14+F14*(F_MR/12)),F14)</f>
        <v>158470.669368044</v>
      </c>
      <c r="H14" s="20" t="n">
        <f aca="false">IF(G14&gt;PR_BalDone,G14+G14*(F_MR/12)-MIN(F_MortPayM,G14+G14*(F_MR/12)),G14)</f>
        <v>157799.096098933</v>
      </c>
      <c r="I14" s="20" t="n">
        <f aca="false">IF(H14&gt;PR_BalDone,H14+H14*(F_MR/12)-MIN(F_MortPayM,H14+H14*(F_MR/12)),H14)</f>
        <v>157125.368198917</v>
      </c>
      <c r="J14" s="20" t="n">
        <f aca="false">IF(I14&gt;PR_BalDone,I14+I14*(F_MR/12)-MIN(F_MortPayM,I14+I14*(F_MR/12)),I14)</f>
        <v>156449.478755222</v>
      </c>
      <c r="K14" s="20" t="n">
        <f aca="false">IF(J14&gt;PR_BalDone,J14+J14*(F_MR/12)-MIN(F_MortPayM,J14+J14*(F_MR/12)),J14)</f>
        <v>155771.420832895</v>
      </c>
      <c r="L14" s="20" t="n">
        <f aca="false">IF(K14&gt;PR_BalDone,K14+K14*(F_MR/12)-MIN(F_MortPayM,K14+K14*(F_MR/12)),K14)</f>
        <v>155091.187474734</v>
      </c>
      <c r="M14" s="20" t="n">
        <f aca="false">IF(L14&gt;PR_BalDone,L14+L14*(F_MR/12)-MIN(F_MortPayM,L14+L14*(F_MR/12)),L14)</f>
        <v>154408.771701215</v>
      </c>
      <c r="N14" s="20" t="n">
        <f aca="false">IF(M14&gt;PR_BalDone,M14+M14*(F_MR/12)-MIN(F_MortPayM,M14+M14*(F_MR/12)),M14)</f>
        <v>153724.166510423</v>
      </c>
      <c r="O14" s="20" t="n">
        <f aca="false">IF(N14&gt;PR_BalDone,N14+N14*(F_MR/12)-MIN(F_MortPayM,N14+N14*(F_MR/12)),N14)</f>
        <v>153037.364877978</v>
      </c>
      <c r="P14" s="20" t="n">
        <f aca="false">IF(C14&gt;PR_BalDone,MIN(F_MortPayM,C14+C14*(F_MR/12)),0)</f>
        <v>1180</v>
      </c>
      <c r="Q14" s="20" t="n">
        <f aca="false">IF(D14&gt;PR_BalDone,MIN(F_MortPayM,D14+D14*(F_MR/12)),0)</f>
        <v>1180</v>
      </c>
      <c r="R14" s="20" t="n">
        <f aca="false">IF(E14&gt;PR_BalDone,MIN(F_MortPayM,E14+E14*(F_MR/12)),0)</f>
        <v>1180</v>
      </c>
      <c r="S14" s="20" t="n">
        <f aca="false">IF(F14&gt;PR_BalDone,MIN(F_MortPayM,F14+F14*(F_MR/12)),0)</f>
        <v>1180</v>
      </c>
      <c r="T14" s="20" t="n">
        <f aca="false">IF(G14&gt;PR_BalDone,MIN(F_MortPayM,G14+G14*(F_MR/12)),0)</f>
        <v>1180</v>
      </c>
      <c r="U14" s="20" t="n">
        <f aca="false">IF(H14&gt;PR_BalDone,MIN(F_MortPayM,H14+H14*(F_MR/12)),0)</f>
        <v>1180</v>
      </c>
      <c r="V14" s="20" t="n">
        <f aca="false">IF(I14&gt;PR_BalDone,MIN(F_MortPayM,I14+I14*(F_MR/12)),0)</f>
        <v>1180</v>
      </c>
      <c r="W14" s="20" t="n">
        <f aca="false">IF(J14&gt;PR_BalDone,MIN(F_MortPayM,J14+J14*(F_MR/12)),0)</f>
        <v>1180</v>
      </c>
      <c r="X14" s="20" t="n">
        <f aca="false">IF(K14&gt;PR_BalDone,MIN(F_MortPayM,K14+K14*(F_MR/12)),0)</f>
        <v>1180</v>
      </c>
      <c r="Y14" s="20" t="n">
        <f aca="false">IF(L14&gt;PR_BalDone,MIN(F_MortPayM,L14+L14*(F_MR/12)),0)</f>
        <v>1180</v>
      </c>
      <c r="Z14" s="20" t="n">
        <f aca="false">IF(M14&gt;PR_BalDone,MIN(F_MortPayM,M14+M14*(F_MR/12)),0)</f>
        <v>1180</v>
      </c>
      <c r="AA14" s="20" t="n">
        <f aca="false">IF(N14&gt;PR_BalDone,MIN(F_MortPayM,N14+N14*(F_MR/12)),0)</f>
        <v>1180</v>
      </c>
      <c r="AB14" s="20" t="n">
        <f aca="false">MAX(0,O14)</f>
        <v>153037.364877978</v>
      </c>
      <c r="AC14" s="20" t="n">
        <f aca="false">SUM(P14:AA14)</f>
        <v>14160</v>
      </c>
      <c r="AD14" s="20" t="n">
        <f aca="false">'Plan cashflow'!M14</f>
        <v>0</v>
      </c>
      <c r="AE14" s="20" t="n">
        <f aca="false">IF(AD14&gt;PR_BalDone,AD14+AD14*(D_iC)-MIN(F_CardPayM,AD14+AD14*(D_iC)),AD14)</f>
        <v>0</v>
      </c>
      <c r="AF14" s="20" t="n">
        <f aca="false">IF(AE14&gt;PR_BalDone,AE14+AE14*(D_iC)-MIN(F_CardPayM,AE14+AE14*(D_iC)),AE14)</f>
        <v>0</v>
      </c>
      <c r="AG14" s="20" t="n">
        <f aca="false">IF(AF14&gt;PR_BalDone,AF14+AF14*(D_iC)-MIN(F_CardPayM,AF14+AF14*(D_iC)),AF14)</f>
        <v>0</v>
      </c>
      <c r="AH14" s="20" t="n">
        <f aca="false">IF(AG14&gt;PR_BalDone,AG14+AG14*(D_iC)-MIN(F_CardPayM,AG14+AG14*(D_iC)),AG14)</f>
        <v>0</v>
      </c>
      <c r="AI14" s="20" t="n">
        <f aca="false">IF(AH14&gt;PR_BalDone,AH14+AH14*(D_iC)-MIN(F_CardPayM,AH14+AH14*(D_iC)),AH14)</f>
        <v>0</v>
      </c>
      <c r="AJ14" s="20" t="n">
        <f aca="false">IF(AI14&gt;PR_BalDone,AI14+AI14*(D_iC)-MIN(F_CardPayM,AI14+AI14*(D_iC)),AI14)</f>
        <v>0</v>
      </c>
      <c r="AK14" s="20" t="n">
        <f aca="false">IF(AJ14&gt;PR_BalDone,AJ14+AJ14*(D_iC)-MIN(F_CardPayM,AJ14+AJ14*(D_iC)),AJ14)</f>
        <v>0</v>
      </c>
      <c r="AL14" s="20" t="n">
        <f aca="false">IF(AK14&gt;PR_BalDone,AK14+AK14*(D_iC)-MIN(F_CardPayM,AK14+AK14*(D_iC)),AK14)</f>
        <v>0</v>
      </c>
      <c r="AM14" s="20" t="n">
        <f aca="false">IF(AL14&gt;PR_BalDone,AL14+AL14*(D_iC)-MIN(F_CardPayM,AL14+AL14*(D_iC)),AL14)</f>
        <v>0</v>
      </c>
      <c r="AN14" s="20" t="n">
        <f aca="false">IF(AM14&gt;PR_BalDone,AM14+AM14*(D_iC)-MIN(F_CardPayM,AM14+AM14*(D_iC)),AM14)</f>
        <v>0</v>
      </c>
      <c r="AO14" s="20" t="n">
        <f aca="false">IF(AN14&gt;PR_BalDone,AN14+AN14*(D_iC)-MIN(F_CardPayM,AN14+AN14*(D_iC)),AN14)</f>
        <v>0</v>
      </c>
      <c r="AP14" s="20" t="n">
        <f aca="false">IF(AO14&gt;PR_BalDone,AO14+AO14*(D_iC)-MIN(F_CardPayM,AO14+AO14*(D_iC)),AO14)</f>
        <v>0</v>
      </c>
      <c r="AQ14" s="20" t="n">
        <f aca="false">IF(AD14&gt;PR_BalDone,MIN(F_CardPayM,AD14+AD14*(D_iC)),0)</f>
        <v>0</v>
      </c>
      <c r="AR14" s="20" t="n">
        <f aca="false">IF(AE14&gt;PR_BalDone,MIN(F_CardPayM,AE14+AE14*(D_iC)),0)</f>
        <v>0</v>
      </c>
      <c r="AS14" s="20" t="n">
        <f aca="false">IF(AF14&gt;PR_BalDone,MIN(F_CardPayM,AF14+AF14*(D_iC)),0)</f>
        <v>0</v>
      </c>
      <c r="AT14" s="20" t="n">
        <f aca="false">IF(AG14&gt;PR_BalDone,MIN(F_CardPayM,AG14+AG14*(D_iC)),0)</f>
        <v>0</v>
      </c>
      <c r="AU14" s="20" t="n">
        <f aca="false">IF(AH14&gt;PR_BalDone,MIN(F_CardPayM,AH14+AH14*(D_iC)),0)</f>
        <v>0</v>
      </c>
      <c r="AV14" s="20" t="n">
        <f aca="false">IF(AI14&gt;PR_BalDone,MIN(F_CardPayM,AI14+AI14*(D_iC)),0)</f>
        <v>0</v>
      </c>
      <c r="AW14" s="20" t="n">
        <f aca="false">IF(AJ14&gt;PR_BalDone,MIN(F_CardPayM,AJ14+AJ14*(D_iC)),0)</f>
        <v>0</v>
      </c>
      <c r="AX14" s="20" t="n">
        <f aca="false">IF(AK14&gt;PR_BalDone,MIN(F_CardPayM,AK14+AK14*(D_iC)),0)</f>
        <v>0</v>
      </c>
      <c r="AY14" s="20" t="n">
        <f aca="false">IF(AL14&gt;PR_BalDone,MIN(F_CardPayM,AL14+AL14*(D_iC)),0)</f>
        <v>0</v>
      </c>
      <c r="AZ14" s="20" t="n">
        <f aca="false">IF(AM14&gt;PR_BalDone,MIN(F_CardPayM,AM14+AM14*(D_iC)),0)</f>
        <v>0</v>
      </c>
      <c r="BA14" s="20" t="n">
        <f aca="false">IF(AN14&gt;PR_BalDone,MIN(F_CardPayM,AN14+AN14*(D_iC)),0)</f>
        <v>0</v>
      </c>
      <c r="BB14" s="20" t="n">
        <f aca="false">IF(AO14&gt;PR_BalDone,MIN(F_CardPayM,AO14+AO14*(D_iC)),0)</f>
        <v>0</v>
      </c>
      <c r="BC14" s="20" t="n">
        <f aca="false">MAX(0,AP14)</f>
        <v>0</v>
      </c>
      <c r="BD14" s="20" t="n">
        <f aca="false">SUM(AQ14:BB14)</f>
        <v>0</v>
      </c>
      <c r="BE14" s="20" t="n">
        <f aca="false">'Plan cashflow'!P14</f>
        <v>0</v>
      </c>
      <c r="BF14" s="20" t="n">
        <f aca="false">IF(BE14&gt;PR_BalDone,BE14+BE14*(D_iL)-MIN(F_LoanPayM,BE14+BE14*(D_iL)),BE14)</f>
        <v>0</v>
      </c>
      <c r="BG14" s="20" t="n">
        <f aca="false">IF(BF14&gt;PR_BalDone,BF14+BF14*(D_iL)-MIN(F_LoanPayM,BF14+BF14*(D_iL)),BF14)</f>
        <v>0</v>
      </c>
      <c r="BH14" s="20" t="n">
        <f aca="false">IF(BG14&gt;PR_BalDone,BG14+BG14*(D_iL)-MIN(F_LoanPayM,BG14+BG14*(D_iL)),BG14)</f>
        <v>0</v>
      </c>
      <c r="BI14" s="20" t="n">
        <f aca="false">IF(BH14&gt;PR_BalDone,BH14+BH14*(D_iL)-MIN(F_LoanPayM,BH14+BH14*(D_iL)),BH14)</f>
        <v>0</v>
      </c>
      <c r="BJ14" s="20" t="n">
        <f aca="false">IF(BI14&gt;PR_BalDone,BI14+BI14*(D_iL)-MIN(F_LoanPayM,BI14+BI14*(D_iL)),BI14)</f>
        <v>0</v>
      </c>
      <c r="BK14" s="20" t="n">
        <f aca="false">IF(BJ14&gt;PR_BalDone,BJ14+BJ14*(D_iL)-MIN(F_LoanPayM,BJ14+BJ14*(D_iL)),BJ14)</f>
        <v>0</v>
      </c>
      <c r="BL14" s="20" t="n">
        <f aca="false">IF(BK14&gt;PR_BalDone,BK14+BK14*(D_iL)-MIN(F_LoanPayM,BK14+BK14*(D_iL)),BK14)</f>
        <v>0</v>
      </c>
      <c r="BM14" s="20" t="n">
        <f aca="false">IF(BL14&gt;PR_BalDone,BL14+BL14*(D_iL)-MIN(F_LoanPayM,BL14+BL14*(D_iL)),BL14)</f>
        <v>0</v>
      </c>
      <c r="BN14" s="20" t="n">
        <f aca="false">IF(BM14&gt;PR_BalDone,BM14+BM14*(D_iL)-MIN(F_LoanPayM,BM14+BM14*(D_iL)),BM14)</f>
        <v>0</v>
      </c>
      <c r="BO14" s="20" t="n">
        <f aca="false">IF(BN14&gt;PR_BalDone,BN14+BN14*(D_iL)-MIN(F_LoanPayM,BN14+BN14*(D_iL)),BN14)</f>
        <v>0</v>
      </c>
      <c r="BP14" s="20" t="n">
        <f aca="false">IF(BO14&gt;PR_BalDone,BO14+BO14*(D_iL)-MIN(F_LoanPayM,BO14+BO14*(D_iL)),BO14)</f>
        <v>0</v>
      </c>
      <c r="BQ14" s="20" t="n">
        <f aca="false">IF(BP14&gt;PR_BalDone,BP14+BP14*(D_iL)-MIN(F_LoanPayM,BP14+BP14*(D_iL)),BP14)</f>
        <v>0</v>
      </c>
      <c r="BR14" s="20" t="n">
        <f aca="false">IF(BE14&gt;PR_BalDone,MIN(F_LoanPayM,BE14+BE14*(D_iL)),0)</f>
        <v>0</v>
      </c>
      <c r="BS14" s="20" t="n">
        <f aca="false">IF(BF14&gt;PR_BalDone,MIN(F_LoanPayM,BF14+BF14*(D_iL)),0)</f>
        <v>0</v>
      </c>
      <c r="BT14" s="20" t="n">
        <f aca="false">IF(BG14&gt;PR_BalDone,MIN(F_LoanPayM,BG14+BG14*(D_iL)),0)</f>
        <v>0</v>
      </c>
      <c r="BU14" s="20" t="n">
        <f aca="false">IF(BH14&gt;PR_BalDone,MIN(F_LoanPayM,BH14+BH14*(D_iL)),0)</f>
        <v>0</v>
      </c>
      <c r="BV14" s="20" t="n">
        <f aca="false">IF(BI14&gt;PR_BalDone,MIN(F_LoanPayM,BI14+BI14*(D_iL)),0)</f>
        <v>0</v>
      </c>
      <c r="BW14" s="20" t="n">
        <f aca="false">IF(BJ14&gt;PR_BalDone,MIN(F_LoanPayM,BJ14+BJ14*(D_iL)),0)</f>
        <v>0</v>
      </c>
      <c r="BX14" s="20" t="n">
        <f aca="false">IF(BK14&gt;PR_BalDone,MIN(F_LoanPayM,BK14+BK14*(D_iL)),0)</f>
        <v>0</v>
      </c>
      <c r="BY14" s="20" t="n">
        <f aca="false">IF(BL14&gt;PR_BalDone,MIN(F_LoanPayM,BL14+BL14*(D_iL)),0)</f>
        <v>0</v>
      </c>
      <c r="BZ14" s="20" t="n">
        <f aca="false">IF(BM14&gt;PR_BalDone,MIN(F_LoanPayM,BM14+BM14*(D_iL)),0)</f>
        <v>0</v>
      </c>
      <c r="CA14" s="20" t="n">
        <f aca="false">IF(BN14&gt;PR_BalDone,MIN(F_LoanPayM,BN14+BN14*(D_iL)),0)</f>
        <v>0</v>
      </c>
      <c r="CB14" s="20" t="n">
        <f aca="false">IF(BO14&gt;PR_BalDone,MIN(F_LoanPayM,BO14+BO14*(D_iL)),0)</f>
        <v>0</v>
      </c>
      <c r="CC14" s="20" t="n">
        <f aca="false">IF(BP14&gt;PR_BalDone,MIN(F_LoanPayM,BP14+BP14*(D_iL)),0)</f>
        <v>0</v>
      </c>
      <c r="CD14" s="20" t="n">
        <f aca="false">MAX(0,BQ14)</f>
        <v>0</v>
      </c>
      <c r="CE14" s="20" t="n">
        <f aca="false">SUM(BR14:CC14)</f>
        <v>0</v>
      </c>
      <c r="CF14" s="20" t="n">
        <f aca="false">IF(CF13&gt;1,DE13,CF13)</f>
        <v>161135.553618638</v>
      </c>
      <c r="CG14" s="20" t="n">
        <f aca="false">IF(CF14&gt;PR_BalDone,CF14+CF14*(F_MR/12)-MIN(F_MortPayM,CF14+CF14*(F_MR/12)),CF14)</f>
        <v>160472.530186498</v>
      </c>
      <c r="CH14" s="20" t="n">
        <f aca="false">IF(CG14&gt;PR_BalDone,CG14+CG14*(F_MR/12)-MIN(F_MortPayM,CG14+CG14*(F_MR/12)),CG14)</f>
        <v>159807.37955418</v>
      </c>
      <c r="CI14" s="20" t="n">
        <f aca="false">IF(CH14&gt;PR_BalDone,CH14+CH14*(F_MR/12)-MIN(F_MortPayM,CH14+CH14*(F_MR/12)),CH14)</f>
        <v>159140.094896916</v>
      </c>
      <c r="CJ14" s="20" t="n">
        <f aca="false">IF(CI14&gt;PR_BalDone,CI14+CI14*(F_MR/12)-MIN(F_MortPayM,CI14+CI14*(F_MR/12)),CI14)</f>
        <v>158470.669368044</v>
      </c>
      <c r="CK14" s="20" t="n">
        <f aca="false">IF(CJ14&gt;PR_BalDone,CJ14+CJ14*(F_MR/12)-MIN(F_MortPayM,CJ14+CJ14*(F_MR/12)),CJ14)</f>
        <v>157799.096098933</v>
      </c>
      <c r="CL14" s="20" t="n">
        <f aca="false">IF(CK14&gt;PR_BalDone,CK14+CK14*(F_MR/12)-MIN(F_MortPayM,CK14+CK14*(F_MR/12)),CK14)</f>
        <v>157125.368198917</v>
      </c>
      <c r="CM14" s="20" t="n">
        <f aca="false">IF(CL14&gt;PR_BalDone,CL14+CL14*(F_MR/12)-MIN(F_MortPayM,CL14+CL14*(F_MR/12)),CL14)</f>
        <v>156449.478755222</v>
      </c>
      <c r="CN14" s="20" t="n">
        <f aca="false">IF(CM14&gt;PR_BalDone,CM14+CM14*(F_MR/12)-MIN(F_MortPayM,CM14+CM14*(F_MR/12)),CM14)</f>
        <v>155771.420832895</v>
      </c>
      <c r="CO14" s="20" t="n">
        <f aca="false">IF(CN14&gt;PR_BalDone,CN14+CN14*(F_MR/12)-MIN(F_MortPayM,CN14+CN14*(F_MR/12)),CN14)</f>
        <v>155091.187474734</v>
      </c>
      <c r="CP14" s="20" t="n">
        <f aca="false">IF(CO14&gt;PR_BalDone,CO14+CO14*(F_MR/12)-MIN(F_MortPayM,CO14+CO14*(F_MR/12)),CO14)</f>
        <v>154408.771701215</v>
      </c>
      <c r="CQ14" s="20" t="n">
        <f aca="false">IF(CP14&gt;PR_BalDone,CP14+CP14*(F_MR/12)-MIN(F_MortPayM,CP14+CP14*(F_MR/12)),CP14)</f>
        <v>153724.166510423</v>
      </c>
      <c r="CR14" s="20" t="n">
        <f aca="false">IF(CQ14&gt;PR_BalDone,CQ14+CQ14*(F_MR/12)-MIN(F_MortPayM,CQ14+CQ14*(F_MR/12)),CQ14)</f>
        <v>153037.364877978</v>
      </c>
      <c r="CS14" s="20" t="n">
        <f aca="false">IF(CF14&gt;PR_BalDone,MIN(F_MortPayM,CF14+CF14*(F_MR/12)),0)</f>
        <v>1180</v>
      </c>
      <c r="CT14" s="20" t="n">
        <f aca="false">IF(CG14&gt;PR_BalDone,MIN(F_MortPayM,CG14+CG14*(F_MR/12)),0)</f>
        <v>1180</v>
      </c>
      <c r="CU14" s="20" t="n">
        <f aca="false">IF(CH14&gt;PR_BalDone,MIN(F_MortPayM,CH14+CH14*(F_MR/12)),0)</f>
        <v>1180</v>
      </c>
      <c r="CV14" s="20" t="n">
        <f aca="false">IF(CI14&gt;PR_BalDone,MIN(F_MortPayM,CI14+CI14*(F_MR/12)),0)</f>
        <v>1180</v>
      </c>
      <c r="CW14" s="20" t="n">
        <f aca="false">IF(CJ14&gt;PR_BalDone,MIN(F_MortPayM,CJ14+CJ14*(F_MR/12)),0)</f>
        <v>1180</v>
      </c>
      <c r="CX14" s="20" t="n">
        <f aca="false">IF(CK14&gt;PR_BalDone,MIN(F_MortPayM,CK14+CK14*(F_MR/12)),0)</f>
        <v>1180</v>
      </c>
      <c r="CY14" s="20" t="n">
        <f aca="false">IF(CL14&gt;PR_BalDone,MIN(F_MortPayM,CL14+CL14*(F_MR/12)),0)</f>
        <v>1180</v>
      </c>
      <c r="CZ14" s="20" t="n">
        <f aca="false">IF(CM14&gt;PR_BalDone,MIN(F_MortPayM,CM14+CM14*(F_MR/12)),0)</f>
        <v>1180</v>
      </c>
      <c r="DA14" s="20" t="n">
        <f aca="false">IF(CN14&gt;PR_BalDone,MIN(F_MortPayM,CN14+CN14*(F_MR/12)),0)</f>
        <v>1180</v>
      </c>
      <c r="DB14" s="20" t="n">
        <f aca="false">IF(CO14&gt;PR_BalDone,MIN(F_MortPayM,CO14+CO14*(F_MR/12)),0)</f>
        <v>1180</v>
      </c>
      <c r="DC14" s="20" t="n">
        <f aca="false">IF(CP14&gt;PR_BalDone,MIN(F_MortPayM,CP14+CP14*(F_MR/12)),0)</f>
        <v>1180</v>
      </c>
      <c r="DD14" s="20" t="n">
        <f aca="false">IF(CQ14&gt;PR_BalDone,MIN(F_MortPayM,CQ14+CQ14*(F_MR/12)),0)</f>
        <v>1180</v>
      </c>
      <c r="DE14" s="20" t="n">
        <f aca="false">MAX(0,CR14)</f>
        <v>153037.364877978</v>
      </c>
      <c r="DF14" s="20" t="n">
        <f aca="false">SUM(CS14:DD14)</f>
        <v>14160</v>
      </c>
      <c r="DG14" s="20" t="n">
        <f aca="false">MAX(0,CF14)</f>
        <v>161135.553618638</v>
      </c>
    </row>
    <row r="15" customFormat="false" ht="15" hidden="false" customHeight="true" outlineLevel="0" collapsed="false">
      <c r="B15" s="20" t="n">
        <v>7</v>
      </c>
      <c r="C15" s="20" t="n">
        <f aca="false">'Plan cashflow'!J15</f>
        <v>153037.364877978</v>
      </c>
      <c r="D15" s="20" t="n">
        <f aca="false">IF(C15&gt;PR_BalDone,C15+C15*(F_MR/12)-MIN(F_MortPayM,C15+C15*(F_MR/12)),C15)</f>
        <v>152348.359756961</v>
      </c>
      <c r="E15" s="20" t="n">
        <f aca="false">IF(D15&gt;PR_BalDone,D15+D15*(F_MR/12)-MIN(F_MortPayM,D15+D15*(F_MR/12)),D15)</f>
        <v>151657.144077848</v>
      </c>
      <c r="F15" s="20" t="n">
        <f aca="false">IF(E15&gt;PR_BalDone,E15+E15*(F_MR/12)-MIN(F_MortPayM,E15+E15*(F_MR/12)),E15)</f>
        <v>150963.710748431</v>
      </c>
      <c r="G15" s="20" t="n">
        <f aca="false">IF(F15&gt;PR_BalDone,F15+F15*(F_MR/12)-MIN(F_MortPayM,F15+F15*(F_MR/12)),F15)</f>
        <v>150268.052653749</v>
      </c>
      <c r="H15" s="20" t="n">
        <f aca="false">IF(G15&gt;PR_BalDone,G15+G15*(F_MR/12)-MIN(F_MortPayM,G15+G15*(F_MR/12)),G15)</f>
        <v>149570.162656013</v>
      </c>
      <c r="I15" s="20" t="n">
        <f aca="false">IF(H15&gt;PR_BalDone,H15+H15*(F_MR/12)-MIN(F_MortPayM,H15+H15*(F_MR/12)),H15)</f>
        <v>148870.033594534</v>
      </c>
      <c r="J15" s="20" t="n">
        <f aca="false">IF(I15&gt;PR_BalDone,I15+I15*(F_MR/12)-MIN(F_MortPayM,I15+I15*(F_MR/12)),I15)</f>
        <v>148167.65828565</v>
      </c>
      <c r="K15" s="20" t="n">
        <f aca="false">IF(J15&gt;PR_BalDone,J15+J15*(F_MR/12)-MIN(F_MortPayM,J15+J15*(F_MR/12)),J15)</f>
        <v>147463.02952265</v>
      </c>
      <c r="L15" s="20" t="n">
        <f aca="false">IF(K15&gt;PR_BalDone,K15+K15*(F_MR/12)-MIN(F_MortPayM,K15+K15*(F_MR/12)),K15)</f>
        <v>146756.140075702</v>
      </c>
      <c r="M15" s="20" t="n">
        <f aca="false">IF(L15&gt;PR_BalDone,L15+L15*(F_MR/12)-MIN(F_MortPayM,L15+L15*(F_MR/12)),L15)</f>
        <v>146046.982691778</v>
      </c>
      <c r="N15" s="20" t="n">
        <f aca="false">IF(M15&gt;PR_BalDone,M15+M15*(F_MR/12)-MIN(F_MortPayM,M15+M15*(F_MR/12)),M15)</f>
        <v>145335.550094581</v>
      </c>
      <c r="O15" s="20" t="n">
        <f aca="false">IF(N15&gt;PR_BalDone,N15+N15*(F_MR/12)-MIN(F_MortPayM,N15+N15*(F_MR/12)),N15)</f>
        <v>144621.834984468</v>
      </c>
      <c r="P15" s="20" t="n">
        <f aca="false">IF(C15&gt;PR_BalDone,MIN(F_MortPayM,C15+C15*(F_MR/12)),0)</f>
        <v>1180</v>
      </c>
      <c r="Q15" s="20" t="n">
        <f aca="false">IF(D15&gt;PR_BalDone,MIN(F_MortPayM,D15+D15*(F_MR/12)),0)</f>
        <v>1180</v>
      </c>
      <c r="R15" s="20" t="n">
        <f aca="false">IF(E15&gt;PR_BalDone,MIN(F_MortPayM,E15+E15*(F_MR/12)),0)</f>
        <v>1180</v>
      </c>
      <c r="S15" s="20" t="n">
        <f aca="false">IF(F15&gt;PR_BalDone,MIN(F_MortPayM,F15+F15*(F_MR/12)),0)</f>
        <v>1180</v>
      </c>
      <c r="T15" s="20" t="n">
        <f aca="false">IF(G15&gt;PR_BalDone,MIN(F_MortPayM,G15+G15*(F_MR/12)),0)</f>
        <v>1180</v>
      </c>
      <c r="U15" s="20" t="n">
        <f aca="false">IF(H15&gt;PR_BalDone,MIN(F_MortPayM,H15+H15*(F_MR/12)),0)</f>
        <v>1180</v>
      </c>
      <c r="V15" s="20" t="n">
        <f aca="false">IF(I15&gt;PR_BalDone,MIN(F_MortPayM,I15+I15*(F_MR/12)),0)</f>
        <v>1180</v>
      </c>
      <c r="W15" s="20" t="n">
        <f aca="false">IF(J15&gt;PR_BalDone,MIN(F_MortPayM,J15+J15*(F_MR/12)),0)</f>
        <v>1180</v>
      </c>
      <c r="X15" s="20" t="n">
        <f aca="false">IF(K15&gt;PR_BalDone,MIN(F_MortPayM,K15+K15*(F_MR/12)),0)</f>
        <v>1180</v>
      </c>
      <c r="Y15" s="20" t="n">
        <f aca="false">IF(L15&gt;PR_BalDone,MIN(F_MortPayM,L15+L15*(F_MR/12)),0)</f>
        <v>1180</v>
      </c>
      <c r="Z15" s="20" t="n">
        <f aca="false">IF(M15&gt;PR_BalDone,MIN(F_MortPayM,M15+M15*(F_MR/12)),0)</f>
        <v>1180</v>
      </c>
      <c r="AA15" s="20" t="n">
        <f aca="false">IF(N15&gt;PR_BalDone,MIN(F_MortPayM,N15+N15*(F_MR/12)),0)</f>
        <v>1180</v>
      </c>
      <c r="AB15" s="20" t="n">
        <f aca="false">MAX(0,O15)</f>
        <v>144621.834984468</v>
      </c>
      <c r="AC15" s="20" t="n">
        <f aca="false">SUM(P15:AA15)</f>
        <v>14160</v>
      </c>
      <c r="AD15" s="20" t="n">
        <f aca="false">'Plan cashflow'!M15</f>
        <v>0</v>
      </c>
      <c r="AE15" s="20" t="n">
        <f aca="false">IF(AD15&gt;PR_BalDone,AD15+AD15*(D_iC)-MIN(F_CardPayM,AD15+AD15*(D_iC)),AD15)</f>
        <v>0</v>
      </c>
      <c r="AF15" s="20" t="n">
        <f aca="false">IF(AE15&gt;PR_BalDone,AE15+AE15*(D_iC)-MIN(F_CardPayM,AE15+AE15*(D_iC)),AE15)</f>
        <v>0</v>
      </c>
      <c r="AG15" s="20" t="n">
        <f aca="false">IF(AF15&gt;PR_BalDone,AF15+AF15*(D_iC)-MIN(F_CardPayM,AF15+AF15*(D_iC)),AF15)</f>
        <v>0</v>
      </c>
      <c r="AH15" s="20" t="n">
        <f aca="false">IF(AG15&gt;PR_BalDone,AG15+AG15*(D_iC)-MIN(F_CardPayM,AG15+AG15*(D_iC)),AG15)</f>
        <v>0</v>
      </c>
      <c r="AI15" s="20" t="n">
        <f aca="false">IF(AH15&gt;PR_BalDone,AH15+AH15*(D_iC)-MIN(F_CardPayM,AH15+AH15*(D_iC)),AH15)</f>
        <v>0</v>
      </c>
      <c r="AJ15" s="20" t="n">
        <f aca="false">IF(AI15&gt;PR_BalDone,AI15+AI15*(D_iC)-MIN(F_CardPayM,AI15+AI15*(D_iC)),AI15)</f>
        <v>0</v>
      </c>
      <c r="AK15" s="20" t="n">
        <f aca="false">IF(AJ15&gt;PR_BalDone,AJ15+AJ15*(D_iC)-MIN(F_CardPayM,AJ15+AJ15*(D_iC)),AJ15)</f>
        <v>0</v>
      </c>
      <c r="AL15" s="20" t="n">
        <f aca="false">IF(AK15&gt;PR_BalDone,AK15+AK15*(D_iC)-MIN(F_CardPayM,AK15+AK15*(D_iC)),AK15)</f>
        <v>0</v>
      </c>
      <c r="AM15" s="20" t="n">
        <f aca="false">IF(AL15&gt;PR_BalDone,AL15+AL15*(D_iC)-MIN(F_CardPayM,AL15+AL15*(D_iC)),AL15)</f>
        <v>0</v>
      </c>
      <c r="AN15" s="20" t="n">
        <f aca="false">IF(AM15&gt;PR_BalDone,AM15+AM15*(D_iC)-MIN(F_CardPayM,AM15+AM15*(D_iC)),AM15)</f>
        <v>0</v>
      </c>
      <c r="AO15" s="20" t="n">
        <f aca="false">IF(AN15&gt;PR_BalDone,AN15+AN15*(D_iC)-MIN(F_CardPayM,AN15+AN15*(D_iC)),AN15)</f>
        <v>0</v>
      </c>
      <c r="AP15" s="20" t="n">
        <f aca="false">IF(AO15&gt;PR_BalDone,AO15+AO15*(D_iC)-MIN(F_CardPayM,AO15+AO15*(D_iC)),AO15)</f>
        <v>0</v>
      </c>
      <c r="AQ15" s="20" t="n">
        <f aca="false">IF(AD15&gt;PR_BalDone,MIN(F_CardPayM,AD15+AD15*(D_iC)),0)</f>
        <v>0</v>
      </c>
      <c r="AR15" s="20" t="n">
        <f aca="false">IF(AE15&gt;PR_BalDone,MIN(F_CardPayM,AE15+AE15*(D_iC)),0)</f>
        <v>0</v>
      </c>
      <c r="AS15" s="20" t="n">
        <f aca="false">IF(AF15&gt;PR_BalDone,MIN(F_CardPayM,AF15+AF15*(D_iC)),0)</f>
        <v>0</v>
      </c>
      <c r="AT15" s="20" t="n">
        <f aca="false">IF(AG15&gt;PR_BalDone,MIN(F_CardPayM,AG15+AG15*(D_iC)),0)</f>
        <v>0</v>
      </c>
      <c r="AU15" s="20" t="n">
        <f aca="false">IF(AH15&gt;PR_BalDone,MIN(F_CardPayM,AH15+AH15*(D_iC)),0)</f>
        <v>0</v>
      </c>
      <c r="AV15" s="20" t="n">
        <f aca="false">IF(AI15&gt;PR_BalDone,MIN(F_CardPayM,AI15+AI15*(D_iC)),0)</f>
        <v>0</v>
      </c>
      <c r="AW15" s="20" t="n">
        <f aca="false">IF(AJ15&gt;PR_BalDone,MIN(F_CardPayM,AJ15+AJ15*(D_iC)),0)</f>
        <v>0</v>
      </c>
      <c r="AX15" s="20" t="n">
        <f aca="false">IF(AK15&gt;PR_BalDone,MIN(F_CardPayM,AK15+AK15*(D_iC)),0)</f>
        <v>0</v>
      </c>
      <c r="AY15" s="20" t="n">
        <f aca="false">IF(AL15&gt;PR_BalDone,MIN(F_CardPayM,AL15+AL15*(D_iC)),0)</f>
        <v>0</v>
      </c>
      <c r="AZ15" s="20" t="n">
        <f aca="false">IF(AM15&gt;PR_BalDone,MIN(F_CardPayM,AM15+AM15*(D_iC)),0)</f>
        <v>0</v>
      </c>
      <c r="BA15" s="20" t="n">
        <f aca="false">IF(AN15&gt;PR_BalDone,MIN(F_CardPayM,AN15+AN15*(D_iC)),0)</f>
        <v>0</v>
      </c>
      <c r="BB15" s="20" t="n">
        <f aca="false">IF(AO15&gt;PR_BalDone,MIN(F_CardPayM,AO15+AO15*(D_iC)),0)</f>
        <v>0</v>
      </c>
      <c r="BC15" s="20" t="n">
        <f aca="false">MAX(0,AP15)</f>
        <v>0</v>
      </c>
      <c r="BD15" s="20" t="n">
        <f aca="false">SUM(AQ15:BB15)</f>
        <v>0</v>
      </c>
      <c r="BE15" s="20" t="n">
        <f aca="false">'Plan cashflow'!P15</f>
        <v>0</v>
      </c>
      <c r="BF15" s="20" t="n">
        <f aca="false">IF(BE15&gt;PR_BalDone,BE15+BE15*(D_iL)-MIN(F_LoanPayM,BE15+BE15*(D_iL)),BE15)</f>
        <v>0</v>
      </c>
      <c r="BG15" s="20" t="n">
        <f aca="false">IF(BF15&gt;PR_BalDone,BF15+BF15*(D_iL)-MIN(F_LoanPayM,BF15+BF15*(D_iL)),BF15)</f>
        <v>0</v>
      </c>
      <c r="BH15" s="20" t="n">
        <f aca="false">IF(BG15&gt;PR_BalDone,BG15+BG15*(D_iL)-MIN(F_LoanPayM,BG15+BG15*(D_iL)),BG15)</f>
        <v>0</v>
      </c>
      <c r="BI15" s="20" t="n">
        <f aca="false">IF(BH15&gt;PR_BalDone,BH15+BH15*(D_iL)-MIN(F_LoanPayM,BH15+BH15*(D_iL)),BH15)</f>
        <v>0</v>
      </c>
      <c r="BJ15" s="20" t="n">
        <f aca="false">IF(BI15&gt;PR_BalDone,BI15+BI15*(D_iL)-MIN(F_LoanPayM,BI15+BI15*(D_iL)),BI15)</f>
        <v>0</v>
      </c>
      <c r="BK15" s="20" t="n">
        <f aca="false">IF(BJ15&gt;PR_BalDone,BJ15+BJ15*(D_iL)-MIN(F_LoanPayM,BJ15+BJ15*(D_iL)),BJ15)</f>
        <v>0</v>
      </c>
      <c r="BL15" s="20" t="n">
        <f aca="false">IF(BK15&gt;PR_BalDone,BK15+BK15*(D_iL)-MIN(F_LoanPayM,BK15+BK15*(D_iL)),BK15)</f>
        <v>0</v>
      </c>
      <c r="BM15" s="20" t="n">
        <f aca="false">IF(BL15&gt;PR_BalDone,BL15+BL15*(D_iL)-MIN(F_LoanPayM,BL15+BL15*(D_iL)),BL15)</f>
        <v>0</v>
      </c>
      <c r="BN15" s="20" t="n">
        <f aca="false">IF(BM15&gt;PR_BalDone,BM15+BM15*(D_iL)-MIN(F_LoanPayM,BM15+BM15*(D_iL)),BM15)</f>
        <v>0</v>
      </c>
      <c r="BO15" s="20" t="n">
        <f aca="false">IF(BN15&gt;PR_BalDone,BN15+BN15*(D_iL)-MIN(F_LoanPayM,BN15+BN15*(D_iL)),BN15)</f>
        <v>0</v>
      </c>
      <c r="BP15" s="20" t="n">
        <f aca="false">IF(BO15&gt;PR_BalDone,BO15+BO15*(D_iL)-MIN(F_LoanPayM,BO15+BO15*(D_iL)),BO15)</f>
        <v>0</v>
      </c>
      <c r="BQ15" s="20" t="n">
        <f aca="false">IF(BP15&gt;PR_BalDone,BP15+BP15*(D_iL)-MIN(F_LoanPayM,BP15+BP15*(D_iL)),BP15)</f>
        <v>0</v>
      </c>
      <c r="BR15" s="20" t="n">
        <f aca="false">IF(BE15&gt;PR_BalDone,MIN(F_LoanPayM,BE15+BE15*(D_iL)),0)</f>
        <v>0</v>
      </c>
      <c r="BS15" s="20" t="n">
        <f aca="false">IF(BF15&gt;PR_BalDone,MIN(F_LoanPayM,BF15+BF15*(D_iL)),0)</f>
        <v>0</v>
      </c>
      <c r="BT15" s="20" t="n">
        <f aca="false">IF(BG15&gt;PR_BalDone,MIN(F_LoanPayM,BG15+BG15*(D_iL)),0)</f>
        <v>0</v>
      </c>
      <c r="BU15" s="20" t="n">
        <f aca="false">IF(BH15&gt;PR_BalDone,MIN(F_LoanPayM,BH15+BH15*(D_iL)),0)</f>
        <v>0</v>
      </c>
      <c r="BV15" s="20" t="n">
        <f aca="false">IF(BI15&gt;PR_BalDone,MIN(F_LoanPayM,BI15+BI15*(D_iL)),0)</f>
        <v>0</v>
      </c>
      <c r="BW15" s="20" t="n">
        <f aca="false">IF(BJ15&gt;PR_BalDone,MIN(F_LoanPayM,BJ15+BJ15*(D_iL)),0)</f>
        <v>0</v>
      </c>
      <c r="BX15" s="20" t="n">
        <f aca="false">IF(BK15&gt;PR_BalDone,MIN(F_LoanPayM,BK15+BK15*(D_iL)),0)</f>
        <v>0</v>
      </c>
      <c r="BY15" s="20" t="n">
        <f aca="false">IF(BL15&gt;PR_BalDone,MIN(F_LoanPayM,BL15+BL15*(D_iL)),0)</f>
        <v>0</v>
      </c>
      <c r="BZ15" s="20" t="n">
        <f aca="false">IF(BM15&gt;PR_BalDone,MIN(F_LoanPayM,BM15+BM15*(D_iL)),0)</f>
        <v>0</v>
      </c>
      <c r="CA15" s="20" t="n">
        <f aca="false">IF(BN15&gt;PR_BalDone,MIN(F_LoanPayM,BN15+BN15*(D_iL)),0)</f>
        <v>0</v>
      </c>
      <c r="CB15" s="20" t="n">
        <f aca="false">IF(BO15&gt;PR_BalDone,MIN(F_LoanPayM,BO15+BO15*(D_iL)),0)</f>
        <v>0</v>
      </c>
      <c r="CC15" s="20" t="n">
        <f aca="false">IF(BP15&gt;PR_BalDone,MIN(F_LoanPayM,BP15+BP15*(D_iL)),0)</f>
        <v>0</v>
      </c>
      <c r="CD15" s="20" t="n">
        <f aca="false">MAX(0,BQ15)</f>
        <v>0</v>
      </c>
      <c r="CE15" s="20" t="n">
        <f aca="false">SUM(BR15:CC15)</f>
        <v>0</v>
      </c>
      <c r="CF15" s="20" t="n">
        <f aca="false">IF(CF14&gt;1,DE14,CF14)</f>
        <v>153037.364877978</v>
      </c>
      <c r="CG15" s="20" t="n">
        <f aca="false">IF(CF15&gt;PR_BalDone,CF15+CF15*(F_MR/12)-MIN(F_MortPayM,CF15+CF15*(F_MR/12)),CF15)</f>
        <v>152348.359756961</v>
      </c>
      <c r="CH15" s="20" t="n">
        <f aca="false">IF(CG15&gt;PR_BalDone,CG15+CG15*(F_MR/12)-MIN(F_MortPayM,CG15+CG15*(F_MR/12)),CG15)</f>
        <v>151657.144077848</v>
      </c>
      <c r="CI15" s="20" t="n">
        <f aca="false">IF(CH15&gt;PR_BalDone,CH15+CH15*(F_MR/12)-MIN(F_MortPayM,CH15+CH15*(F_MR/12)),CH15)</f>
        <v>150963.710748431</v>
      </c>
      <c r="CJ15" s="20" t="n">
        <f aca="false">IF(CI15&gt;PR_BalDone,CI15+CI15*(F_MR/12)-MIN(F_MortPayM,CI15+CI15*(F_MR/12)),CI15)</f>
        <v>150268.052653749</v>
      </c>
      <c r="CK15" s="20" t="n">
        <f aca="false">IF(CJ15&gt;PR_BalDone,CJ15+CJ15*(F_MR/12)-MIN(F_MortPayM,CJ15+CJ15*(F_MR/12)),CJ15)</f>
        <v>149570.162656013</v>
      </c>
      <c r="CL15" s="20" t="n">
        <f aca="false">IF(CK15&gt;PR_BalDone,CK15+CK15*(F_MR/12)-MIN(F_MortPayM,CK15+CK15*(F_MR/12)),CK15)</f>
        <v>148870.033594534</v>
      </c>
      <c r="CM15" s="20" t="n">
        <f aca="false">IF(CL15&gt;PR_BalDone,CL15+CL15*(F_MR/12)-MIN(F_MortPayM,CL15+CL15*(F_MR/12)),CL15)</f>
        <v>148167.65828565</v>
      </c>
      <c r="CN15" s="20" t="n">
        <f aca="false">IF(CM15&gt;PR_BalDone,CM15+CM15*(F_MR/12)-MIN(F_MortPayM,CM15+CM15*(F_MR/12)),CM15)</f>
        <v>147463.02952265</v>
      </c>
      <c r="CO15" s="20" t="n">
        <f aca="false">IF(CN15&gt;PR_BalDone,CN15+CN15*(F_MR/12)-MIN(F_MortPayM,CN15+CN15*(F_MR/12)),CN15)</f>
        <v>146756.140075702</v>
      </c>
      <c r="CP15" s="20" t="n">
        <f aca="false">IF(CO15&gt;PR_BalDone,CO15+CO15*(F_MR/12)-MIN(F_MortPayM,CO15+CO15*(F_MR/12)),CO15)</f>
        <v>146046.982691778</v>
      </c>
      <c r="CQ15" s="20" t="n">
        <f aca="false">IF(CP15&gt;PR_BalDone,CP15+CP15*(F_MR/12)-MIN(F_MortPayM,CP15+CP15*(F_MR/12)),CP15)</f>
        <v>145335.550094581</v>
      </c>
      <c r="CR15" s="20" t="n">
        <f aca="false">IF(CQ15&gt;PR_BalDone,CQ15+CQ15*(F_MR/12)-MIN(F_MortPayM,CQ15+CQ15*(F_MR/12)),CQ15)</f>
        <v>144621.834984468</v>
      </c>
      <c r="CS15" s="20" t="n">
        <f aca="false">IF(CF15&gt;PR_BalDone,MIN(F_MortPayM,CF15+CF15*(F_MR/12)),0)</f>
        <v>1180</v>
      </c>
      <c r="CT15" s="20" t="n">
        <f aca="false">IF(CG15&gt;PR_BalDone,MIN(F_MortPayM,CG15+CG15*(F_MR/12)),0)</f>
        <v>1180</v>
      </c>
      <c r="CU15" s="20" t="n">
        <f aca="false">IF(CH15&gt;PR_BalDone,MIN(F_MortPayM,CH15+CH15*(F_MR/12)),0)</f>
        <v>1180</v>
      </c>
      <c r="CV15" s="20" t="n">
        <f aca="false">IF(CI15&gt;PR_BalDone,MIN(F_MortPayM,CI15+CI15*(F_MR/12)),0)</f>
        <v>1180</v>
      </c>
      <c r="CW15" s="20" t="n">
        <f aca="false">IF(CJ15&gt;PR_BalDone,MIN(F_MortPayM,CJ15+CJ15*(F_MR/12)),0)</f>
        <v>1180</v>
      </c>
      <c r="CX15" s="20" t="n">
        <f aca="false">IF(CK15&gt;PR_BalDone,MIN(F_MortPayM,CK15+CK15*(F_MR/12)),0)</f>
        <v>1180</v>
      </c>
      <c r="CY15" s="20" t="n">
        <f aca="false">IF(CL15&gt;PR_BalDone,MIN(F_MortPayM,CL15+CL15*(F_MR/12)),0)</f>
        <v>1180</v>
      </c>
      <c r="CZ15" s="20" t="n">
        <f aca="false">IF(CM15&gt;PR_BalDone,MIN(F_MortPayM,CM15+CM15*(F_MR/12)),0)</f>
        <v>1180</v>
      </c>
      <c r="DA15" s="20" t="n">
        <f aca="false">IF(CN15&gt;PR_BalDone,MIN(F_MortPayM,CN15+CN15*(F_MR/12)),0)</f>
        <v>1180</v>
      </c>
      <c r="DB15" s="20" t="n">
        <f aca="false">IF(CO15&gt;PR_BalDone,MIN(F_MortPayM,CO15+CO15*(F_MR/12)),0)</f>
        <v>1180</v>
      </c>
      <c r="DC15" s="20" t="n">
        <f aca="false">IF(CP15&gt;PR_BalDone,MIN(F_MortPayM,CP15+CP15*(F_MR/12)),0)</f>
        <v>1180</v>
      </c>
      <c r="DD15" s="20" t="n">
        <f aca="false">IF(CQ15&gt;PR_BalDone,MIN(F_MortPayM,CQ15+CQ15*(F_MR/12)),0)</f>
        <v>1180</v>
      </c>
      <c r="DE15" s="20" t="n">
        <f aca="false">MAX(0,CR15)</f>
        <v>144621.834984468</v>
      </c>
      <c r="DF15" s="20" t="n">
        <f aca="false">SUM(CS15:DD15)</f>
        <v>14160</v>
      </c>
      <c r="DG15" s="20" t="n">
        <f aca="false">MAX(0,CF15)</f>
        <v>153037.364877978</v>
      </c>
    </row>
    <row r="16" customFormat="false" ht="15" hidden="false" customHeight="true" outlineLevel="0" collapsed="false">
      <c r="B16" s="20" t="n">
        <v>8</v>
      </c>
      <c r="C16" s="20" t="n">
        <f aca="false">'Plan cashflow'!J16</f>
        <v>144621.834984468</v>
      </c>
      <c r="D16" s="20" t="n">
        <f aca="false">IF(C16&gt;PR_BalDone,C16+C16*(F_MR/12)-MIN(F_MortPayM,C16+C16*(F_MR/12)),C16)</f>
        <v>143905.830038376</v>
      </c>
      <c r="E16" s="20" t="n">
        <f aca="false">IF(D16&gt;PR_BalDone,D16+D16*(F_MR/12)-MIN(F_MortPayM,D16+D16*(F_MR/12)),D16)</f>
        <v>143187.527909749</v>
      </c>
      <c r="F16" s="20" t="n">
        <f aca="false">IF(E16&gt;PR_BalDone,E16+E16*(F_MR/12)-MIN(F_MortPayM,E16+E16*(F_MR/12)),E16)</f>
        <v>142466.92122846</v>
      </c>
      <c r="G16" s="20" t="n">
        <f aca="false">IF(F16&gt;PR_BalDone,F16+F16*(F_MR/12)-MIN(F_MortPayM,F16+F16*(F_MR/12)),F16)</f>
        <v>141744.002600734</v>
      </c>
      <c r="H16" s="20" t="n">
        <f aca="false">IF(G16&gt;PR_BalDone,G16+G16*(F_MR/12)-MIN(F_MortPayM,G16+G16*(F_MR/12)),G16)</f>
        <v>141018.764609078</v>
      </c>
      <c r="I16" s="20" t="n">
        <f aca="false">IF(H16&gt;PR_BalDone,H16+H16*(F_MR/12)-MIN(F_MortPayM,H16+H16*(F_MR/12)),H16)</f>
        <v>140291.199812199</v>
      </c>
      <c r="J16" s="20" t="n">
        <f aca="false">IF(I16&gt;PR_BalDone,I16+I16*(F_MR/12)-MIN(F_MortPayM,I16+I16*(F_MR/12)),I16)</f>
        <v>139561.30074493</v>
      </c>
      <c r="K16" s="20" t="n">
        <f aca="false">IF(J16&gt;PR_BalDone,J16+J16*(F_MR/12)-MIN(F_MortPayM,J16+J16*(F_MR/12)),J16)</f>
        <v>138829.059918153</v>
      </c>
      <c r="L16" s="20" t="n">
        <f aca="false">IF(K16&gt;PR_BalDone,K16+K16*(F_MR/12)-MIN(F_MortPayM,K16+K16*(F_MR/12)),K16)</f>
        <v>138094.469818724</v>
      </c>
      <c r="M16" s="20" t="n">
        <f aca="false">IF(L16&gt;PR_BalDone,L16+L16*(F_MR/12)-MIN(F_MortPayM,L16+L16*(F_MR/12)),L16)</f>
        <v>137357.522909392</v>
      </c>
      <c r="N16" s="20" t="n">
        <f aca="false">IF(M16&gt;PR_BalDone,M16+M16*(F_MR/12)-MIN(F_MortPayM,M16+M16*(F_MR/12)),M16)</f>
        <v>136618.211628727</v>
      </c>
      <c r="O16" s="20" t="n">
        <f aca="false">IF(N16&gt;PR_BalDone,N16+N16*(F_MR/12)-MIN(F_MortPayM,N16+N16*(F_MR/12)),N16)</f>
        <v>135876.528391036</v>
      </c>
      <c r="P16" s="20" t="n">
        <f aca="false">IF(C16&gt;PR_BalDone,MIN(F_MortPayM,C16+C16*(F_MR/12)),0)</f>
        <v>1180</v>
      </c>
      <c r="Q16" s="20" t="n">
        <f aca="false">IF(D16&gt;PR_BalDone,MIN(F_MortPayM,D16+D16*(F_MR/12)),0)</f>
        <v>1180</v>
      </c>
      <c r="R16" s="20" t="n">
        <f aca="false">IF(E16&gt;PR_BalDone,MIN(F_MortPayM,E16+E16*(F_MR/12)),0)</f>
        <v>1180</v>
      </c>
      <c r="S16" s="20" t="n">
        <f aca="false">IF(F16&gt;PR_BalDone,MIN(F_MortPayM,F16+F16*(F_MR/12)),0)</f>
        <v>1180</v>
      </c>
      <c r="T16" s="20" t="n">
        <f aca="false">IF(G16&gt;PR_BalDone,MIN(F_MortPayM,G16+G16*(F_MR/12)),0)</f>
        <v>1180</v>
      </c>
      <c r="U16" s="20" t="n">
        <f aca="false">IF(H16&gt;PR_BalDone,MIN(F_MortPayM,H16+H16*(F_MR/12)),0)</f>
        <v>1180</v>
      </c>
      <c r="V16" s="20" t="n">
        <f aca="false">IF(I16&gt;PR_BalDone,MIN(F_MortPayM,I16+I16*(F_MR/12)),0)</f>
        <v>1180</v>
      </c>
      <c r="W16" s="20" t="n">
        <f aca="false">IF(J16&gt;PR_BalDone,MIN(F_MortPayM,J16+J16*(F_MR/12)),0)</f>
        <v>1180</v>
      </c>
      <c r="X16" s="20" t="n">
        <f aca="false">IF(K16&gt;PR_BalDone,MIN(F_MortPayM,K16+K16*(F_MR/12)),0)</f>
        <v>1180</v>
      </c>
      <c r="Y16" s="20" t="n">
        <f aca="false">IF(L16&gt;PR_BalDone,MIN(F_MortPayM,L16+L16*(F_MR/12)),0)</f>
        <v>1180</v>
      </c>
      <c r="Z16" s="20" t="n">
        <f aca="false">IF(M16&gt;PR_BalDone,MIN(F_MortPayM,M16+M16*(F_MR/12)),0)</f>
        <v>1180</v>
      </c>
      <c r="AA16" s="20" t="n">
        <f aca="false">IF(N16&gt;PR_BalDone,MIN(F_MortPayM,N16+N16*(F_MR/12)),0)</f>
        <v>1180</v>
      </c>
      <c r="AB16" s="20" t="n">
        <f aca="false">MAX(0,O16)</f>
        <v>135876.528391036</v>
      </c>
      <c r="AC16" s="20" t="n">
        <f aca="false">SUM(P16:AA16)</f>
        <v>14160</v>
      </c>
      <c r="AD16" s="20" t="n">
        <f aca="false">'Plan cashflow'!M16</f>
        <v>0</v>
      </c>
      <c r="AE16" s="20" t="n">
        <f aca="false">IF(AD16&gt;PR_BalDone,AD16+AD16*(D_iC)-MIN(F_CardPayM,AD16+AD16*(D_iC)),AD16)</f>
        <v>0</v>
      </c>
      <c r="AF16" s="20" t="n">
        <f aca="false">IF(AE16&gt;PR_BalDone,AE16+AE16*(D_iC)-MIN(F_CardPayM,AE16+AE16*(D_iC)),AE16)</f>
        <v>0</v>
      </c>
      <c r="AG16" s="20" t="n">
        <f aca="false">IF(AF16&gt;PR_BalDone,AF16+AF16*(D_iC)-MIN(F_CardPayM,AF16+AF16*(D_iC)),AF16)</f>
        <v>0</v>
      </c>
      <c r="AH16" s="20" t="n">
        <f aca="false">IF(AG16&gt;PR_BalDone,AG16+AG16*(D_iC)-MIN(F_CardPayM,AG16+AG16*(D_iC)),AG16)</f>
        <v>0</v>
      </c>
      <c r="AI16" s="20" t="n">
        <f aca="false">IF(AH16&gt;PR_BalDone,AH16+AH16*(D_iC)-MIN(F_CardPayM,AH16+AH16*(D_iC)),AH16)</f>
        <v>0</v>
      </c>
      <c r="AJ16" s="20" t="n">
        <f aca="false">IF(AI16&gt;PR_BalDone,AI16+AI16*(D_iC)-MIN(F_CardPayM,AI16+AI16*(D_iC)),AI16)</f>
        <v>0</v>
      </c>
      <c r="AK16" s="20" t="n">
        <f aca="false">IF(AJ16&gt;PR_BalDone,AJ16+AJ16*(D_iC)-MIN(F_CardPayM,AJ16+AJ16*(D_iC)),AJ16)</f>
        <v>0</v>
      </c>
      <c r="AL16" s="20" t="n">
        <f aca="false">IF(AK16&gt;PR_BalDone,AK16+AK16*(D_iC)-MIN(F_CardPayM,AK16+AK16*(D_iC)),AK16)</f>
        <v>0</v>
      </c>
      <c r="AM16" s="20" t="n">
        <f aca="false">IF(AL16&gt;PR_BalDone,AL16+AL16*(D_iC)-MIN(F_CardPayM,AL16+AL16*(D_iC)),AL16)</f>
        <v>0</v>
      </c>
      <c r="AN16" s="20" t="n">
        <f aca="false">IF(AM16&gt;PR_BalDone,AM16+AM16*(D_iC)-MIN(F_CardPayM,AM16+AM16*(D_iC)),AM16)</f>
        <v>0</v>
      </c>
      <c r="AO16" s="20" t="n">
        <f aca="false">IF(AN16&gt;PR_BalDone,AN16+AN16*(D_iC)-MIN(F_CardPayM,AN16+AN16*(D_iC)),AN16)</f>
        <v>0</v>
      </c>
      <c r="AP16" s="20" t="n">
        <f aca="false">IF(AO16&gt;PR_BalDone,AO16+AO16*(D_iC)-MIN(F_CardPayM,AO16+AO16*(D_iC)),AO16)</f>
        <v>0</v>
      </c>
      <c r="AQ16" s="20" t="n">
        <f aca="false">IF(AD16&gt;PR_BalDone,MIN(F_CardPayM,AD16+AD16*(D_iC)),0)</f>
        <v>0</v>
      </c>
      <c r="AR16" s="20" t="n">
        <f aca="false">IF(AE16&gt;PR_BalDone,MIN(F_CardPayM,AE16+AE16*(D_iC)),0)</f>
        <v>0</v>
      </c>
      <c r="AS16" s="20" t="n">
        <f aca="false">IF(AF16&gt;PR_BalDone,MIN(F_CardPayM,AF16+AF16*(D_iC)),0)</f>
        <v>0</v>
      </c>
      <c r="AT16" s="20" t="n">
        <f aca="false">IF(AG16&gt;PR_BalDone,MIN(F_CardPayM,AG16+AG16*(D_iC)),0)</f>
        <v>0</v>
      </c>
      <c r="AU16" s="20" t="n">
        <f aca="false">IF(AH16&gt;PR_BalDone,MIN(F_CardPayM,AH16+AH16*(D_iC)),0)</f>
        <v>0</v>
      </c>
      <c r="AV16" s="20" t="n">
        <f aca="false">IF(AI16&gt;PR_BalDone,MIN(F_CardPayM,AI16+AI16*(D_iC)),0)</f>
        <v>0</v>
      </c>
      <c r="AW16" s="20" t="n">
        <f aca="false">IF(AJ16&gt;PR_BalDone,MIN(F_CardPayM,AJ16+AJ16*(D_iC)),0)</f>
        <v>0</v>
      </c>
      <c r="AX16" s="20" t="n">
        <f aca="false">IF(AK16&gt;PR_BalDone,MIN(F_CardPayM,AK16+AK16*(D_iC)),0)</f>
        <v>0</v>
      </c>
      <c r="AY16" s="20" t="n">
        <f aca="false">IF(AL16&gt;PR_BalDone,MIN(F_CardPayM,AL16+AL16*(D_iC)),0)</f>
        <v>0</v>
      </c>
      <c r="AZ16" s="20" t="n">
        <f aca="false">IF(AM16&gt;PR_BalDone,MIN(F_CardPayM,AM16+AM16*(D_iC)),0)</f>
        <v>0</v>
      </c>
      <c r="BA16" s="20" t="n">
        <f aca="false">IF(AN16&gt;PR_BalDone,MIN(F_CardPayM,AN16+AN16*(D_iC)),0)</f>
        <v>0</v>
      </c>
      <c r="BB16" s="20" t="n">
        <f aca="false">IF(AO16&gt;PR_BalDone,MIN(F_CardPayM,AO16+AO16*(D_iC)),0)</f>
        <v>0</v>
      </c>
      <c r="BC16" s="20" t="n">
        <f aca="false">MAX(0,AP16)</f>
        <v>0</v>
      </c>
      <c r="BD16" s="20" t="n">
        <f aca="false">SUM(AQ16:BB16)</f>
        <v>0</v>
      </c>
      <c r="BE16" s="20" t="n">
        <f aca="false">'Plan cashflow'!P16</f>
        <v>0</v>
      </c>
      <c r="BF16" s="20" t="n">
        <f aca="false">IF(BE16&gt;PR_BalDone,BE16+BE16*(D_iL)-MIN(F_LoanPayM,BE16+BE16*(D_iL)),BE16)</f>
        <v>0</v>
      </c>
      <c r="BG16" s="20" t="n">
        <f aca="false">IF(BF16&gt;PR_BalDone,BF16+BF16*(D_iL)-MIN(F_LoanPayM,BF16+BF16*(D_iL)),BF16)</f>
        <v>0</v>
      </c>
      <c r="BH16" s="20" t="n">
        <f aca="false">IF(BG16&gt;PR_BalDone,BG16+BG16*(D_iL)-MIN(F_LoanPayM,BG16+BG16*(D_iL)),BG16)</f>
        <v>0</v>
      </c>
      <c r="BI16" s="20" t="n">
        <f aca="false">IF(BH16&gt;PR_BalDone,BH16+BH16*(D_iL)-MIN(F_LoanPayM,BH16+BH16*(D_iL)),BH16)</f>
        <v>0</v>
      </c>
      <c r="BJ16" s="20" t="n">
        <f aca="false">IF(BI16&gt;PR_BalDone,BI16+BI16*(D_iL)-MIN(F_LoanPayM,BI16+BI16*(D_iL)),BI16)</f>
        <v>0</v>
      </c>
      <c r="BK16" s="20" t="n">
        <f aca="false">IF(BJ16&gt;PR_BalDone,BJ16+BJ16*(D_iL)-MIN(F_LoanPayM,BJ16+BJ16*(D_iL)),BJ16)</f>
        <v>0</v>
      </c>
      <c r="BL16" s="20" t="n">
        <f aca="false">IF(BK16&gt;PR_BalDone,BK16+BK16*(D_iL)-MIN(F_LoanPayM,BK16+BK16*(D_iL)),BK16)</f>
        <v>0</v>
      </c>
      <c r="BM16" s="20" t="n">
        <f aca="false">IF(BL16&gt;PR_BalDone,BL16+BL16*(D_iL)-MIN(F_LoanPayM,BL16+BL16*(D_iL)),BL16)</f>
        <v>0</v>
      </c>
      <c r="BN16" s="20" t="n">
        <f aca="false">IF(BM16&gt;PR_BalDone,BM16+BM16*(D_iL)-MIN(F_LoanPayM,BM16+BM16*(D_iL)),BM16)</f>
        <v>0</v>
      </c>
      <c r="BO16" s="20" t="n">
        <f aca="false">IF(BN16&gt;PR_BalDone,BN16+BN16*(D_iL)-MIN(F_LoanPayM,BN16+BN16*(D_iL)),BN16)</f>
        <v>0</v>
      </c>
      <c r="BP16" s="20" t="n">
        <f aca="false">IF(BO16&gt;PR_BalDone,BO16+BO16*(D_iL)-MIN(F_LoanPayM,BO16+BO16*(D_iL)),BO16)</f>
        <v>0</v>
      </c>
      <c r="BQ16" s="20" t="n">
        <f aca="false">IF(BP16&gt;PR_BalDone,BP16+BP16*(D_iL)-MIN(F_LoanPayM,BP16+BP16*(D_iL)),BP16)</f>
        <v>0</v>
      </c>
      <c r="BR16" s="20" t="n">
        <f aca="false">IF(BE16&gt;PR_BalDone,MIN(F_LoanPayM,BE16+BE16*(D_iL)),0)</f>
        <v>0</v>
      </c>
      <c r="BS16" s="20" t="n">
        <f aca="false">IF(BF16&gt;PR_BalDone,MIN(F_LoanPayM,BF16+BF16*(D_iL)),0)</f>
        <v>0</v>
      </c>
      <c r="BT16" s="20" t="n">
        <f aca="false">IF(BG16&gt;PR_BalDone,MIN(F_LoanPayM,BG16+BG16*(D_iL)),0)</f>
        <v>0</v>
      </c>
      <c r="BU16" s="20" t="n">
        <f aca="false">IF(BH16&gt;PR_BalDone,MIN(F_LoanPayM,BH16+BH16*(D_iL)),0)</f>
        <v>0</v>
      </c>
      <c r="BV16" s="20" t="n">
        <f aca="false">IF(BI16&gt;PR_BalDone,MIN(F_LoanPayM,BI16+BI16*(D_iL)),0)</f>
        <v>0</v>
      </c>
      <c r="BW16" s="20" t="n">
        <f aca="false">IF(BJ16&gt;PR_BalDone,MIN(F_LoanPayM,BJ16+BJ16*(D_iL)),0)</f>
        <v>0</v>
      </c>
      <c r="BX16" s="20" t="n">
        <f aca="false">IF(BK16&gt;PR_BalDone,MIN(F_LoanPayM,BK16+BK16*(D_iL)),0)</f>
        <v>0</v>
      </c>
      <c r="BY16" s="20" t="n">
        <f aca="false">IF(BL16&gt;PR_BalDone,MIN(F_LoanPayM,BL16+BL16*(D_iL)),0)</f>
        <v>0</v>
      </c>
      <c r="BZ16" s="20" t="n">
        <f aca="false">IF(BM16&gt;PR_BalDone,MIN(F_LoanPayM,BM16+BM16*(D_iL)),0)</f>
        <v>0</v>
      </c>
      <c r="CA16" s="20" t="n">
        <f aca="false">IF(BN16&gt;PR_BalDone,MIN(F_LoanPayM,BN16+BN16*(D_iL)),0)</f>
        <v>0</v>
      </c>
      <c r="CB16" s="20" t="n">
        <f aca="false">IF(BO16&gt;PR_BalDone,MIN(F_LoanPayM,BO16+BO16*(D_iL)),0)</f>
        <v>0</v>
      </c>
      <c r="CC16" s="20" t="n">
        <f aca="false">IF(BP16&gt;PR_BalDone,MIN(F_LoanPayM,BP16+BP16*(D_iL)),0)</f>
        <v>0</v>
      </c>
      <c r="CD16" s="20" t="n">
        <f aca="false">MAX(0,BQ16)</f>
        <v>0</v>
      </c>
      <c r="CE16" s="20" t="n">
        <f aca="false">SUM(BR16:CC16)</f>
        <v>0</v>
      </c>
      <c r="CF16" s="20" t="n">
        <f aca="false">IF(CF15&gt;1,DE15,CF15)</f>
        <v>144621.834984468</v>
      </c>
      <c r="CG16" s="20" t="n">
        <f aca="false">IF(CF16&gt;PR_BalDone,CF16+CF16*(F_MR/12)-MIN(F_MortPayM,CF16+CF16*(F_MR/12)),CF16)</f>
        <v>143905.830038376</v>
      </c>
      <c r="CH16" s="20" t="n">
        <f aca="false">IF(CG16&gt;PR_BalDone,CG16+CG16*(F_MR/12)-MIN(F_MortPayM,CG16+CG16*(F_MR/12)),CG16)</f>
        <v>143187.527909749</v>
      </c>
      <c r="CI16" s="20" t="n">
        <f aca="false">IF(CH16&gt;PR_BalDone,CH16+CH16*(F_MR/12)-MIN(F_MortPayM,CH16+CH16*(F_MR/12)),CH16)</f>
        <v>142466.92122846</v>
      </c>
      <c r="CJ16" s="20" t="n">
        <f aca="false">IF(CI16&gt;PR_BalDone,CI16+CI16*(F_MR/12)-MIN(F_MortPayM,CI16+CI16*(F_MR/12)),CI16)</f>
        <v>141744.002600734</v>
      </c>
      <c r="CK16" s="20" t="n">
        <f aca="false">IF(CJ16&gt;PR_BalDone,CJ16+CJ16*(F_MR/12)-MIN(F_MortPayM,CJ16+CJ16*(F_MR/12)),CJ16)</f>
        <v>141018.764609078</v>
      </c>
      <c r="CL16" s="20" t="n">
        <f aca="false">IF(CK16&gt;PR_BalDone,CK16+CK16*(F_MR/12)-MIN(F_MortPayM,CK16+CK16*(F_MR/12)),CK16)</f>
        <v>140291.199812199</v>
      </c>
      <c r="CM16" s="20" t="n">
        <f aca="false">IF(CL16&gt;PR_BalDone,CL16+CL16*(F_MR/12)-MIN(F_MortPayM,CL16+CL16*(F_MR/12)),CL16)</f>
        <v>139561.30074493</v>
      </c>
      <c r="CN16" s="20" t="n">
        <f aca="false">IF(CM16&gt;PR_BalDone,CM16+CM16*(F_MR/12)-MIN(F_MortPayM,CM16+CM16*(F_MR/12)),CM16)</f>
        <v>138829.059918153</v>
      </c>
      <c r="CO16" s="20" t="n">
        <f aca="false">IF(CN16&gt;PR_BalDone,CN16+CN16*(F_MR/12)-MIN(F_MortPayM,CN16+CN16*(F_MR/12)),CN16)</f>
        <v>138094.469818724</v>
      </c>
      <c r="CP16" s="20" t="n">
        <f aca="false">IF(CO16&gt;PR_BalDone,CO16+CO16*(F_MR/12)-MIN(F_MortPayM,CO16+CO16*(F_MR/12)),CO16)</f>
        <v>137357.522909392</v>
      </c>
      <c r="CQ16" s="20" t="n">
        <f aca="false">IF(CP16&gt;PR_BalDone,CP16+CP16*(F_MR/12)-MIN(F_MortPayM,CP16+CP16*(F_MR/12)),CP16)</f>
        <v>136618.211628727</v>
      </c>
      <c r="CR16" s="20" t="n">
        <f aca="false">IF(CQ16&gt;PR_BalDone,CQ16+CQ16*(F_MR/12)-MIN(F_MortPayM,CQ16+CQ16*(F_MR/12)),CQ16)</f>
        <v>135876.528391036</v>
      </c>
      <c r="CS16" s="20" t="n">
        <f aca="false">IF(CF16&gt;PR_BalDone,MIN(F_MortPayM,CF16+CF16*(F_MR/12)),0)</f>
        <v>1180</v>
      </c>
      <c r="CT16" s="20" t="n">
        <f aca="false">IF(CG16&gt;PR_BalDone,MIN(F_MortPayM,CG16+CG16*(F_MR/12)),0)</f>
        <v>1180</v>
      </c>
      <c r="CU16" s="20" t="n">
        <f aca="false">IF(CH16&gt;PR_BalDone,MIN(F_MortPayM,CH16+CH16*(F_MR/12)),0)</f>
        <v>1180</v>
      </c>
      <c r="CV16" s="20" t="n">
        <f aca="false">IF(CI16&gt;PR_BalDone,MIN(F_MortPayM,CI16+CI16*(F_MR/12)),0)</f>
        <v>1180</v>
      </c>
      <c r="CW16" s="20" t="n">
        <f aca="false">IF(CJ16&gt;PR_BalDone,MIN(F_MortPayM,CJ16+CJ16*(F_MR/12)),0)</f>
        <v>1180</v>
      </c>
      <c r="CX16" s="20" t="n">
        <f aca="false">IF(CK16&gt;PR_BalDone,MIN(F_MortPayM,CK16+CK16*(F_MR/12)),0)</f>
        <v>1180</v>
      </c>
      <c r="CY16" s="20" t="n">
        <f aca="false">IF(CL16&gt;PR_BalDone,MIN(F_MortPayM,CL16+CL16*(F_MR/12)),0)</f>
        <v>1180</v>
      </c>
      <c r="CZ16" s="20" t="n">
        <f aca="false">IF(CM16&gt;PR_BalDone,MIN(F_MortPayM,CM16+CM16*(F_MR/12)),0)</f>
        <v>1180</v>
      </c>
      <c r="DA16" s="20" t="n">
        <f aca="false">IF(CN16&gt;PR_BalDone,MIN(F_MortPayM,CN16+CN16*(F_MR/12)),0)</f>
        <v>1180</v>
      </c>
      <c r="DB16" s="20" t="n">
        <f aca="false">IF(CO16&gt;PR_BalDone,MIN(F_MortPayM,CO16+CO16*(F_MR/12)),0)</f>
        <v>1180</v>
      </c>
      <c r="DC16" s="20" t="n">
        <f aca="false">IF(CP16&gt;PR_BalDone,MIN(F_MortPayM,CP16+CP16*(F_MR/12)),0)</f>
        <v>1180</v>
      </c>
      <c r="DD16" s="20" t="n">
        <f aca="false">IF(CQ16&gt;PR_BalDone,MIN(F_MortPayM,CQ16+CQ16*(F_MR/12)),0)</f>
        <v>1180</v>
      </c>
      <c r="DE16" s="20" t="n">
        <f aca="false">MAX(0,CR16)</f>
        <v>135876.528391036</v>
      </c>
      <c r="DF16" s="20" t="n">
        <f aca="false">SUM(CS16:DD16)</f>
        <v>14160</v>
      </c>
      <c r="DG16" s="20" t="n">
        <f aca="false">MAX(0,CF16)</f>
        <v>144621.834984468</v>
      </c>
    </row>
    <row r="17" customFormat="false" ht="15" hidden="false" customHeight="true" outlineLevel="0" collapsed="false">
      <c r="B17" s="20" t="n">
        <v>9</v>
      </c>
      <c r="C17" s="20" t="n">
        <f aca="false">'Plan cashflow'!J17</f>
        <v>135876.528391036</v>
      </c>
      <c r="D17" s="20" t="n">
        <f aca="false">IF(C17&gt;PR_BalDone,C17+C17*(F_MR/12)-MIN(F_MortPayM,C17+C17*(F_MR/12)),C17)</f>
        <v>135132.46558629</v>
      </c>
      <c r="E17" s="20" t="n">
        <f aca="false">IF(D17&gt;PR_BalDone,D17+D17*(F_MR/12)-MIN(F_MortPayM,D17+D17*(F_MR/12)),D17)</f>
        <v>134386.015580046</v>
      </c>
      <c r="F17" s="20" t="n">
        <f aca="false">IF(E17&gt;PR_BalDone,E17+E17*(F_MR/12)-MIN(F_MortPayM,E17+E17*(F_MR/12)),E17)</f>
        <v>133637.170713365</v>
      </c>
      <c r="G17" s="20" t="n">
        <f aca="false">IF(F17&gt;PR_BalDone,F17+F17*(F_MR/12)-MIN(F_MortPayM,F17+F17*(F_MR/12)),F17)</f>
        <v>132885.923302738</v>
      </c>
      <c r="H17" s="20" t="n">
        <f aca="false">IF(G17&gt;PR_BalDone,G17+G17*(F_MR/12)-MIN(F_MortPayM,G17+G17*(F_MR/12)),G17)</f>
        <v>132132.26564</v>
      </c>
      <c r="I17" s="20" t="n">
        <f aca="false">IF(H17&gt;PR_BalDone,H17+H17*(F_MR/12)-MIN(F_MortPayM,H17+H17*(F_MR/12)),H17)</f>
        <v>131376.189992262</v>
      </c>
      <c r="J17" s="20" t="n">
        <f aca="false">IF(I17&gt;PR_BalDone,I17+I17*(F_MR/12)-MIN(F_MortPayM,I17+I17*(F_MR/12)),I17)</f>
        <v>130617.688601821</v>
      </c>
      <c r="K17" s="20" t="n">
        <f aca="false">IF(J17&gt;PR_BalDone,J17+J17*(F_MR/12)-MIN(F_MortPayM,J17+J17*(F_MR/12)),J17)</f>
        <v>129856.753686085</v>
      </c>
      <c r="L17" s="20" t="n">
        <f aca="false">IF(K17&gt;PR_BalDone,K17+K17*(F_MR/12)-MIN(F_MortPayM,K17+K17*(F_MR/12)),K17)</f>
        <v>129093.377437494</v>
      </c>
      <c r="M17" s="20" t="n">
        <f aca="false">IF(L17&gt;PR_BalDone,L17+L17*(F_MR/12)-MIN(F_MortPayM,L17+L17*(F_MR/12)),L17)</f>
        <v>128327.55202344</v>
      </c>
      <c r="N17" s="20" t="n">
        <f aca="false">IF(M17&gt;PR_BalDone,M17+M17*(F_MR/12)-MIN(F_MortPayM,M17+M17*(F_MR/12)),M17)</f>
        <v>127559.269586182</v>
      </c>
      <c r="O17" s="20" t="n">
        <f aca="false">IF(N17&gt;PR_BalDone,N17+N17*(F_MR/12)-MIN(F_MortPayM,N17+N17*(F_MR/12)),N17)</f>
        <v>126788.522242771</v>
      </c>
      <c r="P17" s="20" t="n">
        <f aca="false">IF(C17&gt;PR_BalDone,MIN(F_MortPayM,C17+C17*(F_MR/12)),0)</f>
        <v>1180</v>
      </c>
      <c r="Q17" s="20" t="n">
        <f aca="false">IF(D17&gt;PR_BalDone,MIN(F_MortPayM,D17+D17*(F_MR/12)),0)</f>
        <v>1180</v>
      </c>
      <c r="R17" s="20" t="n">
        <f aca="false">IF(E17&gt;PR_BalDone,MIN(F_MortPayM,E17+E17*(F_MR/12)),0)</f>
        <v>1180</v>
      </c>
      <c r="S17" s="20" t="n">
        <f aca="false">IF(F17&gt;PR_BalDone,MIN(F_MortPayM,F17+F17*(F_MR/12)),0)</f>
        <v>1180</v>
      </c>
      <c r="T17" s="20" t="n">
        <f aca="false">IF(G17&gt;PR_BalDone,MIN(F_MortPayM,G17+G17*(F_MR/12)),0)</f>
        <v>1180</v>
      </c>
      <c r="U17" s="20" t="n">
        <f aca="false">IF(H17&gt;PR_BalDone,MIN(F_MortPayM,H17+H17*(F_MR/12)),0)</f>
        <v>1180</v>
      </c>
      <c r="V17" s="20" t="n">
        <f aca="false">IF(I17&gt;PR_BalDone,MIN(F_MortPayM,I17+I17*(F_MR/12)),0)</f>
        <v>1180</v>
      </c>
      <c r="W17" s="20" t="n">
        <f aca="false">IF(J17&gt;PR_BalDone,MIN(F_MortPayM,J17+J17*(F_MR/12)),0)</f>
        <v>1180</v>
      </c>
      <c r="X17" s="20" t="n">
        <f aca="false">IF(K17&gt;PR_BalDone,MIN(F_MortPayM,K17+K17*(F_MR/12)),0)</f>
        <v>1180</v>
      </c>
      <c r="Y17" s="20" t="n">
        <f aca="false">IF(L17&gt;PR_BalDone,MIN(F_MortPayM,L17+L17*(F_MR/12)),0)</f>
        <v>1180</v>
      </c>
      <c r="Z17" s="20" t="n">
        <f aca="false">IF(M17&gt;PR_BalDone,MIN(F_MortPayM,M17+M17*(F_MR/12)),0)</f>
        <v>1180</v>
      </c>
      <c r="AA17" s="20" t="n">
        <f aca="false">IF(N17&gt;PR_BalDone,MIN(F_MortPayM,N17+N17*(F_MR/12)),0)</f>
        <v>1180</v>
      </c>
      <c r="AB17" s="20" t="n">
        <f aca="false">MAX(0,O17)</f>
        <v>126788.522242771</v>
      </c>
      <c r="AC17" s="20" t="n">
        <f aca="false">SUM(P17:AA17)</f>
        <v>14160</v>
      </c>
      <c r="AD17" s="20" t="n">
        <f aca="false">'Plan cashflow'!M17</f>
        <v>0</v>
      </c>
      <c r="AE17" s="20" t="n">
        <f aca="false">IF(AD17&gt;PR_BalDone,AD17+AD17*(D_iC)-MIN(F_CardPayM,AD17+AD17*(D_iC)),AD17)</f>
        <v>0</v>
      </c>
      <c r="AF17" s="20" t="n">
        <f aca="false">IF(AE17&gt;PR_BalDone,AE17+AE17*(D_iC)-MIN(F_CardPayM,AE17+AE17*(D_iC)),AE17)</f>
        <v>0</v>
      </c>
      <c r="AG17" s="20" t="n">
        <f aca="false">IF(AF17&gt;PR_BalDone,AF17+AF17*(D_iC)-MIN(F_CardPayM,AF17+AF17*(D_iC)),AF17)</f>
        <v>0</v>
      </c>
      <c r="AH17" s="20" t="n">
        <f aca="false">IF(AG17&gt;PR_BalDone,AG17+AG17*(D_iC)-MIN(F_CardPayM,AG17+AG17*(D_iC)),AG17)</f>
        <v>0</v>
      </c>
      <c r="AI17" s="20" t="n">
        <f aca="false">IF(AH17&gt;PR_BalDone,AH17+AH17*(D_iC)-MIN(F_CardPayM,AH17+AH17*(D_iC)),AH17)</f>
        <v>0</v>
      </c>
      <c r="AJ17" s="20" t="n">
        <f aca="false">IF(AI17&gt;PR_BalDone,AI17+AI17*(D_iC)-MIN(F_CardPayM,AI17+AI17*(D_iC)),AI17)</f>
        <v>0</v>
      </c>
      <c r="AK17" s="20" t="n">
        <f aca="false">IF(AJ17&gt;PR_BalDone,AJ17+AJ17*(D_iC)-MIN(F_CardPayM,AJ17+AJ17*(D_iC)),AJ17)</f>
        <v>0</v>
      </c>
      <c r="AL17" s="20" t="n">
        <f aca="false">IF(AK17&gt;PR_BalDone,AK17+AK17*(D_iC)-MIN(F_CardPayM,AK17+AK17*(D_iC)),AK17)</f>
        <v>0</v>
      </c>
      <c r="AM17" s="20" t="n">
        <f aca="false">IF(AL17&gt;PR_BalDone,AL17+AL17*(D_iC)-MIN(F_CardPayM,AL17+AL17*(D_iC)),AL17)</f>
        <v>0</v>
      </c>
      <c r="AN17" s="20" t="n">
        <f aca="false">IF(AM17&gt;PR_BalDone,AM17+AM17*(D_iC)-MIN(F_CardPayM,AM17+AM17*(D_iC)),AM17)</f>
        <v>0</v>
      </c>
      <c r="AO17" s="20" t="n">
        <f aca="false">IF(AN17&gt;PR_BalDone,AN17+AN17*(D_iC)-MIN(F_CardPayM,AN17+AN17*(D_iC)),AN17)</f>
        <v>0</v>
      </c>
      <c r="AP17" s="20" t="n">
        <f aca="false">IF(AO17&gt;PR_BalDone,AO17+AO17*(D_iC)-MIN(F_CardPayM,AO17+AO17*(D_iC)),AO17)</f>
        <v>0</v>
      </c>
      <c r="AQ17" s="20" t="n">
        <f aca="false">IF(AD17&gt;PR_BalDone,MIN(F_CardPayM,AD17+AD17*(D_iC)),0)</f>
        <v>0</v>
      </c>
      <c r="AR17" s="20" t="n">
        <f aca="false">IF(AE17&gt;PR_BalDone,MIN(F_CardPayM,AE17+AE17*(D_iC)),0)</f>
        <v>0</v>
      </c>
      <c r="AS17" s="20" t="n">
        <f aca="false">IF(AF17&gt;PR_BalDone,MIN(F_CardPayM,AF17+AF17*(D_iC)),0)</f>
        <v>0</v>
      </c>
      <c r="AT17" s="20" t="n">
        <f aca="false">IF(AG17&gt;PR_BalDone,MIN(F_CardPayM,AG17+AG17*(D_iC)),0)</f>
        <v>0</v>
      </c>
      <c r="AU17" s="20" t="n">
        <f aca="false">IF(AH17&gt;PR_BalDone,MIN(F_CardPayM,AH17+AH17*(D_iC)),0)</f>
        <v>0</v>
      </c>
      <c r="AV17" s="20" t="n">
        <f aca="false">IF(AI17&gt;PR_BalDone,MIN(F_CardPayM,AI17+AI17*(D_iC)),0)</f>
        <v>0</v>
      </c>
      <c r="AW17" s="20" t="n">
        <f aca="false">IF(AJ17&gt;PR_BalDone,MIN(F_CardPayM,AJ17+AJ17*(D_iC)),0)</f>
        <v>0</v>
      </c>
      <c r="AX17" s="20" t="n">
        <f aca="false">IF(AK17&gt;PR_BalDone,MIN(F_CardPayM,AK17+AK17*(D_iC)),0)</f>
        <v>0</v>
      </c>
      <c r="AY17" s="20" t="n">
        <f aca="false">IF(AL17&gt;PR_BalDone,MIN(F_CardPayM,AL17+AL17*(D_iC)),0)</f>
        <v>0</v>
      </c>
      <c r="AZ17" s="20" t="n">
        <f aca="false">IF(AM17&gt;PR_BalDone,MIN(F_CardPayM,AM17+AM17*(D_iC)),0)</f>
        <v>0</v>
      </c>
      <c r="BA17" s="20" t="n">
        <f aca="false">IF(AN17&gt;PR_BalDone,MIN(F_CardPayM,AN17+AN17*(D_iC)),0)</f>
        <v>0</v>
      </c>
      <c r="BB17" s="20" t="n">
        <f aca="false">IF(AO17&gt;PR_BalDone,MIN(F_CardPayM,AO17+AO17*(D_iC)),0)</f>
        <v>0</v>
      </c>
      <c r="BC17" s="20" t="n">
        <f aca="false">MAX(0,AP17)</f>
        <v>0</v>
      </c>
      <c r="BD17" s="20" t="n">
        <f aca="false">SUM(AQ17:BB17)</f>
        <v>0</v>
      </c>
      <c r="BE17" s="20" t="n">
        <f aca="false">'Plan cashflow'!P17</f>
        <v>0</v>
      </c>
      <c r="BF17" s="20" t="n">
        <f aca="false">IF(BE17&gt;PR_BalDone,BE17+BE17*(D_iL)-MIN(F_LoanPayM,BE17+BE17*(D_iL)),BE17)</f>
        <v>0</v>
      </c>
      <c r="BG17" s="20" t="n">
        <f aca="false">IF(BF17&gt;PR_BalDone,BF17+BF17*(D_iL)-MIN(F_LoanPayM,BF17+BF17*(D_iL)),BF17)</f>
        <v>0</v>
      </c>
      <c r="BH17" s="20" t="n">
        <f aca="false">IF(BG17&gt;PR_BalDone,BG17+BG17*(D_iL)-MIN(F_LoanPayM,BG17+BG17*(D_iL)),BG17)</f>
        <v>0</v>
      </c>
      <c r="BI17" s="20" t="n">
        <f aca="false">IF(BH17&gt;PR_BalDone,BH17+BH17*(D_iL)-MIN(F_LoanPayM,BH17+BH17*(D_iL)),BH17)</f>
        <v>0</v>
      </c>
      <c r="BJ17" s="20" t="n">
        <f aca="false">IF(BI17&gt;PR_BalDone,BI17+BI17*(D_iL)-MIN(F_LoanPayM,BI17+BI17*(D_iL)),BI17)</f>
        <v>0</v>
      </c>
      <c r="BK17" s="20" t="n">
        <f aca="false">IF(BJ17&gt;PR_BalDone,BJ17+BJ17*(D_iL)-MIN(F_LoanPayM,BJ17+BJ17*(D_iL)),BJ17)</f>
        <v>0</v>
      </c>
      <c r="BL17" s="20" t="n">
        <f aca="false">IF(BK17&gt;PR_BalDone,BK17+BK17*(D_iL)-MIN(F_LoanPayM,BK17+BK17*(D_iL)),BK17)</f>
        <v>0</v>
      </c>
      <c r="BM17" s="20" t="n">
        <f aca="false">IF(BL17&gt;PR_BalDone,BL17+BL17*(D_iL)-MIN(F_LoanPayM,BL17+BL17*(D_iL)),BL17)</f>
        <v>0</v>
      </c>
      <c r="BN17" s="20" t="n">
        <f aca="false">IF(BM17&gt;PR_BalDone,BM17+BM17*(D_iL)-MIN(F_LoanPayM,BM17+BM17*(D_iL)),BM17)</f>
        <v>0</v>
      </c>
      <c r="BO17" s="20" t="n">
        <f aca="false">IF(BN17&gt;PR_BalDone,BN17+BN17*(D_iL)-MIN(F_LoanPayM,BN17+BN17*(D_iL)),BN17)</f>
        <v>0</v>
      </c>
      <c r="BP17" s="20" t="n">
        <f aca="false">IF(BO17&gt;PR_BalDone,BO17+BO17*(D_iL)-MIN(F_LoanPayM,BO17+BO17*(D_iL)),BO17)</f>
        <v>0</v>
      </c>
      <c r="BQ17" s="20" t="n">
        <f aca="false">IF(BP17&gt;PR_BalDone,BP17+BP17*(D_iL)-MIN(F_LoanPayM,BP17+BP17*(D_iL)),BP17)</f>
        <v>0</v>
      </c>
      <c r="BR17" s="20" t="n">
        <f aca="false">IF(BE17&gt;PR_BalDone,MIN(F_LoanPayM,BE17+BE17*(D_iL)),0)</f>
        <v>0</v>
      </c>
      <c r="BS17" s="20" t="n">
        <f aca="false">IF(BF17&gt;PR_BalDone,MIN(F_LoanPayM,BF17+BF17*(D_iL)),0)</f>
        <v>0</v>
      </c>
      <c r="BT17" s="20" t="n">
        <f aca="false">IF(BG17&gt;PR_BalDone,MIN(F_LoanPayM,BG17+BG17*(D_iL)),0)</f>
        <v>0</v>
      </c>
      <c r="BU17" s="20" t="n">
        <f aca="false">IF(BH17&gt;PR_BalDone,MIN(F_LoanPayM,BH17+BH17*(D_iL)),0)</f>
        <v>0</v>
      </c>
      <c r="BV17" s="20" t="n">
        <f aca="false">IF(BI17&gt;PR_BalDone,MIN(F_LoanPayM,BI17+BI17*(D_iL)),0)</f>
        <v>0</v>
      </c>
      <c r="BW17" s="20" t="n">
        <f aca="false">IF(BJ17&gt;PR_BalDone,MIN(F_LoanPayM,BJ17+BJ17*(D_iL)),0)</f>
        <v>0</v>
      </c>
      <c r="BX17" s="20" t="n">
        <f aca="false">IF(BK17&gt;PR_BalDone,MIN(F_LoanPayM,BK17+BK17*(D_iL)),0)</f>
        <v>0</v>
      </c>
      <c r="BY17" s="20" t="n">
        <f aca="false">IF(BL17&gt;PR_BalDone,MIN(F_LoanPayM,BL17+BL17*(D_iL)),0)</f>
        <v>0</v>
      </c>
      <c r="BZ17" s="20" t="n">
        <f aca="false">IF(BM17&gt;PR_BalDone,MIN(F_LoanPayM,BM17+BM17*(D_iL)),0)</f>
        <v>0</v>
      </c>
      <c r="CA17" s="20" t="n">
        <f aca="false">IF(BN17&gt;PR_BalDone,MIN(F_LoanPayM,BN17+BN17*(D_iL)),0)</f>
        <v>0</v>
      </c>
      <c r="CB17" s="20" t="n">
        <f aca="false">IF(BO17&gt;PR_BalDone,MIN(F_LoanPayM,BO17+BO17*(D_iL)),0)</f>
        <v>0</v>
      </c>
      <c r="CC17" s="20" t="n">
        <f aca="false">IF(BP17&gt;PR_BalDone,MIN(F_LoanPayM,BP17+BP17*(D_iL)),0)</f>
        <v>0</v>
      </c>
      <c r="CD17" s="20" t="n">
        <f aca="false">MAX(0,BQ17)</f>
        <v>0</v>
      </c>
      <c r="CE17" s="20" t="n">
        <f aca="false">SUM(BR17:CC17)</f>
        <v>0</v>
      </c>
      <c r="CF17" s="20" t="n">
        <f aca="false">IF(CF16&gt;1,DE16,CF16)</f>
        <v>135876.528391036</v>
      </c>
      <c r="CG17" s="20" t="n">
        <f aca="false">IF(CF17&gt;PR_BalDone,CF17+CF17*(F_MR/12)-MIN(F_MortPayM,CF17+CF17*(F_MR/12)),CF17)</f>
        <v>135132.46558629</v>
      </c>
      <c r="CH17" s="20" t="n">
        <f aca="false">IF(CG17&gt;PR_BalDone,CG17+CG17*(F_MR/12)-MIN(F_MortPayM,CG17+CG17*(F_MR/12)),CG17)</f>
        <v>134386.015580046</v>
      </c>
      <c r="CI17" s="20" t="n">
        <f aca="false">IF(CH17&gt;PR_BalDone,CH17+CH17*(F_MR/12)-MIN(F_MortPayM,CH17+CH17*(F_MR/12)),CH17)</f>
        <v>133637.170713365</v>
      </c>
      <c r="CJ17" s="20" t="n">
        <f aca="false">IF(CI17&gt;PR_BalDone,CI17+CI17*(F_MR/12)-MIN(F_MortPayM,CI17+CI17*(F_MR/12)),CI17)</f>
        <v>132885.923302738</v>
      </c>
      <c r="CK17" s="20" t="n">
        <f aca="false">IF(CJ17&gt;PR_BalDone,CJ17+CJ17*(F_MR/12)-MIN(F_MortPayM,CJ17+CJ17*(F_MR/12)),CJ17)</f>
        <v>132132.26564</v>
      </c>
      <c r="CL17" s="20" t="n">
        <f aca="false">IF(CK17&gt;PR_BalDone,CK17+CK17*(F_MR/12)-MIN(F_MortPayM,CK17+CK17*(F_MR/12)),CK17)</f>
        <v>131376.189992262</v>
      </c>
      <c r="CM17" s="20" t="n">
        <f aca="false">IF(CL17&gt;PR_BalDone,CL17+CL17*(F_MR/12)-MIN(F_MortPayM,CL17+CL17*(F_MR/12)),CL17)</f>
        <v>130617.688601821</v>
      </c>
      <c r="CN17" s="20" t="n">
        <f aca="false">IF(CM17&gt;PR_BalDone,CM17+CM17*(F_MR/12)-MIN(F_MortPayM,CM17+CM17*(F_MR/12)),CM17)</f>
        <v>129856.753686085</v>
      </c>
      <c r="CO17" s="20" t="n">
        <f aca="false">IF(CN17&gt;PR_BalDone,CN17+CN17*(F_MR/12)-MIN(F_MortPayM,CN17+CN17*(F_MR/12)),CN17)</f>
        <v>129093.377437494</v>
      </c>
      <c r="CP17" s="20" t="n">
        <f aca="false">IF(CO17&gt;PR_BalDone,CO17+CO17*(F_MR/12)-MIN(F_MortPayM,CO17+CO17*(F_MR/12)),CO17)</f>
        <v>128327.55202344</v>
      </c>
      <c r="CQ17" s="20" t="n">
        <f aca="false">IF(CP17&gt;PR_BalDone,CP17+CP17*(F_MR/12)-MIN(F_MortPayM,CP17+CP17*(F_MR/12)),CP17)</f>
        <v>127559.269586182</v>
      </c>
      <c r="CR17" s="20" t="n">
        <f aca="false">IF(CQ17&gt;PR_BalDone,CQ17+CQ17*(F_MR/12)-MIN(F_MortPayM,CQ17+CQ17*(F_MR/12)),CQ17)</f>
        <v>126788.522242771</v>
      </c>
      <c r="CS17" s="20" t="n">
        <f aca="false">IF(CF17&gt;PR_BalDone,MIN(F_MortPayM,CF17+CF17*(F_MR/12)),0)</f>
        <v>1180</v>
      </c>
      <c r="CT17" s="20" t="n">
        <f aca="false">IF(CG17&gt;PR_BalDone,MIN(F_MortPayM,CG17+CG17*(F_MR/12)),0)</f>
        <v>1180</v>
      </c>
      <c r="CU17" s="20" t="n">
        <f aca="false">IF(CH17&gt;PR_BalDone,MIN(F_MortPayM,CH17+CH17*(F_MR/12)),0)</f>
        <v>1180</v>
      </c>
      <c r="CV17" s="20" t="n">
        <f aca="false">IF(CI17&gt;PR_BalDone,MIN(F_MortPayM,CI17+CI17*(F_MR/12)),0)</f>
        <v>1180</v>
      </c>
      <c r="CW17" s="20" t="n">
        <f aca="false">IF(CJ17&gt;PR_BalDone,MIN(F_MortPayM,CJ17+CJ17*(F_MR/12)),0)</f>
        <v>1180</v>
      </c>
      <c r="CX17" s="20" t="n">
        <f aca="false">IF(CK17&gt;PR_BalDone,MIN(F_MortPayM,CK17+CK17*(F_MR/12)),0)</f>
        <v>1180</v>
      </c>
      <c r="CY17" s="20" t="n">
        <f aca="false">IF(CL17&gt;PR_BalDone,MIN(F_MortPayM,CL17+CL17*(F_MR/12)),0)</f>
        <v>1180</v>
      </c>
      <c r="CZ17" s="20" t="n">
        <f aca="false">IF(CM17&gt;PR_BalDone,MIN(F_MortPayM,CM17+CM17*(F_MR/12)),0)</f>
        <v>1180</v>
      </c>
      <c r="DA17" s="20" t="n">
        <f aca="false">IF(CN17&gt;PR_BalDone,MIN(F_MortPayM,CN17+CN17*(F_MR/12)),0)</f>
        <v>1180</v>
      </c>
      <c r="DB17" s="20" t="n">
        <f aca="false">IF(CO17&gt;PR_BalDone,MIN(F_MortPayM,CO17+CO17*(F_MR/12)),0)</f>
        <v>1180</v>
      </c>
      <c r="DC17" s="20" t="n">
        <f aca="false">IF(CP17&gt;PR_BalDone,MIN(F_MortPayM,CP17+CP17*(F_MR/12)),0)</f>
        <v>1180</v>
      </c>
      <c r="DD17" s="20" t="n">
        <f aca="false">IF(CQ17&gt;PR_BalDone,MIN(F_MortPayM,CQ17+CQ17*(F_MR/12)),0)</f>
        <v>1180</v>
      </c>
      <c r="DE17" s="20" t="n">
        <f aca="false">MAX(0,CR17)</f>
        <v>126788.522242771</v>
      </c>
      <c r="DF17" s="20" t="n">
        <f aca="false">SUM(CS17:DD17)</f>
        <v>14160</v>
      </c>
      <c r="DG17" s="20" t="n">
        <f aca="false">MAX(0,CF17)</f>
        <v>135876.528391036</v>
      </c>
    </row>
    <row r="18" customFormat="false" ht="15" hidden="false" customHeight="true" outlineLevel="0" collapsed="false">
      <c r="B18" s="20" t="n">
        <v>10</v>
      </c>
      <c r="C18" s="20" t="n">
        <f aca="false">'Plan cashflow'!J18</f>
        <v>126788.522242771</v>
      </c>
      <c r="D18" s="20" t="n">
        <f aca="false">IF(C18&gt;PR_BalDone,C18+C18*(F_MR/12)-MIN(F_MortPayM,C18+C18*(F_MR/12)),C18)</f>
        <v>126015.302084966</v>
      </c>
      <c r="E18" s="20" t="n">
        <f aca="false">IF(D18&gt;PR_BalDone,D18+D18*(F_MR/12)-MIN(F_MortPayM,D18+D18*(F_MR/12)),D18)</f>
        <v>125239.601179155</v>
      </c>
      <c r="F18" s="20" t="n">
        <f aca="false">IF(E18&gt;PR_BalDone,E18+E18*(F_MR/12)-MIN(F_MortPayM,E18+E18*(F_MR/12)),E18)</f>
        <v>124461.411566272</v>
      </c>
      <c r="G18" s="20" t="n">
        <f aca="false">IF(F18&gt;PR_BalDone,F18+F18*(F_MR/12)-MIN(F_MortPayM,F18+F18*(F_MR/12)),F18)</f>
        <v>123680.725261714</v>
      </c>
      <c r="H18" s="20" t="n">
        <f aca="false">IF(G18&gt;PR_BalDone,G18+G18*(F_MR/12)-MIN(F_MortPayM,G18+G18*(F_MR/12)),G18)</f>
        <v>122897.534255262</v>
      </c>
      <c r="I18" s="20" t="n">
        <f aca="false">IF(H18&gt;PR_BalDone,H18+H18*(F_MR/12)-MIN(F_MortPayM,H18+H18*(F_MR/12)),H18)</f>
        <v>122111.830510997</v>
      </c>
      <c r="J18" s="20" t="n">
        <f aca="false">IF(I18&gt;PR_BalDone,I18+I18*(F_MR/12)-MIN(F_MortPayM,I18+I18*(F_MR/12)),I18)</f>
        <v>121323.60596722</v>
      </c>
      <c r="K18" s="20" t="n">
        <f aca="false">IF(J18&gt;PR_BalDone,J18+J18*(F_MR/12)-MIN(F_MortPayM,J18+J18*(F_MR/12)),J18)</f>
        <v>120532.852536365</v>
      </c>
      <c r="L18" s="20" t="n">
        <f aca="false">IF(K18&gt;PR_BalDone,K18+K18*(F_MR/12)-MIN(F_MortPayM,K18+K18*(F_MR/12)),K18)</f>
        <v>119739.562104919</v>
      </c>
      <c r="M18" s="20" t="n">
        <f aca="false">IF(L18&gt;PR_BalDone,L18+L18*(F_MR/12)-MIN(F_MortPayM,L18+L18*(F_MR/12)),L18)</f>
        <v>118943.726533339</v>
      </c>
      <c r="N18" s="20" t="n">
        <f aca="false">IF(M18&gt;PR_BalDone,M18+M18*(F_MR/12)-MIN(F_MortPayM,M18+M18*(F_MR/12)),M18)</f>
        <v>118145.337655967</v>
      </c>
      <c r="O18" s="20" t="n">
        <f aca="false">IF(N18&gt;PR_BalDone,N18+N18*(F_MR/12)-MIN(F_MortPayM,N18+N18*(F_MR/12)),N18)</f>
        <v>117344.387280946</v>
      </c>
      <c r="P18" s="20" t="n">
        <f aca="false">IF(C18&gt;PR_BalDone,MIN(F_MortPayM,C18+C18*(F_MR/12)),0)</f>
        <v>1180</v>
      </c>
      <c r="Q18" s="20" t="n">
        <f aca="false">IF(D18&gt;PR_BalDone,MIN(F_MortPayM,D18+D18*(F_MR/12)),0)</f>
        <v>1180</v>
      </c>
      <c r="R18" s="20" t="n">
        <f aca="false">IF(E18&gt;PR_BalDone,MIN(F_MortPayM,E18+E18*(F_MR/12)),0)</f>
        <v>1180</v>
      </c>
      <c r="S18" s="20" t="n">
        <f aca="false">IF(F18&gt;PR_BalDone,MIN(F_MortPayM,F18+F18*(F_MR/12)),0)</f>
        <v>1180</v>
      </c>
      <c r="T18" s="20" t="n">
        <f aca="false">IF(G18&gt;PR_BalDone,MIN(F_MortPayM,G18+G18*(F_MR/12)),0)</f>
        <v>1180</v>
      </c>
      <c r="U18" s="20" t="n">
        <f aca="false">IF(H18&gt;PR_BalDone,MIN(F_MortPayM,H18+H18*(F_MR/12)),0)</f>
        <v>1180</v>
      </c>
      <c r="V18" s="20" t="n">
        <f aca="false">IF(I18&gt;PR_BalDone,MIN(F_MortPayM,I18+I18*(F_MR/12)),0)</f>
        <v>1180</v>
      </c>
      <c r="W18" s="20" t="n">
        <f aca="false">IF(J18&gt;PR_BalDone,MIN(F_MortPayM,J18+J18*(F_MR/12)),0)</f>
        <v>1180</v>
      </c>
      <c r="X18" s="20" t="n">
        <f aca="false">IF(K18&gt;PR_BalDone,MIN(F_MortPayM,K18+K18*(F_MR/12)),0)</f>
        <v>1180</v>
      </c>
      <c r="Y18" s="20" t="n">
        <f aca="false">IF(L18&gt;PR_BalDone,MIN(F_MortPayM,L18+L18*(F_MR/12)),0)</f>
        <v>1180</v>
      </c>
      <c r="Z18" s="20" t="n">
        <f aca="false">IF(M18&gt;PR_BalDone,MIN(F_MortPayM,M18+M18*(F_MR/12)),0)</f>
        <v>1180</v>
      </c>
      <c r="AA18" s="20" t="n">
        <f aca="false">IF(N18&gt;PR_BalDone,MIN(F_MortPayM,N18+N18*(F_MR/12)),0)</f>
        <v>1180</v>
      </c>
      <c r="AB18" s="20" t="n">
        <f aca="false">MAX(0,O18)</f>
        <v>117344.387280946</v>
      </c>
      <c r="AC18" s="20" t="n">
        <f aca="false">SUM(P18:AA18)</f>
        <v>14160</v>
      </c>
      <c r="AD18" s="20" t="n">
        <f aca="false">'Plan cashflow'!M18</f>
        <v>0</v>
      </c>
      <c r="AE18" s="20" t="n">
        <f aca="false">IF(AD18&gt;PR_BalDone,AD18+AD18*(D_iC)-MIN(F_CardPayM,AD18+AD18*(D_iC)),AD18)</f>
        <v>0</v>
      </c>
      <c r="AF18" s="20" t="n">
        <f aca="false">IF(AE18&gt;PR_BalDone,AE18+AE18*(D_iC)-MIN(F_CardPayM,AE18+AE18*(D_iC)),AE18)</f>
        <v>0</v>
      </c>
      <c r="AG18" s="20" t="n">
        <f aca="false">IF(AF18&gt;PR_BalDone,AF18+AF18*(D_iC)-MIN(F_CardPayM,AF18+AF18*(D_iC)),AF18)</f>
        <v>0</v>
      </c>
      <c r="AH18" s="20" t="n">
        <f aca="false">IF(AG18&gt;PR_BalDone,AG18+AG18*(D_iC)-MIN(F_CardPayM,AG18+AG18*(D_iC)),AG18)</f>
        <v>0</v>
      </c>
      <c r="AI18" s="20" t="n">
        <f aca="false">IF(AH18&gt;PR_BalDone,AH18+AH18*(D_iC)-MIN(F_CardPayM,AH18+AH18*(D_iC)),AH18)</f>
        <v>0</v>
      </c>
      <c r="AJ18" s="20" t="n">
        <f aca="false">IF(AI18&gt;PR_BalDone,AI18+AI18*(D_iC)-MIN(F_CardPayM,AI18+AI18*(D_iC)),AI18)</f>
        <v>0</v>
      </c>
      <c r="AK18" s="20" t="n">
        <f aca="false">IF(AJ18&gt;PR_BalDone,AJ18+AJ18*(D_iC)-MIN(F_CardPayM,AJ18+AJ18*(D_iC)),AJ18)</f>
        <v>0</v>
      </c>
      <c r="AL18" s="20" t="n">
        <f aca="false">IF(AK18&gt;PR_BalDone,AK18+AK18*(D_iC)-MIN(F_CardPayM,AK18+AK18*(D_iC)),AK18)</f>
        <v>0</v>
      </c>
      <c r="AM18" s="20" t="n">
        <f aca="false">IF(AL18&gt;PR_BalDone,AL18+AL18*(D_iC)-MIN(F_CardPayM,AL18+AL18*(D_iC)),AL18)</f>
        <v>0</v>
      </c>
      <c r="AN18" s="20" t="n">
        <f aca="false">IF(AM18&gt;PR_BalDone,AM18+AM18*(D_iC)-MIN(F_CardPayM,AM18+AM18*(D_iC)),AM18)</f>
        <v>0</v>
      </c>
      <c r="AO18" s="20" t="n">
        <f aca="false">IF(AN18&gt;PR_BalDone,AN18+AN18*(D_iC)-MIN(F_CardPayM,AN18+AN18*(D_iC)),AN18)</f>
        <v>0</v>
      </c>
      <c r="AP18" s="20" t="n">
        <f aca="false">IF(AO18&gt;PR_BalDone,AO18+AO18*(D_iC)-MIN(F_CardPayM,AO18+AO18*(D_iC)),AO18)</f>
        <v>0</v>
      </c>
      <c r="AQ18" s="20" t="n">
        <f aca="false">IF(AD18&gt;PR_BalDone,MIN(F_CardPayM,AD18+AD18*(D_iC)),0)</f>
        <v>0</v>
      </c>
      <c r="AR18" s="20" t="n">
        <f aca="false">IF(AE18&gt;PR_BalDone,MIN(F_CardPayM,AE18+AE18*(D_iC)),0)</f>
        <v>0</v>
      </c>
      <c r="AS18" s="20" t="n">
        <f aca="false">IF(AF18&gt;PR_BalDone,MIN(F_CardPayM,AF18+AF18*(D_iC)),0)</f>
        <v>0</v>
      </c>
      <c r="AT18" s="20" t="n">
        <f aca="false">IF(AG18&gt;PR_BalDone,MIN(F_CardPayM,AG18+AG18*(D_iC)),0)</f>
        <v>0</v>
      </c>
      <c r="AU18" s="20" t="n">
        <f aca="false">IF(AH18&gt;PR_BalDone,MIN(F_CardPayM,AH18+AH18*(D_iC)),0)</f>
        <v>0</v>
      </c>
      <c r="AV18" s="20" t="n">
        <f aca="false">IF(AI18&gt;PR_BalDone,MIN(F_CardPayM,AI18+AI18*(D_iC)),0)</f>
        <v>0</v>
      </c>
      <c r="AW18" s="20" t="n">
        <f aca="false">IF(AJ18&gt;PR_BalDone,MIN(F_CardPayM,AJ18+AJ18*(D_iC)),0)</f>
        <v>0</v>
      </c>
      <c r="AX18" s="20" t="n">
        <f aca="false">IF(AK18&gt;PR_BalDone,MIN(F_CardPayM,AK18+AK18*(D_iC)),0)</f>
        <v>0</v>
      </c>
      <c r="AY18" s="20" t="n">
        <f aca="false">IF(AL18&gt;PR_BalDone,MIN(F_CardPayM,AL18+AL18*(D_iC)),0)</f>
        <v>0</v>
      </c>
      <c r="AZ18" s="20" t="n">
        <f aca="false">IF(AM18&gt;PR_BalDone,MIN(F_CardPayM,AM18+AM18*(D_iC)),0)</f>
        <v>0</v>
      </c>
      <c r="BA18" s="20" t="n">
        <f aca="false">IF(AN18&gt;PR_BalDone,MIN(F_CardPayM,AN18+AN18*(D_iC)),0)</f>
        <v>0</v>
      </c>
      <c r="BB18" s="20" t="n">
        <f aca="false">IF(AO18&gt;PR_BalDone,MIN(F_CardPayM,AO18+AO18*(D_iC)),0)</f>
        <v>0</v>
      </c>
      <c r="BC18" s="20" t="n">
        <f aca="false">MAX(0,AP18)</f>
        <v>0</v>
      </c>
      <c r="BD18" s="20" t="n">
        <f aca="false">SUM(AQ18:BB18)</f>
        <v>0</v>
      </c>
      <c r="BE18" s="20" t="n">
        <f aca="false">'Plan cashflow'!P18</f>
        <v>0</v>
      </c>
      <c r="BF18" s="20" t="n">
        <f aca="false">IF(BE18&gt;PR_BalDone,BE18+BE18*(D_iL)-MIN(F_LoanPayM,BE18+BE18*(D_iL)),BE18)</f>
        <v>0</v>
      </c>
      <c r="BG18" s="20" t="n">
        <f aca="false">IF(BF18&gt;PR_BalDone,BF18+BF18*(D_iL)-MIN(F_LoanPayM,BF18+BF18*(D_iL)),BF18)</f>
        <v>0</v>
      </c>
      <c r="BH18" s="20" t="n">
        <f aca="false">IF(BG18&gt;PR_BalDone,BG18+BG18*(D_iL)-MIN(F_LoanPayM,BG18+BG18*(D_iL)),BG18)</f>
        <v>0</v>
      </c>
      <c r="BI18" s="20" t="n">
        <f aca="false">IF(BH18&gt;PR_BalDone,BH18+BH18*(D_iL)-MIN(F_LoanPayM,BH18+BH18*(D_iL)),BH18)</f>
        <v>0</v>
      </c>
      <c r="BJ18" s="20" t="n">
        <f aca="false">IF(BI18&gt;PR_BalDone,BI18+BI18*(D_iL)-MIN(F_LoanPayM,BI18+BI18*(D_iL)),BI18)</f>
        <v>0</v>
      </c>
      <c r="BK18" s="20" t="n">
        <f aca="false">IF(BJ18&gt;PR_BalDone,BJ18+BJ18*(D_iL)-MIN(F_LoanPayM,BJ18+BJ18*(D_iL)),BJ18)</f>
        <v>0</v>
      </c>
      <c r="BL18" s="20" t="n">
        <f aca="false">IF(BK18&gt;PR_BalDone,BK18+BK18*(D_iL)-MIN(F_LoanPayM,BK18+BK18*(D_iL)),BK18)</f>
        <v>0</v>
      </c>
      <c r="BM18" s="20" t="n">
        <f aca="false">IF(BL18&gt;PR_BalDone,BL18+BL18*(D_iL)-MIN(F_LoanPayM,BL18+BL18*(D_iL)),BL18)</f>
        <v>0</v>
      </c>
      <c r="BN18" s="20" t="n">
        <f aca="false">IF(BM18&gt;PR_BalDone,BM18+BM18*(D_iL)-MIN(F_LoanPayM,BM18+BM18*(D_iL)),BM18)</f>
        <v>0</v>
      </c>
      <c r="BO18" s="20" t="n">
        <f aca="false">IF(BN18&gt;PR_BalDone,BN18+BN18*(D_iL)-MIN(F_LoanPayM,BN18+BN18*(D_iL)),BN18)</f>
        <v>0</v>
      </c>
      <c r="BP18" s="20" t="n">
        <f aca="false">IF(BO18&gt;PR_BalDone,BO18+BO18*(D_iL)-MIN(F_LoanPayM,BO18+BO18*(D_iL)),BO18)</f>
        <v>0</v>
      </c>
      <c r="BQ18" s="20" t="n">
        <f aca="false">IF(BP18&gt;PR_BalDone,BP18+BP18*(D_iL)-MIN(F_LoanPayM,BP18+BP18*(D_iL)),BP18)</f>
        <v>0</v>
      </c>
      <c r="BR18" s="20" t="n">
        <f aca="false">IF(BE18&gt;PR_BalDone,MIN(F_LoanPayM,BE18+BE18*(D_iL)),0)</f>
        <v>0</v>
      </c>
      <c r="BS18" s="20" t="n">
        <f aca="false">IF(BF18&gt;PR_BalDone,MIN(F_LoanPayM,BF18+BF18*(D_iL)),0)</f>
        <v>0</v>
      </c>
      <c r="BT18" s="20" t="n">
        <f aca="false">IF(BG18&gt;PR_BalDone,MIN(F_LoanPayM,BG18+BG18*(D_iL)),0)</f>
        <v>0</v>
      </c>
      <c r="BU18" s="20" t="n">
        <f aca="false">IF(BH18&gt;PR_BalDone,MIN(F_LoanPayM,BH18+BH18*(D_iL)),0)</f>
        <v>0</v>
      </c>
      <c r="BV18" s="20" t="n">
        <f aca="false">IF(BI18&gt;PR_BalDone,MIN(F_LoanPayM,BI18+BI18*(D_iL)),0)</f>
        <v>0</v>
      </c>
      <c r="BW18" s="20" t="n">
        <f aca="false">IF(BJ18&gt;PR_BalDone,MIN(F_LoanPayM,BJ18+BJ18*(D_iL)),0)</f>
        <v>0</v>
      </c>
      <c r="BX18" s="20" t="n">
        <f aca="false">IF(BK18&gt;PR_BalDone,MIN(F_LoanPayM,BK18+BK18*(D_iL)),0)</f>
        <v>0</v>
      </c>
      <c r="BY18" s="20" t="n">
        <f aca="false">IF(BL18&gt;PR_BalDone,MIN(F_LoanPayM,BL18+BL18*(D_iL)),0)</f>
        <v>0</v>
      </c>
      <c r="BZ18" s="20" t="n">
        <f aca="false">IF(BM18&gt;PR_BalDone,MIN(F_LoanPayM,BM18+BM18*(D_iL)),0)</f>
        <v>0</v>
      </c>
      <c r="CA18" s="20" t="n">
        <f aca="false">IF(BN18&gt;PR_BalDone,MIN(F_LoanPayM,BN18+BN18*(D_iL)),0)</f>
        <v>0</v>
      </c>
      <c r="CB18" s="20" t="n">
        <f aca="false">IF(BO18&gt;PR_BalDone,MIN(F_LoanPayM,BO18+BO18*(D_iL)),0)</f>
        <v>0</v>
      </c>
      <c r="CC18" s="20" t="n">
        <f aca="false">IF(BP18&gt;PR_BalDone,MIN(F_LoanPayM,BP18+BP18*(D_iL)),0)</f>
        <v>0</v>
      </c>
      <c r="CD18" s="20" t="n">
        <f aca="false">MAX(0,BQ18)</f>
        <v>0</v>
      </c>
      <c r="CE18" s="20" t="n">
        <f aca="false">SUM(BR18:CC18)</f>
        <v>0</v>
      </c>
      <c r="CF18" s="20" t="n">
        <f aca="false">IF(CF17&gt;1,DE17,CF17)</f>
        <v>126788.522242771</v>
      </c>
      <c r="CG18" s="20" t="n">
        <f aca="false">IF(CF18&gt;PR_BalDone,CF18+CF18*(F_MR/12)-MIN(F_MortPayM,CF18+CF18*(F_MR/12)),CF18)</f>
        <v>126015.302084966</v>
      </c>
      <c r="CH18" s="20" t="n">
        <f aca="false">IF(CG18&gt;PR_BalDone,CG18+CG18*(F_MR/12)-MIN(F_MortPayM,CG18+CG18*(F_MR/12)),CG18)</f>
        <v>125239.601179155</v>
      </c>
      <c r="CI18" s="20" t="n">
        <f aca="false">IF(CH18&gt;PR_BalDone,CH18+CH18*(F_MR/12)-MIN(F_MortPayM,CH18+CH18*(F_MR/12)),CH18)</f>
        <v>124461.411566272</v>
      </c>
      <c r="CJ18" s="20" t="n">
        <f aca="false">IF(CI18&gt;PR_BalDone,CI18+CI18*(F_MR/12)-MIN(F_MortPayM,CI18+CI18*(F_MR/12)),CI18)</f>
        <v>123680.725261714</v>
      </c>
      <c r="CK18" s="20" t="n">
        <f aca="false">IF(CJ18&gt;PR_BalDone,CJ18+CJ18*(F_MR/12)-MIN(F_MortPayM,CJ18+CJ18*(F_MR/12)),CJ18)</f>
        <v>122897.534255262</v>
      </c>
      <c r="CL18" s="20" t="n">
        <f aca="false">IF(CK18&gt;PR_BalDone,CK18+CK18*(F_MR/12)-MIN(F_MortPayM,CK18+CK18*(F_MR/12)),CK18)</f>
        <v>122111.830510997</v>
      </c>
      <c r="CM18" s="20" t="n">
        <f aca="false">IF(CL18&gt;PR_BalDone,CL18+CL18*(F_MR/12)-MIN(F_MortPayM,CL18+CL18*(F_MR/12)),CL18)</f>
        <v>121323.60596722</v>
      </c>
      <c r="CN18" s="20" t="n">
        <f aca="false">IF(CM18&gt;PR_BalDone,CM18+CM18*(F_MR/12)-MIN(F_MortPayM,CM18+CM18*(F_MR/12)),CM18)</f>
        <v>120532.852536365</v>
      </c>
      <c r="CO18" s="20" t="n">
        <f aca="false">IF(CN18&gt;PR_BalDone,CN18+CN18*(F_MR/12)-MIN(F_MortPayM,CN18+CN18*(F_MR/12)),CN18)</f>
        <v>119739.562104919</v>
      </c>
      <c r="CP18" s="20" t="n">
        <f aca="false">IF(CO18&gt;PR_BalDone,CO18+CO18*(F_MR/12)-MIN(F_MortPayM,CO18+CO18*(F_MR/12)),CO18)</f>
        <v>118943.726533339</v>
      </c>
      <c r="CQ18" s="20" t="n">
        <f aca="false">IF(CP18&gt;PR_BalDone,CP18+CP18*(F_MR/12)-MIN(F_MortPayM,CP18+CP18*(F_MR/12)),CP18)</f>
        <v>118145.337655967</v>
      </c>
      <c r="CR18" s="20" t="n">
        <f aca="false">IF(CQ18&gt;PR_BalDone,CQ18+CQ18*(F_MR/12)-MIN(F_MortPayM,CQ18+CQ18*(F_MR/12)),CQ18)</f>
        <v>117344.387280946</v>
      </c>
      <c r="CS18" s="20" t="n">
        <f aca="false">IF(CF18&gt;PR_BalDone,MIN(F_MortPayM,CF18+CF18*(F_MR/12)),0)</f>
        <v>1180</v>
      </c>
      <c r="CT18" s="20" t="n">
        <f aca="false">IF(CG18&gt;PR_BalDone,MIN(F_MortPayM,CG18+CG18*(F_MR/12)),0)</f>
        <v>1180</v>
      </c>
      <c r="CU18" s="20" t="n">
        <f aca="false">IF(CH18&gt;PR_BalDone,MIN(F_MortPayM,CH18+CH18*(F_MR/12)),0)</f>
        <v>1180</v>
      </c>
      <c r="CV18" s="20" t="n">
        <f aca="false">IF(CI18&gt;PR_BalDone,MIN(F_MortPayM,CI18+CI18*(F_MR/12)),0)</f>
        <v>1180</v>
      </c>
      <c r="CW18" s="20" t="n">
        <f aca="false">IF(CJ18&gt;PR_BalDone,MIN(F_MortPayM,CJ18+CJ18*(F_MR/12)),0)</f>
        <v>1180</v>
      </c>
      <c r="CX18" s="20" t="n">
        <f aca="false">IF(CK18&gt;PR_BalDone,MIN(F_MortPayM,CK18+CK18*(F_MR/12)),0)</f>
        <v>1180</v>
      </c>
      <c r="CY18" s="20" t="n">
        <f aca="false">IF(CL18&gt;PR_BalDone,MIN(F_MortPayM,CL18+CL18*(F_MR/12)),0)</f>
        <v>1180</v>
      </c>
      <c r="CZ18" s="20" t="n">
        <f aca="false">IF(CM18&gt;PR_BalDone,MIN(F_MortPayM,CM18+CM18*(F_MR/12)),0)</f>
        <v>1180</v>
      </c>
      <c r="DA18" s="20" t="n">
        <f aca="false">IF(CN18&gt;PR_BalDone,MIN(F_MortPayM,CN18+CN18*(F_MR/12)),0)</f>
        <v>1180</v>
      </c>
      <c r="DB18" s="20" t="n">
        <f aca="false">IF(CO18&gt;PR_BalDone,MIN(F_MortPayM,CO18+CO18*(F_MR/12)),0)</f>
        <v>1180</v>
      </c>
      <c r="DC18" s="20" t="n">
        <f aca="false">IF(CP18&gt;PR_BalDone,MIN(F_MortPayM,CP18+CP18*(F_MR/12)),0)</f>
        <v>1180</v>
      </c>
      <c r="DD18" s="20" t="n">
        <f aca="false">IF(CQ18&gt;PR_BalDone,MIN(F_MortPayM,CQ18+CQ18*(F_MR/12)),0)</f>
        <v>1180</v>
      </c>
      <c r="DE18" s="20" t="n">
        <f aca="false">MAX(0,CR18)</f>
        <v>117344.387280946</v>
      </c>
      <c r="DF18" s="20" t="n">
        <f aca="false">SUM(CS18:DD18)</f>
        <v>14160</v>
      </c>
      <c r="DG18" s="20" t="n">
        <f aca="false">MAX(0,CF18)</f>
        <v>126788.522242771</v>
      </c>
    </row>
    <row r="19" customFormat="false" ht="15" hidden="false" customHeight="true" outlineLevel="0" collapsed="false">
      <c r="B19" s="20" t="n">
        <v>11</v>
      </c>
      <c r="C19" s="20" t="n">
        <f aca="false">'Plan cashflow'!J19</f>
        <v>117344.387280946</v>
      </c>
      <c r="D19" s="20" t="n">
        <f aca="false">IF(C19&gt;PR_BalDone,C19+C19*(F_MR/12)-MIN(F_MortPayM,C19+C19*(F_MR/12)),C19)</f>
        <v>116540.867190139</v>
      </c>
      <c r="E19" s="20" t="n">
        <f aca="false">IF(D19&gt;PR_BalDone,D19+D19*(F_MR/12)-MIN(F_MortPayM,D19+D19*(F_MR/12)),D19)</f>
        <v>115734.769139041</v>
      </c>
      <c r="F19" s="20" t="n">
        <f aca="false">IF(E19&gt;PR_BalDone,E19+E19*(F_MR/12)-MIN(F_MortPayM,E19+E19*(F_MR/12)),E19)</f>
        <v>114926.084856695</v>
      </c>
      <c r="G19" s="20" t="n">
        <f aca="false">IF(F19&gt;PR_BalDone,F19+F19*(F_MR/12)-MIN(F_MortPayM,F19+F19*(F_MR/12)),F19)</f>
        <v>114114.806045611</v>
      </c>
      <c r="H19" s="20" t="n">
        <f aca="false">IF(G19&gt;PR_BalDone,G19+G19*(F_MR/12)-MIN(F_MortPayM,G19+G19*(F_MR/12)),G19)</f>
        <v>113300.924381674</v>
      </c>
      <c r="I19" s="20" t="n">
        <f aca="false">IF(H19&gt;PR_BalDone,H19+H19*(F_MR/12)-MIN(F_MortPayM,H19+H19*(F_MR/12)),H19)</f>
        <v>112484.431514065</v>
      </c>
      <c r="J19" s="20" t="n">
        <f aca="false">IF(I19&gt;PR_BalDone,I19+I19*(F_MR/12)-MIN(F_MortPayM,I19+I19*(F_MR/12)),I19)</f>
        <v>111665.319065172</v>
      </c>
      <c r="K19" s="20" t="n">
        <f aca="false">IF(J19&gt;PR_BalDone,J19+J19*(F_MR/12)-MIN(F_MortPayM,J19+J19*(F_MR/12)),J19)</f>
        <v>110843.578630507</v>
      </c>
      <c r="L19" s="20" t="n">
        <f aca="false">IF(K19&gt;PR_BalDone,K19+K19*(F_MR/12)-MIN(F_MortPayM,K19+K19*(F_MR/12)),K19)</f>
        <v>110019.201778613</v>
      </c>
      <c r="M19" s="20" t="n">
        <f aca="false">IF(L19&gt;PR_BalDone,L19+L19*(F_MR/12)-MIN(F_MortPayM,L19+L19*(F_MR/12)),L19)</f>
        <v>109192.180050986</v>
      </c>
      <c r="N19" s="20" t="n">
        <f aca="false">IF(M19&gt;PR_BalDone,M19+M19*(F_MR/12)-MIN(F_MortPayM,M19+M19*(F_MR/12)),M19)</f>
        <v>108362.504961983</v>
      </c>
      <c r="O19" s="20" t="n">
        <f aca="false">IF(N19&gt;PR_BalDone,N19+N19*(F_MR/12)-MIN(F_MortPayM,N19+N19*(F_MR/12)),N19)</f>
        <v>107530.167998736</v>
      </c>
      <c r="P19" s="20" t="n">
        <f aca="false">IF(C19&gt;PR_BalDone,MIN(F_MortPayM,C19+C19*(F_MR/12)),0)</f>
        <v>1180</v>
      </c>
      <c r="Q19" s="20" t="n">
        <f aca="false">IF(D19&gt;PR_BalDone,MIN(F_MortPayM,D19+D19*(F_MR/12)),0)</f>
        <v>1180</v>
      </c>
      <c r="R19" s="20" t="n">
        <f aca="false">IF(E19&gt;PR_BalDone,MIN(F_MortPayM,E19+E19*(F_MR/12)),0)</f>
        <v>1180</v>
      </c>
      <c r="S19" s="20" t="n">
        <f aca="false">IF(F19&gt;PR_BalDone,MIN(F_MortPayM,F19+F19*(F_MR/12)),0)</f>
        <v>1180</v>
      </c>
      <c r="T19" s="20" t="n">
        <f aca="false">IF(G19&gt;PR_BalDone,MIN(F_MortPayM,G19+G19*(F_MR/12)),0)</f>
        <v>1180</v>
      </c>
      <c r="U19" s="20" t="n">
        <f aca="false">IF(H19&gt;PR_BalDone,MIN(F_MortPayM,H19+H19*(F_MR/12)),0)</f>
        <v>1180</v>
      </c>
      <c r="V19" s="20" t="n">
        <f aca="false">IF(I19&gt;PR_BalDone,MIN(F_MortPayM,I19+I19*(F_MR/12)),0)</f>
        <v>1180</v>
      </c>
      <c r="W19" s="20" t="n">
        <f aca="false">IF(J19&gt;PR_BalDone,MIN(F_MortPayM,J19+J19*(F_MR/12)),0)</f>
        <v>1180</v>
      </c>
      <c r="X19" s="20" t="n">
        <f aca="false">IF(K19&gt;PR_BalDone,MIN(F_MortPayM,K19+K19*(F_MR/12)),0)</f>
        <v>1180</v>
      </c>
      <c r="Y19" s="20" t="n">
        <f aca="false">IF(L19&gt;PR_BalDone,MIN(F_MortPayM,L19+L19*(F_MR/12)),0)</f>
        <v>1180</v>
      </c>
      <c r="Z19" s="20" t="n">
        <f aca="false">IF(M19&gt;PR_BalDone,MIN(F_MortPayM,M19+M19*(F_MR/12)),0)</f>
        <v>1180</v>
      </c>
      <c r="AA19" s="20" t="n">
        <f aca="false">IF(N19&gt;PR_BalDone,MIN(F_MortPayM,N19+N19*(F_MR/12)),0)</f>
        <v>1180</v>
      </c>
      <c r="AB19" s="20" t="n">
        <f aca="false">MAX(0,O19)</f>
        <v>107530.167998736</v>
      </c>
      <c r="AC19" s="20" t="n">
        <f aca="false">SUM(P19:AA19)</f>
        <v>14160</v>
      </c>
      <c r="AD19" s="20" t="n">
        <f aca="false">'Plan cashflow'!M19</f>
        <v>0</v>
      </c>
      <c r="AE19" s="20" t="n">
        <f aca="false">IF(AD19&gt;PR_BalDone,AD19+AD19*(D_iC)-MIN(F_CardPayM,AD19+AD19*(D_iC)),AD19)</f>
        <v>0</v>
      </c>
      <c r="AF19" s="20" t="n">
        <f aca="false">IF(AE19&gt;PR_BalDone,AE19+AE19*(D_iC)-MIN(F_CardPayM,AE19+AE19*(D_iC)),AE19)</f>
        <v>0</v>
      </c>
      <c r="AG19" s="20" t="n">
        <f aca="false">IF(AF19&gt;PR_BalDone,AF19+AF19*(D_iC)-MIN(F_CardPayM,AF19+AF19*(D_iC)),AF19)</f>
        <v>0</v>
      </c>
      <c r="AH19" s="20" t="n">
        <f aca="false">IF(AG19&gt;PR_BalDone,AG19+AG19*(D_iC)-MIN(F_CardPayM,AG19+AG19*(D_iC)),AG19)</f>
        <v>0</v>
      </c>
      <c r="AI19" s="20" t="n">
        <f aca="false">IF(AH19&gt;PR_BalDone,AH19+AH19*(D_iC)-MIN(F_CardPayM,AH19+AH19*(D_iC)),AH19)</f>
        <v>0</v>
      </c>
      <c r="AJ19" s="20" t="n">
        <f aca="false">IF(AI19&gt;PR_BalDone,AI19+AI19*(D_iC)-MIN(F_CardPayM,AI19+AI19*(D_iC)),AI19)</f>
        <v>0</v>
      </c>
      <c r="AK19" s="20" t="n">
        <f aca="false">IF(AJ19&gt;PR_BalDone,AJ19+AJ19*(D_iC)-MIN(F_CardPayM,AJ19+AJ19*(D_iC)),AJ19)</f>
        <v>0</v>
      </c>
      <c r="AL19" s="20" t="n">
        <f aca="false">IF(AK19&gt;PR_BalDone,AK19+AK19*(D_iC)-MIN(F_CardPayM,AK19+AK19*(D_iC)),AK19)</f>
        <v>0</v>
      </c>
      <c r="AM19" s="20" t="n">
        <f aca="false">IF(AL19&gt;PR_BalDone,AL19+AL19*(D_iC)-MIN(F_CardPayM,AL19+AL19*(D_iC)),AL19)</f>
        <v>0</v>
      </c>
      <c r="AN19" s="20" t="n">
        <f aca="false">IF(AM19&gt;PR_BalDone,AM19+AM19*(D_iC)-MIN(F_CardPayM,AM19+AM19*(D_iC)),AM19)</f>
        <v>0</v>
      </c>
      <c r="AO19" s="20" t="n">
        <f aca="false">IF(AN19&gt;PR_BalDone,AN19+AN19*(D_iC)-MIN(F_CardPayM,AN19+AN19*(D_iC)),AN19)</f>
        <v>0</v>
      </c>
      <c r="AP19" s="20" t="n">
        <f aca="false">IF(AO19&gt;PR_BalDone,AO19+AO19*(D_iC)-MIN(F_CardPayM,AO19+AO19*(D_iC)),AO19)</f>
        <v>0</v>
      </c>
      <c r="AQ19" s="20" t="n">
        <f aca="false">IF(AD19&gt;PR_BalDone,MIN(F_CardPayM,AD19+AD19*(D_iC)),0)</f>
        <v>0</v>
      </c>
      <c r="AR19" s="20" t="n">
        <f aca="false">IF(AE19&gt;PR_BalDone,MIN(F_CardPayM,AE19+AE19*(D_iC)),0)</f>
        <v>0</v>
      </c>
      <c r="AS19" s="20" t="n">
        <f aca="false">IF(AF19&gt;PR_BalDone,MIN(F_CardPayM,AF19+AF19*(D_iC)),0)</f>
        <v>0</v>
      </c>
      <c r="AT19" s="20" t="n">
        <f aca="false">IF(AG19&gt;PR_BalDone,MIN(F_CardPayM,AG19+AG19*(D_iC)),0)</f>
        <v>0</v>
      </c>
      <c r="AU19" s="20" t="n">
        <f aca="false">IF(AH19&gt;PR_BalDone,MIN(F_CardPayM,AH19+AH19*(D_iC)),0)</f>
        <v>0</v>
      </c>
      <c r="AV19" s="20" t="n">
        <f aca="false">IF(AI19&gt;PR_BalDone,MIN(F_CardPayM,AI19+AI19*(D_iC)),0)</f>
        <v>0</v>
      </c>
      <c r="AW19" s="20" t="n">
        <f aca="false">IF(AJ19&gt;PR_BalDone,MIN(F_CardPayM,AJ19+AJ19*(D_iC)),0)</f>
        <v>0</v>
      </c>
      <c r="AX19" s="20" t="n">
        <f aca="false">IF(AK19&gt;PR_BalDone,MIN(F_CardPayM,AK19+AK19*(D_iC)),0)</f>
        <v>0</v>
      </c>
      <c r="AY19" s="20" t="n">
        <f aca="false">IF(AL19&gt;PR_BalDone,MIN(F_CardPayM,AL19+AL19*(D_iC)),0)</f>
        <v>0</v>
      </c>
      <c r="AZ19" s="20" t="n">
        <f aca="false">IF(AM19&gt;PR_BalDone,MIN(F_CardPayM,AM19+AM19*(D_iC)),0)</f>
        <v>0</v>
      </c>
      <c r="BA19" s="20" t="n">
        <f aca="false">IF(AN19&gt;PR_BalDone,MIN(F_CardPayM,AN19+AN19*(D_iC)),0)</f>
        <v>0</v>
      </c>
      <c r="BB19" s="20" t="n">
        <f aca="false">IF(AO19&gt;PR_BalDone,MIN(F_CardPayM,AO19+AO19*(D_iC)),0)</f>
        <v>0</v>
      </c>
      <c r="BC19" s="20" t="n">
        <f aca="false">MAX(0,AP19)</f>
        <v>0</v>
      </c>
      <c r="BD19" s="20" t="n">
        <f aca="false">SUM(AQ19:BB19)</f>
        <v>0</v>
      </c>
      <c r="BE19" s="20" t="n">
        <f aca="false">'Plan cashflow'!P19</f>
        <v>0</v>
      </c>
      <c r="BF19" s="20" t="n">
        <f aca="false">IF(BE19&gt;PR_BalDone,BE19+BE19*(D_iL)-MIN(F_LoanPayM,BE19+BE19*(D_iL)),BE19)</f>
        <v>0</v>
      </c>
      <c r="BG19" s="20" t="n">
        <f aca="false">IF(BF19&gt;PR_BalDone,BF19+BF19*(D_iL)-MIN(F_LoanPayM,BF19+BF19*(D_iL)),BF19)</f>
        <v>0</v>
      </c>
      <c r="BH19" s="20" t="n">
        <f aca="false">IF(BG19&gt;PR_BalDone,BG19+BG19*(D_iL)-MIN(F_LoanPayM,BG19+BG19*(D_iL)),BG19)</f>
        <v>0</v>
      </c>
      <c r="BI19" s="20" t="n">
        <f aca="false">IF(BH19&gt;PR_BalDone,BH19+BH19*(D_iL)-MIN(F_LoanPayM,BH19+BH19*(D_iL)),BH19)</f>
        <v>0</v>
      </c>
      <c r="BJ19" s="20" t="n">
        <f aca="false">IF(BI19&gt;PR_BalDone,BI19+BI19*(D_iL)-MIN(F_LoanPayM,BI19+BI19*(D_iL)),BI19)</f>
        <v>0</v>
      </c>
      <c r="BK19" s="20" t="n">
        <f aca="false">IF(BJ19&gt;PR_BalDone,BJ19+BJ19*(D_iL)-MIN(F_LoanPayM,BJ19+BJ19*(D_iL)),BJ19)</f>
        <v>0</v>
      </c>
      <c r="BL19" s="20" t="n">
        <f aca="false">IF(BK19&gt;PR_BalDone,BK19+BK19*(D_iL)-MIN(F_LoanPayM,BK19+BK19*(D_iL)),BK19)</f>
        <v>0</v>
      </c>
      <c r="BM19" s="20" t="n">
        <f aca="false">IF(BL19&gt;PR_BalDone,BL19+BL19*(D_iL)-MIN(F_LoanPayM,BL19+BL19*(D_iL)),BL19)</f>
        <v>0</v>
      </c>
      <c r="BN19" s="20" t="n">
        <f aca="false">IF(BM19&gt;PR_BalDone,BM19+BM19*(D_iL)-MIN(F_LoanPayM,BM19+BM19*(D_iL)),BM19)</f>
        <v>0</v>
      </c>
      <c r="BO19" s="20" t="n">
        <f aca="false">IF(BN19&gt;PR_BalDone,BN19+BN19*(D_iL)-MIN(F_LoanPayM,BN19+BN19*(D_iL)),BN19)</f>
        <v>0</v>
      </c>
      <c r="BP19" s="20" t="n">
        <f aca="false">IF(BO19&gt;PR_BalDone,BO19+BO19*(D_iL)-MIN(F_LoanPayM,BO19+BO19*(D_iL)),BO19)</f>
        <v>0</v>
      </c>
      <c r="BQ19" s="20" t="n">
        <f aca="false">IF(BP19&gt;PR_BalDone,BP19+BP19*(D_iL)-MIN(F_LoanPayM,BP19+BP19*(D_iL)),BP19)</f>
        <v>0</v>
      </c>
      <c r="BR19" s="20" t="n">
        <f aca="false">IF(BE19&gt;PR_BalDone,MIN(F_LoanPayM,BE19+BE19*(D_iL)),0)</f>
        <v>0</v>
      </c>
      <c r="BS19" s="20" t="n">
        <f aca="false">IF(BF19&gt;PR_BalDone,MIN(F_LoanPayM,BF19+BF19*(D_iL)),0)</f>
        <v>0</v>
      </c>
      <c r="BT19" s="20" t="n">
        <f aca="false">IF(BG19&gt;PR_BalDone,MIN(F_LoanPayM,BG19+BG19*(D_iL)),0)</f>
        <v>0</v>
      </c>
      <c r="BU19" s="20" t="n">
        <f aca="false">IF(BH19&gt;PR_BalDone,MIN(F_LoanPayM,BH19+BH19*(D_iL)),0)</f>
        <v>0</v>
      </c>
      <c r="BV19" s="20" t="n">
        <f aca="false">IF(BI19&gt;PR_BalDone,MIN(F_LoanPayM,BI19+BI19*(D_iL)),0)</f>
        <v>0</v>
      </c>
      <c r="BW19" s="20" t="n">
        <f aca="false">IF(BJ19&gt;PR_BalDone,MIN(F_LoanPayM,BJ19+BJ19*(D_iL)),0)</f>
        <v>0</v>
      </c>
      <c r="BX19" s="20" t="n">
        <f aca="false">IF(BK19&gt;PR_BalDone,MIN(F_LoanPayM,BK19+BK19*(D_iL)),0)</f>
        <v>0</v>
      </c>
      <c r="BY19" s="20" t="n">
        <f aca="false">IF(BL19&gt;PR_BalDone,MIN(F_LoanPayM,BL19+BL19*(D_iL)),0)</f>
        <v>0</v>
      </c>
      <c r="BZ19" s="20" t="n">
        <f aca="false">IF(BM19&gt;PR_BalDone,MIN(F_LoanPayM,BM19+BM19*(D_iL)),0)</f>
        <v>0</v>
      </c>
      <c r="CA19" s="20" t="n">
        <f aca="false">IF(BN19&gt;PR_BalDone,MIN(F_LoanPayM,BN19+BN19*(D_iL)),0)</f>
        <v>0</v>
      </c>
      <c r="CB19" s="20" t="n">
        <f aca="false">IF(BO19&gt;PR_BalDone,MIN(F_LoanPayM,BO19+BO19*(D_iL)),0)</f>
        <v>0</v>
      </c>
      <c r="CC19" s="20" t="n">
        <f aca="false">IF(BP19&gt;PR_BalDone,MIN(F_LoanPayM,BP19+BP19*(D_iL)),0)</f>
        <v>0</v>
      </c>
      <c r="CD19" s="20" t="n">
        <f aca="false">MAX(0,BQ19)</f>
        <v>0</v>
      </c>
      <c r="CE19" s="20" t="n">
        <f aca="false">SUM(BR19:CC19)</f>
        <v>0</v>
      </c>
      <c r="CF19" s="20" t="n">
        <f aca="false">IF(CF18&gt;1,DE18,CF18)</f>
        <v>117344.387280946</v>
      </c>
      <c r="CG19" s="20" t="n">
        <f aca="false">IF(CF19&gt;PR_BalDone,CF19+CF19*(F_MR/12)-MIN(F_MortPayM,CF19+CF19*(F_MR/12)),CF19)</f>
        <v>116540.867190139</v>
      </c>
      <c r="CH19" s="20" t="n">
        <f aca="false">IF(CG19&gt;PR_BalDone,CG19+CG19*(F_MR/12)-MIN(F_MortPayM,CG19+CG19*(F_MR/12)),CG19)</f>
        <v>115734.769139041</v>
      </c>
      <c r="CI19" s="20" t="n">
        <f aca="false">IF(CH19&gt;PR_BalDone,CH19+CH19*(F_MR/12)-MIN(F_MortPayM,CH19+CH19*(F_MR/12)),CH19)</f>
        <v>114926.084856695</v>
      </c>
      <c r="CJ19" s="20" t="n">
        <f aca="false">IF(CI19&gt;PR_BalDone,CI19+CI19*(F_MR/12)-MIN(F_MortPayM,CI19+CI19*(F_MR/12)),CI19)</f>
        <v>114114.806045611</v>
      </c>
      <c r="CK19" s="20" t="n">
        <f aca="false">IF(CJ19&gt;PR_BalDone,CJ19+CJ19*(F_MR/12)-MIN(F_MortPayM,CJ19+CJ19*(F_MR/12)),CJ19)</f>
        <v>113300.924381674</v>
      </c>
      <c r="CL19" s="20" t="n">
        <f aca="false">IF(CK19&gt;PR_BalDone,CK19+CK19*(F_MR/12)-MIN(F_MortPayM,CK19+CK19*(F_MR/12)),CK19)</f>
        <v>112484.431514065</v>
      </c>
      <c r="CM19" s="20" t="n">
        <f aca="false">IF(CL19&gt;PR_BalDone,CL19+CL19*(F_MR/12)-MIN(F_MortPayM,CL19+CL19*(F_MR/12)),CL19)</f>
        <v>111665.319065172</v>
      </c>
      <c r="CN19" s="20" t="n">
        <f aca="false">IF(CM19&gt;PR_BalDone,CM19+CM19*(F_MR/12)-MIN(F_MortPayM,CM19+CM19*(F_MR/12)),CM19)</f>
        <v>110843.578630507</v>
      </c>
      <c r="CO19" s="20" t="n">
        <f aca="false">IF(CN19&gt;PR_BalDone,CN19+CN19*(F_MR/12)-MIN(F_MortPayM,CN19+CN19*(F_MR/12)),CN19)</f>
        <v>110019.201778613</v>
      </c>
      <c r="CP19" s="20" t="n">
        <f aca="false">IF(CO19&gt;PR_BalDone,CO19+CO19*(F_MR/12)-MIN(F_MortPayM,CO19+CO19*(F_MR/12)),CO19)</f>
        <v>109192.180050986</v>
      </c>
      <c r="CQ19" s="20" t="n">
        <f aca="false">IF(CP19&gt;PR_BalDone,CP19+CP19*(F_MR/12)-MIN(F_MortPayM,CP19+CP19*(F_MR/12)),CP19)</f>
        <v>108362.504961983</v>
      </c>
      <c r="CR19" s="20" t="n">
        <f aca="false">IF(CQ19&gt;PR_BalDone,CQ19+CQ19*(F_MR/12)-MIN(F_MortPayM,CQ19+CQ19*(F_MR/12)),CQ19)</f>
        <v>107530.167998736</v>
      </c>
      <c r="CS19" s="20" t="n">
        <f aca="false">IF(CF19&gt;PR_BalDone,MIN(F_MortPayM,CF19+CF19*(F_MR/12)),0)</f>
        <v>1180</v>
      </c>
      <c r="CT19" s="20" t="n">
        <f aca="false">IF(CG19&gt;PR_BalDone,MIN(F_MortPayM,CG19+CG19*(F_MR/12)),0)</f>
        <v>1180</v>
      </c>
      <c r="CU19" s="20" t="n">
        <f aca="false">IF(CH19&gt;PR_BalDone,MIN(F_MortPayM,CH19+CH19*(F_MR/12)),0)</f>
        <v>1180</v>
      </c>
      <c r="CV19" s="20" t="n">
        <f aca="false">IF(CI19&gt;PR_BalDone,MIN(F_MortPayM,CI19+CI19*(F_MR/12)),0)</f>
        <v>1180</v>
      </c>
      <c r="CW19" s="20" t="n">
        <f aca="false">IF(CJ19&gt;PR_BalDone,MIN(F_MortPayM,CJ19+CJ19*(F_MR/12)),0)</f>
        <v>1180</v>
      </c>
      <c r="CX19" s="20" t="n">
        <f aca="false">IF(CK19&gt;PR_BalDone,MIN(F_MortPayM,CK19+CK19*(F_MR/12)),0)</f>
        <v>1180</v>
      </c>
      <c r="CY19" s="20" t="n">
        <f aca="false">IF(CL19&gt;PR_BalDone,MIN(F_MortPayM,CL19+CL19*(F_MR/12)),0)</f>
        <v>1180</v>
      </c>
      <c r="CZ19" s="20" t="n">
        <f aca="false">IF(CM19&gt;PR_BalDone,MIN(F_MortPayM,CM19+CM19*(F_MR/12)),0)</f>
        <v>1180</v>
      </c>
      <c r="DA19" s="20" t="n">
        <f aca="false">IF(CN19&gt;PR_BalDone,MIN(F_MortPayM,CN19+CN19*(F_MR/12)),0)</f>
        <v>1180</v>
      </c>
      <c r="DB19" s="20" t="n">
        <f aca="false">IF(CO19&gt;PR_BalDone,MIN(F_MortPayM,CO19+CO19*(F_MR/12)),0)</f>
        <v>1180</v>
      </c>
      <c r="DC19" s="20" t="n">
        <f aca="false">IF(CP19&gt;PR_BalDone,MIN(F_MortPayM,CP19+CP19*(F_MR/12)),0)</f>
        <v>1180</v>
      </c>
      <c r="DD19" s="20" t="n">
        <f aca="false">IF(CQ19&gt;PR_BalDone,MIN(F_MortPayM,CQ19+CQ19*(F_MR/12)),0)</f>
        <v>1180</v>
      </c>
      <c r="DE19" s="20" t="n">
        <f aca="false">MAX(0,CR19)</f>
        <v>107530.167998736</v>
      </c>
      <c r="DF19" s="20" t="n">
        <f aca="false">SUM(CS19:DD19)</f>
        <v>14160</v>
      </c>
      <c r="DG19" s="20" t="n">
        <f aca="false">MAX(0,CF19)</f>
        <v>117344.387280946</v>
      </c>
    </row>
    <row r="20" customFormat="false" ht="15" hidden="false" customHeight="true" outlineLevel="0" collapsed="false">
      <c r="B20" s="20" t="n">
        <v>12</v>
      </c>
      <c r="C20" s="20" t="n">
        <f aca="false">'Plan cashflow'!J20</f>
        <v>107530.167998736</v>
      </c>
      <c r="D20" s="20" t="n">
        <f aca="false">IF(C20&gt;PR_BalDone,C20+C20*(F_MR/12)-MIN(F_MortPayM,C20+C20*(F_MR/12)),C20)</f>
        <v>106695.160621065</v>
      </c>
      <c r="E20" s="20" t="n">
        <f aca="false">IF(D20&gt;PR_BalDone,D20+D20*(F_MR/12)-MIN(F_MortPayM,D20+D20*(F_MR/12)),D20)</f>
        <v>105857.474261391</v>
      </c>
      <c r="F20" s="20" t="n">
        <f aca="false">IF(E20&gt;PR_BalDone,E20+E20*(F_MR/12)-MIN(F_MortPayM,E20+E20*(F_MR/12)),E20)</f>
        <v>105017.100324646</v>
      </c>
      <c r="G20" s="20" t="n">
        <f aca="false">IF(F20&gt;PR_BalDone,F20+F20*(F_MR/12)-MIN(F_MortPayM,F20+F20*(F_MR/12)),F20)</f>
        <v>104174.030188188</v>
      </c>
      <c r="H20" s="20" t="n">
        <f aca="false">IF(G20&gt;PR_BalDone,G20+G20*(F_MR/12)-MIN(F_MortPayM,G20+G20*(F_MR/12)),G20)</f>
        <v>103328.255201708</v>
      </c>
      <c r="I20" s="20" t="n">
        <f aca="false">IF(H20&gt;PR_BalDone,H20+H20*(F_MR/12)-MIN(F_MortPayM,H20+H20*(F_MR/12)),H20)</f>
        <v>102479.766687147</v>
      </c>
      <c r="J20" s="20" t="n">
        <f aca="false">IF(I20&gt;PR_BalDone,I20+I20*(F_MR/12)-MIN(F_MortPayM,I20+I20*(F_MR/12)),I20)</f>
        <v>101628.555938602</v>
      </c>
      <c r="K20" s="20" t="n">
        <f aca="false">IF(J20&gt;PR_BalDone,J20+J20*(F_MR/12)-MIN(F_MortPayM,J20+J20*(F_MR/12)),J20)</f>
        <v>100774.614222238</v>
      </c>
      <c r="L20" s="20" t="n">
        <f aca="false">IF(K20&gt;PR_BalDone,K20+K20*(F_MR/12)-MIN(F_MortPayM,K20+K20*(F_MR/12)),K20)</f>
        <v>99917.932776201</v>
      </c>
      <c r="M20" s="20" t="n">
        <f aca="false">IF(L20&gt;PR_BalDone,L20+L20*(F_MR/12)-MIN(F_MortPayM,L20+L20*(F_MR/12)),L20)</f>
        <v>99058.5028105247</v>
      </c>
      <c r="N20" s="20" t="n">
        <f aca="false">IF(M20&gt;PR_BalDone,M20+M20*(F_MR/12)-MIN(F_MortPayM,M20+M20*(F_MR/12)),M20)</f>
        <v>98196.3155070417</v>
      </c>
      <c r="O20" s="20" t="n">
        <f aca="false">IF(N20&gt;PR_BalDone,N20+N20*(F_MR/12)-MIN(F_MortPayM,N20+N20*(F_MR/12)),N20)</f>
        <v>97331.3620192935</v>
      </c>
      <c r="P20" s="20" t="n">
        <f aca="false">IF(C20&gt;PR_BalDone,MIN(F_MortPayM,C20+C20*(F_MR/12)),0)</f>
        <v>1180</v>
      </c>
      <c r="Q20" s="20" t="n">
        <f aca="false">IF(D20&gt;PR_BalDone,MIN(F_MortPayM,D20+D20*(F_MR/12)),0)</f>
        <v>1180</v>
      </c>
      <c r="R20" s="20" t="n">
        <f aca="false">IF(E20&gt;PR_BalDone,MIN(F_MortPayM,E20+E20*(F_MR/12)),0)</f>
        <v>1180</v>
      </c>
      <c r="S20" s="20" t="n">
        <f aca="false">IF(F20&gt;PR_BalDone,MIN(F_MortPayM,F20+F20*(F_MR/12)),0)</f>
        <v>1180</v>
      </c>
      <c r="T20" s="20" t="n">
        <f aca="false">IF(G20&gt;PR_BalDone,MIN(F_MortPayM,G20+G20*(F_MR/12)),0)</f>
        <v>1180</v>
      </c>
      <c r="U20" s="20" t="n">
        <f aca="false">IF(H20&gt;PR_BalDone,MIN(F_MortPayM,H20+H20*(F_MR/12)),0)</f>
        <v>1180</v>
      </c>
      <c r="V20" s="20" t="n">
        <f aca="false">IF(I20&gt;PR_BalDone,MIN(F_MortPayM,I20+I20*(F_MR/12)),0)</f>
        <v>1180</v>
      </c>
      <c r="W20" s="20" t="n">
        <f aca="false">IF(J20&gt;PR_BalDone,MIN(F_MortPayM,J20+J20*(F_MR/12)),0)</f>
        <v>1180</v>
      </c>
      <c r="X20" s="20" t="n">
        <f aca="false">IF(K20&gt;PR_BalDone,MIN(F_MortPayM,K20+K20*(F_MR/12)),0)</f>
        <v>1180</v>
      </c>
      <c r="Y20" s="20" t="n">
        <f aca="false">IF(L20&gt;PR_BalDone,MIN(F_MortPayM,L20+L20*(F_MR/12)),0)</f>
        <v>1180</v>
      </c>
      <c r="Z20" s="20" t="n">
        <f aca="false">IF(M20&gt;PR_BalDone,MIN(F_MortPayM,M20+M20*(F_MR/12)),0)</f>
        <v>1180</v>
      </c>
      <c r="AA20" s="20" t="n">
        <f aca="false">IF(N20&gt;PR_BalDone,MIN(F_MortPayM,N20+N20*(F_MR/12)),0)</f>
        <v>1180</v>
      </c>
      <c r="AB20" s="20" t="n">
        <f aca="false">MAX(0,O20)</f>
        <v>97331.3620192935</v>
      </c>
      <c r="AC20" s="20" t="n">
        <f aca="false">SUM(P20:AA20)</f>
        <v>14160</v>
      </c>
      <c r="AD20" s="20" t="n">
        <f aca="false">'Plan cashflow'!M20</f>
        <v>0</v>
      </c>
      <c r="AE20" s="20" t="n">
        <f aca="false">IF(AD20&gt;PR_BalDone,AD20+AD20*(D_iC)-MIN(F_CardPayM,AD20+AD20*(D_iC)),AD20)</f>
        <v>0</v>
      </c>
      <c r="AF20" s="20" t="n">
        <f aca="false">IF(AE20&gt;PR_BalDone,AE20+AE20*(D_iC)-MIN(F_CardPayM,AE20+AE20*(D_iC)),AE20)</f>
        <v>0</v>
      </c>
      <c r="AG20" s="20" t="n">
        <f aca="false">IF(AF20&gt;PR_BalDone,AF20+AF20*(D_iC)-MIN(F_CardPayM,AF20+AF20*(D_iC)),AF20)</f>
        <v>0</v>
      </c>
      <c r="AH20" s="20" t="n">
        <f aca="false">IF(AG20&gt;PR_BalDone,AG20+AG20*(D_iC)-MIN(F_CardPayM,AG20+AG20*(D_iC)),AG20)</f>
        <v>0</v>
      </c>
      <c r="AI20" s="20" t="n">
        <f aca="false">IF(AH20&gt;PR_BalDone,AH20+AH20*(D_iC)-MIN(F_CardPayM,AH20+AH20*(D_iC)),AH20)</f>
        <v>0</v>
      </c>
      <c r="AJ20" s="20" t="n">
        <f aca="false">IF(AI20&gt;PR_BalDone,AI20+AI20*(D_iC)-MIN(F_CardPayM,AI20+AI20*(D_iC)),AI20)</f>
        <v>0</v>
      </c>
      <c r="AK20" s="20" t="n">
        <f aca="false">IF(AJ20&gt;PR_BalDone,AJ20+AJ20*(D_iC)-MIN(F_CardPayM,AJ20+AJ20*(D_iC)),AJ20)</f>
        <v>0</v>
      </c>
      <c r="AL20" s="20" t="n">
        <f aca="false">IF(AK20&gt;PR_BalDone,AK20+AK20*(D_iC)-MIN(F_CardPayM,AK20+AK20*(D_iC)),AK20)</f>
        <v>0</v>
      </c>
      <c r="AM20" s="20" t="n">
        <f aca="false">IF(AL20&gt;PR_BalDone,AL20+AL20*(D_iC)-MIN(F_CardPayM,AL20+AL20*(D_iC)),AL20)</f>
        <v>0</v>
      </c>
      <c r="AN20" s="20" t="n">
        <f aca="false">IF(AM20&gt;PR_BalDone,AM20+AM20*(D_iC)-MIN(F_CardPayM,AM20+AM20*(D_iC)),AM20)</f>
        <v>0</v>
      </c>
      <c r="AO20" s="20" t="n">
        <f aca="false">IF(AN20&gt;PR_BalDone,AN20+AN20*(D_iC)-MIN(F_CardPayM,AN20+AN20*(D_iC)),AN20)</f>
        <v>0</v>
      </c>
      <c r="AP20" s="20" t="n">
        <f aca="false">IF(AO20&gt;PR_BalDone,AO20+AO20*(D_iC)-MIN(F_CardPayM,AO20+AO20*(D_iC)),AO20)</f>
        <v>0</v>
      </c>
      <c r="AQ20" s="20" t="n">
        <f aca="false">IF(AD20&gt;PR_BalDone,MIN(F_CardPayM,AD20+AD20*(D_iC)),0)</f>
        <v>0</v>
      </c>
      <c r="AR20" s="20" t="n">
        <f aca="false">IF(AE20&gt;PR_BalDone,MIN(F_CardPayM,AE20+AE20*(D_iC)),0)</f>
        <v>0</v>
      </c>
      <c r="AS20" s="20" t="n">
        <f aca="false">IF(AF20&gt;PR_BalDone,MIN(F_CardPayM,AF20+AF20*(D_iC)),0)</f>
        <v>0</v>
      </c>
      <c r="AT20" s="20" t="n">
        <f aca="false">IF(AG20&gt;PR_BalDone,MIN(F_CardPayM,AG20+AG20*(D_iC)),0)</f>
        <v>0</v>
      </c>
      <c r="AU20" s="20" t="n">
        <f aca="false">IF(AH20&gt;PR_BalDone,MIN(F_CardPayM,AH20+AH20*(D_iC)),0)</f>
        <v>0</v>
      </c>
      <c r="AV20" s="20" t="n">
        <f aca="false">IF(AI20&gt;PR_BalDone,MIN(F_CardPayM,AI20+AI20*(D_iC)),0)</f>
        <v>0</v>
      </c>
      <c r="AW20" s="20" t="n">
        <f aca="false">IF(AJ20&gt;PR_BalDone,MIN(F_CardPayM,AJ20+AJ20*(D_iC)),0)</f>
        <v>0</v>
      </c>
      <c r="AX20" s="20" t="n">
        <f aca="false">IF(AK20&gt;PR_BalDone,MIN(F_CardPayM,AK20+AK20*(D_iC)),0)</f>
        <v>0</v>
      </c>
      <c r="AY20" s="20" t="n">
        <f aca="false">IF(AL20&gt;PR_BalDone,MIN(F_CardPayM,AL20+AL20*(D_iC)),0)</f>
        <v>0</v>
      </c>
      <c r="AZ20" s="20" t="n">
        <f aca="false">IF(AM20&gt;PR_BalDone,MIN(F_CardPayM,AM20+AM20*(D_iC)),0)</f>
        <v>0</v>
      </c>
      <c r="BA20" s="20" t="n">
        <f aca="false">IF(AN20&gt;PR_BalDone,MIN(F_CardPayM,AN20+AN20*(D_iC)),0)</f>
        <v>0</v>
      </c>
      <c r="BB20" s="20" t="n">
        <f aca="false">IF(AO20&gt;PR_BalDone,MIN(F_CardPayM,AO20+AO20*(D_iC)),0)</f>
        <v>0</v>
      </c>
      <c r="BC20" s="20" t="n">
        <f aca="false">MAX(0,AP20)</f>
        <v>0</v>
      </c>
      <c r="BD20" s="20" t="n">
        <f aca="false">SUM(AQ20:BB20)</f>
        <v>0</v>
      </c>
      <c r="BE20" s="20" t="n">
        <f aca="false">'Plan cashflow'!P20</f>
        <v>0</v>
      </c>
      <c r="BF20" s="20" t="n">
        <f aca="false">IF(BE20&gt;PR_BalDone,BE20+BE20*(D_iL)-MIN(F_LoanPayM,BE20+BE20*(D_iL)),BE20)</f>
        <v>0</v>
      </c>
      <c r="BG20" s="20" t="n">
        <f aca="false">IF(BF20&gt;PR_BalDone,BF20+BF20*(D_iL)-MIN(F_LoanPayM,BF20+BF20*(D_iL)),BF20)</f>
        <v>0</v>
      </c>
      <c r="BH20" s="20" t="n">
        <f aca="false">IF(BG20&gt;PR_BalDone,BG20+BG20*(D_iL)-MIN(F_LoanPayM,BG20+BG20*(D_iL)),BG20)</f>
        <v>0</v>
      </c>
      <c r="BI20" s="20" t="n">
        <f aca="false">IF(BH20&gt;PR_BalDone,BH20+BH20*(D_iL)-MIN(F_LoanPayM,BH20+BH20*(D_iL)),BH20)</f>
        <v>0</v>
      </c>
      <c r="BJ20" s="20" t="n">
        <f aca="false">IF(BI20&gt;PR_BalDone,BI20+BI20*(D_iL)-MIN(F_LoanPayM,BI20+BI20*(D_iL)),BI20)</f>
        <v>0</v>
      </c>
      <c r="BK20" s="20" t="n">
        <f aca="false">IF(BJ20&gt;PR_BalDone,BJ20+BJ20*(D_iL)-MIN(F_LoanPayM,BJ20+BJ20*(D_iL)),BJ20)</f>
        <v>0</v>
      </c>
      <c r="BL20" s="20" t="n">
        <f aca="false">IF(BK20&gt;PR_BalDone,BK20+BK20*(D_iL)-MIN(F_LoanPayM,BK20+BK20*(D_iL)),BK20)</f>
        <v>0</v>
      </c>
      <c r="BM20" s="20" t="n">
        <f aca="false">IF(BL20&gt;PR_BalDone,BL20+BL20*(D_iL)-MIN(F_LoanPayM,BL20+BL20*(D_iL)),BL20)</f>
        <v>0</v>
      </c>
      <c r="BN20" s="20" t="n">
        <f aca="false">IF(BM20&gt;PR_BalDone,BM20+BM20*(D_iL)-MIN(F_LoanPayM,BM20+BM20*(D_iL)),BM20)</f>
        <v>0</v>
      </c>
      <c r="BO20" s="20" t="n">
        <f aca="false">IF(BN20&gt;PR_BalDone,BN20+BN20*(D_iL)-MIN(F_LoanPayM,BN20+BN20*(D_iL)),BN20)</f>
        <v>0</v>
      </c>
      <c r="BP20" s="20" t="n">
        <f aca="false">IF(BO20&gt;PR_BalDone,BO20+BO20*(D_iL)-MIN(F_LoanPayM,BO20+BO20*(D_iL)),BO20)</f>
        <v>0</v>
      </c>
      <c r="BQ20" s="20" t="n">
        <f aca="false">IF(BP20&gt;PR_BalDone,BP20+BP20*(D_iL)-MIN(F_LoanPayM,BP20+BP20*(D_iL)),BP20)</f>
        <v>0</v>
      </c>
      <c r="BR20" s="20" t="n">
        <f aca="false">IF(BE20&gt;PR_BalDone,MIN(F_LoanPayM,BE20+BE20*(D_iL)),0)</f>
        <v>0</v>
      </c>
      <c r="BS20" s="20" t="n">
        <f aca="false">IF(BF20&gt;PR_BalDone,MIN(F_LoanPayM,BF20+BF20*(D_iL)),0)</f>
        <v>0</v>
      </c>
      <c r="BT20" s="20" t="n">
        <f aca="false">IF(BG20&gt;PR_BalDone,MIN(F_LoanPayM,BG20+BG20*(D_iL)),0)</f>
        <v>0</v>
      </c>
      <c r="BU20" s="20" t="n">
        <f aca="false">IF(BH20&gt;PR_BalDone,MIN(F_LoanPayM,BH20+BH20*(D_iL)),0)</f>
        <v>0</v>
      </c>
      <c r="BV20" s="20" t="n">
        <f aca="false">IF(BI20&gt;PR_BalDone,MIN(F_LoanPayM,BI20+BI20*(D_iL)),0)</f>
        <v>0</v>
      </c>
      <c r="BW20" s="20" t="n">
        <f aca="false">IF(BJ20&gt;PR_BalDone,MIN(F_LoanPayM,BJ20+BJ20*(D_iL)),0)</f>
        <v>0</v>
      </c>
      <c r="BX20" s="20" t="n">
        <f aca="false">IF(BK20&gt;PR_BalDone,MIN(F_LoanPayM,BK20+BK20*(D_iL)),0)</f>
        <v>0</v>
      </c>
      <c r="BY20" s="20" t="n">
        <f aca="false">IF(BL20&gt;PR_BalDone,MIN(F_LoanPayM,BL20+BL20*(D_iL)),0)</f>
        <v>0</v>
      </c>
      <c r="BZ20" s="20" t="n">
        <f aca="false">IF(BM20&gt;PR_BalDone,MIN(F_LoanPayM,BM20+BM20*(D_iL)),0)</f>
        <v>0</v>
      </c>
      <c r="CA20" s="20" t="n">
        <f aca="false">IF(BN20&gt;PR_BalDone,MIN(F_LoanPayM,BN20+BN20*(D_iL)),0)</f>
        <v>0</v>
      </c>
      <c r="CB20" s="20" t="n">
        <f aca="false">IF(BO20&gt;PR_BalDone,MIN(F_LoanPayM,BO20+BO20*(D_iL)),0)</f>
        <v>0</v>
      </c>
      <c r="CC20" s="20" t="n">
        <f aca="false">IF(BP20&gt;PR_BalDone,MIN(F_LoanPayM,BP20+BP20*(D_iL)),0)</f>
        <v>0</v>
      </c>
      <c r="CD20" s="20" t="n">
        <f aca="false">MAX(0,BQ20)</f>
        <v>0</v>
      </c>
      <c r="CE20" s="20" t="n">
        <f aca="false">SUM(BR20:CC20)</f>
        <v>0</v>
      </c>
      <c r="CF20" s="20" t="n">
        <f aca="false">IF(CF19&gt;1,DE19,CF19)</f>
        <v>107530.167998736</v>
      </c>
      <c r="CG20" s="20" t="n">
        <f aca="false">IF(CF20&gt;PR_BalDone,CF20+CF20*(F_MR/12)-MIN(F_MortPayM,CF20+CF20*(F_MR/12)),CF20)</f>
        <v>106695.160621065</v>
      </c>
      <c r="CH20" s="20" t="n">
        <f aca="false">IF(CG20&gt;PR_BalDone,CG20+CG20*(F_MR/12)-MIN(F_MortPayM,CG20+CG20*(F_MR/12)),CG20)</f>
        <v>105857.474261391</v>
      </c>
      <c r="CI20" s="20" t="n">
        <f aca="false">IF(CH20&gt;PR_BalDone,CH20+CH20*(F_MR/12)-MIN(F_MortPayM,CH20+CH20*(F_MR/12)),CH20)</f>
        <v>105017.100324646</v>
      </c>
      <c r="CJ20" s="20" t="n">
        <f aca="false">IF(CI20&gt;PR_BalDone,CI20+CI20*(F_MR/12)-MIN(F_MortPayM,CI20+CI20*(F_MR/12)),CI20)</f>
        <v>104174.030188188</v>
      </c>
      <c r="CK20" s="20" t="n">
        <f aca="false">IF(CJ20&gt;PR_BalDone,CJ20+CJ20*(F_MR/12)-MIN(F_MortPayM,CJ20+CJ20*(F_MR/12)),CJ20)</f>
        <v>103328.255201708</v>
      </c>
      <c r="CL20" s="20" t="n">
        <f aca="false">IF(CK20&gt;PR_BalDone,CK20+CK20*(F_MR/12)-MIN(F_MortPayM,CK20+CK20*(F_MR/12)),CK20)</f>
        <v>102479.766687147</v>
      </c>
      <c r="CM20" s="20" t="n">
        <f aca="false">IF(CL20&gt;PR_BalDone,CL20+CL20*(F_MR/12)-MIN(F_MortPayM,CL20+CL20*(F_MR/12)),CL20)</f>
        <v>101628.555938602</v>
      </c>
      <c r="CN20" s="20" t="n">
        <f aca="false">IF(CM20&gt;PR_BalDone,CM20+CM20*(F_MR/12)-MIN(F_MortPayM,CM20+CM20*(F_MR/12)),CM20)</f>
        <v>100774.614222238</v>
      </c>
      <c r="CO20" s="20" t="n">
        <f aca="false">IF(CN20&gt;PR_BalDone,CN20+CN20*(F_MR/12)-MIN(F_MortPayM,CN20+CN20*(F_MR/12)),CN20)</f>
        <v>99917.932776201</v>
      </c>
      <c r="CP20" s="20" t="n">
        <f aca="false">IF(CO20&gt;PR_BalDone,CO20+CO20*(F_MR/12)-MIN(F_MortPayM,CO20+CO20*(F_MR/12)),CO20)</f>
        <v>99058.5028105247</v>
      </c>
      <c r="CQ20" s="20" t="n">
        <f aca="false">IF(CP20&gt;PR_BalDone,CP20+CP20*(F_MR/12)-MIN(F_MortPayM,CP20+CP20*(F_MR/12)),CP20)</f>
        <v>98196.3155070417</v>
      </c>
      <c r="CR20" s="20" t="n">
        <f aca="false">IF(CQ20&gt;PR_BalDone,CQ20+CQ20*(F_MR/12)-MIN(F_MortPayM,CQ20+CQ20*(F_MR/12)),CQ20)</f>
        <v>97331.3620192935</v>
      </c>
      <c r="CS20" s="20" t="n">
        <f aca="false">IF(CF20&gt;PR_BalDone,MIN(F_MortPayM,CF20+CF20*(F_MR/12)),0)</f>
        <v>1180</v>
      </c>
      <c r="CT20" s="20" t="n">
        <f aca="false">IF(CG20&gt;PR_BalDone,MIN(F_MortPayM,CG20+CG20*(F_MR/12)),0)</f>
        <v>1180</v>
      </c>
      <c r="CU20" s="20" t="n">
        <f aca="false">IF(CH20&gt;PR_BalDone,MIN(F_MortPayM,CH20+CH20*(F_MR/12)),0)</f>
        <v>1180</v>
      </c>
      <c r="CV20" s="20" t="n">
        <f aca="false">IF(CI20&gt;PR_BalDone,MIN(F_MortPayM,CI20+CI20*(F_MR/12)),0)</f>
        <v>1180</v>
      </c>
      <c r="CW20" s="20" t="n">
        <f aca="false">IF(CJ20&gt;PR_BalDone,MIN(F_MortPayM,CJ20+CJ20*(F_MR/12)),0)</f>
        <v>1180</v>
      </c>
      <c r="CX20" s="20" t="n">
        <f aca="false">IF(CK20&gt;PR_BalDone,MIN(F_MortPayM,CK20+CK20*(F_MR/12)),0)</f>
        <v>1180</v>
      </c>
      <c r="CY20" s="20" t="n">
        <f aca="false">IF(CL20&gt;PR_BalDone,MIN(F_MortPayM,CL20+CL20*(F_MR/12)),0)</f>
        <v>1180</v>
      </c>
      <c r="CZ20" s="20" t="n">
        <f aca="false">IF(CM20&gt;PR_BalDone,MIN(F_MortPayM,CM20+CM20*(F_MR/12)),0)</f>
        <v>1180</v>
      </c>
      <c r="DA20" s="20" t="n">
        <f aca="false">IF(CN20&gt;PR_BalDone,MIN(F_MortPayM,CN20+CN20*(F_MR/12)),0)</f>
        <v>1180</v>
      </c>
      <c r="DB20" s="20" t="n">
        <f aca="false">IF(CO20&gt;PR_BalDone,MIN(F_MortPayM,CO20+CO20*(F_MR/12)),0)</f>
        <v>1180</v>
      </c>
      <c r="DC20" s="20" t="n">
        <f aca="false">IF(CP20&gt;PR_BalDone,MIN(F_MortPayM,CP20+CP20*(F_MR/12)),0)</f>
        <v>1180</v>
      </c>
      <c r="DD20" s="20" t="n">
        <f aca="false">IF(CQ20&gt;PR_BalDone,MIN(F_MortPayM,CQ20+CQ20*(F_MR/12)),0)</f>
        <v>1180</v>
      </c>
      <c r="DE20" s="20" t="n">
        <f aca="false">MAX(0,CR20)</f>
        <v>97331.3620192935</v>
      </c>
      <c r="DF20" s="20" t="n">
        <f aca="false">SUM(CS20:DD20)</f>
        <v>14160</v>
      </c>
      <c r="DG20" s="20" t="n">
        <f aca="false">MAX(0,CF20)</f>
        <v>107530.167998736</v>
      </c>
    </row>
    <row r="21" customFormat="false" ht="15" hidden="false" customHeight="true" outlineLevel="0" collapsed="false">
      <c r="B21" s="20" t="n">
        <v>13</v>
      </c>
      <c r="C21" s="20" t="n">
        <f aca="false">'Plan cashflow'!J21</f>
        <v>97331.3620192935</v>
      </c>
      <c r="D21" s="20" t="n">
        <f aca="false">IF(C21&gt;PR_BalDone,C21+C21*(F_MR/12)-MIN(F_MortPayM,C21+C21*(F_MR/12)),C21)</f>
        <v>96463.6334724387</v>
      </c>
      <c r="E21" s="20" t="n">
        <f aca="false">IF(D21&gt;PR_BalDone,D21+D21*(F_MR/12)-MIN(F_MortPayM,D21+D21*(F_MR/12)),D21)</f>
        <v>95593.1209631628</v>
      </c>
      <c r="F21" s="20" t="n">
        <f aca="false">IF(E21&gt;PR_BalDone,E21+E21*(F_MR/12)-MIN(F_MortPayM,E21+E21*(F_MR/12)),E21)</f>
        <v>94719.8155595863</v>
      </c>
      <c r="G21" s="20" t="n">
        <f aca="false">IF(F21&gt;PR_BalDone,F21+F21*(F_MR/12)-MIN(F_MortPayM,F21+F21*(F_MR/12)),F21)</f>
        <v>93843.7083011733</v>
      </c>
      <c r="H21" s="20" t="n">
        <f aca="false">IF(G21&gt;PR_BalDone,G21+G21*(F_MR/12)-MIN(F_MortPayM,G21+G21*(F_MR/12)),G21)</f>
        <v>92964.7901986396</v>
      </c>
      <c r="I21" s="20" t="n">
        <f aca="false">IF(H21&gt;PR_BalDone,H21+H21*(F_MR/12)-MIN(F_MortPayM,H21+H21*(F_MR/12)),H21)</f>
        <v>92083.0522338602</v>
      </c>
      <c r="J21" s="20" t="n">
        <f aca="false">IF(I21&gt;PR_BalDone,I21+I21*(F_MR/12)-MIN(F_MortPayM,I21+I21*(F_MR/12)),I21)</f>
        <v>91198.4853597772</v>
      </c>
      <c r="K21" s="20" t="n">
        <f aca="false">IF(J21&gt;PR_BalDone,J21+J21*(F_MR/12)-MIN(F_MortPayM,J21+J21*(F_MR/12)),J21)</f>
        <v>90311.0805003065</v>
      </c>
      <c r="L21" s="20" t="n">
        <f aca="false">IF(K21&gt;PR_BalDone,K21+K21*(F_MR/12)-MIN(F_MortPayM,K21+K21*(F_MR/12)),K21)</f>
        <v>89420.8285502449</v>
      </c>
      <c r="M21" s="20" t="n">
        <f aca="false">IF(L21&gt;PR_BalDone,L21+L21*(F_MR/12)-MIN(F_MortPayM,L21+L21*(F_MR/12)),L21)</f>
        <v>88527.720375177</v>
      </c>
      <c r="N21" s="20" t="n">
        <f aca="false">IF(M21&gt;PR_BalDone,M21+M21*(F_MR/12)-MIN(F_MortPayM,M21+M21*(F_MR/12)),M21)</f>
        <v>87631.7468113807</v>
      </c>
      <c r="O21" s="20" t="n">
        <f aca="false">IF(N21&gt;PR_BalDone,N21+N21*(F_MR/12)-MIN(F_MortPayM,N21+N21*(F_MR/12)),N21)</f>
        <v>86732.8986657339</v>
      </c>
      <c r="P21" s="20" t="n">
        <f aca="false">IF(C21&gt;PR_BalDone,MIN(F_MortPayM,C21+C21*(F_MR/12)),0)</f>
        <v>1180</v>
      </c>
      <c r="Q21" s="20" t="n">
        <f aca="false">IF(D21&gt;PR_BalDone,MIN(F_MortPayM,D21+D21*(F_MR/12)),0)</f>
        <v>1180</v>
      </c>
      <c r="R21" s="20" t="n">
        <f aca="false">IF(E21&gt;PR_BalDone,MIN(F_MortPayM,E21+E21*(F_MR/12)),0)</f>
        <v>1180</v>
      </c>
      <c r="S21" s="20" t="n">
        <f aca="false">IF(F21&gt;PR_BalDone,MIN(F_MortPayM,F21+F21*(F_MR/12)),0)</f>
        <v>1180</v>
      </c>
      <c r="T21" s="20" t="n">
        <f aca="false">IF(G21&gt;PR_BalDone,MIN(F_MortPayM,G21+G21*(F_MR/12)),0)</f>
        <v>1180</v>
      </c>
      <c r="U21" s="20" t="n">
        <f aca="false">IF(H21&gt;PR_BalDone,MIN(F_MortPayM,H21+H21*(F_MR/12)),0)</f>
        <v>1180</v>
      </c>
      <c r="V21" s="20" t="n">
        <f aca="false">IF(I21&gt;PR_BalDone,MIN(F_MortPayM,I21+I21*(F_MR/12)),0)</f>
        <v>1180</v>
      </c>
      <c r="W21" s="20" t="n">
        <f aca="false">IF(J21&gt;PR_BalDone,MIN(F_MortPayM,J21+J21*(F_MR/12)),0)</f>
        <v>1180</v>
      </c>
      <c r="X21" s="20" t="n">
        <f aca="false">IF(K21&gt;PR_BalDone,MIN(F_MortPayM,K21+K21*(F_MR/12)),0)</f>
        <v>1180</v>
      </c>
      <c r="Y21" s="20" t="n">
        <f aca="false">IF(L21&gt;PR_BalDone,MIN(F_MortPayM,L21+L21*(F_MR/12)),0)</f>
        <v>1180</v>
      </c>
      <c r="Z21" s="20" t="n">
        <f aca="false">IF(M21&gt;PR_BalDone,MIN(F_MortPayM,M21+M21*(F_MR/12)),0)</f>
        <v>1180</v>
      </c>
      <c r="AA21" s="20" t="n">
        <f aca="false">IF(N21&gt;PR_BalDone,MIN(F_MortPayM,N21+N21*(F_MR/12)),0)</f>
        <v>1180</v>
      </c>
      <c r="AB21" s="20" t="n">
        <f aca="false">MAX(0,O21)</f>
        <v>86732.8986657339</v>
      </c>
      <c r="AC21" s="20" t="n">
        <f aca="false">SUM(P21:AA21)</f>
        <v>14160</v>
      </c>
      <c r="AD21" s="20" t="n">
        <f aca="false">'Plan cashflow'!M21</f>
        <v>0</v>
      </c>
      <c r="AE21" s="20" t="n">
        <f aca="false">IF(AD21&gt;PR_BalDone,AD21+AD21*(D_iC)-MIN(F_CardPayM,AD21+AD21*(D_iC)),AD21)</f>
        <v>0</v>
      </c>
      <c r="AF21" s="20" t="n">
        <f aca="false">IF(AE21&gt;PR_BalDone,AE21+AE21*(D_iC)-MIN(F_CardPayM,AE21+AE21*(D_iC)),AE21)</f>
        <v>0</v>
      </c>
      <c r="AG21" s="20" t="n">
        <f aca="false">IF(AF21&gt;PR_BalDone,AF21+AF21*(D_iC)-MIN(F_CardPayM,AF21+AF21*(D_iC)),AF21)</f>
        <v>0</v>
      </c>
      <c r="AH21" s="20" t="n">
        <f aca="false">IF(AG21&gt;PR_BalDone,AG21+AG21*(D_iC)-MIN(F_CardPayM,AG21+AG21*(D_iC)),AG21)</f>
        <v>0</v>
      </c>
      <c r="AI21" s="20" t="n">
        <f aca="false">IF(AH21&gt;PR_BalDone,AH21+AH21*(D_iC)-MIN(F_CardPayM,AH21+AH21*(D_iC)),AH21)</f>
        <v>0</v>
      </c>
      <c r="AJ21" s="20" t="n">
        <f aca="false">IF(AI21&gt;PR_BalDone,AI21+AI21*(D_iC)-MIN(F_CardPayM,AI21+AI21*(D_iC)),AI21)</f>
        <v>0</v>
      </c>
      <c r="AK21" s="20" t="n">
        <f aca="false">IF(AJ21&gt;PR_BalDone,AJ21+AJ21*(D_iC)-MIN(F_CardPayM,AJ21+AJ21*(D_iC)),AJ21)</f>
        <v>0</v>
      </c>
      <c r="AL21" s="20" t="n">
        <f aca="false">IF(AK21&gt;PR_BalDone,AK21+AK21*(D_iC)-MIN(F_CardPayM,AK21+AK21*(D_iC)),AK21)</f>
        <v>0</v>
      </c>
      <c r="AM21" s="20" t="n">
        <f aca="false">IF(AL21&gt;PR_BalDone,AL21+AL21*(D_iC)-MIN(F_CardPayM,AL21+AL21*(D_iC)),AL21)</f>
        <v>0</v>
      </c>
      <c r="AN21" s="20" t="n">
        <f aca="false">IF(AM21&gt;PR_BalDone,AM21+AM21*(D_iC)-MIN(F_CardPayM,AM21+AM21*(D_iC)),AM21)</f>
        <v>0</v>
      </c>
      <c r="AO21" s="20" t="n">
        <f aca="false">IF(AN21&gt;PR_BalDone,AN21+AN21*(D_iC)-MIN(F_CardPayM,AN21+AN21*(D_iC)),AN21)</f>
        <v>0</v>
      </c>
      <c r="AP21" s="20" t="n">
        <f aca="false">IF(AO21&gt;PR_BalDone,AO21+AO21*(D_iC)-MIN(F_CardPayM,AO21+AO21*(D_iC)),AO21)</f>
        <v>0</v>
      </c>
      <c r="AQ21" s="20" t="n">
        <f aca="false">IF(AD21&gt;PR_BalDone,MIN(F_CardPayM,AD21+AD21*(D_iC)),0)</f>
        <v>0</v>
      </c>
      <c r="AR21" s="20" t="n">
        <f aca="false">IF(AE21&gt;PR_BalDone,MIN(F_CardPayM,AE21+AE21*(D_iC)),0)</f>
        <v>0</v>
      </c>
      <c r="AS21" s="20" t="n">
        <f aca="false">IF(AF21&gt;PR_BalDone,MIN(F_CardPayM,AF21+AF21*(D_iC)),0)</f>
        <v>0</v>
      </c>
      <c r="AT21" s="20" t="n">
        <f aca="false">IF(AG21&gt;PR_BalDone,MIN(F_CardPayM,AG21+AG21*(D_iC)),0)</f>
        <v>0</v>
      </c>
      <c r="AU21" s="20" t="n">
        <f aca="false">IF(AH21&gt;PR_BalDone,MIN(F_CardPayM,AH21+AH21*(D_iC)),0)</f>
        <v>0</v>
      </c>
      <c r="AV21" s="20" t="n">
        <f aca="false">IF(AI21&gt;PR_BalDone,MIN(F_CardPayM,AI21+AI21*(D_iC)),0)</f>
        <v>0</v>
      </c>
      <c r="AW21" s="20" t="n">
        <f aca="false">IF(AJ21&gt;PR_BalDone,MIN(F_CardPayM,AJ21+AJ21*(D_iC)),0)</f>
        <v>0</v>
      </c>
      <c r="AX21" s="20" t="n">
        <f aca="false">IF(AK21&gt;PR_BalDone,MIN(F_CardPayM,AK21+AK21*(D_iC)),0)</f>
        <v>0</v>
      </c>
      <c r="AY21" s="20" t="n">
        <f aca="false">IF(AL21&gt;PR_BalDone,MIN(F_CardPayM,AL21+AL21*(D_iC)),0)</f>
        <v>0</v>
      </c>
      <c r="AZ21" s="20" t="n">
        <f aca="false">IF(AM21&gt;PR_BalDone,MIN(F_CardPayM,AM21+AM21*(D_iC)),0)</f>
        <v>0</v>
      </c>
      <c r="BA21" s="20" t="n">
        <f aca="false">IF(AN21&gt;PR_BalDone,MIN(F_CardPayM,AN21+AN21*(D_iC)),0)</f>
        <v>0</v>
      </c>
      <c r="BB21" s="20" t="n">
        <f aca="false">IF(AO21&gt;PR_BalDone,MIN(F_CardPayM,AO21+AO21*(D_iC)),0)</f>
        <v>0</v>
      </c>
      <c r="BC21" s="20" t="n">
        <f aca="false">MAX(0,AP21)</f>
        <v>0</v>
      </c>
      <c r="BD21" s="20" t="n">
        <f aca="false">SUM(AQ21:BB21)</f>
        <v>0</v>
      </c>
      <c r="BE21" s="20" t="n">
        <f aca="false">'Plan cashflow'!P21</f>
        <v>0</v>
      </c>
      <c r="BF21" s="20" t="n">
        <f aca="false">IF(BE21&gt;PR_BalDone,BE21+BE21*(D_iL)-MIN(F_LoanPayM,BE21+BE21*(D_iL)),BE21)</f>
        <v>0</v>
      </c>
      <c r="BG21" s="20" t="n">
        <f aca="false">IF(BF21&gt;PR_BalDone,BF21+BF21*(D_iL)-MIN(F_LoanPayM,BF21+BF21*(D_iL)),BF21)</f>
        <v>0</v>
      </c>
      <c r="BH21" s="20" t="n">
        <f aca="false">IF(BG21&gt;PR_BalDone,BG21+BG21*(D_iL)-MIN(F_LoanPayM,BG21+BG21*(D_iL)),BG21)</f>
        <v>0</v>
      </c>
      <c r="BI21" s="20" t="n">
        <f aca="false">IF(BH21&gt;PR_BalDone,BH21+BH21*(D_iL)-MIN(F_LoanPayM,BH21+BH21*(D_iL)),BH21)</f>
        <v>0</v>
      </c>
      <c r="BJ21" s="20" t="n">
        <f aca="false">IF(BI21&gt;PR_BalDone,BI21+BI21*(D_iL)-MIN(F_LoanPayM,BI21+BI21*(D_iL)),BI21)</f>
        <v>0</v>
      </c>
      <c r="BK21" s="20" t="n">
        <f aca="false">IF(BJ21&gt;PR_BalDone,BJ21+BJ21*(D_iL)-MIN(F_LoanPayM,BJ21+BJ21*(D_iL)),BJ21)</f>
        <v>0</v>
      </c>
      <c r="BL21" s="20" t="n">
        <f aca="false">IF(BK21&gt;PR_BalDone,BK21+BK21*(D_iL)-MIN(F_LoanPayM,BK21+BK21*(D_iL)),BK21)</f>
        <v>0</v>
      </c>
      <c r="BM21" s="20" t="n">
        <f aca="false">IF(BL21&gt;PR_BalDone,BL21+BL21*(D_iL)-MIN(F_LoanPayM,BL21+BL21*(D_iL)),BL21)</f>
        <v>0</v>
      </c>
      <c r="BN21" s="20" t="n">
        <f aca="false">IF(BM21&gt;PR_BalDone,BM21+BM21*(D_iL)-MIN(F_LoanPayM,BM21+BM21*(D_iL)),BM21)</f>
        <v>0</v>
      </c>
      <c r="BO21" s="20" t="n">
        <f aca="false">IF(BN21&gt;PR_BalDone,BN21+BN21*(D_iL)-MIN(F_LoanPayM,BN21+BN21*(D_iL)),BN21)</f>
        <v>0</v>
      </c>
      <c r="BP21" s="20" t="n">
        <f aca="false">IF(BO21&gt;PR_BalDone,BO21+BO21*(D_iL)-MIN(F_LoanPayM,BO21+BO21*(D_iL)),BO21)</f>
        <v>0</v>
      </c>
      <c r="BQ21" s="20" t="n">
        <f aca="false">IF(BP21&gt;PR_BalDone,BP21+BP21*(D_iL)-MIN(F_LoanPayM,BP21+BP21*(D_iL)),BP21)</f>
        <v>0</v>
      </c>
      <c r="BR21" s="20" t="n">
        <f aca="false">IF(BE21&gt;PR_BalDone,MIN(F_LoanPayM,BE21+BE21*(D_iL)),0)</f>
        <v>0</v>
      </c>
      <c r="BS21" s="20" t="n">
        <f aca="false">IF(BF21&gt;PR_BalDone,MIN(F_LoanPayM,BF21+BF21*(D_iL)),0)</f>
        <v>0</v>
      </c>
      <c r="BT21" s="20" t="n">
        <f aca="false">IF(BG21&gt;PR_BalDone,MIN(F_LoanPayM,BG21+BG21*(D_iL)),0)</f>
        <v>0</v>
      </c>
      <c r="BU21" s="20" t="n">
        <f aca="false">IF(BH21&gt;PR_BalDone,MIN(F_LoanPayM,BH21+BH21*(D_iL)),0)</f>
        <v>0</v>
      </c>
      <c r="BV21" s="20" t="n">
        <f aca="false">IF(BI21&gt;PR_BalDone,MIN(F_LoanPayM,BI21+BI21*(D_iL)),0)</f>
        <v>0</v>
      </c>
      <c r="BW21" s="20" t="n">
        <f aca="false">IF(BJ21&gt;PR_BalDone,MIN(F_LoanPayM,BJ21+BJ21*(D_iL)),0)</f>
        <v>0</v>
      </c>
      <c r="BX21" s="20" t="n">
        <f aca="false">IF(BK21&gt;PR_BalDone,MIN(F_LoanPayM,BK21+BK21*(D_iL)),0)</f>
        <v>0</v>
      </c>
      <c r="BY21" s="20" t="n">
        <f aca="false">IF(BL21&gt;PR_BalDone,MIN(F_LoanPayM,BL21+BL21*(D_iL)),0)</f>
        <v>0</v>
      </c>
      <c r="BZ21" s="20" t="n">
        <f aca="false">IF(BM21&gt;PR_BalDone,MIN(F_LoanPayM,BM21+BM21*(D_iL)),0)</f>
        <v>0</v>
      </c>
      <c r="CA21" s="20" t="n">
        <f aca="false">IF(BN21&gt;PR_BalDone,MIN(F_LoanPayM,BN21+BN21*(D_iL)),0)</f>
        <v>0</v>
      </c>
      <c r="CB21" s="20" t="n">
        <f aca="false">IF(BO21&gt;PR_BalDone,MIN(F_LoanPayM,BO21+BO21*(D_iL)),0)</f>
        <v>0</v>
      </c>
      <c r="CC21" s="20" t="n">
        <f aca="false">IF(BP21&gt;PR_BalDone,MIN(F_LoanPayM,BP21+BP21*(D_iL)),0)</f>
        <v>0</v>
      </c>
      <c r="CD21" s="20" t="n">
        <f aca="false">MAX(0,BQ21)</f>
        <v>0</v>
      </c>
      <c r="CE21" s="20" t="n">
        <f aca="false">SUM(BR21:CC21)</f>
        <v>0</v>
      </c>
      <c r="CF21" s="20" t="n">
        <f aca="false">IF(CF20&gt;1,DE20,CF20)</f>
        <v>97331.3620192935</v>
      </c>
      <c r="CG21" s="20" t="n">
        <f aca="false">IF(CF21&gt;PR_BalDone,CF21+CF21*(F_MR/12)-MIN(F_MortPayM,CF21+CF21*(F_MR/12)),CF21)</f>
        <v>96463.6334724387</v>
      </c>
      <c r="CH21" s="20" t="n">
        <f aca="false">IF(CG21&gt;PR_BalDone,CG21+CG21*(F_MR/12)-MIN(F_MortPayM,CG21+CG21*(F_MR/12)),CG21)</f>
        <v>95593.1209631628</v>
      </c>
      <c r="CI21" s="20" t="n">
        <f aca="false">IF(CH21&gt;PR_BalDone,CH21+CH21*(F_MR/12)-MIN(F_MortPayM,CH21+CH21*(F_MR/12)),CH21)</f>
        <v>94719.8155595863</v>
      </c>
      <c r="CJ21" s="20" t="n">
        <f aca="false">IF(CI21&gt;PR_BalDone,CI21+CI21*(F_MR/12)-MIN(F_MortPayM,CI21+CI21*(F_MR/12)),CI21)</f>
        <v>93843.7083011733</v>
      </c>
      <c r="CK21" s="20" t="n">
        <f aca="false">IF(CJ21&gt;PR_BalDone,CJ21+CJ21*(F_MR/12)-MIN(F_MortPayM,CJ21+CJ21*(F_MR/12)),CJ21)</f>
        <v>92964.7901986396</v>
      </c>
      <c r="CL21" s="20" t="n">
        <f aca="false">IF(CK21&gt;PR_BalDone,CK21+CK21*(F_MR/12)-MIN(F_MortPayM,CK21+CK21*(F_MR/12)),CK21)</f>
        <v>92083.0522338602</v>
      </c>
      <c r="CM21" s="20" t="n">
        <f aca="false">IF(CL21&gt;PR_BalDone,CL21+CL21*(F_MR/12)-MIN(F_MortPayM,CL21+CL21*(F_MR/12)),CL21)</f>
        <v>91198.4853597772</v>
      </c>
      <c r="CN21" s="20" t="n">
        <f aca="false">IF(CM21&gt;PR_BalDone,CM21+CM21*(F_MR/12)-MIN(F_MortPayM,CM21+CM21*(F_MR/12)),CM21)</f>
        <v>90311.0805003065</v>
      </c>
      <c r="CO21" s="20" t="n">
        <f aca="false">IF(CN21&gt;PR_BalDone,CN21+CN21*(F_MR/12)-MIN(F_MortPayM,CN21+CN21*(F_MR/12)),CN21)</f>
        <v>89420.8285502449</v>
      </c>
      <c r="CP21" s="20" t="n">
        <f aca="false">IF(CO21&gt;PR_BalDone,CO21+CO21*(F_MR/12)-MIN(F_MortPayM,CO21+CO21*(F_MR/12)),CO21)</f>
        <v>88527.720375177</v>
      </c>
      <c r="CQ21" s="20" t="n">
        <f aca="false">IF(CP21&gt;PR_BalDone,CP21+CP21*(F_MR/12)-MIN(F_MortPayM,CP21+CP21*(F_MR/12)),CP21)</f>
        <v>87631.7468113807</v>
      </c>
      <c r="CR21" s="20" t="n">
        <f aca="false">IF(CQ21&gt;PR_BalDone,CQ21+CQ21*(F_MR/12)-MIN(F_MortPayM,CQ21+CQ21*(F_MR/12)),CQ21)</f>
        <v>86732.8986657339</v>
      </c>
      <c r="CS21" s="20" t="n">
        <f aca="false">IF(CF21&gt;PR_BalDone,MIN(F_MortPayM,CF21+CF21*(F_MR/12)),0)</f>
        <v>1180</v>
      </c>
      <c r="CT21" s="20" t="n">
        <f aca="false">IF(CG21&gt;PR_BalDone,MIN(F_MortPayM,CG21+CG21*(F_MR/12)),0)</f>
        <v>1180</v>
      </c>
      <c r="CU21" s="20" t="n">
        <f aca="false">IF(CH21&gt;PR_BalDone,MIN(F_MortPayM,CH21+CH21*(F_MR/12)),0)</f>
        <v>1180</v>
      </c>
      <c r="CV21" s="20" t="n">
        <f aca="false">IF(CI21&gt;PR_BalDone,MIN(F_MortPayM,CI21+CI21*(F_MR/12)),0)</f>
        <v>1180</v>
      </c>
      <c r="CW21" s="20" t="n">
        <f aca="false">IF(CJ21&gt;PR_BalDone,MIN(F_MortPayM,CJ21+CJ21*(F_MR/12)),0)</f>
        <v>1180</v>
      </c>
      <c r="CX21" s="20" t="n">
        <f aca="false">IF(CK21&gt;PR_BalDone,MIN(F_MortPayM,CK21+CK21*(F_MR/12)),0)</f>
        <v>1180</v>
      </c>
      <c r="CY21" s="20" t="n">
        <f aca="false">IF(CL21&gt;PR_BalDone,MIN(F_MortPayM,CL21+CL21*(F_MR/12)),0)</f>
        <v>1180</v>
      </c>
      <c r="CZ21" s="20" t="n">
        <f aca="false">IF(CM21&gt;PR_BalDone,MIN(F_MortPayM,CM21+CM21*(F_MR/12)),0)</f>
        <v>1180</v>
      </c>
      <c r="DA21" s="20" t="n">
        <f aca="false">IF(CN21&gt;PR_BalDone,MIN(F_MortPayM,CN21+CN21*(F_MR/12)),0)</f>
        <v>1180</v>
      </c>
      <c r="DB21" s="20" t="n">
        <f aca="false">IF(CO21&gt;PR_BalDone,MIN(F_MortPayM,CO21+CO21*(F_MR/12)),0)</f>
        <v>1180</v>
      </c>
      <c r="DC21" s="20" t="n">
        <f aca="false">IF(CP21&gt;PR_BalDone,MIN(F_MortPayM,CP21+CP21*(F_MR/12)),0)</f>
        <v>1180</v>
      </c>
      <c r="DD21" s="20" t="n">
        <f aca="false">IF(CQ21&gt;PR_BalDone,MIN(F_MortPayM,CQ21+CQ21*(F_MR/12)),0)</f>
        <v>1180</v>
      </c>
      <c r="DE21" s="20" t="n">
        <f aca="false">MAX(0,CR21)</f>
        <v>86732.8986657339</v>
      </c>
      <c r="DF21" s="20" t="n">
        <f aca="false">SUM(CS21:DD21)</f>
        <v>14160</v>
      </c>
      <c r="DG21" s="20" t="n">
        <f aca="false">MAX(0,CF21)</f>
        <v>97331.3620192935</v>
      </c>
    </row>
    <row r="22" customFormat="false" ht="15" hidden="false" customHeight="true" outlineLevel="0" collapsed="false">
      <c r="B22" s="20" t="n">
        <v>14</v>
      </c>
      <c r="C22" s="20" t="n">
        <f aca="false">'Plan cashflow'!J22</f>
        <v>86732.8986657339</v>
      </c>
      <c r="D22" s="20" t="n">
        <f aca="false">IF(C22&gt;PR_BalDone,C22+C22*(F_MR/12)-MIN(F_MortPayM,C22+C22*(F_MR/12)),C22)</f>
        <v>85831.1667156198</v>
      </c>
      <c r="E22" s="20" t="n">
        <f aca="false">IF(D22&gt;PR_BalDone,D22+D22*(F_MR/12)-MIN(F_MortPayM,D22+D22*(F_MR/12)),D22)</f>
        <v>84926.5417088324</v>
      </c>
      <c r="F22" s="20" t="n">
        <f aca="false">IF(E22&gt;PR_BalDone,E22+E22*(F_MR/12)-MIN(F_MortPayM,E22+E22*(F_MR/12)),E22)</f>
        <v>84019.0143634816</v>
      </c>
      <c r="G22" s="20" t="n">
        <f aca="false">IF(F22&gt;PR_BalDone,F22+F22*(F_MR/12)-MIN(F_MortPayM,F22+F22*(F_MR/12)),F22)</f>
        <v>83108.5753678977</v>
      </c>
      <c r="H22" s="20" t="n">
        <f aca="false">IF(G22&gt;PR_BalDone,G22+G22*(F_MR/12)-MIN(F_MortPayM,G22+G22*(F_MR/12)),G22)</f>
        <v>82195.2153805364</v>
      </c>
      <c r="I22" s="20" t="n">
        <f aca="false">IF(H22&gt;PR_BalDone,H22+H22*(F_MR/12)-MIN(F_MortPayM,H22+H22*(F_MR/12)),H22)</f>
        <v>81278.9250298823</v>
      </c>
      <c r="J22" s="20" t="n">
        <f aca="false">IF(I22&gt;PR_BalDone,I22+I22*(F_MR/12)-MIN(F_MortPayM,I22+I22*(F_MR/12)),I22)</f>
        <v>80359.6949143532</v>
      </c>
      <c r="K22" s="20" t="n">
        <f aca="false">IF(J22&gt;PR_BalDone,J22+J22*(F_MR/12)-MIN(F_MortPayM,J22+J22*(F_MR/12)),J22)</f>
        <v>79437.5156022034</v>
      </c>
      <c r="L22" s="20" t="n">
        <f aca="false">IF(K22&gt;PR_BalDone,K22+K22*(F_MR/12)-MIN(F_MortPayM,K22+K22*(F_MR/12)),K22)</f>
        <v>78512.3776314271</v>
      </c>
      <c r="M22" s="20" t="n">
        <f aca="false">IF(L22&gt;PR_BalDone,L22+L22*(F_MR/12)-MIN(F_MortPayM,L22+L22*(F_MR/12)),L22)</f>
        <v>77584.2715096613</v>
      </c>
      <c r="N22" s="20" t="n">
        <f aca="false">IF(M22&gt;PR_BalDone,M22+M22*(F_MR/12)-MIN(F_MortPayM,M22+M22*(F_MR/12)),M22)</f>
        <v>76653.1877140881</v>
      </c>
      <c r="O22" s="20" t="n">
        <f aca="false">IF(N22&gt;PR_BalDone,N22+N22*(F_MR/12)-MIN(F_MortPayM,N22+N22*(F_MR/12)),N22)</f>
        <v>75719.1166913375</v>
      </c>
      <c r="P22" s="20" t="n">
        <f aca="false">IF(C22&gt;PR_BalDone,MIN(F_MortPayM,C22+C22*(F_MR/12)),0)</f>
        <v>1180</v>
      </c>
      <c r="Q22" s="20" t="n">
        <f aca="false">IF(D22&gt;PR_BalDone,MIN(F_MortPayM,D22+D22*(F_MR/12)),0)</f>
        <v>1180</v>
      </c>
      <c r="R22" s="20" t="n">
        <f aca="false">IF(E22&gt;PR_BalDone,MIN(F_MortPayM,E22+E22*(F_MR/12)),0)</f>
        <v>1180</v>
      </c>
      <c r="S22" s="20" t="n">
        <f aca="false">IF(F22&gt;PR_BalDone,MIN(F_MortPayM,F22+F22*(F_MR/12)),0)</f>
        <v>1180</v>
      </c>
      <c r="T22" s="20" t="n">
        <f aca="false">IF(G22&gt;PR_BalDone,MIN(F_MortPayM,G22+G22*(F_MR/12)),0)</f>
        <v>1180</v>
      </c>
      <c r="U22" s="20" t="n">
        <f aca="false">IF(H22&gt;PR_BalDone,MIN(F_MortPayM,H22+H22*(F_MR/12)),0)</f>
        <v>1180</v>
      </c>
      <c r="V22" s="20" t="n">
        <f aca="false">IF(I22&gt;PR_BalDone,MIN(F_MortPayM,I22+I22*(F_MR/12)),0)</f>
        <v>1180</v>
      </c>
      <c r="W22" s="20" t="n">
        <f aca="false">IF(J22&gt;PR_BalDone,MIN(F_MortPayM,J22+J22*(F_MR/12)),0)</f>
        <v>1180</v>
      </c>
      <c r="X22" s="20" t="n">
        <f aca="false">IF(K22&gt;PR_BalDone,MIN(F_MortPayM,K22+K22*(F_MR/12)),0)</f>
        <v>1180</v>
      </c>
      <c r="Y22" s="20" t="n">
        <f aca="false">IF(L22&gt;PR_BalDone,MIN(F_MortPayM,L22+L22*(F_MR/12)),0)</f>
        <v>1180</v>
      </c>
      <c r="Z22" s="20" t="n">
        <f aca="false">IF(M22&gt;PR_BalDone,MIN(F_MortPayM,M22+M22*(F_MR/12)),0)</f>
        <v>1180</v>
      </c>
      <c r="AA22" s="20" t="n">
        <f aca="false">IF(N22&gt;PR_BalDone,MIN(F_MortPayM,N22+N22*(F_MR/12)),0)</f>
        <v>1180</v>
      </c>
      <c r="AB22" s="20" t="n">
        <f aca="false">MAX(0,O22)</f>
        <v>75719.1166913375</v>
      </c>
      <c r="AC22" s="20" t="n">
        <f aca="false">SUM(P22:AA22)</f>
        <v>14160</v>
      </c>
      <c r="AD22" s="20" t="n">
        <f aca="false">'Plan cashflow'!M22</f>
        <v>0</v>
      </c>
      <c r="AE22" s="20" t="n">
        <f aca="false">IF(AD22&gt;PR_BalDone,AD22+AD22*(D_iC)-MIN(F_CardPayM,AD22+AD22*(D_iC)),AD22)</f>
        <v>0</v>
      </c>
      <c r="AF22" s="20" t="n">
        <f aca="false">IF(AE22&gt;PR_BalDone,AE22+AE22*(D_iC)-MIN(F_CardPayM,AE22+AE22*(D_iC)),AE22)</f>
        <v>0</v>
      </c>
      <c r="AG22" s="20" t="n">
        <f aca="false">IF(AF22&gt;PR_BalDone,AF22+AF22*(D_iC)-MIN(F_CardPayM,AF22+AF22*(D_iC)),AF22)</f>
        <v>0</v>
      </c>
      <c r="AH22" s="20" t="n">
        <f aca="false">IF(AG22&gt;PR_BalDone,AG22+AG22*(D_iC)-MIN(F_CardPayM,AG22+AG22*(D_iC)),AG22)</f>
        <v>0</v>
      </c>
      <c r="AI22" s="20" t="n">
        <f aca="false">IF(AH22&gt;PR_BalDone,AH22+AH22*(D_iC)-MIN(F_CardPayM,AH22+AH22*(D_iC)),AH22)</f>
        <v>0</v>
      </c>
      <c r="AJ22" s="20" t="n">
        <f aca="false">IF(AI22&gt;PR_BalDone,AI22+AI22*(D_iC)-MIN(F_CardPayM,AI22+AI22*(D_iC)),AI22)</f>
        <v>0</v>
      </c>
      <c r="AK22" s="20" t="n">
        <f aca="false">IF(AJ22&gt;PR_BalDone,AJ22+AJ22*(D_iC)-MIN(F_CardPayM,AJ22+AJ22*(D_iC)),AJ22)</f>
        <v>0</v>
      </c>
      <c r="AL22" s="20" t="n">
        <f aca="false">IF(AK22&gt;PR_BalDone,AK22+AK22*(D_iC)-MIN(F_CardPayM,AK22+AK22*(D_iC)),AK22)</f>
        <v>0</v>
      </c>
      <c r="AM22" s="20" t="n">
        <f aca="false">IF(AL22&gt;PR_BalDone,AL22+AL22*(D_iC)-MIN(F_CardPayM,AL22+AL22*(D_iC)),AL22)</f>
        <v>0</v>
      </c>
      <c r="AN22" s="20" t="n">
        <f aca="false">IF(AM22&gt;PR_BalDone,AM22+AM22*(D_iC)-MIN(F_CardPayM,AM22+AM22*(D_iC)),AM22)</f>
        <v>0</v>
      </c>
      <c r="AO22" s="20" t="n">
        <f aca="false">IF(AN22&gt;PR_BalDone,AN22+AN22*(D_iC)-MIN(F_CardPayM,AN22+AN22*(D_iC)),AN22)</f>
        <v>0</v>
      </c>
      <c r="AP22" s="20" t="n">
        <f aca="false">IF(AO22&gt;PR_BalDone,AO22+AO22*(D_iC)-MIN(F_CardPayM,AO22+AO22*(D_iC)),AO22)</f>
        <v>0</v>
      </c>
      <c r="AQ22" s="20" t="n">
        <f aca="false">IF(AD22&gt;PR_BalDone,MIN(F_CardPayM,AD22+AD22*(D_iC)),0)</f>
        <v>0</v>
      </c>
      <c r="AR22" s="20" t="n">
        <f aca="false">IF(AE22&gt;PR_BalDone,MIN(F_CardPayM,AE22+AE22*(D_iC)),0)</f>
        <v>0</v>
      </c>
      <c r="AS22" s="20" t="n">
        <f aca="false">IF(AF22&gt;PR_BalDone,MIN(F_CardPayM,AF22+AF22*(D_iC)),0)</f>
        <v>0</v>
      </c>
      <c r="AT22" s="20" t="n">
        <f aca="false">IF(AG22&gt;PR_BalDone,MIN(F_CardPayM,AG22+AG22*(D_iC)),0)</f>
        <v>0</v>
      </c>
      <c r="AU22" s="20" t="n">
        <f aca="false">IF(AH22&gt;PR_BalDone,MIN(F_CardPayM,AH22+AH22*(D_iC)),0)</f>
        <v>0</v>
      </c>
      <c r="AV22" s="20" t="n">
        <f aca="false">IF(AI22&gt;PR_BalDone,MIN(F_CardPayM,AI22+AI22*(D_iC)),0)</f>
        <v>0</v>
      </c>
      <c r="AW22" s="20" t="n">
        <f aca="false">IF(AJ22&gt;PR_BalDone,MIN(F_CardPayM,AJ22+AJ22*(D_iC)),0)</f>
        <v>0</v>
      </c>
      <c r="AX22" s="20" t="n">
        <f aca="false">IF(AK22&gt;PR_BalDone,MIN(F_CardPayM,AK22+AK22*(D_iC)),0)</f>
        <v>0</v>
      </c>
      <c r="AY22" s="20" t="n">
        <f aca="false">IF(AL22&gt;PR_BalDone,MIN(F_CardPayM,AL22+AL22*(D_iC)),0)</f>
        <v>0</v>
      </c>
      <c r="AZ22" s="20" t="n">
        <f aca="false">IF(AM22&gt;PR_BalDone,MIN(F_CardPayM,AM22+AM22*(D_iC)),0)</f>
        <v>0</v>
      </c>
      <c r="BA22" s="20" t="n">
        <f aca="false">IF(AN22&gt;PR_BalDone,MIN(F_CardPayM,AN22+AN22*(D_iC)),0)</f>
        <v>0</v>
      </c>
      <c r="BB22" s="20" t="n">
        <f aca="false">IF(AO22&gt;PR_BalDone,MIN(F_CardPayM,AO22+AO22*(D_iC)),0)</f>
        <v>0</v>
      </c>
      <c r="BC22" s="20" t="n">
        <f aca="false">MAX(0,AP22)</f>
        <v>0</v>
      </c>
      <c r="BD22" s="20" t="n">
        <f aca="false">SUM(AQ22:BB22)</f>
        <v>0</v>
      </c>
      <c r="BE22" s="20" t="n">
        <f aca="false">'Plan cashflow'!P22</f>
        <v>0</v>
      </c>
      <c r="BF22" s="20" t="n">
        <f aca="false">IF(BE22&gt;PR_BalDone,BE22+BE22*(D_iL)-MIN(F_LoanPayM,BE22+BE22*(D_iL)),BE22)</f>
        <v>0</v>
      </c>
      <c r="BG22" s="20" t="n">
        <f aca="false">IF(BF22&gt;PR_BalDone,BF22+BF22*(D_iL)-MIN(F_LoanPayM,BF22+BF22*(D_iL)),BF22)</f>
        <v>0</v>
      </c>
      <c r="BH22" s="20" t="n">
        <f aca="false">IF(BG22&gt;PR_BalDone,BG22+BG22*(D_iL)-MIN(F_LoanPayM,BG22+BG22*(D_iL)),BG22)</f>
        <v>0</v>
      </c>
      <c r="BI22" s="20" t="n">
        <f aca="false">IF(BH22&gt;PR_BalDone,BH22+BH22*(D_iL)-MIN(F_LoanPayM,BH22+BH22*(D_iL)),BH22)</f>
        <v>0</v>
      </c>
      <c r="BJ22" s="20" t="n">
        <f aca="false">IF(BI22&gt;PR_BalDone,BI22+BI22*(D_iL)-MIN(F_LoanPayM,BI22+BI22*(D_iL)),BI22)</f>
        <v>0</v>
      </c>
      <c r="BK22" s="20" t="n">
        <f aca="false">IF(BJ22&gt;PR_BalDone,BJ22+BJ22*(D_iL)-MIN(F_LoanPayM,BJ22+BJ22*(D_iL)),BJ22)</f>
        <v>0</v>
      </c>
      <c r="BL22" s="20" t="n">
        <f aca="false">IF(BK22&gt;PR_BalDone,BK22+BK22*(D_iL)-MIN(F_LoanPayM,BK22+BK22*(D_iL)),BK22)</f>
        <v>0</v>
      </c>
      <c r="BM22" s="20" t="n">
        <f aca="false">IF(BL22&gt;PR_BalDone,BL22+BL22*(D_iL)-MIN(F_LoanPayM,BL22+BL22*(D_iL)),BL22)</f>
        <v>0</v>
      </c>
      <c r="BN22" s="20" t="n">
        <f aca="false">IF(BM22&gt;PR_BalDone,BM22+BM22*(D_iL)-MIN(F_LoanPayM,BM22+BM22*(D_iL)),BM22)</f>
        <v>0</v>
      </c>
      <c r="BO22" s="20" t="n">
        <f aca="false">IF(BN22&gt;PR_BalDone,BN22+BN22*(D_iL)-MIN(F_LoanPayM,BN22+BN22*(D_iL)),BN22)</f>
        <v>0</v>
      </c>
      <c r="BP22" s="20" t="n">
        <f aca="false">IF(BO22&gt;PR_BalDone,BO22+BO22*(D_iL)-MIN(F_LoanPayM,BO22+BO22*(D_iL)),BO22)</f>
        <v>0</v>
      </c>
      <c r="BQ22" s="20" t="n">
        <f aca="false">IF(BP22&gt;PR_BalDone,BP22+BP22*(D_iL)-MIN(F_LoanPayM,BP22+BP22*(D_iL)),BP22)</f>
        <v>0</v>
      </c>
      <c r="BR22" s="20" t="n">
        <f aca="false">IF(BE22&gt;PR_BalDone,MIN(F_LoanPayM,BE22+BE22*(D_iL)),0)</f>
        <v>0</v>
      </c>
      <c r="BS22" s="20" t="n">
        <f aca="false">IF(BF22&gt;PR_BalDone,MIN(F_LoanPayM,BF22+BF22*(D_iL)),0)</f>
        <v>0</v>
      </c>
      <c r="BT22" s="20" t="n">
        <f aca="false">IF(BG22&gt;PR_BalDone,MIN(F_LoanPayM,BG22+BG22*(D_iL)),0)</f>
        <v>0</v>
      </c>
      <c r="BU22" s="20" t="n">
        <f aca="false">IF(BH22&gt;PR_BalDone,MIN(F_LoanPayM,BH22+BH22*(D_iL)),0)</f>
        <v>0</v>
      </c>
      <c r="BV22" s="20" t="n">
        <f aca="false">IF(BI22&gt;PR_BalDone,MIN(F_LoanPayM,BI22+BI22*(D_iL)),0)</f>
        <v>0</v>
      </c>
      <c r="BW22" s="20" t="n">
        <f aca="false">IF(BJ22&gt;PR_BalDone,MIN(F_LoanPayM,BJ22+BJ22*(D_iL)),0)</f>
        <v>0</v>
      </c>
      <c r="BX22" s="20" t="n">
        <f aca="false">IF(BK22&gt;PR_BalDone,MIN(F_LoanPayM,BK22+BK22*(D_iL)),0)</f>
        <v>0</v>
      </c>
      <c r="BY22" s="20" t="n">
        <f aca="false">IF(BL22&gt;PR_BalDone,MIN(F_LoanPayM,BL22+BL22*(D_iL)),0)</f>
        <v>0</v>
      </c>
      <c r="BZ22" s="20" t="n">
        <f aca="false">IF(BM22&gt;PR_BalDone,MIN(F_LoanPayM,BM22+BM22*(D_iL)),0)</f>
        <v>0</v>
      </c>
      <c r="CA22" s="20" t="n">
        <f aca="false">IF(BN22&gt;PR_BalDone,MIN(F_LoanPayM,BN22+BN22*(D_iL)),0)</f>
        <v>0</v>
      </c>
      <c r="CB22" s="20" t="n">
        <f aca="false">IF(BO22&gt;PR_BalDone,MIN(F_LoanPayM,BO22+BO22*(D_iL)),0)</f>
        <v>0</v>
      </c>
      <c r="CC22" s="20" t="n">
        <f aca="false">IF(BP22&gt;PR_BalDone,MIN(F_LoanPayM,BP22+BP22*(D_iL)),0)</f>
        <v>0</v>
      </c>
      <c r="CD22" s="20" t="n">
        <f aca="false">MAX(0,BQ22)</f>
        <v>0</v>
      </c>
      <c r="CE22" s="20" t="n">
        <f aca="false">SUM(BR22:CC22)</f>
        <v>0</v>
      </c>
      <c r="CF22" s="20" t="n">
        <f aca="false">IF(CF21&gt;1,DE21,CF21)</f>
        <v>86732.8986657339</v>
      </c>
      <c r="CG22" s="20" t="n">
        <f aca="false">IF(CF22&gt;PR_BalDone,CF22+CF22*(F_MR/12)-MIN(F_MortPayM,CF22+CF22*(F_MR/12)),CF22)</f>
        <v>85831.1667156198</v>
      </c>
      <c r="CH22" s="20" t="n">
        <f aca="false">IF(CG22&gt;PR_BalDone,CG22+CG22*(F_MR/12)-MIN(F_MortPayM,CG22+CG22*(F_MR/12)),CG22)</f>
        <v>84926.5417088324</v>
      </c>
      <c r="CI22" s="20" t="n">
        <f aca="false">IF(CH22&gt;PR_BalDone,CH22+CH22*(F_MR/12)-MIN(F_MortPayM,CH22+CH22*(F_MR/12)),CH22)</f>
        <v>84019.0143634816</v>
      </c>
      <c r="CJ22" s="20" t="n">
        <f aca="false">IF(CI22&gt;PR_BalDone,CI22+CI22*(F_MR/12)-MIN(F_MortPayM,CI22+CI22*(F_MR/12)),CI22)</f>
        <v>83108.5753678977</v>
      </c>
      <c r="CK22" s="20" t="n">
        <f aca="false">IF(CJ22&gt;PR_BalDone,CJ22+CJ22*(F_MR/12)-MIN(F_MortPayM,CJ22+CJ22*(F_MR/12)),CJ22)</f>
        <v>82195.2153805364</v>
      </c>
      <c r="CL22" s="20" t="n">
        <f aca="false">IF(CK22&gt;PR_BalDone,CK22+CK22*(F_MR/12)-MIN(F_MortPayM,CK22+CK22*(F_MR/12)),CK22)</f>
        <v>81278.9250298823</v>
      </c>
      <c r="CM22" s="20" t="n">
        <f aca="false">IF(CL22&gt;PR_BalDone,CL22+CL22*(F_MR/12)-MIN(F_MortPayM,CL22+CL22*(F_MR/12)),CL22)</f>
        <v>80359.6949143532</v>
      </c>
      <c r="CN22" s="20" t="n">
        <f aca="false">IF(CM22&gt;PR_BalDone,CM22+CM22*(F_MR/12)-MIN(F_MortPayM,CM22+CM22*(F_MR/12)),CM22)</f>
        <v>79437.5156022034</v>
      </c>
      <c r="CO22" s="20" t="n">
        <f aca="false">IF(CN22&gt;PR_BalDone,CN22+CN22*(F_MR/12)-MIN(F_MortPayM,CN22+CN22*(F_MR/12)),CN22)</f>
        <v>78512.3776314271</v>
      </c>
      <c r="CP22" s="20" t="n">
        <f aca="false">IF(CO22&gt;PR_BalDone,CO22+CO22*(F_MR/12)-MIN(F_MortPayM,CO22+CO22*(F_MR/12)),CO22)</f>
        <v>77584.2715096613</v>
      </c>
      <c r="CQ22" s="20" t="n">
        <f aca="false">IF(CP22&gt;PR_BalDone,CP22+CP22*(F_MR/12)-MIN(F_MortPayM,CP22+CP22*(F_MR/12)),CP22)</f>
        <v>76653.1877140881</v>
      </c>
      <c r="CR22" s="20" t="n">
        <f aca="false">IF(CQ22&gt;PR_BalDone,CQ22+CQ22*(F_MR/12)-MIN(F_MortPayM,CQ22+CQ22*(F_MR/12)),CQ22)</f>
        <v>75719.1166913375</v>
      </c>
      <c r="CS22" s="20" t="n">
        <f aca="false">IF(CF22&gt;PR_BalDone,MIN(F_MortPayM,CF22+CF22*(F_MR/12)),0)</f>
        <v>1180</v>
      </c>
      <c r="CT22" s="20" t="n">
        <f aca="false">IF(CG22&gt;PR_BalDone,MIN(F_MortPayM,CG22+CG22*(F_MR/12)),0)</f>
        <v>1180</v>
      </c>
      <c r="CU22" s="20" t="n">
        <f aca="false">IF(CH22&gt;PR_BalDone,MIN(F_MortPayM,CH22+CH22*(F_MR/12)),0)</f>
        <v>1180</v>
      </c>
      <c r="CV22" s="20" t="n">
        <f aca="false">IF(CI22&gt;PR_BalDone,MIN(F_MortPayM,CI22+CI22*(F_MR/12)),0)</f>
        <v>1180</v>
      </c>
      <c r="CW22" s="20" t="n">
        <f aca="false">IF(CJ22&gt;PR_BalDone,MIN(F_MortPayM,CJ22+CJ22*(F_MR/12)),0)</f>
        <v>1180</v>
      </c>
      <c r="CX22" s="20" t="n">
        <f aca="false">IF(CK22&gt;PR_BalDone,MIN(F_MortPayM,CK22+CK22*(F_MR/12)),0)</f>
        <v>1180</v>
      </c>
      <c r="CY22" s="20" t="n">
        <f aca="false">IF(CL22&gt;PR_BalDone,MIN(F_MortPayM,CL22+CL22*(F_MR/12)),0)</f>
        <v>1180</v>
      </c>
      <c r="CZ22" s="20" t="n">
        <f aca="false">IF(CM22&gt;PR_BalDone,MIN(F_MortPayM,CM22+CM22*(F_MR/12)),0)</f>
        <v>1180</v>
      </c>
      <c r="DA22" s="20" t="n">
        <f aca="false">IF(CN22&gt;PR_BalDone,MIN(F_MortPayM,CN22+CN22*(F_MR/12)),0)</f>
        <v>1180</v>
      </c>
      <c r="DB22" s="20" t="n">
        <f aca="false">IF(CO22&gt;PR_BalDone,MIN(F_MortPayM,CO22+CO22*(F_MR/12)),0)</f>
        <v>1180</v>
      </c>
      <c r="DC22" s="20" t="n">
        <f aca="false">IF(CP22&gt;PR_BalDone,MIN(F_MortPayM,CP22+CP22*(F_MR/12)),0)</f>
        <v>1180</v>
      </c>
      <c r="DD22" s="20" t="n">
        <f aca="false">IF(CQ22&gt;PR_BalDone,MIN(F_MortPayM,CQ22+CQ22*(F_MR/12)),0)</f>
        <v>1180</v>
      </c>
      <c r="DE22" s="20" t="n">
        <f aca="false">MAX(0,CR22)</f>
        <v>75719.1166913375</v>
      </c>
      <c r="DF22" s="20" t="n">
        <f aca="false">SUM(CS22:DD22)</f>
        <v>14160</v>
      </c>
      <c r="DG22" s="20" t="n">
        <f aca="false">MAX(0,CF22)</f>
        <v>86732.8986657339</v>
      </c>
    </row>
    <row r="23" customFormat="false" ht="15" hidden="false" customHeight="true" outlineLevel="0" collapsed="false">
      <c r="B23" s="20" t="n">
        <v>15</v>
      </c>
      <c r="C23" s="20" t="n">
        <f aca="false">'Plan cashflow'!J23</f>
        <v>75719.1166913375</v>
      </c>
      <c r="D23" s="20" t="n">
        <f aca="false">IF(C23&gt;PR_BalDone,C23+C23*(F_MR/12)-MIN(F_MortPayM,C23+C23*(F_MR/12)),C23)</f>
        <v>74782.0488573888</v>
      </c>
      <c r="E23" s="20" t="n">
        <f aca="false">IF(D23&gt;PR_BalDone,D23+D23*(F_MR/12)-MIN(F_MortPayM,D23+D23*(F_MR/12)),D23)</f>
        <v>73841.9745974729</v>
      </c>
      <c r="F23" s="20" t="n">
        <f aca="false">IF(E23&gt;PR_BalDone,E23+E23*(F_MR/12)-MIN(F_MortPayM,E23+E23*(F_MR/12)),E23)</f>
        <v>72898.8842659732</v>
      </c>
      <c r="G23" s="20" t="n">
        <f aca="false">IF(F23&gt;PR_BalDone,F23+F23*(F_MR/12)-MIN(F_MortPayM,F23+F23*(F_MR/12)),F23)</f>
        <v>71952.7681863265</v>
      </c>
      <c r="H23" s="20" t="n">
        <f aca="false">IF(G23&gt;PR_BalDone,G23+G23*(F_MR/12)-MIN(F_MortPayM,G23+G23*(F_MR/12)),G23)</f>
        <v>71003.6166509243</v>
      </c>
      <c r="I23" s="20" t="n">
        <f aca="false">IF(H23&gt;PR_BalDone,H23+H23*(F_MR/12)-MIN(F_MortPayM,H23+H23*(F_MR/12)),H23)</f>
        <v>70051.4199210127</v>
      </c>
      <c r="J23" s="20" t="n">
        <f aca="false">IF(I23&gt;PR_BalDone,I23+I23*(F_MR/12)-MIN(F_MortPayM,I23+I23*(F_MR/12)),I23)</f>
        <v>69096.1682265926</v>
      </c>
      <c r="K23" s="20" t="n">
        <f aca="false">IF(J23&gt;PR_BalDone,J23+J23*(F_MR/12)-MIN(F_MortPayM,J23+J23*(F_MR/12)),J23)</f>
        <v>68137.8517663196</v>
      </c>
      <c r="L23" s="20" t="n">
        <f aca="false">IF(K23&gt;PR_BalDone,K23+K23*(F_MR/12)-MIN(F_MortPayM,K23+K23*(F_MR/12)),K23)</f>
        <v>67176.4607074032</v>
      </c>
      <c r="M23" s="20" t="n">
        <f aca="false">IF(L23&gt;PR_BalDone,L23+L23*(F_MR/12)-MIN(F_MortPayM,L23+L23*(F_MR/12)),L23)</f>
        <v>66211.9851855061</v>
      </c>
      <c r="N23" s="20" t="n">
        <f aca="false">IF(M23&gt;PR_BalDone,M23+M23*(F_MR/12)-MIN(F_MortPayM,M23+M23*(F_MR/12)),M23)</f>
        <v>65244.4153046429</v>
      </c>
      <c r="O23" s="20" t="n">
        <f aca="false">IF(N23&gt;PR_BalDone,N23+N23*(F_MR/12)-MIN(F_MortPayM,N23+N23*(F_MR/12)),N23)</f>
        <v>64273.7411370787</v>
      </c>
      <c r="P23" s="20" t="n">
        <f aca="false">IF(C23&gt;PR_BalDone,MIN(F_MortPayM,C23+C23*(F_MR/12)),0)</f>
        <v>1180</v>
      </c>
      <c r="Q23" s="20" t="n">
        <f aca="false">IF(D23&gt;PR_BalDone,MIN(F_MortPayM,D23+D23*(F_MR/12)),0)</f>
        <v>1180</v>
      </c>
      <c r="R23" s="20" t="n">
        <f aca="false">IF(E23&gt;PR_BalDone,MIN(F_MortPayM,E23+E23*(F_MR/12)),0)</f>
        <v>1180</v>
      </c>
      <c r="S23" s="20" t="n">
        <f aca="false">IF(F23&gt;PR_BalDone,MIN(F_MortPayM,F23+F23*(F_MR/12)),0)</f>
        <v>1180</v>
      </c>
      <c r="T23" s="20" t="n">
        <f aca="false">IF(G23&gt;PR_BalDone,MIN(F_MortPayM,G23+G23*(F_MR/12)),0)</f>
        <v>1180</v>
      </c>
      <c r="U23" s="20" t="n">
        <f aca="false">IF(H23&gt;PR_BalDone,MIN(F_MortPayM,H23+H23*(F_MR/12)),0)</f>
        <v>1180</v>
      </c>
      <c r="V23" s="20" t="n">
        <f aca="false">IF(I23&gt;PR_BalDone,MIN(F_MortPayM,I23+I23*(F_MR/12)),0)</f>
        <v>1180</v>
      </c>
      <c r="W23" s="20" t="n">
        <f aca="false">IF(J23&gt;PR_BalDone,MIN(F_MortPayM,J23+J23*(F_MR/12)),0)</f>
        <v>1180</v>
      </c>
      <c r="X23" s="20" t="n">
        <f aca="false">IF(K23&gt;PR_BalDone,MIN(F_MortPayM,K23+K23*(F_MR/12)),0)</f>
        <v>1180</v>
      </c>
      <c r="Y23" s="20" t="n">
        <f aca="false">IF(L23&gt;PR_BalDone,MIN(F_MortPayM,L23+L23*(F_MR/12)),0)</f>
        <v>1180</v>
      </c>
      <c r="Z23" s="20" t="n">
        <f aca="false">IF(M23&gt;PR_BalDone,MIN(F_MortPayM,M23+M23*(F_MR/12)),0)</f>
        <v>1180</v>
      </c>
      <c r="AA23" s="20" t="n">
        <f aca="false">IF(N23&gt;PR_BalDone,MIN(F_MortPayM,N23+N23*(F_MR/12)),0)</f>
        <v>1180</v>
      </c>
      <c r="AB23" s="20" t="n">
        <f aca="false">MAX(0,O23)</f>
        <v>64273.7411370787</v>
      </c>
      <c r="AC23" s="20" t="n">
        <f aca="false">SUM(P23:AA23)</f>
        <v>14160</v>
      </c>
      <c r="AD23" s="20" t="n">
        <f aca="false">'Plan cashflow'!M23</f>
        <v>0</v>
      </c>
      <c r="AE23" s="20" t="n">
        <f aca="false">IF(AD23&gt;PR_BalDone,AD23+AD23*(D_iC)-MIN(F_CardPayM,AD23+AD23*(D_iC)),AD23)</f>
        <v>0</v>
      </c>
      <c r="AF23" s="20" t="n">
        <f aca="false">IF(AE23&gt;PR_BalDone,AE23+AE23*(D_iC)-MIN(F_CardPayM,AE23+AE23*(D_iC)),AE23)</f>
        <v>0</v>
      </c>
      <c r="AG23" s="20" t="n">
        <f aca="false">IF(AF23&gt;PR_BalDone,AF23+AF23*(D_iC)-MIN(F_CardPayM,AF23+AF23*(D_iC)),AF23)</f>
        <v>0</v>
      </c>
      <c r="AH23" s="20" t="n">
        <f aca="false">IF(AG23&gt;PR_BalDone,AG23+AG23*(D_iC)-MIN(F_CardPayM,AG23+AG23*(D_iC)),AG23)</f>
        <v>0</v>
      </c>
      <c r="AI23" s="20" t="n">
        <f aca="false">IF(AH23&gt;PR_BalDone,AH23+AH23*(D_iC)-MIN(F_CardPayM,AH23+AH23*(D_iC)),AH23)</f>
        <v>0</v>
      </c>
      <c r="AJ23" s="20" t="n">
        <f aca="false">IF(AI23&gt;PR_BalDone,AI23+AI23*(D_iC)-MIN(F_CardPayM,AI23+AI23*(D_iC)),AI23)</f>
        <v>0</v>
      </c>
      <c r="AK23" s="20" t="n">
        <f aca="false">IF(AJ23&gt;PR_BalDone,AJ23+AJ23*(D_iC)-MIN(F_CardPayM,AJ23+AJ23*(D_iC)),AJ23)</f>
        <v>0</v>
      </c>
      <c r="AL23" s="20" t="n">
        <f aca="false">IF(AK23&gt;PR_BalDone,AK23+AK23*(D_iC)-MIN(F_CardPayM,AK23+AK23*(D_iC)),AK23)</f>
        <v>0</v>
      </c>
      <c r="AM23" s="20" t="n">
        <f aca="false">IF(AL23&gt;PR_BalDone,AL23+AL23*(D_iC)-MIN(F_CardPayM,AL23+AL23*(D_iC)),AL23)</f>
        <v>0</v>
      </c>
      <c r="AN23" s="20" t="n">
        <f aca="false">IF(AM23&gt;PR_BalDone,AM23+AM23*(D_iC)-MIN(F_CardPayM,AM23+AM23*(D_iC)),AM23)</f>
        <v>0</v>
      </c>
      <c r="AO23" s="20" t="n">
        <f aca="false">IF(AN23&gt;PR_BalDone,AN23+AN23*(D_iC)-MIN(F_CardPayM,AN23+AN23*(D_iC)),AN23)</f>
        <v>0</v>
      </c>
      <c r="AP23" s="20" t="n">
        <f aca="false">IF(AO23&gt;PR_BalDone,AO23+AO23*(D_iC)-MIN(F_CardPayM,AO23+AO23*(D_iC)),AO23)</f>
        <v>0</v>
      </c>
      <c r="AQ23" s="20" t="n">
        <f aca="false">IF(AD23&gt;PR_BalDone,MIN(F_CardPayM,AD23+AD23*(D_iC)),0)</f>
        <v>0</v>
      </c>
      <c r="AR23" s="20" t="n">
        <f aca="false">IF(AE23&gt;PR_BalDone,MIN(F_CardPayM,AE23+AE23*(D_iC)),0)</f>
        <v>0</v>
      </c>
      <c r="AS23" s="20" t="n">
        <f aca="false">IF(AF23&gt;PR_BalDone,MIN(F_CardPayM,AF23+AF23*(D_iC)),0)</f>
        <v>0</v>
      </c>
      <c r="AT23" s="20" t="n">
        <f aca="false">IF(AG23&gt;PR_BalDone,MIN(F_CardPayM,AG23+AG23*(D_iC)),0)</f>
        <v>0</v>
      </c>
      <c r="AU23" s="20" t="n">
        <f aca="false">IF(AH23&gt;PR_BalDone,MIN(F_CardPayM,AH23+AH23*(D_iC)),0)</f>
        <v>0</v>
      </c>
      <c r="AV23" s="20" t="n">
        <f aca="false">IF(AI23&gt;PR_BalDone,MIN(F_CardPayM,AI23+AI23*(D_iC)),0)</f>
        <v>0</v>
      </c>
      <c r="AW23" s="20" t="n">
        <f aca="false">IF(AJ23&gt;PR_BalDone,MIN(F_CardPayM,AJ23+AJ23*(D_iC)),0)</f>
        <v>0</v>
      </c>
      <c r="AX23" s="20" t="n">
        <f aca="false">IF(AK23&gt;PR_BalDone,MIN(F_CardPayM,AK23+AK23*(D_iC)),0)</f>
        <v>0</v>
      </c>
      <c r="AY23" s="20" t="n">
        <f aca="false">IF(AL23&gt;PR_BalDone,MIN(F_CardPayM,AL23+AL23*(D_iC)),0)</f>
        <v>0</v>
      </c>
      <c r="AZ23" s="20" t="n">
        <f aca="false">IF(AM23&gt;PR_BalDone,MIN(F_CardPayM,AM23+AM23*(D_iC)),0)</f>
        <v>0</v>
      </c>
      <c r="BA23" s="20" t="n">
        <f aca="false">IF(AN23&gt;PR_BalDone,MIN(F_CardPayM,AN23+AN23*(D_iC)),0)</f>
        <v>0</v>
      </c>
      <c r="BB23" s="20" t="n">
        <f aca="false">IF(AO23&gt;PR_BalDone,MIN(F_CardPayM,AO23+AO23*(D_iC)),0)</f>
        <v>0</v>
      </c>
      <c r="BC23" s="20" t="n">
        <f aca="false">MAX(0,AP23)</f>
        <v>0</v>
      </c>
      <c r="BD23" s="20" t="n">
        <f aca="false">SUM(AQ23:BB23)</f>
        <v>0</v>
      </c>
      <c r="BE23" s="20" t="n">
        <f aca="false">'Plan cashflow'!P23</f>
        <v>0</v>
      </c>
      <c r="BF23" s="20" t="n">
        <f aca="false">IF(BE23&gt;PR_BalDone,BE23+BE23*(D_iL)-MIN(F_LoanPayM,BE23+BE23*(D_iL)),BE23)</f>
        <v>0</v>
      </c>
      <c r="BG23" s="20" t="n">
        <f aca="false">IF(BF23&gt;PR_BalDone,BF23+BF23*(D_iL)-MIN(F_LoanPayM,BF23+BF23*(D_iL)),BF23)</f>
        <v>0</v>
      </c>
      <c r="BH23" s="20" t="n">
        <f aca="false">IF(BG23&gt;PR_BalDone,BG23+BG23*(D_iL)-MIN(F_LoanPayM,BG23+BG23*(D_iL)),BG23)</f>
        <v>0</v>
      </c>
      <c r="BI23" s="20" t="n">
        <f aca="false">IF(BH23&gt;PR_BalDone,BH23+BH23*(D_iL)-MIN(F_LoanPayM,BH23+BH23*(D_iL)),BH23)</f>
        <v>0</v>
      </c>
      <c r="BJ23" s="20" t="n">
        <f aca="false">IF(BI23&gt;PR_BalDone,BI23+BI23*(D_iL)-MIN(F_LoanPayM,BI23+BI23*(D_iL)),BI23)</f>
        <v>0</v>
      </c>
      <c r="BK23" s="20" t="n">
        <f aca="false">IF(BJ23&gt;PR_BalDone,BJ23+BJ23*(D_iL)-MIN(F_LoanPayM,BJ23+BJ23*(D_iL)),BJ23)</f>
        <v>0</v>
      </c>
      <c r="BL23" s="20" t="n">
        <f aca="false">IF(BK23&gt;PR_BalDone,BK23+BK23*(D_iL)-MIN(F_LoanPayM,BK23+BK23*(D_iL)),BK23)</f>
        <v>0</v>
      </c>
      <c r="BM23" s="20" t="n">
        <f aca="false">IF(BL23&gt;PR_BalDone,BL23+BL23*(D_iL)-MIN(F_LoanPayM,BL23+BL23*(D_iL)),BL23)</f>
        <v>0</v>
      </c>
      <c r="BN23" s="20" t="n">
        <f aca="false">IF(BM23&gt;PR_BalDone,BM23+BM23*(D_iL)-MIN(F_LoanPayM,BM23+BM23*(D_iL)),BM23)</f>
        <v>0</v>
      </c>
      <c r="BO23" s="20" t="n">
        <f aca="false">IF(BN23&gt;PR_BalDone,BN23+BN23*(D_iL)-MIN(F_LoanPayM,BN23+BN23*(D_iL)),BN23)</f>
        <v>0</v>
      </c>
      <c r="BP23" s="20" t="n">
        <f aca="false">IF(BO23&gt;PR_BalDone,BO23+BO23*(D_iL)-MIN(F_LoanPayM,BO23+BO23*(D_iL)),BO23)</f>
        <v>0</v>
      </c>
      <c r="BQ23" s="20" t="n">
        <f aca="false">IF(BP23&gt;PR_BalDone,BP23+BP23*(D_iL)-MIN(F_LoanPayM,BP23+BP23*(D_iL)),BP23)</f>
        <v>0</v>
      </c>
      <c r="BR23" s="20" t="n">
        <f aca="false">IF(BE23&gt;PR_BalDone,MIN(F_LoanPayM,BE23+BE23*(D_iL)),0)</f>
        <v>0</v>
      </c>
      <c r="BS23" s="20" t="n">
        <f aca="false">IF(BF23&gt;PR_BalDone,MIN(F_LoanPayM,BF23+BF23*(D_iL)),0)</f>
        <v>0</v>
      </c>
      <c r="BT23" s="20" t="n">
        <f aca="false">IF(BG23&gt;PR_BalDone,MIN(F_LoanPayM,BG23+BG23*(D_iL)),0)</f>
        <v>0</v>
      </c>
      <c r="BU23" s="20" t="n">
        <f aca="false">IF(BH23&gt;PR_BalDone,MIN(F_LoanPayM,BH23+BH23*(D_iL)),0)</f>
        <v>0</v>
      </c>
      <c r="BV23" s="20" t="n">
        <f aca="false">IF(BI23&gt;PR_BalDone,MIN(F_LoanPayM,BI23+BI23*(D_iL)),0)</f>
        <v>0</v>
      </c>
      <c r="BW23" s="20" t="n">
        <f aca="false">IF(BJ23&gt;PR_BalDone,MIN(F_LoanPayM,BJ23+BJ23*(D_iL)),0)</f>
        <v>0</v>
      </c>
      <c r="BX23" s="20" t="n">
        <f aca="false">IF(BK23&gt;PR_BalDone,MIN(F_LoanPayM,BK23+BK23*(D_iL)),0)</f>
        <v>0</v>
      </c>
      <c r="BY23" s="20" t="n">
        <f aca="false">IF(BL23&gt;PR_BalDone,MIN(F_LoanPayM,BL23+BL23*(D_iL)),0)</f>
        <v>0</v>
      </c>
      <c r="BZ23" s="20" t="n">
        <f aca="false">IF(BM23&gt;PR_BalDone,MIN(F_LoanPayM,BM23+BM23*(D_iL)),0)</f>
        <v>0</v>
      </c>
      <c r="CA23" s="20" t="n">
        <f aca="false">IF(BN23&gt;PR_BalDone,MIN(F_LoanPayM,BN23+BN23*(D_iL)),0)</f>
        <v>0</v>
      </c>
      <c r="CB23" s="20" t="n">
        <f aca="false">IF(BO23&gt;PR_BalDone,MIN(F_LoanPayM,BO23+BO23*(D_iL)),0)</f>
        <v>0</v>
      </c>
      <c r="CC23" s="20" t="n">
        <f aca="false">IF(BP23&gt;PR_BalDone,MIN(F_LoanPayM,BP23+BP23*(D_iL)),0)</f>
        <v>0</v>
      </c>
      <c r="CD23" s="20" t="n">
        <f aca="false">MAX(0,BQ23)</f>
        <v>0</v>
      </c>
      <c r="CE23" s="20" t="n">
        <f aca="false">SUM(BR23:CC23)</f>
        <v>0</v>
      </c>
      <c r="CF23" s="20" t="n">
        <f aca="false">IF(CF22&gt;1,DE22,CF22)</f>
        <v>75719.1166913375</v>
      </c>
      <c r="CG23" s="20" t="n">
        <f aca="false">IF(CF23&gt;PR_BalDone,CF23+CF23*(F_MR/12)-MIN(F_MortPayM,CF23+CF23*(F_MR/12)),CF23)</f>
        <v>74782.0488573888</v>
      </c>
      <c r="CH23" s="20" t="n">
        <f aca="false">IF(CG23&gt;PR_BalDone,CG23+CG23*(F_MR/12)-MIN(F_MortPayM,CG23+CG23*(F_MR/12)),CG23)</f>
        <v>73841.9745974729</v>
      </c>
      <c r="CI23" s="20" t="n">
        <f aca="false">IF(CH23&gt;PR_BalDone,CH23+CH23*(F_MR/12)-MIN(F_MortPayM,CH23+CH23*(F_MR/12)),CH23)</f>
        <v>72898.8842659732</v>
      </c>
      <c r="CJ23" s="20" t="n">
        <f aca="false">IF(CI23&gt;PR_BalDone,CI23+CI23*(F_MR/12)-MIN(F_MortPayM,CI23+CI23*(F_MR/12)),CI23)</f>
        <v>71952.7681863265</v>
      </c>
      <c r="CK23" s="20" t="n">
        <f aca="false">IF(CJ23&gt;PR_BalDone,CJ23+CJ23*(F_MR/12)-MIN(F_MortPayM,CJ23+CJ23*(F_MR/12)),CJ23)</f>
        <v>71003.6166509243</v>
      </c>
      <c r="CL23" s="20" t="n">
        <f aca="false">IF(CK23&gt;PR_BalDone,CK23+CK23*(F_MR/12)-MIN(F_MortPayM,CK23+CK23*(F_MR/12)),CK23)</f>
        <v>70051.4199210127</v>
      </c>
      <c r="CM23" s="20" t="n">
        <f aca="false">IF(CL23&gt;PR_BalDone,CL23+CL23*(F_MR/12)-MIN(F_MortPayM,CL23+CL23*(F_MR/12)),CL23)</f>
        <v>69096.1682265926</v>
      </c>
      <c r="CN23" s="20" t="n">
        <f aca="false">IF(CM23&gt;PR_BalDone,CM23+CM23*(F_MR/12)-MIN(F_MortPayM,CM23+CM23*(F_MR/12)),CM23)</f>
        <v>68137.8517663196</v>
      </c>
      <c r="CO23" s="20" t="n">
        <f aca="false">IF(CN23&gt;PR_BalDone,CN23+CN23*(F_MR/12)-MIN(F_MortPayM,CN23+CN23*(F_MR/12)),CN23)</f>
        <v>67176.4607074032</v>
      </c>
      <c r="CP23" s="20" t="n">
        <f aca="false">IF(CO23&gt;PR_BalDone,CO23+CO23*(F_MR/12)-MIN(F_MortPayM,CO23+CO23*(F_MR/12)),CO23)</f>
        <v>66211.9851855061</v>
      </c>
      <c r="CQ23" s="20" t="n">
        <f aca="false">IF(CP23&gt;PR_BalDone,CP23+CP23*(F_MR/12)-MIN(F_MortPayM,CP23+CP23*(F_MR/12)),CP23)</f>
        <v>65244.4153046429</v>
      </c>
      <c r="CR23" s="20" t="n">
        <f aca="false">IF(CQ23&gt;PR_BalDone,CQ23+CQ23*(F_MR/12)-MIN(F_MortPayM,CQ23+CQ23*(F_MR/12)),CQ23)</f>
        <v>64273.7411370787</v>
      </c>
      <c r="CS23" s="20" t="n">
        <f aca="false">IF(CF23&gt;PR_BalDone,MIN(F_MortPayM,CF23+CF23*(F_MR/12)),0)</f>
        <v>1180</v>
      </c>
      <c r="CT23" s="20" t="n">
        <f aca="false">IF(CG23&gt;PR_BalDone,MIN(F_MortPayM,CG23+CG23*(F_MR/12)),0)</f>
        <v>1180</v>
      </c>
      <c r="CU23" s="20" t="n">
        <f aca="false">IF(CH23&gt;PR_BalDone,MIN(F_MortPayM,CH23+CH23*(F_MR/12)),0)</f>
        <v>1180</v>
      </c>
      <c r="CV23" s="20" t="n">
        <f aca="false">IF(CI23&gt;PR_BalDone,MIN(F_MortPayM,CI23+CI23*(F_MR/12)),0)</f>
        <v>1180</v>
      </c>
      <c r="CW23" s="20" t="n">
        <f aca="false">IF(CJ23&gt;PR_BalDone,MIN(F_MortPayM,CJ23+CJ23*(F_MR/12)),0)</f>
        <v>1180</v>
      </c>
      <c r="CX23" s="20" t="n">
        <f aca="false">IF(CK23&gt;PR_BalDone,MIN(F_MortPayM,CK23+CK23*(F_MR/12)),0)</f>
        <v>1180</v>
      </c>
      <c r="CY23" s="20" t="n">
        <f aca="false">IF(CL23&gt;PR_BalDone,MIN(F_MortPayM,CL23+CL23*(F_MR/12)),0)</f>
        <v>1180</v>
      </c>
      <c r="CZ23" s="20" t="n">
        <f aca="false">IF(CM23&gt;PR_BalDone,MIN(F_MortPayM,CM23+CM23*(F_MR/12)),0)</f>
        <v>1180</v>
      </c>
      <c r="DA23" s="20" t="n">
        <f aca="false">IF(CN23&gt;PR_BalDone,MIN(F_MortPayM,CN23+CN23*(F_MR/12)),0)</f>
        <v>1180</v>
      </c>
      <c r="DB23" s="20" t="n">
        <f aca="false">IF(CO23&gt;PR_BalDone,MIN(F_MortPayM,CO23+CO23*(F_MR/12)),0)</f>
        <v>1180</v>
      </c>
      <c r="DC23" s="20" t="n">
        <f aca="false">IF(CP23&gt;PR_BalDone,MIN(F_MortPayM,CP23+CP23*(F_MR/12)),0)</f>
        <v>1180</v>
      </c>
      <c r="DD23" s="20" t="n">
        <f aca="false">IF(CQ23&gt;PR_BalDone,MIN(F_MortPayM,CQ23+CQ23*(F_MR/12)),0)</f>
        <v>1180</v>
      </c>
      <c r="DE23" s="20" t="n">
        <f aca="false">MAX(0,CR23)</f>
        <v>64273.7411370787</v>
      </c>
      <c r="DF23" s="20" t="n">
        <f aca="false">SUM(CS23:DD23)</f>
        <v>14160</v>
      </c>
      <c r="DG23" s="20" t="n">
        <f aca="false">MAX(0,CF23)</f>
        <v>75719.1166913375</v>
      </c>
    </row>
    <row r="24" customFormat="false" ht="15" hidden="false" customHeight="true" outlineLevel="0" collapsed="false">
      <c r="B24" s="20" t="n">
        <v>16</v>
      </c>
      <c r="C24" s="20" t="n">
        <f aca="false">'Plan cashflow'!J24</f>
        <v>64273.7411370787</v>
      </c>
      <c r="D24" s="20" t="n">
        <f aca="false">IF(C24&gt;PR_BalDone,C24+C24*(F_MR/12)-MIN(F_MortPayM,C24+C24*(F_MR/12)),C24)</f>
        <v>63299.9527232268</v>
      </c>
      <c r="E24" s="20" t="n">
        <f aca="false">IF(D24&gt;PR_BalDone,D24+D24*(F_MR/12)-MIN(F_MortPayM,D24+D24*(F_MR/12)),D24)</f>
        <v>62323.0400715472</v>
      </c>
      <c r="F24" s="20" t="n">
        <f aca="false">IF(E24&gt;PR_BalDone,E24+E24*(F_MR/12)-MIN(F_MortPayM,E24+E24*(F_MR/12)),E24)</f>
        <v>61342.9931584434</v>
      </c>
      <c r="G24" s="20" t="n">
        <f aca="false">IF(F24&gt;PR_BalDone,F24+F24*(F_MR/12)-MIN(F_MortPayM,F24+F24*(F_MR/12)),F24)</f>
        <v>60359.80192816</v>
      </c>
      <c r="H24" s="20" t="n">
        <f aca="false">IF(G24&gt;PR_BalDone,G24+G24*(F_MR/12)-MIN(F_MortPayM,G24+G24*(F_MR/12)),G24)</f>
        <v>59373.4562926796</v>
      </c>
      <c r="I24" s="20" t="n">
        <f aca="false">IF(H24&gt;PR_BalDone,H24+H24*(F_MR/12)-MIN(F_MortPayM,H24+H24*(F_MR/12)),H24)</f>
        <v>58383.9461316186</v>
      </c>
      <c r="J24" s="20" t="n">
        <f aca="false">IF(I24&gt;PR_BalDone,I24+I24*(F_MR/12)-MIN(F_MortPayM,I24+I24*(F_MR/12)),I24)</f>
        <v>57391.2612921242</v>
      </c>
      <c r="K24" s="20" t="n">
        <f aca="false">IF(J24&gt;PR_BalDone,J24+J24*(F_MR/12)-MIN(F_MortPayM,J24+J24*(F_MR/12)),J24)</f>
        <v>56395.3915887697</v>
      </c>
      <c r="L24" s="20" t="n">
        <f aca="false">IF(K24&gt;PR_BalDone,K24+K24*(F_MR/12)-MIN(F_MortPayM,K24+K24*(F_MR/12)),K24)</f>
        <v>55396.3268034504</v>
      </c>
      <c r="M24" s="20" t="n">
        <f aca="false">IF(L24&gt;PR_BalDone,L24+L24*(F_MR/12)-MIN(F_MortPayM,L24+L24*(F_MR/12)),L24)</f>
        <v>54394.0566852781</v>
      </c>
      <c r="N24" s="20" t="n">
        <f aca="false">IF(M24&gt;PR_BalDone,M24+M24*(F_MR/12)-MIN(F_MortPayM,M24+M24*(F_MR/12)),M24)</f>
        <v>53388.5709504767</v>
      </c>
      <c r="O24" s="20" t="n">
        <f aca="false">IF(N24&gt;PR_BalDone,N24+N24*(F_MR/12)-MIN(F_MortPayM,N24+N24*(F_MR/12)),N24)</f>
        <v>52379.8592822762</v>
      </c>
      <c r="P24" s="20" t="n">
        <f aca="false">IF(C24&gt;PR_BalDone,MIN(F_MortPayM,C24+C24*(F_MR/12)),0)</f>
        <v>1180</v>
      </c>
      <c r="Q24" s="20" t="n">
        <f aca="false">IF(D24&gt;PR_BalDone,MIN(F_MortPayM,D24+D24*(F_MR/12)),0)</f>
        <v>1180</v>
      </c>
      <c r="R24" s="20" t="n">
        <f aca="false">IF(E24&gt;PR_BalDone,MIN(F_MortPayM,E24+E24*(F_MR/12)),0)</f>
        <v>1180</v>
      </c>
      <c r="S24" s="20" t="n">
        <f aca="false">IF(F24&gt;PR_BalDone,MIN(F_MortPayM,F24+F24*(F_MR/12)),0)</f>
        <v>1180</v>
      </c>
      <c r="T24" s="20" t="n">
        <f aca="false">IF(G24&gt;PR_BalDone,MIN(F_MortPayM,G24+G24*(F_MR/12)),0)</f>
        <v>1180</v>
      </c>
      <c r="U24" s="20" t="n">
        <f aca="false">IF(H24&gt;PR_BalDone,MIN(F_MortPayM,H24+H24*(F_MR/12)),0)</f>
        <v>1180</v>
      </c>
      <c r="V24" s="20" t="n">
        <f aca="false">IF(I24&gt;PR_BalDone,MIN(F_MortPayM,I24+I24*(F_MR/12)),0)</f>
        <v>1180</v>
      </c>
      <c r="W24" s="20" t="n">
        <f aca="false">IF(J24&gt;PR_BalDone,MIN(F_MortPayM,J24+J24*(F_MR/12)),0)</f>
        <v>1180</v>
      </c>
      <c r="X24" s="20" t="n">
        <f aca="false">IF(K24&gt;PR_BalDone,MIN(F_MortPayM,K24+K24*(F_MR/12)),0)</f>
        <v>1180</v>
      </c>
      <c r="Y24" s="20" t="n">
        <f aca="false">IF(L24&gt;PR_BalDone,MIN(F_MortPayM,L24+L24*(F_MR/12)),0)</f>
        <v>1180</v>
      </c>
      <c r="Z24" s="20" t="n">
        <f aca="false">IF(M24&gt;PR_BalDone,MIN(F_MortPayM,M24+M24*(F_MR/12)),0)</f>
        <v>1180</v>
      </c>
      <c r="AA24" s="20" t="n">
        <f aca="false">IF(N24&gt;PR_BalDone,MIN(F_MortPayM,N24+N24*(F_MR/12)),0)</f>
        <v>1180</v>
      </c>
      <c r="AB24" s="20" t="n">
        <f aca="false">MAX(0,O24)</f>
        <v>52379.8592822762</v>
      </c>
      <c r="AC24" s="20" t="n">
        <f aca="false">SUM(P24:AA24)</f>
        <v>14160</v>
      </c>
      <c r="AD24" s="20" t="n">
        <f aca="false">'Plan cashflow'!M24</f>
        <v>0</v>
      </c>
      <c r="AE24" s="20" t="n">
        <f aca="false">IF(AD24&gt;PR_BalDone,AD24+AD24*(D_iC)-MIN(F_CardPayM,AD24+AD24*(D_iC)),AD24)</f>
        <v>0</v>
      </c>
      <c r="AF24" s="20" t="n">
        <f aca="false">IF(AE24&gt;PR_BalDone,AE24+AE24*(D_iC)-MIN(F_CardPayM,AE24+AE24*(D_iC)),AE24)</f>
        <v>0</v>
      </c>
      <c r="AG24" s="20" t="n">
        <f aca="false">IF(AF24&gt;PR_BalDone,AF24+AF24*(D_iC)-MIN(F_CardPayM,AF24+AF24*(D_iC)),AF24)</f>
        <v>0</v>
      </c>
      <c r="AH24" s="20" t="n">
        <f aca="false">IF(AG24&gt;PR_BalDone,AG24+AG24*(D_iC)-MIN(F_CardPayM,AG24+AG24*(D_iC)),AG24)</f>
        <v>0</v>
      </c>
      <c r="AI24" s="20" t="n">
        <f aca="false">IF(AH24&gt;PR_BalDone,AH24+AH24*(D_iC)-MIN(F_CardPayM,AH24+AH24*(D_iC)),AH24)</f>
        <v>0</v>
      </c>
      <c r="AJ24" s="20" t="n">
        <f aca="false">IF(AI24&gt;PR_BalDone,AI24+AI24*(D_iC)-MIN(F_CardPayM,AI24+AI24*(D_iC)),AI24)</f>
        <v>0</v>
      </c>
      <c r="AK24" s="20" t="n">
        <f aca="false">IF(AJ24&gt;PR_BalDone,AJ24+AJ24*(D_iC)-MIN(F_CardPayM,AJ24+AJ24*(D_iC)),AJ24)</f>
        <v>0</v>
      </c>
      <c r="AL24" s="20" t="n">
        <f aca="false">IF(AK24&gt;PR_BalDone,AK24+AK24*(D_iC)-MIN(F_CardPayM,AK24+AK24*(D_iC)),AK24)</f>
        <v>0</v>
      </c>
      <c r="AM24" s="20" t="n">
        <f aca="false">IF(AL24&gt;PR_BalDone,AL24+AL24*(D_iC)-MIN(F_CardPayM,AL24+AL24*(D_iC)),AL24)</f>
        <v>0</v>
      </c>
      <c r="AN24" s="20" t="n">
        <f aca="false">IF(AM24&gt;PR_BalDone,AM24+AM24*(D_iC)-MIN(F_CardPayM,AM24+AM24*(D_iC)),AM24)</f>
        <v>0</v>
      </c>
      <c r="AO24" s="20" t="n">
        <f aca="false">IF(AN24&gt;PR_BalDone,AN24+AN24*(D_iC)-MIN(F_CardPayM,AN24+AN24*(D_iC)),AN24)</f>
        <v>0</v>
      </c>
      <c r="AP24" s="20" t="n">
        <f aca="false">IF(AO24&gt;PR_BalDone,AO24+AO24*(D_iC)-MIN(F_CardPayM,AO24+AO24*(D_iC)),AO24)</f>
        <v>0</v>
      </c>
      <c r="AQ24" s="20" t="n">
        <f aca="false">IF(AD24&gt;PR_BalDone,MIN(F_CardPayM,AD24+AD24*(D_iC)),0)</f>
        <v>0</v>
      </c>
      <c r="AR24" s="20" t="n">
        <f aca="false">IF(AE24&gt;PR_BalDone,MIN(F_CardPayM,AE24+AE24*(D_iC)),0)</f>
        <v>0</v>
      </c>
      <c r="AS24" s="20" t="n">
        <f aca="false">IF(AF24&gt;PR_BalDone,MIN(F_CardPayM,AF24+AF24*(D_iC)),0)</f>
        <v>0</v>
      </c>
      <c r="AT24" s="20" t="n">
        <f aca="false">IF(AG24&gt;PR_BalDone,MIN(F_CardPayM,AG24+AG24*(D_iC)),0)</f>
        <v>0</v>
      </c>
      <c r="AU24" s="20" t="n">
        <f aca="false">IF(AH24&gt;PR_BalDone,MIN(F_CardPayM,AH24+AH24*(D_iC)),0)</f>
        <v>0</v>
      </c>
      <c r="AV24" s="20" t="n">
        <f aca="false">IF(AI24&gt;PR_BalDone,MIN(F_CardPayM,AI24+AI24*(D_iC)),0)</f>
        <v>0</v>
      </c>
      <c r="AW24" s="20" t="n">
        <f aca="false">IF(AJ24&gt;PR_BalDone,MIN(F_CardPayM,AJ24+AJ24*(D_iC)),0)</f>
        <v>0</v>
      </c>
      <c r="AX24" s="20" t="n">
        <f aca="false">IF(AK24&gt;PR_BalDone,MIN(F_CardPayM,AK24+AK24*(D_iC)),0)</f>
        <v>0</v>
      </c>
      <c r="AY24" s="20" t="n">
        <f aca="false">IF(AL24&gt;PR_BalDone,MIN(F_CardPayM,AL24+AL24*(D_iC)),0)</f>
        <v>0</v>
      </c>
      <c r="AZ24" s="20" t="n">
        <f aca="false">IF(AM24&gt;PR_BalDone,MIN(F_CardPayM,AM24+AM24*(D_iC)),0)</f>
        <v>0</v>
      </c>
      <c r="BA24" s="20" t="n">
        <f aca="false">IF(AN24&gt;PR_BalDone,MIN(F_CardPayM,AN24+AN24*(D_iC)),0)</f>
        <v>0</v>
      </c>
      <c r="BB24" s="20" t="n">
        <f aca="false">IF(AO24&gt;PR_BalDone,MIN(F_CardPayM,AO24+AO24*(D_iC)),0)</f>
        <v>0</v>
      </c>
      <c r="BC24" s="20" t="n">
        <f aca="false">MAX(0,AP24)</f>
        <v>0</v>
      </c>
      <c r="BD24" s="20" t="n">
        <f aca="false">SUM(AQ24:BB24)</f>
        <v>0</v>
      </c>
      <c r="BE24" s="20" t="n">
        <f aca="false">'Plan cashflow'!P24</f>
        <v>0</v>
      </c>
      <c r="BF24" s="20" t="n">
        <f aca="false">IF(BE24&gt;PR_BalDone,BE24+BE24*(D_iL)-MIN(F_LoanPayM,BE24+BE24*(D_iL)),BE24)</f>
        <v>0</v>
      </c>
      <c r="BG24" s="20" t="n">
        <f aca="false">IF(BF24&gt;PR_BalDone,BF24+BF24*(D_iL)-MIN(F_LoanPayM,BF24+BF24*(D_iL)),BF24)</f>
        <v>0</v>
      </c>
      <c r="BH24" s="20" t="n">
        <f aca="false">IF(BG24&gt;PR_BalDone,BG24+BG24*(D_iL)-MIN(F_LoanPayM,BG24+BG24*(D_iL)),BG24)</f>
        <v>0</v>
      </c>
      <c r="BI24" s="20" t="n">
        <f aca="false">IF(BH24&gt;PR_BalDone,BH24+BH24*(D_iL)-MIN(F_LoanPayM,BH24+BH24*(D_iL)),BH24)</f>
        <v>0</v>
      </c>
      <c r="BJ24" s="20" t="n">
        <f aca="false">IF(BI24&gt;PR_BalDone,BI24+BI24*(D_iL)-MIN(F_LoanPayM,BI24+BI24*(D_iL)),BI24)</f>
        <v>0</v>
      </c>
      <c r="BK24" s="20" t="n">
        <f aca="false">IF(BJ24&gt;PR_BalDone,BJ24+BJ24*(D_iL)-MIN(F_LoanPayM,BJ24+BJ24*(D_iL)),BJ24)</f>
        <v>0</v>
      </c>
      <c r="BL24" s="20" t="n">
        <f aca="false">IF(BK24&gt;PR_BalDone,BK24+BK24*(D_iL)-MIN(F_LoanPayM,BK24+BK24*(D_iL)),BK24)</f>
        <v>0</v>
      </c>
      <c r="BM24" s="20" t="n">
        <f aca="false">IF(BL24&gt;PR_BalDone,BL24+BL24*(D_iL)-MIN(F_LoanPayM,BL24+BL24*(D_iL)),BL24)</f>
        <v>0</v>
      </c>
      <c r="BN24" s="20" t="n">
        <f aca="false">IF(BM24&gt;PR_BalDone,BM24+BM24*(D_iL)-MIN(F_LoanPayM,BM24+BM24*(D_iL)),BM24)</f>
        <v>0</v>
      </c>
      <c r="BO24" s="20" t="n">
        <f aca="false">IF(BN24&gt;PR_BalDone,BN24+BN24*(D_iL)-MIN(F_LoanPayM,BN24+BN24*(D_iL)),BN24)</f>
        <v>0</v>
      </c>
      <c r="BP24" s="20" t="n">
        <f aca="false">IF(BO24&gt;PR_BalDone,BO24+BO24*(D_iL)-MIN(F_LoanPayM,BO24+BO24*(D_iL)),BO24)</f>
        <v>0</v>
      </c>
      <c r="BQ24" s="20" t="n">
        <f aca="false">IF(BP24&gt;PR_BalDone,BP24+BP24*(D_iL)-MIN(F_LoanPayM,BP24+BP24*(D_iL)),BP24)</f>
        <v>0</v>
      </c>
      <c r="BR24" s="20" t="n">
        <f aca="false">IF(BE24&gt;PR_BalDone,MIN(F_LoanPayM,BE24+BE24*(D_iL)),0)</f>
        <v>0</v>
      </c>
      <c r="BS24" s="20" t="n">
        <f aca="false">IF(BF24&gt;PR_BalDone,MIN(F_LoanPayM,BF24+BF24*(D_iL)),0)</f>
        <v>0</v>
      </c>
      <c r="BT24" s="20" t="n">
        <f aca="false">IF(BG24&gt;PR_BalDone,MIN(F_LoanPayM,BG24+BG24*(D_iL)),0)</f>
        <v>0</v>
      </c>
      <c r="BU24" s="20" t="n">
        <f aca="false">IF(BH24&gt;PR_BalDone,MIN(F_LoanPayM,BH24+BH24*(D_iL)),0)</f>
        <v>0</v>
      </c>
      <c r="BV24" s="20" t="n">
        <f aca="false">IF(BI24&gt;PR_BalDone,MIN(F_LoanPayM,BI24+BI24*(D_iL)),0)</f>
        <v>0</v>
      </c>
      <c r="BW24" s="20" t="n">
        <f aca="false">IF(BJ24&gt;PR_BalDone,MIN(F_LoanPayM,BJ24+BJ24*(D_iL)),0)</f>
        <v>0</v>
      </c>
      <c r="BX24" s="20" t="n">
        <f aca="false">IF(BK24&gt;PR_BalDone,MIN(F_LoanPayM,BK24+BK24*(D_iL)),0)</f>
        <v>0</v>
      </c>
      <c r="BY24" s="20" t="n">
        <f aca="false">IF(BL24&gt;PR_BalDone,MIN(F_LoanPayM,BL24+BL24*(D_iL)),0)</f>
        <v>0</v>
      </c>
      <c r="BZ24" s="20" t="n">
        <f aca="false">IF(BM24&gt;PR_BalDone,MIN(F_LoanPayM,BM24+BM24*(D_iL)),0)</f>
        <v>0</v>
      </c>
      <c r="CA24" s="20" t="n">
        <f aca="false">IF(BN24&gt;PR_BalDone,MIN(F_LoanPayM,BN24+BN24*(D_iL)),0)</f>
        <v>0</v>
      </c>
      <c r="CB24" s="20" t="n">
        <f aca="false">IF(BO24&gt;PR_BalDone,MIN(F_LoanPayM,BO24+BO24*(D_iL)),0)</f>
        <v>0</v>
      </c>
      <c r="CC24" s="20" t="n">
        <f aca="false">IF(BP24&gt;PR_BalDone,MIN(F_LoanPayM,BP24+BP24*(D_iL)),0)</f>
        <v>0</v>
      </c>
      <c r="CD24" s="20" t="n">
        <f aca="false">MAX(0,BQ24)</f>
        <v>0</v>
      </c>
      <c r="CE24" s="20" t="n">
        <f aca="false">SUM(BR24:CC24)</f>
        <v>0</v>
      </c>
      <c r="CF24" s="20" t="n">
        <f aca="false">IF(CF23&gt;1,DE23,CF23)</f>
        <v>64273.7411370787</v>
      </c>
      <c r="CG24" s="20" t="n">
        <f aca="false">IF(CF24&gt;PR_BalDone,CF24+CF24*(F_MR/12)-MIN(F_MortPayM,CF24+CF24*(F_MR/12)),CF24)</f>
        <v>63299.9527232268</v>
      </c>
      <c r="CH24" s="20" t="n">
        <f aca="false">IF(CG24&gt;PR_BalDone,CG24+CG24*(F_MR/12)-MIN(F_MortPayM,CG24+CG24*(F_MR/12)),CG24)</f>
        <v>62323.0400715472</v>
      </c>
      <c r="CI24" s="20" t="n">
        <f aca="false">IF(CH24&gt;PR_BalDone,CH24+CH24*(F_MR/12)-MIN(F_MortPayM,CH24+CH24*(F_MR/12)),CH24)</f>
        <v>61342.9931584434</v>
      </c>
      <c r="CJ24" s="20" t="n">
        <f aca="false">IF(CI24&gt;PR_BalDone,CI24+CI24*(F_MR/12)-MIN(F_MortPayM,CI24+CI24*(F_MR/12)),CI24)</f>
        <v>60359.80192816</v>
      </c>
      <c r="CK24" s="20" t="n">
        <f aca="false">IF(CJ24&gt;PR_BalDone,CJ24+CJ24*(F_MR/12)-MIN(F_MortPayM,CJ24+CJ24*(F_MR/12)),CJ24)</f>
        <v>59373.4562926796</v>
      </c>
      <c r="CL24" s="20" t="n">
        <f aca="false">IF(CK24&gt;PR_BalDone,CK24+CK24*(F_MR/12)-MIN(F_MortPayM,CK24+CK24*(F_MR/12)),CK24)</f>
        <v>58383.9461316186</v>
      </c>
      <c r="CM24" s="20" t="n">
        <f aca="false">IF(CL24&gt;PR_BalDone,CL24+CL24*(F_MR/12)-MIN(F_MortPayM,CL24+CL24*(F_MR/12)),CL24)</f>
        <v>57391.2612921242</v>
      </c>
      <c r="CN24" s="20" t="n">
        <f aca="false">IF(CM24&gt;PR_BalDone,CM24+CM24*(F_MR/12)-MIN(F_MortPayM,CM24+CM24*(F_MR/12)),CM24)</f>
        <v>56395.3915887697</v>
      </c>
      <c r="CO24" s="20" t="n">
        <f aca="false">IF(CN24&gt;PR_BalDone,CN24+CN24*(F_MR/12)-MIN(F_MortPayM,CN24+CN24*(F_MR/12)),CN24)</f>
        <v>55396.3268034504</v>
      </c>
      <c r="CP24" s="20" t="n">
        <f aca="false">IF(CO24&gt;PR_BalDone,CO24+CO24*(F_MR/12)-MIN(F_MortPayM,CO24+CO24*(F_MR/12)),CO24)</f>
        <v>54394.0566852781</v>
      </c>
      <c r="CQ24" s="20" t="n">
        <f aca="false">IF(CP24&gt;PR_BalDone,CP24+CP24*(F_MR/12)-MIN(F_MortPayM,CP24+CP24*(F_MR/12)),CP24)</f>
        <v>53388.5709504767</v>
      </c>
      <c r="CR24" s="20" t="n">
        <f aca="false">IF(CQ24&gt;PR_BalDone,CQ24+CQ24*(F_MR/12)-MIN(F_MortPayM,CQ24+CQ24*(F_MR/12)),CQ24)</f>
        <v>52379.8592822762</v>
      </c>
      <c r="CS24" s="20" t="n">
        <f aca="false">IF(CF24&gt;PR_BalDone,MIN(F_MortPayM,CF24+CF24*(F_MR/12)),0)</f>
        <v>1180</v>
      </c>
      <c r="CT24" s="20" t="n">
        <f aca="false">IF(CG24&gt;PR_BalDone,MIN(F_MortPayM,CG24+CG24*(F_MR/12)),0)</f>
        <v>1180</v>
      </c>
      <c r="CU24" s="20" t="n">
        <f aca="false">IF(CH24&gt;PR_BalDone,MIN(F_MortPayM,CH24+CH24*(F_MR/12)),0)</f>
        <v>1180</v>
      </c>
      <c r="CV24" s="20" t="n">
        <f aca="false">IF(CI24&gt;PR_BalDone,MIN(F_MortPayM,CI24+CI24*(F_MR/12)),0)</f>
        <v>1180</v>
      </c>
      <c r="CW24" s="20" t="n">
        <f aca="false">IF(CJ24&gt;PR_BalDone,MIN(F_MortPayM,CJ24+CJ24*(F_MR/12)),0)</f>
        <v>1180</v>
      </c>
      <c r="CX24" s="20" t="n">
        <f aca="false">IF(CK24&gt;PR_BalDone,MIN(F_MortPayM,CK24+CK24*(F_MR/12)),0)</f>
        <v>1180</v>
      </c>
      <c r="CY24" s="20" t="n">
        <f aca="false">IF(CL24&gt;PR_BalDone,MIN(F_MortPayM,CL24+CL24*(F_MR/12)),0)</f>
        <v>1180</v>
      </c>
      <c r="CZ24" s="20" t="n">
        <f aca="false">IF(CM24&gt;PR_BalDone,MIN(F_MortPayM,CM24+CM24*(F_MR/12)),0)</f>
        <v>1180</v>
      </c>
      <c r="DA24" s="20" t="n">
        <f aca="false">IF(CN24&gt;PR_BalDone,MIN(F_MortPayM,CN24+CN24*(F_MR/12)),0)</f>
        <v>1180</v>
      </c>
      <c r="DB24" s="20" t="n">
        <f aca="false">IF(CO24&gt;PR_BalDone,MIN(F_MortPayM,CO24+CO24*(F_MR/12)),0)</f>
        <v>1180</v>
      </c>
      <c r="DC24" s="20" t="n">
        <f aca="false">IF(CP24&gt;PR_BalDone,MIN(F_MortPayM,CP24+CP24*(F_MR/12)),0)</f>
        <v>1180</v>
      </c>
      <c r="DD24" s="20" t="n">
        <f aca="false">IF(CQ24&gt;PR_BalDone,MIN(F_MortPayM,CQ24+CQ24*(F_MR/12)),0)</f>
        <v>1180</v>
      </c>
      <c r="DE24" s="20" t="n">
        <f aca="false">MAX(0,CR24)</f>
        <v>52379.8592822762</v>
      </c>
      <c r="DF24" s="20" t="n">
        <f aca="false">SUM(CS24:DD24)</f>
        <v>14160</v>
      </c>
      <c r="DG24" s="20" t="n">
        <f aca="false">MAX(0,CF24)</f>
        <v>64273.7411370787</v>
      </c>
    </row>
    <row r="25" customFormat="false" ht="15" hidden="false" customHeight="true" outlineLevel="0" collapsed="false">
      <c r="B25" s="20" t="n">
        <v>17</v>
      </c>
      <c r="C25" s="20" t="n">
        <f aca="false">'Plan cashflow'!J25</f>
        <v>52379.8592822762</v>
      </c>
      <c r="D25" s="20" t="n">
        <f aca="false">IF(C25&gt;PR_BalDone,C25+C25*(F_MR/12)-MIN(F_MortPayM,C25+C25*(F_MR/12)),C25)</f>
        <v>51367.9113308068</v>
      </c>
      <c r="E25" s="20" t="n">
        <f aca="false">IF(D25&gt;PR_BalDone,D25+D25*(F_MR/12)-MIN(F_MortPayM,D25+D25*(F_MR/12)),D25)</f>
        <v>50352.7167129931</v>
      </c>
      <c r="F25" s="20" t="n">
        <f aca="false">IF(E25&gt;PR_BalDone,E25+E25*(F_MR/12)-MIN(F_MortPayM,E25+E25*(F_MR/12)),E25)</f>
        <v>49334.2650124473</v>
      </c>
      <c r="G25" s="20" t="n">
        <f aca="false">IF(F25&gt;PR_BalDone,F25+F25*(F_MR/12)-MIN(F_MortPayM,F25+F25*(F_MR/12)),F25)</f>
        <v>48312.5457793623</v>
      </c>
      <c r="H25" s="20" t="n">
        <f aca="false">IF(G25&gt;PR_BalDone,G25+G25*(F_MR/12)-MIN(F_MortPayM,G25+G25*(F_MR/12)),G25)</f>
        <v>47287.5485304044</v>
      </c>
      <c r="I25" s="20" t="n">
        <f aca="false">IF(H25&gt;PR_BalDone,H25+H25*(F_MR/12)-MIN(F_MortPayM,H25+H25*(F_MR/12)),H25)</f>
        <v>46259.2627486061</v>
      </c>
      <c r="J25" s="20" t="n">
        <f aca="false">IF(I25&gt;PR_BalDone,I25+I25*(F_MR/12)-MIN(F_MortPayM,I25+I25*(F_MR/12)),I25)</f>
        <v>45227.6778832579</v>
      </c>
      <c r="K25" s="20" t="n">
        <f aca="false">IF(J25&gt;PR_BalDone,J25+J25*(F_MR/12)-MIN(F_MortPayM,J25+J25*(F_MR/12)),J25)</f>
        <v>44192.7833498</v>
      </c>
      <c r="L25" s="20" t="n">
        <f aca="false">IF(K25&gt;PR_BalDone,K25+K25*(F_MR/12)-MIN(F_MortPayM,K25+K25*(F_MR/12)),K25)</f>
        <v>43154.5685297139</v>
      </c>
      <c r="M25" s="20" t="n">
        <f aca="false">IF(L25&gt;PR_BalDone,L25+L25*(F_MR/12)-MIN(F_MortPayM,L25+L25*(F_MR/12)),L25)</f>
        <v>42113.0227704134</v>
      </c>
      <c r="N25" s="20" t="n">
        <f aca="false">IF(M25&gt;PR_BalDone,M25+M25*(F_MR/12)-MIN(F_MortPayM,M25+M25*(F_MR/12)),M25)</f>
        <v>41068.1353851352</v>
      </c>
      <c r="O25" s="20" t="n">
        <f aca="false">IF(N25&gt;PR_BalDone,N25+N25*(F_MR/12)-MIN(F_MortPayM,N25+N25*(F_MR/12)),N25)</f>
        <v>40019.8956528291</v>
      </c>
      <c r="P25" s="20" t="n">
        <f aca="false">IF(C25&gt;PR_BalDone,MIN(F_MortPayM,C25+C25*(F_MR/12)),0)</f>
        <v>1180</v>
      </c>
      <c r="Q25" s="20" t="n">
        <f aca="false">IF(D25&gt;PR_BalDone,MIN(F_MortPayM,D25+D25*(F_MR/12)),0)</f>
        <v>1180</v>
      </c>
      <c r="R25" s="20" t="n">
        <f aca="false">IF(E25&gt;PR_BalDone,MIN(F_MortPayM,E25+E25*(F_MR/12)),0)</f>
        <v>1180</v>
      </c>
      <c r="S25" s="20" t="n">
        <f aca="false">IF(F25&gt;PR_BalDone,MIN(F_MortPayM,F25+F25*(F_MR/12)),0)</f>
        <v>1180</v>
      </c>
      <c r="T25" s="20" t="n">
        <f aca="false">IF(G25&gt;PR_BalDone,MIN(F_MortPayM,G25+G25*(F_MR/12)),0)</f>
        <v>1180</v>
      </c>
      <c r="U25" s="20" t="n">
        <f aca="false">IF(H25&gt;PR_BalDone,MIN(F_MortPayM,H25+H25*(F_MR/12)),0)</f>
        <v>1180</v>
      </c>
      <c r="V25" s="20" t="n">
        <f aca="false">IF(I25&gt;PR_BalDone,MIN(F_MortPayM,I25+I25*(F_MR/12)),0)</f>
        <v>1180</v>
      </c>
      <c r="W25" s="20" t="n">
        <f aca="false">IF(J25&gt;PR_BalDone,MIN(F_MortPayM,J25+J25*(F_MR/12)),0)</f>
        <v>1180</v>
      </c>
      <c r="X25" s="20" t="n">
        <f aca="false">IF(K25&gt;PR_BalDone,MIN(F_MortPayM,K25+K25*(F_MR/12)),0)</f>
        <v>1180</v>
      </c>
      <c r="Y25" s="20" t="n">
        <f aca="false">IF(L25&gt;PR_BalDone,MIN(F_MortPayM,L25+L25*(F_MR/12)),0)</f>
        <v>1180</v>
      </c>
      <c r="Z25" s="20" t="n">
        <f aca="false">IF(M25&gt;PR_BalDone,MIN(F_MortPayM,M25+M25*(F_MR/12)),0)</f>
        <v>1180</v>
      </c>
      <c r="AA25" s="20" t="n">
        <f aca="false">IF(N25&gt;PR_BalDone,MIN(F_MortPayM,N25+N25*(F_MR/12)),0)</f>
        <v>1180</v>
      </c>
      <c r="AB25" s="20" t="n">
        <f aca="false">MAX(0,O25)</f>
        <v>40019.8956528291</v>
      </c>
      <c r="AC25" s="20" t="n">
        <f aca="false">SUM(P25:AA25)</f>
        <v>14160</v>
      </c>
      <c r="AD25" s="20" t="n">
        <f aca="false">'Plan cashflow'!M25</f>
        <v>0</v>
      </c>
      <c r="AE25" s="20" t="n">
        <f aca="false">IF(AD25&gt;PR_BalDone,AD25+AD25*(D_iC)-MIN(F_CardPayM,AD25+AD25*(D_iC)),AD25)</f>
        <v>0</v>
      </c>
      <c r="AF25" s="20" t="n">
        <f aca="false">IF(AE25&gt;PR_BalDone,AE25+AE25*(D_iC)-MIN(F_CardPayM,AE25+AE25*(D_iC)),AE25)</f>
        <v>0</v>
      </c>
      <c r="AG25" s="20" t="n">
        <f aca="false">IF(AF25&gt;PR_BalDone,AF25+AF25*(D_iC)-MIN(F_CardPayM,AF25+AF25*(D_iC)),AF25)</f>
        <v>0</v>
      </c>
      <c r="AH25" s="20" t="n">
        <f aca="false">IF(AG25&gt;PR_BalDone,AG25+AG25*(D_iC)-MIN(F_CardPayM,AG25+AG25*(D_iC)),AG25)</f>
        <v>0</v>
      </c>
      <c r="AI25" s="20" t="n">
        <f aca="false">IF(AH25&gt;PR_BalDone,AH25+AH25*(D_iC)-MIN(F_CardPayM,AH25+AH25*(D_iC)),AH25)</f>
        <v>0</v>
      </c>
      <c r="AJ25" s="20" t="n">
        <f aca="false">IF(AI25&gt;PR_BalDone,AI25+AI25*(D_iC)-MIN(F_CardPayM,AI25+AI25*(D_iC)),AI25)</f>
        <v>0</v>
      </c>
      <c r="AK25" s="20" t="n">
        <f aca="false">IF(AJ25&gt;PR_BalDone,AJ25+AJ25*(D_iC)-MIN(F_CardPayM,AJ25+AJ25*(D_iC)),AJ25)</f>
        <v>0</v>
      </c>
      <c r="AL25" s="20" t="n">
        <f aca="false">IF(AK25&gt;PR_BalDone,AK25+AK25*(D_iC)-MIN(F_CardPayM,AK25+AK25*(D_iC)),AK25)</f>
        <v>0</v>
      </c>
      <c r="AM25" s="20" t="n">
        <f aca="false">IF(AL25&gt;PR_BalDone,AL25+AL25*(D_iC)-MIN(F_CardPayM,AL25+AL25*(D_iC)),AL25)</f>
        <v>0</v>
      </c>
      <c r="AN25" s="20" t="n">
        <f aca="false">IF(AM25&gt;PR_BalDone,AM25+AM25*(D_iC)-MIN(F_CardPayM,AM25+AM25*(D_iC)),AM25)</f>
        <v>0</v>
      </c>
      <c r="AO25" s="20" t="n">
        <f aca="false">IF(AN25&gt;PR_BalDone,AN25+AN25*(D_iC)-MIN(F_CardPayM,AN25+AN25*(D_iC)),AN25)</f>
        <v>0</v>
      </c>
      <c r="AP25" s="20" t="n">
        <f aca="false">IF(AO25&gt;PR_BalDone,AO25+AO25*(D_iC)-MIN(F_CardPayM,AO25+AO25*(D_iC)),AO25)</f>
        <v>0</v>
      </c>
      <c r="AQ25" s="20" t="n">
        <f aca="false">IF(AD25&gt;PR_BalDone,MIN(F_CardPayM,AD25+AD25*(D_iC)),0)</f>
        <v>0</v>
      </c>
      <c r="AR25" s="20" t="n">
        <f aca="false">IF(AE25&gt;PR_BalDone,MIN(F_CardPayM,AE25+AE25*(D_iC)),0)</f>
        <v>0</v>
      </c>
      <c r="AS25" s="20" t="n">
        <f aca="false">IF(AF25&gt;PR_BalDone,MIN(F_CardPayM,AF25+AF25*(D_iC)),0)</f>
        <v>0</v>
      </c>
      <c r="AT25" s="20" t="n">
        <f aca="false">IF(AG25&gt;PR_BalDone,MIN(F_CardPayM,AG25+AG25*(D_iC)),0)</f>
        <v>0</v>
      </c>
      <c r="AU25" s="20" t="n">
        <f aca="false">IF(AH25&gt;PR_BalDone,MIN(F_CardPayM,AH25+AH25*(D_iC)),0)</f>
        <v>0</v>
      </c>
      <c r="AV25" s="20" t="n">
        <f aca="false">IF(AI25&gt;PR_BalDone,MIN(F_CardPayM,AI25+AI25*(D_iC)),0)</f>
        <v>0</v>
      </c>
      <c r="AW25" s="20" t="n">
        <f aca="false">IF(AJ25&gt;PR_BalDone,MIN(F_CardPayM,AJ25+AJ25*(D_iC)),0)</f>
        <v>0</v>
      </c>
      <c r="AX25" s="20" t="n">
        <f aca="false">IF(AK25&gt;PR_BalDone,MIN(F_CardPayM,AK25+AK25*(D_iC)),0)</f>
        <v>0</v>
      </c>
      <c r="AY25" s="20" t="n">
        <f aca="false">IF(AL25&gt;PR_BalDone,MIN(F_CardPayM,AL25+AL25*(D_iC)),0)</f>
        <v>0</v>
      </c>
      <c r="AZ25" s="20" t="n">
        <f aca="false">IF(AM25&gt;PR_BalDone,MIN(F_CardPayM,AM25+AM25*(D_iC)),0)</f>
        <v>0</v>
      </c>
      <c r="BA25" s="20" t="n">
        <f aca="false">IF(AN25&gt;PR_BalDone,MIN(F_CardPayM,AN25+AN25*(D_iC)),0)</f>
        <v>0</v>
      </c>
      <c r="BB25" s="20" t="n">
        <f aca="false">IF(AO25&gt;PR_BalDone,MIN(F_CardPayM,AO25+AO25*(D_iC)),0)</f>
        <v>0</v>
      </c>
      <c r="BC25" s="20" t="n">
        <f aca="false">MAX(0,AP25)</f>
        <v>0</v>
      </c>
      <c r="BD25" s="20" t="n">
        <f aca="false">SUM(AQ25:BB25)</f>
        <v>0</v>
      </c>
      <c r="BE25" s="20" t="n">
        <f aca="false">'Plan cashflow'!P25</f>
        <v>0</v>
      </c>
      <c r="BF25" s="20" t="n">
        <f aca="false">IF(BE25&gt;PR_BalDone,BE25+BE25*(D_iL)-MIN(F_LoanPayM,BE25+BE25*(D_iL)),BE25)</f>
        <v>0</v>
      </c>
      <c r="BG25" s="20" t="n">
        <f aca="false">IF(BF25&gt;PR_BalDone,BF25+BF25*(D_iL)-MIN(F_LoanPayM,BF25+BF25*(D_iL)),BF25)</f>
        <v>0</v>
      </c>
      <c r="BH25" s="20" t="n">
        <f aca="false">IF(BG25&gt;PR_BalDone,BG25+BG25*(D_iL)-MIN(F_LoanPayM,BG25+BG25*(D_iL)),BG25)</f>
        <v>0</v>
      </c>
      <c r="BI25" s="20" t="n">
        <f aca="false">IF(BH25&gt;PR_BalDone,BH25+BH25*(D_iL)-MIN(F_LoanPayM,BH25+BH25*(D_iL)),BH25)</f>
        <v>0</v>
      </c>
      <c r="BJ25" s="20" t="n">
        <f aca="false">IF(BI25&gt;PR_BalDone,BI25+BI25*(D_iL)-MIN(F_LoanPayM,BI25+BI25*(D_iL)),BI25)</f>
        <v>0</v>
      </c>
      <c r="BK25" s="20" t="n">
        <f aca="false">IF(BJ25&gt;PR_BalDone,BJ25+BJ25*(D_iL)-MIN(F_LoanPayM,BJ25+BJ25*(D_iL)),BJ25)</f>
        <v>0</v>
      </c>
      <c r="BL25" s="20" t="n">
        <f aca="false">IF(BK25&gt;PR_BalDone,BK25+BK25*(D_iL)-MIN(F_LoanPayM,BK25+BK25*(D_iL)),BK25)</f>
        <v>0</v>
      </c>
      <c r="BM25" s="20" t="n">
        <f aca="false">IF(BL25&gt;PR_BalDone,BL25+BL25*(D_iL)-MIN(F_LoanPayM,BL25+BL25*(D_iL)),BL25)</f>
        <v>0</v>
      </c>
      <c r="BN25" s="20" t="n">
        <f aca="false">IF(BM25&gt;PR_BalDone,BM25+BM25*(D_iL)-MIN(F_LoanPayM,BM25+BM25*(D_iL)),BM25)</f>
        <v>0</v>
      </c>
      <c r="BO25" s="20" t="n">
        <f aca="false">IF(BN25&gt;PR_BalDone,BN25+BN25*(D_iL)-MIN(F_LoanPayM,BN25+BN25*(D_iL)),BN25)</f>
        <v>0</v>
      </c>
      <c r="BP25" s="20" t="n">
        <f aca="false">IF(BO25&gt;PR_BalDone,BO25+BO25*(D_iL)-MIN(F_LoanPayM,BO25+BO25*(D_iL)),BO25)</f>
        <v>0</v>
      </c>
      <c r="BQ25" s="20" t="n">
        <f aca="false">IF(BP25&gt;PR_BalDone,BP25+BP25*(D_iL)-MIN(F_LoanPayM,BP25+BP25*(D_iL)),BP25)</f>
        <v>0</v>
      </c>
      <c r="BR25" s="20" t="n">
        <f aca="false">IF(BE25&gt;PR_BalDone,MIN(F_LoanPayM,BE25+BE25*(D_iL)),0)</f>
        <v>0</v>
      </c>
      <c r="BS25" s="20" t="n">
        <f aca="false">IF(BF25&gt;PR_BalDone,MIN(F_LoanPayM,BF25+BF25*(D_iL)),0)</f>
        <v>0</v>
      </c>
      <c r="BT25" s="20" t="n">
        <f aca="false">IF(BG25&gt;PR_BalDone,MIN(F_LoanPayM,BG25+BG25*(D_iL)),0)</f>
        <v>0</v>
      </c>
      <c r="BU25" s="20" t="n">
        <f aca="false">IF(BH25&gt;PR_BalDone,MIN(F_LoanPayM,BH25+BH25*(D_iL)),0)</f>
        <v>0</v>
      </c>
      <c r="BV25" s="20" t="n">
        <f aca="false">IF(BI25&gt;PR_BalDone,MIN(F_LoanPayM,BI25+BI25*(D_iL)),0)</f>
        <v>0</v>
      </c>
      <c r="BW25" s="20" t="n">
        <f aca="false">IF(BJ25&gt;PR_BalDone,MIN(F_LoanPayM,BJ25+BJ25*(D_iL)),0)</f>
        <v>0</v>
      </c>
      <c r="BX25" s="20" t="n">
        <f aca="false">IF(BK25&gt;PR_BalDone,MIN(F_LoanPayM,BK25+BK25*(D_iL)),0)</f>
        <v>0</v>
      </c>
      <c r="BY25" s="20" t="n">
        <f aca="false">IF(BL25&gt;PR_BalDone,MIN(F_LoanPayM,BL25+BL25*(D_iL)),0)</f>
        <v>0</v>
      </c>
      <c r="BZ25" s="20" t="n">
        <f aca="false">IF(BM25&gt;PR_BalDone,MIN(F_LoanPayM,BM25+BM25*(D_iL)),0)</f>
        <v>0</v>
      </c>
      <c r="CA25" s="20" t="n">
        <f aca="false">IF(BN25&gt;PR_BalDone,MIN(F_LoanPayM,BN25+BN25*(D_iL)),0)</f>
        <v>0</v>
      </c>
      <c r="CB25" s="20" t="n">
        <f aca="false">IF(BO25&gt;PR_BalDone,MIN(F_LoanPayM,BO25+BO25*(D_iL)),0)</f>
        <v>0</v>
      </c>
      <c r="CC25" s="20" t="n">
        <f aca="false">IF(BP25&gt;PR_BalDone,MIN(F_LoanPayM,BP25+BP25*(D_iL)),0)</f>
        <v>0</v>
      </c>
      <c r="CD25" s="20" t="n">
        <f aca="false">MAX(0,BQ25)</f>
        <v>0</v>
      </c>
      <c r="CE25" s="20" t="n">
        <f aca="false">SUM(BR25:CC25)</f>
        <v>0</v>
      </c>
      <c r="CF25" s="20" t="n">
        <f aca="false">IF(CF24&gt;1,DE24,CF24)</f>
        <v>52379.8592822762</v>
      </c>
      <c r="CG25" s="20" t="n">
        <f aca="false">IF(CF25&gt;PR_BalDone,CF25+CF25*(F_MR/12)-MIN(F_MortPayM,CF25+CF25*(F_MR/12)),CF25)</f>
        <v>51367.9113308068</v>
      </c>
      <c r="CH25" s="20" t="n">
        <f aca="false">IF(CG25&gt;PR_BalDone,CG25+CG25*(F_MR/12)-MIN(F_MortPayM,CG25+CG25*(F_MR/12)),CG25)</f>
        <v>50352.7167129931</v>
      </c>
      <c r="CI25" s="20" t="n">
        <f aca="false">IF(CH25&gt;PR_BalDone,CH25+CH25*(F_MR/12)-MIN(F_MortPayM,CH25+CH25*(F_MR/12)),CH25)</f>
        <v>49334.2650124473</v>
      </c>
      <c r="CJ25" s="20" t="n">
        <f aca="false">IF(CI25&gt;PR_BalDone,CI25+CI25*(F_MR/12)-MIN(F_MortPayM,CI25+CI25*(F_MR/12)),CI25)</f>
        <v>48312.5457793623</v>
      </c>
      <c r="CK25" s="20" t="n">
        <f aca="false">IF(CJ25&gt;PR_BalDone,CJ25+CJ25*(F_MR/12)-MIN(F_MortPayM,CJ25+CJ25*(F_MR/12)),CJ25)</f>
        <v>47287.5485304044</v>
      </c>
      <c r="CL25" s="20" t="n">
        <f aca="false">IF(CK25&gt;PR_BalDone,CK25+CK25*(F_MR/12)-MIN(F_MortPayM,CK25+CK25*(F_MR/12)),CK25)</f>
        <v>46259.2627486061</v>
      </c>
      <c r="CM25" s="20" t="n">
        <f aca="false">IF(CL25&gt;PR_BalDone,CL25+CL25*(F_MR/12)-MIN(F_MortPayM,CL25+CL25*(F_MR/12)),CL25)</f>
        <v>45227.6778832579</v>
      </c>
      <c r="CN25" s="20" t="n">
        <f aca="false">IF(CM25&gt;PR_BalDone,CM25+CM25*(F_MR/12)-MIN(F_MortPayM,CM25+CM25*(F_MR/12)),CM25)</f>
        <v>44192.7833498</v>
      </c>
      <c r="CO25" s="20" t="n">
        <f aca="false">IF(CN25&gt;PR_BalDone,CN25+CN25*(F_MR/12)-MIN(F_MortPayM,CN25+CN25*(F_MR/12)),CN25)</f>
        <v>43154.5685297139</v>
      </c>
      <c r="CP25" s="20" t="n">
        <f aca="false">IF(CO25&gt;PR_BalDone,CO25+CO25*(F_MR/12)-MIN(F_MortPayM,CO25+CO25*(F_MR/12)),CO25)</f>
        <v>42113.0227704134</v>
      </c>
      <c r="CQ25" s="20" t="n">
        <f aca="false">IF(CP25&gt;PR_BalDone,CP25+CP25*(F_MR/12)-MIN(F_MortPayM,CP25+CP25*(F_MR/12)),CP25)</f>
        <v>41068.1353851352</v>
      </c>
      <c r="CR25" s="20" t="n">
        <f aca="false">IF(CQ25&gt;PR_BalDone,CQ25+CQ25*(F_MR/12)-MIN(F_MortPayM,CQ25+CQ25*(F_MR/12)),CQ25)</f>
        <v>40019.8956528291</v>
      </c>
      <c r="CS25" s="20" t="n">
        <f aca="false">IF(CF25&gt;PR_BalDone,MIN(F_MortPayM,CF25+CF25*(F_MR/12)),0)</f>
        <v>1180</v>
      </c>
      <c r="CT25" s="20" t="n">
        <f aca="false">IF(CG25&gt;PR_BalDone,MIN(F_MortPayM,CG25+CG25*(F_MR/12)),0)</f>
        <v>1180</v>
      </c>
      <c r="CU25" s="20" t="n">
        <f aca="false">IF(CH25&gt;PR_BalDone,MIN(F_MortPayM,CH25+CH25*(F_MR/12)),0)</f>
        <v>1180</v>
      </c>
      <c r="CV25" s="20" t="n">
        <f aca="false">IF(CI25&gt;PR_BalDone,MIN(F_MortPayM,CI25+CI25*(F_MR/12)),0)</f>
        <v>1180</v>
      </c>
      <c r="CW25" s="20" t="n">
        <f aca="false">IF(CJ25&gt;PR_BalDone,MIN(F_MortPayM,CJ25+CJ25*(F_MR/12)),0)</f>
        <v>1180</v>
      </c>
      <c r="CX25" s="20" t="n">
        <f aca="false">IF(CK25&gt;PR_BalDone,MIN(F_MortPayM,CK25+CK25*(F_MR/12)),0)</f>
        <v>1180</v>
      </c>
      <c r="CY25" s="20" t="n">
        <f aca="false">IF(CL25&gt;PR_BalDone,MIN(F_MortPayM,CL25+CL25*(F_MR/12)),0)</f>
        <v>1180</v>
      </c>
      <c r="CZ25" s="20" t="n">
        <f aca="false">IF(CM25&gt;PR_BalDone,MIN(F_MortPayM,CM25+CM25*(F_MR/12)),0)</f>
        <v>1180</v>
      </c>
      <c r="DA25" s="20" t="n">
        <f aca="false">IF(CN25&gt;PR_BalDone,MIN(F_MortPayM,CN25+CN25*(F_MR/12)),0)</f>
        <v>1180</v>
      </c>
      <c r="DB25" s="20" t="n">
        <f aca="false">IF(CO25&gt;PR_BalDone,MIN(F_MortPayM,CO25+CO25*(F_MR/12)),0)</f>
        <v>1180</v>
      </c>
      <c r="DC25" s="20" t="n">
        <f aca="false">IF(CP25&gt;PR_BalDone,MIN(F_MortPayM,CP25+CP25*(F_MR/12)),0)</f>
        <v>1180</v>
      </c>
      <c r="DD25" s="20" t="n">
        <f aca="false">IF(CQ25&gt;PR_BalDone,MIN(F_MortPayM,CQ25+CQ25*(F_MR/12)),0)</f>
        <v>1180</v>
      </c>
      <c r="DE25" s="20" t="n">
        <f aca="false">MAX(0,CR25)</f>
        <v>40019.8956528291</v>
      </c>
      <c r="DF25" s="20" t="n">
        <f aca="false">SUM(CS25:DD25)</f>
        <v>14160</v>
      </c>
      <c r="DG25" s="20" t="n">
        <f aca="false">MAX(0,CF25)</f>
        <v>52379.8592822762</v>
      </c>
    </row>
    <row r="26" customFormat="false" ht="15" hidden="false" customHeight="true" outlineLevel="0" collapsed="false">
      <c r="B26" s="20" t="n">
        <v>18</v>
      </c>
      <c r="C26" s="20" t="n">
        <f aca="false">'Plan cashflow'!J26</f>
        <v>0</v>
      </c>
      <c r="D26" s="20" t="n">
        <f aca="false">IF(C26&gt;PR_BalDone,C26+C26*(F_MR/12)-MIN(F_MortPayM,C26+C26*(F_MR/12)),C26)</f>
        <v>0</v>
      </c>
      <c r="E26" s="20" t="n">
        <f aca="false">IF(D26&gt;PR_BalDone,D26+D26*(F_MR/12)-MIN(F_MortPayM,D26+D26*(F_MR/12)),D26)</f>
        <v>0</v>
      </c>
      <c r="F26" s="20" t="n">
        <f aca="false">IF(E26&gt;PR_BalDone,E26+E26*(F_MR/12)-MIN(F_MortPayM,E26+E26*(F_MR/12)),E26)</f>
        <v>0</v>
      </c>
      <c r="G26" s="20" t="n">
        <f aca="false">IF(F26&gt;PR_BalDone,F26+F26*(F_MR/12)-MIN(F_MortPayM,F26+F26*(F_MR/12)),F26)</f>
        <v>0</v>
      </c>
      <c r="H26" s="20" t="n">
        <f aca="false">IF(G26&gt;PR_BalDone,G26+G26*(F_MR/12)-MIN(F_MortPayM,G26+G26*(F_MR/12)),G26)</f>
        <v>0</v>
      </c>
      <c r="I26" s="20" t="n">
        <f aca="false">IF(H26&gt;PR_BalDone,H26+H26*(F_MR/12)-MIN(F_MortPayM,H26+H26*(F_MR/12)),H26)</f>
        <v>0</v>
      </c>
      <c r="J26" s="20" t="n">
        <f aca="false">IF(I26&gt;PR_BalDone,I26+I26*(F_MR/12)-MIN(F_MortPayM,I26+I26*(F_MR/12)),I26)</f>
        <v>0</v>
      </c>
      <c r="K26" s="20" t="n">
        <f aca="false">IF(J26&gt;PR_BalDone,J26+J26*(F_MR/12)-MIN(F_MortPayM,J26+J26*(F_MR/12)),J26)</f>
        <v>0</v>
      </c>
      <c r="L26" s="20" t="n">
        <f aca="false">IF(K26&gt;PR_BalDone,K26+K26*(F_MR/12)-MIN(F_MortPayM,K26+K26*(F_MR/12)),K26)</f>
        <v>0</v>
      </c>
      <c r="M26" s="20" t="n">
        <f aca="false">IF(L26&gt;PR_BalDone,L26+L26*(F_MR/12)-MIN(F_MortPayM,L26+L26*(F_MR/12)),L26)</f>
        <v>0</v>
      </c>
      <c r="N26" s="20" t="n">
        <f aca="false">IF(M26&gt;PR_BalDone,M26+M26*(F_MR/12)-MIN(F_MortPayM,M26+M26*(F_MR/12)),M26)</f>
        <v>0</v>
      </c>
      <c r="O26" s="20" t="n">
        <f aca="false">IF(N26&gt;PR_BalDone,N26+N26*(F_MR/12)-MIN(F_MortPayM,N26+N26*(F_MR/12)),N26)</f>
        <v>0</v>
      </c>
      <c r="P26" s="20" t="n">
        <f aca="false">IF(C26&gt;PR_BalDone,MIN(F_MortPayM,C26+C26*(F_MR/12)),0)</f>
        <v>0</v>
      </c>
      <c r="Q26" s="20" t="n">
        <f aca="false">IF(D26&gt;PR_BalDone,MIN(F_MortPayM,D26+D26*(F_MR/12)),0)</f>
        <v>0</v>
      </c>
      <c r="R26" s="20" t="n">
        <f aca="false">IF(E26&gt;PR_BalDone,MIN(F_MortPayM,E26+E26*(F_MR/12)),0)</f>
        <v>0</v>
      </c>
      <c r="S26" s="20" t="n">
        <f aca="false">IF(F26&gt;PR_BalDone,MIN(F_MortPayM,F26+F26*(F_MR/12)),0)</f>
        <v>0</v>
      </c>
      <c r="T26" s="20" t="n">
        <f aca="false">IF(G26&gt;PR_BalDone,MIN(F_MortPayM,G26+G26*(F_MR/12)),0)</f>
        <v>0</v>
      </c>
      <c r="U26" s="20" t="n">
        <f aca="false">IF(H26&gt;PR_BalDone,MIN(F_MortPayM,H26+H26*(F_MR/12)),0)</f>
        <v>0</v>
      </c>
      <c r="V26" s="20" t="n">
        <f aca="false">IF(I26&gt;PR_BalDone,MIN(F_MortPayM,I26+I26*(F_MR/12)),0)</f>
        <v>0</v>
      </c>
      <c r="W26" s="20" t="n">
        <f aca="false">IF(J26&gt;PR_BalDone,MIN(F_MortPayM,J26+J26*(F_MR/12)),0)</f>
        <v>0</v>
      </c>
      <c r="X26" s="20" t="n">
        <f aca="false">IF(K26&gt;PR_BalDone,MIN(F_MortPayM,K26+K26*(F_MR/12)),0)</f>
        <v>0</v>
      </c>
      <c r="Y26" s="20" t="n">
        <f aca="false">IF(L26&gt;PR_BalDone,MIN(F_MortPayM,L26+L26*(F_MR/12)),0)</f>
        <v>0</v>
      </c>
      <c r="Z26" s="20" t="n">
        <f aca="false">IF(M26&gt;PR_BalDone,MIN(F_MortPayM,M26+M26*(F_MR/12)),0)</f>
        <v>0</v>
      </c>
      <c r="AA26" s="20" t="n">
        <f aca="false">IF(N26&gt;PR_BalDone,MIN(F_MortPayM,N26+N26*(F_MR/12)),0)</f>
        <v>0</v>
      </c>
      <c r="AB26" s="20" t="n">
        <f aca="false">MAX(0,O26)</f>
        <v>0</v>
      </c>
      <c r="AC26" s="20" t="n">
        <f aca="false">SUM(P26:AA26)</f>
        <v>0</v>
      </c>
      <c r="AD26" s="20" t="n">
        <f aca="false">'Plan cashflow'!M26</f>
        <v>0</v>
      </c>
      <c r="AE26" s="20" t="n">
        <f aca="false">IF(AD26&gt;PR_BalDone,AD26+AD26*(D_iC)-MIN(F_CardPayM,AD26+AD26*(D_iC)),AD26)</f>
        <v>0</v>
      </c>
      <c r="AF26" s="20" t="n">
        <f aca="false">IF(AE26&gt;PR_BalDone,AE26+AE26*(D_iC)-MIN(F_CardPayM,AE26+AE26*(D_iC)),AE26)</f>
        <v>0</v>
      </c>
      <c r="AG26" s="20" t="n">
        <f aca="false">IF(AF26&gt;PR_BalDone,AF26+AF26*(D_iC)-MIN(F_CardPayM,AF26+AF26*(D_iC)),AF26)</f>
        <v>0</v>
      </c>
      <c r="AH26" s="20" t="n">
        <f aca="false">IF(AG26&gt;PR_BalDone,AG26+AG26*(D_iC)-MIN(F_CardPayM,AG26+AG26*(D_iC)),AG26)</f>
        <v>0</v>
      </c>
      <c r="AI26" s="20" t="n">
        <f aca="false">IF(AH26&gt;PR_BalDone,AH26+AH26*(D_iC)-MIN(F_CardPayM,AH26+AH26*(D_iC)),AH26)</f>
        <v>0</v>
      </c>
      <c r="AJ26" s="20" t="n">
        <f aca="false">IF(AI26&gt;PR_BalDone,AI26+AI26*(D_iC)-MIN(F_CardPayM,AI26+AI26*(D_iC)),AI26)</f>
        <v>0</v>
      </c>
      <c r="AK26" s="20" t="n">
        <f aca="false">IF(AJ26&gt;PR_BalDone,AJ26+AJ26*(D_iC)-MIN(F_CardPayM,AJ26+AJ26*(D_iC)),AJ26)</f>
        <v>0</v>
      </c>
      <c r="AL26" s="20" t="n">
        <f aca="false">IF(AK26&gt;PR_BalDone,AK26+AK26*(D_iC)-MIN(F_CardPayM,AK26+AK26*(D_iC)),AK26)</f>
        <v>0</v>
      </c>
      <c r="AM26" s="20" t="n">
        <f aca="false">IF(AL26&gt;PR_BalDone,AL26+AL26*(D_iC)-MIN(F_CardPayM,AL26+AL26*(D_iC)),AL26)</f>
        <v>0</v>
      </c>
      <c r="AN26" s="20" t="n">
        <f aca="false">IF(AM26&gt;PR_BalDone,AM26+AM26*(D_iC)-MIN(F_CardPayM,AM26+AM26*(D_iC)),AM26)</f>
        <v>0</v>
      </c>
      <c r="AO26" s="20" t="n">
        <f aca="false">IF(AN26&gt;PR_BalDone,AN26+AN26*(D_iC)-MIN(F_CardPayM,AN26+AN26*(D_iC)),AN26)</f>
        <v>0</v>
      </c>
      <c r="AP26" s="20" t="n">
        <f aca="false">IF(AO26&gt;PR_BalDone,AO26+AO26*(D_iC)-MIN(F_CardPayM,AO26+AO26*(D_iC)),AO26)</f>
        <v>0</v>
      </c>
      <c r="AQ26" s="20" t="n">
        <f aca="false">IF(AD26&gt;PR_BalDone,MIN(F_CardPayM,AD26+AD26*(D_iC)),0)</f>
        <v>0</v>
      </c>
      <c r="AR26" s="20" t="n">
        <f aca="false">IF(AE26&gt;PR_BalDone,MIN(F_CardPayM,AE26+AE26*(D_iC)),0)</f>
        <v>0</v>
      </c>
      <c r="AS26" s="20" t="n">
        <f aca="false">IF(AF26&gt;PR_BalDone,MIN(F_CardPayM,AF26+AF26*(D_iC)),0)</f>
        <v>0</v>
      </c>
      <c r="AT26" s="20" t="n">
        <f aca="false">IF(AG26&gt;PR_BalDone,MIN(F_CardPayM,AG26+AG26*(D_iC)),0)</f>
        <v>0</v>
      </c>
      <c r="AU26" s="20" t="n">
        <f aca="false">IF(AH26&gt;PR_BalDone,MIN(F_CardPayM,AH26+AH26*(D_iC)),0)</f>
        <v>0</v>
      </c>
      <c r="AV26" s="20" t="n">
        <f aca="false">IF(AI26&gt;PR_BalDone,MIN(F_CardPayM,AI26+AI26*(D_iC)),0)</f>
        <v>0</v>
      </c>
      <c r="AW26" s="20" t="n">
        <f aca="false">IF(AJ26&gt;PR_BalDone,MIN(F_CardPayM,AJ26+AJ26*(D_iC)),0)</f>
        <v>0</v>
      </c>
      <c r="AX26" s="20" t="n">
        <f aca="false">IF(AK26&gt;PR_BalDone,MIN(F_CardPayM,AK26+AK26*(D_iC)),0)</f>
        <v>0</v>
      </c>
      <c r="AY26" s="20" t="n">
        <f aca="false">IF(AL26&gt;PR_BalDone,MIN(F_CardPayM,AL26+AL26*(D_iC)),0)</f>
        <v>0</v>
      </c>
      <c r="AZ26" s="20" t="n">
        <f aca="false">IF(AM26&gt;PR_BalDone,MIN(F_CardPayM,AM26+AM26*(D_iC)),0)</f>
        <v>0</v>
      </c>
      <c r="BA26" s="20" t="n">
        <f aca="false">IF(AN26&gt;PR_BalDone,MIN(F_CardPayM,AN26+AN26*(D_iC)),0)</f>
        <v>0</v>
      </c>
      <c r="BB26" s="20" t="n">
        <f aca="false">IF(AO26&gt;PR_BalDone,MIN(F_CardPayM,AO26+AO26*(D_iC)),0)</f>
        <v>0</v>
      </c>
      <c r="BC26" s="20" t="n">
        <f aca="false">MAX(0,AP26)</f>
        <v>0</v>
      </c>
      <c r="BD26" s="20" t="n">
        <f aca="false">SUM(AQ26:BB26)</f>
        <v>0</v>
      </c>
      <c r="BE26" s="20" t="n">
        <f aca="false">'Plan cashflow'!P26</f>
        <v>0</v>
      </c>
      <c r="BF26" s="20" t="n">
        <f aca="false">IF(BE26&gt;PR_BalDone,BE26+BE26*(D_iL)-MIN(F_LoanPayM,BE26+BE26*(D_iL)),BE26)</f>
        <v>0</v>
      </c>
      <c r="BG26" s="20" t="n">
        <f aca="false">IF(BF26&gt;PR_BalDone,BF26+BF26*(D_iL)-MIN(F_LoanPayM,BF26+BF26*(D_iL)),BF26)</f>
        <v>0</v>
      </c>
      <c r="BH26" s="20" t="n">
        <f aca="false">IF(BG26&gt;PR_BalDone,BG26+BG26*(D_iL)-MIN(F_LoanPayM,BG26+BG26*(D_iL)),BG26)</f>
        <v>0</v>
      </c>
      <c r="BI26" s="20" t="n">
        <f aca="false">IF(BH26&gt;PR_BalDone,BH26+BH26*(D_iL)-MIN(F_LoanPayM,BH26+BH26*(D_iL)),BH26)</f>
        <v>0</v>
      </c>
      <c r="BJ26" s="20" t="n">
        <f aca="false">IF(BI26&gt;PR_BalDone,BI26+BI26*(D_iL)-MIN(F_LoanPayM,BI26+BI26*(D_iL)),BI26)</f>
        <v>0</v>
      </c>
      <c r="BK26" s="20" t="n">
        <f aca="false">IF(BJ26&gt;PR_BalDone,BJ26+BJ26*(D_iL)-MIN(F_LoanPayM,BJ26+BJ26*(D_iL)),BJ26)</f>
        <v>0</v>
      </c>
      <c r="BL26" s="20" t="n">
        <f aca="false">IF(BK26&gt;PR_BalDone,BK26+BK26*(D_iL)-MIN(F_LoanPayM,BK26+BK26*(D_iL)),BK26)</f>
        <v>0</v>
      </c>
      <c r="BM26" s="20" t="n">
        <f aca="false">IF(BL26&gt;PR_BalDone,BL26+BL26*(D_iL)-MIN(F_LoanPayM,BL26+BL26*(D_iL)),BL26)</f>
        <v>0</v>
      </c>
      <c r="BN26" s="20" t="n">
        <f aca="false">IF(BM26&gt;PR_BalDone,BM26+BM26*(D_iL)-MIN(F_LoanPayM,BM26+BM26*(D_iL)),BM26)</f>
        <v>0</v>
      </c>
      <c r="BO26" s="20" t="n">
        <f aca="false">IF(BN26&gt;PR_BalDone,BN26+BN26*(D_iL)-MIN(F_LoanPayM,BN26+BN26*(D_iL)),BN26)</f>
        <v>0</v>
      </c>
      <c r="BP26" s="20" t="n">
        <f aca="false">IF(BO26&gt;PR_BalDone,BO26+BO26*(D_iL)-MIN(F_LoanPayM,BO26+BO26*(D_iL)),BO26)</f>
        <v>0</v>
      </c>
      <c r="BQ26" s="20" t="n">
        <f aca="false">IF(BP26&gt;PR_BalDone,BP26+BP26*(D_iL)-MIN(F_LoanPayM,BP26+BP26*(D_iL)),BP26)</f>
        <v>0</v>
      </c>
      <c r="BR26" s="20" t="n">
        <f aca="false">IF(BE26&gt;PR_BalDone,MIN(F_LoanPayM,BE26+BE26*(D_iL)),0)</f>
        <v>0</v>
      </c>
      <c r="BS26" s="20" t="n">
        <f aca="false">IF(BF26&gt;PR_BalDone,MIN(F_LoanPayM,BF26+BF26*(D_iL)),0)</f>
        <v>0</v>
      </c>
      <c r="BT26" s="20" t="n">
        <f aca="false">IF(BG26&gt;PR_BalDone,MIN(F_LoanPayM,BG26+BG26*(D_iL)),0)</f>
        <v>0</v>
      </c>
      <c r="BU26" s="20" t="n">
        <f aca="false">IF(BH26&gt;PR_BalDone,MIN(F_LoanPayM,BH26+BH26*(D_iL)),0)</f>
        <v>0</v>
      </c>
      <c r="BV26" s="20" t="n">
        <f aca="false">IF(BI26&gt;PR_BalDone,MIN(F_LoanPayM,BI26+BI26*(D_iL)),0)</f>
        <v>0</v>
      </c>
      <c r="BW26" s="20" t="n">
        <f aca="false">IF(BJ26&gt;PR_BalDone,MIN(F_LoanPayM,BJ26+BJ26*(D_iL)),0)</f>
        <v>0</v>
      </c>
      <c r="BX26" s="20" t="n">
        <f aca="false">IF(BK26&gt;PR_BalDone,MIN(F_LoanPayM,BK26+BK26*(D_iL)),0)</f>
        <v>0</v>
      </c>
      <c r="BY26" s="20" t="n">
        <f aca="false">IF(BL26&gt;PR_BalDone,MIN(F_LoanPayM,BL26+BL26*(D_iL)),0)</f>
        <v>0</v>
      </c>
      <c r="BZ26" s="20" t="n">
        <f aca="false">IF(BM26&gt;PR_BalDone,MIN(F_LoanPayM,BM26+BM26*(D_iL)),0)</f>
        <v>0</v>
      </c>
      <c r="CA26" s="20" t="n">
        <f aca="false">IF(BN26&gt;PR_BalDone,MIN(F_LoanPayM,BN26+BN26*(D_iL)),0)</f>
        <v>0</v>
      </c>
      <c r="CB26" s="20" t="n">
        <f aca="false">IF(BO26&gt;PR_BalDone,MIN(F_LoanPayM,BO26+BO26*(D_iL)),0)</f>
        <v>0</v>
      </c>
      <c r="CC26" s="20" t="n">
        <f aca="false">IF(BP26&gt;PR_BalDone,MIN(F_LoanPayM,BP26+BP26*(D_iL)),0)</f>
        <v>0</v>
      </c>
      <c r="CD26" s="20" t="n">
        <f aca="false">MAX(0,BQ26)</f>
        <v>0</v>
      </c>
      <c r="CE26" s="20" t="n">
        <f aca="false">SUM(BR26:CC26)</f>
        <v>0</v>
      </c>
      <c r="CF26" s="20" t="n">
        <f aca="false">IF(CF25&gt;1,DE25,CF25)</f>
        <v>40019.8956528291</v>
      </c>
      <c r="CG26" s="20" t="n">
        <f aca="false">IF(CF26&gt;PR_BalDone,CF26+CF26*(F_MR/12)-MIN(F_MortPayM,CF26+CF26*(F_MR/12)),CF26)</f>
        <v>38968.2928180486</v>
      </c>
      <c r="CH26" s="20" t="n">
        <f aca="false">IF(CG26&gt;PR_BalDone,CG26+CG26*(F_MR/12)-MIN(F_MortPayM,CG26+CG26*(F_MR/12)),CG26)</f>
        <v>37913.3160908399</v>
      </c>
      <c r="CI26" s="20" t="n">
        <f aca="false">IF(CH26&gt;PR_BalDone,CH26+CH26*(F_MR/12)-MIN(F_MortPayM,CH26+CH26*(F_MR/12)),CH26)</f>
        <v>36854.9546466313</v>
      </c>
      <c r="CJ26" s="20" t="n">
        <f aca="false">IF(CI26&gt;PR_BalDone,CI26+CI26*(F_MR/12)-MIN(F_MortPayM,CI26+CI26*(F_MR/12)),CI26)</f>
        <v>35793.1976261226</v>
      </c>
      <c r="CK26" s="20" t="n">
        <f aca="false">IF(CJ26&gt;PR_BalDone,CJ26+CJ26*(F_MR/12)-MIN(F_MortPayM,CJ26+CJ26*(F_MR/12)),CJ26)</f>
        <v>34728.0341351731</v>
      </c>
      <c r="CL26" s="20" t="n">
        <f aca="false">IF(CK26&gt;PR_BalDone,CK26+CK26*(F_MR/12)-MIN(F_MortPayM,CK26+CK26*(F_MR/12)),CK26)</f>
        <v>33659.4532446901</v>
      </c>
      <c r="CM26" s="20" t="n">
        <f aca="false">IF(CL26&gt;PR_BalDone,CL26+CL26*(F_MR/12)-MIN(F_MortPayM,CL26+CL26*(F_MR/12)),CL26)</f>
        <v>32587.4439905168</v>
      </c>
      <c r="CN26" s="20" t="n">
        <f aca="false">IF(CM26&gt;PR_BalDone,CM26+CM26*(F_MR/12)-MIN(F_MortPayM,CM26+CM26*(F_MR/12)),CM26)</f>
        <v>31511.9953733197</v>
      </c>
      <c r="CO26" s="20" t="n">
        <f aca="false">IF(CN26&gt;PR_BalDone,CN26+CN26*(F_MR/12)-MIN(F_MortPayM,CN26+CN26*(F_MR/12)),CN26)</f>
        <v>30433.0963584758</v>
      </c>
      <c r="CP26" s="20" t="n">
        <f aca="false">IF(CO26&gt;PR_BalDone,CO26+CO26*(F_MR/12)-MIN(F_MortPayM,CO26+CO26*(F_MR/12)),CO26)</f>
        <v>29350.7358759592</v>
      </c>
      <c r="CQ26" s="20" t="n">
        <f aca="false">IF(CP26&gt;PR_BalDone,CP26+CP26*(F_MR/12)-MIN(F_MortPayM,CP26+CP26*(F_MR/12)),CP26)</f>
        <v>28264.9028202279</v>
      </c>
      <c r="CR26" s="20" t="n">
        <f aca="false">IF(CQ26&gt;PR_BalDone,CQ26+CQ26*(F_MR/12)-MIN(F_MortPayM,CQ26+CQ26*(F_MR/12)),CQ26)</f>
        <v>27175.5860501095</v>
      </c>
      <c r="CS26" s="20" t="n">
        <f aca="false">IF(CF26&gt;PR_BalDone,MIN(F_MortPayM,CF26+CF26*(F_MR/12)),0)</f>
        <v>1180</v>
      </c>
      <c r="CT26" s="20" t="n">
        <f aca="false">IF(CG26&gt;PR_BalDone,MIN(F_MortPayM,CG26+CG26*(F_MR/12)),0)</f>
        <v>1180</v>
      </c>
      <c r="CU26" s="20" t="n">
        <f aca="false">IF(CH26&gt;PR_BalDone,MIN(F_MortPayM,CH26+CH26*(F_MR/12)),0)</f>
        <v>1180</v>
      </c>
      <c r="CV26" s="20" t="n">
        <f aca="false">IF(CI26&gt;PR_BalDone,MIN(F_MortPayM,CI26+CI26*(F_MR/12)),0)</f>
        <v>1180</v>
      </c>
      <c r="CW26" s="20" t="n">
        <f aca="false">IF(CJ26&gt;PR_BalDone,MIN(F_MortPayM,CJ26+CJ26*(F_MR/12)),0)</f>
        <v>1180</v>
      </c>
      <c r="CX26" s="20" t="n">
        <f aca="false">IF(CK26&gt;PR_BalDone,MIN(F_MortPayM,CK26+CK26*(F_MR/12)),0)</f>
        <v>1180</v>
      </c>
      <c r="CY26" s="20" t="n">
        <f aca="false">IF(CL26&gt;PR_BalDone,MIN(F_MortPayM,CL26+CL26*(F_MR/12)),0)</f>
        <v>1180</v>
      </c>
      <c r="CZ26" s="20" t="n">
        <f aca="false">IF(CM26&gt;PR_BalDone,MIN(F_MortPayM,CM26+CM26*(F_MR/12)),0)</f>
        <v>1180</v>
      </c>
      <c r="DA26" s="20" t="n">
        <f aca="false">IF(CN26&gt;PR_BalDone,MIN(F_MortPayM,CN26+CN26*(F_MR/12)),0)</f>
        <v>1180</v>
      </c>
      <c r="DB26" s="20" t="n">
        <f aca="false">IF(CO26&gt;PR_BalDone,MIN(F_MortPayM,CO26+CO26*(F_MR/12)),0)</f>
        <v>1180</v>
      </c>
      <c r="DC26" s="20" t="n">
        <f aca="false">IF(CP26&gt;PR_BalDone,MIN(F_MortPayM,CP26+CP26*(F_MR/12)),0)</f>
        <v>1180</v>
      </c>
      <c r="DD26" s="20" t="n">
        <f aca="false">IF(CQ26&gt;PR_BalDone,MIN(F_MortPayM,CQ26+CQ26*(F_MR/12)),0)</f>
        <v>1180</v>
      </c>
      <c r="DE26" s="20" t="n">
        <f aca="false">MAX(0,CR26)</f>
        <v>27175.5860501095</v>
      </c>
      <c r="DF26" s="20" t="n">
        <f aca="false">SUM(CS26:DD26)</f>
        <v>14160</v>
      </c>
      <c r="DG26" s="20" t="n">
        <f aca="false">MAX(0,CF26)</f>
        <v>40019.8956528291</v>
      </c>
    </row>
    <row r="27" customFormat="false" ht="15" hidden="false" customHeight="true" outlineLevel="0" collapsed="false">
      <c r="B27" s="20" t="n">
        <v>19</v>
      </c>
      <c r="C27" s="20" t="n">
        <f aca="false">'Plan cashflow'!J27</f>
        <v>0</v>
      </c>
      <c r="D27" s="20" t="n">
        <f aca="false">IF(C27&gt;PR_BalDone,C27+C27*(F_MR/12)-MIN(F_MortPayM,C27+C27*(F_MR/12)),C27)</f>
        <v>0</v>
      </c>
      <c r="E27" s="20" t="n">
        <f aca="false">IF(D27&gt;PR_BalDone,D27+D27*(F_MR/12)-MIN(F_MortPayM,D27+D27*(F_MR/12)),D27)</f>
        <v>0</v>
      </c>
      <c r="F27" s="20" t="n">
        <f aca="false">IF(E27&gt;PR_BalDone,E27+E27*(F_MR/12)-MIN(F_MortPayM,E27+E27*(F_MR/12)),E27)</f>
        <v>0</v>
      </c>
      <c r="G27" s="20" t="n">
        <f aca="false">IF(F27&gt;PR_BalDone,F27+F27*(F_MR/12)-MIN(F_MortPayM,F27+F27*(F_MR/12)),F27)</f>
        <v>0</v>
      </c>
      <c r="H27" s="20" t="n">
        <f aca="false">IF(G27&gt;PR_BalDone,G27+G27*(F_MR/12)-MIN(F_MortPayM,G27+G27*(F_MR/12)),G27)</f>
        <v>0</v>
      </c>
      <c r="I27" s="20" t="n">
        <f aca="false">IF(H27&gt;PR_BalDone,H27+H27*(F_MR/12)-MIN(F_MortPayM,H27+H27*(F_MR/12)),H27)</f>
        <v>0</v>
      </c>
      <c r="J27" s="20" t="n">
        <f aca="false">IF(I27&gt;PR_BalDone,I27+I27*(F_MR/12)-MIN(F_MortPayM,I27+I27*(F_MR/12)),I27)</f>
        <v>0</v>
      </c>
      <c r="K27" s="20" t="n">
        <f aca="false">IF(J27&gt;PR_BalDone,J27+J27*(F_MR/12)-MIN(F_MortPayM,J27+J27*(F_MR/12)),J27)</f>
        <v>0</v>
      </c>
      <c r="L27" s="20" t="n">
        <f aca="false">IF(K27&gt;PR_BalDone,K27+K27*(F_MR/12)-MIN(F_MortPayM,K27+K27*(F_MR/12)),K27)</f>
        <v>0</v>
      </c>
      <c r="M27" s="20" t="n">
        <f aca="false">IF(L27&gt;PR_BalDone,L27+L27*(F_MR/12)-MIN(F_MortPayM,L27+L27*(F_MR/12)),L27)</f>
        <v>0</v>
      </c>
      <c r="N27" s="20" t="n">
        <f aca="false">IF(M27&gt;PR_BalDone,M27+M27*(F_MR/12)-MIN(F_MortPayM,M27+M27*(F_MR/12)),M27)</f>
        <v>0</v>
      </c>
      <c r="O27" s="20" t="n">
        <f aca="false">IF(N27&gt;PR_BalDone,N27+N27*(F_MR/12)-MIN(F_MortPayM,N27+N27*(F_MR/12)),N27)</f>
        <v>0</v>
      </c>
      <c r="P27" s="20" t="n">
        <f aca="false">IF(C27&gt;PR_BalDone,MIN(F_MortPayM,C27+C27*(F_MR/12)),0)</f>
        <v>0</v>
      </c>
      <c r="Q27" s="20" t="n">
        <f aca="false">IF(D27&gt;PR_BalDone,MIN(F_MortPayM,D27+D27*(F_MR/12)),0)</f>
        <v>0</v>
      </c>
      <c r="R27" s="20" t="n">
        <f aca="false">IF(E27&gt;PR_BalDone,MIN(F_MortPayM,E27+E27*(F_MR/12)),0)</f>
        <v>0</v>
      </c>
      <c r="S27" s="20" t="n">
        <f aca="false">IF(F27&gt;PR_BalDone,MIN(F_MortPayM,F27+F27*(F_MR/12)),0)</f>
        <v>0</v>
      </c>
      <c r="T27" s="20" t="n">
        <f aca="false">IF(G27&gt;PR_BalDone,MIN(F_MortPayM,G27+G27*(F_MR/12)),0)</f>
        <v>0</v>
      </c>
      <c r="U27" s="20" t="n">
        <f aca="false">IF(H27&gt;PR_BalDone,MIN(F_MortPayM,H27+H27*(F_MR/12)),0)</f>
        <v>0</v>
      </c>
      <c r="V27" s="20" t="n">
        <f aca="false">IF(I27&gt;PR_BalDone,MIN(F_MortPayM,I27+I27*(F_MR/12)),0)</f>
        <v>0</v>
      </c>
      <c r="W27" s="20" t="n">
        <f aca="false">IF(J27&gt;PR_BalDone,MIN(F_MortPayM,J27+J27*(F_MR/12)),0)</f>
        <v>0</v>
      </c>
      <c r="X27" s="20" t="n">
        <f aca="false">IF(K27&gt;PR_BalDone,MIN(F_MortPayM,K27+K27*(F_MR/12)),0)</f>
        <v>0</v>
      </c>
      <c r="Y27" s="20" t="n">
        <f aca="false">IF(L27&gt;PR_BalDone,MIN(F_MortPayM,L27+L27*(F_MR/12)),0)</f>
        <v>0</v>
      </c>
      <c r="Z27" s="20" t="n">
        <f aca="false">IF(M27&gt;PR_BalDone,MIN(F_MortPayM,M27+M27*(F_MR/12)),0)</f>
        <v>0</v>
      </c>
      <c r="AA27" s="20" t="n">
        <f aca="false">IF(N27&gt;PR_BalDone,MIN(F_MortPayM,N27+N27*(F_MR/12)),0)</f>
        <v>0</v>
      </c>
      <c r="AB27" s="20" t="n">
        <f aca="false">MAX(0,O27)</f>
        <v>0</v>
      </c>
      <c r="AC27" s="20" t="n">
        <f aca="false">SUM(P27:AA27)</f>
        <v>0</v>
      </c>
      <c r="AD27" s="20" t="n">
        <f aca="false">'Plan cashflow'!M27</f>
        <v>0</v>
      </c>
      <c r="AE27" s="20" t="n">
        <f aca="false">IF(AD27&gt;PR_BalDone,AD27+AD27*(D_iC)-MIN(F_CardPayM,AD27+AD27*(D_iC)),AD27)</f>
        <v>0</v>
      </c>
      <c r="AF27" s="20" t="n">
        <f aca="false">IF(AE27&gt;PR_BalDone,AE27+AE27*(D_iC)-MIN(F_CardPayM,AE27+AE27*(D_iC)),AE27)</f>
        <v>0</v>
      </c>
      <c r="AG27" s="20" t="n">
        <f aca="false">IF(AF27&gt;PR_BalDone,AF27+AF27*(D_iC)-MIN(F_CardPayM,AF27+AF27*(D_iC)),AF27)</f>
        <v>0</v>
      </c>
      <c r="AH27" s="20" t="n">
        <f aca="false">IF(AG27&gt;PR_BalDone,AG27+AG27*(D_iC)-MIN(F_CardPayM,AG27+AG27*(D_iC)),AG27)</f>
        <v>0</v>
      </c>
      <c r="AI27" s="20" t="n">
        <f aca="false">IF(AH27&gt;PR_BalDone,AH27+AH27*(D_iC)-MIN(F_CardPayM,AH27+AH27*(D_iC)),AH27)</f>
        <v>0</v>
      </c>
      <c r="AJ27" s="20" t="n">
        <f aca="false">IF(AI27&gt;PR_BalDone,AI27+AI27*(D_iC)-MIN(F_CardPayM,AI27+AI27*(D_iC)),AI27)</f>
        <v>0</v>
      </c>
      <c r="AK27" s="20" t="n">
        <f aca="false">IF(AJ27&gt;PR_BalDone,AJ27+AJ27*(D_iC)-MIN(F_CardPayM,AJ27+AJ27*(D_iC)),AJ27)</f>
        <v>0</v>
      </c>
      <c r="AL27" s="20" t="n">
        <f aca="false">IF(AK27&gt;PR_BalDone,AK27+AK27*(D_iC)-MIN(F_CardPayM,AK27+AK27*(D_iC)),AK27)</f>
        <v>0</v>
      </c>
      <c r="AM27" s="20" t="n">
        <f aca="false">IF(AL27&gt;PR_BalDone,AL27+AL27*(D_iC)-MIN(F_CardPayM,AL27+AL27*(D_iC)),AL27)</f>
        <v>0</v>
      </c>
      <c r="AN27" s="20" t="n">
        <f aca="false">IF(AM27&gt;PR_BalDone,AM27+AM27*(D_iC)-MIN(F_CardPayM,AM27+AM27*(D_iC)),AM27)</f>
        <v>0</v>
      </c>
      <c r="AO27" s="20" t="n">
        <f aca="false">IF(AN27&gt;PR_BalDone,AN27+AN27*(D_iC)-MIN(F_CardPayM,AN27+AN27*(D_iC)),AN27)</f>
        <v>0</v>
      </c>
      <c r="AP27" s="20" t="n">
        <f aca="false">IF(AO27&gt;PR_BalDone,AO27+AO27*(D_iC)-MIN(F_CardPayM,AO27+AO27*(D_iC)),AO27)</f>
        <v>0</v>
      </c>
      <c r="AQ27" s="20" t="n">
        <f aca="false">IF(AD27&gt;PR_BalDone,MIN(F_CardPayM,AD27+AD27*(D_iC)),0)</f>
        <v>0</v>
      </c>
      <c r="AR27" s="20" t="n">
        <f aca="false">IF(AE27&gt;PR_BalDone,MIN(F_CardPayM,AE27+AE27*(D_iC)),0)</f>
        <v>0</v>
      </c>
      <c r="AS27" s="20" t="n">
        <f aca="false">IF(AF27&gt;PR_BalDone,MIN(F_CardPayM,AF27+AF27*(D_iC)),0)</f>
        <v>0</v>
      </c>
      <c r="AT27" s="20" t="n">
        <f aca="false">IF(AG27&gt;PR_BalDone,MIN(F_CardPayM,AG27+AG27*(D_iC)),0)</f>
        <v>0</v>
      </c>
      <c r="AU27" s="20" t="n">
        <f aca="false">IF(AH27&gt;PR_BalDone,MIN(F_CardPayM,AH27+AH27*(D_iC)),0)</f>
        <v>0</v>
      </c>
      <c r="AV27" s="20" t="n">
        <f aca="false">IF(AI27&gt;PR_BalDone,MIN(F_CardPayM,AI27+AI27*(D_iC)),0)</f>
        <v>0</v>
      </c>
      <c r="AW27" s="20" t="n">
        <f aca="false">IF(AJ27&gt;PR_BalDone,MIN(F_CardPayM,AJ27+AJ27*(D_iC)),0)</f>
        <v>0</v>
      </c>
      <c r="AX27" s="20" t="n">
        <f aca="false">IF(AK27&gt;PR_BalDone,MIN(F_CardPayM,AK27+AK27*(D_iC)),0)</f>
        <v>0</v>
      </c>
      <c r="AY27" s="20" t="n">
        <f aca="false">IF(AL27&gt;PR_BalDone,MIN(F_CardPayM,AL27+AL27*(D_iC)),0)</f>
        <v>0</v>
      </c>
      <c r="AZ27" s="20" t="n">
        <f aca="false">IF(AM27&gt;PR_BalDone,MIN(F_CardPayM,AM27+AM27*(D_iC)),0)</f>
        <v>0</v>
      </c>
      <c r="BA27" s="20" t="n">
        <f aca="false">IF(AN27&gt;PR_BalDone,MIN(F_CardPayM,AN27+AN27*(D_iC)),0)</f>
        <v>0</v>
      </c>
      <c r="BB27" s="20" t="n">
        <f aca="false">IF(AO27&gt;PR_BalDone,MIN(F_CardPayM,AO27+AO27*(D_iC)),0)</f>
        <v>0</v>
      </c>
      <c r="BC27" s="20" t="n">
        <f aca="false">MAX(0,AP27)</f>
        <v>0</v>
      </c>
      <c r="BD27" s="20" t="n">
        <f aca="false">SUM(AQ27:BB27)</f>
        <v>0</v>
      </c>
      <c r="BE27" s="20" t="n">
        <f aca="false">'Plan cashflow'!P27</f>
        <v>0</v>
      </c>
      <c r="BF27" s="20" t="n">
        <f aca="false">IF(BE27&gt;PR_BalDone,BE27+BE27*(D_iL)-MIN(F_LoanPayM,BE27+BE27*(D_iL)),BE27)</f>
        <v>0</v>
      </c>
      <c r="BG27" s="20" t="n">
        <f aca="false">IF(BF27&gt;PR_BalDone,BF27+BF27*(D_iL)-MIN(F_LoanPayM,BF27+BF27*(D_iL)),BF27)</f>
        <v>0</v>
      </c>
      <c r="BH27" s="20" t="n">
        <f aca="false">IF(BG27&gt;PR_BalDone,BG27+BG27*(D_iL)-MIN(F_LoanPayM,BG27+BG27*(D_iL)),BG27)</f>
        <v>0</v>
      </c>
      <c r="BI27" s="20" t="n">
        <f aca="false">IF(BH27&gt;PR_BalDone,BH27+BH27*(D_iL)-MIN(F_LoanPayM,BH27+BH27*(D_iL)),BH27)</f>
        <v>0</v>
      </c>
      <c r="BJ27" s="20" t="n">
        <f aca="false">IF(BI27&gt;PR_BalDone,BI27+BI27*(D_iL)-MIN(F_LoanPayM,BI27+BI27*(D_iL)),BI27)</f>
        <v>0</v>
      </c>
      <c r="BK27" s="20" t="n">
        <f aca="false">IF(BJ27&gt;PR_BalDone,BJ27+BJ27*(D_iL)-MIN(F_LoanPayM,BJ27+BJ27*(D_iL)),BJ27)</f>
        <v>0</v>
      </c>
      <c r="BL27" s="20" t="n">
        <f aca="false">IF(BK27&gt;PR_BalDone,BK27+BK27*(D_iL)-MIN(F_LoanPayM,BK27+BK27*(D_iL)),BK27)</f>
        <v>0</v>
      </c>
      <c r="BM27" s="20" t="n">
        <f aca="false">IF(BL27&gt;PR_BalDone,BL27+BL27*(D_iL)-MIN(F_LoanPayM,BL27+BL27*(D_iL)),BL27)</f>
        <v>0</v>
      </c>
      <c r="BN27" s="20" t="n">
        <f aca="false">IF(BM27&gt;PR_BalDone,BM27+BM27*(D_iL)-MIN(F_LoanPayM,BM27+BM27*(D_iL)),BM27)</f>
        <v>0</v>
      </c>
      <c r="BO27" s="20" t="n">
        <f aca="false">IF(BN27&gt;PR_BalDone,BN27+BN27*(D_iL)-MIN(F_LoanPayM,BN27+BN27*(D_iL)),BN27)</f>
        <v>0</v>
      </c>
      <c r="BP27" s="20" t="n">
        <f aca="false">IF(BO27&gt;PR_BalDone,BO27+BO27*(D_iL)-MIN(F_LoanPayM,BO27+BO27*(D_iL)),BO27)</f>
        <v>0</v>
      </c>
      <c r="BQ27" s="20" t="n">
        <f aca="false">IF(BP27&gt;PR_BalDone,BP27+BP27*(D_iL)-MIN(F_LoanPayM,BP27+BP27*(D_iL)),BP27)</f>
        <v>0</v>
      </c>
      <c r="BR27" s="20" t="n">
        <f aca="false">IF(BE27&gt;PR_BalDone,MIN(F_LoanPayM,BE27+BE27*(D_iL)),0)</f>
        <v>0</v>
      </c>
      <c r="BS27" s="20" t="n">
        <f aca="false">IF(BF27&gt;PR_BalDone,MIN(F_LoanPayM,BF27+BF27*(D_iL)),0)</f>
        <v>0</v>
      </c>
      <c r="BT27" s="20" t="n">
        <f aca="false">IF(BG27&gt;PR_BalDone,MIN(F_LoanPayM,BG27+BG27*(D_iL)),0)</f>
        <v>0</v>
      </c>
      <c r="BU27" s="20" t="n">
        <f aca="false">IF(BH27&gt;PR_BalDone,MIN(F_LoanPayM,BH27+BH27*(D_iL)),0)</f>
        <v>0</v>
      </c>
      <c r="BV27" s="20" t="n">
        <f aca="false">IF(BI27&gt;PR_BalDone,MIN(F_LoanPayM,BI27+BI27*(D_iL)),0)</f>
        <v>0</v>
      </c>
      <c r="BW27" s="20" t="n">
        <f aca="false">IF(BJ27&gt;PR_BalDone,MIN(F_LoanPayM,BJ27+BJ27*(D_iL)),0)</f>
        <v>0</v>
      </c>
      <c r="BX27" s="20" t="n">
        <f aca="false">IF(BK27&gt;PR_BalDone,MIN(F_LoanPayM,BK27+BK27*(D_iL)),0)</f>
        <v>0</v>
      </c>
      <c r="BY27" s="20" t="n">
        <f aca="false">IF(BL27&gt;PR_BalDone,MIN(F_LoanPayM,BL27+BL27*(D_iL)),0)</f>
        <v>0</v>
      </c>
      <c r="BZ27" s="20" t="n">
        <f aca="false">IF(BM27&gt;PR_BalDone,MIN(F_LoanPayM,BM27+BM27*(D_iL)),0)</f>
        <v>0</v>
      </c>
      <c r="CA27" s="20" t="n">
        <f aca="false">IF(BN27&gt;PR_BalDone,MIN(F_LoanPayM,BN27+BN27*(D_iL)),0)</f>
        <v>0</v>
      </c>
      <c r="CB27" s="20" t="n">
        <f aca="false">IF(BO27&gt;PR_BalDone,MIN(F_LoanPayM,BO27+BO27*(D_iL)),0)</f>
        <v>0</v>
      </c>
      <c r="CC27" s="20" t="n">
        <f aca="false">IF(BP27&gt;PR_BalDone,MIN(F_LoanPayM,BP27+BP27*(D_iL)),0)</f>
        <v>0</v>
      </c>
      <c r="CD27" s="20" t="n">
        <f aca="false">MAX(0,BQ27)</f>
        <v>0</v>
      </c>
      <c r="CE27" s="20" t="n">
        <f aca="false">SUM(BR27:CC27)</f>
        <v>0</v>
      </c>
      <c r="CF27" s="20" t="n">
        <f aca="false">IF(CF26&gt;1,DE26,CF26)</f>
        <v>27175.5860501095</v>
      </c>
      <c r="CG27" s="20" t="n">
        <f aca="false">IF(CF27&gt;PR_BalDone,CF27+CF27*(F_MR/12)-MIN(F_MortPayM,CF27+CF27*(F_MR/12)),CF27)</f>
        <v>26082.7743886869</v>
      </c>
      <c r="CH27" s="20" t="n">
        <f aca="false">IF(CG27&gt;PR_BalDone,CG27+CG27*(F_MR/12)-MIN(F_MortPayM,CG27+CG27*(F_MR/12)),CG27)</f>
        <v>24986.456623184</v>
      </c>
      <c r="CI27" s="20" t="n">
        <f aca="false">IF(CH27&gt;PR_BalDone,CH27+CH27*(F_MR/12)-MIN(F_MortPayM,CH27+CH27*(F_MR/12)),CH27)</f>
        <v>23886.62150485</v>
      </c>
      <c r="CJ27" s="20" t="n">
        <f aca="false">IF(CI27&gt;PR_BalDone,CI27+CI27*(F_MR/12)-MIN(F_MortPayM,CI27+CI27*(F_MR/12)),CI27)</f>
        <v>22783.2577488447</v>
      </c>
      <c r="CK27" s="20" t="n">
        <f aca="false">IF(CJ27&gt;PR_BalDone,CJ27+CJ27*(F_MR/12)-MIN(F_MortPayM,CJ27+CJ27*(F_MR/12)),CJ27)</f>
        <v>21676.3540341223</v>
      </c>
      <c r="CL27" s="20" t="n">
        <f aca="false">IF(CK27&gt;PR_BalDone,CK27+CK27*(F_MR/12)-MIN(F_MortPayM,CK27+CK27*(F_MR/12)),CK27)</f>
        <v>20565.8990033151</v>
      </c>
      <c r="CM27" s="20" t="n">
        <f aca="false">IF(CL27&gt;PR_BalDone,CL27+CL27*(F_MR/12)-MIN(F_MortPayM,CL27+CL27*(F_MR/12)),CL27)</f>
        <v>19451.8812626174</v>
      </c>
      <c r="CN27" s="20" t="n">
        <f aca="false">IF(CM27&gt;PR_BalDone,CM27+CM27*(F_MR/12)-MIN(F_MortPayM,CM27+CM27*(F_MR/12)),CM27)</f>
        <v>18334.2893816683</v>
      </c>
      <c r="CO27" s="20" t="n">
        <f aca="false">IF(CN27&gt;PR_BalDone,CN27+CN27*(F_MR/12)-MIN(F_MortPayM,CN27+CN27*(F_MR/12)),CN27)</f>
        <v>17213.1118934345</v>
      </c>
      <c r="CP27" s="20" t="n">
        <f aca="false">IF(CO27&gt;PR_BalDone,CO27+CO27*(F_MR/12)-MIN(F_MortPayM,CO27+CO27*(F_MR/12)),CO27)</f>
        <v>16088.3372940926</v>
      </c>
      <c r="CQ27" s="20" t="n">
        <f aca="false">IF(CP27&gt;PR_BalDone,CP27+CP27*(F_MR/12)-MIN(F_MortPayM,CP27+CP27*(F_MR/12)),CP27)</f>
        <v>14959.9540429111</v>
      </c>
      <c r="CR27" s="20" t="n">
        <f aca="false">IF(CQ27&gt;PR_BalDone,CQ27+CQ27*(F_MR/12)-MIN(F_MortPayM,CQ27+CQ27*(F_MR/12)),CQ27)</f>
        <v>13827.9505621321</v>
      </c>
      <c r="CS27" s="20" t="n">
        <f aca="false">IF(CF27&gt;PR_BalDone,MIN(F_MortPayM,CF27+CF27*(F_MR/12)),0)</f>
        <v>1180</v>
      </c>
      <c r="CT27" s="20" t="n">
        <f aca="false">IF(CG27&gt;PR_BalDone,MIN(F_MortPayM,CG27+CG27*(F_MR/12)),0)</f>
        <v>1180</v>
      </c>
      <c r="CU27" s="20" t="n">
        <f aca="false">IF(CH27&gt;PR_BalDone,MIN(F_MortPayM,CH27+CH27*(F_MR/12)),0)</f>
        <v>1180</v>
      </c>
      <c r="CV27" s="20" t="n">
        <f aca="false">IF(CI27&gt;PR_BalDone,MIN(F_MortPayM,CI27+CI27*(F_MR/12)),0)</f>
        <v>1180</v>
      </c>
      <c r="CW27" s="20" t="n">
        <f aca="false">IF(CJ27&gt;PR_BalDone,MIN(F_MortPayM,CJ27+CJ27*(F_MR/12)),0)</f>
        <v>1180</v>
      </c>
      <c r="CX27" s="20" t="n">
        <f aca="false">IF(CK27&gt;PR_BalDone,MIN(F_MortPayM,CK27+CK27*(F_MR/12)),0)</f>
        <v>1180</v>
      </c>
      <c r="CY27" s="20" t="n">
        <f aca="false">IF(CL27&gt;PR_BalDone,MIN(F_MortPayM,CL27+CL27*(F_MR/12)),0)</f>
        <v>1180</v>
      </c>
      <c r="CZ27" s="20" t="n">
        <f aca="false">IF(CM27&gt;PR_BalDone,MIN(F_MortPayM,CM27+CM27*(F_MR/12)),0)</f>
        <v>1180</v>
      </c>
      <c r="DA27" s="20" t="n">
        <f aca="false">IF(CN27&gt;PR_BalDone,MIN(F_MortPayM,CN27+CN27*(F_MR/12)),0)</f>
        <v>1180</v>
      </c>
      <c r="DB27" s="20" t="n">
        <f aca="false">IF(CO27&gt;PR_BalDone,MIN(F_MortPayM,CO27+CO27*(F_MR/12)),0)</f>
        <v>1180</v>
      </c>
      <c r="DC27" s="20" t="n">
        <f aca="false">IF(CP27&gt;PR_BalDone,MIN(F_MortPayM,CP27+CP27*(F_MR/12)),0)</f>
        <v>1180</v>
      </c>
      <c r="DD27" s="20" t="n">
        <f aca="false">IF(CQ27&gt;PR_BalDone,MIN(F_MortPayM,CQ27+CQ27*(F_MR/12)),0)</f>
        <v>1180</v>
      </c>
      <c r="DE27" s="20" t="n">
        <f aca="false">MAX(0,CR27)</f>
        <v>13827.9505621321</v>
      </c>
      <c r="DF27" s="20" t="n">
        <f aca="false">SUM(CS27:DD27)</f>
        <v>14160</v>
      </c>
      <c r="DG27" s="20" t="n">
        <f aca="false">MAX(0,CF27)</f>
        <v>27175.5860501095</v>
      </c>
    </row>
    <row r="28" customFormat="false" ht="15" hidden="false" customHeight="true" outlineLevel="0" collapsed="false">
      <c r="B28" s="20" t="n">
        <v>20</v>
      </c>
      <c r="C28" s="20" t="n">
        <f aca="false">'Plan cashflow'!J28</f>
        <v>0</v>
      </c>
      <c r="D28" s="20" t="n">
        <f aca="false">IF(C28&gt;PR_BalDone,C28+C28*(F_MR/12)-MIN(F_MortPayM,C28+C28*(F_MR/12)),C28)</f>
        <v>0</v>
      </c>
      <c r="E28" s="20" t="n">
        <f aca="false">IF(D28&gt;PR_BalDone,D28+D28*(F_MR/12)-MIN(F_MortPayM,D28+D28*(F_MR/12)),D28)</f>
        <v>0</v>
      </c>
      <c r="F28" s="20" t="n">
        <f aca="false">IF(E28&gt;PR_BalDone,E28+E28*(F_MR/12)-MIN(F_MortPayM,E28+E28*(F_MR/12)),E28)</f>
        <v>0</v>
      </c>
      <c r="G28" s="20" t="n">
        <f aca="false">IF(F28&gt;PR_BalDone,F28+F28*(F_MR/12)-MIN(F_MortPayM,F28+F28*(F_MR/12)),F28)</f>
        <v>0</v>
      </c>
      <c r="H28" s="20" t="n">
        <f aca="false">IF(G28&gt;PR_BalDone,G28+G28*(F_MR/12)-MIN(F_MortPayM,G28+G28*(F_MR/12)),G28)</f>
        <v>0</v>
      </c>
      <c r="I28" s="20" t="n">
        <f aca="false">IF(H28&gt;PR_BalDone,H28+H28*(F_MR/12)-MIN(F_MortPayM,H28+H28*(F_MR/12)),H28)</f>
        <v>0</v>
      </c>
      <c r="J28" s="20" t="n">
        <f aca="false">IF(I28&gt;PR_BalDone,I28+I28*(F_MR/12)-MIN(F_MortPayM,I28+I28*(F_MR/12)),I28)</f>
        <v>0</v>
      </c>
      <c r="K28" s="20" t="n">
        <f aca="false">IF(J28&gt;PR_BalDone,J28+J28*(F_MR/12)-MIN(F_MortPayM,J28+J28*(F_MR/12)),J28)</f>
        <v>0</v>
      </c>
      <c r="L28" s="20" t="n">
        <f aca="false">IF(K28&gt;PR_BalDone,K28+K28*(F_MR/12)-MIN(F_MortPayM,K28+K28*(F_MR/12)),K28)</f>
        <v>0</v>
      </c>
      <c r="M28" s="20" t="n">
        <f aca="false">IF(L28&gt;PR_BalDone,L28+L28*(F_MR/12)-MIN(F_MortPayM,L28+L28*(F_MR/12)),L28)</f>
        <v>0</v>
      </c>
      <c r="N28" s="20" t="n">
        <f aca="false">IF(M28&gt;PR_BalDone,M28+M28*(F_MR/12)-MIN(F_MortPayM,M28+M28*(F_MR/12)),M28)</f>
        <v>0</v>
      </c>
      <c r="O28" s="20" t="n">
        <f aca="false">IF(N28&gt;PR_BalDone,N28+N28*(F_MR/12)-MIN(F_MortPayM,N28+N28*(F_MR/12)),N28)</f>
        <v>0</v>
      </c>
      <c r="P28" s="20" t="n">
        <f aca="false">IF(C28&gt;PR_BalDone,MIN(F_MortPayM,C28+C28*(F_MR/12)),0)</f>
        <v>0</v>
      </c>
      <c r="Q28" s="20" t="n">
        <f aca="false">IF(D28&gt;PR_BalDone,MIN(F_MortPayM,D28+D28*(F_MR/12)),0)</f>
        <v>0</v>
      </c>
      <c r="R28" s="20" t="n">
        <f aca="false">IF(E28&gt;PR_BalDone,MIN(F_MortPayM,E28+E28*(F_MR/12)),0)</f>
        <v>0</v>
      </c>
      <c r="S28" s="20" t="n">
        <f aca="false">IF(F28&gt;PR_BalDone,MIN(F_MortPayM,F28+F28*(F_MR/12)),0)</f>
        <v>0</v>
      </c>
      <c r="T28" s="20" t="n">
        <f aca="false">IF(G28&gt;PR_BalDone,MIN(F_MortPayM,G28+G28*(F_MR/12)),0)</f>
        <v>0</v>
      </c>
      <c r="U28" s="20" t="n">
        <f aca="false">IF(H28&gt;PR_BalDone,MIN(F_MortPayM,H28+H28*(F_MR/12)),0)</f>
        <v>0</v>
      </c>
      <c r="V28" s="20" t="n">
        <f aca="false">IF(I28&gt;PR_BalDone,MIN(F_MortPayM,I28+I28*(F_MR/12)),0)</f>
        <v>0</v>
      </c>
      <c r="W28" s="20" t="n">
        <f aca="false">IF(J28&gt;PR_BalDone,MIN(F_MortPayM,J28+J28*(F_MR/12)),0)</f>
        <v>0</v>
      </c>
      <c r="X28" s="20" t="n">
        <f aca="false">IF(K28&gt;PR_BalDone,MIN(F_MortPayM,K28+K28*(F_MR/12)),0)</f>
        <v>0</v>
      </c>
      <c r="Y28" s="20" t="n">
        <f aca="false">IF(L28&gt;PR_BalDone,MIN(F_MortPayM,L28+L28*(F_MR/12)),0)</f>
        <v>0</v>
      </c>
      <c r="Z28" s="20" t="n">
        <f aca="false">IF(M28&gt;PR_BalDone,MIN(F_MortPayM,M28+M28*(F_MR/12)),0)</f>
        <v>0</v>
      </c>
      <c r="AA28" s="20" t="n">
        <f aca="false">IF(N28&gt;PR_BalDone,MIN(F_MortPayM,N28+N28*(F_MR/12)),0)</f>
        <v>0</v>
      </c>
      <c r="AB28" s="20" t="n">
        <f aca="false">MAX(0,O28)</f>
        <v>0</v>
      </c>
      <c r="AC28" s="20" t="n">
        <f aca="false">SUM(P28:AA28)</f>
        <v>0</v>
      </c>
      <c r="AD28" s="20" t="n">
        <f aca="false">'Plan cashflow'!M28</f>
        <v>0</v>
      </c>
      <c r="AE28" s="20" t="n">
        <f aca="false">IF(AD28&gt;PR_BalDone,AD28+AD28*(D_iC)-MIN(F_CardPayM,AD28+AD28*(D_iC)),AD28)</f>
        <v>0</v>
      </c>
      <c r="AF28" s="20" t="n">
        <f aca="false">IF(AE28&gt;PR_BalDone,AE28+AE28*(D_iC)-MIN(F_CardPayM,AE28+AE28*(D_iC)),AE28)</f>
        <v>0</v>
      </c>
      <c r="AG28" s="20" t="n">
        <f aca="false">IF(AF28&gt;PR_BalDone,AF28+AF28*(D_iC)-MIN(F_CardPayM,AF28+AF28*(D_iC)),AF28)</f>
        <v>0</v>
      </c>
      <c r="AH28" s="20" t="n">
        <f aca="false">IF(AG28&gt;PR_BalDone,AG28+AG28*(D_iC)-MIN(F_CardPayM,AG28+AG28*(D_iC)),AG28)</f>
        <v>0</v>
      </c>
      <c r="AI28" s="20" t="n">
        <f aca="false">IF(AH28&gt;PR_BalDone,AH28+AH28*(D_iC)-MIN(F_CardPayM,AH28+AH28*(D_iC)),AH28)</f>
        <v>0</v>
      </c>
      <c r="AJ28" s="20" t="n">
        <f aca="false">IF(AI28&gt;PR_BalDone,AI28+AI28*(D_iC)-MIN(F_CardPayM,AI28+AI28*(D_iC)),AI28)</f>
        <v>0</v>
      </c>
      <c r="AK28" s="20" t="n">
        <f aca="false">IF(AJ28&gt;PR_BalDone,AJ28+AJ28*(D_iC)-MIN(F_CardPayM,AJ28+AJ28*(D_iC)),AJ28)</f>
        <v>0</v>
      </c>
      <c r="AL28" s="20" t="n">
        <f aca="false">IF(AK28&gt;PR_BalDone,AK28+AK28*(D_iC)-MIN(F_CardPayM,AK28+AK28*(D_iC)),AK28)</f>
        <v>0</v>
      </c>
      <c r="AM28" s="20" t="n">
        <f aca="false">IF(AL28&gt;PR_BalDone,AL28+AL28*(D_iC)-MIN(F_CardPayM,AL28+AL28*(D_iC)),AL28)</f>
        <v>0</v>
      </c>
      <c r="AN28" s="20" t="n">
        <f aca="false">IF(AM28&gt;PR_BalDone,AM28+AM28*(D_iC)-MIN(F_CardPayM,AM28+AM28*(D_iC)),AM28)</f>
        <v>0</v>
      </c>
      <c r="AO28" s="20" t="n">
        <f aca="false">IF(AN28&gt;PR_BalDone,AN28+AN28*(D_iC)-MIN(F_CardPayM,AN28+AN28*(D_iC)),AN28)</f>
        <v>0</v>
      </c>
      <c r="AP28" s="20" t="n">
        <f aca="false">IF(AO28&gt;PR_BalDone,AO28+AO28*(D_iC)-MIN(F_CardPayM,AO28+AO28*(D_iC)),AO28)</f>
        <v>0</v>
      </c>
      <c r="AQ28" s="20" t="n">
        <f aca="false">IF(AD28&gt;PR_BalDone,MIN(F_CardPayM,AD28+AD28*(D_iC)),0)</f>
        <v>0</v>
      </c>
      <c r="AR28" s="20" t="n">
        <f aca="false">IF(AE28&gt;PR_BalDone,MIN(F_CardPayM,AE28+AE28*(D_iC)),0)</f>
        <v>0</v>
      </c>
      <c r="AS28" s="20" t="n">
        <f aca="false">IF(AF28&gt;PR_BalDone,MIN(F_CardPayM,AF28+AF28*(D_iC)),0)</f>
        <v>0</v>
      </c>
      <c r="AT28" s="20" t="n">
        <f aca="false">IF(AG28&gt;PR_BalDone,MIN(F_CardPayM,AG28+AG28*(D_iC)),0)</f>
        <v>0</v>
      </c>
      <c r="AU28" s="20" t="n">
        <f aca="false">IF(AH28&gt;PR_BalDone,MIN(F_CardPayM,AH28+AH28*(D_iC)),0)</f>
        <v>0</v>
      </c>
      <c r="AV28" s="20" t="n">
        <f aca="false">IF(AI28&gt;PR_BalDone,MIN(F_CardPayM,AI28+AI28*(D_iC)),0)</f>
        <v>0</v>
      </c>
      <c r="AW28" s="20" t="n">
        <f aca="false">IF(AJ28&gt;PR_BalDone,MIN(F_CardPayM,AJ28+AJ28*(D_iC)),0)</f>
        <v>0</v>
      </c>
      <c r="AX28" s="20" t="n">
        <f aca="false">IF(AK28&gt;PR_BalDone,MIN(F_CardPayM,AK28+AK28*(D_iC)),0)</f>
        <v>0</v>
      </c>
      <c r="AY28" s="20" t="n">
        <f aca="false">IF(AL28&gt;PR_BalDone,MIN(F_CardPayM,AL28+AL28*(D_iC)),0)</f>
        <v>0</v>
      </c>
      <c r="AZ28" s="20" t="n">
        <f aca="false">IF(AM28&gt;PR_BalDone,MIN(F_CardPayM,AM28+AM28*(D_iC)),0)</f>
        <v>0</v>
      </c>
      <c r="BA28" s="20" t="n">
        <f aca="false">IF(AN28&gt;PR_BalDone,MIN(F_CardPayM,AN28+AN28*(D_iC)),0)</f>
        <v>0</v>
      </c>
      <c r="BB28" s="20" t="n">
        <f aca="false">IF(AO28&gt;PR_BalDone,MIN(F_CardPayM,AO28+AO28*(D_iC)),0)</f>
        <v>0</v>
      </c>
      <c r="BC28" s="20" t="n">
        <f aca="false">MAX(0,AP28)</f>
        <v>0</v>
      </c>
      <c r="BD28" s="20" t="n">
        <f aca="false">SUM(AQ28:BB28)</f>
        <v>0</v>
      </c>
      <c r="BE28" s="20" t="n">
        <f aca="false">'Plan cashflow'!P28</f>
        <v>0</v>
      </c>
      <c r="BF28" s="20" t="n">
        <f aca="false">IF(BE28&gt;PR_BalDone,BE28+BE28*(D_iL)-MIN(F_LoanPayM,BE28+BE28*(D_iL)),BE28)</f>
        <v>0</v>
      </c>
      <c r="BG28" s="20" t="n">
        <f aca="false">IF(BF28&gt;PR_BalDone,BF28+BF28*(D_iL)-MIN(F_LoanPayM,BF28+BF28*(D_iL)),BF28)</f>
        <v>0</v>
      </c>
      <c r="BH28" s="20" t="n">
        <f aca="false">IF(BG28&gt;PR_BalDone,BG28+BG28*(D_iL)-MIN(F_LoanPayM,BG28+BG28*(D_iL)),BG28)</f>
        <v>0</v>
      </c>
      <c r="BI28" s="20" t="n">
        <f aca="false">IF(BH28&gt;PR_BalDone,BH28+BH28*(D_iL)-MIN(F_LoanPayM,BH28+BH28*(D_iL)),BH28)</f>
        <v>0</v>
      </c>
      <c r="BJ28" s="20" t="n">
        <f aca="false">IF(BI28&gt;PR_BalDone,BI28+BI28*(D_iL)-MIN(F_LoanPayM,BI28+BI28*(D_iL)),BI28)</f>
        <v>0</v>
      </c>
      <c r="BK28" s="20" t="n">
        <f aca="false">IF(BJ28&gt;PR_BalDone,BJ28+BJ28*(D_iL)-MIN(F_LoanPayM,BJ28+BJ28*(D_iL)),BJ28)</f>
        <v>0</v>
      </c>
      <c r="BL28" s="20" t="n">
        <f aca="false">IF(BK28&gt;PR_BalDone,BK28+BK28*(D_iL)-MIN(F_LoanPayM,BK28+BK28*(D_iL)),BK28)</f>
        <v>0</v>
      </c>
      <c r="BM28" s="20" t="n">
        <f aca="false">IF(BL28&gt;PR_BalDone,BL28+BL28*(D_iL)-MIN(F_LoanPayM,BL28+BL28*(D_iL)),BL28)</f>
        <v>0</v>
      </c>
      <c r="BN28" s="20" t="n">
        <f aca="false">IF(BM28&gt;PR_BalDone,BM28+BM28*(D_iL)-MIN(F_LoanPayM,BM28+BM28*(D_iL)),BM28)</f>
        <v>0</v>
      </c>
      <c r="BO28" s="20" t="n">
        <f aca="false">IF(BN28&gt;PR_BalDone,BN28+BN28*(D_iL)-MIN(F_LoanPayM,BN28+BN28*(D_iL)),BN28)</f>
        <v>0</v>
      </c>
      <c r="BP28" s="20" t="n">
        <f aca="false">IF(BO28&gt;PR_BalDone,BO28+BO28*(D_iL)-MIN(F_LoanPayM,BO28+BO28*(D_iL)),BO28)</f>
        <v>0</v>
      </c>
      <c r="BQ28" s="20" t="n">
        <f aca="false">IF(BP28&gt;PR_BalDone,BP28+BP28*(D_iL)-MIN(F_LoanPayM,BP28+BP28*(D_iL)),BP28)</f>
        <v>0</v>
      </c>
      <c r="BR28" s="20" t="n">
        <f aca="false">IF(BE28&gt;PR_BalDone,MIN(F_LoanPayM,BE28+BE28*(D_iL)),0)</f>
        <v>0</v>
      </c>
      <c r="BS28" s="20" t="n">
        <f aca="false">IF(BF28&gt;PR_BalDone,MIN(F_LoanPayM,BF28+BF28*(D_iL)),0)</f>
        <v>0</v>
      </c>
      <c r="BT28" s="20" t="n">
        <f aca="false">IF(BG28&gt;PR_BalDone,MIN(F_LoanPayM,BG28+BG28*(D_iL)),0)</f>
        <v>0</v>
      </c>
      <c r="BU28" s="20" t="n">
        <f aca="false">IF(BH28&gt;PR_BalDone,MIN(F_LoanPayM,BH28+BH28*(D_iL)),0)</f>
        <v>0</v>
      </c>
      <c r="BV28" s="20" t="n">
        <f aca="false">IF(BI28&gt;PR_BalDone,MIN(F_LoanPayM,BI28+BI28*(D_iL)),0)</f>
        <v>0</v>
      </c>
      <c r="BW28" s="20" t="n">
        <f aca="false">IF(BJ28&gt;PR_BalDone,MIN(F_LoanPayM,BJ28+BJ28*(D_iL)),0)</f>
        <v>0</v>
      </c>
      <c r="BX28" s="20" t="n">
        <f aca="false">IF(BK28&gt;PR_BalDone,MIN(F_LoanPayM,BK28+BK28*(D_iL)),0)</f>
        <v>0</v>
      </c>
      <c r="BY28" s="20" t="n">
        <f aca="false">IF(BL28&gt;PR_BalDone,MIN(F_LoanPayM,BL28+BL28*(D_iL)),0)</f>
        <v>0</v>
      </c>
      <c r="BZ28" s="20" t="n">
        <f aca="false">IF(BM28&gt;PR_BalDone,MIN(F_LoanPayM,BM28+BM28*(D_iL)),0)</f>
        <v>0</v>
      </c>
      <c r="CA28" s="20" t="n">
        <f aca="false">IF(BN28&gt;PR_BalDone,MIN(F_LoanPayM,BN28+BN28*(D_iL)),0)</f>
        <v>0</v>
      </c>
      <c r="CB28" s="20" t="n">
        <f aca="false">IF(BO28&gt;PR_BalDone,MIN(F_LoanPayM,BO28+BO28*(D_iL)),0)</f>
        <v>0</v>
      </c>
      <c r="CC28" s="20" t="n">
        <f aca="false">IF(BP28&gt;PR_BalDone,MIN(F_LoanPayM,BP28+BP28*(D_iL)),0)</f>
        <v>0</v>
      </c>
      <c r="CD28" s="20" t="n">
        <f aca="false">MAX(0,BQ28)</f>
        <v>0</v>
      </c>
      <c r="CE28" s="20" t="n">
        <f aca="false">SUM(BR28:CC28)</f>
        <v>0</v>
      </c>
      <c r="CF28" s="20" t="n">
        <f aca="false">IF(CF27&gt;1,DE27,CF27)</f>
        <v>13827.9505621321</v>
      </c>
      <c r="CG28" s="20" t="n">
        <f aca="false">IF(CF28&gt;PR_BalDone,CF28+CF28*(F_MR/12)-MIN(F_MortPayM,CF28+CF28*(F_MR/12)),CF28)</f>
        <v>12692.3152368523</v>
      </c>
      <c r="CH28" s="20" t="n">
        <f aca="false">IF(CG28&gt;PR_BalDone,CG28+CG28*(F_MR/12)-MIN(F_MortPayM,CG28+CG28*(F_MR/12)),CG28)</f>
        <v>11553.0364149039</v>
      </c>
      <c r="CI28" s="20" t="n">
        <f aca="false">IF(CH28&gt;PR_BalDone,CH28+CH28*(F_MR/12)-MIN(F_MortPayM,CH28+CH28*(F_MR/12)),CH28)</f>
        <v>10410.102406735</v>
      </c>
      <c r="CJ28" s="20" t="n">
        <f aca="false">IF(CI28&gt;PR_BalDone,CI28+CI28*(F_MR/12)-MIN(F_MortPayM,CI28+CI28*(F_MR/12)),CI28)</f>
        <v>9263.50148528996</v>
      </c>
      <c r="CK28" s="20" t="n">
        <f aca="false">IF(CJ28&gt;PR_BalDone,CJ28+CJ28*(F_MR/12)-MIN(F_MortPayM,CJ28+CJ28*(F_MR/12)),CJ28)</f>
        <v>8113.2218858886</v>
      </c>
      <c r="CL28" s="20" t="n">
        <f aca="false">IF(CK28&gt;PR_BalDone,CK28+CK28*(F_MR/12)-MIN(F_MortPayM,CK28+CK28*(F_MR/12)),CK28)</f>
        <v>6959.25180610582</v>
      </c>
      <c r="CM28" s="20" t="n">
        <f aca="false">IF(CL28&gt;PR_BalDone,CL28+CL28*(F_MR/12)-MIN(F_MortPayM,CL28+CL28*(F_MR/12)),CL28)</f>
        <v>5801.57940565041</v>
      </c>
      <c r="CN28" s="20" t="n">
        <f aca="false">IF(CM28&gt;PR_BalDone,CM28+CM28*(F_MR/12)-MIN(F_MortPayM,CM28+CM28*(F_MR/12)),CM28)</f>
        <v>4640.19280624354</v>
      </c>
      <c r="CO28" s="20" t="n">
        <f aca="false">IF(CN28&gt;PR_BalDone,CN28+CN28*(F_MR/12)-MIN(F_MortPayM,CN28+CN28*(F_MR/12)),CN28)</f>
        <v>3475.0800914969</v>
      </c>
      <c r="CP28" s="20" t="n">
        <f aca="false">IF(CO28&gt;PR_BalDone,CO28+CO28*(F_MR/12)-MIN(F_MortPayM,CO28+CO28*(F_MR/12)),CO28)</f>
        <v>2306.22930679046</v>
      </c>
      <c r="CQ28" s="20" t="n">
        <f aca="false">IF(CP28&gt;PR_BalDone,CP28+CP28*(F_MR/12)-MIN(F_MortPayM,CP28+CP28*(F_MR/12)),CP28)</f>
        <v>1133.62845914974</v>
      </c>
      <c r="CR28" s="20" t="n">
        <f aca="false">IF(CQ28&gt;PR_BalDone,CQ28+CQ28*(F_MR/12)-MIN(F_MortPayM,CQ28+CQ28*(F_MR/12)),CQ28)</f>
        <v>0</v>
      </c>
      <c r="CS28" s="20" t="n">
        <f aca="false">IF(CF28&gt;PR_BalDone,MIN(F_MortPayM,CF28+CF28*(F_MR/12)),0)</f>
        <v>1180</v>
      </c>
      <c r="CT28" s="20" t="n">
        <f aca="false">IF(CG28&gt;PR_BalDone,MIN(F_MortPayM,CG28+CG28*(F_MR/12)),0)</f>
        <v>1180</v>
      </c>
      <c r="CU28" s="20" t="n">
        <f aca="false">IF(CH28&gt;PR_BalDone,MIN(F_MortPayM,CH28+CH28*(F_MR/12)),0)</f>
        <v>1180</v>
      </c>
      <c r="CV28" s="20" t="n">
        <f aca="false">IF(CI28&gt;PR_BalDone,MIN(F_MortPayM,CI28+CI28*(F_MR/12)),0)</f>
        <v>1180</v>
      </c>
      <c r="CW28" s="20" t="n">
        <f aca="false">IF(CJ28&gt;PR_BalDone,MIN(F_MortPayM,CJ28+CJ28*(F_MR/12)),0)</f>
        <v>1180</v>
      </c>
      <c r="CX28" s="20" t="n">
        <f aca="false">IF(CK28&gt;PR_BalDone,MIN(F_MortPayM,CK28+CK28*(F_MR/12)),0)</f>
        <v>1180</v>
      </c>
      <c r="CY28" s="20" t="n">
        <f aca="false">IF(CL28&gt;PR_BalDone,MIN(F_MortPayM,CL28+CL28*(F_MR/12)),0)</f>
        <v>1180</v>
      </c>
      <c r="CZ28" s="20" t="n">
        <f aca="false">IF(CM28&gt;PR_BalDone,MIN(F_MortPayM,CM28+CM28*(F_MR/12)),0)</f>
        <v>1180</v>
      </c>
      <c r="DA28" s="20" t="n">
        <f aca="false">IF(CN28&gt;PR_BalDone,MIN(F_MortPayM,CN28+CN28*(F_MR/12)),0)</f>
        <v>1180</v>
      </c>
      <c r="DB28" s="20" t="n">
        <f aca="false">IF(CO28&gt;PR_BalDone,MIN(F_MortPayM,CO28+CO28*(F_MR/12)),0)</f>
        <v>1180</v>
      </c>
      <c r="DC28" s="20" t="n">
        <f aca="false">IF(CP28&gt;PR_BalDone,MIN(F_MortPayM,CP28+CP28*(F_MR/12)),0)</f>
        <v>1180</v>
      </c>
      <c r="DD28" s="20" t="n">
        <f aca="false">IF(CQ28&gt;PR_BalDone,MIN(F_MortPayM,CQ28+CQ28*(F_MR/12)),0)</f>
        <v>1137.26551712285</v>
      </c>
      <c r="DE28" s="20" t="n">
        <f aca="false">MAX(0,CR28)</f>
        <v>0</v>
      </c>
      <c r="DF28" s="20" t="n">
        <f aca="false">SUM(CS28:DD28)</f>
        <v>14117.2655171228</v>
      </c>
      <c r="DG28" s="20" t="n">
        <f aca="false">MAX(0,CF28)</f>
        <v>13827.9505621321</v>
      </c>
    </row>
    <row r="29" customFormat="false" ht="15" hidden="false" customHeight="true" outlineLevel="0" collapsed="false">
      <c r="B29" s="20" t="n">
        <v>21</v>
      </c>
      <c r="C29" s="20" t="n">
        <f aca="false">'Plan cashflow'!J29</f>
        <v>0</v>
      </c>
      <c r="D29" s="20" t="n">
        <f aca="false">IF(C29&gt;PR_BalDone,C29+C29*(F_MR/12)-MIN(F_MortPayM,C29+C29*(F_MR/12)),C29)</f>
        <v>0</v>
      </c>
      <c r="E29" s="20" t="n">
        <f aca="false">IF(D29&gt;PR_BalDone,D29+D29*(F_MR/12)-MIN(F_MortPayM,D29+D29*(F_MR/12)),D29)</f>
        <v>0</v>
      </c>
      <c r="F29" s="20" t="n">
        <f aca="false">IF(E29&gt;PR_BalDone,E29+E29*(F_MR/12)-MIN(F_MortPayM,E29+E29*(F_MR/12)),E29)</f>
        <v>0</v>
      </c>
      <c r="G29" s="20" t="n">
        <f aca="false">IF(F29&gt;PR_BalDone,F29+F29*(F_MR/12)-MIN(F_MortPayM,F29+F29*(F_MR/12)),F29)</f>
        <v>0</v>
      </c>
      <c r="H29" s="20" t="n">
        <f aca="false">IF(G29&gt;PR_BalDone,G29+G29*(F_MR/12)-MIN(F_MortPayM,G29+G29*(F_MR/12)),G29)</f>
        <v>0</v>
      </c>
      <c r="I29" s="20" t="n">
        <f aca="false">IF(H29&gt;PR_BalDone,H29+H29*(F_MR/12)-MIN(F_MortPayM,H29+H29*(F_MR/12)),H29)</f>
        <v>0</v>
      </c>
      <c r="J29" s="20" t="n">
        <f aca="false">IF(I29&gt;PR_BalDone,I29+I29*(F_MR/12)-MIN(F_MortPayM,I29+I29*(F_MR/12)),I29)</f>
        <v>0</v>
      </c>
      <c r="K29" s="20" t="n">
        <f aca="false">IF(J29&gt;PR_BalDone,J29+J29*(F_MR/12)-MIN(F_MortPayM,J29+J29*(F_MR/12)),J29)</f>
        <v>0</v>
      </c>
      <c r="L29" s="20" t="n">
        <f aca="false">IF(K29&gt;PR_BalDone,K29+K29*(F_MR/12)-MIN(F_MortPayM,K29+K29*(F_MR/12)),K29)</f>
        <v>0</v>
      </c>
      <c r="M29" s="20" t="n">
        <f aca="false">IF(L29&gt;PR_BalDone,L29+L29*(F_MR/12)-MIN(F_MortPayM,L29+L29*(F_MR/12)),L29)</f>
        <v>0</v>
      </c>
      <c r="N29" s="20" t="n">
        <f aca="false">IF(M29&gt;PR_BalDone,M29+M29*(F_MR/12)-MIN(F_MortPayM,M29+M29*(F_MR/12)),M29)</f>
        <v>0</v>
      </c>
      <c r="O29" s="20" t="n">
        <f aca="false">IF(N29&gt;PR_BalDone,N29+N29*(F_MR/12)-MIN(F_MortPayM,N29+N29*(F_MR/12)),N29)</f>
        <v>0</v>
      </c>
      <c r="P29" s="20" t="n">
        <f aca="false">IF(C29&gt;PR_BalDone,MIN(F_MortPayM,C29+C29*(F_MR/12)),0)</f>
        <v>0</v>
      </c>
      <c r="Q29" s="20" t="n">
        <f aca="false">IF(D29&gt;PR_BalDone,MIN(F_MortPayM,D29+D29*(F_MR/12)),0)</f>
        <v>0</v>
      </c>
      <c r="R29" s="20" t="n">
        <f aca="false">IF(E29&gt;PR_BalDone,MIN(F_MortPayM,E29+E29*(F_MR/12)),0)</f>
        <v>0</v>
      </c>
      <c r="S29" s="20" t="n">
        <f aca="false">IF(F29&gt;PR_BalDone,MIN(F_MortPayM,F29+F29*(F_MR/12)),0)</f>
        <v>0</v>
      </c>
      <c r="T29" s="20" t="n">
        <f aca="false">IF(G29&gt;PR_BalDone,MIN(F_MortPayM,G29+G29*(F_MR/12)),0)</f>
        <v>0</v>
      </c>
      <c r="U29" s="20" t="n">
        <f aca="false">IF(H29&gt;PR_BalDone,MIN(F_MortPayM,H29+H29*(F_MR/12)),0)</f>
        <v>0</v>
      </c>
      <c r="V29" s="20" t="n">
        <f aca="false">IF(I29&gt;PR_BalDone,MIN(F_MortPayM,I29+I29*(F_MR/12)),0)</f>
        <v>0</v>
      </c>
      <c r="W29" s="20" t="n">
        <f aca="false">IF(J29&gt;PR_BalDone,MIN(F_MortPayM,J29+J29*(F_MR/12)),0)</f>
        <v>0</v>
      </c>
      <c r="X29" s="20" t="n">
        <f aca="false">IF(K29&gt;PR_BalDone,MIN(F_MortPayM,K29+K29*(F_MR/12)),0)</f>
        <v>0</v>
      </c>
      <c r="Y29" s="20" t="n">
        <f aca="false">IF(L29&gt;PR_BalDone,MIN(F_MortPayM,L29+L29*(F_MR/12)),0)</f>
        <v>0</v>
      </c>
      <c r="Z29" s="20" t="n">
        <f aca="false">IF(M29&gt;PR_BalDone,MIN(F_MortPayM,M29+M29*(F_MR/12)),0)</f>
        <v>0</v>
      </c>
      <c r="AA29" s="20" t="n">
        <f aca="false">IF(N29&gt;PR_BalDone,MIN(F_MortPayM,N29+N29*(F_MR/12)),0)</f>
        <v>0</v>
      </c>
      <c r="AB29" s="20" t="n">
        <f aca="false">MAX(0,O29)</f>
        <v>0</v>
      </c>
      <c r="AC29" s="20" t="n">
        <f aca="false">SUM(P29:AA29)</f>
        <v>0</v>
      </c>
      <c r="AD29" s="20" t="n">
        <f aca="false">'Plan cashflow'!M29</f>
        <v>0</v>
      </c>
      <c r="AE29" s="20" t="n">
        <f aca="false">IF(AD29&gt;PR_BalDone,AD29+AD29*(D_iC)-MIN(F_CardPayM,AD29+AD29*(D_iC)),AD29)</f>
        <v>0</v>
      </c>
      <c r="AF29" s="20" t="n">
        <f aca="false">IF(AE29&gt;PR_BalDone,AE29+AE29*(D_iC)-MIN(F_CardPayM,AE29+AE29*(D_iC)),AE29)</f>
        <v>0</v>
      </c>
      <c r="AG29" s="20" t="n">
        <f aca="false">IF(AF29&gt;PR_BalDone,AF29+AF29*(D_iC)-MIN(F_CardPayM,AF29+AF29*(D_iC)),AF29)</f>
        <v>0</v>
      </c>
      <c r="AH29" s="20" t="n">
        <f aca="false">IF(AG29&gt;PR_BalDone,AG29+AG29*(D_iC)-MIN(F_CardPayM,AG29+AG29*(D_iC)),AG29)</f>
        <v>0</v>
      </c>
      <c r="AI29" s="20" t="n">
        <f aca="false">IF(AH29&gt;PR_BalDone,AH29+AH29*(D_iC)-MIN(F_CardPayM,AH29+AH29*(D_iC)),AH29)</f>
        <v>0</v>
      </c>
      <c r="AJ29" s="20" t="n">
        <f aca="false">IF(AI29&gt;PR_BalDone,AI29+AI29*(D_iC)-MIN(F_CardPayM,AI29+AI29*(D_iC)),AI29)</f>
        <v>0</v>
      </c>
      <c r="AK29" s="20" t="n">
        <f aca="false">IF(AJ29&gt;PR_BalDone,AJ29+AJ29*(D_iC)-MIN(F_CardPayM,AJ29+AJ29*(D_iC)),AJ29)</f>
        <v>0</v>
      </c>
      <c r="AL29" s="20" t="n">
        <f aca="false">IF(AK29&gt;PR_BalDone,AK29+AK29*(D_iC)-MIN(F_CardPayM,AK29+AK29*(D_iC)),AK29)</f>
        <v>0</v>
      </c>
      <c r="AM29" s="20" t="n">
        <f aca="false">IF(AL29&gt;PR_BalDone,AL29+AL29*(D_iC)-MIN(F_CardPayM,AL29+AL29*(D_iC)),AL29)</f>
        <v>0</v>
      </c>
      <c r="AN29" s="20" t="n">
        <f aca="false">IF(AM29&gt;PR_BalDone,AM29+AM29*(D_iC)-MIN(F_CardPayM,AM29+AM29*(D_iC)),AM29)</f>
        <v>0</v>
      </c>
      <c r="AO29" s="20" t="n">
        <f aca="false">IF(AN29&gt;PR_BalDone,AN29+AN29*(D_iC)-MIN(F_CardPayM,AN29+AN29*(D_iC)),AN29)</f>
        <v>0</v>
      </c>
      <c r="AP29" s="20" t="n">
        <f aca="false">IF(AO29&gt;PR_BalDone,AO29+AO29*(D_iC)-MIN(F_CardPayM,AO29+AO29*(D_iC)),AO29)</f>
        <v>0</v>
      </c>
      <c r="AQ29" s="20" t="n">
        <f aca="false">IF(AD29&gt;PR_BalDone,MIN(F_CardPayM,AD29+AD29*(D_iC)),0)</f>
        <v>0</v>
      </c>
      <c r="AR29" s="20" t="n">
        <f aca="false">IF(AE29&gt;PR_BalDone,MIN(F_CardPayM,AE29+AE29*(D_iC)),0)</f>
        <v>0</v>
      </c>
      <c r="AS29" s="20" t="n">
        <f aca="false">IF(AF29&gt;PR_BalDone,MIN(F_CardPayM,AF29+AF29*(D_iC)),0)</f>
        <v>0</v>
      </c>
      <c r="AT29" s="20" t="n">
        <f aca="false">IF(AG29&gt;PR_BalDone,MIN(F_CardPayM,AG29+AG29*(D_iC)),0)</f>
        <v>0</v>
      </c>
      <c r="AU29" s="20" t="n">
        <f aca="false">IF(AH29&gt;PR_BalDone,MIN(F_CardPayM,AH29+AH29*(D_iC)),0)</f>
        <v>0</v>
      </c>
      <c r="AV29" s="20" t="n">
        <f aca="false">IF(AI29&gt;PR_BalDone,MIN(F_CardPayM,AI29+AI29*(D_iC)),0)</f>
        <v>0</v>
      </c>
      <c r="AW29" s="20" t="n">
        <f aca="false">IF(AJ29&gt;PR_BalDone,MIN(F_CardPayM,AJ29+AJ29*(D_iC)),0)</f>
        <v>0</v>
      </c>
      <c r="AX29" s="20" t="n">
        <f aca="false">IF(AK29&gt;PR_BalDone,MIN(F_CardPayM,AK29+AK29*(D_iC)),0)</f>
        <v>0</v>
      </c>
      <c r="AY29" s="20" t="n">
        <f aca="false">IF(AL29&gt;PR_BalDone,MIN(F_CardPayM,AL29+AL29*(D_iC)),0)</f>
        <v>0</v>
      </c>
      <c r="AZ29" s="20" t="n">
        <f aca="false">IF(AM29&gt;PR_BalDone,MIN(F_CardPayM,AM29+AM29*(D_iC)),0)</f>
        <v>0</v>
      </c>
      <c r="BA29" s="20" t="n">
        <f aca="false">IF(AN29&gt;PR_BalDone,MIN(F_CardPayM,AN29+AN29*(D_iC)),0)</f>
        <v>0</v>
      </c>
      <c r="BB29" s="20" t="n">
        <f aca="false">IF(AO29&gt;PR_BalDone,MIN(F_CardPayM,AO29+AO29*(D_iC)),0)</f>
        <v>0</v>
      </c>
      <c r="BC29" s="20" t="n">
        <f aca="false">MAX(0,AP29)</f>
        <v>0</v>
      </c>
      <c r="BD29" s="20" t="n">
        <f aca="false">SUM(AQ29:BB29)</f>
        <v>0</v>
      </c>
      <c r="BE29" s="20" t="n">
        <f aca="false">'Plan cashflow'!P29</f>
        <v>0</v>
      </c>
      <c r="BF29" s="20" t="n">
        <f aca="false">IF(BE29&gt;PR_BalDone,BE29+BE29*(D_iL)-MIN(F_LoanPayM,BE29+BE29*(D_iL)),BE29)</f>
        <v>0</v>
      </c>
      <c r="BG29" s="20" t="n">
        <f aca="false">IF(BF29&gt;PR_BalDone,BF29+BF29*(D_iL)-MIN(F_LoanPayM,BF29+BF29*(D_iL)),BF29)</f>
        <v>0</v>
      </c>
      <c r="BH29" s="20" t="n">
        <f aca="false">IF(BG29&gt;PR_BalDone,BG29+BG29*(D_iL)-MIN(F_LoanPayM,BG29+BG29*(D_iL)),BG29)</f>
        <v>0</v>
      </c>
      <c r="BI29" s="20" t="n">
        <f aca="false">IF(BH29&gt;PR_BalDone,BH29+BH29*(D_iL)-MIN(F_LoanPayM,BH29+BH29*(D_iL)),BH29)</f>
        <v>0</v>
      </c>
      <c r="BJ29" s="20" t="n">
        <f aca="false">IF(BI29&gt;PR_BalDone,BI29+BI29*(D_iL)-MIN(F_LoanPayM,BI29+BI29*(D_iL)),BI29)</f>
        <v>0</v>
      </c>
      <c r="BK29" s="20" t="n">
        <f aca="false">IF(BJ29&gt;PR_BalDone,BJ29+BJ29*(D_iL)-MIN(F_LoanPayM,BJ29+BJ29*(D_iL)),BJ29)</f>
        <v>0</v>
      </c>
      <c r="BL29" s="20" t="n">
        <f aca="false">IF(BK29&gt;PR_BalDone,BK29+BK29*(D_iL)-MIN(F_LoanPayM,BK29+BK29*(D_iL)),BK29)</f>
        <v>0</v>
      </c>
      <c r="BM29" s="20" t="n">
        <f aca="false">IF(BL29&gt;PR_BalDone,BL29+BL29*(D_iL)-MIN(F_LoanPayM,BL29+BL29*(D_iL)),BL29)</f>
        <v>0</v>
      </c>
      <c r="BN29" s="20" t="n">
        <f aca="false">IF(BM29&gt;PR_BalDone,BM29+BM29*(D_iL)-MIN(F_LoanPayM,BM29+BM29*(D_iL)),BM29)</f>
        <v>0</v>
      </c>
      <c r="BO29" s="20" t="n">
        <f aca="false">IF(BN29&gt;PR_BalDone,BN29+BN29*(D_iL)-MIN(F_LoanPayM,BN29+BN29*(D_iL)),BN29)</f>
        <v>0</v>
      </c>
      <c r="BP29" s="20" t="n">
        <f aca="false">IF(BO29&gt;PR_BalDone,BO29+BO29*(D_iL)-MIN(F_LoanPayM,BO29+BO29*(D_iL)),BO29)</f>
        <v>0</v>
      </c>
      <c r="BQ29" s="20" t="n">
        <f aca="false">IF(BP29&gt;PR_BalDone,BP29+BP29*(D_iL)-MIN(F_LoanPayM,BP29+BP29*(D_iL)),BP29)</f>
        <v>0</v>
      </c>
      <c r="BR29" s="20" t="n">
        <f aca="false">IF(BE29&gt;PR_BalDone,MIN(F_LoanPayM,BE29+BE29*(D_iL)),0)</f>
        <v>0</v>
      </c>
      <c r="BS29" s="20" t="n">
        <f aca="false">IF(BF29&gt;PR_BalDone,MIN(F_LoanPayM,BF29+BF29*(D_iL)),0)</f>
        <v>0</v>
      </c>
      <c r="BT29" s="20" t="n">
        <f aca="false">IF(BG29&gt;PR_BalDone,MIN(F_LoanPayM,BG29+BG29*(D_iL)),0)</f>
        <v>0</v>
      </c>
      <c r="BU29" s="20" t="n">
        <f aca="false">IF(BH29&gt;PR_BalDone,MIN(F_LoanPayM,BH29+BH29*(D_iL)),0)</f>
        <v>0</v>
      </c>
      <c r="BV29" s="20" t="n">
        <f aca="false">IF(BI29&gt;PR_BalDone,MIN(F_LoanPayM,BI29+BI29*(D_iL)),0)</f>
        <v>0</v>
      </c>
      <c r="BW29" s="20" t="n">
        <f aca="false">IF(BJ29&gt;PR_BalDone,MIN(F_LoanPayM,BJ29+BJ29*(D_iL)),0)</f>
        <v>0</v>
      </c>
      <c r="BX29" s="20" t="n">
        <f aca="false">IF(BK29&gt;PR_BalDone,MIN(F_LoanPayM,BK29+BK29*(D_iL)),0)</f>
        <v>0</v>
      </c>
      <c r="BY29" s="20" t="n">
        <f aca="false">IF(BL29&gt;PR_BalDone,MIN(F_LoanPayM,BL29+BL29*(D_iL)),0)</f>
        <v>0</v>
      </c>
      <c r="BZ29" s="20" t="n">
        <f aca="false">IF(BM29&gt;PR_BalDone,MIN(F_LoanPayM,BM29+BM29*(D_iL)),0)</f>
        <v>0</v>
      </c>
      <c r="CA29" s="20" t="n">
        <f aca="false">IF(BN29&gt;PR_BalDone,MIN(F_LoanPayM,BN29+BN29*(D_iL)),0)</f>
        <v>0</v>
      </c>
      <c r="CB29" s="20" t="n">
        <f aca="false">IF(BO29&gt;PR_BalDone,MIN(F_LoanPayM,BO29+BO29*(D_iL)),0)</f>
        <v>0</v>
      </c>
      <c r="CC29" s="20" t="n">
        <f aca="false">IF(BP29&gt;PR_BalDone,MIN(F_LoanPayM,BP29+BP29*(D_iL)),0)</f>
        <v>0</v>
      </c>
      <c r="CD29" s="20" t="n">
        <f aca="false">MAX(0,BQ29)</f>
        <v>0</v>
      </c>
      <c r="CE29" s="20" t="n">
        <f aca="false">SUM(BR29:CC29)</f>
        <v>0</v>
      </c>
      <c r="CF29" s="20" t="n">
        <f aca="false">IF(CF28&gt;1,DE28,CF28)</f>
        <v>0</v>
      </c>
      <c r="CG29" s="20" t="n">
        <f aca="false">IF(CF29&gt;PR_BalDone,CF29+CF29*(F_MR/12)-MIN(F_MortPayM,CF29+CF29*(F_MR/12)),CF29)</f>
        <v>0</v>
      </c>
      <c r="CH29" s="20" t="n">
        <f aca="false">IF(CG29&gt;PR_BalDone,CG29+CG29*(F_MR/12)-MIN(F_MortPayM,CG29+CG29*(F_MR/12)),CG29)</f>
        <v>0</v>
      </c>
      <c r="CI29" s="20" t="n">
        <f aca="false">IF(CH29&gt;PR_BalDone,CH29+CH29*(F_MR/12)-MIN(F_MortPayM,CH29+CH29*(F_MR/12)),CH29)</f>
        <v>0</v>
      </c>
      <c r="CJ29" s="20" t="n">
        <f aca="false">IF(CI29&gt;PR_BalDone,CI29+CI29*(F_MR/12)-MIN(F_MortPayM,CI29+CI29*(F_MR/12)),CI29)</f>
        <v>0</v>
      </c>
      <c r="CK29" s="20" t="n">
        <f aca="false">IF(CJ29&gt;PR_BalDone,CJ29+CJ29*(F_MR/12)-MIN(F_MortPayM,CJ29+CJ29*(F_MR/12)),CJ29)</f>
        <v>0</v>
      </c>
      <c r="CL29" s="20" t="n">
        <f aca="false">IF(CK29&gt;PR_BalDone,CK29+CK29*(F_MR/12)-MIN(F_MortPayM,CK29+CK29*(F_MR/12)),CK29)</f>
        <v>0</v>
      </c>
      <c r="CM29" s="20" t="n">
        <f aca="false">IF(CL29&gt;PR_BalDone,CL29+CL29*(F_MR/12)-MIN(F_MortPayM,CL29+CL29*(F_MR/12)),CL29)</f>
        <v>0</v>
      </c>
      <c r="CN29" s="20" t="n">
        <f aca="false">IF(CM29&gt;PR_BalDone,CM29+CM29*(F_MR/12)-MIN(F_MortPayM,CM29+CM29*(F_MR/12)),CM29)</f>
        <v>0</v>
      </c>
      <c r="CO29" s="20" t="n">
        <f aca="false">IF(CN29&gt;PR_BalDone,CN29+CN29*(F_MR/12)-MIN(F_MortPayM,CN29+CN29*(F_MR/12)),CN29)</f>
        <v>0</v>
      </c>
      <c r="CP29" s="20" t="n">
        <f aca="false">IF(CO29&gt;PR_BalDone,CO29+CO29*(F_MR/12)-MIN(F_MortPayM,CO29+CO29*(F_MR/12)),CO29)</f>
        <v>0</v>
      </c>
      <c r="CQ29" s="20" t="n">
        <f aca="false">IF(CP29&gt;PR_BalDone,CP29+CP29*(F_MR/12)-MIN(F_MortPayM,CP29+CP29*(F_MR/12)),CP29)</f>
        <v>0</v>
      </c>
      <c r="CR29" s="20" t="n">
        <f aca="false">IF(CQ29&gt;PR_BalDone,CQ29+CQ29*(F_MR/12)-MIN(F_MortPayM,CQ29+CQ29*(F_MR/12)),CQ29)</f>
        <v>0</v>
      </c>
      <c r="CS29" s="20" t="n">
        <f aca="false">IF(CF29&gt;PR_BalDone,MIN(F_MortPayM,CF29+CF29*(F_MR/12)),0)</f>
        <v>0</v>
      </c>
      <c r="CT29" s="20" t="n">
        <f aca="false">IF(CG29&gt;PR_BalDone,MIN(F_MortPayM,CG29+CG29*(F_MR/12)),0)</f>
        <v>0</v>
      </c>
      <c r="CU29" s="20" t="n">
        <f aca="false">IF(CH29&gt;PR_BalDone,MIN(F_MortPayM,CH29+CH29*(F_MR/12)),0)</f>
        <v>0</v>
      </c>
      <c r="CV29" s="20" t="n">
        <f aca="false">IF(CI29&gt;PR_BalDone,MIN(F_MortPayM,CI29+CI29*(F_MR/12)),0)</f>
        <v>0</v>
      </c>
      <c r="CW29" s="20" t="n">
        <f aca="false">IF(CJ29&gt;PR_BalDone,MIN(F_MortPayM,CJ29+CJ29*(F_MR/12)),0)</f>
        <v>0</v>
      </c>
      <c r="CX29" s="20" t="n">
        <f aca="false">IF(CK29&gt;PR_BalDone,MIN(F_MortPayM,CK29+CK29*(F_MR/12)),0)</f>
        <v>0</v>
      </c>
      <c r="CY29" s="20" t="n">
        <f aca="false">IF(CL29&gt;PR_BalDone,MIN(F_MortPayM,CL29+CL29*(F_MR/12)),0)</f>
        <v>0</v>
      </c>
      <c r="CZ29" s="20" t="n">
        <f aca="false">IF(CM29&gt;PR_BalDone,MIN(F_MortPayM,CM29+CM29*(F_MR/12)),0)</f>
        <v>0</v>
      </c>
      <c r="DA29" s="20" t="n">
        <f aca="false">IF(CN29&gt;PR_BalDone,MIN(F_MortPayM,CN29+CN29*(F_MR/12)),0)</f>
        <v>0</v>
      </c>
      <c r="DB29" s="20" t="n">
        <f aca="false">IF(CO29&gt;PR_BalDone,MIN(F_MortPayM,CO29+CO29*(F_MR/12)),0)</f>
        <v>0</v>
      </c>
      <c r="DC29" s="20" t="n">
        <f aca="false">IF(CP29&gt;PR_BalDone,MIN(F_MortPayM,CP29+CP29*(F_MR/12)),0)</f>
        <v>0</v>
      </c>
      <c r="DD29" s="20" t="n">
        <f aca="false">IF(CQ29&gt;PR_BalDone,MIN(F_MortPayM,CQ29+CQ29*(F_MR/12)),0)</f>
        <v>0</v>
      </c>
      <c r="DE29" s="20" t="n">
        <f aca="false">MAX(0,CR29)</f>
        <v>0</v>
      </c>
      <c r="DF29" s="20" t="n">
        <f aca="false">SUM(CS29:DD29)</f>
        <v>0</v>
      </c>
      <c r="DG29" s="20" t="n">
        <f aca="false">MAX(0,CF29)</f>
        <v>0</v>
      </c>
    </row>
    <row r="30" customFormat="false" ht="15" hidden="false" customHeight="true" outlineLevel="0" collapsed="false">
      <c r="B30" s="20" t="n">
        <v>22</v>
      </c>
      <c r="C30" s="20" t="n">
        <f aca="false">'Plan cashflow'!J30</f>
        <v>0</v>
      </c>
      <c r="D30" s="20" t="n">
        <f aca="false">IF(C30&gt;PR_BalDone,C30+C30*(F_MR/12)-MIN(F_MortPayM,C30+C30*(F_MR/12)),C30)</f>
        <v>0</v>
      </c>
      <c r="E30" s="20" t="n">
        <f aca="false">IF(D30&gt;PR_BalDone,D30+D30*(F_MR/12)-MIN(F_MortPayM,D30+D30*(F_MR/12)),D30)</f>
        <v>0</v>
      </c>
      <c r="F30" s="20" t="n">
        <f aca="false">IF(E30&gt;PR_BalDone,E30+E30*(F_MR/12)-MIN(F_MortPayM,E30+E30*(F_MR/12)),E30)</f>
        <v>0</v>
      </c>
      <c r="G30" s="20" t="n">
        <f aca="false">IF(F30&gt;PR_BalDone,F30+F30*(F_MR/12)-MIN(F_MortPayM,F30+F30*(F_MR/12)),F30)</f>
        <v>0</v>
      </c>
      <c r="H30" s="20" t="n">
        <f aca="false">IF(G30&gt;PR_BalDone,G30+G30*(F_MR/12)-MIN(F_MortPayM,G30+G30*(F_MR/12)),G30)</f>
        <v>0</v>
      </c>
      <c r="I30" s="20" t="n">
        <f aca="false">IF(H30&gt;PR_BalDone,H30+H30*(F_MR/12)-MIN(F_MortPayM,H30+H30*(F_MR/12)),H30)</f>
        <v>0</v>
      </c>
      <c r="J30" s="20" t="n">
        <f aca="false">IF(I30&gt;PR_BalDone,I30+I30*(F_MR/12)-MIN(F_MortPayM,I30+I30*(F_MR/12)),I30)</f>
        <v>0</v>
      </c>
      <c r="K30" s="20" t="n">
        <f aca="false">IF(J30&gt;PR_BalDone,J30+J30*(F_MR/12)-MIN(F_MortPayM,J30+J30*(F_MR/12)),J30)</f>
        <v>0</v>
      </c>
      <c r="L30" s="20" t="n">
        <f aca="false">IF(K30&gt;PR_BalDone,K30+K30*(F_MR/12)-MIN(F_MortPayM,K30+K30*(F_MR/12)),K30)</f>
        <v>0</v>
      </c>
      <c r="M30" s="20" t="n">
        <f aca="false">IF(L30&gt;PR_BalDone,L30+L30*(F_MR/12)-MIN(F_MortPayM,L30+L30*(F_MR/12)),L30)</f>
        <v>0</v>
      </c>
      <c r="N30" s="20" t="n">
        <f aca="false">IF(M30&gt;PR_BalDone,M30+M30*(F_MR/12)-MIN(F_MortPayM,M30+M30*(F_MR/12)),M30)</f>
        <v>0</v>
      </c>
      <c r="O30" s="20" t="n">
        <f aca="false">IF(N30&gt;PR_BalDone,N30+N30*(F_MR/12)-MIN(F_MortPayM,N30+N30*(F_MR/12)),N30)</f>
        <v>0</v>
      </c>
      <c r="P30" s="20" t="n">
        <f aca="false">IF(C30&gt;PR_BalDone,MIN(F_MortPayM,C30+C30*(F_MR/12)),0)</f>
        <v>0</v>
      </c>
      <c r="Q30" s="20" t="n">
        <f aca="false">IF(D30&gt;PR_BalDone,MIN(F_MortPayM,D30+D30*(F_MR/12)),0)</f>
        <v>0</v>
      </c>
      <c r="R30" s="20" t="n">
        <f aca="false">IF(E30&gt;PR_BalDone,MIN(F_MortPayM,E30+E30*(F_MR/12)),0)</f>
        <v>0</v>
      </c>
      <c r="S30" s="20" t="n">
        <f aca="false">IF(F30&gt;PR_BalDone,MIN(F_MortPayM,F30+F30*(F_MR/12)),0)</f>
        <v>0</v>
      </c>
      <c r="T30" s="20" t="n">
        <f aca="false">IF(G30&gt;PR_BalDone,MIN(F_MortPayM,G30+G30*(F_MR/12)),0)</f>
        <v>0</v>
      </c>
      <c r="U30" s="20" t="n">
        <f aca="false">IF(H30&gt;PR_BalDone,MIN(F_MortPayM,H30+H30*(F_MR/12)),0)</f>
        <v>0</v>
      </c>
      <c r="V30" s="20" t="n">
        <f aca="false">IF(I30&gt;PR_BalDone,MIN(F_MortPayM,I30+I30*(F_MR/12)),0)</f>
        <v>0</v>
      </c>
      <c r="W30" s="20" t="n">
        <f aca="false">IF(J30&gt;PR_BalDone,MIN(F_MortPayM,J30+J30*(F_MR/12)),0)</f>
        <v>0</v>
      </c>
      <c r="X30" s="20" t="n">
        <f aca="false">IF(K30&gt;PR_BalDone,MIN(F_MortPayM,K30+K30*(F_MR/12)),0)</f>
        <v>0</v>
      </c>
      <c r="Y30" s="20" t="n">
        <f aca="false">IF(L30&gt;PR_BalDone,MIN(F_MortPayM,L30+L30*(F_MR/12)),0)</f>
        <v>0</v>
      </c>
      <c r="Z30" s="20" t="n">
        <f aca="false">IF(M30&gt;PR_BalDone,MIN(F_MortPayM,M30+M30*(F_MR/12)),0)</f>
        <v>0</v>
      </c>
      <c r="AA30" s="20" t="n">
        <f aca="false">IF(N30&gt;PR_BalDone,MIN(F_MortPayM,N30+N30*(F_MR/12)),0)</f>
        <v>0</v>
      </c>
      <c r="AB30" s="20" t="n">
        <f aca="false">MAX(0,O30)</f>
        <v>0</v>
      </c>
      <c r="AC30" s="20" t="n">
        <f aca="false">SUM(P30:AA30)</f>
        <v>0</v>
      </c>
      <c r="AD30" s="20" t="n">
        <f aca="false">'Plan cashflow'!M30</f>
        <v>0</v>
      </c>
      <c r="AE30" s="20" t="n">
        <f aca="false">IF(AD30&gt;PR_BalDone,AD30+AD30*(D_iC)-MIN(F_CardPayM,AD30+AD30*(D_iC)),AD30)</f>
        <v>0</v>
      </c>
      <c r="AF30" s="20" t="n">
        <f aca="false">IF(AE30&gt;PR_BalDone,AE30+AE30*(D_iC)-MIN(F_CardPayM,AE30+AE30*(D_iC)),AE30)</f>
        <v>0</v>
      </c>
      <c r="AG30" s="20" t="n">
        <f aca="false">IF(AF30&gt;PR_BalDone,AF30+AF30*(D_iC)-MIN(F_CardPayM,AF30+AF30*(D_iC)),AF30)</f>
        <v>0</v>
      </c>
      <c r="AH30" s="20" t="n">
        <f aca="false">IF(AG30&gt;PR_BalDone,AG30+AG30*(D_iC)-MIN(F_CardPayM,AG30+AG30*(D_iC)),AG30)</f>
        <v>0</v>
      </c>
      <c r="AI30" s="20" t="n">
        <f aca="false">IF(AH30&gt;PR_BalDone,AH30+AH30*(D_iC)-MIN(F_CardPayM,AH30+AH30*(D_iC)),AH30)</f>
        <v>0</v>
      </c>
      <c r="AJ30" s="20" t="n">
        <f aca="false">IF(AI30&gt;PR_BalDone,AI30+AI30*(D_iC)-MIN(F_CardPayM,AI30+AI30*(D_iC)),AI30)</f>
        <v>0</v>
      </c>
      <c r="AK30" s="20" t="n">
        <f aca="false">IF(AJ30&gt;PR_BalDone,AJ30+AJ30*(D_iC)-MIN(F_CardPayM,AJ30+AJ30*(D_iC)),AJ30)</f>
        <v>0</v>
      </c>
      <c r="AL30" s="20" t="n">
        <f aca="false">IF(AK30&gt;PR_BalDone,AK30+AK30*(D_iC)-MIN(F_CardPayM,AK30+AK30*(D_iC)),AK30)</f>
        <v>0</v>
      </c>
      <c r="AM30" s="20" t="n">
        <f aca="false">IF(AL30&gt;PR_BalDone,AL30+AL30*(D_iC)-MIN(F_CardPayM,AL30+AL30*(D_iC)),AL30)</f>
        <v>0</v>
      </c>
      <c r="AN30" s="20" t="n">
        <f aca="false">IF(AM30&gt;PR_BalDone,AM30+AM30*(D_iC)-MIN(F_CardPayM,AM30+AM30*(D_iC)),AM30)</f>
        <v>0</v>
      </c>
      <c r="AO30" s="20" t="n">
        <f aca="false">IF(AN30&gt;PR_BalDone,AN30+AN30*(D_iC)-MIN(F_CardPayM,AN30+AN30*(D_iC)),AN30)</f>
        <v>0</v>
      </c>
      <c r="AP30" s="20" t="n">
        <f aca="false">IF(AO30&gt;PR_BalDone,AO30+AO30*(D_iC)-MIN(F_CardPayM,AO30+AO30*(D_iC)),AO30)</f>
        <v>0</v>
      </c>
      <c r="AQ30" s="20" t="n">
        <f aca="false">IF(AD30&gt;PR_BalDone,MIN(F_CardPayM,AD30+AD30*(D_iC)),0)</f>
        <v>0</v>
      </c>
      <c r="AR30" s="20" t="n">
        <f aca="false">IF(AE30&gt;PR_BalDone,MIN(F_CardPayM,AE30+AE30*(D_iC)),0)</f>
        <v>0</v>
      </c>
      <c r="AS30" s="20" t="n">
        <f aca="false">IF(AF30&gt;PR_BalDone,MIN(F_CardPayM,AF30+AF30*(D_iC)),0)</f>
        <v>0</v>
      </c>
      <c r="AT30" s="20" t="n">
        <f aca="false">IF(AG30&gt;PR_BalDone,MIN(F_CardPayM,AG30+AG30*(D_iC)),0)</f>
        <v>0</v>
      </c>
      <c r="AU30" s="20" t="n">
        <f aca="false">IF(AH30&gt;PR_BalDone,MIN(F_CardPayM,AH30+AH30*(D_iC)),0)</f>
        <v>0</v>
      </c>
      <c r="AV30" s="20" t="n">
        <f aca="false">IF(AI30&gt;PR_BalDone,MIN(F_CardPayM,AI30+AI30*(D_iC)),0)</f>
        <v>0</v>
      </c>
      <c r="AW30" s="20" t="n">
        <f aca="false">IF(AJ30&gt;PR_BalDone,MIN(F_CardPayM,AJ30+AJ30*(D_iC)),0)</f>
        <v>0</v>
      </c>
      <c r="AX30" s="20" t="n">
        <f aca="false">IF(AK30&gt;PR_BalDone,MIN(F_CardPayM,AK30+AK30*(D_iC)),0)</f>
        <v>0</v>
      </c>
      <c r="AY30" s="20" t="n">
        <f aca="false">IF(AL30&gt;PR_BalDone,MIN(F_CardPayM,AL30+AL30*(D_iC)),0)</f>
        <v>0</v>
      </c>
      <c r="AZ30" s="20" t="n">
        <f aca="false">IF(AM30&gt;PR_BalDone,MIN(F_CardPayM,AM30+AM30*(D_iC)),0)</f>
        <v>0</v>
      </c>
      <c r="BA30" s="20" t="n">
        <f aca="false">IF(AN30&gt;PR_BalDone,MIN(F_CardPayM,AN30+AN30*(D_iC)),0)</f>
        <v>0</v>
      </c>
      <c r="BB30" s="20" t="n">
        <f aca="false">IF(AO30&gt;PR_BalDone,MIN(F_CardPayM,AO30+AO30*(D_iC)),0)</f>
        <v>0</v>
      </c>
      <c r="BC30" s="20" t="n">
        <f aca="false">MAX(0,AP30)</f>
        <v>0</v>
      </c>
      <c r="BD30" s="20" t="n">
        <f aca="false">SUM(AQ30:BB30)</f>
        <v>0</v>
      </c>
      <c r="BE30" s="20" t="n">
        <f aca="false">'Plan cashflow'!P30</f>
        <v>0</v>
      </c>
      <c r="BF30" s="20" t="n">
        <f aca="false">IF(BE30&gt;PR_BalDone,BE30+BE30*(D_iL)-MIN(F_LoanPayM,BE30+BE30*(D_iL)),BE30)</f>
        <v>0</v>
      </c>
      <c r="BG30" s="20" t="n">
        <f aca="false">IF(BF30&gt;PR_BalDone,BF30+BF30*(D_iL)-MIN(F_LoanPayM,BF30+BF30*(D_iL)),BF30)</f>
        <v>0</v>
      </c>
      <c r="BH30" s="20" t="n">
        <f aca="false">IF(BG30&gt;PR_BalDone,BG30+BG30*(D_iL)-MIN(F_LoanPayM,BG30+BG30*(D_iL)),BG30)</f>
        <v>0</v>
      </c>
      <c r="BI30" s="20" t="n">
        <f aca="false">IF(BH30&gt;PR_BalDone,BH30+BH30*(D_iL)-MIN(F_LoanPayM,BH30+BH30*(D_iL)),BH30)</f>
        <v>0</v>
      </c>
      <c r="BJ30" s="20" t="n">
        <f aca="false">IF(BI30&gt;PR_BalDone,BI30+BI30*(D_iL)-MIN(F_LoanPayM,BI30+BI30*(D_iL)),BI30)</f>
        <v>0</v>
      </c>
      <c r="BK30" s="20" t="n">
        <f aca="false">IF(BJ30&gt;PR_BalDone,BJ30+BJ30*(D_iL)-MIN(F_LoanPayM,BJ30+BJ30*(D_iL)),BJ30)</f>
        <v>0</v>
      </c>
      <c r="BL30" s="20" t="n">
        <f aca="false">IF(BK30&gt;PR_BalDone,BK30+BK30*(D_iL)-MIN(F_LoanPayM,BK30+BK30*(D_iL)),BK30)</f>
        <v>0</v>
      </c>
      <c r="BM30" s="20" t="n">
        <f aca="false">IF(BL30&gt;PR_BalDone,BL30+BL30*(D_iL)-MIN(F_LoanPayM,BL30+BL30*(D_iL)),BL30)</f>
        <v>0</v>
      </c>
      <c r="BN30" s="20" t="n">
        <f aca="false">IF(BM30&gt;PR_BalDone,BM30+BM30*(D_iL)-MIN(F_LoanPayM,BM30+BM30*(D_iL)),BM30)</f>
        <v>0</v>
      </c>
      <c r="BO30" s="20" t="n">
        <f aca="false">IF(BN30&gt;PR_BalDone,BN30+BN30*(D_iL)-MIN(F_LoanPayM,BN30+BN30*(D_iL)),BN30)</f>
        <v>0</v>
      </c>
      <c r="BP30" s="20" t="n">
        <f aca="false">IF(BO30&gt;PR_BalDone,BO30+BO30*(D_iL)-MIN(F_LoanPayM,BO30+BO30*(D_iL)),BO30)</f>
        <v>0</v>
      </c>
      <c r="BQ30" s="20" t="n">
        <f aca="false">IF(BP30&gt;PR_BalDone,BP30+BP30*(D_iL)-MIN(F_LoanPayM,BP30+BP30*(D_iL)),BP30)</f>
        <v>0</v>
      </c>
      <c r="BR30" s="20" t="n">
        <f aca="false">IF(BE30&gt;PR_BalDone,MIN(F_LoanPayM,BE30+BE30*(D_iL)),0)</f>
        <v>0</v>
      </c>
      <c r="BS30" s="20" t="n">
        <f aca="false">IF(BF30&gt;PR_BalDone,MIN(F_LoanPayM,BF30+BF30*(D_iL)),0)</f>
        <v>0</v>
      </c>
      <c r="BT30" s="20" t="n">
        <f aca="false">IF(BG30&gt;PR_BalDone,MIN(F_LoanPayM,BG30+BG30*(D_iL)),0)</f>
        <v>0</v>
      </c>
      <c r="BU30" s="20" t="n">
        <f aca="false">IF(BH30&gt;PR_BalDone,MIN(F_LoanPayM,BH30+BH30*(D_iL)),0)</f>
        <v>0</v>
      </c>
      <c r="BV30" s="20" t="n">
        <f aca="false">IF(BI30&gt;PR_BalDone,MIN(F_LoanPayM,BI30+BI30*(D_iL)),0)</f>
        <v>0</v>
      </c>
      <c r="BW30" s="20" t="n">
        <f aca="false">IF(BJ30&gt;PR_BalDone,MIN(F_LoanPayM,BJ30+BJ30*(D_iL)),0)</f>
        <v>0</v>
      </c>
      <c r="BX30" s="20" t="n">
        <f aca="false">IF(BK30&gt;PR_BalDone,MIN(F_LoanPayM,BK30+BK30*(D_iL)),0)</f>
        <v>0</v>
      </c>
      <c r="BY30" s="20" t="n">
        <f aca="false">IF(BL30&gt;PR_BalDone,MIN(F_LoanPayM,BL30+BL30*(D_iL)),0)</f>
        <v>0</v>
      </c>
      <c r="BZ30" s="20" t="n">
        <f aca="false">IF(BM30&gt;PR_BalDone,MIN(F_LoanPayM,BM30+BM30*(D_iL)),0)</f>
        <v>0</v>
      </c>
      <c r="CA30" s="20" t="n">
        <f aca="false">IF(BN30&gt;PR_BalDone,MIN(F_LoanPayM,BN30+BN30*(D_iL)),0)</f>
        <v>0</v>
      </c>
      <c r="CB30" s="20" t="n">
        <f aca="false">IF(BO30&gt;PR_BalDone,MIN(F_LoanPayM,BO30+BO30*(D_iL)),0)</f>
        <v>0</v>
      </c>
      <c r="CC30" s="20" t="n">
        <f aca="false">IF(BP30&gt;PR_BalDone,MIN(F_LoanPayM,BP30+BP30*(D_iL)),0)</f>
        <v>0</v>
      </c>
      <c r="CD30" s="20" t="n">
        <f aca="false">MAX(0,BQ30)</f>
        <v>0</v>
      </c>
      <c r="CE30" s="20" t="n">
        <f aca="false">SUM(BR30:CC30)</f>
        <v>0</v>
      </c>
      <c r="CF30" s="20" t="n">
        <f aca="false">IF(CF29&gt;1,DE29,CF29)</f>
        <v>0</v>
      </c>
      <c r="CG30" s="20" t="n">
        <f aca="false">IF(CF30&gt;PR_BalDone,CF30+CF30*(F_MR/12)-MIN(F_MortPayM,CF30+CF30*(F_MR/12)),CF30)</f>
        <v>0</v>
      </c>
      <c r="CH30" s="20" t="n">
        <f aca="false">IF(CG30&gt;PR_BalDone,CG30+CG30*(F_MR/12)-MIN(F_MortPayM,CG30+CG30*(F_MR/12)),CG30)</f>
        <v>0</v>
      </c>
      <c r="CI30" s="20" t="n">
        <f aca="false">IF(CH30&gt;PR_BalDone,CH30+CH30*(F_MR/12)-MIN(F_MortPayM,CH30+CH30*(F_MR/12)),CH30)</f>
        <v>0</v>
      </c>
      <c r="CJ30" s="20" t="n">
        <f aca="false">IF(CI30&gt;PR_BalDone,CI30+CI30*(F_MR/12)-MIN(F_MortPayM,CI30+CI30*(F_MR/12)),CI30)</f>
        <v>0</v>
      </c>
      <c r="CK30" s="20" t="n">
        <f aca="false">IF(CJ30&gt;PR_BalDone,CJ30+CJ30*(F_MR/12)-MIN(F_MortPayM,CJ30+CJ30*(F_MR/12)),CJ30)</f>
        <v>0</v>
      </c>
      <c r="CL30" s="20" t="n">
        <f aca="false">IF(CK30&gt;PR_BalDone,CK30+CK30*(F_MR/12)-MIN(F_MortPayM,CK30+CK30*(F_MR/12)),CK30)</f>
        <v>0</v>
      </c>
      <c r="CM30" s="20" t="n">
        <f aca="false">IF(CL30&gt;PR_BalDone,CL30+CL30*(F_MR/12)-MIN(F_MortPayM,CL30+CL30*(F_MR/12)),CL30)</f>
        <v>0</v>
      </c>
      <c r="CN30" s="20" t="n">
        <f aca="false">IF(CM30&gt;PR_BalDone,CM30+CM30*(F_MR/12)-MIN(F_MortPayM,CM30+CM30*(F_MR/12)),CM30)</f>
        <v>0</v>
      </c>
      <c r="CO30" s="20" t="n">
        <f aca="false">IF(CN30&gt;PR_BalDone,CN30+CN30*(F_MR/12)-MIN(F_MortPayM,CN30+CN30*(F_MR/12)),CN30)</f>
        <v>0</v>
      </c>
      <c r="CP30" s="20" t="n">
        <f aca="false">IF(CO30&gt;PR_BalDone,CO30+CO30*(F_MR/12)-MIN(F_MortPayM,CO30+CO30*(F_MR/12)),CO30)</f>
        <v>0</v>
      </c>
      <c r="CQ30" s="20" t="n">
        <f aca="false">IF(CP30&gt;PR_BalDone,CP30+CP30*(F_MR/12)-MIN(F_MortPayM,CP30+CP30*(F_MR/12)),CP30)</f>
        <v>0</v>
      </c>
      <c r="CR30" s="20" t="n">
        <f aca="false">IF(CQ30&gt;PR_BalDone,CQ30+CQ30*(F_MR/12)-MIN(F_MortPayM,CQ30+CQ30*(F_MR/12)),CQ30)</f>
        <v>0</v>
      </c>
      <c r="CS30" s="20" t="n">
        <f aca="false">IF(CF30&gt;PR_BalDone,MIN(F_MortPayM,CF30+CF30*(F_MR/12)),0)</f>
        <v>0</v>
      </c>
      <c r="CT30" s="20" t="n">
        <f aca="false">IF(CG30&gt;PR_BalDone,MIN(F_MortPayM,CG30+CG30*(F_MR/12)),0)</f>
        <v>0</v>
      </c>
      <c r="CU30" s="20" t="n">
        <f aca="false">IF(CH30&gt;PR_BalDone,MIN(F_MortPayM,CH30+CH30*(F_MR/12)),0)</f>
        <v>0</v>
      </c>
      <c r="CV30" s="20" t="n">
        <f aca="false">IF(CI30&gt;PR_BalDone,MIN(F_MortPayM,CI30+CI30*(F_MR/12)),0)</f>
        <v>0</v>
      </c>
      <c r="CW30" s="20" t="n">
        <f aca="false">IF(CJ30&gt;PR_BalDone,MIN(F_MortPayM,CJ30+CJ30*(F_MR/12)),0)</f>
        <v>0</v>
      </c>
      <c r="CX30" s="20" t="n">
        <f aca="false">IF(CK30&gt;PR_BalDone,MIN(F_MortPayM,CK30+CK30*(F_MR/12)),0)</f>
        <v>0</v>
      </c>
      <c r="CY30" s="20" t="n">
        <f aca="false">IF(CL30&gt;PR_BalDone,MIN(F_MortPayM,CL30+CL30*(F_MR/12)),0)</f>
        <v>0</v>
      </c>
      <c r="CZ30" s="20" t="n">
        <f aca="false">IF(CM30&gt;PR_BalDone,MIN(F_MortPayM,CM30+CM30*(F_MR/12)),0)</f>
        <v>0</v>
      </c>
      <c r="DA30" s="20" t="n">
        <f aca="false">IF(CN30&gt;PR_BalDone,MIN(F_MortPayM,CN30+CN30*(F_MR/12)),0)</f>
        <v>0</v>
      </c>
      <c r="DB30" s="20" t="n">
        <f aca="false">IF(CO30&gt;PR_BalDone,MIN(F_MortPayM,CO30+CO30*(F_MR/12)),0)</f>
        <v>0</v>
      </c>
      <c r="DC30" s="20" t="n">
        <f aca="false">IF(CP30&gt;PR_BalDone,MIN(F_MortPayM,CP30+CP30*(F_MR/12)),0)</f>
        <v>0</v>
      </c>
      <c r="DD30" s="20" t="n">
        <f aca="false">IF(CQ30&gt;PR_BalDone,MIN(F_MortPayM,CQ30+CQ30*(F_MR/12)),0)</f>
        <v>0</v>
      </c>
      <c r="DE30" s="20" t="n">
        <f aca="false">MAX(0,CR30)</f>
        <v>0</v>
      </c>
      <c r="DF30" s="20" t="n">
        <f aca="false">SUM(CS30:DD30)</f>
        <v>0</v>
      </c>
      <c r="DG30" s="20" t="n">
        <f aca="false">MAX(0,CF30)</f>
        <v>0</v>
      </c>
    </row>
    <row r="31" customFormat="false" ht="15" hidden="false" customHeight="true" outlineLevel="0" collapsed="false">
      <c r="B31" s="20" t="n">
        <v>23</v>
      </c>
      <c r="C31" s="20" t="n">
        <f aca="false">'Plan cashflow'!J31</f>
        <v>0</v>
      </c>
      <c r="D31" s="20" t="n">
        <f aca="false">IF(C31&gt;PR_BalDone,C31+C31*(F_MR/12)-MIN(F_MortPayM,C31+C31*(F_MR/12)),C31)</f>
        <v>0</v>
      </c>
      <c r="E31" s="20" t="n">
        <f aca="false">IF(D31&gt;PR_BalDone,D31+D31*(F_MR/12)-MIN(F_MortPayM,D31+D31*(F_MR/12)),D31)</f>
        <v>0</v>
      </c>
      <c r="F31" s="20" t="n">
        <f aca="false">IF(E31&gt;PR_BalDone,E31+E31*(F_MR/12)-MIN(F_MortPayM,E31+E31*(F_MR/12)),E31)</f>
        <v>0</v>
      </c>
      <c r="G31" s="20" t="n">
        <f aca="false">IF(F31&gt;PR_BalDone,F31+F31*(F_MR/12)-MIN(F_MortPayM,F31+F31*(F_MR/12)),F31)</f>
        <v>0</v>
      </c>
      <c r="H31" s="20" t="n">
        <f aca="false">IF(G31&gt;PR_BalDone,G31+G31*(F_MR/12)-MIN(F_MortPayM,G31+G31*(F_MR/12)),G31)</f>
        <v>0</v>
      </c>
      <c r="I31" s="20" t="n">
        <f aca="false">IF(H31&gt;PR_BalDone,H31+H31*(F_MR/12)-MIN(F_MortPayM,H31+H31*(F_MR/12)),H31)</f>
        <v>0</v>
      </c>
      <c r="J31" s="20" t="n">
        <f aca="false">IF(I31&gt;PR_BalDone,I31+I31*(F_MR/12)-MIN(F_MortPayM,I31+I31*(F_MR/12)),I31)</f>
        <v>0</v>
      </c>
      <c r="K31" s="20" t="n">
        <f aca="false">IF(J31&gt;PR_BalDone,J31+J31*(F_MR/12)-MIN(F_MortPayM,J31+J31*(F_MR/12)),J31)</f>
        <v>0</v>
      </c>
      <c r="L31" s="20" t="n">
        <f aca="false">IF(K31&gt;PR_BalDone,K31+K31*(F_MR/12)-MIN(F_MortPayM,K31+K31*(F_MR/12)),K31)</f>
        <v>0</v>
      </c>
      <c r="M31" s="20" t="n">
        <f aca="false">IF(L31&gt;PR_BalDone,L31+L31*(F_MR/12)-MIN(F_MortPayM,L31+L31*(F_MR/12)),L31)</f>
        <v>0</v>
      </c>
      <c r="N31" s="20" t="n">
        <f aca="false">IF(M31&gt;PR_BalDone,M31+M31*(F_MR/12)-MIN(F_MortPayM,M31+M31*(F_MR/12)),M31)</f>
        <v>0</v>
      </c>
      <c r="O31" s="20" t="n">
        <f aca="false">IF(N31&gt;PR_BalDone,N31+N31*(F_MR/12)-MIN(F_MortPayM,N31+N31*(F_MR/12)),N31)</f>
        <v>0</v>
      </c>
      <c r="P31" s="20" t="n">
        <f aca="false">IF(C31&gt;PR_BalDone,MIN(F_MortPayM,C31+C31*(F_MR/12)),0)</f>
        <v>0</v>
      </c>
      <c r="Q31" s="20" t="n">
        <f aca="false">IF(D31&gt;PR_BalDone,MIN(F_MortPayM,D31+D31*(F_MR/12)),0)</f>
        <v>0</v>
      </c>
      <c r="R31" s="20" t="n">
        <f aca="false">IF(E31&gt;PR_BalDone,MIN(F_MortPayM,E31+E31*(F_MR/12)),0)</f>
        <v>0</v>
      </c>
      <c r="S31" s="20" t="n">
        <f aca="false">IF(F31&gt;PR_BalDone,MIN(F_MortPayM,F31+F31*(F_MR/12)),0)</f>
        <v>0</v>
      </c>
      <c r="T31" s="20" t="n">
        <f aca="false">IF(G31&gt;PR_BalDone,MIN(F_MortPayM,G31+G31*(F_MR/12)),0)</f>
        <v>0</v>
      </c>
      <c r="U31" s="20" t="n">
        <f aca="false">IF(H31&gt;PR_BalDone,MIN(F_MortPayM,H31+H31*(F_MR/12)),0)</f>
        <v>0</v>
      </c>
      <c r="V31" s="20" t="n">
        <f aca="false">IF(I31&gt;PR_BalDone,MIN(F_MortPayM,I31+I31*(F_MR/12)),0)</f>
        <v>0</v>
      </c>
      <c r="W31" s="20" t="n">
        <f aca="false">IF(J31&gt;PR_BalDone,MIN(F_MortPayM,J31+J31*(F_MR/12)),0)</f>
        <v>0</v>
      </c>
      <c r="X31" s="20" t="n">
        <f aca="false">IF(K31&gt;PR_BalDone,MIN(F_MortPayM,K31+K31*(F_MR/12)),0)</f>
        <v>0</v>
      </c>
      <c r="Y31" s="20" t="n">
        <f aca="false">IF(L31&gt;PR_BalDone,MIN(F_MortPayM,L31+L31*(F_MR/12)),0)</f>
        <v>0</v>
      </c>
      <c r="Z31" s="20" t="n">
        <f aca="false">IF(M31&gt;PR_BalDone,MIN(F_MortPayM,M31+M31*(F_MR/12)),0)</f>
        <v>0</v>
      </c>
      <c r="AA31" s="20" t="n">
        <f aca="false">IF(N31&gt;PR_BalDone,MIN(F_MortPayM,N31+N31*(F_MR/12)),0)</f>
        <v>0</v>
      </c>
      <c r="AB31" s="20" t="n">
        <f aca="false">MAX(0,O31)</f>
        <v>0</v>
      </c>
      <c r="AC31" s="20" t="n">
        <f aca="false">SUM(P31:AA31)</f>
        <v>0</v>
      </c>
      <c r="AD31" s="20" t="n">
        <f aca="false">'Plan cashflow'!M31</f>
        <v>0</v>
      </c>
      <c r="AE31" s="20" t="n">
        <f aca="false">IF(AD31&gt;PR_BalDone,AD31+AD31*(D_iC)-MIN(F_CardPayM,AD31+AD31*(D_iC)),AD31)</f>
        <v>0</v>
      </c>
      <c r="AF31" s="20" t="n">
        <f aca="false">IF(AE31&gt;PR_BalDone,AE31+AE31*(D_iC)-MIN(F_CardPayM,AE31+AE31*(D_iC)),AE31)</f>
        <v>0</v>
      </c>
      <c r="AG31" s="20" t="n">
        <f aca="false">IF(AF31&gt;PR_BalDone,AF31+AF31*(D_iC)-MIN(F_CardPayM,AF31+AF31*(D_iC)),AF31)</f>
        <v>0</v>
      </c>
      <c r="AH31" s="20" t="n">
        <f aca="false">IF(AG31&gt;PR_BalDone,AG31+AG31*(D_iC)-MIN(F_CardPayM,AG31+AG31*(D_iC)),AG31)</f>
        <v>0</v>
      </c>
      <c r="AI31" s="20" t="n">
        <f aca="false">IF(AH31&gt;PR_BalDone,AH31+AH31*(D_iC)-MIN(F_CardPayM,AH31+AH31*(D_iC)),AH31)</f>
        <v>0</v>
      </c>
      <c r="AJ31" s="20" t="n">
        <f aca="false">IF(AI31&gt;PR_BalDone,AI31+AI31*(D_iC)-MIN(F_CardPayM,AI31+AI31*(D_iC)),AI31)</f>
        <v>0</v>
      </c>
      <c r="AK31" s="20" t="n">
        <f aca="false">IF(AJ31&gt;PR_BalDone,AJ31+AJ31*(D_iC)-MIN(F_CardPayM,AJ31+AJ31*(D_iC)),AJ31)</f>
        <v>0</v>
      </c>
      <c r="AL31" s="20" t="n">
        <f aca="false">IF(AK31&gt;PR_BalDone,AK31+AK31*(D_iC)-MIN(F_CardPayM,AK31+AK31*(D_iC)),AK31)</f>
        <v>0</v>
      </c>
      <c r="AM31" s="20" t="n">
        <f aca="false">IF(AL31&gt;PR_BalDone,AL31+AL31*(D_iC)-MIN(F_CardPayM,AL31+AL31*(D_iC)),AL31)</f>
        <v>0</v>
      </c>
      <c r="AN31" s="20" t="n">
        <f aca="false">IF(AM31&gt;PR_BalDone,AM31+AM31*(D_iC)-MIN(F_CardPayM,AM31+AM31*(D_iC)),AM31)</f>
        <v>0</v>
      </c>
      <c r="AO31" s="20" t="n">
        <f aca="false">IF(AN31&gt;PR_BalDone,AN31+AN31*(D_iC)-MIN(F_CardPayM,AN31+AN31*(D_iC)),AN31)</f>
        <v>0</v>
      </c>
      <c r="AP31" s="20" t="n">
        <f aca="false">IF(AO31&gt;PR_BalDone,AO31+AO31*(D_iC)-MIN(F_CardPayM,AO31+AO31*(D_iC)),AO31)</f>
        <v>0</v>
      </c>
      <c r="AQ31" s="20" t="n">
        <f aca="false">IF(AD31&gt;PR_BalDone,MIN(F_CardPayM,AD31+AD31*(D_iC)),0)</f>
        <v>0</v>
      </c>
      <c r="AR31" s="20" t="n">
        <f aca="false">IF(AE31&gt;PR_BalDone,MIN(F_CardPayM,AE31+AE31*(D_iC)),0)</f>
        <v>0</v>
      </c>
      <c r="AS31" s="20" t="n">
        <f aca="false">IF(AF31&gt;PR_BalDone,MIN(F_CardPayM,AF31+AF31*(D_iC)),0)</f>
        <v>0</v>
      </c>
      <c r="AT31" s="20" t="n">
        <f aca="false">IF(AG31&gt;PR_BalDone,MIN(F_CardPayM,AG31+AG31*(D_iC)),0)</f>
        <v>0</v>
      </c>
      <c r="AU31" s="20" t="n">
        <f aca="false">IF(AH31&gt;PR_BalDone,MIN(F_CardPayM,AH31+AH31*(D_iC)),0)</f>
        <v>0</v>
      </c>
      <c r="AV31" s="20" t="n">
        <f aca="false">IF(AI31&gt;PR_BalDone,MIN(F_CardPayM,AI31+AI31*(D_iC)),0)</f>
        <v>0</v>
      </c>
      <c r="AW31" s="20" t="n">
        <f aca="false">IF(AJ31&gt;PR_BalDone,MIN(F_CardPayM,AJ31+AJ31*(D_iC)),0)</f>
        <v>0</v>
      </c>
      <c r="AX31" s="20" t="n">
        <f aca="false">IF(AK31&gt;PR_BalDone,MIN(F_CardPayM,AK31+AK31*(D_iC)),0)</f>
        <v>0</v>
      </c>
      <c r="AY31" s="20" t="n">
        <f aca="false">IF(AL31&gt;PR_BalDone,MIN(F_CardPayM,AL31+AL31*(D_iC)),0)</f>
        <v>0</v>
      </c>
      <c r="AZ31" s="20" t="n">
        <f aca="false">IF(AM31&gt;PR_BalDone,MIN(F_CardPayM,AM31+AM31*(D_iC)),0)</f>
        <v>0</v>
      </c>
      <c r="BA31" s="20" t="n">
        <f aca="false">IF(AN31&gt;PR_BalDone,MIN(F_CardPayM,AN31+AN31*(D_iC)),0)</f>
        <v>0</v>
      </c>
      <c r="BB31" s="20" t="n">
        <f aca="false">IF(AO31&gt;PR_BalDone,MIN(F_CardPayM,AO31+AO31*(D_iC)),0)</f>
        <v>0</v>
      </c>
      <c r="BC31" s="20" t="n">
        <f aca="false">MAX(0,AP31)</f>
        <v>0</v>
      </c>
      <c r="BD31" s="20" t="n">
        <f aca="false">SUM(AQ31:BB31)</f>
        <v>0</v>
      </c>
      <c r="BE31" s="20" t="n">
        <f aca="false">'Plan cashflow'!P31</f>
        <v>0</v>
      </c>
      <c r="BF31" s="20" t="n">
        <f aca="false">IF(BE31&gt;PR_BalDone,BE31+BE31*(D_iL)-MIN(F_LoanPayM,BE31+BE31*(D_iL)),BE31)</f>
        <v>0</v>
      </c>
      <c r="BG31" s="20" t="n">
        <f aca="false">IF(BF31&gt;PR_BalDone,BF31+BF31*(D_iL)-MIN(F_LoanPayM,BF31+BF31*(D_iL)),BF31)</f>
        <v>0</v>
      </c>
      <c r="BH31" s="20" t="n">
        <f aca="false">IF(BG31&gt;PR_BalDone,BG31+BG31*(D_iL)-MIN(F_LoanPayM,BG31+BG31*(D_iL)),BG31)</f>
        <v>0</v>
      </c>
      <c r="BI31" s="20" t="n">
        <f aca="false">IF(BH31&gt;PR_BalDone,BH31+BH31*(D_iL)-MIN(F_LoanPayM,BH31+BH31*(D_iL)),BH31)</f>
        <v>0</v>
      </c>
      <c r="BJ31" s="20" t="n">
        <f aca="false">IF(BI31&gt;PR_BalDone,BI31+BI31*(D_iL)-MIN(F_LoanPayM,BI31+BI31*(D_iL)),BI31)</f>
        <v>0</v>
      </c>
      <c r="BK31" s="20" t="n">
        <f aca="false">IF(BJ31&gt;PR_BalDone,BJ31+BJ31*(D_iL)-MIN(F_LoanPayM,BJ31+BJ31*(D_iL)),BJ31)</f>
        <v>0</v>
      </c>
      <c r="BL31" s="20" t="n">
        <f aca="false">IF(BK31&gt;PR_BalDone,BK31+BK31*(D_iL)-MIN(F_LoanPayM,BK31+BK31*(D_iL)),BK31)</f>
        <v>0</v>
      </c>
      <c r="BM31" s="20" t="n">
        <f aca="false">IF(BL31&gt;PR_BalDone,BL31+BL31*(D_iL)-MIN(F_LoanPayM,BL31+BL31*(D_iL)),BL31)</f>
        <v>0</v>
      </c>
      <c r="BN31" s="20" t="n">
        <f aca="false">IF(BM31&gt;PR_BalDone,BM31+BM31*(D_iL)-MIN(F_LoanPayM,BM31+BM31*(D_iL)),BM31)</f>
        <v>0</v>
      </c>
      <c r="BO31" s="20" t="n">
        <f aca="false">IF(BN31&gt;PR_BalDone,BN31+BN31*(D_iL)-MIN(F_LoanPayM,BN31+BN31*(D_iL)),BN31)</f>
        <v>0</v>
      </c>
      <c r="BP31" s="20" t="n">
        <f aca="false">IF(BO31&gt;PR_BalDone,BO31+BO31*(D_iL)-MIN(F_LoanPayM,BO31+BO31*(D_iL)),BO31)</f>
        <v>0</v>
      </c>
      <c r="BQ31" s="20" t="n">
        <f aca="false">IF(BP31&gt;PR_BalDone,BP31+BP31*(D_iL)-MIN(F_LoanPayM,BP31+BP31*(D_iL)),BP31)</f>
        <v>0</v>
      </c>
      <c r="BR31" s="20" t="n">
        <f aca="false">IF(BE31&gt;PR_BalDone,MIN(F_LoanPayM,BE31+BE31*(D_iL)),0)</f>
        <v>0</v>
      </c>
      <c r="BS31" s="20" t="n">
        <f aca="false">IF(BF31&gt;PR_BalDone,MIN(F_LoanPayM,BF31+BF31*(D_iL)),0)</f>
        <v>0</v>
      </c>
      <c r="BT31" s="20" t="n">
        <f aca="false">IF(BG31&gt;PR_BalDone,MIN(F_LoanPayM,BG31+BG31*(D_iL)),0)</f>
        <v>0</v>
      </c>
      <c r="BU31" s="20" t="n">
        <f aca="false">IF(BH31&gt;PR_BalDone,MIN(F_LoanPayM,BH31+BH31*(D_iL)),0)</f>
        <v>0</v>
      </c>
      <c r="BV31" s="20" t="n">
        <f aca="false">IF(BI31&gt;PR_BalDone,MIN(F_LoanPayM,BI31+BI31*(D_iL)),0)</f>
        <v>0</v>
      </c>
      <c r="BW31" s="20" t="n">
        <f aca="false">IF(BJ31&gt;PR_BalDone,MIN(F_LoanPayM,BJ31+BJ31*(D_iL)),0)</f>
        <v>0</v>
      </c>
      <c r="BX31" s="20" t="n">
        <f aca="false">IF(BK31&gt;PR_BalDone,MIN(F_LoanPayM,BK31+BK31*(D_iL)),0)</f>
        <v>0</v>
      </c>
      <c r="BY31" s="20" t="n">
        <f aca="false">IF(BL31&gt;PR_BalDone,MIN(F_LoanPayM,BL31+BL31*(D_iL)),0)</f>
        <v>0</v>
      </c>
      <c r="BZ31" s="20" t="n">
        <f aca="false">IF(BM31&gt;PR_BalDone,MIN(F_LoanPayM,BM31+BM31*(D_iL)),0)</f>
        <v>0</v>
      </c>
      <c r="CA31" s="20" t="n">
        <f aca="false">IF(BN31&gt;PR_BalDone,MIN(F_LoanPayM,BN31+BN31*(D_iL)),0)</f>
        <v>0</v>
      </c>
      <c r="CB31" s="20" t="n">
        <f aca="false">IF(BO31&gt;PR_BalDone,MIN(F_LoanPayM,BO31+BO31*(D_iL)),0)</f>
        <v>0</v>
      </c>
      <c r="CC31" s="20" t="n">
        <f aca="false">IF(BP31&gt;PR_BalDone,MIN(F_LoanPayM,BP31+BP31*(D_iL)),0)</f>
        <v>0</v>
      </c>
      <c r="CD31" s="20" t="n">
        <f aca="false">MAX(0,BQ31)</f>
        <v>0</v>
      </c>
      <c r="CE31" s="20" t="n">
        <f aca="false">SUM(BR31:CC31)</f>
        <v>0</v>
      </c>
      <c r="CF31" s="20" t="n">
        <f aca="false">IF(CF30&gt;1,DE30,CF30)</f>
        <v>0</v>
      </c>
      <c r="CG31" s="20" t="n">
        <f aca="false">IF(CF31&gt;PR_BalDone,CF31+CF31*(F_MR/12)-MIN(F_MortPayM,CF31+CF31*(F_MR/12)),CF31)</f>
        <v>0</v>
      </c>
      <c r="CH31" s="20" t="n">
        <f aca="false">IF(CG31&gt;PR_BalDone,CG31+CG31*(F_MR/12)-MIN(F_MortPayM,CG31+CG31*(F_MR/12)),CG31)</f>
        <v>0</v>
      </c>
      <c r="CI31" s="20" t="n">
        <f aca="false">IF(CH31&gt;PR_BalDone,CH31+CH31*(F_MR/12)-MIN(F_MortPayM,CH31+CH31*(F_MR/12)),CH31)</f>
        <v>0</v>
      </c>
      <c r="CJ31" s="20" t="n">
        <f aca="false">IF(CI31&gt;PR_BalDone,CI31+CI31*(F_MR/12)-MIN(F_MortPayM,CI31+CI31*(F_MR/12)),CI31)</f>
        <v>0</v>
      </c>
      <c r="CK31" s="20" t="n">
        <f aca="false">IF(CJ31&gt;PR_BalDone,CJ31+CJ31*(F_MR/12)-MIN(F_MortPayM,CJ31+CJ31*(F_MR/12)),CJ31)</f>
        <v>0</v>
      </c>
      <c r="CL31" s="20" t="n">
        <f aca="false">IF(CK31&gt;PR_BalDone,CK31+CK31*(F_MR/12)-MIN(F_MortPayM,CK31+CK31*(F_MR/12)),CK31)</f>
        <v>0</v>
      </c>
      <c r="CM31" s="20" t="n">
        <f aca="false">IF(CL31&gt;PR_BalDone,CL31+CL31*(F_MR/12)-MIN(F_MortPayM,CL31+CL31*(F_MR/12)),CL31)</f>
        <v>0</v>
      </c>
      <c r="CN31" s="20" t="n">
        <f aca="false">IF(CM31&gt;PR_BalDone,CM31+CM31*(F_MR/12)-MIN(F_MortPayM,CM31+CM31*(F_MR/12)),CM31)</f>
        <v>0</v>
      </c>
      <c r="CO31" s="20" t="n">
        <f aca="false">IF(CN31&gt;PR_BalDone,CN31+CN31*(F_MR/12)-MIN(F_MortPayM,CN31+CN31*(F_MR/12)),CN31)</f>
        <v>0</v>
      </c>
      <c r="CP31" s="20" t="n">
        <f aca="false">IF(CO31&gt;PR_BalDone,CO31+CO31*(F_MR/12)-MIN(F_MortPayM,CO31+CO31*(F_MR/12)),CO31)</f>
        <v>0</v>
      </c>
      <c r="CQ31" s="20" t="n">
        <f aca="false">IF(CP31&gt;PR_BalDone,CP31+CP31*(F_MR/12)-MIN(F_MortPayM,CP31+CP31*(F_MR/12)),CP31)</f>
        <v>0</v>
      </c>
      <c r="CR31" s="20" t="n">
        <f aca="false">IF(CQ31&gt;PR_BalDone,CQ31+CQ31*(F_MR/12)-MIN(F_MortPayM,CQ31+CQ31*(F_MR/12)),CQ31)</f>
        <v>0</v>
      </c>
      <c r="CS31" s="20" t="n">
        <f aca="false">IF(CF31&gt;PR_BalDone,MIN(F_MortPayM,CF31+CF31*(F_MR/12)),0)</f>
        <v>0</v>
      </c>
      <c r="CT31" s="20" t="n">
        <f aca="false">IF(CG31&gt;PR_BalDone,MIN(F_MortPayM,CG31+CG31*(F_MR/12)),0)</f>
        <v>0</v>
      </c>
      <c r="CU31" s="20" t="n">
        <f aca="false">IF(CH31&gt;PR_BalDone,MIN(F_MortPayM,CH31+CH31*(F_MR/12)),0)</f>
        <v>0</v>
      </c>
      <c r="CV31" s="20" t="n">
        <f aca="false">IF(CI31&gt;PR_BalDone,MIN(F_MortPayM,CI31+CI31*(F_MR/12)),0)</f>
        <v>0</v>
      </c>
      <c r="CW31" s="20" t="n">
        <f aca="false">IF(CJ31&gt;PR_BalDone,MIN(F_MortPayM,CJ31+CJ31*(F_MR/12)),0)</f>
        <v>0</v>
      </c>
      <c r="CX31" s="20" t="n">
        <f aca="false">IF(CK31&gt;PR_BalDone,MIN(F_MortPayM,CK31+CK31*(F_MR/12)),0)</f>
        <v>0</v>
      </c>
      <c r="CY31" s="20" t="n">
        <f aca="false">IF(CL31&gt;PR_BalDone,MIN(F_MortPayM,CL31+CL31*(F_MR/12)),0)</f>
        <v>0</v>
      </c>
      <c r="CZ31" s="20" t="n">
        <f aca="false">IF(CM31&gt;PR_BalDone,MIN(F_MortPayM,CM31+CM31*(F_MR/12)),0)</f>
        <v>0</v>
      </c>
      <c r="DA31" s="20" t="n">
        <f aca="false">IF(CN31&gt;PR_BalDone,MIN(F_MortPayM,CN31+CN31*(F_MR/12)),0)</f>
        <v>0</v>
      </c>
      <c r="DB31" s="20" t="n">
        <f aca="false">IF(CO31&gt;PR_BalDone,MIN(F_MortPayM,CO31+CO31*(F_MR/12)),0)</f>
        <v>0</v>
      </c>
      <c r="DC31" s="20" t="n">
        <f aca="false">IF(CP31&gt;PR_BalDone,MIN(F_MortPayM,CP31+CP31*(F_MR/12)),0)</f>
        <v>0</v>
      </c>
      <c r="DD31" s="20" t="n">
        <f aca="false">IF(CQ31&gt;PR_BalDone,MIN(F_MortPayM,CQ31+CQ31*(F_MR/12)),0)</f>
        <v>0</v>
      </c>
      <c r="DE31" s="20" t="n">
        <f aca="false">MAX(0,CR31)</f>
        <v>0</v>
      </c>
      <c r="DF31" s="20" t="n">
        <f aca="false">SUM(CS31:DD31)</f>
        <v>0</v>
      </c>
      <c r="DG31" s="20" t="n">
        <f aca="false">MAX(0,CF31)</f>
        <v>0</v>
      </c>
    </row>
    <row r="32" customFormat="false" ht="15" hidden="false" customHeight="true" outlineLevel="0" collapsed="false">
      <c r="B32" s="20" t="n">
        <v>24</v>
      </c>
      <c r="C32" s="20" t="n">
        <f aca="false">'Plan cashflow'!J32</f>
        <v>0</v>
      </c>
      <c r="D32" s="20" t="n">
        <f aca="false">IF(C32&gt;PR_BalDone,C32+C32*(F_MR/12)-MIN(F_MortPayM,C32+C32*(F_MR/12)),C32)</f>
        <v>0</v>
      </c>
      <c r="E32" s="20" t="n">
        <f aca="false">IF(D32&gt;PR_BalDone,D32+D32*(F_MR/12)-MIN(F_MortPayM,D32+D32*(F_MR/12)),D32)</f>
        <v>0</v>
      </c>
      <c r="F32" s="20" t="n">
        <f aca="false">IF(E32&gt;PR_BalDone,E32+E32*(F_MR/12)-MIN(F_MortPayM,E32+E32*(F_MR/12)),E32)</f>
        <v>0</v>
      </c>
      <c r="G32" s="20" t="n">
        <f aca="false">IF(F32&gt;PR_BalDone,F32+F32*(F_MR/12)-MIN(F_MortPayM,F32+F32*(F_MR/12)),F32)</f>
        <v>0</v>
      </c>
      <c r="H32" s="20" t="n">
        <f aca="false">IF(G32&gt;PR_BalDone,G32+G32*(F_MR/12)-MIN(F_MortPayM,G32+G32*(F_MR/12)),G32)</f>
        <v>0</v>
      </c>
      <c r="I32" s="20" t="n">
        <f aca="false">IF(H32&gt;PR_BalDone,H32+H32*(F_MR/12)-MIN(F_MortPayM,H32+H32*(F_MR/12)),H32)</f>
        <v>0</v>
      </c>
      <c r="J32" s="20" t="n">
        <f aca="false">IF(I32&gt;PR_BalDone,I32+I32*(F_MR/12)-MIN(F_MortPayM,I32+I32*(F_MR/12)),I32)</f>
        <v>0</v>
      </c>
      <c r="K32" s="20" t="n">
        <f aca="false">IF(J32&gt;PR_BalDone,J32+J32*(F_MR/12)-MIN(F_MortPayM,J32+J32*(F_MR/12)),J32)</f>
        <v>0</v>
      </c>
      <c r="L32" s="20" t="n">
        <f aca="false">IF(K32&gt;PR_BalDone,K32+K32*(F_MR/12)-MIN(F_MortPayM,K32+K32*(F_MR/12)),K32)</f>
        <v>0</v>
      </c>
      <c r="M32" s="20" t="n">
        <f aca="false">IF(L32&gt;PR_BalDone,L32+L32*(F_MR/12)-MIN(F_MortPayM,L32+L32*(F_MR/12)),L32)</f>
        <v>0</v>
      </c>
      <c r="N32" s="20" t="n">
        <f aca="false">IF(M32&gt;PR_BalDone,M32+M32*(F_MR/12)-MIN(F_MortPayM,M32+M32*(F_MR/12)),M32)</f>
        <v>0</v>
      </c>
      <c r="O32" s="20" t="n">
        <f aca="false">IF(N32&gt;PR_BalDone,N32+N32*(F_MR/12)-MIN(F_MortPayM,N32+N32*(F_MR/12)),N32)</f>
        <v>0</v>
      </c>
      <c r="P32" s="20" t="n">
        <f aca="false">IF(C32&gt;PR_BalDone,MIN(F_MortPayM,C32+C32*(F_MR/12)),0)</f>
        <v>0</v>
      </c>
      <c r="Q32" s="20" t="n">
        <f aca="false">IF(D32&gt;PR_BalDone,MIN(F_MortPayM,D32+D32*(F_MR/12)),0)</f>
        <v>0</v>
      </c>
      <c r="R32" s="20" t="n">
        <f aca="false">IF(E32&gt;PR_BalDone,MIN(F_MortPayM,E32+E32*(F_MR/12)),0)</f>
        <v>0</v>
      </c>
      <c r="S32" s="20" t="n">
        <f aca="false">IF(F32&gt;PR_BalDone,MIN(F_MortPayM,F32+F32*(F_MR/12)),0)</f>
        <v>0</v>
      </c>
      <c r="T32" s="20" t="n">
        <f aca="false">IF(G32&gt;PR_BalDone,MIN(F_MortPayM,G32+G32*(F_MR/12)),0)</f>
        <v>0</v>
      </c>
      <c r="U32" s="20" t="n">
        <f aca="false">IF(H32&gt;PR_BalDone,MIN(F_MortPayM,H32+H32*(F_MR/12)),0)</f>
        <v>0</v>
      </c>
      <c r="V32" s="20" t="n">
        <f aca="false">IF(I32&gt;PR_BalDone,MIN(F_MortPayM,I32+I32*(F_MR/12)),0)</f>
        <v>0</v>
      </c>
      <c r="W32" s="20" t="n">
        <f aca="false">IF(J32&gt;PR_BalDone,MIN(F_MortPayM,J32+J32*(F_MR/12)),0)</f>
        <v>0</v>
      </c>
      <c r="X32" s="20" t="n">
        <f aca="false">IF(K32&gt;PR_BalDone,MIN(F_MortPayM,K32+K32*(F_MR/12)),0)</f>
        <v>0</v>
      </c>
      <c r="Y32" s="20" t="n">
        <f aca="false">IF(L32&gt;PR_BalDone,MIN(F_MortPayM,L32+L32*(F_MR/12)),0)</f>
        <v>0</v>
      </c>
      <c r="Z32" s="20" t="n">
        <f aca="false">IF(M32&gt;PR_BalDone,MIN(F_MortPayM,M32+M32*(F_MR/12)),0)</f>
        <v>0</v>
      </c>
      <c r="AA32" s="20" t="n">
        <f aca="false">IF(N32&gt;PR_BalDone,MIN(F_MortPayM,N32+N32*(F_MR/12)),0)</f>
        <v>0</v>
      </c>
      <c r="AB32" s="20" t="n">
        <f aca="false">MAX(0,O32)</f>
        <v>0</v>
      </c>
      <c r="AC32" s="20" t="n">
        <f aca="false">SUM(P32:AA32)</f>
        <v>0</v>
      </c>
      <c r="AD32" s="20" t="n">
        <f aca="false">'Plan cashflow'!M32</f>
        <v>0</v>
      </c>
      <c r="AE32" s="20" t="n">
        <f aca="false">IF(AD32&gt;PR_BalDone,AD32+AD32*(D_iC)-MIN(F_CardPayM,AD32+AD32*(D_iC)),AD32)</f>
        <v>0</v>
      </c>
      <c r="AF32" s="20" t="n">
        <f aca="false">IF(AE32&gt;PR_BalDone,AE32+AE32*(D_iC)-MIN(F_CardPayM,AE32+AE32*(D_iC)),AE32)</f>
        <v>0</v>
      </c>
      <c r="AG32" s="20" t="n">
        <f aca="false">IF(AF32&gt;PR_BalDone,AF32+AF32*(D_iC)-MIN(F_CardPayM,AF32+AF32*(D_iC)),AF32)</f>
        <v>0</v>
      </c>
      <c r="AH32" s="20" t="n">
        <f aca="false">IF(AG32&gt;PR_BalDone,AG32+AG32*(D_iC)-MIN(F_CardPayM,AG32+AG32*(D_iC)),AG32)</f>
        <v>0</v>
      </c>
      <c r="AI32" s="20" t="n">
        <f aca="false">IF(AH32&gt;PR_BalDone,AH32+AH32*(D_iC)-MIN(F_CardPayM,AH32+AH32*(D_iC)),AH32)</f>
        <v>0</v>
      </c>
      <c r="AJ32" s="20" t="n">
        <f aca="false">IF(AI32&gt;PR_BalDone,AI32+AI32*(D_iC)-MIN(F_CardPayM,AI32+AI32*(D_iC)),AI32)</f>
        <v>0</v>
      </c>
      <c r="AK32" s="20" t="n">
        <f aca="false">IF(AJ32&gt;PR_BalDone,AJ32+AJ32*(D_iC)-MIN(F_CardPayM,AJ32+AJ32*(D_iC)),AJ32)</f>
        <v>0</v>
      </c>
      <c r="AL32" s="20" t="n">
        <f aca="false">IF(AK32&gt;PR_BalDone,AK32+AK32*(D_iC)-MIN(F_CardPayM,AK32+AK32*(D_iC)),AK32)</f>
        <v>0</v>
      </c>
      <c r="AM32" s="20" t="n">
        <f aca="false">IF(AL32&gt;PR_BalDone,AL32+AL32*(D_iC)-MIN(F_CardPayM,AL32+AL32*(D_iC)),AL32)</f>
        <v>0</v>
      </c>
      <c r="AN32" s="20" t="n">
        <f aca="false">IF(AM32&gt;PR_BalDone,AM32+AM32*(D_iC)-MIN(F_CardPayM,AM32+AM32*(D_iC)),AM32)</f>
        <v>0</v>
      </c>
      <c r="AO32" s="20" t="n">
        <f aca="false">IF(AN32&gt;PR_BalDone,AN32+AN32*(D_iC)-MIN(F_CardPayM,AN32+AN32*(D_iC)),AN32)</f>
        <v>0</v>
      </c>
      <c r="AP32" s="20" t="n">
        <f aca="false">IF(AO32&gt;PR_BalDone,AO32+AO32*(D_iC)-MIN(F_CardPayM,AO32+AO32*(D_iC)),AO32)</f>
        <v>0</v>
      </c>
      <c r="AQ32" s="20" t="n">
        <f aca="false">IF(AD32&gt;PR_BalDone,MIN(F_CardPayM,AD32+AD32*(D_iC)),0)</f>
        <v>0</v>
      </c>
      <c r="AR32" s="20" t="n">
        <f aca="false">IF(AE32&gt;PR_BalDone,MIN(F_CardPayM,AE32+AE32*(D_iC)),0)</f>
        <v>0</v>
      </c>
      <c r="AS32" s="20" t="n">
        <f aca="false">IF(AF32&gt;PR_BalDone,MIN(F_CardPayM,AF32+AF32*(D_iC)),0)</f>
        <v>0</v>
      </c>
      <c r="AT32" s="20" t="n">
        <f aca="false">IF(AG32&gt;PR_BalDone,MIN(F_CardPayM,AG32+AG32*(D_iC)),0)</f>
        <v>0</v>
      </c>
      <c r="AU32" s="20" t="n">
        <f aca="false">IF(AH32&gt;PR_BalDone,MIN(F_CardPayM,AH32+AH32*(D_iC)),0)</f>
        <v>0</v>
      </c>
      <c r="AV32" s="20" t="n">
        <f aca="false">IF(AI32&gt;PR_BalDone,MIN(F_CardPayM,AI32+AI32*(D_iC)),0)</f>
        <v>0</v>
      </c>
      <c r="AW32" s="20" t="n">
        <f aca="false">IF(AJ32&gt;PR_BalDone,MIN(F_CardPayM,AJ32+AJ32*(D_iC)),0)</f>
        <v>0</v>
      </c>
      <c r="AX32" s="20" t="n">
        <f aca="false">IF(AK32&gt;PR_BalDone,MIN(F_CardPayM,AK32+AK32*(D_iC)),0)</f>
        <v>0</v>
      </c>
      <c r="AY32" s="20" t="n">
        <f aca="false">IF(AL32&gt;PR_BalDone,MIN(F_CardPayM,AL32+AL32*(D_iC)),0)</f>
        <v>0</v>
      </c>
      <c r="AZ32" s="20" t="n">
        <f aca="false">IF(AM32&gt;PR_BalDone,MIN(F_CardPayM,AM32+AM32*(D_iC)),0)</f>
        <v>0</v>
      </c>
      <c r="BA32" s="20" t="n">
        <f aca="false">IF(AN32&gt;PR_BalDone,MIN(F_CardPayM,AN32+AN32*(D_iC)),0)</f>
        <v>0</v>
      </c>
      <c r="BB32" s="20" t="n">
        <f aca="false">IF(AO32&gt;PR_BalDone,MIN(F_CardPayM,AO32+AO32*(D_iC)),0)</f>
        <v>0</v>
      </c>
      <c r="BC32" s="20" t="n">
        <f aca="false">MAX(0,AP32)</f>
        <v>0</v>
      </c>
      <c r="BD32" s="20" t="n">
        <f aca="false">SUM(AQ32:BB32)</f>
        <v>0</v>
      </c>
      <c r="BE32" s="20" t="n">
        <f aca="false">'Plan cashflow'!P32</f>
        <v>0</v>
      </c>
      <c r="BF32" s="20" t="n">
        <f aca="false">IF(BE32&gt;PR_BalDone,BE32+BE32*(D_iL)-MIN(F_LoanPayM,BE32+BE32*(D_iL)),BE32)</f>
        <v>0</v>
      </c>
      <c r="BG32" s="20" t="n">
        <f aca="false">IF(BF32&gt;PR_BalDone,BF32+BF32*(D_iL)-MIN(F_LoanPayM,BF32+BF32*(D_iL)),BF32)</f>
        <v>0</v>
      </c>
      <c r="BH32" s="20" t="n">
        <f aca="false">IF(BG32&gt;PR_BalDone,BG32+BG32*(D_iL)-MIN(F_LoanPayM,BG32+BG32*(D_iL)),BG32)</f>
        <v>0</v>
      </c>
      <c r="BI32" s="20" t="n">
        <f aca="false">IF(BH32&gt;PR_BalDone,BH32+BH32*(D_iL)-MIN(F_LoanPayM,BH32+BH32*(D_iL)),BH32)</f>
        <v>0</v>
      </c>
      <c r="BJ32" s="20" t="n">
        <f aca="false">IF(BI32&gt;PR_BalDone,BI32+BI32*(D_iL)-MIN(F_LoanPayM,BI32+BI32*(D_iL)),BI32)</f>
        <v>0</v>
      </c>
      <c r="BK32" s="20" t="n">
        <f aca="false">IF(BJ32&gt;PR_BalDone,BJ32+BJ32*(D_iL)-MIN(F_LoanPayM,BJ32+BJ32*(D_iL)),BJ32)</f>
        <v>0</v>
      </c>
      <c r="BL32" s="20" t="n">
        <f aca="false">IF(BK32&gt;PR_BalDone,BK32+BK32*(D_iL)-MIN(F_LoanPayM,BK32+BK32*(D_iL)),BK32)</f>
        <v>0</v>
      </c>
      <c r="BM32" s="20" t="n">
        <f aca="false">IF(BL32&gt;PR_BalDone,BL32+BL32*(D_iL)-MIN(F_LoanPayM,BL32+BL32*(D_iL)),BL32)</f>
        <v>0</v>
      </c>
      <c r="BN32" s="20" t="n">
        <f aca="false">IF(BM32&gt;PR_BalDone,BM32+BM32*(D_iL)-MIN(F_LoanPayM,BM32+BM32*(D_iL)),BM32)</f>
        <v>0</v>
      </c>
      <c r="BO32" s="20" t="n">
        <f aca="false">IF(BN32&gt;PR_BalDone,BN32+BN32*(D_iL)-MIN(F_LoanPayM,BN32+BN32*(D_iL)),BN32)</f>
        <v>0</v>
      </c>
      <c r="BP32" s="20" t="n">
        <f aca="false">IF(BO32&gt;PR_BalDone,BO32+BO32*(D_iL)-MIN(F_LoanPayM,BO32+BO32*(D_iL)),BO32)</f>
        <v>0</v>
      </c>
      <c r="BQ32" s="20" t="n">
        <f aca="false">IF(BP32&gt;PR_BalDone,BP32+BP32*(D_iL)-MIN(F_LoanPayM,BP32+BP32*(D_iL)),BP32)</f>
        <v>0</v>
      </c>
      <c r="BR32" s="20" t="n">
        <f aca="false">IF(BE32&gt;PR_BalDone,MIN(F_LoanPayM,BE32+BE32*(D_iL)),0)</f>
        <v>0</v>
      </c>
      <c r="BS32" s="20" t="n">
        <f aca="false">IF(BF32&gt;PR_BalDone,MIN(F_LoanPayM,BF32+BF32*(D_iL)),0)</f>
        <v>0</v>
      </c>
      <c r="BT32" s="20" t="n">
        <f aca="false">IF(BG32&gt;PR_BalDone,MIN(F_LoanPayM,BG32+BG32*(D_iL)),0)</f>
        <v>0</v>
      </c>
      <c r="BU32" s="20" t="n">
        <f aca="false">IF(BH32&gt;PR_BalDone,MIN(F_LoanPayM,BH32+BH32*(D_iL)),0)</f>
        <v>0</v>
      </c>
      <c r="BV32" s="20" t="n">
        <f aca="false">IF(BI32&gt;PR_BalDone,MIN(F_LoanPayM,BI32+BI32*(D_iL)),0)</f>
        <v>0</v>
      </c>
      <c r="BW32" s="20" t="n">
        <f aca="false">IF(BJ32&gt;PR_BalDone,MIN(F_LoanPayM,BJ32+BJ32*(D_iL)),0)</f>
        <v>0</v>
      </c>
      <c r="BX32" s="20" t="n">
        <f aca="false">IF(BK32&gt;PR_BalDone,MIN(F_LoanPayM,BK32+BK32*(D_iL)),0)</f>
        <v>0</v>
      </c>
      <c r="BY32" s="20" t="n">
        <f aca="false">IF(BL32&gt;PR_BalDone,MIN(F_LoanPayM,BL32+BL32*(D_iL)),0)</f>
        <v>0</v>
      </c>
      <c r="BZ32" s="20" t="n">
        <f aca="false">IF(BM32&gt;PR_BalDone,MIN(F_LoanPayM,BM32+BM32*(D_iL)),0)</f>
        <v>0</v>
      </c>
      <c r="CA32" s="20" t="n">
        <f aca="false">IF(BN32&gt;PR_BalDone,MIN(F_LoanPayM,BN32+BN32*(D_iL)),0)</f>
        <v>0</v>
      </c>
      <c r="CB32" s="20" t="n">
        <f aca="false">IF(BO32&gt;PR_BalDone,MIN(F_LoanPayM,BO32+BO32*(D_iL)),0)</f>
        <v>0</v>
      </c>
      <c r="CC32" s="20" t="n">
        <f aca="false">IF(BP32&gt;PR_BalDone,MIN(F_LoanPayM,BP32+BP32*(D_iL)),0)</f>
        <v>0</v>
      </c>
      <c r="CD32" s="20" t="n">
        <f aca="false">MAX(0,BQ32)</f>
        <v>0</v>
      </c>
      <c r="CE32" s="20" t="n">
        <f aca="false">SUM(BR32:CC32)</f>
        <v>0</v>
      </c>
      <c r="CF32" s="20" t="n">
        <f aca="false">IF(CF31&gt;1,DE31,CF31)</f>
        <v>0</v>
      </c>
      <c r="CG32" s="20" t="n">
        <f aca="false">IF(CF32&gt;PR_BalDone,CF32+CF32*(F_MR/12)-MIN(F_MortPayM,CF32+CF32*(F_MR/12)),CF32)</f>
        <v>0</v>
      </c>
      <c r="CH32" s="20" t="n">
        <f aca="false">IF(CG32&gt;PR_BalDone,CG32+CG32*(F_MR/12)-MIN(F_MortPayM,CG32+CG32*(F_MR/12)),CG32)</f>
        <v>0</v>
      </c>
      <c r="CI32" s="20" t="n">
        <f aca="false">IF(CH32&gt;PR_BalDone,CH32+CH32*(F_MR/12)-MIN(F_MortPayM,CH32+CH32*(F_MR/12)),CH32)</f>
        <v>0</v>
      </c>
      <c r="CJ32" s="20" t="n">
        <f aca="false">IF(CI32&gt;PR_BalDone,CI32+CI32*(F_MR/12)-MIN(F_MortPayM,CI32+CI32*(F_MR/12)),CI32)</f>
        <v>0</v>
      </c>
      <c r="CK32" s="20" t="n">
        <f aca="false">IF(CJ32&gt;PR_BalDone,CJ32+CJ32*(F_MR/12)-MIN(F_MortPayM,CJ32+CJ32*(F_MR/12)),CJ32)</f>
        <v>0</v>
      </c>
      <c r="CL32" s="20" t="n">
        <f aca="false">IF(CK32&gt;PR_BalDone,CK32+CK32*(F_MR/12)-MIN(F_MortPayM,CK32+CK32*(F_MR/12)),CK32)</f>
        <v>0</v>
      </c>
      <c r="CM32" s="20" t="n">
        <f aca="false">IF(CL32&gt;PR_BalDone,CL32+CL32*(F_MR/12)-MIN(F_MortPayM,CL32+CL32*(F_MR/12)),CL32)</f>
        <v>0</v>
      </c>
      <c r="CN32" s="20" t="n">
        <f aca="false">IF(CM32&gt;PR_BalDone,CM32+CM32*(F_MR/12)-MIN(F_MortPayM,CM32+CM32*(F_MR/12)),CM32)</f>
        <v>0</v>
      </c>
      <c r="CO32" s="20" t="n">
        <f aca="false">IF(CN32&gt;PR_BalDone,CN32+CN32*(F_MR/12)-MIN(F_MortPayM,CN32+CN32*(F_MR/12)),CN32)</f>
        <v>0</v>
      </c>
      <c r="CP32" s="20" t="n">
        <f aca="false">IF(CO32&gt;PR_BalDone,CO32+CO32*(F_MR/12)-MIN(F_MortPayM,CO32+CO32*(F_MR/12)),CO32)</f>
        <v>0</v>
      </c>
      <c r="CQ32" s="20" t="n">
        <f aca="false">IF(CP32&gt;PR_BalDone,CP32+CP32*(F_MR/12)-MIN(F_MortPayM,CP32+CP32*(F_MR/12)),CP32)</f>
        <v>0</v>
      </c>
      <c r="CR32" s="20" t="n">
        <f aca="false">IF(CQ32&gt;PR_BalDone,CQ32+CQ32*(F_MR/12)-MIN(F_MortPayM,CQ32+CQ32*(F_MR/12)),CQ32)</f>
        <v>0</v>
      </c>
      <c r="CS32" s="20" t="n">
        <f aca="false">IF(CF32&gt;PR_BalDone,MIN(F_MortPayM,CF32+CF32*(F_MR/12)),0)</f>
        <v>0</v>
      </c>
      <c r="CT32" s="20" t="n">
        <f aca="false">IF(CG32&gt;PR_BalDone,MIN(F_MortPayM,CG32+CG32*(F_MR/12)),0)</f>
        <v>0</v>
      </c>
      <c r="CU32" s="20" t="n">
        <f aca="false">IF(CH32&gt;PR_BalDone,MIN(F_MortPayM,CH32+CH32*(F_MR/12)),0)</f>
        <v>0</v>
      </c>
      <c r="CV32" s="20" t="n">
        <f aca="false">IF(CI32&gt;PR_BalDone,MIN(F_MortPayM,CI32+CI32*(F_MR/12)),0)</f>
        <v>0</v>
      </c>
      <c r="CW32" s="20" t="n">
        <f aca="false">IF(CJ32&gt;PR_BalDone,MIN(F_MortPayM,CJ32+CJ32*(F_MR/12)),0)</f>
        <v>0</v>
      </c>
      <c r="CX32" s="20" t="n">
        <f aca="false">IF(CK32&gt;PR_BalDone,MIN(F_MortPayM,CK32+CK32*(F_MR/12)),0)</f>
        <v>0</v>
      </c>
      <c r="CY32" s="20" t="n">
        <f aca="false">IF(CL32&gt;PR_BalDone,MIN(F_MortPayM,CL32+CL32*(F_MR/12)),0)</f>
        <v>0</v>
      </c>
      <c r="CZ32" s="20" t="n">
        <f aca="false">IF(CM32&gt;PR_BalDone,MIN(F_MortPayM,CM32+CM32*(F_MR/12)),0)</f>
        <v>0</v>
      </c>
      <c r="DA32" s="20" t="n">
        <f aca="false">IF(CN32&gt;PR_BalDone,MIN(F_MortPayM,CN32+CN32*(F_MR/12)),0)</f>
        <v>0</v>
      </c>
      <c r="DB32" s="20" t="n">
        <f aca="false">IF(CO32&gt;PR_BalDone,MIN(F_MortPayM,CO32+CO32*(F_MR/12)),0)</f>
        <v>0</v>
      </c>
      <c r="DC32" s="20" t="n">
        <f aca="false">IF(CP32&gt;PR_BalDone,MIN(F_MortPayM,CP32+CP32*(F_MR/12)),0)</f>
        <v>0</v>
      </c>
      <c r="DD32" s="20" t="n">
        <f aca="false">IF(CQ32&gt;PR_BalDone,MIN(F_MortPayM,CQ32+CQ32*(F_MR/12)),0)</f>
        <v>0</v>
      </c>
      <c r="DE32" s="20" t="n">
        <f aca="false">MAX(0,CR32)</f>
        <v>0</v>
      </c>
      <c r="DF32" s="20" t="n">
        <f aca="false">SUM(CS32:DD32)</f>
        <v>0</v>
      </c>
      <c r="DG32" s="20" t="n">
        <f aca="false">MAX(0,CF32)</f>
        <v>0</v>
      </c>
    </row>
    <row r="33" customFormat="false" ht="15" hidden="false" customHeight="true" outlineLevel="0" collapsed="false">
      <c r="B33" s="20" t="n">
        <v>25</v>
      </c>
      <c r="C33" s="20" t="n">
        <f aca="false">'Plan cashflow'!J33</f>
        <v>0</v>
      </c>
      <c r="D33" s="20" t="n">
        <f aca="false">IF(C33&gt;PR_BalDone,C33+C33*(F_MR/12)-MIN(F_MortPayM,C33+C33*(F_MR/12)),C33)</f>
        <v>0</v>
      </c>
      <c r="E33" s="20" t="n">
        <f aca="false">IF(D33&gt;PR_BalDone,D33+D33*(F_MR/12)-MIN(F_MortPayM,D33+D33*(F_MR/12)),D33)</f>
        <v>0</v>
      </c>
      <c r="F33" s="20" t="n">
        <f aca="false">IF(E33&gt;PR_BalDone,E33+E33*(F_MR/12)-MIN(F_MortPayM,E33+E33*(F_MR/12)),E33)</f>
        <v>0</v>
      </c>
      <c r="G33" s="20" t="n">
        <f aca="false">IF(F33&gt;PR_BalDone,F33+F33*(F_MR/12)-MIN(F_MortPayM,F33+F33*(F_MR/12)),F33)</f>
        <v>0</v>
      </c>
      <c r="H33" s="20" t="n">
        <f aca="false">IF(G33&gt;PR_BalDone,G33+G33*(F_MR/12)-MIN(F_MortPayM,G33+G33*(F_MR/12)),G33)</f>
        <v>0</v>
      </c>
      <c r="I33" s="20" t="n">
        <f aca="false">IF(H33&gt;PR_BalDone,H33+H33*(F_MR/12)-MIN(F_MortPayM,H33+H33*(F_MR/12)),H33)</f>
        <v>0</v>
      </c>
      <c r="J33" s="20" t="n">
        <f aca="false">IF(I33&gt;PR_BalDone,I33+I33*(F_MR/12)-MIN(F_MortPayM,I33+I33*(F_MR/12)),I33)</f>
        <v>0</v>
      </c>
      <c r="K33" s="20" t="n">
        <f aca="false">IF(J33&gt;PR_BalDone,J33+J33*(F_MR/12)-MIN(F_MortPayM,J33+J33*(F_MR/12)),J33)</f>
        <v>0</v>
      </c>
      <c r="L33" s="20" t="n">
        <f aca="false">IF(K33&gt;PR_BalDone,K33+K33*(F_MR/12)-MIN(F_MortPayM,K33+K33*(F_MR/12)),K33)</f>
        <v>0</v>
      </c>
      <c r="M33" s="20" t="n">
        <f aca="false">IF(L33&gt;PR_BalDone,L33+L33*(F_MR/12)-MIN(F_MortPayM,L33+L33*(F_MR/12)),L33)</f>
        <v>0</v>
      </c>
      <c r="N33" s="20" t="n">
        <f aca="false">IF(M33&gt;PR_BalDone,M33+M33*(F_MR/12)-MIN(F_MortPayM,M33+M33*(F_MR/12)),M33)</f>
        <v>0</v>
      </c>
      <c r="O33" s="20" t="n">
        <f aca="false">IF(N33&gt;PR_BalDone,N33+N33*(F_MR/12)-MIN(F_MortPayM,N33+N33*(F_MR/12)),N33)</f>
        <v>0</v>
      </c>
      <c r="P33" s="20" t="n">
        <f aca="false">IF(C33&gt;PR_BalDone,MIN(F_MortPayM,C33+C33*(F_MR/12)),0)</f>
        <v>0</v>
      </c>
      <c r="Q33" s="20" t="n">
        <f aca="false">IF(D33&gt;PR_BalDone,MIN(F_MortPayM,D33+D33*(F_MR/12)),0)</f>
        <v>0</v>
      </c>
      <c r="R33" s="20" t="n">
        <f aca="false">IF(E33&gt;PR_BalDone,MIN(F_MortPayM,E33+E33*(F_MR/12)),0)</f>
        <v>0</v>
      </c>
      <c r="S33" s="20" t="n">
        <f aca="false">IF(F33&gt;PR_BalDone,MIN(F_MortPayM,F33+F33*(F_MR/12)),0)</f>
        <v>0</v>
      </c>
      <c r="T33" s="20" t="n">
        <f aca="false">IF(G33&gt;PR_BalDone,MIN(F_MortPayM,G33+G33*(F_MR/12)),0)</f>
        <v>0</v>
      </c>
      <c r="U33" s="20" t="n">
        <f aca="false">IF(H33&gt;PR_BalDone,MIN(F_MortPayM,H33+H33*(F_MR/12)),0)</f>
        <v>0</v>
      </c>
      <c r="V33" s="20" t="n">
        <f aca="false">IF(I33&gt;PR_BalDone,MIN(F_MortPayM,I33+I33*(F_MR/12)),0)</f>
        <v>0</v>
      </c>
      <c r="W33" s="20" t="n">
        <f aca="false">IF(J33&gt;PR_BalDone,MIN(F_MortPayM,J33+J33*(F_MR/12)),0)</f>
        <v>0</v>
      </c>
      <c r="X33" s="20" t="n">
        <f aca="false">IF(K33&gt;PR_BalDone,MIN(F_MortPayM,K33+K33*(F_MR/12)),0)</f>
        <v>0</v>
      </c>
      <c r="Y33" s="20" t="n">
        <f aca="false">IF(L33&gt;PR_BalDone,MIN(F_MortPayM,L33+L33*(F_MR/12)),0)</f>
        <v>0</v>
      </c>
      <c r="Z33" s="20" t="n">
        <f aca="false">IF(M33&gt;PR_BalDone,MIN(F_MortPayM,M33+M33*(F_MR/12)),0)</f>
        <v>0</v>
      </c>
      <c r="AA33" s="20" t="n">
        <f aca="false">IF(N33&gt;PR_BalDone,MIN(F_MortPayM,N33+N33*(F_MR/12)),0)</f>
        <v>0</v>
      </c>
      <c r="AB33" s="20" t="n">
        <f aca="false">MAX(0,O33)</f>
        <v>0</v>
      </c>
      <c r="AC33" s="20" t="n">
        <f aca="false">SUM(P33:AA33)</f>
        <v>0</v>
      </c>
      <c r="AD33" s="20" t="n">
        <f aca="false">'Plan cashflow'!M33</f>
        <v>0</v>
      </c>
      <c r="AE33" s="20" t="n">
        <f aca="false">IF(AD33&gt;PR_BalDone,AD33+AD33*(D_iC)-MIN(F_CardPayM,AD33+AD33*(D_iC)),AD33)</f>
        <v>0</v>
      </c>
      <c r="AF33" s="20" t="n">
        <f aca="false">IF(AE33&gt;PR_BalDone,AE33+AE33*(D_iC)-MIN(F_CardPayM,AE33+AE33*(D_iC)),AE33)</f>
        <v>0</v>
      </c>
      <c r="AG33" s="20" t="n">
        <f aca="false">IF(AF33&gt;PR_BalDone,AF33+AF33*(D_iC)-MIN(F_CardPayM,AF33+AF33*(D_iC)),AF33)</f>
        <v>0</v>
      </c>
      <c r="AH33" s="20" t="n">
        <f aca="false">IF(AG33&gt;PR_BalDone,AG33+AG33*(D_iC)-MIN(F_CardPayM,AG33+AG33*(D_iC)),AG33)</f>
        <v>0</v>
      </c>
      <c r="AI33" s="20" t="n">
        <f aca="false">IF(AH33&gt;PR_BalDone,AH33+AH33*(D_iC)-MIN(F_CardPayM,AH33+AH33*(D_iC)),AH33)</f>
        <v>0</v>
      </c>
      <c r="AJ33" s="20" t="n">
        <f aca="false">IF(AI33&gt;PR_BalDone,AI33+AI33*(D_iC)-MIN(F_CardPayM,AI33+AI33*(D_iC)),AI33)</f>
        <v>0</v>
      </c>
      <c r="AK33" s="20" t="n">
        <f aca="false">IF(AJ33&gt;PR_BalDone,AJ33+AJ33*(D_iC)-MIN(F_CardPayM,AJ33+AJ33*(D_iC)),AJ33)</f>
        <v>0</v>
      </c>
      <c r="AL33" s="20" t="n">
        <f aca="false">IF(AK33&gt;PR_BalDone,AK33+AK33*(D_iC)-MIN(F_CardPayM,AK33+AK33*(D_iC)),AK33)</f>
        <v>0</v>
      </c>
      <c r="AM33" s="20" t="n">
        <f aca="false">IF(AL33&gt;PR_BalDone,AL33+AL33*(D_iC)-MIN(F_CardPayM,AL33+AL33*(D_iC)),AL33)</f>
        <v>0</v>
      </c>
      <c r="AN33" s="20" t="n">
        <f aca="false">IF(AM33&gt;PR_BalDone,AM33+AM33*(D_iC)-MIN(F_CardPayM,AM33+AM33*(D_iC)),AM33)</f>
        <v>0</v>
      </c>
      <c r="AO33" s="20" t="n">
        <f aca="false">IF(AN33&gt;PR_BalDone,AN33+AN33*(D_iC)-MIN(F_CardPayM,AN33+AN33*(D_iC)),AN33)</f>
        <v>0</v>
      </c>
      <c r="AP33" s="20" t="n">
        <f aca="false">IF(AO33&gt;PR_BalDone,AO33+AO33*(D_iC)-MIN(F_CardPayM,AO33+AO33*(D_iC)),AO33)</f>
        <v>0</v>
      </c>
      <c r="AQ33" s="20" t="n">
        <f aca="false">IF(AD33&gt;PR_BalDone,MIN(F_CardPayM,AD33+AD33*(D_iC)),0)</f>
        <v>0</v>
      </c>
      <c r="AR33" s="20" t="n">
        <f aca="false">IF(AE33&gt;PR_BalDone,MIN(F_CardPayM,AE33+AE33*(D_iC)),0)</f>
        <v>0</v>
      </c>
      <c r="AS33" s="20" t="n">
        <f aca="false">IF(AF33&gt;PR_BalDone,MIN(F_CardPayM,AF33+AF33*(D_iC)),0)</f>
        <v>0</v>
      </c>
      <c r="AT33" s="20" t="n">
        <f aca="false">IF(AG33&gt;PR_BalDone,MIN(F_CardPayM,AG33+AG33*(D_iC)),0)</f>
        <v>0</v>
      </c>
      <c r="AU33" s="20" t="n">
        <f aca="false">IF(AH33&gt;PR_BalDone,MIN(F_CardPayM,AH33+AH33*(D_iC)),0)</f>
        <v>0</v>
      </c>
      <c r="AV33" s="20" t="n">
        <f aca="false">IF(AI33&gt;PR_BalDone,MIN(F_CardPayM,AI33+AI33*(D_iC)),0)</f>
        <v>0</v>
      </c>
      <c r="AW33" s="20" t="n">
        <f aca="false">IF(AJ33&gt;PR_BalDone,MIN(F_CardPayM,AJ33+AJ33*(D_iC)),0)</f>
        <v>0</v>
      </c>
      <c r="AX33" s="20" t="n">
        <f aca="false">IF(AK33&gt;PR_BalDone,MIN(F_CardPayM,AK33+AK33*(D_iC)),0)</f>
        <v>0</v>
      </c>
      <c r="AY33" s="20" t="n">
        <f aca="false">IF(AL33&gt;PR_BalDone,MIN(F_CardPayM,AL33+AL33*(D_iC)),0)</f>
        <v>0</v>
      </c>
      <c r="AZ33" s="20" t="n">
        <f aca="false">IF(AM33&gt;PR_BalDone,MIN(F_CardPayM,AM33+AM33*(D_iC)),0)</f>
        <v>0</v>
      </c>
      <c r="BA33" s="20" t="n">
        <f aca="false">IF(AN33&gt;PR_BalDone,MIN(F_CardPayM,AN33+AN33*(D_iC)),0)</f>
        <v>0</v>
      </c>
      <c r="BB33" s="20" t="n">
        <f aca="false">IF(AO33&gt;PR_BalDone,MIN(F_CardPayM,AO33+AO33*(D_iC)),0)</f>
        <v>0</v>
      </c>
      <c r="BC33" s="20" t="n">
        <f aca="false">MAX(0,AP33)</f>
        <v>0</v>
      </c>
      <c r="BD33" s="20" t="n">
        <f aca="false">SUM(AQ33:BB33)</f>
        <v>0</v>
      </c>
      <c r="BE33" s="20" t="n">
        <f aca="false">'Plan cashflow'!P33</f>
        <v>0</v>
      </c>
      <c r="BF33" s="20" t="n">
        <f aca="false">IF(BE33&gt;PR_BalDone,BE33+BE33*(D_iL)-MIN(F_LoanPayM,BE33+BE33*(D_iL)),BE33)</f>
        <v>0</v>
      </c>
      <c r="BG33" s="20" t="n">
        <f aca="false">IF(BF33&gt;PR_BalDone,BF33+BF33*(D_iL)-MIN(F_LoanPayM,BF33+BF33*(D_iL)),BF33)</f>
        <v>0</v>
      </c>
      <c r="BH33" s="20" t="n">
        <f aca="false">IF(BG33&gt;PR_BalDone,BG33+BG33*(D_iL)-MIN(F_LoanPayM,BG33+BG33*(D_iL)),BG33)</f>
        <v>0</v>
      </c>
      <c r="BI33" s="20" t="n">
        <f aca="false">IF(BH33&gt;PR_BalDone,BH33+BH33*(D_iL)-MIN(F_LoanPayM,BH33+BH33*(D_iL)),BH33)</f>
        <v>0</v>
      </c>
      <c r="BJ33" s="20" t="n">
        <f aca="false">IF(BI33&gt;PR_BalDone,BI33+BI33*(D_iL)-MIN(F_LoanPayM,BI33+BI33*(D_iL)),BI33)</f>
        <v>0</v>
      </c>
      <c r="BK33" s="20" t="n">
        <f aca="false">IF(BJ33&gt;PR_BalDone,BJ33+BJ33*(D_iL)-MIN(F_LoanPayM,BJ33+BJ33*(D_iL)),BJ33)</f>
        <v>0</v>
      </c>
      <c r="BL33" s="20" t="n">
        <f aca="false">IF(BK33&gt;PR_BalDone,BK33+BK33*(D_iL)-MIN(F_LoanPayM,BK33+BK33*(D_iL)),BK33)</f>
        <v>0</v>
      </c>
      <c r="BM33" s="20" t="n">
        <f aca="false">IF(BL33&gt;PR_BalDone,BL33+BL33*(D_iL)-MIN(F_LoanPayM,BL33+BL33*(D_iL)),BL33)</f>
        <v>0</v>
      </c>
      <c r="BN33" s="20" t="n">
        <f aca="false">IF(BM33&gt;PR_BalDone,BM33+BM33*(D_iL)-MIN(F_LoanPayM,BM33+BM33*(D_iL)),BM33)</f>
        <v>0</v>
      </c>
      <c r="BO33" s="20" t="n">
        <f aca="false">IF(BN33&gt;PR_BalDone,BN33+BN33*(D_iL)-MIN(F_LoanPayM,BN33+BN33*(D_iL)),BN33)</f>
        <v>0</v>
      </c>
      <c r="BP33" s="20" t="n">
        <f aca="false">IF(BO33&gt;PR_BalDone,BO33+BO33*(D_iL)-MIN(F_LoanPayM,BO33+BO33*(D_iL)),BO33)</f>
        <v>0</v>
      </c>
      <c r="BQ33" s="20" t="n">
        <f aca="false">IF(BP33&gt;PR_BalDone,BP33+BP33*(D_iL)-MIN(F_LoanPayM,BP33+BP33*(D_iL)),BP33)</f>
        <v>0</v>
      </c>
      <c r="BR33" s="20" t="n">
        <f aca="false">IF(BE33&gt;PR_BalDone,MIN(F_LoanPayM,BE33+BE33*(D_iL)),0)</f>
        <v>0</v>
      </c>
      <c r="BS33" s="20" t="n">
        <f aca="false">IF(BF33&gt;PR_BalDone,MIN(F_LoanPayM,BF33+BF33*(D_iL)),0)</f>
        <v>0</v>
      </c>
      <c r="BT33" s="20" t="n">
        <f aca="false">IF(BG33&gt;PR_BalDone,MIN(F_LoanPayM,BG33+BG33*(D_iL)),0)</f>
        <v>0</v>
      </c>
      <c r="BU33" s="20" t="n">
        <f aca="false">IF(BH33&gt;PR_BalDone,MIN(F_LoanPayM,BH33+BH33*(D_iL)),0)</f>
        <v>0</v>
      </c>
      <c r="BV33" s="20" t="n">
        <f aca="false">IF(BI33&gt;PR_BalDone,MIN(F_LoanPayM,BI33+BI33*(D_iL)),0)</f>
        <v>0</v>
      </c>
      <c r="BW33" s="20" t="n">
        <f aca="false">IF(BJ33&gt;PR_BalDone,MIN(F_LoanPayM,BJ33+BJ33*(D_iL)),0)</f>
        <v>0</v>
      </c>
      <c r="BX33" s="20" t="n">
        <f aca="false">IF(BK33&gt;PR_BalDone,MIN(F_LoanPayM,BK33+BK33*(D_iL)),0)</f>
        <v>0</v>
      </c>
      <c r="BY33" s="20" t="n">
        <f aca="false">IF(BL33&gt;PR_BalDone,MIN(F_LoanPayM,BL33+BL33*(D_iL)),0)</f>
        <v>0</v>
      </c>
      <c r="BZ33" s="20" t="n">
        <f aca="false">IF(BM33&gt;PR_BalDone,MIN(F_LoanPayM,BM33+BM33*(D_iL)),0)</f>
        <v>0</v>
      </c>
      <c r="CA33" s="20" t="n">
        <f aca="false">IF(BN33&gt;PR_BalDone,MIN(F_LoanPayM,BN33+BN33*(D_iL)),0)</f>
        <v>0</v>
      </c>
      <c r="CB33" s="20" t="n">
        <f aca="false">IF(BO33&gt;PR_BalDone,MIN(F_LoanPayM,BO33+BO33*(D_iL)),0)</f>
        <v>0</v>
      </c>
      <c r="CC33" s="20" t="n">
        <f aca="false">IF(BP33&gt;PR_BalDone,MIN(F_LoanPayM,BP33+BP33*(D_iL)),0)</f>
        <v>0</v>
      </c>
      <c r="CD33" s="20" t="n">
        <f aca="false">MAX(0,BQ33)</f>
        <v>0</v>
      </c>
      <c r="CE33" s="20" t="n">
        <f aca="false">SUM(BR33:CC33)</f>
        <v>0</v>
      </c>
      <c r="CF33" s="20" t="n">
        <f aca="false">IF(CF32&gt;1,DE32,CF32)</f>
        <v>0</v>
      </c>
      <c r="CG33" s="20" t="n">
        <f aca="false">IF(CF33&gt;PR_BalDone,CF33+CF33*(F_MR/12)-MIN(F_MortPayM,CF33+CF33*(F_MR/12)),CF33)</f>
        <v>0</v>
      </c>
      <c r="CH33" s="20" t="n">
        <f aca="false">IF(CG33&gt;PR_BalDone,CG33+CG33*(F_MR/12)-MIN(F_MortPayM,CG33+CG33*(F_MR/12)),CG33)</f>
        <v>0</v>
      </c>
      <c r="CI33" s="20" t="n">
        <f aca="false">IF(CH33&gt;PR_BalDone,CH33+CH33*(F_MR/12)-MIN(F_MortPayM,CH33+CH33*(F_MR/12)),CH33)</f>
        <v>0</v>
      </c>
      <c r="CJ33" s="20" t="n">
        <f aca="false">IF(CI33&gt;PR_BalDone,CI33+CI33*(F_MR/12)-MIN(F_MortPayM,CI33+CI33*(F_MR/12)),CI33)</f>
        <v>0</v>
      </c>
      <c r="CK33" s="20" t="n">
        <f aca="false">IF(CJ33&gt;PR_BalDone,CJ33+CJ33*(F_MR/12)-MIN(F_MortPayM,CJ33+CJ33*(F_MR/12)),CJ33)</f>
        <v>0</v>
      </c>
      <c r="CL33" s="20" t="n">
        <f aca="false">IF(CK33&gt;PR_BalDone,CK33+CK33*(F_MR/12)-MIN(F_MortPayM,CK33+CK33*(F_MR/12)),CK33)</f>
        <v>0</v>
      </c>
      <c r="CM33" s="20" t="n">
        <f aca="false">IF(CL33&gt;PR_BalDone,CL33+CL33*(F_MR/12)-MIN(F_MortPayM,CL33+CL33*(F_MR/12)),CL33)</f>
        <v>0</v>
      </c>
      <c r="CN33" s="20" t="n">
        <f aca="false">IF(CM33&gt;PR_BalDone,CM33+CM33*(F_MR/12)-MIN(F_MortPayM,CM33+CM33*(F_MR/12)),CM33)</f>
        <v>0</v>
      </c>
      <c r="CO33" s="20" t="n">
        <f aca="false">IF(CN33&gt;PR_BalDone,CN33+CN33*(F_MR/12)-MIN(F_MortPayM,CN33+CN33*(F_MR/12)),CN33)</f>
        <v>0</v>
      </c>
      <c r="CP33" s="20" t="n">
        <f aca="false">IF(CO33&gt;PR_BalDone,CO33+CO33*(F_MR/12)-MIN(F_MortPayM,CO33+CO33*(F_MR/12)),CO33)</f>
        <v>0</v>
      </c>
      <c r="CQ33" s="20" t="n">
        <f aca="false">IF(CP33&gt;PR_BalDone,CP33+CP33*(F_MR/12)-MIN(F_MortPayM,CP33+CP33*(F_MR/12)),CP33)</f>
        <v>0</v>
      </c>
      <c r="CR33" s="20" t="n">
        <f aca="false">IF(CQ33&gt;PR_BalDone,CQ33+CQ33*(F_MR/12)-MIN(F_MortPayM,CQ33+CQ33*(F_MR/12)),CQ33)</f>
        <v>0</v>
      </c>
      <c r="CS33" s="20" t="n">
        <f aca="false">IF(CF33&gt;PR_BalDone,MIN(F_MortPayM,CF33+CF33*(F_MR/12)),0)</f>
        <v>0</v>
      </c>
      <c r="CT33" s="20" t="n">
        <f aca="false">IF(CG33&gt;PR_BalDone,MIN(F_MortPayM,CG33+CG33*(F_MR/12)),0)</f>
        <v>0</v>
      </c>
      <c r="CU33" s="20" t="n">
        <f aca="false">IF(CH33&gt;PR_BalDone,MIN(F_MortPayM,CH33+CH33*(F_MR/12)),0)</f>
        <v>0</v>
      </c>
      <c r="CV33" s="20" t="n">
        <f aca="false">IF(CI33&gt;PR_BalDone,MIN(F_MortPayM,CI33+CI33*(F_MR/12)),0)</f>
        <v>0</v>
      </c>
      <c r="CW33" s="20" t="n">
        <f aca="false">IF(CJ33&gt;PR_BalDone,MIN(F_MortPayM,CJ33+CJ33*(F_MR/12)),0)</f>
        <v>0</v>
      </c>
      <c r="CX33" s="20" t="n">
        <f aca="false">IF(CK33&gt;PR_BalDone,MIN(F_MortPayM,CK33+CK33*(F_MR/12)),0)</f>
        <v>0</v>
      </c>
      <c r="CY33" s="20" t="n">
        <f aca="false">IF(CL33&gt;PR_BalDone,MIN(F_MortPayM,CL33+CL33*(F_MR/12)),0)</f>
        <v>0</v>
      </c>
      <c r="CZ33" s="20" t="n">
        <f aca="false">IF(CM33&gt;PR_BalDone,MIN(F_MortPayM,CM33+CM33*(F_MR/12)),0)</f>
        <v>0</v>
      </c>
      <c r="DA33" s="20" t="n">
        <f aca="false">IF(CN33&gt;PR_BalDone,MIN(F_MortPayM,CN33+CN33*(F_MR/12)),0)</f>
        <v>0</v>
      </c>
      <c r="DB33" s="20" t="n">
        <f aca="false">IF(CO33&gt;PR_BalDone,MIN(F_MortPayM,CO33+CO33*(F_MR/12)),0)</f>
        <v>0</v>
      </c>
      <c r="DC33" s="20" t="n">
        <f aca="false">IF(CP33&gt;PR_BalDone,MIN(F_MortPayM,CP33+CP33*(F_MR/12)),0)</f>
        <v>0</v>
      </c>
      <c r="DD33" s="20" t="n">
        <f aca="false">IF(CQ33&gt;PR_BalDone,MIN(F_MortPayM,CQ33+CQ33*(F_MR/12)),0)</f>
        <v>0</v>
      </c>
      <c r="DE33" s="20" t="n">
        <f aca="false">MAX(0,CR33)</f>
        <v>0</v>
      </c>
      <c r="DF33" s="20" t="n">
        <f aca="false">SUM(CS33:DD33)</f>
        <v>0</v>
      </c>
      <c r="DG33" s="20" t="n">
        <f aca="false">MAX(0,CF33)</f>
        <v>0</v>
      </c>
    </row>
    <row r="34" customFormat="false" ht="15" hidden="false" customHeight="true" outlineLevel="0" collapsed="false">
      <c r="B34" s="20" t="n">
        <v>26</v>
      </c>
      <c r="C34" s="20" t="n">
        <f aca="false">'Plan cashflow'!J34</f>
        <v>0</v>
      </c>
      <c r="D34" s="20" t="n">
        <f aca="false">IF(C34&gt;PR_BalDone,C34+C34*(F_MR/12)-MIN(F_MortPayM,C34+C34*(F_MR/12)),C34)</f>
        <v>0</v>
      </c>
      <c r="E34" s="20" t="n">
        <f aca="false">IF(D34&gt;PR_BalDone,D34+D34*(F_MR/12)-MIN(F_MortPayM,D34+D34*(F_MR/12)),D34)</f>
        <v>0</v>
      </c>
      <c r="F34" s="20" t="n">
        <f aca="false">IF(E34&gt;PR_BalDone,E34+E34*(F_MR/12)-MIN(F_MortPayM,E34+E34*(F_MR/12)),E34)</f>
        <v>0</v>
      </c>
      <c r="G34" s="20" t="n">
        <f aca="false">IF(F34&gt;PR_BalDone,F34+F34*(F_MR/12)-MIN(F_MortPayM,F34+F34*(F_MR/12)),F34)</f>
        <v>0</v>
      </c>
      <c r="H34" s="20" t="n">
        <f aca="false">IF(G34&gt;PR_BalDone,G34+G34*(F_MR/12)-MIN(F_MortPayM,G34+G34*(F_MR/12)),G34)</f>
        <v>0</v>
      </c>
      <c r="I34" s="20" t="n">
        <f aca="false">IF(H34&gt;PR_BalDone,H34+H34*(F_MR/12)-MIN(F_MortPayM,H34+H34*(F_MR/12)),H34)</f>
        <v>0</v>
      </c>
      <c r="J34" s="20" t="n">
        <f aca="false">IF(I34&gt;PR_BalDone,I34+I34*(F_MR/12)-MIN(F_MortPayM,I34+I34*(F_MR/12)),I34)</f>
        <v>0</v>
      </c>
      <c r="K34" s="20" t="n">
        <f aca="false">IF(J34&gt;PR_BalDone,J34+J34*(F_MR/12)-MIN(F_MortPayM,J34+J34*(F_MR/12)),J34)</f>
        <v>0</v>
      </c>
      <c r="L34" s="20" t="n">
        <f aca="false">IF(K34&gt;PR_BalDone,K34+K34*(F_MR/12)-MIN(F_MortPayM,K34+K34*(F_MR/12)),K34)</f>
        <v>0</v>
      </c>
      <c r="M34" s="20" t="n">
        <f aca="false">IF(L34&gt;PR_BalDone,L34+L34*(F_MR/12)-MIN(F_MortPayM,L34+L34*(F_MR/12)),L34)</f>
        <v>0</v>
      </c>
      <c r="N34" s="20" t="n">
        <f aca="false">IF(M34&gt;PR_BalDone,M34+M34*(F_MR/12)-MIN(F_MortPayM,M34+M34*(F_MR/12)),M34)</f>
        <v>0</v>
      </c>
      <c r="O34" s="20" t="n">
        <f aca="false">IF(N34&gt;PR_BalDone,N34+N34*(F_MR/12)-MIN(F_MortPayM,N34+N34*(F_MR/12)),N34)</f>
        <v>0</v>
      </c>
      <c r="P34" s="20" t="n">
        <f aca="false">IF(C34&gt;PR_BalDone,MIN(F_MortPayM,C34+C34*(F_MR/12)),0)</f>
        <v>0</v>
      </c>
      <c r="Q34" s="20" t="n">
        <f aca="false">IF(D34&gt;PR_BalDone,MIN(F_MortPayM,D34+D34*(F_MR/12)),0)</f>
        <v>0</v>
      </c>
      <c r="R34" s="20" t="n">
        <f aca="false">IF(E34&gt;PR_BalDone,MIN(F_MortPayM,E34+E34*(F_MR/12)),0)</f>
        <v>0</v>
      </c>
      <c r="S34" s="20" t="n">
        <f aca="false">IF(F34&gt;PR_BalDone,MIN(F_MortPayM,F34+F34*(F_MR/12)),0)</f>
        <v>0</v>
      </c>
      <c r="T34" s="20" t="n">
        <f aca="false">IF(G34&gt;PR_BalDone,MIN(F_MortPayM,G34+G34*(F_MR/12)),0)</f>
        <v>0</v>
      </c>
      <c r="U34" s="20" t="n">
        <f aca="false">IF(H34&gt;PR_BalDone,MIN(F_MortPayM,H34+H34*(F_MR/12)),0)</f>
        <v>0</v>
      </c>
      <c r="V34" s="20" t="n">
        <f aca="false">IF(I34&gt;PR_BalDone,MIN(F_MortPayM,I34+I34*(F_MR/12)),0)</f>
        <v>0</v>
      </c>
      <c r="W34" s="20" t="n">
        <f aca="false">IF(J34&gt;PR_BalDone,MIN(F_MortPayM,J34+J34*(F_MR/12)),0)</f>
        <v>0</v>
      </c>
      <c r="X34" s="20" t="n">
        <f aca="false">IF(K34&gt;PR_BalDone,MIN(F_MortPayM,K34+K34*(F_MR/12)),0)</f>
        <v>0</v>
      </c>
      <c r="Y34" s="20" t="n">
        <f aca="false">IF(L34&gt;PR_BalDone,MIN(F_MortPayM,L34+L34*(F_MR/12)),0)</f>
        <v>0</v>
      </c>
      <c r="Z34" s="20" t="n">
        <f aca="false">IF(M34&gt;PR_BalDone,MIN(F_MortPayM,M34+M34*(F_MR/12)),0)</f>
        <v>0</v>
      </c>
      <c r="AA34" s="20" t="n">
        <f aca="false">IF(N34&gt;PR_BalDone,MIN(F_MortPayM,N34+N34*(F_MR/12)),0)</f>
        <v>0</v>
      </c>
      <c r="AB34" s="20" t="n">
        <f aca="false">MAX(0,O34)</f>
        <v>0</v>
      </c>
      <c r="AC34" s="20" t="n">
        <f aca="false">SUM(P34:AA34)</f>
        <v>0</v>
      </c>
      <c r="AD34" s="20" t="n">
        <f aca="false">'Plan cashflow'!M34</f>
        <v>0</v>
      </c>
      <c r="AE34" s="20" t="n">
        <f aca="false">IF(AD34&gt;PR_BalDone,AD34+AD34*(D_iC)-MIN(F_CardPayM,AD34+AD34*(D_iC)),AD34)</f>
        <v>0</v>
      </c>
      <c r="AF34" s="20" t="n">
        <f aca="false">IF(AE34&gt;PR_BalDone,AE34+AE34*(D_iC)-MIN(F_CardPayM,AE34+AE34*(D_iC)),AE34)</f>
        <v>0</v>
      </c>
      <c r="AG34" s="20" t="n">
        <f aca="false">IF(AF34&gt;PR_BalDone,AF34+AF34*(D_iC)-MIN(F_CardPayM,AF34+AF34*(D_iC)),AF34)</f>
        <v>0</v>
      </c>
      <c r="AH34" s="20" t="n">
        <f aca="false">IF(AG34&gt;PR_BalDone,AG34+AG34*(D_iC)-MIN(F_CardPayM,AG34+AG34*(D_iC)),AG34)</f>
        <v>0</v>
      </c>
      <c r="AI34" s="20" t="n">
        <f aca="false">IF(AH34&gt;PR_BalDone,AH34+AH34*(D_iC)-MIN(F_CardPayM,AH34+AH34*(D_iC)),AH34)</f>
        <v>0</v>
      </c>
      <c r="AJ34" s="20" t="n">
        <f aca="false">IF(AI34&gt;PR_BalDone,AI34+AI34*(D_iC)-MIN(F_CardPayM,AI34+AI34*(D_iC)),AI34)</f>
        <v>0</v>
      </c>
      <c r="AK34" s="20" t="n">
        <f aca="false">IF(AJ34&gt;PR_BalDone,AJ34+AJ34*(D_iC)-MIN(F_CardPayM,AJ34+AJ34*(D_iC)),AJ34)</f>
        <v>0</v>
      </c>
      <c r="AL34" s="20" t="n">
        <f aca="false">IF(AK34&gt;PR_BalDone,AK34+AK34*(D_iC)-MIN(F_CardPayM,AK34+AK34*(D_iC)),AK34)</f>
        <v>0</v>
      </c>
      <c r="AM34" s="20" t="n">
        <f aca="false">IF(AL34&gt;PR_BalDone,AL34+AL34*(D_iC)-MIN(F_CardPayM,AL34+AL34*(D_iC)),AL34)</f>
        <v>0</v>
      </c>
      <c r="AN34" s="20" t="n">
        <f aca="false">IF(AM34&gt;PR_BalDone,AM34+AM34*(D_iC)-MIN(F_CardPayM,AM34+AM34*(D_iC)),AM34)</f>
        <v>0</v>
      </c>
      <c r="AO34" s="20" t="n">
        <f aca="false">IF(AN34&gt;PR_BalDone,AN34+AN34*(D_iC)-MIN(F_CardPayM,AN34+AN34*(D_iC)),AN34)</f>
        <v>0</v>
      </c>
      <c r="AP34" s="20" t="n">
        <f aca="false">IF(AO34&gt;PR_BalDone,AO34+AO34*(D_iC)-MIN(F_CardPayM,AO34+AO34*(D_iC)),AO34)</f>
        <v>0</v>
      </c>
      <c r="AQ34" s="20" t="n">
        <f aca="false">IF(AD34&gt;PR_BalDone,MIN(F_CardPayM,AD34+AD34*(D_iC)),0)</f>
        <v>0</v>
      </c>
      <c r="AR34" s="20" t="n">
        <f aca="false">IF(AE34&gt;PR_BalDone,MIN(F_CardPayM,AE34+AE34*(D_iC)),0)</f>
        <v>0</v>
      </c>
      <c r="AS34" s="20" t="n">
        <f aca="false">IF(AF34&gt;PR_BalDone,MIN(F_CardPayM,AF34+AF34*(D_iC)),0)</f>
        <v>0</v>
      </c>
      <c r="AT34" s="20" t="n">
        <f aca="false">IF(AG34&gt;PR_BalDone,MIN(F_CardPayM,AG34+AG34*(D_iC)),0)</f>
        <v>0</v>
      </c>
      <c r="AU34" s="20" t="n">
        <f aca="false">IF(AH34&gt;PR_BalDone,MIN(F_CardPayM,AH34+AH34*(D_iC)),0)</f>
        <v>0</v>
      </c>
      <c r="AV34" s="20" t="n">
        <f aca="false">IF(AI34&gt;PR_BalDone,MIN(F_CardPayM,AI34+AI34*(D_iC)),0)</f>
        <v>0</v>
      </c>
      <c r="AW34" s="20" t="n">
        <f aca="false">IF(AJ34&gt;PR_BalDone,MIN(F_CardPayM,AJ34+AJ34*(D_iC)),0)</f>
        <v>0</v>
      </c>
      <c r="AX34" s="20" t="n">
        <f aca="false">IF(AK34&gt;PR_BalDone,MIN(F_CardPayM,AK34+AK34*(D_iC)),0)</f>
        <v>0</v>
      </c>
      <c r="AY34" s="20" t="n">
        <f aca="false">IF(AL34&gt;PR_BalDone,MIN(F_CardPayM,AL34+AL34*(D_iC)),0)</f>
        <v>0</v>
      </c>
      <c r="AZ34" s="20" t="n">
        <f aca="false">IF(AM34&gt;PR_BalDone,MIN(F_CardPayM,AM34+AM34*(D_iC)),0)</f>
        <v>0</v>
      </c>
      <c r="BA34" s="20" t="n">
        <f aca="false">IF(AN34&gt;PR_BalDone,MIN(F_CardPayM,AN34+AN34*(D_iC)),0)</f>
        <v>0</v>
      </c>
      <c r="BB34" s="20" t="n">
        <f aca="false">IF(AO34&gt;PR_BalDone,MIN(F_CardPayM,AO34+AO34*(D_iC)),0)</f>
        <v>0</v>
      </c>
      <c r="BC34" s="20" t="n">
        <f aca="false">MAX(0,AP34)</f>
        <v>0</v>
      </c>
      <c r="BD34" s="20" t="n">
        <f aca="false">SUM(AQ34:BB34)</f>
        <v>0</v>
      </c>
      <c r="BE34" s="20" t="n">
        <f aca="false">'Plan cashflow'!P34</f>
        <v>0</v>
      </c>
      <c r="BF34" s="20" t="n">
        <f aca="false">IF(BE34&gt;PR_BalDone,BE34+BE34*(D_iL)-MIN(F_LoanPayM,BE34+BE34*(D_iL)),BE34)</f>
        <v>0</v>
      </c>
      <c r="BG34" s="20" t="n">
        <f aca="false">IF(BF34&gt;PR_BalDone,BF34+BF34*(D_iL)-MIN(F_LoanPayM,BF34+BF34*(D_iL)),BF34)</f>
        <v>0</v>
      </c>
      <c r="BH34" s="20" t="n">
        <f aca="false">IF(BG34&gt;PR_BalDone,BG34+BG34*(D_iL)-MIN(F_LoanPayM,BG34+BG34*(D_iL)),BG34)</f>
        <v>0</v>
      </c>
      <c r="BI34" s="20" t="n">
        <f aca="false">IF(BH34&gt;PR_BalDone,BH34+BH34*(D_iL)-MIN(F_LoanPayM,BH34+BH34*(D_iL)),BH34)</f>
        <v>0</v>
      </c>
      <c r="BJ34" s="20" t="n">
        <f aca="false">IF(BI34&gt;PR_BalDone,BI34+BI34*(D_iL)-MIN(F_LoanPayM,BI34+BI34*(D_iL)),BI34)</f>
        <v>0</v>
      </c>
      <c r="BK34" s="20" t="n">
        <f aca="false">IF(BJ34&gt;PR_BalDone,BJ34+BJ34*(D_iL)-MIN(F_LoanPayM,BJ34+BJ34*(D_iL)),BJ34)</f>
        <v>0</v>
      </c>
      <c r="BL34" s="20" t="n">
        <f aca="false">IF(BK34&gt;PR_BalDone,BK34+BK34*(D_iL)-MIN(F_LoanPayM,BK34+BK34*(D_iL)),BK34)</f>
        <v>0</v>
      </c>
      <c r="BM34" s="20" t="n">
        <f aca="false">IF(BL34&gt;PR_BalDone,BL34+BL34*(D_iL)-MIN(F_LoanPayM,BL34+BL34*(D_iL)),BL34)</f>
        <v>0</v>
      </c>
      <c r="BN34" s="20" t="n">
        <f aca="false">IF(BM34&gt;PR_BalDone,BM34+BM34*(D_iL)-MIN(F_LoanPayM,BM34+BM34*(D_iL)),BM34)</f>
        <v>0</v>
      </c>
      <c r="BO34" s="20" t="n">
        <f aca="false">IF(BN34&gt;PR_BalDone,BN34+BN34*(D_iL)-MIN(F_LoanPayM,BN34+BN34*(D_iL)),BN34)</f>
        <v>0</v>
      </c>
      <c r="BP34" s="20" t="n">
        <f aca="false">IF(BO34&gt;PR_BalDone,BO34+BO34*(D_iL)-MIN(F_LoanPayM,BO34+BO34*(D_iL)),BO34)</f>
        <v>0</v>
      </c>
      <c r="BQ34" s="20" t="n">
        <f aca="false">IF(BP34&gt;PR_BalDone,BP34+BP34*(D_iL)-MIN(F_LoanPayM,BP34+BP34*(D_iL)),BP34)</f>
        <v>0</v>
      </c>
      <c r="BR34" s="20" t="n">
        <f aca="false">IF(BE34&gt;PR_BalDone,MIN(F_LoanPayM,BE34+BE34*(D_iL)),0)</f>
        <v>0</v>
      </c>
      <c r="BS34" s="20" t="n">
        <f aca="false">IF(BF34&gt;PR_BalDone,MIN(F_LoanPayM,BF34+BF34*(D_iL)),0)</f>
        <v>0</v>
      </c>
      <c r="BT34" s="20" t="n">
        <f aca="false">IF(BG34&gt;PR_BalDone,MIN(F_LoanPayM,BG34+BG34*(D_iL)),0)</f>
        <v>0</v>
      </c>
      <c r="BU34" s="20" t="n">
        <f aca="false">IF(BH34&gt;PR_BalDone,MIN(F_LoanPayM,BH34+BH34*(D_iL)),0)</f>
        <v>0</v>
      </c>
      <c r="BV34" s="20" t="n">
        <f aca="false">IF(BI34&gt;PR_BalDone,MIN(F_LoanPayM,BI34+BI34*(D_iL)),0)</f>
        <v>0</v>
      </c>
      <c r="BW34" s="20" t="n">
        <f aca="false">IF(BJ34&gt;PR_BalDone,MIN(F_LoanPayM,BJ34+BJ34*(D_iL)),0)</f>
        <v>0</v>
      </c>
      <c r="BX34" s="20" t="n">
        <f aca="false">IF(BK34&gt;PR_BalDone,MIN(F_LoanPayM,BK34+BK34*(D_iL)),0)</f>
        <v>0</v>
      </c>
      <c r="BY34" s="20" t="n">
        <f aca="false">IF(BL34&gt;PR_BalDone,MIN(F_LoanPayM,BL34+BL34*(D_iL)),0)</f>
        <v>0</v>
      </c>
      <c r="BZ34" s="20" t="n">
        <f aca="false">IF(BM34&gt;PR_BalDone,MIN(F_LoanPayM,BM34+BM34*(D_iL)),0)</f>
        <v>0</v>
      </c>
      <c r="CA34" s="20" t="n">
        <f aca="false">IF(BN34&gt;PR_BalDone,MIN(F_LoanPayM,BN34+BN34*(D_iL)),0)</f>
        <v>0</v>
      </c>
      <c r="CB34" s="20" t="n">
        <f aca="false">IF(BO34&gt;PR_BalDone,MIN(F_LoanPayM,BO34+BO34*(D_iL)),0)</f>
        <v>0</v>
      </c>
      <c r="CC34" s="20" t="n">
        <f aca="false">IF(BP34&gt;PR_BalDone,MIN(F_LoanPayM,BP34+BP34*(D_iL)),0)</f>
        <v>0</v>
      </c>
      <c r="CD34" s="20" t="n">
        <f aca="false">MAX(0,BQ34)</f>
        <v>0</v>
      </c>
      <c r="CE34" s="20" t="n">
        <f aca="false">SUM(BR34:CC34)</f>
        <v>0</v>
      </c>
      <c r="CF34" s="20" t="n">
        <f aca="false">IF(CF33&gt;1,DE33,CF33)</f>
        <v>0</v>
      </c>
      <c r="CG34" s="20" t="n">
        <f aca="false">IF(CF34&gt;PR_BalDone,CF34+CF34*(F_MR/12)-MIN(F_MortPayM,CF34+CF34*(F_MR/12)),CF34)</f>
        <v>0</v>
      </c>
      <c r="CH34" s="20" t="n">
        <f aca="false">IF(CG34&gt;PR_BalDone,CG34+CG34*(F_MR/12)-MIN(F_MortPayM,CG34+CG34*(F_MR/12)),CG34)</f>
        <v>0</v>
      </c>
      <c r="CI34" s="20" t="n">
        <f aca="false">IF(CH34&gt;PR_BalDone,CH34+CH34*(F_MR/12)-MIN(F_MortPayM,CH34+CH34*(F_MR/12)),CH34)</f>
        <v>0</v>
      </c>
      <c r="CJ34" s="20" t="n">
        <f aca="false">IF(CI34&gt;PR_BalDone,CI34+CI34*(F_MR/12)-MIN(F_MortPayM,CI34+CI34*(F_MR/12)),CI34)</f>
        <v>0</v>
      </c>
      <c r="CK34" s="20" t="n">
        <f aca="false">IF(CJ34&gt;PR_BalDone,CJ34+CJ34*(F_MR/12)-MIN(F_MortPayM,CJ34+CJ34*(F_MR/12)),CJ34)</f>
        <v>0</v>
      </c>
      <c r="CL34" s="20" t="n">
        <f aca="false">IF(CK34&gt;PR_BalDone,CK34+CK34*(F_MR/12)-MIN(F_MortPayM,CK34+CK34*(F_MR/12)),CK34)</f>
        <v>0</v>
      </c>
      <c r="CM34" s="20" t="n">
        <f aca="false">IF(CL34&gt;PR_BalDone,CL34+CL34*(F_MR/12)-MIN(F_MortPayM,CL34+CL34*(F_MR/12)),CL34)</f>
        <v>0</v>
      </c>
      <c r="CN34" s="20" t="n">
        <f aca="false">IF(CM34&gt;PR_BalDone,CM34+CM34*(F_MR/12)-MIN(F_MortPayM,CM34+CM34*(F_MR/12)),CM34)</f>
        <v>0</v>
      </c>
      <c r="CO34" s="20" t="n">
        <f aca="false">IF(CN34&gt;PR_BalDone,CN34+CN34*(F_MR/12)-MIN(F_MortPayM,CN34+CN34*(F_MR/12)),CN34)</f>
        <v>0</v>
      </c>
      <c r="CP34" s="20" t="n">
        <f aca="false">IF(CO34&gt;PR_BalDone,CO34+CO34*(F_MR/12)-MIN(F_MortPayM,CO34+CO34*(F_MR/12)),CO34)</f>
        <v>0</v>
      </c>
      <c r="CQ34" s="20" t="n">
        <f aca="false">IF(CP34&gt;PR_BalDone,CP34+CP34*(F_MR/12)-MIN(F_MortPayM,CP34+CP34*(F_MR/12)),CP34)</f>
        <v>0</v>
      </c>
      <c r="CR34" s="20" t="n">
        <f aca="false">IF(CQ34&gt;PR_BalDone,CQ34+CQ34*(F_MR/12)-MIN(F_MortPayM,CQ34+CQ34*(F_MR/12)),CQ34)</f>
        <v>0</v>
      </c>
      <c r="CS34" s="20" t="n">
        <f aca="false">IF(CF34&gt;PR_BalDone,MIN(F_MortPayM,CF34+CF34*(F_MR/12)),0)</f>
        <v>0</v>
      </c>
      <c r="CT34" s="20" t="n">
        <f aca="false">IF(CG34&gt;PR_BalDone,MIN(F_MortPayM,CG34+CG34*(F_MR/12)),0)</f>
        <v>0</v>
      </c>
      <c r="CU34" s="20" t="n">
        <f aca="false">IF(CH34&gt;PR_BalDone,MIN(F_MortPayM,CH34+CH34*(F_MR/12)),0)</f>
        <v>0</v>
      </c>
      <c r="CV34" s="20" t="n">
        <f aca="false">IF(CI34&gt;PR_BalDone,MIN(F_MortPayM,CI34+CI34*(F_MR/12)),0)</f>
        <v>0</v>
      </c>
      <c r="CW34" s="20" t="n">
        <f aca="false">IF(CJ34&gt;PR_BalDone,MIN(F_MortPayM,CJ34+CJ34*(F_MR/12)),0)</f>
        <v>0</v>
      </c>
      <c r="CX34" s="20" t="n">
        <f aca="false">IF(CK34&gt;PR_BalDone,MIN(F_MortPayM,CK34+CK34*(F_MR/12)),0)</f>
        <v>0</v>
      </c>
      <c r="CY34" s="20" t="n">
        <f aca="false">IF(CL34&gt;PR_BalDone,MIN(F_MortPayM,CL34+CL34*(F_MR/12)),0)</f>
        <v>0</v>
      </c>
      <c r="CZ34" s="20" t="n">
        <f aca="false">IF(CM34&gt;PR_BalDone,MIN(F_MortPayM,CM34+CM34*(F_MR/12)),0)</f>
        <v>0</v>
      </c>
      <c r="DA34" s="20" t="n">
        <f aca="false">IF(CN34&gt;PR_BalDone,MIN(F_MortPayM,CN34+CN34*(F_MR/12)),0)</f>
        <v>0</v>
      </c>
      <c r="DB34" s="20" t="n">
        <f aca="false">IF(CO34&gt;PR_BalDone,MIN(F_MortPayM,CO34+CO34*(F_MR/12)),0)</f>
        <v>0</v>
      </c>
      <c r="DC34" s="20" t="n">
        <f aca="false">IF(CP34&gt;PR_BalDone,MIN(F_MortPayM,CP34+CP34*(F_MR/12)),0)</f>
        <v>0</v>
      </c>
      <c r="DD34" s="20" t="n">
        <f aca="false">IF(CQ34&gt;PR_BalDone,MIN(F_MortPayM,CQ34+CQ34*(F_MR/12)),0)</f>
        <v>0</v>
      </c>
      <c r="DE34" s="20" t="n">
        <f aca="false">MAX(0,CR34)</f>
        <v>0</v>
      </c>
      <c r="DF34" s="20" t="n">
        <f aca="false">SUM(CS34:DD34)</f>
        <v>0</v>
      </c>
      <c r="DG34" s="20" t="n">
        <f aca="false">MAX(0,CF34)</f>
        <v>0</v>
      </c>
    </row>
    <row r="35" customFormat="false" ht="15" hidden="false" customHeight="true" outlineLevel="0" collapsed="false">
      <c r="B35" s="20" t="n">
        <v>27</v>
      </c>
      <c r="C35" s="20" t="n">
        <f aca="false">'Plan cashflow'!J35</f>
        <v>0</v>
      </c>
      <c r="D35" s="20" t="n">
        <f aca="false">IF(C35&gt;PR_BalDone,C35+C35*(F_MR/12)-MIN(F_MortPayM,C35+C35*(F_MR/12)),C35)</f>
        <v>0</v>
      </c>
      <c r="E35" s="20" t="n">
        <f aca="false">IF(D35&gt;PR_BalDone,D35+D35*(F_MR/12)-MIN(F_MortPayM,D35+D35*(F_MR/12)),D35)</f>
        <v>0</v>
      </c>
      <c r="F35" s="20" t="n">
        <f aca="false">IF(E35&gt;PR_BalDone,E35+E35*(F_MR/12)-MIN(F_MortPayM,E35+E35*(F_MR/12)),E35)</f>
        <v>0</v>
      </c>
      <c r="G35" s="20" t="n">
        <f aca="false">IF(F35&gt;PR_BalDone,F35+F35*(F_MR/12)-MIN(F_MortPayM,F35+F35*(F_MR/12)),F35)</f>
        <v>0</v>
      </c>
      <c r="H35" s="20" t="n">
        <f aca="false">IF(G35&gt;PR_BalDone,G35+G35*(F_MR/12)-MIN(F_MortPayM,G35+G35*(F_MR/12)),G35)</f>
        <v>0</v>
      </c>
      <c r="I35" s="20" t="n">
        <f aca="false">IF(H35&gt;PR_BalDone,H35+H35*(F_MR/12)-MIN(F_MortPayM,H35+H35*(F_MR/12)),H35)</f>
        <v>0</v>
      </c>
      <c r="J35" s="20" t="n">
        <f aca="false">IF(I35&gt;PR_BalDone,I35+I35*(F_MR/12)-MIN(F_MortPayM,I35+I35*(F_MR/12)),I35)</f>
        <v>0</v>
      </c>
      <c r="K35" s="20" t="n">
        <f aca="false">IF(J35&gt;PR_BalDone,J35+J35*(F_MR/12)-MIN(F_MortPayM,J35+J35*(F_MR/12)),J35)</f>
        <v>0</v>
      </c>
      <c r="L35" s="20" t="n">
        <f aca="false">IF(K35&gt;PR_BalDone,K35+K35*(F_MR/12)-MIN(F_MortPayM,K35+K35*(F_MR/12)),K35)</f>
        <v>0</v>
      </c>
      <c r="M35" s="20" t="n">
        <f aca="false">IF(L35&gt;PR_BalDone,L35+L35*(F_MR/12)-MIN(F_MortPayM,L35+L35*(F_MR/12)),L35)</f>
        <v>0</v>
      </c>
      <c r="N35" s="20" t="n">
        <f aca="false">IF(M35&gt;PR_BalDone,M35+M35*(F_MR/12)-MIN(F_MortPayM,M35+M35*(F_MR/12)),M35)</f>
        <v>0</v>
      </c>
      <c r="O35" s="20" t="n">
        <f aca="false">IF(N35&gt;PR_BalDone,N35+N35*(F_MR/12)-MIN(F_MortPayM,N35+N35*(F_MR/12)),N35)</f>
        <v>0</v>
      </c>
      <c r="P35" s="20" t="n">
        <f aca="false">IF(C35&gt;PR_BalDone,MIN(F_MortPayM,C35+C35*(F_MR/12)),0)</f>
        <v>0</v>
      </c>
      <c r="Q35" s="20" t="n">
        <f aca="false">IF(D35&gt;PR_BalDone,MIN(F_MortPayM,D35+D35*(F_MR/12)),0)</f>
        <v>0</v>
      </c>
      <c r="R35" s="20" t="n">
        <f aca="false">IF(E35&gt;PR_BalDone,MIN(F_MortPayM,E35+E35*(F_MR/12)),0)</f>
        <v>0</v>
      </c>
      <c r="S35" s="20" t="n">
        <f aca="false">IF(F35&gt;PR_BalDone,MIN(F_MortPayM,F35+F35*(F_MR/12)),0)</f>
        <v>0</v>
      </c>
      <c r="T35" s="20" t="n">
        <f aca="false">IF(G35&gt;PR_BalDone,MIN(F_MortPayM,G35+G35*(F_MR/12)),0)</f>
        <v>0</v>
      </c>
      <c r="U35" s="20" t="n">
        <f aca="false">IF(H35&gt;PR_BalDone,MIN(F_MortPayM,H35+H35*(F_MR/12)),0)</f>
        <v>0</v>
      </c>
      <c r="V35" s="20" t="n">
        <f aca="false">IF(I35&gt;PR_BalDone,MIN(F_MortPayM,I35+I35*(F_MR/12)),0)</f>
        <v>0</v>
      </c>
      <c r="W35" s="20" t="n">
        <f aca="false">IF(J35&gt;PR_BalDone,MIN(F_MortPayM,J35+J35*(F_MR/12)),0)</f>
        <v>0</v>
      </c>
      <c r="X35" s="20" t="n">
        <f aca="false">IF(K35&gt;PR_BalDone,MIN(F_MortPayM,K35+K35*(F_MR/12)),0)</f>
        <v>0</v>
      </c>
      <c r="Y35" s="20" t="n">
        <f aca="false">IF(L35&gt;PR_BalDone,MIN(F_MortPayM,L35+L35*(F_MR/12)),0)</f>
        <v>0</v>
      </c>
      <c r="Z35" s="20" t="n">
        <f aca="false">IF(M35&gt;PR_BalDone,MIN(F_MortPayM,M35+M35*(F_MR/12)),0)</f>
        <v>0</v>
      </c>
      <c r="AA35" s="20" t="n">
        <f aca="false">IF(N35&gt;PR_BalDone,MIN(F_MortPayM,N35+N35*(F_MR/12)),0)</f>
        <v>0</v>
      </c>
      <c r="AB35" s="20" t="n">
        <f aca="false">MAX(0,O35)</f>
        <v>0</v>
      </c>
      <c r="AC35" s="20" t="n">
        <f aca="false">SUM(P35:AA35)</f>
        <v>0</v>
      </c>
      <c r="AD35" s="20" t="n">
        <f aca="false">'Plan cashflow'!M35</f>
        <v>0</v>
      </c>
      <c r="AE35" s="20" t="n">
        <f aca="false">IF(AD35&gt;PR_BalDone,AD35+AD35*(D_iC)-MIN(F_CardPayM,AD35+AD35*(D_iC)),AD35)</f>
        <v>0</v>
      </c>
      <c r="AF35" s="20" t="n">
        <f aca="false">IF(AE35&gt;PR_BalDone,AE35+AE35*(D_iC)-MIN(F_CardPayM,AE35+AE35*(D_iC)),AE35)</f>
        <v>0</v>
      </c>
      <c r="AG35" s="20" t="n">
        <f aca="false">IF(AF35&gt;PR_BalDone,AF35+AF35*(D_iC)-MIN(F_CardPayM,AF35+AF35*(D_iC)),AF35)</f>
        <v>0</v>
      </c>
      <c r="AH35" s="20" t="n">
        <f aca="false">IF(AG35&gt;PR_BalDone,AG35+AG35*(D_iC)-MIN(F_CardPayM,AG35+AG35*(D_iC)),AG35)</f>
        <v>0</v>
      </c>
      <c r="AI35" s="20" t="n">
        <f aca="false">IF(AH35&gt;PR_BalDone,AH35+AH35*(D_iC)-MIN(F_CardPayM,AH35+AH35*(D_iC)),AH35)</f>
        <v>0</v>
      </c>
      <c r="AJ35" s="20" t="n">
        <f aca="false">IF(AI35&gt;PR_BalDone,AI35+AI35*(D_iC)-MIN(F_CardPayM,AI35+AI35*(D_iC)),AI35)</f>
        <v>0</v>
      </c>
      <c r="AK35" s="20" t="n">
        <f aca="false">IF(AJ35&gt;PR_BalDone,AJ35+AJ35*(D_iC)-MIN(F_CardPayM,AJ35+AJ35*(D_iC)),AJ35)</f>
        <v>0</v>
      </c>
      <c r="AL35" s="20" t="n">
        <f aca="false">IF(AK35&gt;PR_BalDone,AK35+AK35*(D_iC)-MIN(F_CardPayM,AK35+AK35*(D_iC)),AK35)</f>
        <v>0</v>
      </c>
      <c r="AM35" s="20" t="n">
        <f aca="false">IF(AL35&gt;PR_BalDone,AL35+AL35*(D_iC)-MIN(F_CardPayM,AL35+AL35*(D_iC)),AL35)</f>
        <v>0</v>
      </c>
      <c r="AN35" s="20" t="n">
        <f aca="false">IF(AM35&gt;PR_BalDone,AM35+AM35*(D_iC)-MIN(F_CardPayM,AM35+AM35*(D_iC)),AM35)</f>
        <v>0</v>
      </c>
      <c r="AO35" s="20" t="n">
        <f aca="false">IF(AN35&gt;PR_BalDone,AN35+AN35*(D_iC)-MIN(F_CardPayM,AN35+AN35*(D_iC)),AN35)</f>
        <v>0</v>
      </c>
      <c r="AP35" s="20" t="n">
        <f aca="false">IF(AO35&gt;PR_BalDone,AO35+AO35*(D_iC)-MIN(F_CardPayM,AO35+AO35*(D_iC)),AO35)</f>
        <v>0</v>
      </c>
      <c r="AQ35" s="20" t="n">
        <f aca="false">IF(AD35&gt;PR_BalDone,MIN(F_CardPayM,AD35+AD35*(D_iC)),0)</f>
        <v>0</v>
      </c>
      <c r="AR35" s="20" t="n">
        <f aca="false">IF(AE35&gt;PR_BalDone,MIN(F_CardPayM,AE35+AE35*(D_iC)),0)</f>
        <v>0</v>
      </c>
      <c r="AS35" s="20" t="n">
        <f aca="false">IF(AF35&gt;PR_BalDone,MIN(F_CardPayM,AF35+AF35*(D_iC)),0)</f>
        <v>0</v>
      </c>
      <c r="AT35" s="20" t="n">
        <f aca="false">IF(AG35&gt;PR_BalDone,MIN(F_CardPayM,AG35+AG35*(D_iC)),0)</f>
        <v>0</v>
      </c>
      <c r="AU35" s="20" t="n">
        <f aca="false">IF(AH35&gt;PR_BalDone,MIN(F_CardPayM,AH35+AH35*(D_iC)),0)</f>
        <v>0</v>
      </c>
      <c r="AV35" s="20" t="n">
        <f aca="false">IF(AI35&gt;PR_BalDone,MIN(F_CardPayM,AI35+AI35*(D_iC)),0)</f>
        <v>0</v>
      </c>
      <c r="AW35" s="20" t="n">
        <f aca="false">IF(AJ35&gt;PR_BalDone,MIN(F_CardPayM,AJ35+AJ35*(D_iC)),0)</f>
        <v>0</v>
      </c>
      <c r="AX35" s="20" t="n">
        <f aca="false">IF(AK35&gt;PR_BalDone,MIN(F_CardPayM,AK35+AK35*(D_iC)),0)</f>
        <v>0</v>
      </c>
      <c r="AY35" s="20" t="n">
        <f aca="false">IF(AL35&gt;PR_BalDone,MIN(F_CardPayM,AL35+AL35*(D_iC)),0)</f>
        <v>0</v>
      </c>
      <c r="AZ35" s="20" t="n">
        <f aca="false">IF(AM35&gt;PR_BalDone,MIN(F_CardPayM,AM35+AM35*(D_iC)),0)</f>
        <v>0</v>
      </c>
      <c r="BA35" s="20" t="n">
        <f aca="false">IF(AN35&gt;PR_BalDone,MIN(F_CardPayM,AN35+AN35*(D_iC)),0)</f>
        <v>0</v>
      </c>
      <c r="BB35" s="20" t="n">
        <f aca="false">IF(AO35&gt;PR_BalDone,MIN(F_CardPayM,AO35+AO35*(D_iC)),0)</f>
        <v>0</v>
      </c>
      <c r="BC35" s="20" t="n">
        <f aca="false">MAX(0,AP35)</f>
        <v>0</v>
      </c>
      <c r="BD35" s="20" t="n">
        <f aca="false">SUM(AQ35:BB35)</f>
        <v>0</v>
      </c>
      <c r="BE35" s="20" t="n">
        <f aca="false">'Plan cashflow'!P35</f>
        <v>0</v>
      </c>
      <c r="BF35" s="20" t="n">
        <f aca="false">IF(BE35&gt;PR_BalDone,BE35+BE35*(D_iL)-MIN(F_LoanPayM,BE35+BE35*(D_iL)),BE35)</f>
        <v>0</v>
      </c>
      <c r="BG35" s="20" t="n">
        <f aca="false">IF(BF35&gt;PR_BalDone,BF35+BF35*(D_iL)-MIN(F_LoanPayM,BF35+BF35*(D_iL)),BF35)</f>
        <v>0</v>
      </c>
      <c r="BH35" s="20" t="n">
        <f aca="false">IF(BG35&gt;PR_BalDone,BG35+BG35*(D_iL)-MIN(F_LoanPayM,BG35+BG35*(D_iL)),BG35)</f>
        <v>0</v>
      </c>
      <c r="BI35" s="20" t="n">
        <f aca="false">IF(BH35&gt;PR_BalDone,BH35+BH35*(D_iL)-MIN(F_LoanPayM,BH35+BH35*(D_iL)),BH35)</f>
        <v>0</v>
      </c>
      <c r="BJ35" s="20" t="n">
        <f aca="false">IF(BI35&gt;PR_BalDone,BI35+BI35*(D_iL)-MIN(F_LoanPayM,BI35+BI35*(D_iL)),BI35)</f>
        <v>0</v>
      </c>
      <c r="BK35" s="20" t="n">
        <f aca="false">IF(BJ35&gt;PR_BalDone,BJ35+BJ35*(D_iL)-MIN(F_LoanPayM,BJ35+BJ35*(D_iL)),BJ35)</f>
        <v>0</v>
      </c>
      <c r="BL35" s="20" t="n">
        <f aca="false">IF(BK35&gt;PR_BalDone,BK35+BK35*(D_iL)-MIN(F_LoanPayM,BK35+BK35*(D_iL)),BK35)</f>
        <v>0</v>
      </c>
      <c r="BM35" s="20" t="n">
        <f aca="false">IF(BL35&gt;PR_BalDone,BL35+BL35*(D_iL)-MIN(F_LoanPayM,BL35+BL35*(D_iL)),BL35)</f>
        <v>0</v>
      </c>
      <c r="BN35" s="20" t="n">
        <f aca="false">IF(BM35&gt;PR_BalDone,BM35+BM35*(D_iL)-MIN(F_LoanPayM,BM35+BM35*(D_iL)),BM35)</f>
        <v>0</v>
      </c>
      <c r="BO35" s="20" t="n">
        <f aca="false">IF(BN35&gt;PR_BalDone,BN35+BN35*(D_iL)-MIN(F_LoanPayM,BN35+BN35*(D_iL)),BN35)</f>
        <v>0</v>
      </c>
      <c r="BP35" s="20" t="n">
        <f aca="false">IF(BO35&gt;PR_BalDone,BO35+BO35*(D_iL)-MIN(F_LoanPayM,BO35+BO35*(D_iL)),BO35)</f>
        <v>0</v>
      </c>
      <c r="BQ35" s="20" t="n">
        <f aca="false">IF(BP35&gt;PR_BalDone,BP35+BP35*(D_iL)-MIN(F_LoanPayM,BP35+BP35*(D_iL)),BP35)</f>
        <v>0</v>
      </c>
      <c r="BR35" s="20" t="n">
        <f aca="false">IF(BE35&gt;PR_BalDone,MIN(F_LoanPayM,BE35+BE35*(D_iL)),0)</f>
        <v>0</v>
      </c>
      <c r="BS35" s="20" t="n">
        <f aca="false">IF(BF35&gt;PR_BalDone,MIN(F_LoanPayM,BF35+BF35*(D_iL)),0)</f>
        <v>0</v>
      </c>
      <c r="BT35" s="20" t="n">
        <f aca="false">IF(BG35&gt;PR_BalDone,MIN(F_LoanPayM,BG35+BG35*(D_iL)),0)</f>
        <v>0</v>
      </c>
      <c r="BU35" s="20" t="n">
        <f aca="false">IF(BH35&gt;PR_BalDone,MIN(F_LoanPayM,BH35+BH35*(D_iL)),0)</f>
        <v>0</v>
      </c>
      <c r="BV35" s="20" t="n">
        <f aca="false">IF(BI35&gt;PR_BalDone,MIN(F_LoanPayM,BI35+BI35*(D_iL)),0)</f>
        <v>0</v>
      </c>
      <c r="BW35" s="20" t="n">
        <f aca="false">IF(BJ35&gt;PR_BalDone,MIN(F_LoanPayM,BJ35+BJ35*(D_iL)),0)</f>
        <v>0</v>
      </c>
      <c r="BX35" s="20" t="n">
        <f aca="false">IF(BK35&gt;PR_BalDone,MIN(F_LoanPayM,BK35+BK35*(D_iL)),0)</f>
        <v>0</v>
      </c>
      <c r="BY35" s="20" t="n">
        <f aca="false">IF(BL35&gt;PR_BalDone,MIN(F_LoanPayM,BL35+BL35*(D_iL)),0)</f>
        <v>0</v>
      </c>
      <c r="BZ35" s="20" t="n">
        <f aca="false">IF(BM35&gt;PR_BalDone,MIN(F_LoanPayM,BM35+BM35*(D_iL)),0)</f>
        <v>0</v>
      </c>
      <c r="CA35" s="20" t="n">
        <f aca="false">IF(BN35&gt;PR_BalDone,MIN(F_LoanPayM,BN35+BN35*(D_iL)),0)</f>
        <v>0</v>
      </c>
      <c r="CB35" s="20" t="n">
        <f aca="false">IF(BO35&gt;PR_BalDone,MIN(F_LoanPayM,BO35+BO35*(D_iL)),0)</f>
        <v>0</v>
      </c>
      <c r="CC35" s="20" t="n">
        <f aca="false">IF(BP35&gt;PR_BalDone,MIN(F_LoanPayM,BP35+BP35*(D_iL)),0)</f>
        <v>0</v>
      </c>
      <c r="CD35" s="20" t="n">
        <f aca="false">MAX(0,BQ35)</f>
        <v>0</v>
      </c>
      <c r="CE35" s="20" t="n">
        <f aca="false">SUM(BR35:CC35)</f>
        <v>0</v>
      </c>
      <c r="CF35" s="20" t="n">
        <f aca="false">IF(CF34&gt;1,DE34,CF34)</f>
        <v>0</v>
      </c>
      <c r="CG35" s="20" t="n">
        <f aca="false">IF(CF35&gt;PR_BalDone,CF35+CF35*(F_MR/12)-MIN(F_MortPayM,CF35+CF35*(F_MR/12)),CF35)</f>
        <v>0</v>
      </c>
      <c r="CH35" s="20" t="n">
        <f aca="false">IF(CG35&gt;PR_BalDone,CG35+CG35*(F_MR/12)-MIN(F_MortPayM,CG35+CG35*(F_MR/12)),CG35)</f>
        <v>0</v>
      </c>
      <c r="CI35" s="20" t="n">
        <f aca="false">IF(CH35&gt;PR_BalDone,CH35+CH35*(F_MR/12)-MIN(F_MortPayM,CH35+CH35*(F_MR/12)),CH35)</f>
        <v>0</v>
      </c>
      <c r="CJ35" s="20" t="n">
        <f aca="false">IF(CI35&gt;PR_BalDone,CI35+CI35*(F_MR/12)-MIN(F_MortPayM,CI35+CI35*(F_MR/12)),CI35)</f>
        <v>0</v>
      </c>
      <c r="CK35" s="20" t="n">
        <f aca="false">IF(CJ35&gt;PR_BalDone,CJ35+CJ35*(F_MR/12)-MIN(F_MortPayM,CJ35+CJ35*(F_MR/12)),CJ35)</f>
        <v>0</v>
      </c>
      <c r="CL35" s="20" t="n">
        <f aca="false">IF(CK35&gt;PR_BalDone,CK35+CK35*(F_MR/12)-MIN(F_MortPayM,CK35+CK35*(F_MR/12)),CK35)</f>
        <v>0</v>
      </c>
      <c r="CM35" s="20" t="n">
        <f aca="false">IF(CL35&gt;PR_BalDone,CL35+CL35*(F_MR/12)-MIN(F_MortPayM,CL35+CL35*(F_MR/12)),CL35)</f>
        <v>0</v>
      </c>
      <c r="CN35" s="20" t="n">
        <f aca="false">IF(CM35&gt;PR_BalDone,CM35+CM35*(F_MR/12)-MIN(F_MortPayM,CM35+CM35*(F_MR/12)),CM35)</f>
        <v>0</v>
      </c>
      <c r="CO35" s="20" t="n">
        <f aca="false">IF(CN35&gt;PR_BalDone,CN35+CN35*(F_MR/12)-MIN(F_MortPayM,CN35+CN35*(F_MR/12)),CN35)</f>
        <v>0</v>
      </c>
      <c r="CP35" s="20" t="n">
        <f aca="false">IF(CO35&gt;PR_BalDone,CO35+CO35*(F_MR/12)-MIN(F_MortPayM,CO35+CO35*(F_MR/12)),CO35)</f>
        <v>0</v>
      </c>
      <c r="CQ35" s="20" t="n">
        <f aca="false">IF(CP35&gt;PR_BalDone,CP35+CP35*(F_MR/12)-MIN(F_MortPayM,CP35+CP35*(F_MR/12)),CP35)</f>
        <v>0</v>
      </c>
      <c r="CR35" s="20" t="n">
        <f aca="false">IF(CQ35&gt;PR_BalDone,CQ35+CQ35*(F_MR/12)-MIN(F_MortPayM,CQ35+CQ35*(F_MR/12)),CQ35)</f>
        <v>0</v>
      </c>
      <c r="CS35" s="20" t="n">
        <f aca="false">IF(CF35&gt;PR_BalDone,MIN(F_MortPayM,CF35+CF35*(F_MR/12)),0)</f>
        <v>0</v>
      </c>
      <c r="CT35" s="20" t="n">
        <f aca="false">IF(CG35&gt;PR_BalDone,MIN(F_MortPayM,CG35+CG35*(F_MR/12)),0)</f>
        <v>0</v>
      </c>
      <c r="CU35" s="20" t="n">
        <f aca="false">IF(CH35&gt;PR_BalDone,MIN(F_MortPayM,CH35+CH35*(F_MR/12)),0)</f>
        <v>0</v>
      </c>
      <c r="CV35" s="20" t="n">
        <f aca="false">IF(CI35&gt;PR_BalDone,MIN(F_MortPayM,CI35+CI35*(F_MR/12)),0)</f>
        <v>0</v>
      </c>
      <c r="CW35" s="20" t="n">
        <f aca="false">IF(CJ35&gt;PR_BalDone,MIN(F_MortPayM,CJ35+CJ35*(F_MR/12)),0)</f>
        <v>0</v>
      </c>
      <c r="CX35" s="20" t="n">
        <f aca="false">IF(CK35&gt;PR_BalDone,MIN(F_MortPayM,CK35+CK35*(F_MR/12)),0)</f>
        <v>0</v>
      </c>
      <c r="CY35" s="20" t="n">
        <f aca="false">IF(CL35&gt;PR_BalDone,MIN(F_MortPayM,CL35+CL35*(F_MR/12)),0)</f>
        <v>0</v>
      </c>
      <c r="CZ35" s="20" t="n">
        <f aca="false">IF(CM35&gt;PR_BalDone,MIN(F_MortPayM,CM35+CM35*(F_MR/12)),0)</f>
        <v>0</v>
      </c>
      <c r="DA35" s="20" t="n">
        <f aca="false">IF(CN35&gt;PR_BalDone,MIN(F_MortPayM,CN35+CN35*(F_MR/12)),0)</f>
        <v>0</v>
      </c>
      <c r="DB35" s="20" t="n">
        <f aca="false">IF(CO35&gt;PR_BalDone,MIN(F_MortPayM,CO35+CO35*(F_MR/12)),0)</f>
        <v>0</v>
      </c>
      <c r="DC35" s="20" t="n">
        <f aca="false">IF(CP35&gt;PR_BalDone,MIN(F_MortPayM,CP35+CP35*(F_MR/12)),0)</f>
        <v>0</v>
      </c>
      <c r="DD35" s="20" t="n">
        <f aca="false">IF(CQ35&gt;PR_BalDone,MIN(F_MortPayM,CQ35+CQ35*(F_MR/12)),0)</f>
        <v>0</v>
      </c>
      <c r="DE35" s="20" t="n">
        <f aca="false">MAX(0,CR35)</f>
        <v>0</v>
      </c>
      <c r="DF35" s="20" t="n">
        <f aca="false">SUM(CS35:DD35)</f>
        <v>0</v>
      </c>
      <c r="DG35" s="20" t="n">
        <f aca="false">MAX(0,CF35)</f>
        <v>0</v>
      </c>
    </row>
    <row r="36" customFormat="false" ht="15" hidden="false" customHeight="true" outlineLevel="0" collapsed="false">
      <c r="B36" s="20" t="n">
        <v>28</v>
      </c>
      <c r="C36" s="20" t="n">
        <f aca="false">'Plan cashflow'!J36</f>
        <v>0</v>
      </c>
      <c r="D36" s="20" t="n">
        <f aca="false">IF(C36&gt;PR_BalDone,C36+C36*(F_MR/12)-MIN(F_MortPayM,C36+C36*(F_MR/12)),C36)</f>
        <v>0</v>
      </c>
      <c r="E36" s="20" t="n">
        <f aca="false">IF(D36&gt;PR_BalDone,D36+D36*(F_MR/12)-MIN(F_MortPayM,D36+D36*(F_MR/12)),D36)</f>
        <v>0</v>
      </c>
      <c r="F36" s="20" t="n">
        <f aca="false">IF(E36&gt;PR_BalDone,E36+E36*(F_MR/12)-MIN(F_MortPayM,E36+E36*(F_MR/12)),E36)</f>
        <v>0</v>
      </c>
      <c r="G36" s="20" t="n">
        <f aca="false">IF(F36&gt;PR_BalDone,F36+F36*(F_MR/12)-MIN(F_MortPayM,F36+F36*(F_MR/12)),F36)</f>
        <v>0</v>
      </c>
      <c r="H36" s="20" t="n">
        <f aca="false">IF(G36&gt;PR_BalDone,G36+G36*(F_MR/12)-MIN(F_MortPayM,G36+G36*(F_MR/12)),G36)</f>
        <v>0</v>
      </c>
      <c r="I36" s="20" t="n">
        <f aca="false">IF(H36&gt;PR_BalDone,H36+H36*(F_MR/12)-MIN(F_MortPayM,H36+H36*(F_MR/12)),H36)</f>
        <v>0</v>
      </c>
      <c r="J36" s="20" t="n">
        <f aca="false">IF(I36&gt;PR_BalDone,I36+I36*(F_MR/12)-MIN(F_MortPayM,I36+I36*(F_MR/12)),I36)</f>
        <v>0</v>
      </c>
      <c r="K36" s="20" t="n">
        <f aca="false">IF(J36&gt;PR_BalDone,J36+J36*(F_MR/12)-MIN(F_MortPayM,J36+J36*(F_MR/12)),J36)</f>
        <v>0</v>
      </c>
      <c r="L36" s="20" t="n">
        <f aca="false">IF(K36&gt;PR_BalDone,K36+K36*(F_MR/12)-MIN(F_MortPayM,K36+K36*(F_MR/12)),K36)</f>
        <v>0</v>
      </c>
      <c r="M36" s="20" t="n">
        <f aca="false">IF(L36&gt;PR_BalDone,L36+L36*(F_MR/12)-MIN(F_MortPayM,L36+L36*(F_MR/12)),L36)</f>
        <v>0</v>
      </c>
      <c r="N36" s="20" t="n">
        <f aca="false">IF(M36&gt;PR_BalDone,M36+M36*(F_MR/12)-MIN(F_MortPayM,M36+M36*(F_MR/12)),M36)</f>
        <v>0</v>
      </c>
      <c r="O36" s="20" t="n">
        <f aca="false">IF(N36&gt;PR_BalDone,N36+N36*(F_MR/12)-MIN(F_MortPayM,N36+N36*(F_MR/12)),N36)</f>
        <v>0</v>
      </c>
      <c r="P36" s="20" t="n">
        <f aca="false">IF(C36&gt;PR_BalDone,MIN(F_MortPayM,C36+C36*(F_MR/12)),0)</f>
        <v>0</v>
      </c>
      <c r="Q36" s="20" t="n">
        <f aca="false">IF(D36&gt;PR_BalDone,MIN(F_MortPayM,D36+D36*(F_MR/12)),0)</f>
        <v>0</v>
      </c>
      <c r="R36" s="20" t="n">
        <f aca="false">IF(E36&gt;PR_BalDone,MIN(F_MortPayM,E36+E36*(F_MR/12)),0)</f>
        <v>0</v>
      </c>
      <c r="S36" s="20" t="n">
        <f aca="false">IF(F36&gt;PR_BalDone,MIN(F_MortPayM,F36+F36*(F_MR/12)),0)</f>
        <v>0</v>
      </c>
      <c r="T36" s="20" t="n">
        <f aca="false">IF(G36&gt;PR_BalDone,MIN(F_MortPayM,G36+G36*(F_MR/12)),0)</f>
        <v>0</v>
      </c>
      <c r="U36" s="20" t="n">
        <f aca="false">IF(H36&gt;PR_BalDone,MIN(F_MortPayM,H36+H36*(F_MR/12)),0)</f>
        <v>0</v>
      </c>
      <c r="V36" s="20" t="n">
        <f aca="false">IF(I36&gt;PR_BalDone,MIN(F_MortPayM,I36+I36*(F_MR/12)),0)</f>
        <v>0</v>
      </c>
      <c r="W36" s="20" t="n">
        <f aca="false">IF(J36&gt;PR_BalDone,MIN(F_MortPayM,J36+J36*(F_MR/12)),0)</f>
        <v>0</v>
      </c>
      <c r="X36" s="20" t="n">
        <f aca="false">IF(K36&gt;PR_BalDone,MIN(F_MortPayM,K36+K36*(F_MR/12)),0)</f>
        <v>0</v>
      </c>
      <c r="Y36" s="20" t="n">
        <f aca="false">IF(L36&gt;PR_BalDone,MIN(F_MortPayM,L36+L36*(F_MR/12)),0)</f>
        <v>0</v>
      </c>
      <c r="Z36" s="20" t="n">
        <f aca="false">IF(M36&gt;PR_BalDone,MIN(F_MortPayM,M36+M36*(F_MR/12)),0)</f>
        <v>0</v>
      </c>
      <c r="AA36" s="20" t="n">
        <f aca="false">IF(N36&gt;PR_BalDone,MIN(F_MortPayM,N36+N36*(F_MR/12)),0)</f>
        <v>0</v>
      </c>
      <c r="AB36" s="20" t="n">
        <f aca="false">MAX(0,O36)</f>
        <v>0</v>
      </c>
      <c r="AC36" s="20" t="n">
        <f aca="false">SUM(P36:AA36)</f>
        <v>0</v>
      </c>
      <c r="AD36" s="20" t="n">
        <f aca="false">'Plan cashflow'!M36</f>
        <v>0</v>
      </c>
      <c r="AE36" s="20" t="n">
        <f aca="false">IF(AD36&gt;PR_BalDone,AD36+AD36*(D_iC)-MIN(F_CardPayM,AD36+AD36*(D_iC)),AD36)</f>
        <v>0</v>
      </c>
      <c r="AF36" s="20" t="n">
        <f aca="false">IF(AE36&gt;PR_BalDone,AE36+AE36*(D_iC)-MIN(F_CardPayM,AE36+AE36*(D_iC)),AE36)</f>
        <v>0</v>
      </c>
      <c r="AG36" s="20" t="n">
        <f aca="false">IF(AF36&gt;PR_BalDone,AF36+AF36*(D_iC)-MIN(F_CardPayM,AF36+AF36*(D_iC)),AF36)</f>
        <v>0</v>
      </c>
      <c r="AH36" s="20" t="n">
        <f aca="false">IF(AG36&gt;PR_BalDone,AG36+AG36*(D_iC)-MIN(F_CardPayM,AG36+AG36*(D_iC)),AG36)</f>
        <v>0</v>
      </c>
      <c r="AI36" s="20" t="n">
        <f aca="false">IF(AH36&gt;PR_BalDone,AH36+AH36*(D_iC)-MIN(F_CardPayM,AH36+AH36*(D_iC)),AH36)</f>
        <v>0</v>
      </c>
      <c r="AJ36" s="20" t="n">
        <f aca="false">IF(AI36&gt;PR_BalDone,AI36+AI36*(D_iC)-MIN(F_CardPayM,AI36+AI36*(D_iC)),AI36)</f>
        <v>0</v>
      </c>
      <c r="AK36" s="20" t="n">
        <f aca="false">IF(AJ36&gt;PR_BalDone,AJ36+AJ36*(D_iC)-MIN(F_CardPayM,AJ36+AJ36*(D_iC)),AJ36)</f>
        <v>0</v>
      </c>
      <c r="AL36" s="20" t="n">
        <f aca="false">IF(AK36&gt;PR_BalDone,AK36+AK36*(D_iC)-MIN(F_CardPayM,AK36+AK36*(D_iC)),AK36)</f>
        <v>0</v>
      </c>
      <c r="AM36" s="20" t="n">
        <f aca="false">IF(AL36&gt;PR_BalDone,AL36+AL36*(D_iC)-MIN(F_CardPayM,AL36+AL36*(D_iC)),AL36)</f>
        <v>0</v>
      </c>
      <c r="AN36" s="20" t="n">
        <f aca="false">IF(AM36&gt;PR_BalDone,AM36+AM36*(D_iC)-MIN(F_CardPayM,AM36+AM36*(D_iC)),AM36)</f>
        <v>0</v>
      </c>
      <c r="AO36" s="20" t="n">
        <f aca="false">IF(AN36&gt;PR_BalDone,AN36+AN36*(D_iC)-MIN(F_CardPayM,AN36+AN36*(D_iC)),AN36)</f>
        <v>0</v>
      </c>
      <c r="AP36" s="20" t="n">
        <f aca="false">IF(AO36&gt;PR_BalDone,AO36+AO36*(D_iC)-MIN(F_CardPayM,AO36+AO36*(D_iC)),AO36)</f>
        <v>0</v>
      </c>
      <c r="AQ36" s="20" t="n">
        <f aca="false">IF(AD36&gt;PR_BalDone,MIN(F_CardPayM,AD36+AD36*(D_iC)),0)</f>
        <v>0</v>
      </c>
      <c r="AR36" s="20" t="n">
        <f aca="false">IF(AE36&gt;PR_BalDone,MIN(F_CardPayM,AE36+AE36*(D_iC)),0)</f>
        <v>0</v>
      </c>
      <c r="AS36" s="20" t="n">
        <f aca="false">IF(AF36&gt;PR_BalDone,MIN(F_CardPayM,AF36+AF36*(D_iC)),0)</f>
        <v>0</v>
      </c>
      <c r="AT36" s="20" t="n">
        <f aca="false">IF(AG36&gt;PR_BalDone,MIN(F_CardPayM,AG36+AG36*(D_iC)),0)</f>
        <v>0</v>
      </c>
      <c r="AU36" s="20" t="n">
        <f aca="false">IF(AH36&gt;PR_BalDone,MIN(F_CardPayM,AH36+AH36*(D_iC)),0)</f>
        <v>0</v>
      </c>
      <c r="AV36" s="20" t="n">
        <f aca="false">IF(AI36&gt;PR_BalDone,MIN(F_CardPayM,AI36+AI36*(D_iC)),0)</f>
        <v>0</v>
      </c>
      <c r="AW36" s="20" t="n">
        <f aca="false">IF(AJ36&gt;PR_BalDone,MIN(F_CardPayM,AJ36+AJ36*(D_iC)),0)</f>
        <v>0</v>
      </c>
      <c r="AX36" s="20" t="n">
        <f aca="false">IF(AK36&gt;PR_BalDone,MIN(F_CardPayM,AK36+AK36*(D_iC)),0)</f>
        <v>0</v>
      </c>
      <c r="AY36" s="20" t="n">
        <f aca="false">IF(AL36&gt;PR_BalDone,MIN(F_CardPayM,AL36+AL36*(D_iC)),0)</f>
        <v>0</v>
      </c>
      <c r="AZ36" s="20" t="n">
        <f aca="false">IF(AM36&gt;PR_BalDone,MIN(F_CardPayM,AM36+AM36*(D_iC)),0)</f>
        <v>0</v>
      </c>
      <c r="BA36" s="20" t="n">
        <f aca="false">IF(AN36&gt;PR_BalDone,MIN(F_CardPayM,AN36+AN36*(D_iC)),0)</f>
        <v>0</v>
      </c>
      <c r="BB36" s="20" t="n">
        <f aca="false">IF(AO36&gt;PR_BalDone,MIN(F_CardPayM,AO36+AO36*(D_iC)),0)</f>
        <v>0</v>
      </c>
      <c r="BC36" s="20" t="n">
        <f aca="false">MAX(0,AP36)</f>
        <v>0</v>
      </c>
      <c r="BD36" s="20" t="n">
        <f aca="false">SUM(AQ36:BB36)</f>
        <v>0</v>
      </c>
      <c r="BE36" s="20" t="n">
        <f aca="false">'Plan cashflow'!P36</f>
        <v>0</v>
      </c>
      <c r="BF36" s="20" t="n">
        <f aca="false">IF(BE36&gt;PR_BalDone,BE36+BE36*(D_iL)-MIN(F_LoanPayM,BE36+BE36*(D_iL)),BE36)</f>
        <v>0</v>
      </c>
      <c r="BG36" s="20" t="n">
        <f aca="false">IF(BF36&gt;PR_BalDone,BF36+BF36*(D_iL)-MIN(F_LoanPayM,BF36+BF36*(D_iL)),BF36)</f>
        <v>0</v>
      </c>
      <c r="BH36" s="20" t="n">
        <f aca="false">IF(BG36&gt;PR_BalDone,BG36+BG36*(D_iL)-MIN(F_LoanPayM,BG36+BG36*(D_iL)),BG36)</f>
        <v>0</v>
      </c>
      <c r="BI36" s="20" t="n">
        <f aca="false">IF(BH36&gt;PR_BalDone,BH36+BH36*(D_iL)-MIN(F_LoanPayM,BH36+BH36*(D_iL)),BH36)</f>
        <v>0</v>
      </c>
      <c r="BJ36" s="20" t="n">
        <f aca="false">IF(BI36&gt;PR_BalDone,BI36+BI36*(D_iL)-MIN(F_LoanPayM,BI36+BI36*(D_iL)),BI36)</f>
        <v>0</v>
      </c>
      <c r="BK36" s="20" t="n">
        <f aca="false">IF(BJ36&gt;PR_BalDone,BJ36+BJ36*(D_iL)-MIN(F_LoanPayM,BJ36+BJ36*(D_iL)),BJ36)</f>
        <v>0</v>
      </c>
      <c r="BL36" s="20" t="n">
        <f aca="false">IF(BK36&gt;PR_BalDone,BK36+BK36*(D_iL)-MIN(F_LoanPayM,BK36+BK36*(D_iL)),BK36)</f>
        <v>0</v>
      </c>
      <c r="BM36" s="20" t="n">
        <f aca="false">IF(BL36&gt;PR_BalDone,BL36+BL36*(D_iL)-MIN(F_LoanPayM,BL36+BL36*(D_iL)),BL36)</f>
        <v>0</v>
      </c>
      <c r="BN36" s="20" t="n">
        <f aca="false">IF(BM36&gt;PR_BalDone,BM36+BM36*(D_iL)-MIN(F_LoanPayM,BM36+BM36*(D_iL)),BM36)</f>
        <v>0</v>
      </c>
      <c r="BO36" s="20" t="n">
        <f aca="false">IF(BN36&gt;PR_BalDone,BN36+BN36*(D_iL)-MIN(F_LoanPayM,BN36+BN36*(D_iL)),BN36)</f>
        <v>0</v>
      </c>
      <c r="BP36" s="20" t="n">
        <f aca="false">IF(BO36&gt;PR_BalDone,BO36+BO36*(D_iL)-MIN(F_LoanPayM,BO36+BO36*(D_iL)),BO36)</f>
        <v>0</v>
      </c>
      <c r="BQ36" s="20" t="n">
        <f aca="false">IF(BP36&gt;PR_BalDone,BP36+BP36*(D_iL)-MIN(F_LoanPayM,BP36+BP36*(D_iL)),BP36)</f>
        <v>0</v>
      </c>
      <c r="BR36" s="20" t="n">
        <f aca="false">IF(BE36&gt;PR_BalDone,MIN(F_LoanPayM,BE36+BE36*(D_iL)),0)</f>
        <v>0</v>
      </c>
      <c r="BS36" s="20" t="n">
        <f aca="false">IF(BF36&gt;PR_BalDone,MIN(F_LoanPayM,BF36+BF36*(D_iL)),0)</f>
        <v>0</v>
      </c>
      <c r="BT36" s="20" t="n">
        <f aca="false">IF(BG36&gt;PR_BalDone,MIN(F_LoanPayM,BG36+BG36*(D_iL)),0)</f>
        <v>0</v>
      </c>
      <c r="BU36" s="20" t="n">
        <f aca="false">IF(BH36&gt;PR_BalDone,MIN(F_LoanPayM,BH36+BH36*(D_iL)),0)</f>
        <v>0</v>
      </c>
      <c r="BV36" s="20" t="n">
        <f aca="false">IF(BI36&gt;PR_BalDone,MIN(F_LoanPayM,BI36+BI36*(D_iL)),0)</f>
        <v>0</v>
      </c>
      <c r="BW36" s="20" t="n">
        <f aca="false">IF(BJ36&gt;PR_BalDone,MIN(F_LoanPayM,BJ36+BJ36*(D_iL)),0)</f>
        <v>0</v>
      </c>
      <c r="BX36" s="20" t="n">
        <f aca="false">IF(BK36&gt;PR_BalDone,MIN(F_LoanPayM,BK36+BK36*(D_iL)),0)</f>
        <v>0</v>
      </c>
      <c r="BY36" s="20" t="n">
        <f aca="false">IF(BL36&gt;PR_BalDone,MIN(F_LoanPayM,BL36+BL36*(D_iL)),0)</f>
        <v>0</v>
      </c>
      <c r="BZ36" s="20" t="n">
        <f aca="false">IF(BM36&gt;PR_BalDone,MIN(F_LoanPayM,BM36+BM36*(D_iL)),0)</f>
        <v>0</v>
      </c>
      <c r="CA36" s="20" t="n">
        <f aca="false">IF(BN36&gt;PR_BalDone,MIN(F_LoanPayM,BN36+BN36*(D_iL)),0)</f>
        <v>0</v>
      </c>
      <c r="CB36" s="20" t="n">
        <f aca="false">IF(BO36&gt;PR_BalDone,MIN(F_LoanPayM,BO36+BO36*(D_iL)),0)</f>
        <v>0</v>
      </c>
      <c r="CC36" s="20" t="n">
        <f aca="false">IF(BP36&gt;PR_BalDone,MIN(F_LoanPayM,BP36+BP36*(D_iL)),0)</f>
        <v>0</v>
      </c>
      <c r="CD36" s="20" t="n">
        <f aca="false">MAX(0,BQ36)</f>
        <v>0</v>
      </c>
      <c r="CE36" s="20" t="n">
        <f aca="false">SUM(BR36:CC36)</f>
        <v>0</v>
      </c>
      <c r="CF36" s="20" t="n">
        <f aca="false">IF(CF35&gt;1,DE35,CF35)</f>
        <v>0</v>
      </c>
      <c r="CG36" s="20" t="n">
        <f aca="false">IF(CF36&gt;PR_BalDone,CF36+CF36*(F_MR/12)-MIN(F_MortPayM,CF36+CF36*(F_MR/12)),CF36)</f>
        <v>0</v>
      </c>
      <c r="CH36" s="20" t="n">
        <f aca="false">IF(CG36&gt;PR_BalDone,CG36+CG36*(F_MR/12)-MIN(F_MortPayM,CG36+CG36*(F_MR/12)),CG36)</f>
        <v>0</v>
      </c>
      <c r="CI36" s="20" t="n">
        <f aca="false">IF(CH36&gt;PR_BalDone,CH36+CH36*(F_MR/12)-MIN(F_MortPayM,CH36+CH36*(F_MR/12)),CH36)</f>
        <v>0</v>
      </c>
      <c r="CJ36" s="20" t="n">
        <f aca="false">IF(CI36&gt;PR_BalDone,CI36+CI36*(F_MR/12)-MIN(F_MortPayM,CI36+CI36*(F_MR/12)),CI36)</f>
        <v>0</v>
      </c>
      <c r="CK36" s="20" t="n">
        <f aca="false">IF(CJ36&gt;PR_BalDone,CJ36+CJ36*(F_MR/12)-MIN(F_MortPayM,CJ36+CJ36*(F_MR/12)),CJ36)</f>
        <v>0</v>
      </c>
      <c r="CL36" s="20" t="n">
        <f aca="false">IF(CK36&gt;PR_BalDone,CK36+CK36*(F_MR/12)-MIN(F_MortPayM,CK36+CK36*(F_MR/12)),CK36)</f>
        <v>0</v>
      </c>
      <c r="CM36" s="20" t="n">
        <f aca="false">IF(CL36&gt;PR_BalDone,CL36+CL36*(F_MR/12)-MIN(F_MortPayM,CL36+CL36*(F_MR/12)),CL36)</f>
        <v>0</v>
      </c>
      <c r="CN36" s="20" t="n">
        <f aca="false">IF(CM36&gt;PR_BalDone,CM36+CM36*(F_MR/12)-MIN(F_MortPayM,CM36+CM36*(F_MR/12)),CM36)</f>
        <v>0</v>
      </c>
      <c r="CO36" s="20" t="n">
        <f aca="false">IF(CN36&gt;PR_BalDone,CN36+CN36*(F_MR/12)-MIN(F_MortPayM,CN36+CN36*(F_MR/12)),CN36)</f>
        <v>0</v>
      </c>
      <c r="CP36" s="20" t="n">
        <f aca="false">IF(CO36&gt;PR_BalDone,CO36+CO36*(F_MR/12)-MIN(F_MortPayM,CO36+CO36*(F_MR/12)),CO36)</f>
        <v>0</v>
      </c>
      <c r="CQ36" s="20" t="n">
        <f aca="false">IF(CP36&gt;PR_BalDone,CP36+CP36*(F_MR/12)-MIN(F_MortPayM,CP36+CP36*(F_MR/12)),CP36)</f>
        <v>0</v>
      </c>
      <c r="CR36" s="20" t="n">
        <f aca="false">IF(CQ36&gt;PR_BalDone,CQ36+CQ36*(F_MR/12)-MIN(F_MortPayM,CQ36+CQ36*(F_MR/12)),CQ36)</f>
        <v>0</v>
      </c>
      <c r="CS36" s="20" t="n">
        <f aca="false">IF(CF36&gt;PR_BalDone,MIN(F_MortPayM,CF36+CF36*(F_MR/12)),0)</f>
        <v>0</v>
      </c>
      <c r="CT36" s="20" t="n">
        <f aca="false">IF(CG36&gt;PR_BalDone,MIN(F_MortPayM,CG36+CG36*(F_MR/12)),0)</f>
        <v>0</v>
      </c>
      <c r="CU36" s="20" t="n">
        <f aca="false">IF(CH36&gt;PR_BalDone,MIN(F_MortPayM,CH36+CH36*(F_MR/12)),0)</f>
        <v>0</v>
      </c>
      <c r="CV36" s="20" t="n">
        <f aca="false">IF(CI36&gt;PR_BalDone,MIN(F_MortPayM,CI36+CI36*(F_MR/12)),0)</f>
        <v>0</v>
      </c>
      <c r="CW36" s="20" t="n">
        <f aca="false">IF(CJ36&gt;PR_BalDone,MIN(F_MortPayM,CJ36+CJ36*(F_MR/12)),0)</f>
        <v>0</v>
      </c>
      <c r="CX36" s="20" t="n">
        <f aca="false">IF(CK36&gt;PR_BalDone,MIN(F_MortPayM,CK36+CK36*(F_MR/12)),0)</f>
        <v>0</v>
      </c>
      <c r="CY36" s="20" t="n">
        <f aca="false">IF(CL36&gt;PR_BalDone,MIN(F_MortPayM,CL36+CL36*(F_MR/12)),0)</f>
        <v>0</v>
      </c>
      <c r="CZ36" s="20" t="n">
        <f aca="false">IF(CM36&gt;PR_BalDone,MIN(F_MortPayM,CM36+CM36*(F_MR/12)),0)</f>
        <v>0</v>
      </c>
      <c r="DA36" s="20" t="n">
        <f aca="false">IF(CN36&gt;PR_BalDone,MIN(F_MortPayM,CN36+CN36*(F_MR/12)),0)</f>
        <v>0</v>
      </c>
      <c r="DB36" s="20" t="n">
        <f aca="false">IF(CO36&gt;PR_BalDone,MIN(F_MortPayM,CO36+CO36*(F_MR/12)),0)</f>
        <v>0</v>
      </c>
      <c r="DC36" s="20" t="n">
        <f aca="false">IF(CP36&gt;PR_BalDone,MIN(F_MortPayM,CP36+CP36*(F_MR/12)),0)</f>
        <v>0</v>
      </c>
      <c r="DD36" s="20" t="n">
        <f aca="false">IF(CQ36&gt;PR_BalDone,MIN(F_MortPayM,CQ36+CQ36*(F_MR/12)),0)</f>
        <v>0</v>
      </c>
      <c r="DE36" s="20" t="n">
        <f aca="false">MAX(0,CR36)</f>
        <v>0</v>
      </c>
      <c r="DF36" s="20" t="n">
        <f aca="false">SUM(CS36:DD36)</f>
        <v>0</v>
      </c>
      <c r="DG36" s="20" t="n">
        <f aca="false">MAX(0,CF36)</f>
        <v>0</v>
      </c>
    </row>
    <row r="37" customFormat="false" ht="15" hidden="false" customHeight="true" outlineLevel="0" collapsed="false">
      <c r="B37" s="20" t="n">
        <v>29</v>
      </c>
      <c r="C37" s="20" t="n">
        <f aca="false">'Plan cashflow'!J37</f>
        <v>0</v>
      </c>
      <c r="D37" s="20" t="n">
        <f aca="false">IF(C37&gt;PR_BalDone,C37+C37*(F_MR/12)-MIN(F_MortPayM,C37+C37*(F_MR/12)),C37)</f>
        <v>0</v>
      </c>
      <c r="E37" s="20" t="n">
        <f aca="false">IF(D37&gt;PR_BalDone,D37+D37*(F_MR/12)-MIN(F_MortPayM,D37+D37*(F_MR/12)),D37)</f>
        <v>0</v>
      </c>
      <c r="F37" s="20" t="n">
        <f aca="false">IF(E37&gt;PR_BalDone,E37+E37*(F_MR/12)-MIN(F_MortPayM,E37+E37*(F_MR/12)),E37)</f>
        <v>0</v>
      </c>
      <c r="G37" s="20" t="n">
        <f aca="false">IF(F37&gt;PR_BalDone,F37+F37*(F_MR/12)-MIN(F_MortPayM,F37+F37*(F_MR/12)),F37)</f>
        <v>0</v>
      </c>
      <c r="H37" s="20" t="n">
        <f aca="false">IF(G37&gt;PR_BalDone,G37+G37*(F_MR/12)-MIN(F_MortPayM,G37+G37*(F_MR/12)),G37)</f>
        <v>0</v>
      </c>
      <c r="I37" s="20" t="n">
        <f aca="false">IF(H37&gt;PR_BalDone,H37+H37*(F_MR/12)-MIN(F_MortPayM,H37+H37*(F_MR/12)),H37)</f>
        <v>0</v>
      </c>
      <c r="J37" s="20" t="n">
        <f aca="false">IF(I37&gt;PR_BalDone,I37+I37*(F_MR/12)-MIN(F_MortPayM,I37+I37*(F_MR/12)),I37)</f>
        <v>0</v>
      </c>
      <c r="K37" s="20" t="n">
        <f aca="false">IF(J37&gt;PR_BalDone,J37+J37*(F_MR/12)-MIN(F_MortPayM,J37+J37*(F_MR/12)),J37)</f>
        <v>0</v>
      </c>
      <c r="L37" s="20" t="n">
        <f aca="false">IF(K37&gt;PR_BalDone,K37+K37*(F_MR/12)-MIN(F_MortPayM,K37+K37*(F_MR/12)),K37)</f>
        <v>0</v>
      </c>
      <c r="M37" s="20" t="n">
        <f aca="false">IF(L37&gt;PR_BalDone,L37+L37*(F_MR/12)-MIN(F_MortPayM,L37+L37*(F_MR/12)),L37)</f>
        <v>0</v>
      </c>
      <c r="N37" s="20" t="n">
        <f aca="false">IF(M37&gt;PR_BalDone,M37+M37*(F_MR/12)-MIN(F_MortPayM,M37+M37*(F_MR/12)),M37)</f>
        <v>0</v>
      </c>
      <c r="O37" s="20" t="n">
        <f aca="false">IF(N37&gt;PR_BalDone,N37+N37*(F_MR/12)-MIN(F_MortPayM,N37+N37*(F_MR/12)),N37)</f>
        <v>0</v>
      </c>
      <c r="P37" s="20" t="n">
        <f aca="false">IF(C37&gt;PR_BalDone,MIN(F_MortPayM,C37+C37*(F_MR/12)),0)</f>
        <v>0</v>
      </c>
      <c r="Q37" s="20" t="n">
        <f aca="false">IF(D37&gt;PR_BalDone,MIN(F_MortPayM,D37+D37*(F_MR/12)),0)</f>
        <v>0</v>
      </c>
      <c r="R37" s="20" t="n">
        <f aca="false">IF(E37&gt;PR_BalDone,MIN(F_MortPayM,E37+E37*(F_MR/12)),0)</f>
        <v>0</v>
      </c>
      <c r="S37" s="20" t="n">
        <f aca="false">IF(F37&gt;PR_BalDone,MIN(F_MortPayM,F37+F37*(F_MR/12)),0)</f>
        <v>0</v>
      </c>
      <c r="T37" s="20" t="n">
        <f aca="false">IF(G37&gt;PR_BalDone,MIN(F_MortPayM,G37+G37*(F_MR/12)),0)</f>
        <v>0</v>
      </c>
      <c r="U37" s="20" t="n">
        <f aca="false">IF(H37&gt;PR_BalDone,MIN(F_MortPayM,H37+H37*(F_MR/12)),0)</f>
        <v>0</v>
      </c>
      <c r="V37" s="20" t="n">
        <f aca="false">IF(I37&gt;PR_BalDone,MIN(F_MortPayM,I37+I37*(F_MR/12)),0)</f>
        <v>0</v>
      </c>
      <c r="W37" s="20" t="n">
        <f aca="false">IF(J37&gt;PR_BalDone,MIN(F_MortPayM,J37+J37*(F_MR/12)),0)</f>
        <v>0</v>
      </c>
      <c r="X37" s="20" t="n">
        <f aca="false">IF(K37&gt;PR_BalDone,MIN(F_MortPayM,K37+K37*(F_MR/12)),0)</f>
        <v>0</v>
      </c>
      <c r="Y37" s="20" t="n">
        <f aca="false">IF(L37&gt;PR_BalDone,MIN(F_MortPayM,L37+L37*(F_MR/12)),0)</f>
        <v>0</v>
      </c>
      <c r="Z37" s="20" t="n">
        <f aca="false">IF(M37&gt;PR_BalDone,MIN(F_MortPayM,M37+M37*(F_MR/12)),0)</f>
        <v>0</v>
      </c>
      <c r="AA37" s="20" t="n">
        <f aca="false">IF(N37&gt;PR_BalDone,MIN(F_MortPayM,N37+N37*(F_MR/12)),0)</f>
        <v>0</v>
      </c>
      <c r="AB37" s="20" t="n">
        <f aca="false">MAX(0,O37)</f>
        <v>0</v>
      </c>
      <c r="AC37" s="20" t="n">
        <f aca="false">SUM(P37:AA37)</f>
        <v>0</v>
      </c>
      <c r="AD37" s="20" t="n">
        <f aca="false">'Plan cashflow'!M37</f>
        <v>0</v>
      </c>
      <c r="AE37" s="20" t="n">
        <f aca="false">IF(AD37&gt;PR_BalDone,AD37+AD37*(D_iC)-MIN(F_CardPayM,AD37+AD37*(D_iC)),AD37)</f>
        <v>0</v>
      </c>
      <c r="AF37" s="20" t="n">
        <f aca="false">IF(AE37&gt;PR_BalDone,AE37+AE37*(D_iC)-MIN(F_CardPayM,AE37+AE37*(D_iC)),AE37)</f>
        <v>0</v>
      </c>
      <c r="AG37" s="20" t="n">
        <f aca="false">IF(AF37&gt;PR_BalDone,AF37+AF37*(D_iC)-MIN(F_CardPayM,AF37+AF37*(D_iC)),AF37)</f>
        <v>0</v>
      </c>
      <c r="AH37" s="20" t="n">
        <f aca="false">IF(AG37&gt;PR_BalDone,AG37+AG37*(D_iC)-MIN(F_CardPayM,AG37+AG37*(D_iC)),AG37)</f>
        <v>0</v>
      </c>
      <c r="AI37" s="20" t="n">
        <f aca="false">IF(AH37&gt;PR_BalDone,AH37+AH37*(D_iC)-MIN(F_CardPayM,AH37+AH37*(D_iC)),AH37)</f>
        <v>0</v>
      </c>
      <c r="AJ37" s="20" t="n">
        <f aca="false">IF(AI37&gt;PR_BalDone,AI37+AI37*(D_iC)-MIN(F_CardPayM,AI37+AI37*(D_iC)),AI37)</f>
        <v>0</v>
      </c>
      <c r="AK37" s="20" t="n">
        <f aca="false">IF(AJ37&gt;PR_BalDone,AJ37+AJ37*(D_iC)-MIN(F_CardPayM,AJ37+AJ37*(D_iC)),AJ37)</f>
        <v>0</v>
      </c>
      <c r="AL37" s="20" t="n">
        <f aca="false">IF(AK37&gt;PR_BalDone,AK37+AK37*(D_iC)-MIN(F_CardPayM,AK37+AK37*(D_iC)),AK37)</f>
        <v>0</v>
      </c>
      <c r="AM37" s="20" t="n">
        <f aca="false">IF(AL37&gt;PR_BalDone,AL37+AL37*(D_iC)-MIN(F_CardPayM,AL37+AL37*(D_iC)),AL37)</f>
        <v>0</v>
      </c>
      <c r="AN37" s="20" t="n">
        <f aca="false">IF(AM37&gt;PR_BalDone,AM37+AM37*(D_iC)-MIN(F_CardPayM,AM37+AM37*(D_iC)),AM37)</f>
        <v>0</v>
      </c>
      <c r="AO37" s="20" t="n">
        <f aca="false">IF(AN37&gt;PR_BalDone,AN37+AN37*(D_iC)-MIN(F_CardPayM,AN37+AN37*(D_iC)),AN37)</f>
        <v>0</v>
      </c>
      <c r="AP37" s="20" t="n">
        <f aca="false">IF(AO37&gt;PR_BalDone,AO37+AO37*(D_iC)-MIN(F_CardPayM,AO37+AO37*(D_iC)),AO37)</f>
        <v>0</v>
      </c>
      <c r="AQ37" s="20" t="n">
        <f aca="false">IF(AD37&gt;PR_BalDone,MIN(F_CardPayM,AD37+AD37*(D_iC)),0)</f>
        <v>0</v>
      </c>
      <c r="AR37" s="20" t="n">
        <f aca="false">IF(AE37&gt;PR_BalDone,MIN(F_CardPayM,AE37+AE37*(D_iC)),0)</f>
        <v>0</v>
      </c>
      <c r="AS37" s="20" t="n">
        <f aca="false">IF(AF37&gt;PR_BalDone,MIN(F_CardPayM,AF37+AF37*(D_iC)),0)</f>
        <v>0</v>
      </c>
      <c r="AT37" s="20" t="n">
        <f aca="false">IF(AG37&gt;PR_BalDone,MIN(F_CardPayM,AG37+AG37*(D_iC)),0)</f>
        <v>0</v>
      </c>
      <c r="AU37" s="20" t="n">
        <f aca="false">IF(AH37&gt;PR_BalDone,MIN(F_CardPayM,AH37+AH37*(D_iC)),0)</f>
        <v>0</v>
      </c>
      <c r="AV37" s="20" t="n">
        <f aca="false">IF(AI37&gt;PR_BalDone,MIN(F_CardPayM,AI37+AI37*(D_iC)),0)</f>
        <v>0</v>
      </c>
      <c r="AW37" s="20" t="n">
        <f aca="false">IF(AJ37&gt;PR_BalDone,MIN(F_CardPayM,AJ37+AJ37*(D_iC)),0)</f>
        <v>0</v>
      </c>
      <c r="AX37" s="20" t="n">
        <f aca="false">IF(AK37&gt;PR_BalDone,MIN(F_CardPayM,AK37+AK37*(D_iC)),0)</f>
        <v>0</v>
      </c>
      <c r="AY37" s="20" t="n">
        <f aca="false">IF(AL37&gt;PR_BalDone,MIN(F_CardPayM,AL37+AL37*(D_iC)),0)</f>
        <v>0</v>
      </c>
      <c r="AZ37" s="20" t="n">
        <f aca="false">IF(AM37&gt;PR_BalDone,MIN(F_CardPayM,AM37+AM37*(D_iC)),0)</f>
        <v>0</v>
      </c>
      <c r="BA37" s="20" t="n">
        <f aca="false">IF(AN37&gt;PR_BalDone,MIN(F_CardPayM,AN37+AN37*(D_iC)),0)</f>
        <v>0</v>
      </c>
      <c r="BB37" s="20" t="n">
        <f aca="false">IF(AO37&gt;PR_BalDone,MIN(F_CardPayM,AO37+AO37*(D_iC)),0)</f>
        <v>0</v>
      </c>
      <c r="BC37" s="20" t="n">
        <f aca="false">MAX(0,AP37)</f>
        <v>0</v>
      </c>
      <c r="BD37" s="20" t="n">
        <f aca="false">SUM(AQ37:BB37)</f>
        <v>0</v>
      </c>
      <c r="BE37" s="20" t="n">
        <f aca="false">'Plan cashflow'!P37</f>
        <v>0</v>
      </c>
      <c r="BF37" s="20" t="n">
        <f aca="false">IF(BE37&gt;PR_BalDone,BE37+BE37*(D_iL)-MIN(F_LoanPayM,BE37+BE37*(D_iL)),BE37)</f>
        <v>0</v>
      </c>
      <c r="BG37" s="20" t="n">
        <f aca="false">IF(BF37&gt;PR_BalDone,BF37+BF37*(D_iL)-MIN(F_LoanPayM,BF37+BF37*(D_iL)),BF37)</f>
        <v>0</v>
      </c>
      <c r="BH37" s="20" t="n">
        <f aca="false">IF(BG37&gt;PR_BalDone,BG37+BG37*(D_iL)-MIN(F_LoanPayM,BG37+BG37*(D_iL)),BG37)</f>
        <v>0</v>
      </c>
      <c r="BI37" s="20" t="n">
        <f aca="false">IF(BH37&gt;PR_BalDone,BH37+BH37*(D_iL)-MIN(F_LoanPayM,BH37+BH37*(D_iL)),BH37)</f>
        <v>0</v>
      </c>
      <c r="BJ37" s="20" t="n">
        <f aca="false">IF(BI37&gt;PR_BalDone,BI37+BI37*(D_iL)-MIN(F_LoanPayM,BI37+BI37*(D_iL)),BI37)</f>
        <v>0</v>
      </c>
      <c r="BK37" s="20" t="n">
        <f aca="false">IF(BJ37&gt;PR_BalDone,BJ37+BJ37*(D_iL)-MIN(F_LoanPayM,BJ37+BJ37*(D_iL)),BJ37)</f>
        <v>0</v>
      </c>
      <c r="BL37" s="20" t="n">
        <f aca="false">IF(BK37&gt;PR_BalDone,BK37+BK37*(D_iL)-MIN(F_LoanPayM,BK37+BK37*(D_iL)),BK37)</f>
        <v>0</v>
      </c>
      <c r="BM37" s="20" t="n">
        <f aca="false">IF(BL37&gt;PR_BalDone,BL37+BL37*(D_iL)-MIN(F_LoanPayM,BL37+BL37*(D_iL)),BL37)</f>
        <v>0</v>
      </c>
      <c r="BN37" s="20" t="n">
        <f aca="false">IF(BM37&gt;PR_BalDone,BM37+BM37*(D_iL)-MIN(F_LoanPayM,BM37+BM37*(D_iL)),BM37)</f>
        <v>0</v>
      </c>
      <c r="BO37" s="20" t="n">
        <f aca="false">IF(BN37&gt;PR_BalDone,BN37+BN37*(D_iL)-MIN(F_LoanPayM,BN37+BN37*(D_iL)),BN37)</f>
        <v>0</v>
      </c>
      <c r="BP37" s="20" t="n">
        <f aca="false">IF(BO37&gt;PR_BalDone,BO37+BO37*(D_iL)-MIN(F_LoanPayM,BO37+BO37*(D_iL)),BO37)</f>
        <v>0</v>
      </c>
      <c r="BQ37" s="20" t="n">
        <f aca="false">IF(BP37&gt;PR_BalDone,BP37+BP37*(D_iL)-MIN(F_LoanPayM,BP37+BP37*(D_iL)),BP37)</f>
        <v>0</v>
      </c>
      <c r="BR37" s="20" t="n">
        <f aca="false">IF(BE37&gt;PR_BalDone,MIN(F_LoanPayM,BE37+BE37*(D_iL)),0)</f>
        <v>0</v>
      </c>
      <c r="BS37" s="20" t="n">
        <f aca="false">IF(BF37&gt;PR_BalDone,MIN(F_LoanPayM,BF37+BF37*(D_iL)),0)</f>
        <v>0</v>
      </c>
      <c r="BT37" s="20" t="n">
        <f aca="false">IF(BG37&gt;PR_BalDone,MIN(F_LoanPayM,BG37+BG37*(D_iL)),0)</f>
        <v>0</v>
      </c>
      <c r="BU37" s="20" t="n">
        <f aca="false">IF(BH37&gt;PR_BalDone,MIN(F_LoanPayM,BH37+BH37*(D_iL)),0)</f>
        <v>0</v>
      </c>
      <c r="BV37" s="20" t="n">
        <f aca="false">IF(BI37&gt;PR_BalDone,MIN(F_LoanPayM,BI37+BI37*(D_iL)),0)</f>
        <v>0</v>
      </c>
      <c r="BW37" s="20" t="n">
        <f aca="false">IF(BJ37&gt;PR_BalDone,MIN(F_LoanPayM,BJ37+BJ37*(D_iL)),0)</f>
        <v>0</v>
      </c>
      <c r="BX37" s="20" t="n">
        <f aca="false">IF(BK37&gt;PR_BalDone,MIN(F_LoanPayM,BK37+BK37*(D_iL)),0)</f>
        <v>0</v>
      </c>
      <c r="BY37" s="20" t="n">
        <f aca="false">IF(BL37&gt;PR_BalDone,MIN(F_LoanPayM,BL37+BL37*(D_iL)),0)</f>
        <v>0</v>
      </c>
      <c r="BZ37" s="20" t="n">
        <f aca="false">IF(BM37&gt;PR_BalDone,MIN(F_LoanPayM,BM37+BM37*(D_iL)),0)</f>
        <v>0</v>
      </c>
      <c r="CA37" s="20" t="n">
        <f aca="false">IF(BN37&gt;PR_BalDone,MIN(F_LoanPayM,BN37+BN37*(D_iL)),0)</f>
        <v>0</v>
      </c>
      <c r="CB37" s="20" t="n">
        <f aca="false">IF(BO37&gt;PR_BalDone,MIN(F_LoanPayM,BO37+BO37*(D_iL)),0)</f>
        <v>0</v>
      </c>
      <c r="CC37" s="20" t="n">
        <f aca="false">IF(BP37&gt;PR_BalDone,MIN(F_LoanPayM,BP37+BP37*(D_iL)),0)</f>
        <v>0</v>
      </c>
      <c r="CD37" s="20" t="n">
        <f aca="false">MAX(0,BQ37)</f>
        <v>0</v>
      </c>
      <c r="CE37" s="20" t="n">
        <f aca="false">SUM(BR37:CC37)</f>
        <v>0</v>
      </c>
      <c r="CF37" s="20" t="n">
        <f aca="false">IF(CF36&gt;1,DE36,CF36)</f>
        <v>0</v>
      </c>
      <c r="CG37" s="20" t="n">
        <f aca="false">IF(CF37&gt;PR_BalDone,CF37+CF37*(F_MR/12)-MIN(F_MortPayM,CF37+CF37*(F_MR/12)),CF37)</f>
        <v>0</v>
      </c>
      <c r="CH37" s="20" t="n">
        <f aca="false">IF(CG37&gt;PR_BalDone,CG37+CG37*(F_MR/12)-MIN(F_MortPayM,CG37+CG37*(F_MR/12)),CG37)</f>
        <v>0</v>
      </c>
      <c r="CI37" s="20" t="n">
        <f aca="false">IF(CH37&gt;PR_BalDone,CH37+CH37*(F_MR/12)-MIN(F_MortPayM,CH37+CH37*(F_MR/12)),CH37)</f>
        <v>0</v>
      </c>
      <c r="CJ37" s="20" t="n">
        <f aca="false">IF(CI37&gt;PR_BalDone,CI37+CI37*(F_MR/12)-MIN(F_MortPayM,CI37+CI37*(F_MR/12)),CI37)</f>
        <v>0</v>
      </c>
      <c r="CK37" s="20" t="n">
        <f aca="false">IF(CJ37&gt;PR_BalDone,CJ37+CJ37*(F_MR/12)-MIN(F_MortPayM,CJ37+CJ37*(F_MR/12)),CJ37)</f>
        <v>0</v>
      </c>
      <c r="CL37" s="20" t="n">
        <f aca="false">IF(CK37&gt;PR_BalDone,CK37+CK37*(F_MR/12)-MIN(F_MortPayM,CK37+CK37*(F_MR/12)),CK37)</f>
        <v>0</v>
      </c>
      <c r="CM37" s="20" t="n">
        <f aca="false">IF(CL37&gt;PR_BalDone,CL37+CL37*(F_MR/12)-MIN(F_MortPayM,CL37+CL37*(F_MR/12)),CL37)</f>
        <v>0</v>
      </c>
      <c r="CN37" s="20" t="n">
        <f aca="false">IF(CM37&gt;PR_BalDone,CM37+CM37*(F_MR/12)-MIN(F_MortPayM,CM37+CM37*(F_MR/12)),CM37)</f>
        <v>0</v>
      </c>
      <c r="CO37" s="20" t="n">
        <f aca="false">IF(CN37&gt;PR_BalDone,CN37+CN37*(F_MR/12)-MIN(F_MortPayM,CN37+CN37*(F_MR/12)),CN37)</f>
        <v>0</v>
      </c>
      <c r="CP37" s="20" t="n">
        <f aca="false">IF(CO37&gt;PR_BalDone,CO37+CO37*(F_MR/12)-MIN(F_MortPayM,CO37+CO37*(F_MR/12)),CO37)</f>
        <v>0</v>
      </c>
      <c r="CQ37" s="20" t="n">
        <f aca="false">IF(CP37&gt;PR_BalDone,CP37+CP37*(F_MR/12)-MIN(F_MortPayM,CP37+CP37*(F_MR/12)),CP37)</f>
        <v>0</v>
      </c>
      <c r="CR37" s="20" t="n">
        <f aca="false">IF(CQ37&gt;PR_BalDone,CQ37+CQ37*(F_MR/12)-MIN(F_MortPayM,CQ37+CQ37*(F_MR/12)),CQ37)</f>
        <v>0</v>
      </c>
      <c r="CS37" s="20" t="n">
        <f aca="false">IF(CF37&gt;PR_BalDone,MIN(F_MortPayM,CF37+CF37*(F_MR/12)),0)</f>
        <v>0</v>
      </c>
      <c r="CT37" s="20" t="n">
        <f aca="false">IF(CG37&gt;PR_BalDone,MIN(F_MortPayM,CG37+CG37*(F_MR/12)),0)</f>
        <v>0</v>
      </c>
      <c r="CU37" s="20" t="n">
        <f aca="false">IF(CH37&gt;PR_BalDone,MIN(F_MortPayM,CH37+CH37*(F_MR/12)),0)</f>
        <v>0</v>
      </c>
      <c r="CV37" s="20" t="n">
        <f aca="false">IF(CI37&gt;PR_BalDone,MIN(F_MortPayM,CI37+CI37*(F_MR/12)),0)</f>
        <v>0</v>
      </c>
      <c r="CW37" s="20" t="n">
        <f aca="false">IF(CJ37&gt;PR_BalDone,MIN(F_MortPayM,CJ37+CJ37*(F_MR/12)),0)</f>
        <v>0</v>
      </c>
      <c r="CX37" s="20" t="n">
        <f aca="false">IF(CK37&gt;PR_BalDone,MIN(F_MortPayM,CK37+CK37*(F_MR/12)),0)</f>
        <v>0</v>
      </c>
      <c r="CY37" s="20" t="n">
        <f aca="false">IF(CL37&gt;PR_BalDone,MIN(F_MortPayM,CL37+CL37*(F_MR/12)),0)</f>
        <v>0</v>
      </c>
      <c r="CZ37" s="20" t="n">
        <f aca="false">IF(CM37&gt;PR_BalDone,MIN(F_MortPayM,CM37+CM37*(F_MR/12)),0)</f>
        <v>0</v>
      </c>
      <c r="DA37" s="20" t="n">
        <f aca="false">IF(CN37&gt;PR_BalDone,MIN(F_MortPayM,CN37+CN37*(F_MR/12)),0)</f>
        <v>0</v>
      </c>
      <c r="DB37" s="20" t="n">
        <f aca="false">IF(CO37&gt;PR_BalDone,MIN(F_MortPayM,CO37+CO37*(F_MR/12)),0)</f>
        <v>0</v>
      </c>
      <c r="DC37" s="20" t="n">
        <f aca="false">IF(CP37&gt;PR_BalDone,MIN(F_MortPayM,CP37+CP37*(F_MR/12)),0)</f>
        <v>0</v>
      </c>
      <c r="DD37" s="20" t="n">
        <f aca="false">IF(CQ37&gt;PR_BalDone,MIN(F_MortPayM,CQ37+CQ37*(F_MR/12)),0)</f>
        <v>0</v>
      </c>
      <c r="DE37" s="20" t="n">
        <f aca="false">MAX(0,CR37)</f>
        <v>0</v>
      </c>
      <c r="DF37" s="20" t="n">
        <f aca="false">SUM(CS37:DD37)</f>
        <v>0</v>
      </c>
      <c r="DG37" s="20" t="n">
        <f aca="false">MAX(0,CF37)</f>
        <v>0</v>
      </c>
    </row>
    <row r="38" customFormat="false" ht="15" hidden="false" customHeight="true" outlineLevel="0" collapsed="false">
      <c r="B38" s="20" t="n">
        <v>30</v>
      </c>
      <c r="C38" s="20" t="n">
        <f aca="false">'Plan cashflow'!J38</f>
        <v>0</v>
      </c>
      <c r="D38" s="20" t="n">
        <f aca="false">IF(C38&gt;PR_BalDone,C38+C38*(F_MR/12)-MIN(F_MortPayM,C38+C38*(F_MR/12)),C38)</f>
        <v>0</v>
      </c>
      <c r="E38" s="20" t="n">
        <f aca="false">IF(D38&gt;PR_BalDone,D38+D38*(F_MR/12)-MIN(F_MortPayM,D38+D38*(F_MR/12)),D38)</f>
        <v>0</v>
      </c>
      <c r="F38" s="20" t="n">
        <f aca="false">IF(E38&gt;PR_BalDone,E38+E38*(F_MR/12)-MIN(F_MortPayM,E38+E38*(F_MR/12)),E38)</f>
        <v>0</v>
      </c>
      <c r="G38" s="20" t="n">
        <f aca="false">IF(F38&gt;PR_BalDone,F38+F38*(F_MR/12)-MIN(F_MortPayM,F38+F38*(F_MR/12)),F38)</f>
        <v>0</v>
      </c>
      <c r="H38" s="20" t="n">
        <f aca="false">IF(G38&gt;PR_BalDone,G38+G38*(F_MR/12)-MIN(F_MortPayM,G38+G38*(F_MR/12)),G38)</f>
        <v>0</v>
      </c>
      <c r="I38" s="20" t="n">
        <f aca="false">IF(H38&gt;PR_BalDone,H38+H38*(F_MR/12)-MIN(F_MortPayM,H38+H38*(F_MR/12)),H38)</f>
        <v>0</v>
      </c>
      <c r="J38" s="20" t="n">
        <f aca="false">IF(I38&gt;PR_BalDone,I38+I38*(F_MR/12)-MIN(F_MortPayM,I38+I38*(F_MR/12)),I38)</f>
        <v>0</v>
      </c>
      <c r="K38" s="20" t="n">
        <f aca="false">IF(J38&gt;PR_BalDone,J38+J38*(F_MR/12)-MIN(F_MortPayM,J38+J38*(F_MR/12)),J38)</f>
        <v>0</v>
      </c>
      <c r="L38" s="20" t="n">
        <f aca="false">IF(K38&gt;PR_BalDone,K38+K38*(F_MR/12)-MIN(F_MortPayM,K38+K38*(F_MR/12)),K38)</f>
        <v>0</v>
      </c>
      <c r="M38" s="20" t="n">
        <f aca="false">IF(L38&gt;PR_BalDone,L38+L38*(F_MR/12)-MIN(F_MortPayM,L38+L38*(F_MR/12)),L38)</f>
        <v>0</v>
      </c>
      <c r="N38" s="20" t="n">
        <f aca="false">IF(M38&gt;PR_BalDone,M38+M38*(F_MR/12)-MIN(F_MortPayM,M38+M38*(F_MR/12)),M38)</f>
        <v>0</v>
      </c>
      <c r="O38" s="20" t="n">
        <f aca="false">IF(N38&gt;PR_BalDone,N38+N38*(F_MR/12)-MIN(F_MortPayM,N38+N38*(F_MR/12)),N38)</f>
        <v>0</v>
      </c>
      <c r="P38" s="20" t="n">
        <f aca="false">IF(C38&gt;PR_BalDone,MIN(F_MortPayM,C38+C38*(F_MR/12)),0)</f>
        <v>0</v>
      </c>
      <c r="Q38" s="20" t="n">
        <f aca="false">IF(D38&gt;PR_BalDone,MIN(F_MortPayM,D38+D38*(F_MR/12)),0)</f>
        <v>0</v>
      </c>
      <c r="R38" s="20" t="n">
        <f aca="false">IF(E38&gt;PR_BalDone,MIN(F_MortPayM,E38+E38*(F_MR/12)),0)</f>
        <v>0</v>
      </c>
      <c r="S38" s="20" t="n">
        <f aca="false">IF(F38&gt;PR_BalDone,MIN(F_MortPayM,F38+F38*(F_MR/12)),0)</f>
        <v>0</v>
      </c>
      <c r="T38" s="20" t="n">
        <f aca="false">IF(G38&gt;PR_BalDone,MIN(F_MortPayM,G38+G38*(F_MR/12)),0)</f>
        <v>0</v>
      </c>
      <c r="U38" s="20" t="n">
        <f aca="false">IF(H38&gt;PR_BalDone,MIN(F_MortPayM,H38+H38*(F_MR/12)),0)</f>
        <v>0</v>
      </c>
      <c r="V38" s="20" t="n">
        <f aca="false">IF(I38&gt;PR_BalDone,MIN(F_MortPayM,I38+I38*(F_MR/12)),0)</f>
        <v>0</v>
      </c>
      <c r="W38" s="20" t="n">
        <f aca="false">IF(J38&gt;PR_BalDone,MIN(F_MortPayM,J38+J38*(F_MR/12)),0)</f>
        <v>0</v>
      </c>
      <c r="X38" s="20" t="n">
        <f aca="false">IF(K38&gt;PR_BalDone,MIN(F_MortPayM,K38+K38*(F_MR/12)),0)</f>
        <v>0</v>
      </c>
      <c r="Y38" s="20" t="n">
        <f aca="false">IF(L38&gt;PR_BalDone,MIN(F_MortPayM,L38+L38*(F_MR/12)),0)</f>
        <v>0</v>
      </c>
      <c r="Z38" s="20" t="n">
        <f aca="false">IF(M38&gt;PR_BalDone,MIN(F_MortPayM,M38+M38*(F_MR/12)),0)</f>
        <v>0</v>
      </c>
      <c r="AA38" s="20" t="n">
        <f aca="false">IF(N38&gt;PR_BalDone,MIN(F_MortPayM,N38+N38*(F_MR/12)),0)</f>
        <v>0</v>
      </c>
      <c r="AB38" s="20" t="n">
        <f aca="false">MAX(0,O38)</f>
        <v>0</v>
      </c>
      <c r="AC38" s="20" t="n">
        <f aca="false">SUM(P38:AA38)</f>
        <v>0</v>
      </c>
      <c r="AD38" s="20" t="n">
        <f aca="false">'Plan cashflow'!M38</f>
        <v>0</v>
      </c>
      <c r="AE38" s="20" t="n">
        <f aca="false">IF(AD38&gt;PR_BalDone,AD38+AD38*(D_iC)-MIN(F_CardPayM,AD38+AD38*(D_iC)),AD38)</f>
        <v>0</v>
      </c>
      <c r="AF38" s="20" t="n">
        <f aca="false">IF(AE38&gt;PR_BalDone,AE38+AE38*(D_iC)-MIN(F_CardPayM,AE38+AE38*(D_iC)),AE38)</f>
        <v>0</v>
      </c>
      <c r="AG38" s="20" t="n">
        <f aca="false">IF(AF38&gt;PR_BalDone,AF38+AF38*(D_iC)-MIN(F_CardPayM,AF38+AF38*(D_iC)),AF38)</f>
        <v>0</v>
      </c>
      <c r="AH38" s="20" t="n">
        <f aca="false">IF(AG38&gt;PR_BalDone,AG38+AG38*(D_iC)-MIN(F_CardPayM,AG38+AG38*(D_iC)),AG38)</f>
        <v>0</v>
      </c>
      <c r="AI38" s="20" t="n">
        <f aca="false">IF(AH38&gt;PR_BalDone,AH38+AH38*(D_iC)-MIN(F_CardPayM,AH38+AH38*(D_iC)),AH38)</f>
        <v>0</v>
      </c>
      <c r="AJ38" s="20" t="n">
        <f aca="false">IF(AI38&gt;PR_BalDone,AI38+AI38*(D_iC)-MIN(F_CardPayM,AI38+AI38*(D_iC)),AI38)</f>
        <v>0</v>
      </c>
      <c r="AK38" s="20" t="n">
        <f aca="false">IF(AJ38&gt;PR_BalDone,AJ38+AJ38*(D_iC)-MIN(F_CardPayM,AJ38+AJ38*(D_iC)),AJ38)</f>
        <v>0</v>
      </c>
      <c r="AL38" s="20" t="n">
        <f aca="false">IF(AK38&gt;PR_BalDone,AK38+AK38*(D_iC)-MIN(F_CardPayM,AK38+AK38*(D_iC)),AK38)</f>
        <v>0</v>
      </c>
      <c r="AM38" s="20" t="n">
        <f aca="false">IF(AL38&gt;PR_BalDone,AL38+AL38*(D_iC)-MIN(F_CardPayM,AL38+AL38*(D_iC)),AL38)</f>
        <v>0</v>
      </c>
      <c r="AN38" s="20" t="n">
        <f aca="false">IF(AM38&gt;PR_BalDone,AM38+AM38*(D_iC)-MIN(F_CardPayM,AM38+AM38*(D_iC)),AM38)</f>
        <v>0</v>
      </c>
      <c r="AO38" s="20" t="n">
        <f aca="false">IF(AN38&gt;PR_BalDone,AN38+AN38*(D_iC)-MIN(F_CardPayM,AN38+AN38*(D_iC)),AN38)</f>
        <v>0</v>
      </c>
      <c r="AP38" s="20" t="n">
        <f aca="false">IF(AO38&gt;PR_BalDone,AO38+AO38*(D_iC)-MIN(F_CardPayM,AO38+AO38*(D_iC)),AO38)</f>
        <v>0</v>
      </c>
      <c r="AQ38" s="20" t="n">
        <f aca="false">IF(AD38&gt;PR_BalDone,MIN(F_CardPayM,AD38+AD38*(D_iC)),0)</f>
        <v>0</v>
      </c>
      <c r="AR38" s="20" t="n">
        <f aca="false">IF(AE38&gt;PR_BalDone,MIN(F_CardPayM,AE38+AE38*(D_iC)),0)</f>
        <v>0</v>
      </c>
      <c r="AS38" s="20" t="n">
        <f aca="false">IF(AF38&gt;PR_BalDone,MIN(F_CardPayM,AF38+AF38*(D_iC)),0)</f>
        <v>0</v>
      </c>
      <c r="AT38" s="20" t="n">
        <f aca="false">IF(AG38&gt;PR_BalDone,MIN(F_CardPayM,AG38+AG38*(D_iC)),0)</f>
        <v>0</v>
      </c>
      <c r="AU38" s="20" t="n">
        <f aca="false">IF(AH38&gt;PR_BalDone,MIN(F_CardPayM,AH38+AH38*(D_iC)),0)</f>
        <v>0</v>
      </c>
      <c r="AV38" s="20" t="n">
        <f aca="false">IF(AI38&gt;PR_BalDone,MIN(F_CardPayM,AI38+AI38*(D_iC)),0)</f>
        <v>0</v>
      </c>
      <c r="AW38" s="20" t="n">
        <f aca="false">IF(AJ38&gt;PR_BalDone,MIN(F_CardPayM,AJ38+AJ38*(D_iC)),0)</f>
        <v>0</v>
      </c>
      <c r="AX38" s="20" t="n">
        <f aca="false">IF(AK38&gt;PR_BalDone,MIN(F_CardPayM,AK38+AK38*(D_iC)),0)</f>
        <v>0</v>
      </c>
      <c r="AY38" s="20" t="n">
        <f aca="false">IF(AL38&gt;PR_BalDone,MIN(F_CardPayM,AL38+AL38*(D_iC)),0)</f>
        <v>0</v>
      </c>
      <c r="AZ38" s="20" t="n">
        <f aca="false">IF(AM38&gt;PR_BalDone,MIN(F_CardPayM,AM38+AM38*(D_iC)),0)</f>
        <v>0</v>
      </c>
      <c r="BA38" s="20" t="n">
        <f aca="false">IF(AN38&gt;PR_BalDone,MIN(F_CardPayM,AN38+AN38*(D_iC)),0)</f>
        <v>0</v>
      </c>
      <c r="BB38" s="20" t="n">
        <f aca="false">IF(AO38&gt;PR_BalDone,MIN(F_CardPayM,AO38+AO38*(D_iC)),0)</f>
        <v>0</v>
      </c>
      <c r="BC38" s="20" t="n">
        <f aca="false">MAX(0,AP38)</f>
        <v>0</v>
      </c>
      <c r="BD38" s="20" t="n">
        <f aca="false">SUM(AQ38:BB38)</f>
        <v>0</v>
      </c>
      <c r="BE38" s="20" t="n">
        <f aca="false">'Plan cashflow'!P38</f>
        <v>0</v>
      </c>
      <c r="BF38" s="20" t="n">
        <f aca="false">IF(BE38&gt;PR_BalDone,BE38+BE38*(D_iL)-MIN(F_LoanPayM,BE38+BE38*(D_iL)),BE38)</f>
        <v>0</v>
      </c>
      <c r="BG38" s="20" t="n">
        <f aca="false">IF(BF38&gt;PR_BalDone,BF38+BF38*(D_iL)-MIN(F_LoanPayM,BF38+BF38*(D_iL)),BF38)</f>
        <v>0</v>
      </c>
      <c r="BH38" s="20" t="n">
        <f aca="false">IF(BG38&gt;PR_BalDone,BG38+BG38*(D_iL)-MIN(F_LoanPayM,BG38+BG38*(D_iL)),BG38)</f>
        <v>0</v>
      </c>
      <c r="BI38" s="20" t="n">
        <f aca="false">IF(BH38&gt;PR_BalDone,BH38+BH38*(D_iL)-MIN(F_LoanPayM,BH38+BH38*(D_iL)),BH38)</f>
        <v>0</v>
      </c>
      <c r="BJ38" s="20" t="n">
        <f aca="false">IF(BI38&gt;PR_BalDone,BI38+BI38*(D_iL)-MIN(F_LoanPayM,BI38+BI38*(D_iL)),BI38)</f>
        <v>0</v>
      </c>
      <c r="BK38" s="20" t="n">
        <f aca="false">IF(BJ38&gt;PR_BalDone,BJ38+BJ38*(D_iL)-MIN(F_LoanPayM,BJ38+BJ38*(D_iL)),BJ38)</f>
        <v>0</v>
      </c>
      <c r="BL38" s="20" t="n">
        <f aca="false">IF(BK38&gt;PR_BalDone,BK38+BK38*(D_iL)-MIN(F_LoanPayM,BK38+BK38*(D_iL)),BK38)</f>
        <v>0</v>
      </c>
      <c r="BM38" s="20" t="n">
        <f aca="false">IF(BL38&gt;PR_BalDone,BL38+BL38*(D_iL)-MIN(F_LoanPayM,BL38+BL38*(D_iL)),BL38)</f>
        <v>0</v>
      </c>
      <c r="BN38" s="20" t="n">
        <f aca="false">IF(BM38&gt;PR_BalDone,BM38+BM38*(D_iL)-MIN(F_LoanPayM,BM38+BM38*(D_iL)),BM38)</f>
        <v>0</v>
      </c>
      <c r="BO38" s="20" t="n">
        <f aca="false">IF(BN38&gt;PR_BalDone,BN38+BN38*(D_iL)-MIN(F_LoanPayM,BN38+BN38*(D_iL)),BN38)</f>
        <v>0</v>
      </c>
      <c r="BP38" s="20" t="n">
        <f aca="false">IF(BO38&gt;PR_BalDone,BO38+BO38*(D_iL)-MIN(F_LoanPayM,BO38+BO38*(D_iL)),BO38)</f>
        <v>0</v>
      </c>
      <c r="BQ38" s="20" t="n">
        <f aca="false">IF(BP38&gt;PR_BalDone,BP38+BP38*(D_iL)-MIN(F_LoanPayM,BP38+BP38*(D_iL)),BP38)</f>
        <v>0</v>
      </c>
      <c r="BR38" s="20" t="n">
        <f aca="false">IF(BE38&gt;PR_BalDone,MIN(F_LoanPayM,BE38+BE38*(D_iL)),0)</f>
        <v>0</v>
      </c>
      <c r="BS38" s="20" t="n">
        <f aca="false">IF(BF38&gt;PR_BalDone,MIN(F_LoanPayM,BF38+BF38*(D_iL)),0)</f>
        <v>0</v>
      </c>
      <c r="BT38" s="20" t="n">
        <f aca="false">IF(BG38&gt;PR_BalDone,MIN(F_LoanPayM,BG38+BG38*(D_iL)),0)</f>
        <v>0</v>
      </c>
      <c r="BU38" s="20" t="n">
        <f aca="false">IF(BH38&gt;PR_BalDone,MIN(F_LoanPayM,BH38+BH38*(D_iL)),0)</f>
        <v>0</v>
      </c>
      <c r="BV38" s="20" t="n">
        <f aca="false">IF(BI38&gt;PR_BalDone,MIN(F_LoanPayM,BI38+BI38*(D_iL)),0)</f>
        <v>0</v>
      </c>
      <c r="BW38" s="20" t="n">
        <f aca="false">IF(BJ38&gt;PR_BalDone,MIN(F_LoanPayM,BJ38+BJ38*(D_iL)),0)</f>
        <v>0</v>
      </c>
      <c r="BX38" s="20" t="n">
        <f aca="false">IF(BK38&gt;PR_BalDone,MIN(F_LoanPayM,BK38+BK38*(D_iL)),0)</f>
        <v>0</v>
      </c>
      <c r="BY38" s="20" t="n">
        <f aca="false">IF(BL38&gt;PR_BalDone,MIN(F_LoanPayM,BL38+BL38*(D_iL)),0)</f>
        <v>0</v>
      </c>
      <c r="BZ38" s="20" t="n">
        <f aca="false">IF(BM38&gt;PR_BalDone,MIN(F_LoanPayM,BM38+BM38*(D_iL)),0)</f>
        <v>0</v>
      </c>
      <c r="CA38" s="20" t="n">
        <f aca="false">IF(BN38&gt;PR_BalDone,MIN(F_LoanPayM,BN38+BN38*(D_iL)),0)</f>
        <v>0</v>
      </c>
      <c r="CB38" s="20" t="n">
        <f aca="false">IF(BO38&gt;PR_BalDone,MIN(F_LoanPayM,BO38+BO38*(D_iL)),0)</f>
        <v>0</v>
      </c>
      <c r="CC38" s="20" t="n">
        <f aca="false">IF(BP38&gt;PR_BalDone,MIN(F_LoanPayM,BP38+BP38*(D_iL)),0)</f>
        <v>0</v>
      </c>
      <c r="CD38" s="20" t="n">
        <f aca="false">MAX(0,BQ38)</f>
        <v>0</v>
      </c>
      <c r="CE38" s="20" t="n">
        <f aca="false">SUM(BR38:CC38)</f>
        <v>0</v>
      </c>
      <c r="CF38" s="20" t="n">
        <f aca="false">IF(CF37&gt;1,DE37,CF37)</f>
        <v>0</v>
      </c>
      <c r="CG38" s="20" t="n">
        <f aca="false">IF(CF38&gt;PR_BalDone,CF38+CF38*(F_MR/12)-MIN(F_MortPayM,CF38+CF38*(F_MR/12)),CF38)</f>
        <v>0</v>
      </c>
      <c r="CH38" s="20" t="n">
        <f aca="false">IF(CG38&gt;PR_BalDone,CG38+CG38*(F_MR/12)-MIN(F_MortPayM,CG38+CG38*(F_MR/12)),CG38)</f>
        <v>0</v>
      </c>
      <c r="CI38" s="20" t="n">
        <f aca="false">IF(CH38&gt;PR_BalDone,CH38+CH38*(F_MR/12)-MIN(F_MortPayM,CH38+CH38*(F_MR/12)),CH38)</f>
        <v>0</v>
      </c>
      <c r="CJ38" s="20" t="n">
        <f aca="false">IF(CI38&gt;PR_BalDone,CI38+CI38*(F_MR/12)-MIN(F_MortPayM,CI38+CI38*(F_MR/12)),CI38)</f>
        <v>0</v>
      </c>
      <c r="CK38" s="20" t="n">
        <f aca="false">IF(CJ38&gt;PR_BalDone,CJ38+CJ38*(F_MR/12)-MIN(F_MortPayM,CJ38+CJ38*(F_MR/12)),CJ38)</f>
        <v>0</v>
      </c>
      <c r="CL38" s="20" t="n">
        <f aca="false">IF(CK38&gt;PR_BalDone,CK38+CK38*(F_MR/12)-MIN(F_MortPayM,CK38+CK38*(F_MR/12)),CK38)</f>
        <v>0</v>
      </c>
      <c r="CM38" s="20" t="n">
        <f aca="false">IF(CL38&gt;PR_BalDone,CL38+CL38*(F_MR/12)-MIN(F_MortPayM,CL38+CL38*(F_MR/12)),CL38)</f>
        <v>0</v>
      </c>
      <c r="CN38" s="20" t="n">
        <f aca="false">IF(CM38&gt;PR_BalDone,CM38+CM38*(F_MR/12)-MIN(F_MortPayM,CM38+CM38*(F_MR/12)),CM38)</f>
        <v>0</v>
      </c>
      <c r="CO38" s="20" t="n">
        <f aca="false">IF(CN38&gt;PR_BalDone,CN38+CN38*(F_MR/12)-MIN(F_MortPayM,CN38+CN38*(F_MR/12)),CN38)</f>
        <v>0</v>
      </c>
      <c r="CP38" s="20" t="n">
        <f aca="false">IF(CO38&gt;PR_BalDone,CO38+CO38*(F_MR/12)-MIN(F_MortPayM,CO38+CO38*(F_MR/12)),CO38)</f>
        <v>0</v>
      </c>
      <c r="CQ38" s="20" t="n">
        <f aca="false">IF(CP38&gt;PR_BalDone,CP38+CP38*(F_MR/12)-MIN(F_MortPayM,CP38+CP38*(F_MR/12)),CP38)</f>
        <v>0</v>
      </c>
      <c r="CR38" s="20" t="n">
        <f aca="false">IF(CQ38&gt;PR_BalDone,CQ38+CQ38*(F_MR/12)-MIN(F_MortPayM,CQ38+CQ38*(F_MR/12)),CQ38)</f>
        <v>0</v>
      </c>
      <c r="CS38" s="20" t="n">
        <f aca="false">IF(CF38&gt;PR_BalDone,MIN(F_MortPayM,CF38+CF38*(F_MR/12)),0)</f>
        <v>0</v>
      </c>
      <c r="CT38" s="20" t="n">
        <f aca="false">IF(CG38&gt;PR_BalDone,MIN(F_MortPayM,CG38+CG38*(F_MR/12)),0)</f>
        <v>0</v>
      </c>
      <c r="CU38" s="20" t="n">
        <f aca="false">IF(CH38&gt;PR_BalDone,MIN(F_MortPayM,CH38+CH38*(F_MR/12)),0)</f>
        <v>0</v>
      </c>
      <c r="CV38" s="20" t="n">
        <f aca="false">IF(CI38&gt;PR_BalDone,MIN(F_MortPayM,CI38+CI38*(F_MR/12)),0)</f>
        <v>0</v>
      </c>
      <c r="CW38" s="20" t="n">
        <f aca="false">IF(CJ38&gt;PR_BalDone,MIN(F_MortPayM,CJ38+CJ38*(F_MR/12)),0)</f>
        <v>0</v>
      </c>
      <c r="CX38" s="20" t="n">
        <f aca="false">IF(CK38&gt;PR_BalDone,MIN(F_MortPayM,CK38+CK38*(F_MR/12)),0)</f>
        <v>0</v>
      </c>
      <c r="CY38" s="20" t="n">
        <f aca="false">IF(CL38&gt;PR_BalDone,MIN(F_MortPayM,CL38+CL38*(F_MR/12)),0)</f>
        <v>0</v>
      </c>
      <c r="CZ38" s="20" t="n">
        <f aca="false">IF(CM38&gt;PR_BalDone,MIN(F_MortPayM,CM38+CM38*(F_MR/12)),0)</f>
        <v>0</v>
      </c>
      <c r="DA38" s="20" t="n">
        <f aca="false">IF(CN38&gt;PR_BalDone,MIN(F_MortPayM,CN38+CN38*(F_MR/12)),0)</f>
        <v>0</v>
      </c>
      <c r="DB38" s="20" t="n">
        <f aca="false">IF(CO38&gt;PR_BalDone,MIN(F_MortPayM,CO38+CO38*(F_MR/12)),0)</f>
        <v>0</v>
      </c>
      <c r="DC38" s="20" t="n">
        <f aca="false">IF(CP38&gt;PR_BalDone,MIN(F_MortPayM,CP38+CP38*(F_MR/12)),0)</f>
        <v>0</v>
      </c>
      <c r="DD38" s="20" t="n">
        <f aca="false">IF(CQ38&gt;PR_BalDone,MIN(F_MortPayM,CQ38+CQ38*(F_MR/12)),0)</f>
        <v>0</v>
      </c>
      <c r="DE38" s="20" t="n">
        <f aca="false">MAX(0,CR38)</f>
        <v>0</v>
      </c>
      <c r="DF38" s="20" t="n">
        <f aca="false">SUM(CS38:DD38)</f>
        <v>0</v>
      </c>
      <c r="DG38" s="20" t="n">
        <f aca="false">MAX(0,CF38)</f>
        <v>0</v>
      </c>
    </row>
    <row r="39" customFormat="false" ht="15" hidden="false" customHeight="true" outlineLevel="0" collapsed="false">
      <c r="B39" s="20" t="n">
        <v>31</v>
      </c>
      <c r="C39" s="20" t="n">
        <f aca="false">'Plan cashflow'!J39</f>
        <v>0</v>
      </c>
      <c r="D39" s="20" t="n">
        <f aca="false">IF(C39&gt;PR_BalDone,C39+C39*(F_MR/12)-MIN(F_MortPayM,C39+C39*(F_MR/12)),C39)</f>
        <v>0</v>
      </c>
      <c r="E39" s="20" t="n">
        <f aca="false">IF(D39&gt;PR_BalDone,D39+D39*(F_MR/12)-MIN(F_MortPayM,D39+D39*(F_MR/12)),D39)</f>
        <v>0</v>
      </c>
      <c r="F39" s="20" t="n">
        <f aca="false">IF(E39&gt;PR_BalDone,E39+E39*(F_MR/12)-MIN(F_MortPayM,E39+E39*(F_MR/12)),E39)</f>
        <v>0</v>
      </c>
      <c r="G39" s="20" t="n">
        <f aca="false">IF(F39&gt;PR_BalDone,F39+F39*(F_MR/12)-MIN(F_MortPayM,F39+F39*(F_MR/12)),F39)</f>
        <v>0</v>
      </c>
      <c r="H39" s="20" t="n">
        <f aca="false">IF(G39&gt;PR_BalDone,G39+G39*(F_MR/12)-MIN(F_MortPayM,G39+G39*(F_MR/12)),G39)</f>
        <v>0</v>
      </c>
      <c r="I39" s="20" t="n">
        <f aca="false">IF(H39&gt;PR_BalDone,H39+H39*(F_MR/12)-MIN(F_MortPayM,H39+H39*(F_MR/12)),H39)</f>
        <v>0</v>
      </c>
      <c r="J39" s="20" t="n">
        <f aca="false">IF(I39&gt;PR_BalDone,I39+I39*(F_MR/12)-MIN(F_MortPayM,I39+I39*(F_MR/12)),I39)</f>
        <v>0</v>
      </c>
      <c r="K39" s="20" t="n">
        <f aca="false">IF(J39&gt;PR_BalDone,J39+J39*(F_MR/12)-MIN(F_MortPayM,J39+J39*(F_MR/12)),J39)</f>
        <v>0</v>
      </c>
      <c r="L39" s="20" t="n">
        <f aca="false">IF(K39&gt;PR_BalDone,K39+K39*(F_MR/12)-MIN(F_MortPayM,K39+K39*(F_MR/12)),K39)</f>
        <v>0</v>
      </c>
      <c r="M39" s="20" t="n">
        <f aca="false">IF(L39&gt;PR_BalDone,L39+L39*(F_MR/12)-MIN(F_MortPayM,L39+L39*(F_MR/12)),L39)</f>
        <v>0</v>
      </c>
      <c r="N39" s="20" t="n">
        <f aca="false">IF(M39&gt;PR_BalDone,M39+M39*(F_MR/12)-MIN(F_MortPayM,M39+M39*(F_MR/12)),M39)</f>
        <v>0</v>
      </c>
      <c r="O39" s="20" t="n">
        <f aca="false">IF(N39&gt;PR_BalDone,N39+N39*(F_MR/12)-MIN(F_MortPayM,N39+N39*(F_MR/12)),N39)</f>
        <v>0</v>
      </c>
      <c r="P39" s="20" t="n">
        <f aca="false">IF(C39&gt;PR_BalDone,MIN(F_MortPayM,C39+C39*(F_MR/12)),0)</f>
        <v>0</v>
      </c>
      <c r="Q39" s="20" t="n">
        <f aca="false">IF(D39&gt;PR_BalDone,MIN(F_MortPayM,D39+D39*(F_MR/12)),0)</f>
        <v>0</v>
      </c>
      <c r="R39" s="20" t="n">
        <f aca="false">IF(E39&gt;PR_BalDone,MIN(F_MortPayM,E39+E39*(F_MR/12)),0)</f>
        <v>0</v>
      </c>
      <c r="S39" s="20" t="n">
        <f aca="false">IF(F39&gt;PR_BalDone,MIN(F_MortPayM,F39+F39*(F_MR/12)),0)</f>
        <v>0</v>
      </c>
      <c r="T39" s="20" t="n">
        <f aca="false">IF(G39&gt;PR_BalDone,MIN(F_MortPayM,G39+G39*(F_MR/12)),0)</f>
        <v>0</v>
      </c>
      <c r="U39" s="20" t="n">
        <f aca="false">IF(H39&gt;PR_BalDone,MIN(F_MortPayM,H39+H39*(F_MR/12)),0)</f>
        <v>0</v>
      </c>
      <c r="V39" s="20" t="n">
        <f aca="false">IF(I39&gt;PR_BalDone,MIN(F_MortPayM,I39+I39*(F_MR/12)),0)</f>
        <v>0</v>
      </c>
      <c r="W39" s="20" t="n">
        <f aca="false">IF(J39&gt;PR_BalDone,MIN(F_MortPayM,J39+J39*(F_MR/12)),0)</f>
        <v>0</v>
      </c>
      <c r="X39" s="20" t="n">
        <f aca="false">IF(K39&gt;PR_BalDone,MIN(F_MortPayM,K39+K39*(F_MR/12)),0)</f>
        <v>0</v>
      </c>
      <c r="Y39" s="20" t="n">
        <f aca="false">IF(L39&gt;PR_BalDone,MIN(F_MortPayM,L39+L39*(F_MR/12)),0)</f>
        <v>0</v>
      </c>
      <c r="Z39" s="20" t="n">
        <f aca="false">IF(M39&gt;PR_BalDone,MIN(F_MortPayM,M39+M39*(F_MR/12)),0)</f>
        <v>0</v>
      </c>
      <c r="AA39" s="20" t="n">
        <f aca="false">IF(N39&gt;PR_BalDone,MIN(F_MortPayM,N39+N39*(F_MR/12)),0)</f>
        <v>0</v>
      </c>
      <c r="AB39" s="20" t="n">
        <f aca="false">MAX(0,O39)</f>
        <v>0</v>
      </c>
      <c r="AC39" s="20" t="n">
        <f aca="false">SUM(P39:AA39)</f>
        <v>0</v>
      </c>
      <c r="AD39" s="20" t="n">
        <f aca="false">'Plan cashflow'!M39</f>
        <v>0</v>
      </c>
      <c r="AE39" s="20" t="n">
        <f aca="false">IF(AD39&gt;PR_BalDone,AD39+AD39*(D_iC)-MIN(F_CardPayM,AD39+AD39*(D_iC)),AD39)</f>
        <v>0</v>
      </c>
      <c r="AF39" s="20" t="n">
        <f aca="false">IF(AE39&gt;PR_BalDone,AE39+AE39*(D_iC)-MIN(F_CardPayM,AE39+AE39*(D_iC)),AE39)</f>
        <v>0</v>
      </c>
      <c r="AG39" s="20" t="n">
        <f aca="false">IF(AF39&gt;PR_BalDone,AF39+AF39*(D_iC)-MIN(F_CardPayM,AF39+AF39*(D_iC)),AF39)</f>
        <v>0</v>
      </c>
      <c r="AH39" s="20" t="n">
        <f aca="false">IF(AG39&gt;PR_BalDone,AG39+AG39*(D_iC)-MIN(F_CardPayM,AG39+AG39*(D_iC)),AG39)</f>
        <v>0</v>
      </c>
      <c r="AI39" s="20" t="n">
        <f aca="false">IF(AH39&gt;PR_BalDone,AH39+AH39*(D_iC)-MIN(F_CardPayM,AH39+AH39*(D_iC)),AH39)</f>
        <v>0</v>
      </c>
      <c r="AJ39" s="20" t="n">
        <f aca="false">IF(AI39&gt;PR_BalDone,AI39+AI39*(D_iC)-MIN(F_CardPayM,AI39+AI39*(D_iC)),AI39)</f>
        <v>0</v>
      </c>
      <c r="AK39" s="20" t="n">
        <f aca="false">IF(AJ39&gt;PR_BalDone,AJ39+AJ39*(D_iC)-MIN(F_CardPayM,AJ39+AJ39*(D_iC)),AJ39)</f>
        <v>0</v>
      </c>
      <c r="AL39" s="20" t="n">
        <f aca="false">IF(AK39&gt;PR_BalDone,AK39+AK39*(D_iC)-MIN(F_CardPayM,AK39+AK39*(D_iC)),AK39)</f>
        <v>0</v>
      </c>
      <c r="AM39" s="20" t="n">
        <f aca="false">IF(AL39&gt;PR_BalDone,AL39+AL39*(D_iC)-MIN(F_CardPayM,AL39+AL39*(D_iC)),AL39)</f>
        <v>0</v>
      </c>
      <c r="AN39" s="20" t="n">
        <f aca="false">IF(AM39&gt;PR_BalDone,AM39+AM39*(D_iC)-MIN(F_CardPayM,AM39+AM39*(D_iC)),AM39)</f>
        <v>0</v>
      </c>
      <c r="AO39" s="20" t="n">
        <f aca="false">IF(AN39&gt;PR_BalDone,AN39+AN39*(D_iC)-MIN(F_CardPayM,AN39+AN39*(D_iC)),AN39)</f>
        <v>0</v>
      </c>
      <c r="AP39" s="20" t="n">
        <f aca="false">IF(AO39&gt;PR_BalDone,AO39+AO39*(D_iC)-MIN(F_CardPayM,AO39+AO39*(D_iC)),AO39)</f>
        <v>0</v>
      </c>
      <c r="AQ39" s="20" t="n">
        <f aca="false">IF(AD39&gt;PR_BalDone,MIN(F_CardPayM,AD39+AD39*(D_iC)),0)</f>
        <v>0</v>
      </c>
      <c r="AR39" s="20" t="n">
        <f aca="false">IF(AE39&gt;PR_BalDone,MIN(F_CardPayM,AE39+AE39*(D_iC)),0)</f>
        <v>0</v>
      </c>
      <c r="AS39" s="20" t="n">
        <f aca="false">IF(AF39&gt;PR_BalDone,MIN(F_CardPayM,AF39+AF39*(D_iC)),0)</f>
        <v>0</v>
      </c>
      <c r="AT39" s="20" t="n">
        <f aca="false">IF(AG39&gt;PR_BalDone,MIN(F_CardPayM,AG39+AG39*(D_iC)),0)</f>
        <v>0</v>
      </c>
      <c r="AU39" s="20" t="n">
        <f aca="false">IF(AH39&gt;PR_BalDone,MIN(F_CardPayM,AH39+AH39*(D_iC)),0)</f>
        <v>0</v>
      </c>
      <c r="AV39" s="20" t="n">
        <f aca="false">IF(AI39&gt;PR_BalDone,MIN(F_CardPayM,AI39+AI39*(D_iC)),0)</f>
        <v>0</v>
      </c>
      <c r="AW39" s="20" t="n">
        <f aca="false">IF(AJ39&gt;PR_BalDone,MIN(F_CardPayM,AJ39+AJ39*(D_iC)),0)</f>
        <v>0</v>
      </c>
      <c r="AX39" s="20" t="n">
        <f aca="false">IF(AK39&gt;PR_BalDone,MIN(F_CardPayM,AK39+AK39*(D_iC)),0)</f>
        <v>0</v>
      </c>
      <c r="AY39" s="20" t="n">
        <f aca="false">IF(AL39&gt;PR_BalDone,MIN(F_CardPayM,AL39+AL39*(D_iC)),0)</f>
        <v>0</v>
      </c>
      <c r="AZ39" s="20" t="n">
        <f aca="false">IF(AM39&gt;PR_BalDone,MIN(F_CardPayM,AM39+AM39*(D_iC)),0)</f>
        <v>0</v>
      </c>
      <c r="BA39" s="20" t="n">
        <f aca="false">IF(AN39&gt;PR_BalDone,MIN(F_CardPayM,AN39+AN39*(D_iC)),0)</f>
        <v>0</v>
      </c>
      <c r="BB39" s="20" t="n">
        <f aca="false">IF(AO39&gt;PR_BalDone,MIN(F_CardPayM,AO39+AO39*(D_iC)),0)</f>
        <v>0</v>
      </c>
      <c r="BC39" s="20" t="n">
        <f aca="false">MAX(0,AP39)</f>
        <v>0</v>
      </c>
      <c r="BD39" s="20" t="n">
        <f aca="false">SUM(AQ39:BB39)</f>
        <v>0</v>
      </c>
      <c r="BE39" s="20" t="n">
        <f aca="false">'Plan cashflow'!P39</f>
        <v>0</v>
      </c>
      <c r="BF39" s="20" t="n">
        <f aca="false">IF(BE39&gt;PR_BalDone,BE39+BE39*(D_iL)-MIN(F_LoanPayM,BE39+BE39*(D_iL)),BE39)</f>
        <v>0</v>
      </c>
      <c r="BG39" s="20" t="n">
        <f aca="false">IF(BF39&gt;PR_BalDone,BF39+BF39*(D_iL)-MIN(F_LoanPayM,BF39+BF39*(D_iL)),BF39)</f>
        <v>0</v>
      </c>
      <c r="BH39" s="20" t="n">
        <f aca="false">IF(BG39&gt;PR_BalDone,BG39+BG39*(D_iL)-MIN(F_LoanPayM,BG39+BG39*(D_iL)),BG39)</f>
        <v>0</v>
      </c>
      <c r="BI39" s="20" t="n">
        <f aca="false">IF(BH39&gt;PR_BalDone,BH39+BH39*(D_iL)-MIN(F_LoanPayM,BH39+BH39*(D_iL)),BH39)</f>
        <v>0</v>
      </c>
      <c r="BJ39" s="20" t="n">
        <f aca="false">IF(BI39&gt;PR_BalDone,BI39+BI39*(D_iL)-MIN(F_LoanPayM,BI39+BI39*(D_iL)),BI39)</f>
        <v>0</v>
      </c>
      <c r="BK39" s="20" t="n">
        <f aca="false">IF(BJ39&gt;PR_BalDone,BJ39+BJ39*(D_iL)-MIN(F_LoanPayM,BJ39+BJ39*(D_iL)),BJ39)</f>
        <v>0</v>
      </c>
      <c r="BL39" s="20" t="n">
        <f aca="false">IF(BK39&gt;PR_BalDone,BK39+BK39*(D_iL)-MIN(F_LoanPayM,BK39+BK39*(D_iL)),BK39)</f>
        <v>0</v>
      </c>
      <c r="BM39" s="20" t="n">
        <f aca="false">IF(BL39&gt;PR_BalDone,BL39+BL39*(D_iL)-MIN(F_LoanPayM,BL39+BL39*(D_iL)),BL39)</f>
        <v>0</v>
      </c>
      <c r="BN39" s="20" t="n">
        <f aca="false">IF(BM39&gt;PR_BalDone,BM39+BM39*(D_iL)-MIN(F_LoanPayM,BM39+BM39*(D_iL)),BM39)</f>
        <v>0</v>
      </c>
      <c r="BO39" s="20" t="n">
        <f aca="false">IF(BN39&gt;PR_BalDone,BN39+BN39*(D_iL)-MIN(F_LoanPayM,BN39+BN39*(D_iL)),BN39)</f>
        <v>0</v>
      </c>
      <c r="BP39" s="20" t="n">
        <f aca="false">IF(BO39&gt;PR_BalDone,BO39+BO39*(D_iL)-MIN(F_LoanPayM,BO39+BO39*(D_iL)),BO39)</f>
        <v>0</v>
      </c>
      <c r="BQ39" s="20" t="n">
        <f aca="false">IF(BP39&gt;PR_BalDone,BP39+BP39*(D_iL)-MIN(F_LoanPayM,BP39+BP39*(D_iL)),BP39)</f>
        <v>0</v>
      </c>
      <c r="BR39" s="20" t="n">
        <f aca="false">IF(BE39&gt;PR_BalDone,MIN(F_LoanPayM,BE39+BE39*(D_iL)),0)</f>
        <v>0</v>
      </c>
      <c r="BS39" s="20" t="n">
        <f aca="false">IF(BF39&gt;PR_BalDone,MIN(F_LoanPayM,BF39+BF39*(D_iL)),0)</f>
        <v>0</v>
      </c>
      <c r="BT39" s="20" t="n">
        <f aca="false">IF(BG39&gt;PR_BalDone,MIN(F_LoanPayM,BG39+BG39*(D_iL)),0)</f>
        <v>0</v>
      </c>
      <c r="BU39" s="20" t="n">
        <f aca="false">IF(BH39&gt;PR_BalDone,MIN(F_LoanPayM,BH39+BH39*(D_iL)),0)</f>
        <v>0</v>
      </c>
      <c r="BV39" s="20" t="n">
        <f aca="false">IF(BI39&gt;PR_BalDone,MIN(F_LoanPayM,BI39+BI39*(D_iL)),0)</f>
        <v>0</v>
      </c>
      <c r="BW39" s="20" t="n">
        <f aca="false">IF(BJ39&gt;PR_BalDone,MIN(F_LoanPayM,BJ39+BJ39*(D_iL)),0)</f>
        <v>0</v>
      </c>
      <c r="BX39" s="20" t="n">
        <f aca="false">IF(BK39&gt;PR_BalDone,MIN(F_LoanPayM,BK39+BK39*(D_iL)),0)</f>
        <v>0</v>
      </c>
      <c r="BY39" s="20" t="n">
        <f aca="false">IF(BL39&gt;PR_BalDone,MIN(F_LoanPayM,BL39+BL39*(D_iL)),0)</f>
        <v>0</v>
      </c>
      <c r="BZ39" s="20" t="n">
        <f aca="false">IF(BM39&gt;PR_BalDone,MIN(F_LoanPayM,BM39+BM39*(D_iL)),0)</f>
        <v>0</v>
      </c>
      <c r="CA39" s="20" t="n">
        <f aca="false">IF(BN39&gt;PR_BalDone,MIN(F_LoanPayM,BN39+BN39*(D_iL)),0)</f>
        <v>0</v>
      </c>
      <c r="CB39" s="20" t="n">
        <f aca="false">IF(BO39&gt;PR_BalDone,MIN(F_LoanPayM,BO39+BO39*(D_iL)),0)</f>
        <v>0</v>
      </c>
      <c r="CC39" s="20" t="n">
        <f aca="false">IF(BP39&gt;PR_BalDone,MIN(F_LoanPayM,BP39+BP39*(D_iL)),0)</f>
        <v>0</v>
      </c>
      <c r="CD39" s="20" t="n">
        <f aca="false">MAX(0,BQ39)</f>
        <v>0</v>
      </c>
      <c r="CE39" s="20" t="n">
        <f aca="false">SUM(BR39:CC39)</f>
        <v>0</v>
      </c>
      <c r="CF39" s="20" t="n">
        <f aca="false">IF(CF38&gt;1,DE38,CF38)</f>
        <v>0</v>
      </c>
      <c r="CG39" s="20" t="n">
        <f aca="false">IF(CF39&gt;PR_BalDone,CF39+CF39*(F_MR/12)-MIN(F_MortPayM,CF39+CF39*(F_MR/12)),CF39)</f>
        <v>0</v>
      </c>
      <c r="CH39" s="20" t="n">
        <f aca="false">IF(CG39&gt;PR_BalDone,CG39+CG39*(F_MR/12)-MIN(F_MortPayM,CG39+CG39*(F_MR/12)),CG39)</f>
        <v>0</v>
      </c>
      <c r="CI39" s="20" t="n">
        <f aca="false">IF(CH39&gt;PR_BalDone,CH39+CH39*(F_MR/12)-MIN(F_MortPayM,CH39+CH39*(F_MR/12)),CH39)</f>
        <v>0</v>
      </c>
      <c r="CJ39" s="20" t="n">
        <f aca="false">IF(CI39&gt;PR_BalDone,CI39+CI39*(F_MR/12)-MIN(F_MortPayM,CI39+CI39*(F_MR/12)),CI39)</f>
        <v>0</v>
      </c>
      <c r="CK39" s="20" t="n">
        <f aca="false">IF(CJ39&gt;PR_BalDone,CJ39+CJ39*(F_MR/12)-MIN(F_MortPayM,CJ39+CJ39*(F_MR/12)),CJ39)</f>
        <v>0</v>
      </c>
      <c r="CL39" s="20" t="n">
        <f aca="false">IF(CK39&gt;PR_BalDone,CK39+CK39*(F_MR/12)-MIN(F_MortPayM,CK39+CK39*(F_MR/12)),CK39)</f>
        <v>0</v>
      </c>
      <c r="CM39" s="20" t="n">
        <f aca="false">IF(CL39&gt;PR_BalDone,CL39+CL39*(F_MR/12)-MIN(F_MortPayM,CL39+CL39*(F_MR/12)),CL39)</f>
        <v>0</v>
      </c>
      <c r="CN39" s="20" t="n">
        <f aca="false">IF(CM39&gt;PR_BalDone,CM39+CM39*(F_MR/12)-MIN(F_MortPayM,CM39+CM39*(F_MR/12)),CM39)</f>
        <v>0</v>
      </c>
      <c r="CO39" s="20" t="n">
        <f aca="false">IF(CN39&gt;PR_BalDone,CN39+CN39*(F_MR/12)-MIN(F_MortPayM,CN39+CN39*(F_MR/12)),CN39)</f>
        <v>0</v>
      </c>
      <c r="CP39" s="20" t="n">
        <f aca="false">IF(CO39&gt;PR_BalDone,CO39+CO39*(F_MR/12)-MIN(F_MortPayM,CO39+CO39*(F_MR/12)),CO39)</f>
        <v>0</v>
      </c>
      <c r="CQ39" s="20" t="n">
        <f aca="false">IF(CP39&gt;PR_BalDone,CP39+CP39*(F_MR/12)-MIN(F_MortPayM,CP39+CP39*(F_MR/12)),CP39)</f>
        <v>0</v>
      </c>
      <c r="CR39" s="20" t="n">
        <f aca="false">IF(CQ39&gt;PR_BalDone,CQ39+CQ39*(F_MR/12)-MIN(F_MortPayM,CQ39+CQ39*(F_MR/12)),CQ39)</f>
        <v>0</v>
      </c>
      <c r="CS39" s="20" t="n">
        <f aca="false">IF(CF39&gt;PR_BalDone,MIN(F_MortPayM,CF39+CF39*(F_MR/12)),0)</f>
        <v>0</v>
      </c>
      <c r="CT39" s="20" t="n">
        <f aca="false">IF(CG39&gt;PR_BalDone,MIN(F_MortPayM,CG39+CG39*(F_MR/12)),0)</f>
        <v>0</v>
      </c>
      <c r="CU39" s="20" t="n">
        <f aca="false">IF(CH39&gt;PR_BalDone,MIN(F_MortPayM,CH39+CH39*(F_MR/12)),0)</f>
        <v>0</v>
      </c>
      <c r="CV39" s="20" t="n">
        <f aca="false">IF(CI39&gt;PR_BalDone,MIN(F_MortPayM,CI39+CI39*(F_MR/12)),0)</f>
        <v>0</v>
      </c>
      <c r="CW39" s="20" t="n">
        <f aca="false">IF(CJ39&gt;PR_BalDone,MIN(F_MortPayM,CJ39+CJ39*(F_MR/12)),0)</f>
        <v>0</v>
      </c>
      <c r="CX39" s="20" t="n">
        <f aca="false">IF(CK39&gt;PR_BalDone,MIN(F_MortPayM,CK39+CK39*(F_MR/12)),0)</f>
        <v>0</v>
      </c>
      <c r="CY39" s="20" t="n">
        <f aca="false">IF(CL39&gt;PR_BalDone,MIN(F_MortPayM,CL39+CL39*(F_MR/12)),0)</f>
        <v>0</v>
      </c>
      <c r="CZ39" s="20" t="n">
        <f aca="false">IF(CM39&gt;PR_BalDone,MIN(F_MortPayM,CM39+CM39*(F_MR/12)),0)</f>
        <v>0</v>
      </c>
      <c r="DA39" s="20" t="n">
        <f aca="false">IF(CN39&gt;PR_BalDone,MIN(F_MortPayM,CN39+CN39*(F_MR/12)),0)</f>
        <v>0</v>
      </c>
      <c r="DB39" s="20" t="n">
        <f aca="false">IF(CO39&gt;PR_BalDone,MIN(F_MortPayM,CO39+CO39*(F_MR/12)),0)</f>
        <v>0</v>
      </c>
      <c r="DC39" s="20" t="n">
        <f aca="false">IF(CP39&gt;PR_BalDone,MIN(F_MortPayM,CP39+CP39*(F_MR/12)),0)</f>
        <v>0</v>
      </c>
      <c r="DD39" s="20" t="n">
        <f aca="false">IF(CQ39&gt;PR_BalDone,MIN(F_MortPayM,CQ39+CQ39*(F_MR/12)),0)</f>
        <v>0</v>
      </c>
      <c r="DE39" s="20" t="n">
        <f aca="false">MAX(0,CR39)</f>
        <v>0</v>
      </c>
      <c r="DF39" s="20" t="n">
        <f aca="false">SUM(CS39:DD39)</f>
        <v>0</v>
      </c>
      <c r="DG39" s="20" t="n">
        <f aca="false">MAX(0,CF39)</f>
        <v>0</v>
      </c>
    </row>
    <row r="40" customFormat="false" ht="15" hidden="false" customHeight="true" outlineLevel="0" collapsed="false">
      <c r="B40" s="20" t="n">
        <v>32</v>
      </c>
      <c r="C40" s="20" t="n">
        <f aca="false">'Plan cashflow'!J40</f>
        <v>0</v>
      </c>
      <c r="D40" s="20" t="n">
        <f aca="false">IF(C40&gt;PR_BalDone,C40+C40*(F_MR/12)-MIN(F_MortPayM,C40+C40*(F_MR/12)),C40)</f>
        <v>0</v>
      </c>
      <c r="E40" s="20" t="n">
        <f aca="false">IF(D40&gt;PR_BalDone,D40+D40*(F_MR/12)-MIN(F_MortPayM,D40+D40*(F_MR/12)),D40)</f>
        <v>0</v>
      </c>
      <c r="F40" s="20" t="n">
        <f aca="false">IF(E40&gt;PR_BalDone,E40+E40*(F_MR/12)-MIN(F_MortPayM,E40+E40*(F_MR/12)),E40)</f>
        <v>0</v>
      </c>
      <c r="G40" s="20" t="n">
        <f aca="false">IF(F40&gt;PR_BalDone,F40+F40*(F_MR/12)-MIN(F_MortPayM,F40+F40*(F_MR/12)),F40)</f>
        <v>0</v>
      </c>
      <c r="H40" s="20" t="n">
        <f aca="false">IF(G40&gt;PR_BalDone,G40+G40*(F_MR/12)-MIN(F_MortPayM,G40+G40*(F_MR/12)),G40)</f>
        <v>0</v>
      </c>
      <c r="I40" s="20" t="n">
        <f aca="false">IF(H40&gt;PR_BalDone,H40+H40*(F_MR/12)-MIN(F_MortPayM,H40+H40*(F_MR/12)),H40)</f>
        <v>0</v>
      </c>
      <c r="J40" s="20" t="n">
        <f aca="false">IF(I40&gt;PR_BalDone,I40+I40*(F_MR/12)-MIN(F_MortPayM,I40+I40*(F_MR/12)),I40)</f>
        <v>0</v>
      </c>
      <c r="K40" s="20" t="n">
        <f aca="false">IF(J40&gt;PR_BalDone,J40+J40*(F_MR/12)-MIN(F_MortPayM,J40+J40*(F_MR/12)),J40)</f>
        <v>0</v>
      </c>
      <c r="L40" s="20" t="n">
        <f aca="false">IF(K40&gt;PR_BalDone,K40+K40*(F_MR/12)-MIN(F_MortPayM,K40+K40*(F_MR/12)),K40)</f>
        <v>0</v>
      </c>
      <c r="M40" s="20" t="n">
        <f aca="false">IF(L40&gt;PR_BalDone,L40+L40*(F_MR/12)-MIN(F_MortPayM,L40+L40*(F_MR/12)),L40)</f>
        <v>0</v>
      </c>
      <c r="N40" s="20" t="n">
        <f aca="false">IF(M40&gt;PR_BalDone,M40+M40*(F_MR/12)-MIN(F_MortPayM,M40+M40*(F_MR/12)),M40)</f>
        <v>0</v>
      </c>
      <c r="O40" s="20" t="n">
        <f aca="false">IF(N40&gt;PR_BalDone,N40+N40*(F_MR/12)-MIN(F_MortPayM,N40+N40*(F_MR/12)),N40)</f>
        <v>0</v>
      </c>
      <c r="P40" s="20" t="n">
        <f aca="false">IF(C40&gt;PR_BalDone,MIN(F_MortPayM,C40+C40*(F_MR/12)),0)</f>
        <v>0</v>
      </c>
      <c r="Q40" s="20" t="n">
        <f aca="false">IF(D40&gt;PR_BalDone,MIN(F_MortPayM,D40+D40*(F_MR/12)),0)</f>
        <v>0</v>
      </c>
      <c r="R40" s="20" t="n">
        <f aca="false">IF(E40&gt;PR_BalDone,MIN(F_MortPayM,E40+E40*(F_MR/12)),0)</f>
        <v>0</v>
      </c>
      <c r="S40" s="20" t="n">
        <f aca="false">IF(F40&gt;PR_BalDone,MIN(F_MortPayM,F40+F40*(F_MR/12)),0)</f>
        <v>0</v>
      </c>
      <c r="T40" s="20" t="n">
        <f aca="false">IF(G40&gt;PR_BalDone,MIN(F_MortPayM,G40+G40*(F_MR/12)),0)</f>
        <v>0</v>
      </c>
      <c r="U40" s="20" t="n">
        <f aca="false">IF(H40&gt;PR_BalDone,MIN(F_MortPayM,H40+H40*(F_MR/12)),0)</f>
        <v>0</v>
      </c>
      <c r="V40" s="20" t="n">
        <f aca="false">IF(I40&gt;PR_BalDone,MIN(F_MortPayM,I40+I40*(F_MR/12)),0)</f>
        <v>0</v>
      </c>
      <c r="W40" s="20" t="n">
        <f aca="false">IF(J40&gt;PR_BalDone,MIN(F_MortPayM,J40+J40*(F_MR/12)),0)</f>
        <v>0</v>
      </c>
      <c r="X40" s="20" t="n">
        <f aca="false">IF(K40&gt;PR_BalDone,MIN(F_MortPayM,K40+K40*(F_MR/12)),0)</f>
        <v>0</v>
      </c>
      <c r="Y40" s="20" t="n">
        <f aca="false">IF(L40&gt;PR_BalDone,MIN(F_MortPayM,L40+L40*(F_MR/12)),0)</f>
        <v>0</v>
      </c>
      <c r="Z40" s="20" t="n">
        <f aca="false">IF(M40&gt;PR_BalDone,MIN(F_MortPayM,M40+M40*(F_MR/12)),0)</f>
        <v>0</v>
      </c>
      <c r="AA40" s="20" t="n">
        <f aca="false">IF(N40&gt;PR_BalDone,MIN(F_MortPayM,N40+N40*(F_MR/12)),0)</f>
        <v>0</v>
      </c>
      <c r="AB40" s="20" t="n">
        <f aca="false">MAX(0,O40)</f>
        <v>0</v>
      </c>
      <c r="AC40" s="20" t="n">
        <f aca="false">SUM(P40:AA40)</f>
        <v>0</v>
      </c>
      <c r="AD40" s="20" t="n">
        <f aca="false">'Plan cashflow'!M40</f>
        <v>0</v>
      </c>
      <c r="AE40" s="20" t="n">
        <f aca="false">IF(AD40&gt;PR_BalDone,AD40+AD40*(D_iC)-MIN(F_CardPayM,AD40+AD40*(D_iC)),AD40)</f>
        <v>0</v>
      </c>
      <c r="AF40" s="20" t="n">
        <f aca="false">IF(AE40&gt;PR_BalDone,AE40+AE40*(D_iC)-MIN(F_CardPayM,AE40+AE40*(D_iC)),AE40)</f>
        <v>0</v>
      </c>
      <c r="AG40" s="20" t="n">
        <f aca="false">IF(AF40&gt;PR_BalDone,AF40+AF40*(D_iC)-MIN(F_CardPayM,AF40+AF40*(D_iC)),AF40)</f>
        <v>0</v>
      </c>
      <c r="AH40" s="20" t="n">
        <f aca="false">IF(AG40&gt;PR_BalDone,AG40+AG40*(D_iC)-MIN(F_CardPayM,AG40+AG40*(D_iC)),AG40)</f>
        <v>0</v>
      </c>
      <c r="AI40" s="20" t="n">
        <f aca="false">IF(AH40&gt;PR_BalDone,AH40+AH40*(D_iC)-MIN(F_CardPayM,AH40+AH40*(D_iC)),AH40)</f>
        <v>0</v>
      </c>
      <c r="AJ40" s="20" t="n">
        <f aca="false">IF(AI40&gt;PR_BalDone,AI40+AI40*(D_iC)-MIN(F_CardPayM,AI40+AI40*(D_iC)),AI40)</f>
        <v>0</v>
      </c>
      <c r="AK40" s="20" t="n">
        <f aca="false">IF(AJ40&gt;PR_BalDone,AJ40+AJ40*(D_iC)-MIN(F_CardPayM,AJ40+AJ40*(D_iC)),AJ40)</f>
        <v>0</v>
      </c>
      <c r="AL40" s="20" t="n">
        <f aca="false">IF(AK40&gt;PR_BalDone,AK40+AK40*(D_iC)-MIN(F_CardPayM,AK40+AK40*(D_iC)),AK40)</f>
        <v>0</v>
      </c>
      <c r="AM40" s="20" t="n">
        <f aca="false">IF(AL40&gt;PR_BalDone,AL40+AL40*(D_iC)-MIN(F_CardPayM,AL40+AL40*(D_iC)),AL40)</f>
        <v>0</v>
      </c>
      <c r="AN40" s="20" t="n">
        <f aca="false">IF(AM40&gt;PR_BalDone,AM40+AM40*(D_iC)-MIN(F_CardPayM,AM40+AM40*(D_iC)),AM40)</f>
        <v>0</v>
      </c>
      <c r="AO40" s="20" t="n">
        <f aca="false">IF(AN40&gt;PR_BalDone,AN40+AN40*(D_iC)-MIN(F_CardPayM,AN40+AN40*(D_iC)),AN40)</f>
        <v>0</v>
      </c>
      <c r="AP40" s="20" t="n">
        <f aca="false">IF(AO40&gt;PR_BalDone,AO40+AO40*(D_iC)-MIN(F_CardPayM,AO40+AO40*(D_iC)),AO40)</f>
        <v>0</v>
      </c>
      <c r="AQ40" s="20" t="n">
        <f aca="false">IF(AD40&gt;PR_BalDone,MIN(F_CardPayM,AD40+AD40*(D_iC)),0)</f>
        <v>0</v>
      </c>
      <c r="AR40" s="20" t="n">
        <f aca="false">IF(AE40&gt;PR_BalDone,MIN(F_CardPayM,AE40+AE40*(D_iC)),0)</f>
        <v>0</v>
      </c>
      <c r="AS40" s="20" t="n">
        <f aca="false">IF(AF40&gt;PR_BalDone,MIN(F_CardPayM,AF40+AF40*(D_iC)),0)</f>
        <v>0</v>
      </c>
      <c r="AT40" s="20" t="n">
        <f aca="false">IF(AG40&gt;PR_BalDone,MIN(F_CardPayM,AG40+AG40*(D_iC)),0)</f>
        <v>0</v>
      </c>
      <c r="AU40" s="20" t="n">
        <f aca="false">IF(AH40&gt;PR_BalDone,MIN(F_CardPayM,AH40+AH40*(D_iC)),0)</f>
        <v>0</v>
      </c>
      <c r="AV40" s="20" t="n">
        <f aca="false">IF(AI40&gt;PR_BalDone,MIN(F_CardPayM,AI40+AI40*(D_iC)),0)</f>
        <v>0</v>
      </c>
      <c r="AW40" s="20" t="n">
        <f aca="false">IF(AJ40&gt;PR_BalDone,MIN(F_CardPayM,AJ40+AJ40*(D_iC)),0)</f>
        <v>0</v>
      </c>
      <c r="AX40" s="20" t="n">
        <f aca="false">IF(AK40&gt;PR_BalDone,MIN(F_CardPayM,AK40+AK40*(D_iC)),0)</f>
        <v>0</v>
      </c>
      <c r="AY40" s="20" t="n">
        <f aca="false">IF(AL40&gt;PR_BalDone,MIN(F_CardPayM,AL40+AL40*(D_iC)),0)</f>
        <v>0</v>
      </c>
      <c r="AZ40" s="20" t="n">
        <f aca="false">IF(AM40&gt;PR_BalDone,MIN(F_CardPayM,AM40+AM40*(D_iC)),0)</f>
        <v>0</v>
      </c>
      <c r="BA40" s="20" t="n">
        <f aca="false">IF(AN40&gt;PR_BalDone,MIN(F_CardPayM,AN40+AN40*(D_iC)),0)</f>
        <v>0</v>
      </c>
      <c r="BB40" s="20" t="n">
        <f aca="false">IF(AO40&gt;PR_BalDone,MIN(F_CardPayM,AO40+AO40*(D_iC)),0)</f>
        <v>0</v>
      </c>
      <c r="BC40" s="20" t="n">
        <f aca="false">MAX(0,AP40)</f>
        <v>0</v>
      </c>
      <c r="BD40" s="20" t="n">
        <f aca="false">SUM(AQ40:BB40)</f>
        <v>0</v>
      </c>
      <c r="BE40" s="20" t="n">
        <f aca="false">'Plan cashflow'!P40</f>
        <v>0</v>
      </c>
      <c r="BF40" s="20" t="n">
        <f aca="false">IF(BE40&gt;PR_BalDone,BE40+BE40*(D_iL)-MIN(F_LoanPayM,BE40+BE40*(D_iL)),BE40)</f>
        <v>0</v>
      </c>
      <c r="BG40" s="20" t="n">
        <f aca="false">IF(BF40&gt;PR_BalDone,BF40+BF40*(D_iL)-MIN(F_LoanPayM,BF40+BF40*(D_iL)),BF40)</f>
        <v>0</v>
      </c>
      <c r="BH40" s="20" t="n">
        <f aca="false">IF(BG40&gt;PR_BalDone,BG40+BG40*(D_iL)-MIN(F_LoanPayM,BG40+BG40*(D_iL)),BG40)</f>
        <v>0</v>
      </c>
      <c r="BI40" s="20" t="n">
        <f aca="false">IF(BH40&gt;PR_BalDone,BH40+BH40*(D_iL)-MIN(F_LoanPayM,BH40+BH40*(D_iL)),BH40)</f>
        <v>0</v>
      </c>
      <c r="BJ40" s="20" t="n">
        <f aca="false">IF(BI40&gt;PR_BalDone,BI40+BI40*(D_iL)-MIN(F_LoanPayM,BI40+BI40*(D_iL)),BI40)</f>
        <v>0</v>
      </c>
      <c r="BK40" s="20" t="n">
        <f aca="false">IF(BJ40&gt;PR_BalDone,BJ40+BJ40*(D_iL)-MIN(F_LoanPayM,BJ40+BJ40*(D_iL)),BJ40)</f>
        <v>0</v>
      </c>
      <c r="BL40" s="20" t="n">
        <f aca="false">IF(BK40&gt;PR_BalDone,BK40+BK40*(D_iL)-MIN(F_LoanPayM,BK40+BK40*(D_iL)),BK40)</f>
        <v>0</v>
      </c>
      <c r="BM40" s="20" t="n">
        <f aca="false">IF(BL40&gt;PR_BalDone,BL40+BL40*(D_iL)-MIN(F_LoanPayM,BL40+BL40*(D_iL)),BL40)</f>
        <v>0</v>
      </c>
      <c r="BN40" s="20" t="n">
        <f aca="false">IF(BM40&gt;PR_BalDone,BM40+BM40*(D_iL)-MIN(F_LoanPayM,BM40+BM40*(D_iL)),BM40)</f>
        <v>0</v>
      </c>
      <c r="BO40" s="20" t="n">
        <f aca="false">IF(BN40&gt;PR_BalDone,BN40+BN40*(D_iL)-MIN(F_LoanPayM,BN40+BN40*(D_iL)),BN40)</f>
        <v>0</v>
      </c>
      <c r="BP40" s="20" t="n">
        <f aca="false">IF(BO40&gt;PR_BalDone,BO40+BO40*(D_iL)-MIN(F_LoanPayM,BO40+BO40*(D_iL)),BO40)</f>
        <v>0</v>
      </c>
      <c r="BQ40" s="20" t="n">
        <f aca="false">IF(BP40&gt;PR_BalDone,BP40+BP40*(D_iL)-MIN(F_LoanPayM,BP40+BP40*(D_iL)),BP40)</f>
        <v>0</v>
      </c>
      <c r="BR40" s="20" t="n">
        <f aca="false">IF(BE40&gt;PR_BalDone,MIN(F_LoanPayM,BE40+BE40*(D_iL)),0)</f>
        <v>0</v>
      </c>
      <c r="BS40" s="20" t="n">
        <f aca="false">IF(BF40&gt;PR_BalDone,MIN(F_LoanPayM,BF40+BF40*(D_iL)),0)</f>
        <v>0</v>
      </c>
      <c r="BT40" s="20" t="n">
        <f aca="false">IF(BG40&gt;PR_BalDone,MIN(F_LoanPayM,BG40+BG40*(D_iL)),0)</f>
        <v>0</v>
      </c>
      <c r="BU40" s="20" t="n">
        <f aca="false">IF(BH40&gt;PR_BalDone,MIN(F_LoanPayM,BH40+BH40*(D_iL)),0)</f>
        <v>0</v>
      </c>
      <c r="BV40" s="20" t="n">
        <f aca="false">IF(BI40&gt;PR_BalDone,MIN(F_LoanPayM,BI40+BI40*(D_iL)),0)</f>
        <v>0</v>
      </c>
      <c r="BW40" s="20" t="n">
        <f aca="false">IF(BJ40&gt;PR_BalDone,MIN(F_LoanPayM,BJ40+BJ40*(D_iL)),0)</f>
        <v>0</v>
      </c>
      <c r="BX40" s="20" t="n">
        <f aca="false">IF(BK40&gt;PR_BalDone,MIN(F_LoanPayM,BK40+BK40*(D_iL)),0)</f>
        <v>0</v>
      </c>
      <c r="BY40" s="20" t="n">
        <f aca="false">IF(BL40&gt;PR_BalDone,MIN(F_LoanPayM,BL40+BL40*(D_iL)),0)</f>
        <v>0</v>
      </c>
      <c r="BZ40" s="20" t="n">
        <f aca="false">IF(BM40&gt;PR_BalDone,MIN(F_LoanPayM,BM40+BM40*(D_iL)),0)</f>
        <v>0</v>
      </c>
      <c r="CA40" s="20" t="n">
        <f aca="false">IF(BN40&gt;PR_BalDone,MIN(F_LoanPayM,BN40+BN40*(D_iL)),0)</f>
        <v>0</v>
      </c>
      <c r="CB40" s="20" t="n">
        <f aca="false">IF(BO40&gt;PR_BalDone,MIN(F_LoanPayM,BO40+BO40*(D_iL)),0)</f>
        <v>0</v>
      </c>
      <c r="CC40" s="20" t="n">
        <f aca="false">IF(BP40&gt;PR_BalDone,MIN(F_LoanPayM,BP40+BP40*(D_iL)),0)</f>
        <v>0</v>
      </c>
      <c r="CD40" s="20" t="n">
        <f aca="false">MAX(0,BQ40)</f>
        <v>0</v>
      </c>
      <c r="CE40" s="20" t="n">
        <f aca="false">SUM(BR40:CC40)</f>
        <v>0</v>
      </c>
      <c r="CF40" s="20" t="n">
        <f aca="false">IF(CF39&gt;1,DE39,CF39)</f>
        <v>0</v>
      </c>
      <c r="CG40" s="20" t="n">
        <f aca="false">IF(CF40&gt;PR_BalDone,CF40+CF40*(F_MR/12)-MIN(F_MortPayM,CF40+CF40*(F_MR/12)),CF40)</f>
        <v>0</v>
      </c>
      <c r="CH40" s="20" t="n">
        <f aca="false">IF(CG40&gt;PR_BalDone,CG40+CG40*(F_MR/12)-MIN(F_MortPayM,CG40+CG40*(F_MR/12)),CG40)</f>
        <v>0</v>
      </c>
      <c r="CI40" s="20" t="n">
        <f aca="false">IF(CH40&gt;PR_BalDone,CH40+CH40*(F_MR/12)-MIN(F_MortPayM,CH40+CH40*(F_MR/12)),CH40)</f>
        <v>0</v>
      </c>
      <c r="CJ40" s="20" t="n">
        <f aca="false">IF(CI40&gt;PR_BalDone,CI40+CI40*(F_MR/12)-MIN(F_MortPayM,CI40+CI40*(F_MR/12)),CI40)</f>
        <v>0</v>
      </c>
      <c r="CK40" s="20" t="n">
        <f aca="false">IF(CJ40&gt;PR_BalDone,CJ40+CJ40*(F_MR/12)-MIN(F_MortPayM,CJ40+CJ40*(F_MR/12)),CJ40)</f>
        <v>0</v>
      </c>
      <c r="CL40" s="20" t="n">
        <f aca="false">IF(CK40&gt;PR_BalDone,CK40+CK40*(F_MR/12)-MIN(F_MortPayM,CK40+CK40*(F_MR/12)),CK40)</f>
        <v>0</v>
      </c>
      <c r="CM40" s="20" t="n">
        <f aca="false">IF(CL40&gt;PR_BalDone,CL40+CL40*(F_MR/12)-MIN(F_MortPayM,CL40+CL40*(F_MR/12)),CL40)</f>
        <v>0</v>
      </c>
      <c r="CN40" s="20" t="n">
        <f aca="false">IF(CM40&gt;PR_BalDone,CM40+CM40*(F_MR/12)-MIN(F_MortPayM,CM40+CM40*(F_MR/12)),CM40)</f>
        <v>0</v>
      </c>
      <c r="CO40" s="20" t="n">
        <f aca="false">IF(CN40&gt;PR_BalDone,CN40+CN40*(F_MR/12)-MIN(F_MortPayM,CN40+CN40*(F_MR/12)),CN40)</f>
        <v>0</v>
      </c>
      <c r="CP40" s="20" t="n">
        <f aca="false">IF(CO40&gt;PR_BalDone,CO40+CO40*(F_MR/12)-MIN(F_MortPayM,CO40+CO40*(F_MR/12)),CO40)</f>
        <v>0</v>
      </c>
      <c r="CQ40" s="20" t="n">
        <f aca="false">IF(CP40&gt;PR_BalDone,CP40+CP40*(F_MR/12)-MIN(F_MortPayM,CP40+CP40*(F_MR/12)),CP40)</f>
        <v>0</v>
      </c>
      <c r="CR40" s="20" t="n">
        <f aca="false">IF(CQ40&gt;PR_BalDone,CQ40+CQ40*(F_MR/12)-MIN(F_MortPayM,CQ40+CQ40*(F_MR/12)),CQ40)</f>
        <v>0</v>
      </c>
      <c r="CS40" s="20" t="n">
        <f aca="false">IF(CF40&gt;PR_BalDone,MIN(F_MortPayM,CF40+CF40*(F_MR/12)),0)</f>
        <v>0</v>
      </c>
      <c r="CT40" s="20" t="n">
        <f aca="false">IF(CG40&gt;PR_BalDone,MIN(F_MortPayM,CG40+CG40*(F_MR/12)),0)</f>
        <v>0</v>
      </c>
      <c r="CU40" s="20" t="n">
        <f aca="false">IF(CH40&gt;PR_BalDone,MIN(F_MortPayM,CH40+CH40*(F_MR/12)),0)</f>
        <v>0</v>
      </c>
      <c r="CV40" s="20" t="n">
        <f aca="false">IF(CI40&gt;PR_BalDone,MIN(F_MortPayM,CI40+CI40*(F_MR/12)),0)</f>
        <v>0</v>
      </c>
      <c r="CW40" s="20" t="n">
        <f aca="false">IF(CJ40&gt;PR_BalDone,MIN(F_MortPayM,CJ40+CJ40*(F_MR/12)),0)</f>
        <v>0</v>
      </c>
      <c r="CX40" s="20" t="n">
        <f aca="false">IF(CK40&gt;PR_BalDone,MIN(F_MortPayM,CK40+CK40*(F_MR/12)),0)</f>
        <v>0</v>
      </c>
      <c r="CY40" s="20" t="n">
        <f aca="false">IF(CL40&gt;PR_BalDone,MIN(F_MortPayM,CL40+CL40*(F_MR/12)),0)</f>
        <v>0</v>
      </c>
      <c r="CZ40" s="20" t="n">
        <f aca="false">IF(CM40&gt;PR_BalDone,MIN(F_MortPayM,CM40+CM40*(F_MR/12)),0)</f>
        <v>0</v>
      </c>
      <c r="DA40" s="20" t="n">
        <f aca="false">IF(CN40&gt;PR_BalDone,MIN(F_MortPayM,CN40+CN40*(F_MR/12)),0)</f>
        <v>0</v>
      </c>
      <c r="DB40" s="20" t="n">
        <f aca="false">IF(CO40&gt;PR_BalDone,MIN(F_MortPayM,CO40+CO40*(F_MR/12)),0)</f>
        <v>0</v>
      </c>
      <c r="DC40" s="20" t="n">
        <f aca="false">IF(CP40&gt;PR_BalDone,MIN(F_MortPayM,CP40+CP40*(F_MR/12)),0)</f>
        <v>0</v>
      </c>
      <c r="DD40" s="20" t="n">
        <f aca="false">IF(CQ40&gt;PR_BalDone,MIN(F_MortPayM,CQ40+CQ40*(F_MR/12)),0)</f>
        <v>0</v>
      </c>
      <c r="DE40" s="20" t="n">
        <f aca="false">MAX(0,CR40)</f>
        <v>0</v>
      </c>
      <c r="DF40" s="20" t="n">
        <f aca="false">SUM(CS40:DD40)</f>
        <v>0</v>
      </c>
      <c r="DG40" s="20" t="n">
        <f aca="false">MAX(0,CF40)</f>
        <v>0</v>
      </c>
    </row>
    <row r="41" customFormat="false" ht="15" hidden="false" customHeight="true" outlineLevel="0" collapsed="false">
      <c r="B41" s="20" t="n">
        <v>33</v>
      </c>
      <c r="C41" s="20" t="n">
        <f aca="false">'Plan cashflow'!J41</f>
        <v>0</v>
      </c>
      <c r="D41" s="20" t="n">
        <f aca="false">IF(C41&gt;PR_BalDone,C41+C41*(F_MR/12)-MIN(F_MortPayM,C41+C41*(F_MR/12)),C41)</f>
        <v>0</v>
      </c>
      <c r="E41" s="20" t="n">
        <f aca="false">IF(D41&gt;PR_BalDone,D41+D41*(F_MR/12)-MIN(F_MortPayM,D41+D41*(F_MR/12)),D41)</f>
        <v>0</v>
      </c>
      <c r="F41" s="20" t="n">
        <f aca="false">IF(E41&gt;PR_BalDone,E41+E41*(F_MR/12)-MIN(F_MortPayM,E41+E41*(F_MR/12)),E41)</f>
        <v>0</v>
      </c>
      <c r="G41" s="20" t="n">
        <f aca="false">IF(F41&gt;PR_BalDone,F41+F41*(F_MR/12)-MIN(F_MortPayM,F41+F41*(F_MR/12)),F41)</f>
        <v>0</v>
      </c>
      <c r="H41" s="20" t="n">
        <f aca="false">IF(G41&gt;PR_BalDone,G41+G41*(F_MR/12)-MIN(F_MortPayM,G41+G41*(F_MR/12)),G41)</f>
        <v>0</v>
      </c>
      <c r="I41" s="20" t="n">
        <f aca="false">IF(H41&gt;PR_BalDone,H41+H41*(F_MR/12)-MIN(F_MortPayM,H41+H41*(F_MR/12)),H41)</f>
        <v>0</v>
      </c>
      <c r="J41" s="20" t="n">
        <f aca="false">IF(I41&gt;PR_BalDone,I41+I41*(F_MR/12)-MIN(F_MortPayM,I41+I41*(F_MR/12)),I41)</f>
        <v>0</v>
      </c>
      <c r="K41" s="20" t="n">
        <f aca="false">IF(J41&gt;PR_BalDone,J41+J41*(F_MR/12)-MIN(F_MortPayM,J41+J41*(F_MR/12)),J41)</f>
        <v>0</v>
      </c>
      <c r="L41" s="20" t="n">
        <f aca="false">IF(K41&gt;PR_BalDone,K41+K41*(F_MR/12)-MIN(F_MortPayM,K41+K41*(F_MR/12)),K41)</f>
        <v>0</v>
      </c>
      <c r="M41" s="20" t="n">
        <f aca="false">IF(L41&gt;PR_BalDone,L41+L41*(F_MR/12)-MIN(F_MortPayM,L41+L41*(F_MR/12)),L41)</f>
        <v>0</v>
      </c>
      <c r="N41" s="20" t="n">
        <f aca="false">IF(M41&gt;PR_BalDone,M41+M41*(F_MR/12)-MIN(F_MortPayM,M41+M41*(F_MR/12)),M41)</f>
        <v>0</v>
      </c>
      <c r="O41" s="20" t="n">
        <f aca="false">IF(N41&gt;PR_BalDone,N41+N41*(F_MR/12)-MIN(F_MortPayM,N41+N41*(F_MR/12)),N41)</f>
        <v>0</v>
      </c>
      <c r="P41" s="20" t="n">
        <f aca="false">IF(C41&gt;PR_BalDone,MIN(F_MortPayM,C41+C41*(F_MR/12)),0)</f>
        <v>0</v>
      </c>
      <c r="Q41" s="20" t="n">
        <f aca="false">IF(D41&gt;PR_BalDone,MIN(F_MortPayM,D41+D41*(F_MR/12)),0)</f>
        <v>0</v>
      </c>
      <c r="R41" s="20" t="n">
        <f aca="false">IF(E41&gt;PR_BalDone,MIN(F_MortPayM,E41+E41*(F_MR/12)),0)</f>
        <v>0</v>
      </c>
      <c r="S41" s="20" t="n">
        <f aca="false">IF(F41&gt;PR_BalDone,MIN(F_MortPayM,F41+F41*(F_MR/12)),0)</f>
        <v>0</v>
      </c>
      <c r="T41" s="20" t="n">
        <f aca="false">IF(G41&gt;PR_BalDone,MIN(F_MortPayM,G41+G41*(F_MR/12)),0)</f>
        <v>0</v>
      </c>
      <c r="U41" s="20" t="n">
        <f aca="false">IF(H41&gt;PR_BalDone,MIN(F_MortPayM,H41+H41*(F_MR/12)),0)</f>
        <v>0</v>
      </c>
      <c r="V41" s="20" t="n">
        <f aca="false">IF(I41&gt;PR_BalDone,MIN(F_MortPayM,I41+I41*(F_MR/12)),0)</f>
        <v>0</v>
      </c>
      <c r="W41" s="20" t="n">
        <f aca="false">IF(J41&gt;PR_BalDone,MIN(F_MortPayM,J41+J41*(F_MR/12)),0)</f>
        <v>0</v>
      </c>
      <c r="X41" s="20" t="n">
        <f aca="false">IF(K41&gt;PR_BalDone,MIN(F_MortPayM,K41+K41*(F_MR/12)),0)</f>
        <v>0</v>
      </c>
      <c r="Y41" s="20" t="n">
        <f aca="false">IF(L41&gt;PR_BalDone,MIN(F_MortPayM,L41+L41*(F_MR/12)),0)</f>
        <v>0</v>
      </c>
      <c r="Z41" s="20" t="n">
        <f aca="false">IF(M41&gt;PR_BalDone,MIN(F_MortPayM,M41+M41*(F_MR/12)),0)</f>
        <v>0</v>
      </c>
      <c r="AA41" s="20" t="n">
        <f aca="false">IF(N41&gt;PR_BalDone,MIN(F_MortPayM,N41+N41*(F_MR/12)),0)</f>
        <v>0</v>
      </c>
      <c r="AB41" s="20" t="n">
        <f aca="false">MAX(0,O41)</f>
        <v>0</v>
      </c>
      <c r="AC41" s="20" t="n">
        <f aca="false">SUM(P41:AA41)</f>
        <v>0</v>
      </c>
      <c r="AD41" s="20" t="n">
        <f aca="false">'Plan cashflow'!M41</f>
        <v>0</v>
      </c>
      <c r="AE41" s="20" t="n">
        <f aca="false">IF(AD41&gt;PR_BalDone,AD41+AD41*(D_iC)-MIN(F_CardPayM,AD41+AD41*(D_iC)),AD41)</f>
        <v>0</v>
      </c>
      <c r="AF41" s="20" t="n">
        <f aca="false">IF(AE41&gt;PR_BalDone,AE41+AE41*(D_iC)-MIN(F_CardPayM,AE41+AE41*(D_iC)),AE41)</f>
        <v>0</v>
      </c>
      <c r="AG41" s="20" t="n">
        <f aca="false">IF(AF41&gt;PR_BalDone,AF41+AF41*(D_iC)-MIN(F_CardPayM,AF41+AF41*(D_iC)),AF41)</f>
        <v>0</v>
      </c>
      <c r="AH41" s="20" t="n">
        <f aca="false">IF(AG41&gt;PR_BalDone,AG41+AG41*(D_iC)-MIN(F_CardPayM,AG41+AG41*(D_iC)),AG41)</f>
        <v>0</v>
      </c>
      <c r="AI41" s="20" t="n">
        <f aca="false">IF(AH41&gt;PR_BalDone,AH41+AH41*(D_iC)-MIN(F_CardPayM,AH41+AH41*(D_iC)),AH41)</f>
        <v>0</v>
      </c>
      <c r="AJ41" s="20" t="n">
        <f aca="false">IF(AI41&gt;PR_BalDone,AI41+AI41*(D_iC)-MIN(F_CardPayM,AI41+AI41*(D_iC)),AI41)</f>
        <v>0</v>
      </c>
      <c r="AK41" s="20" t="n">
        <f aca="false">IF(AJ41&gt;PR_BalDone,AJ41+AJ41*(D_iC)-MIN(F_CardPayM,AJ41+AJ41*(D_iC)),AJ41)</f>
        <v>0</v>
      </c>
      <c r="AL41" s="20" t="n">
        <f aca="false">IF(AK41&gt;PR_BalDone,AK41+AK41*(D_iC)-MIN(F_CardPayM,AK41+AK41*(D_iC)),AK41)</f>
        <v>0</v>
      </c>
      <c r="AM41" s="20" t="n">
        <f aca="false">IF(AL41&gt;PR_BalDone,AL41+AL41*(D_iC)-MIN(F_CardPayM,AL41+AL41*(D_iC)),AL41)</f>
        <v>0</v>
      </c>
      <c r="AN41" s="20" t="n">
        <f aca="false">IF(AM41&gt;PR_BalDone,AM41+AM41*(D_iC)-MIN(F_CardPayM,AM41+AM41*(D_iC)),AM41)</f>
        <v>0</v>
      </c>
      <c r="AO41" s="20" t="n">
        <f aca="false">IF(AN41&gt;PR_BalDone,AN41+AN41*(D_iC)-MIN(F_CardPayM,AN41+AN41*(D_iC)),AN41)</f>
        <v>0</v>
      </c>
      <c r="AP41" s="20" t="n">
        <f aca="false">IF(AO41&gt;PR_BalDone,AO41+AO41*(D_iC)-MIN(F_CardPayM,AO41+AO41*(D_iC)),AO41)</f>
        <v>0</v>
      </c>
      <c r="AQ41" s="20" t="n">
        <f aca="false">IF(AD41&gt;PR_BalDone,MIN(F_CardPayM,AD41+AD41*(D_iC)),0)</f>
        <v>0</v>
      </c>
      <c r="AR41" s="20" t="n">
        <f aca="false">IF(AE41&gt;PR_BalDone,MIN(F_CardPayM,AE41+AE41*(D_iC)),0)</f>
        <v>0</v>
      </c>
      <c r="AS41" s="20" t="n">
        <f aca="false">IF(AF41&gt;PR_BalDone,MIN(F_CardPayM,AF41+AF41*(D_iC)),0)</f>
        <v>0</v>
      </c>
      <c r="AT41" s="20" t="n">
        <f aca="false">IF(AG41&gt;PR_BalDone,MIN(F_CardPayM,AG41+AG41*(D_iC)),0)</f>
        <v>0</v>
      </c>
      <c r="AU41" s="20" t="n">
        <f aca="false">IF(AH41&gt;PR_BalDone,MIN(F_CardPayM,AH41+AH41*(D_iC)),0)</f>
        <v>0</v>
      </c>
      <c r="AV41" s="20" t="n">
        <f aca="false">IF(AI41&gt;PR_BalDone,MIN(F_CardPayM,AI41+AI41*(D_iC)),0)</f>
        <v>0</v>
      </c>
      <c r="AW41" s="20" t="n">
        <f aca="false">IF(AJ41&gt;PR_BalDone,MIN(F_CardPayM,AJ41+AJ41*(D_iC)),0)</f>
        <v>0</v>
      </c>
      <c r="AX41" s="20" t="n">
        <f aca="false">IF(AK41&gt;PR_BalDone,MIN(F_CardPayM,AK41+AK41*(D_iC)),0)</f>
        <v>0</v>
      </c>
      <c r="AY41" s="20" t="n">
        <f aca="false">IF(AL41&gt;PR_BalDone,MIN(F_CardPayM,AL41+AL41*(D_iC)),0)</f>
        <v>0</v>
      </c>
      <c r="AZ41" s="20" t="n">
        <f aca="false">IF(AM41&gt;PR_BalDone,MIN(F_CardPayM,AM41+AM41*(D_iC)),0)</f>
        <v>0</v>
      </c>
      <c r="BA41" s="20" t="n">
        <f aca="false">IF(AN41&gt;PR_BalDone,MIN(F_CardPayM,AN41+AN41*(D_iC)),0)</f>
        <v>0</v>
      </c>
      <c r="BB41" s="20" t="n">
        <f aca="false">IF(AO41&gt;PR_BalDone,MIN(F_CardPayM,AO41+AO41*(D_iC)),0)</f>
        <v>0</v>
      </c>
      <c r="BC41" s="20" t="n">
        <f aca="false">MAX(0,AP41)</f>
        <v>0</v>
      </c>
      <c r="BD41" s="20" t="n">
        <f aca="false">SUM(AQ41:BB41)</f>
        <v>0</v>
      </c>
      <c r="BE41" s="20" t="n">
        <f aca="false">'Plan cashflow'!P41</f>
        <v>0</v>
      </c>
      <c r="BF41" s="20" t="n">
        <f aca="false">IF(BE41&gt;PR_BalDone,BE41+BE41*(D_iL)-MIN(F_LoanPayM,BE41+BE41*(D_iL)),BE41)</f>
        <v>0</v>
      </c>
      <c r="BG41" s="20" t="n">
        <f aca="false">IF(BF41&gt;PR_BalDone,BF41+BF41*(D_iL)-MIN(F_LoanPayM,BF41+BF41*(D_iL)),BF41)</f>
        <v>0</v>
      </c>
      <c r="BH41" s="20" t="n">
        <f aca="false">IF(BG41&gt;PR_BalDone,BG41+BG41*(D_iL)-MIN(F_LoanPayM,BG41+BG41*(D_iL)),BG41)</f>
        <v>0</v>
      </c>
      <c r="BI41" s="20" t="n">
        <f aca="false">IF(BH41&gt;PR_BalDone,BH41+BH41*(D_iL)-MIN(F_LoanPayM,BH41+BH41*(D_iL)),BH41)</f>
        <v>0</v>
      </c>
      <c r="BJ41" s="20" t="n">
        <f aca="false">IF(BI41&gt;PR_BalDone,BI41+BI41*(D_iL)-MIN(F_LoanPayM,BI41+BI41*(D_iL)),BI41)</f>
        <v>0</v>
      </c>
      <c r="BK41" s="20" t="n">
        <f aca="false">IF(BJ41&gt;PR_BalDone,BJ41+BJ41*(D_iL)-MIN(F_LoanPayM,BJ41+BJ41*(D_iL)),BJ41)</f>
        <v>0</v>
      </c>
      <c r="BL41" s="20" t="n">
        <f aca="false">IF(BK41&gt;PR_BalDone,BK41+BK41*(D_iL)-MIN(F_LoanPayM,BK41+BK41*(D_iL)),BK41)</f>
        <v>0</v>
      </c>
      <c r="BM41" s="20" t="n">
        <f aca="false">IF(BL41&gt;PR_BalDone,BL41+BL41*(D_iL)-MIN(F_LoanPayM,BL41+BL41*(D_iL)),BL41)</f>
        <v>0</v>
      </c>
      <c r="BN41" s="20" t="n">
        <f aca="false">IF(BM41&gt;PR_BalDone,BM41+BM41*(D_iL)-MIN(F_LoanPayM,BM41+BM41*(D_iL)),BM41)</f>
        <v>0</v>
      </c>
      <c r="BO41" s="20" t="n">
        <f aca="false">IF(BN41&gt;PR_BalDone,BN41+BN41*(D_iL)-MIN(F_LoanPayM,BN41+BN41*(D_iL)),BN41)</f>
        <v>0</v>
      </c>
      <c r="BP41" s="20" t="n">
        <f aca="false">IF(BO41&gt;PR_BalDone,BO41+BO41*(D_iL)-MIN(F_LoanPayM,BO41+BO41*(D_iL)),BO41)</f>
        <v>0</v>
      </c>
      <c r="BQ41" s="20" t="n">
        <f aca="false">IF(BP41&gt;PR_BalDone,BP41+BP41*(D_iL)-MIN(F_LoanPayM,BP41+BP41*(D_iL)),BP41)</f>
        <v>0</v>
      </c>
      <c r="BR41" s="20" t="n">
        <f aca="false">IF(BE41&gt;PR_BalDone,MIN(F_LoanPayM,BE41+BE41*(D_iL)),0)</f>
        <v>0</v>
      </c>
      <c r="BS41" s="20" t="n">
        <f aca="false">IF(BF41&gt;PR_BalDone,MIN(F_LoanPayM,BF41+BF41*(D_iL)),0)</f>
        <v>0</v>
      </c>
      <c r="BT41" s="20" t="n">
        <f aca="false">IF(BG41&gt;PR_BalDone,MIN(F_LoanPayM,BG41+BG41*(D_iL)),0)</f>
        <v>0</v>
      </c>
      <c r="BU41" s="20" t="n">
        <f aca="false">IF(BH41&gt;PR_BalDone,MIN(F_LoanPayM,BH41+BH41*(D_iL)),0)</f>
        <v>0</v>
      </c>
      <c r="BV41" s="20" t="n">
        <f aca="false">IF(BI41&gt;PR_BalDone,MIN(F_LoanPayM,BI41+BI41*(D_iL)),0)</f>
        <v>0</v>
      </c>
      <c r="BW41" s="20" t="n">
        <f aca="false">IF(BJ41&gt;PR_BalDone,MIN(F_LoanPayM,BJ41+BJ41*(D_iL)),0)</f>
        <v>0</v>
      </c>
      <c r="BX41" s="20" t="n">
        <f aca="false">IF(BK41&gt;PR_BalDone,MIN(F_LoanPayM,BK41+BK41*(D_iL)),0)</f>
        <v>0</v>
      </c>
      <c r="BY41" s="20" t="n">
        <f aca="false">IF(BL41&gt;PR_BalDone,MIN(F_LoanPayM,BL41+BL41*(D_iL)),0)</f>
        <v>0</v>
      </c>
      <c r="BZ41" s="20" t="n">
        <f aca="false">IF(BM41&gt;PR_BalDone,MIN(F_LoanPayM,BM41+BM41*(D_iL)),0)</f>
        <v>0</v>
      </c>
      <c r="CA41" s="20" t="n">
        <f aca="false">IF(BN41&gt;PR_BalDone,MIN(F_LoanPayM,BN41+BN41*(D_iL)),0)</f>
        <v>0</v>
      </c>
      <c r="CB41" s="20" t="n">
        <f aca="false">IF(BO41&gt;PR_BalDone,MIN(F_LoanPayM,BO41+BO41*(D_iL)),0)</f>
        <v>0</v>
      </c>
      <c r="CC41" s="20" t="n">
        <f aca="false">IF(BP41&gt;PR_BalDone,MIN(F_LoanPayM,BP41+BP41*(D_iL)),0)</f>
        <v>0</v>
      </c>
      <c r="CD41" s="20" t="n">
        <f aca="false">MAX(0,BQ41)</f>
        <v>0</v>
      </c>
      <c r="CE41" s="20" t="n">
        <f aca="false">SUM(BR41:CC41)</f>
        <v>0</v>
      </c>
      <c r="CF41" s="20" t="n">
        <f aca="false">IF(CF40&gt;1,DE40,CF40)</f>
        <v>0</v>
      </c>
      <c r="CG41" s="20" t="n">
        <f aca="false">IF(CF41&gt;PR_BalDone,CF41+CF41*(F_MR/12)-MIN(F_MortPayM,CF41+CF41*(F_MR/12)),CF41)</f>
        <v>0</v>
      </c>
      <c r="CH41" s="20" t="n">
        <f aca="false">IF(CG41&gt;PR_BalDone,CG41+CG41*(F_MR/12)-MIN(F_MortPayM,CG41+CG41*(F_MR/12)),CG41)</f>
        <v>0</v>
      </c>
      <c r="CI41" s="20" t="n">
        <f aca="false">IF(CH41&gt;PR_BalDone,CH41+CH41*(F_MR/12)-MIN(F_MortPayM,CH41+CH41*(F_MR/12)),CH41)</f>
        <v>0</v>
      </c>
      <c r="CJ41" s="20" t="n">
        <f aca="false">IF(CI41&gt;PR_BalDone,CI41+CI41*(F_MR/12)-MIN(F_MortPayM,CI41+CI41*(F_MR/12)),CI41)</f>
        <v>0</v>
      </c>
      <c r="CK41" s="20" t="n">
        <f aca="false">IF(CJ41&gt;PR_BalDone,CJ41+CJ41*(F_MR/12)-MIN(F_MortPayM,CJ41+CJ41*(F_MR/12)),CJ41)</f>
        <v>0</v>
      </c>
      <c r="CL41" s="20" t="n">
        <f aca="false">IF(CK41&gt;PR_BalDone,CK41+CK41*(F_MR/12)-MIN(F_MortPayM,CK41+CK41*(F_MR/12)),CK41)</f>
        <v>0</v>
      </c>
      <c r="CM41" s="20" t="n">
        <f aca="false">IF(CL41&gt;PR_BalDone,CL41+CL41*(F_MR/12)-MIN(F_MortPayM,CL41+CL41*(F_MR/12)),CL41)</f>
        <v>0</v>
      </c>
      <c r="CN41" s="20" t="n">
        <f aca="false">IF(CM41&gt;PR_BalDone,CM41+CM41*(F_MR/12)-MIN(F_MortPayM,CM41+CM41*(F_MR/12)),CM41)</f>
        <v>0</v>
      </c>
      <c r="CO41" s="20" t="n">
        <f aca="false">IF(CN41&gt;PR_BalDone,CN41+CN41*(F_MR/12)-MIN(F_MortPayM,CN41+CN41*(F_MR/12)),CN41)</f>
        <v>0</v>
      </c>
      <c r="CP41" s="20" t="n">
        <f aca="false">IF(CO41&gt;PR_BalDone,CO41+CO41*(F_MR/12)-MIN(F_MortPayM,CO41+CO41*(F_MR/12)),CO41)</f>
        <v>0</v>
      </c>
      <c r="CQ41" s="20" t="n">
        <f aca="false">IF(CP41&gt;PR_BalDone,CP41+CP41*(F_MR/12)-MIN(F_MortPayM,CP41+CP41*(F_MR/12)),CP41)</f>
        <v>0</v>
      </c>
      <c r="CR41" s="20" t="n">
        <f aca="false">IF(CQ41&gt;PR_BalDone,CQ41+CQ41*(F_MR/12)-MIN(F_MortPayM,CQ41+CQ41*(F_MR/12)),CQ41)</f>
        <v>0</v>
      </c>
      <c r="CS41" s="20" t="n">
        <f aca="false">IF(CF41&gt;PR_BalDone,MIN(F_MortPayM,CF41+CF41*(F_MR/12)),0)</f>
        <v>0</v>
      </c>
      <c r="CT41" s="20" t="n">
        <f aca="false">IF(CG41&gt;PR_BalDone,MIN(F_MortPayM,CG41+CG41*(F_MR/12)),0)</f>
        <v>0</v>
      </c>
      <c r="CU41" s="20" t="n">
        <f aca="false">IF(CH41&gt;PR_BalDone,MIN(F_MortPayM,CH41+CH41*(F_MR/12)),0)</f>
        <v>0</v>
      </c>
      <c r="CV41" s="20" t="n">
        <f aca="false">IF(CI41&gt;PR_BalDone,MIN(F_MortPayM,CI41+CI41*(F_MR/12)),0)</f>
        <v>0</v>
      </c>
      <c r="CW41" s="20" t="n">
        <f aca="false">IF(CJ41&gt;PR_BalDone,MIN(F_MortPayM,CJ41+CJ41*(F_MR/12)),0)</f>
        <v>0</v>
      </c>
      <c r="CX41" s="20" t="n">
        <f aca="false">IF(CK41&gt;PR_BalDone,MIN(F_MortPayM,CK41+CK41*(F_MR/12)),0)</f>
        <v>0</v>
      </c>
      <c r="CY41" s="20" t="n">
        <f aca="false">IF(CL41&gt;PR_BalDone,MIN(F_MortPayM,CL41+CL41*(F_MR/12)),0)</f>
        <v>0</v>
      </c>
      <c r="CZ41" s="20" t="n">
        <f aca="false">IF(CM41&gt;PR_BalDone,MIN(F_MortPayM,CM41+CM41*(F_MR/12)),0)</f>
        <v>0</v>
      </c>
      <c r="DA41" s="20" t="n">
        <f aca="false">IF(CN41&gt;PR_BalDone,MIN(F_MortPayM,CN41+CN41*(F_MR/12)),0)</f>
        <v>0</v>
      </c>
      <c r="DB41" s="20" t="n">
        <f aca="false">IF(CO41&gt;PR_BalDone,MIN(F_MortPayM,CO41+CO41*(F_MR/12)),0)</f>
        <v>0</v>
      </c>
      <c r="DC41" s="20" t="n">
        <f aca="false">IF(CP41&gt;PR_BalDone,MIN(F_MortPayM,CP41+CP41*(F_MR/12)),0)</f>
        <v>0</v>
      </c>
      <c r="DD41" s="20" t="n">
        <f aca="false">IF(CQ41&gt;PR_BalDone,MIN(F_MortPayM,CQ41+CQ41*(F_MR/12)),0)</f>
        <v>0</v>
      </c>
      <c r="DE41" s="20" t="n">
        <f aca="false">MAX(0,CR41)</f>
        <v>0</v>
      </c>
      <c r="DF41" s="20" t="n">
        <f aca="false">SUM(CS41:DD41)</f>
        <v>0</v>
      </c>
      <c r="DG41" s="20" t="n">
        <f aca="false">MAX(0,CF41)</f>
        <v>0</v>
      </c>
    </row>
    <row r="42" customFormat="false" ht="15" hidden="false" customHeight="true" outlineLevel="0" collapsed="false">
      <c r="B42" s="20" t="n">
        <v>34</v>
      </c>
      <c r="C42" s="20" t="n">
        <f aca="false">'Plan cashflow'!J42</f>
        <v>0</v>
      </c>
      <c r="D42" s="20" t="n">
        <f aca="false">IF(C42&gt;PR_BalDone,C42+C42*(F_MR/12)-MIN(F_MortPayM,C42+C42*(F_MR/12)),C42)</f>
        <v>0</v>
      </c>
      <c r="E42" s="20" t="n">
        <f aca="false">IF(D42&gt;PR_BalDone,D42+D42*(F_MR/12)-MIN(F_MortPayM,D42+D42*(F_MR/12)),D42)</f>
        <v>0</v>
      </c>
      <c r="F42" s="20" t="n">
        <f aca="false">IF(E42&gt;PR_BalDone,E42+E42*(F_MR/12)-MIN(F_MortPayM,E42+E42*(F_MR/12)),E42)</f>
        <v>0</v>
      </c>
      <c r="G42" s="20" t="n">
        <f aca="false">IF(F42&gt;PR_BalDone,F42+F42*(F_MR/12)-MIN(F_MortPayM,F42+F42*(F_MR/12)),F42)</f>
        <v>0</v>
      </c>
      <c r="H42" s="20" t="n">
        <f aca="false">IF(G42&gt;PR_BalDone,G42+G42*(F_MR/12)-MIN(F_MortPayM,G42+G42*(F_MR/12)),G42)</f>
        <v>0</v>
      </c>
      <c r="I42" s="20" t="n">
        <f aca="false">IF(H42&gt;PR_BalDone,H42+H42*(F_MR/12)-MIN(F_MortPayM,H42+H42*(F_MR/12)),H42)</f>
        <v>0</v>
      </c>
      <c r="J42" s="20" t="n">
        <f aca="false">IF(I42&gt;PR_BalDone,I42+I42*(F_MR/12)-MIN(F_MortPayM,I42+I42*(F_MR/12)),I42)</f>
        <v>0</v>
      </c>
      <c r="K42" s="20" t="n">
        <f aca="false">IF(J42&gt;PR_BalDone,J42+J42*(F_MR/12)-MIN(F_MortPayM,J42+J42*(F_MR/12)),J42)</f>
        <v>0</v>
      </c>
      <c r="L42" s="20" t="n">
        <f aca="false">IF(K42&gt;PR_BalDone,K42+K42*(F_MR/12)-MIN(F_MortPayM,K42+K42*(F_MR/12)),K42)</f>
        <v>0</v>
      </c>
      <c r="M42" s="20" t="n">
        <f aca="false">IF(L42&gt;PR_BalDone,L42+L42*(F_MR/12)-MIN(F_MortPayM,L42+L42*(F_MR/12)),L42)</f>
        <v>0</v>
      </c>
      <c r="N42" s="20" t="n">
        <f aca="false">IF(M42&gt;PR_BalDone,M42+M42*(F_MR/12)-MIN(F_MortPayM,M42+M42*(F_MR/12)),M42)</f>
        <v>0</v>
      </c>
      <c r="O42" s="20" t="n">
        <f aca="false">IF(N42&gt;PR_BalDone,N42+N42*(F_MR/12)-MIN(F_MortPayM,N42+N42*(F_MR/12)),N42)</f>
        <v>0</v>
      </c>
      <c r="P42" s="20" t="n">
        <f aca="false">IF(C42&gt;PR_BalDone,MIN(F_MortPayM,C42+C42*(F_MR/12)),0)</f>
        <v>0</v>
      </c>
      <c r="Q42" s="20" t="n">
        <f aca="false">IF(D42&gt;PR_BalDone,MIN(F_MortPayM,D42+D42*(F_MR/12)),0)</f>
        <v>0</v>
      </c>
      <c r="R42" s="20" t="n">
        <f aca="false">IF(E42&gt;PR_BalDone,MIN(F_MortPayM,E42+E42*(F_MR/12)),0)</f>
        <v>0</v>
      </c>
      <c r="S42" s="20" t="n">
        <f aca="false">IF(F42&gt;PR_BalDone,MIN(F_MortPayM,F42+F42*(F_MR/12)),0)</f>
        <v>0</v>
      </c>
      <c r="T42" s="20" t="n">
        <f aca="false">IF(G42&gt;PR_BalDone,MIN(F_MortPayM,G42+G42*(F_MR/12)),0)</f>
        <v>0</v>
      </c>
      <c r="U42" s="20" t="n">
        <f aca="false">IF(H42&gt;PR_BalDone,MIN(F_MortPayM,H42+H42*(F_MR/12)),0)</f>
        <v>0</v>
      </c>
      <c r="V42" s="20" t="n">
        <f aca="false">IF(I42&gt;PR_BalDone,MIN(F_MortPayM,I42+I42*(F_MR/12)),0)</f>
        <v>0</v>
      </c>
      <c r="W42" s="20" t="n">
        <f aca="false">IF(J42&gt;PR_BalDone,MIN(F_MortPayM,J42+J42*(F_MR/12)),0)</f>
        <v>0</v>
      </c>
      <c r="X42" s="20" t="n">
        <f aca="false">IF(K42&gt;PR_BalDone,MIN(F_MortPayM,K42+K42*(F_MR/12)),0)</f>
        <v>0</v>
      </c>
      <c r="Y42" s="20" t="n">
        <f aca="false">IF(L42&gt;PR_BalDone,MIN(F_MortPayM,L42+L42*(F_MR/12)),0)</f>
        <v>0</v>
      </c>
      <c r="Z42" s="20" t="n">
        <f aca="false">IF(M42&gt;PR_BalDone,MIN(F_MortPayM,M42+M42*(F_MR/12)),0)</f>
        <v>0</v>
      </c>
      <c r="AA42" s="20" t="n">
        <f aca="false">IF(N42&gt;PR_BalDone,MIN(F_MortPayM,N42+N42*(F_MR/12)),0)</f>
        <v>0</v>
      </c>
      <c r="AB42" s="20" t="n">
        <f aca="false">MAX(0,O42)</f>
        <v>0</v>
      </c>
      <c r="AC42" s="20" t="n">
        <f aca="false">SUM(P42:AA42)</f>
        <v>0</v>
      </c>
      <c r="AD42" s="20" t="n">
        <f aca="false">'Plan cashflow'!M42</f>
        <v>0</v>
      </c>
      <c r="AE42" s="20" t="n">
        <f aca="false">IF(AD42&gt;PR_BalDone,AD42+AD42*(D_iC)-MIN(F_CardPayM,AD42+AD42*(D_iC)),AD42)</f>
        <v>0</v>
      </c>
      <c r="AF42" s="20" t="n">
        <f aca="false">IF(AE42&gt;PR_BalDone,AE42+AE42*(D_iC)-MIN(F_CardPayM,AE42+AE42*(D_iC)),AE42)</f>
        <v>0</v>
      </c>
      <c r="AG42" s="20" t="n">
        <f aca="false">IF(AF42&gt;PR_BalDone,AF42+AF42*(D_iC)-MIN(F_CardPayM,AF42+AF42*(D_iC)),AF42)</f>
        <v>0</v>
      </c>
      <c r="AH42" s="20" t="n">
        <f aca="false">IF(AG42&gt;PR_BalDone,AG42+AG42*(D_iC)-MIN(F_CardPayM,AG42+AG42*(D_iC)),AG42)</f>
        <v>0</v>
      </c>
      <c r="AI42" s="20" t="n">
        <f aca="false">IF(AH42&gt;PR_BalDone,AH42+AH42*(D_iC)-MIN(F_CardPayM,AH42+AH42*(D_iC)),AH42)</f>
        <v>0</v>
      </c>
      <c r="AJ42" s="20" t="n">
        <f aca="false">IF(AI42&gt;PR_BalDone,AI42+AI42*(D_iC)-MIN(F_CardPayM,AI42+AI42*(D_iC)),AI42)</f>
        <v>0</v>
      </c>
      <c r="AK42" s="20" t="n">
        <f aca="false">IF(AJ42&gt;PR_BalDone,AJ42+AJ42*(D_iC)-MIN(F_CardPayM,AJ42+AJ42*(D_iC)),AJ42)</f>
        <v>0</v>
      </c>
      <c r="AL42" s="20" t="n">
        <f aca="false">IF(AK42&gt;PR_BalDone,AK42+AK42*(D_iC)-MIN(F_CardPayM,AK42+AK42*(D_iC)),AK42)</f>
        <v>0</v>
      </c>
      <c r="AM42" s="20" t="n">
        <f aca="false">IF(AL42&gt;PR_BalDone,AL42+AL42*(D_iC)-MIN(F_CardPayM,AL42+AL42*(D_iC)),AL42)</f>
        <v>0</v>
      </c>
      <c r="AN42" s="20" t="n">
        <f aca="false">IF(AM42&gt;PR_BalDone,AM42+AM42*(D_iC)-MIN(F_CardPayM,AM42+AM42*(D_iC)),AM42)</f>
        <v>0</v>
      </c>
      <c r="AO42" s="20" t="n">
        <f aca="false">IF(AN42&gt;PR_BalDone,AN42+AN42*(D_iC)-MIN(F_CardPayM,AN42+AN42*(D_iC)),AN42)</f>
        <v>0</v>
      </c>
      <c r="AP42" s="20" t="n">
        <f aca="false">IF(AO42&gt;PR_BalDone,AO42+AO42*(D_iC)-MIN(F_CardPayM,AO42+AO42*(D_iC)),AO42)</f>
        <v>0</v>
      </c>
      <c r="AQ42" s="20" t="n">
        <f aca="false">IF(AD42&gt;PR_BalDone,MIN(F_CardPayM,AD42+AD42*(D_iC)),0)</f>
        <v>0</v>
      </c>
      <c r="AR42" s="20" t="n">
        <f aca="false">IF(AE42&gt;PR_BalDone,MIN(F_CardPayM,AE42+AE42*(D_iC)),0)</f>
        <v>0</v>
      </c>
      <c r="AS42" s="20" t="n">
        <f aca="false">IF(AF42&gt;PR_BalDone,MIN(F_CardPayM,AF42+AF42*(D_iC)),0)</f>
        <v>0</v>
      </c>
      <c r="AT42" s="20" t="n">
        <f aca="false">IF(AG42&gt;PR_BalDone,MIN(F_CardPayM,AG42+AG42*(D_iC)),0)</f>
        <v>0</v>
      </c>
      <c r="AU42" s="20" t="n">
        <f aca="false">IF(AH42&gt;PR_BalDone,MIN(F_CardPayM,AH42+AH42*(D_iC)),0)</f>
        <v>0</v>
      </c>
      <c r="AV42" s="20" t="n">
        <f aca="false">IF(AI42&gt;PR_BalDone,MIN(F_CardPayM,AI42+AI42*(D_iC)),0)</f>
        <v>0</v>
      </c>
      <c r="AW42" s="20" t="n">
        <f aca="false">IF(AJ42&gt;PR_BalDone,MIN(F_CardPayM,AJ42+AJ42*(D_iC)),0)</f>
        <v>0</v>
      </c>
      <c r="AX42" s="20" t="n">
        <f aca="false">IF(AK42&gt;PR_BalDone,MIN(F_CardPayM,AK42+AK42*(D_iC)),0)</f>
        <v>0</v>
      </c>
      <c r="AY42" s="20" t="n">
        <f aca="false">IF(AL42&gt;PR_BalDone,MIN(F_CardPayM,AL42+AL42*(D_iC)),0)</f>
        <v>0</v>
      </c>
      <c r="AZ42" s="20" t="n">
        <f aca="false">IF(AM42&gt;PR_BalDone,MIN(F_CardPayM,AM42+AM42*(D_iC)),0)</f>
        <v>0</v>
      </c>
      <c r="BA42" s="20" t="n">
        <f aca="false">IF(AN42&gt;PR_BalDone,MIN(F_CardPayM,AN42+AN42*(D_iC)),0)</f>
        <v>0</v>
      </c>
      <c r="BB42" s="20" t="n">
        <f aca="false">IF(AO42&gt;PR_BalDone,MIN(F_CardPayM,AO42+AO42*(D_iC)),0)</f>
        <v>0</v>
      </c>
      <c r="BC42" s="20" t="n">
        <f aca="false">MAX(0,AP42)</f>
        <v>0</v>
      </c>
      <c r="BD42" s="20" t="n">
        <f aca="false">SUM(AQ42:BB42)</f>
        <v>0</v>
      </c>
      <c r="BE42" s="20" t="n">
        <f aca="false">'Plan cashflow'!P42</f>
        <v>0</v>
      </c>
      <c r="BF42" s="20" t="n">
        <f aca="false">IF(BE42&gt;PR_BalDone,BE42+BE42*(D_iL)-MIN(F_LoanPayM,BE42+BE42*(D_iL)),BE42)</f>
        <v>0</v>
      </c>
      <c r="BG42" s="20" t="n">
        <f aca="false">IF(BF42&gt;PR_BalDone,BF42+BF42*(D_iL)-MIN(F_LoanPayM,BF42+BF42*(D_iL)),BF42)</f>
        <v>0</v>
      </c>
      <c r="BH42" s="20" t="n">
        <f aca="false">IF(BG42&gt;PR_BalDone,BG42+BG42*(D_iL)-MIN(F_LoanPayM,BG42+BG42*(D_iL)),BG42)</f>
        <v>0</v>
      </c>
      <c r="BI42" s="20" t="n">
        <f aca="false">IF(BH42&gt;PR_BalDone,BH42+BH42*(D_iL)-MIN(F_LoanPayM,BH42+BH42*(D_iL)),BH42)</f>
        <v>0</v>
      </c>
      <c r="BJ42" s="20" t="n">
        <f aca="false">IF(BI42&gt;PR_BalDone,BI42+BI42*(D_iL)-MIN(F_LoanPayM,BI42+BI42*(D_iL)),BI42)</f>
        <v>0</v>
      </c>
      <c r="BK42" s="20" t="n">
        <f aca="false">IF(BJ42&gt;PR_BalDone,BJ42+BJ42*(D_iL)-MIN(F_LoanPayM,BJ42+BJ42*(D_iL)),BJ42)</f>
        <v>0</v>
      </c>
      <c r="BL42" s="20" t="n">
        <f aca="false">IF(BK42&gt;PR_BalDone,BK42+BK42*(D_iL)-MIN(F_LoanPayM,BK42+BK42*(D_iL)),BK42)</f>
        <v>0</v>
      </c>
      <c r="BM42" s="20" t="n">
        <f aca="false">IF(BL42&gt;PR_BalDone,BL42+BL42*(D_iL)-MIN(F_LoanPayM,BL42+BL42*(D_iL)),BL42)</f>
        <v>0</v>
      </c>
      <c r="BN42" s="20" t="n">
        <f aca="false">IF(BM42&gt;PR_BalDone,BM42+BM42*(D_iL)-MIN(F_LoanPayM,BM42+BM42*(D_iL)),BM42)</f>
        <v>0</v>
      </c>
      <c r="BO42" s="20" t="n">
        <f aca="false">IF(BN42&gt;PR_BalDone,BN42+BN42*(D_iL)-MIN(F_LoanPayM,BN42+BN42*(D_iL)),BN42)</f>
        <v>0</v>
      </c>
      <c r="BP42" s="20" t="n">
        <f aca="false">IF(BO42&gt;PR_BalDone,BO42+BO42*(D_iL)-MIN(F_LoanPayM,BO42+BO42*(D_iL)),BO42)</f>
        <v>0</v>
      </c>
      <c r="BQ42" s="20" t="n">
        <f aca="false">IF(BP42&gt;PR_BalDone,BP42+BP42*(D_iL)-MIN(F_LoanPayM,BP42+BP42*(D_iL)),BP42)</f>
        <v>0</v>
      </c>
      <c r="BR42" s="20" t="n">
        <f aca="false">IF(BE42&gt;PR_BalDone,MIN(F_LoanPayM,BE42+BE42*(D_iL)),0)</f>
        <v>0</v>
      </c>
      <c r="BS42" s="20" t="n">
        <f aca="false">IF(BF42&gt;PR_BalDone,MIN(F_LoanPayM,BF42+BF42*(D_iL)),0)</f>
        <v>0</v>
      </c>
      <c r="BT42" s="20" t="n">
        <f aca="false">IF(BG42&gt;PR_BalDone,MIN(F_LoanPayM,BG42+BG42*(D_iL)),0)</f>
        <v>0</v>
      </c>
      <c r="BU42" s="20" t="n">
        <f aca="false">IF(BH42&gt;PR_BalDone,MIN(F_LoanPayM,BH42+BH42*(D_iL)),0)</f>
        <v>0</v>
      </c>
      <c r="BV42" s="20" t="n">
        <f aca="false">IF(BI42&gt;PR_BalDone,MIN(F_LoanPayM,BI42+BI42*(D_iL)),0)</f>
        <v>0</v>
      </c>
      <c r="BW42" s="20" t="n">
        <f aca="false">IF(BJ42&gt;PR_BalDone,MIN(F_LoanPayM,BJ42+BJ42*(D_iL)),0)</f>
        <v>0</v>
      </c>
      <c r="BX42" s="20" t="n">
        <f aca="false">IF(BK42&gt;PR_BalDone,MIN(F_LoanPayM,BK42+BK42*(D_iL)),0)</f>
        <v>0</v>
      </c>
      <c r="BY42" s="20" t="n">
        <f aca="false">IF(BL42&gt;PR_BalDone,MIN(F_LoanPayM,BL42+BL42*(D_iL)),0)</f>
        <v>0</v>
      </c>
      <c r="BZ42" s="20" t="n">
        <f aca="false">IF(BM42&gt;PR_BalDone,MIN(F_LoanPayM,BM42+BM42*(D_iL)),0)</f>
        <v>0</v>
      </c>
      <c r="CA42" s="20" t="n">
        <f aca="false">IF(BN42&gt;PR_BalDone,MIN(F_LoanPayM,BN42+BN42*(D_iL)),0)</f>
        <v>0</v>
      </c>
      <c r="CB42" s="20" t="n">
        <f aca="false">IF(BO42&gt;PR_BalDone,MIN(F_LoanPayM,BO42+BO42*(D_iL)),0)</f>
        <v>0</v>
      </c>
      <c r="CC42" s="20" t="n">
        <f aca="false">IF(BP42&gt;PR_BalDone,MIN(F_LoanPayM,BP42+BP42*(D_iL)),0)</f>
        <v>0</v>
      </c>
      <c r="CD42" s="20" t="n">
        <f aca="false">MAX(0,BQ42)</f>
        <v>0</v>
      </c>
      <c r="CE42" s="20" t="n">
        <f aca="false">SUM(BR42:CC42)</f>
        <v>0</v>
      </c>
      <c r="CF42" s="20" t="n">
        <f aca="false">IF(CF41&gt;1,DE41,CF41)</f>
        <v>0</v>
      </c>
      <c r="CG42" s="20" t="n">
        <f aca="false">IF(CF42&gt;PR_BalDone,CF42+CF42*(F_MR/12)-MIN(F_MortPayM,CF42+CF42*(F_MR/12)),CF42)</f>
        <v>0</v>
      </c>
      <c r="CH42" s="20" t="n">
        <f aca="false">IF(CG42&gt;PR_BalDone,CG42+CG42*(F_MR/12)-MIN(F_MortPayM,CG42+CG42*(F_MR/12)),CG42)</f>
        <v>0</v>
      </c>
      <c r="CI42" s="20" t="n">
        <f aca="false">IF(CH42&gt;PR_BalDone,CH42+CH42*(F_MR/12)-MIN(F_MortPayM,CH42+CH42*(F_MR/12)),CH42)</f>
        <v>0</v>
      </c>
      <c r="CJ42" s="20" t="n">
        <f aca="false">IF(CI42&gt;PR_BalDone,CI42+CI42*(F_MR/12)-MIN(F_MortPayM,CI42+CI42*(F_MR/12)),CI42)</f>
        <v>0</v>
      </c>
      <c r="CK42" s="20" t="n">
        <f aca="false">IF(CJ42&gt;PR_BalDone,CJ42+CJ42*(F_MR/12)-MIN(F_MortPayM,CJ42+CJ42*(F_MR/12)),CJ42)</f>
        <v>0</v>
      </c>
      <c r="CL42" s="20" t="n">
        <f aca="false">IF(CK42&gt;PR_BalDone,CK42+CK42*(F_MR/12)-MIN(F_MortPayM,CK42+CK42*(F_MR/12)),CK42)</f>
        <v>0</v>
      </c>
      <c r="CM42" s="20" t="n">
        <f aca="false">IF(CL42&gt;PR_BalDone,CL42+CL42*(F_MR/12)-MIN(F_MortPayM,CL42+CL42*(F_MR/12)),CL42)</f>
        <v>0</v>
      </c>
      <c r="CN42" s="20" t="n">
        <f aca="false">IF(CM42&gt;PR_BalDone,CM42+CM42*(F_MR/12)-MIN(F_MortPayM,CM42+CM42*(F_MR/12)),CM42)</f>
        <v>0</v>
      </c>
      <c r="CO42" s="20" t="n">
        <f aca="false">IF(CN42&gt;PR_BalDone,CN42+CN42*(F_MR/12)-MIN(F_MortPayM,CN42+CN42*(F_MR/12)),CN42)</f>
        <v>0</v>
      </c>
      <c r="CP42" s="20" t="n">
        <f aca="false">IF(CO42&gt;PR_BalDone,CO42+CO42*(F_MR/12)-MIN(F_MortPayM,CO42+CO42*(F_MR/12)),CO42)</f>
        <v>0</v>
      </c>
      <c r="CQ42" s="20" t="n">
        <f aca="false">IF(CP42&gt;PR_BalDone,CP42+CP42*(F_MR/12)-MIN(F_MortPayM,CP42+CP42*(F_MR/12)),CP42)</f>
        <v>0</v>
      </c>
      <c r="CR42" s="20" t="n">
        <f aca="false">IF(CQ42&gt;PR_BalDone,CQ42+CQ42*(F_MR/12)-MIN(F_MortPayM,CQ42+CQ42*(F_MR/12)),CQ42)</f>
        <v>0</v>
      </c>
      <c r="CS42" s="20" t="n">
        <f aca="false">IF(CF42&gt;PR_BalDone,MIN(F_MortPayM,CF42+CF42*(F_MR/12)),0)</f>
        <v>0</v>
      </c>
      <c r="CT42" s="20" t="n">
        <f aca="false">IF(CG42&gt;PR_BalDone,MIN(F_MortPayM,CG42+CG42*(F_MR/12)),0)</f>
        <v>0</v>
      </c>
      <c r="CU42" s="20" t="n">
        <f aca="false">IF(CH42&gt;PR_BalDone,MIN(F_MortPayM,CH42+CH42*(F_MR/12)),0)</f>
        <v>0</v>
      </c>
      <c r="CV42" s="20" t="n">
        <f aca="false">IF(CI42&gt;PR_BalDone,MIN(F_MortPayM,CI42+CI42*(F_MR/12)),0)</f>
        <v>0</v>
      </c>
      <c r="CW42" s="20" t="n">
        <f aca="false">IF(CJ42&gt;PR_BalDone,MIN(F_MortPayM,CJ42+CJ42*(F_MR/12)),0)</f>
        <v>0</v>
      </c>
      <c r="CX42" s="20" t="n">
        <f aca="false">IF(CK42&gt;PR_BalDone,MIN(F_MortPayM,CK42+CK42*(F_MR/12)),0)</f>
        <v>0</v>
      </c>
      <c r="CY42" s="20" t="n">
        <f aca="false">IF(CL42&gt;PR_BalDone,MIN(F_MortPayM,CL42+CL42*(F_MR/12)),0)</f>
        <v>0</v>
      </c>
      <c r="CZ42" s="20" t="n">
        <f aca="false">IF(CM42&gt;PR_BalDone,MIN(F_MortPayM,CM42+CM42*(F_MR/12)),0)</f>
        <v>0</v>
      </c>
      <c r="DA42" s="20" t="n">
        <f aca="false">IF(CN42&gt;PR_BalDone,MIN(F_MortPayM,CN42+CN42*(F_MR/12)),0)</f>
        <v>0</v>
      </c>
      <c r="DB42" s="20" t="n">
        <f aca="false">IF(CO42&gt;PR_BalDone,MIN(F_MortPayM,CO42+CO42*(F_MR/12)),0)</f>
        <v>0</v>
      </c>
      <c r="DC42" s="20" t="n">
        <f aca="false">IF(CP42&gt;PR_BalDone,MIN(F_MortPayM,CP42+CP42*(F_MR/12)),0)</f>
        <v>0</v>
      </c>
      <c r="DD42" s="20" t="n">
        <f aca="false">IF(CQ42&gt;PR_BalDone,MIN(F_MortPayM,CQ42+CQ42*(F_MR/12)),0)</f>
        <v>0</v>
      </c>
      <c r="DE42" s="20" t="n">
        <f aca="false">MAX(0,CR42)</f>
        <v>0</v>
      </c>
      <c r="DF42" s="20" t="n">
        <f aca="false">SUM(CS42:DD42)</f>
        <v>0</v>
      </c>
      <c r="DG42" s="20" t="n">
        <f aca="false">MAX(0,CF42)</f>
        <v>0</v>
      </c>
    </row>
    <row r="43" customFormat="false" ht="15" hidden="false" customHeight="true" outlineLevel="0" collapsed="false">
      <c r="B43" s="20" t="n">
        <v>35</v>
      </c>
      <c r="C43" s="20" t="n">
        <f aca="false">'Plan cashflow'!J43</f>
        <v>0</v>
      </c>
      <c r="D43" s="20" t="n">
        <f aca="false">IF(C43&gt;PR_BalDone,C43+C43*(F_MR/12)-MIN(F_MortPayM,C43+C43*(F_MR/12)),C43)</f>
        <v>0</v>
      </c>
      <c r="E43" s="20" t="n">
        <f aca="false">IF(D43&gt;PR_BalDone,D43+D43*(F_MR/12)-MIN(F_MortPayM,D43+D43*(F_MR/12)),D43)</f>
        <v>0</v>
      </c>
      <c r="F43" s="20" t="n">
        <f aca="false">IF(E43&gt;PR_BalDone,E43+E43*(F_MR/12)-MIN(F_MortPayM,E43+E43*(F_MR/12)),E43)</f>
        <v>0</v>
      </c>
      <c r="G43" s="20" t="n">
        <f aca="false">IF(F43&gt;PR_BalDone,F43+F43*(F_MR/12)-MIN(F_MortPayM,F43+F43*(F_MR/12)),F43)</f>
        <v>0</v>
      </c>
      <c r="H43" s="20" t="n">
        <f aca="false">IF(G43&gt;PR_BalDone,G43+G43*(F_MR/12)-MIN(F_MortPayM,G43+G43*(F_MR/12)),G43)</f>
        <v>0</v>
      </c>
      <c r="I43" s="20" t="n">
        <f aca="false">IF(H43&gt;PR_BalDone,H43+H43*(F_MR/12)-MIN(F_MortPayM,H43+H43*(F_MR/12)),H43)</f>
        <v>0</v>
      </c>
      <c r="J43" s="20" t="n">
        <f aca="false">IF(I43&gt;PR_BalDone,I43+I43*(F_MR/12)-MIN(F_MortPayM,I43+I43*(F_MR/12)),I43)</f>
        <v>0</v>
      </c>
      <c r="K43" s="20" t="n">
        <f aca="false">IF(J43&gt;PR_BalDone,J43+J43*(F_MR/12)-MIN(F_MortPayM,J43+J43*(F_MR/12)),J43)</f>
        <v>0</v>
      </c>
      <c r="L43" s="20" t="n">
        <f aca="false">IF(K43&gt;PR_BalDone,K43+K43*(F_MR/12)-MIN(F_MortPayM,K43+K43*(F_MR/12)),K43)</f>
        <v>0</v>
      </c>
      <c r="M43" s="20" t="n">
        <f aca="false">IF(L43&gt;PR_BalDone,L43+L43*(F_MR/12)-MIN(F_MortPayM,L43+L43*(F_MR/12)),L43)</f>
        <v>0</v>
      </c>
      <c r="N43" s="20" t="n">
        <f aca="false">IF(M43&gt;PR_BalDone,M43+M43*(F_MR/12)-MIN(F_MortPayM,M43+M43*(F_MR/12)),M43)</f>
        <v>0</v>
      </c>
      <c r="O43" s="20" t="n">
        <f aca="false">IF(N43&gt;PR_BalDone,N43+N43*(F_MR/12)-MIN(F_MortPayM,N43+N43*(F_MR/12)),N43)</f>
        <v>0</v>
      </c>
      <c r="P43" s="20" t="n">
        <f aca="false">IF(C43&gt;PR_BalDone,MIN(F_MortPayM,C43+C43*(F_MR/12)),0)</f>
        <v>0</v>
      </c>
      <c r="Q43" s="20" t="n">
        <f aca="false">IF(D43&gt;PR_BalDone,MIN(F_MortPayM,D43+D43*(F_MR/12)),0)</f>
        <v>0</v>
      </c>
      <c r="R43" s="20" t="n">
        <f aca="false">IF(E43&gt;PR_BalDone,MIN(F_MortPayM,E43+E43*(F_MR/12)),0)</f>
        <v>0</v>
      </c>
      <c r="S43" s="20" t="n">
        <f aca="false">IF(F43&gt;PR_BalDone,MIN(F_MortPayM,F43+F43*(F_MR/12)),0)</f>
        <v>0</v>
      </c>
      <c r="T43" s="20" t="n">
        <f aca="false">IF(G43&gt;PR_BalDone,MIN(F_MortPayM,G43+G43*(F_MR/12)),0)</f>
        <v>0</v>
      </c>
      <c r="U43" s="20" t="n">
        <f aca="false">IF(H43&gt;PR_BalDone,MIN(F_MortPayM,H43+H43*(F_MR/12)),0)</f>
        <v>0</v>
      </c>
      <c r="V43" s="20" t="n">
        <f aca="false">IF(I43&gt;PR_BalDone,MIN(F_MortPayM,I43+I43*(F_MR/12)),0)</f>
        <v>0</v>
      </c>
      <c r="W43" s="20" t="n">
        <f aca="false">IF(J43&gt;PR_BalDone,MIN(F_MortPayM,J43+J43*(F_MR/12)),0)</f>
        <v>0</v>
      </c>
      <c r="X43" s="20" t="n">
        <f aca="false">IF(K43&gt;PR_BalDone,MIN(F_MortPayM,K43+K43*(F_MR/12)),0)</f>
        <v>0</v>
      </c>
      <c r="Y43" s="20" t="n">
        <f aca="false">IF(L43&gt;PR_BalDone,MIN(F_MortPayM,L43+L43*(F_MR/12)),0)</f>
        <v>0</v>
      </c>
      <c r="Z43" s="20" t="n">
        <f aca="false">IF(M43&gt;PR_BalDone,MIN(F_MortPayM,M43+M43*(F_MR/12)),0)</f>
        <v>0</v>
      </c>
      <c r="AA43" s="20" t="n">
        <f aca="false">IF(N43&gt;PR_BalDone,MIN(F_MortPayM,N43+N43*(F_MR/12)),0)</f>
        <v>0</v>
      </c>
      <c r="AB43" s="20" t="n">
        <f aca="false">MAX(0,O43)</f>
        <v>0</v>
      </c>
      <c r="AC43" s="20" t="n">
        <f aca="false">SUM(P43:AA43)</f>
        <v>0</v>
      </c>
      <c r="AD43" s="20" t="n">
        <f aca="false">'Plan cashflow'!M43</f>
        <v>0</v>
      </c>
      <c r="AE43" s="20" t="n">
        <f aca="false">IF(AD43&gt;PR_BalDone,AD43+AD43*(D_iC)-MIN(F_CardPayM,AD43+AD43*(D_iC)),AD43)</f>
        <v>0</v>
      </c>
      <c r="AF43" s="20" t="n">
        <f aca="false">IF(AE43&gt;PR_BalDone,AE43+AE43*(D_iC)-MIN(F_CardPayM,AE43+AE43*(D_iC)),AE43)</f>
        <v>0</v>
      </c>
      <c r="AG43" s="20" t="n">
        <f aca="false">IF(AF43&gt;PR_BalDone,AF43+AF43*(D_iC)-MIN(F_CardPayM,AF43+AF43*(D_iC)),AF43)</f>
        <v>0</v>
      </c>
      <c r="AH43" s="20" t="n">
        <f aca="false">IF(AG43&gt;PR_BalDone,AG43+AG43*(D_iC)-MIN(F_CardPayM,AG43+AG43*(D_iC)),AG43)</f>
        <v>0</v>
      </c>
      <c r="AI43" s="20" t="n">
        <f aca="false">IF(AH43&gt;PR_BalDone,AH43+AH43*(D_iC)-MIN(F_CardPayM,AH43+AH43*(D_iC)),AH43)</f>
        <v>0</v>
      </c>
      <c r="AJ43" s="20" t="n">
        <f aca="false">IF(AI43&gt;PR_BalDone,AI43+AI43*(D_iC)-MIN(F_CardPayM,AI43+AI43*(D_iC)),AI43)</f>
        <v>0</v>
      </c>
      <c r="AK43" s="20" t="n">
        <f aca="false">IF(AJ43&gt;PR_BalDone,AJ43+AJ43*(D_iC)-MIN(F_CardPayM,AJ43+AJ43*(D_iC)),AJ43)</f>
        <v>0</v>
      </c>
      <c r="AL43" s="20" t="n">
        <f aca="false">IF(AK43&gt;PR_BalDone,AK43+AK43*(D_iC)-MIN(F_CardPayM,AK43+AK43*(D_iC)),AK43)</f>
        <v>0</v>
      </c>
      <c r="AM43" s="20" t="n">
        <f aca="false">IF(AL43&gt;PR_BalDone,AL43+AL43*(D_iC)-MIN(F_CardPayM,AL43+AL43*(D_iC)),AL43)</f>
        <v>0</v>
      </c>
      <c r="AN43" s="20" t="n">
        <f aca="false">IF(AM43&gt;PR_BalDone,AM43+AM43*(D_iC)-MIN(F_CardPayM,AM43+AM43*(D_iC)),AM43)</f>
        <v>0</v>
      </c>
      <c r="AO43" s="20" t="n">
        <f aca="false">IF(AN43&gt;PR_BalDone,AN43+AN43*(D_iC)-MIN(F_CardPayM,AN43+AN43*(D_iC)),AN43)</f>
        <v>0</v>
      </c>
      <c r="AP43" s="20" t="n">
        <f aca="false">IF(AO43&gt;PR_BalDone,AO43+AO43*(D_iC)-MIN(F_CardPayM,AO43+AO43*(D_iC)),AO43)</f>
        <v>0</v>
      </c>
      <c r="AQ43" s="20" t="n">
        <f aca="false">IF(AD43&gt;PR_BalDone,MIN(F_CardPayM,AD43+AD43*(D_iC)),0)</f>
        <v>0</v>
      </c>
      <c r="AR43" s="20" t="n">
        <f aca="false">IF(AE43&gt;PR_BalDone,MIN(F_CardPayM,AE43+AE43*(D_iC)),0)</f>
        <v>0</v>
      </c>
      <c r="AS43" s="20" t="n">
        <f aca="false">IF(AF43&gt;PR_BalDone,MIN(F_CardPayM,AF43+AF43*(D_iC)),0)</f>
        <v>0</v>
      </c>
      <c r="AT43" s="20" t="n">
        <f aca="false">IF(AG43&gt;PR_BalDone,MIN(F_CardPayM,AG43+AG43*(D_iC)),0)</f>
        <v>0</v>
      </c>
      <c r="AU43" s="20" t="n">
        <f aca="false">IF(AH43&gt;PR_BalDone,MIN(F_CardPayM,AH43+AH43*(D_iC)),0)</f>
        <v>0</v>
      </c>
      <c r="AV43" s="20" t="n">
        <f aca="false">IF(AI43&gt;PR_BalDone,MIN(F_CardPayM,AI43+AI43*(D_iC)),0)</f>
        <v>0</v>
      </c>
      <c r="AW43" s="20" t="n">
        <f aca="false">IF(AJ43&gt;PR_BalDone,MIN(F_CardPayM,AJ43+AJ43*(D_iC)),0)</f>
        <v>0</v>
      </c>
      <c r="AX43" s="20" t="n">
        <f aca="false">IF(AK43&gt;PR_BalDone,MIN(F_CardPayM,AK43+AK43*(D_iC)),0)</f>
        <v>0</v>
      </c>
      <c r="AY43" s="20" t="n">
        <f aca="false">IF(AL43&gt;PR_BalDone,MIN(F_CardPayM,AL43+AL43*(D_iC)),0)</f>
        <v>0</v>
      </c>
      <c r="AZ43" s="20" t="n">
        <f aca="false">IF(AM43&gt;PR_BalDone,MIN(F_CardPayM,AM43+AM43*(D_iC)),0)</f>
        <v>0</v>
      </c>
      <c r="BA43" s="20" t="n">
        <f aca="false">IF(AN43&gt;PR_BalDone,MIN(F_CardPayM,AN43+AN43*(D_iC)),0)</f>
        <v>0</v>
      </c>
      <c r="BB43" s="20" t="n">
        <f aca="false">IF(AO43&gt;PR_BalDone,MIN(F_CardPayM,AO43+AO43*(D_iC)),0)</f>
        <v>0</v>
      </c>
      <c r="BC43" s="20" t="n">
        <f aca="false">MAX(0,AP43)</f>
        <v>0</v>
      </c>
      <c r="BD43" s="20" t="n">
        <f aca="false">SUM(AQ43:BB43)</f>
        <v>0</v>
      </c>
      <c r="BE43" s="20" t="n">
        <f aca="false">'Plan cashflow'!P43</f>
        <v>0</v>
      </c>
      <c r="BF43" s="20" t="n">
        <f aca="false">IF(BE43&gt;PR_BalDone,BE43+BE43*(D_iL)-MIN(F_LoanPayM,BE43+BE43*(D_iL)),BE43)</f>
        <v>0</v>
      </c>
      <c r="BG43" s="20" t="n">
        <f aca="false">IF(BF43&gt;PR_BalDone,BF43+BF43*(D_iL)-MIN(F_LoanPayM,BF43+BF43*(D_iL)),BF43)</f>
        <v>0</v>
      </c>
      <c r="BH43" s="20" t="n">
        <f aca="false">IF(BG43&gt;PR_BalDone,BG43+BG43*(D_iL)-MIN(F_LoanPayM,BG43+BG43*(D_iL)),BG43)</f>
        <v>0</v>
      </c>
      <c r="BI43" s="20" t="n">
        <f aca="false">IF(BH43&gt;PR_BalDone,BH43+BH43*(D_iL)-MIN(F_LoanPayM,BH43+BH43*(D_iL)),BH43)</f>
        <v>0</v>
      </c>
      <c r="BJ43" s="20" t="n">
        <f aca="false">IF(BI43&gt;PR_BalDone,BI43+BI43*(D_iL)-MIN(F_LoanPayM,BI43+BI43*(D_iL)),BI43)</f>
        <v>0</v>
      </c>
      <c r="BK43" s="20" t="n">
        <f aca="false">IF(BJ43&gt;PR_BalDone,BJ43+BJ43*(D_iL)-MIN(F_LoanPayM,BJ43+BJ43*(D_iL)),BJ43)</f>
        <v>0</v>
      </c>
      <c r="BL43" s="20" t="n">
        <f aca="false">IF(BK43&gt;PR_BalDone,BK43+BK43*(D_iL)-MIN(F_LoanPayM,BK43+BK43*(D_iL)),BK43)</f>
        <v>0</v>
      </c>
      <c r="BM43" s="20" t="n">
        <f aca="false">IF(BL43&gt;PR_BalDone,BL43+BL43*(D_iL)-MIN(F_LoanPayM,BL43+BL43*(D_iL)),BL43)</f>
        <v>0</v>
      </c>
      <c r="BN43" s="20" t="n">
        <f aca="false">IF(BM43&gt;PR_BalDone,BM43+BM43*(D_iL)-MIN(F_LoanPayM,BM43+BM43*(D_iL)),BM43)</f>
        <v>0</v>
      </c>
      <c r="BO43" s="20" t="n">
        <f aca="false">IF(BN43&gt;PR_BalDone,BN43+BN43*(D_iL)-MIN(F_LoanPayM,BN43+BN43*(D_iL)),BN43)</f>
        <v>0</v>
      </c>
      <c r="BP43" s="20" t="n">
        <f aca="false">IF(BO43&gt;PR_BalDone,BO43+BO43*(D_iL)-MIN(F_LoanPayM,BO43+BO43*(D_iL)),BO43)</f>
        <v>0</v>
      </c>
      <c r="BQ43" s="20" t="n">
        <f aca="false">IF(BP43&gt;PR_BalDone,BP43+BP43*(D_iL)-MIN(F_LoanPayM,BP43+BP43*(D_iL)),BP43)</f>
        <v>0</v>
      </c>
      <c r="BR43" s="20" t="n">
        <f aca="false">IF(BE43&gt;PR_BalDone,MIN(F_LoanPayM,BE43+BE43*(D_iL)),0)</f>
        <v>0</v>
      </c>
      <c r="BS43" s="20" t="n">
        <f aca="false">IF(BF43&gt;PR_BalDone,MIN(F_LoanPayM,BF43+BF43*(D_iL)),0)</f>
        <v>0</v>
      </c>
      <c r="BT43" s="20" t="n">
        <f aca="false">IF(BG43&gt;PR_BalDone,MIN(F_LoanPayM,BG43+BG43*(D_iL)),0)</f>
        <v>0</v>
      </c>
      <c r="BU43" s="20" t="n">
        <f aca="false">IF(BH43&gt;PR_BalDone,MIN(F_LoanPayM,BH43+BH43*(D_iL)),0)</f>
        <v>0</v>
      </c>
      <c r="BV43" s="20" t="n">
        <f aca="false">IF(BI43&gt;PR_BalDone,MIN(F_LoanPayM,BI43+BI43*(D_iL)),0)</f>
        <v>0</v>
      </c>
      <c r="BW43" s="20" t="n">
        <f aca="false">IF(BJ43&gt;PR_BalDone,MIN(F_LoanPayM,BJ43+BJ43*(D_iL)),0)</f>
        <v>0</v>
      </c>
      <c r="BX43" s="20" t="n">
        <f aca="false">IF(BK43&gt;PR_BalDone,MIN(F_LoanPayM,BK43+BK43*(D_iL)),0)</f>
        <v>0</v>
      </c>
      <c r="BY43" s="20" t="n">
        <f aca="false">IF(BL43&gt;PR_BalDone,MIN(F_LoanPayM,BL43+BL43*(D_iL)),0)</f>
        <v>0</v>
      </c>
      <c r="BZ43" s="20" t="n">
        <f aca="false">IF(BM43&gt;PR_BalDone,MIN(F_LoanPayM,BM43+BM43*(D_iL)),0)</f>
        <v>0</v>
      </c>
      <c r="CA43" s="20" t="n">
        <f aca="false">IF(BN43&gt;PR_BalDone,MIN(F_LoanPayM,BN43+BN43*(D_iL)),0)</f>
        <v>0</v>
      </c>
      <c r="CB43" s="20" t="n">
        <f aca="false">IF(BO43&gt;PR_BalDone,MIN(F_LoanPayM,BO43+BO43*(D_iL)),0)</f>
        <v>0</v>
      </c>
      <c r="CC43" s="20" t="n">
        <f aca="false">IF(BP43&gt;PR_BalDone,MIN(F_LoanPayM,BP43+BP43*(D_iL)),0)</f>
        <v>0</v>
      </c>
      <c r="CD43" s="20" t="n">
        <f aca="false">MAX(0,BQ43)</f>
        <v>0</v>
      </c>
      <c r="CE43" s="20" t="n">
        <f aca="false">SUM(BR43:CC43)</f>
        <v>0</v>
      </c>
      <c r="CF43" s="20" t="n">
        <f aca="false">IF(CF42&gt;1,DE42,CF42)</f>
        <v>0</v>
      </c>
      <c r="CG43" s="20" t="n">
        <f aca="false">IF(CF43&gt;PR_BalDone,CF43+CF43*(F_MR/12)-MIN(F_MortPayM,CF43+CF43*(F_MR/12)),CF43)</f>
        <v>0</v>
      </c>
      <c r="CH43" s="20" t="n">
        <f aca="false">IF(CG43&gt;PR_BalDone,CG43+CG43*(F_MR/12)-MIN(F_MortPayM,CG43+CG43*(F_MR/12)),CG43)</f>
        <v>0</v>
      </c>
      <c r="CI43" s="20" t="n">
        <f aca="false">IF(CH43&gt;PR_BalDone,CH43+CH43*(F_MR/12)-MIN(F_MortPayM,CH43+CH43*(F_MR/12)),CH43)</f>
        <v>0</v>
      </c>
      <c r="CJ43" s="20" t="n">
        <f aca="false">IF(CI43&gt;PR_BalDone,CI43+CI43*(F_MR/12)-MIN(F_MortPayM,CI43+CI43*(F_MR/12)),CI43)</f>
        <v>0</v>
      </c>
      <c r="CK43" s="20" t="n">
        <f aca="false">IF(CJ43&gt;PR_BalDone,CJ43+CJ43*(F_MR/12)-MIN(F_MortPayM,CJ43+CJ43*(F_MR/12)),CJ43)</f>
        <v>0</v>
      </c>
      <c r="CL43" s="20" t="n">
        <f aca="false">IF(CK43&gt;PR_BalDone,CK43+CK43*(F_MR/12)-MIN(F_MortPayM,CK43+CK43*(F_MR/12)),CK43)</f>
        <v>0</v>
      </c>
      <c r="CM43" s="20" t="n">
        <f aca="false">IF(CL43&gt;PR_BalDone,CL43+CL43*(F_MR/12)-MIN(F_MortPayM,CL43+CL43*(F_MR/12)),CL43)</f>
        <v>0</v>
      </c>
      <c r="CN43" s="20" t="n">
        <f aca="false">IF(CM43&gt;PR_BalDone,CM43+CM43*(F_MR/12)-MIN(F_MortPayM,CM43+CM43*(F_MR/12)),CM43)</f>
        <v>0</v>
      </c>
      <c r="CO43" s="20" t="n">
        <f aca="false">IF(CN43&gt;PR_BalDone,CN43+CN43*(F_MR/12)-MIN(F_MortPayM,CN43+CN43*(F_MR/12)),CN43)</f>
        <v>0</v>
      </c>
      <c r="CP43" s="20" t="n">
        <f aca="false">IF(CO43&gt;PR_BalDone,CO43+CO43*(F_MR/12)-MIN(F_MortPayM,CO43+CO43*(F_MR/12)),CO43)</f>
        <v>0</v>
      </c>
      <c r="CQ43" s="20" t="n">
        <f aca="false">IF(CP43&gt;PR_BalDone,CP43+CP43*(F_MR/12)-MIN(F_MortPayM,CP43+CP43*(F_MR/12)),CP43)</f>
        <v>0</v>
      </c>
      <c r="CR43" s="20" t="n">
        <f aca="false">IF(CQ43&gt;PR_BalDone,CQ43+CQ43*(F_MR/12)-MIN(F_MortPayM,CQ43+CQ43*(F_MR/12)),CQ43)</f>
        <v>0</v>
      </c>
      <c r="CS43" s="20" t="n">
        <f aca="false">IF(CF43&gt;PR_BalDone,MIN(F_MortPayM,CF43+CF43*(F_MR/12)),0)</f>
        <v>0</v>
      </c>
      <c r="CT43" s="20" t="n">
        <f aca="false">IF(CG43&gt;PR_BalDone,MIN(F_MortPayM,CG43+CG43*(F_MR/12)),0)</f>
        <v>0</v>
      </c>
      <c r="CU43" s="20" t="n">
        <f aca="false">IF(CH43&gt;PR_BalDone,MIN(F_MortPayM,CH43+CH43*(F_MR/12)),0)</f>
        <v>0</v>
      </c>
      <c r="CV43" s="20" t="n">
        <f aca="false">IF(CI43&gt;PR_BalDone,MIN(F_MortPayM,CI43+CI43*(F_MR/12)),0)</f>
        <v>0</v>
      </c>
      <c r="CW43" s="20" t="n">
        <f aca="false">IF(CJ43&gt;PR_BalDone,MIN(F_MortPayM,CJ43+CJ43*(F_MR/12)),0)</f>
        <v>0</v>
      </c>
      <c r="CX43" s="20" t="n">
        <f aca="false">IF(CK43&gt;PR_BalDone,MIN(F_MortPayM,CK43+CK43*(F_MR/12)),0)</f>
        <v>0</v>
      </c>
      <c r="CY43" s="20" t="n">
        <f aca="false">IF(CL43&gt;PR_BalDone,MIN(F_MortPayM,CL43+CL43*(F_MR/12)),0)</f>
        <v>0</v>
      </c>
      <c r="CZ43" s="20" t="n">
        <f aca="false">IF(CM43&gt;PR_BalDone,MIN(F_MortPayM,CM43+CM43*(F_MR/12)),0)</f>
        <v>0</v>
      </c>
      <c r="DA43" s="20" t="n">
        <f aca="false">IF(CN43&gt;PR_BalDone,MIN(F_MortPayM,CN43+CN43*(F_MR/12)),0)</f>
        <v>0</v>
      </c>
      <c r="DB43" s="20" t="n">
        <f aca="false">IF(CO43&gt;PR_BalDone,MIN(F_MortPayM,CO43+CO43*(F_MR/12)),0)</f>
        <v>0</v>
      </c>
      <c r="DC43" s="20" t="n">
        <f aca="false">IF(CP43&gt;PR_BalDone,MIN(F_MortPayM,CP43+CP43*(F_MR/12)),0)</f>
        <v>0</v>
      </c>
      <c r="DD43" s="20" t="n">
        <f aca="false">IF(CQ43&gt;PR_BalDone,MIN(F_MortPayM,CQ43+CQ43*(F_MR/12)),0)</f>
        <v>0</v>
      </c>
      <c r="DE43" s="20" t="n">
        <f aca="false">MAX(0,CR43)</f>
        <v>0</v>
      </c>
      <c r="DF43" s="20" t="n">
        <f aca="false">SUM(CS43:DD43)</f>
        <v>0</v>
      </c>
      <c r="DG43" s="20" t="n">
        <f aca="false">MAX(0,CF43)</f>
        <v>0</v>
      </c>
    </row>
    <row r="44" customFormat="false" ht="15" hidden="false" customHeight="true" outlineLevel="0" collapsed="false">
      <c r="B44" s="20" t="n">
        <v>36</v>
      </c>
      <c r="C44" s="20" t="n">
        <f aca="false">'Plan cashflow'!J44</f>
        <v>0</v>
      </c>
      <c r="D44" s="20" t="n">
        <f aca="false">IF(C44&gt;PR_BalDone,C44+C44*(F_MR/12)-MIN(F_MortPayM,C44+C44*(F_MR/12)),C44)</f>
        <v>0</v>
      </c>
      <c r="E44" s="20" t="n">
        <f aca="false">IF(D44&gt;PR_BalDone,D44+D44*(F_MR/12)-MIN(F_MortPayM,D44+D44*(F_MR/12)),D44)</f>
        <v>0</v>
      </c>
      <c r="F44" s="20" t="n">
        <f aca="false">IF(E44&gt;PR_BalDone,E44+E44*(F_MR/12)-MIN(F_MortPayM,E44+E44*(F_MR/12)),E44)</f>
        <v>0</v>
      </c>
      <c r="G44" s="20" t="n">
        <f aca="false">IF(F44&gt;PR_BalDone,F44+F44*(F_MR/12)-MIN(F_MortPayM,F44+F44*(F_MR/12)),F44)</f>
        <v>0</v>
      </c>
      <c r="H44" s="20" t="n">
        <f aca="false">IF(G44&gt;PR_BalDone,G44+G44*(F_MR/12)-MIN(F_MortPayM,G44+G44*(F_MR/12)),G44)</f>
        <v>0</v>
      </c>
      <c r="I44" s="20" t="n">
        <f aca="false">IF(H44&gt;PR_BalDone,H44+H44*(F_MR/12)-MIN(F_MortPayM,H44+H44*(F_MR/12)),H44)</f>
        <v>0</v>
      </c>
      <c r="J44" s="20" t="n">
        <f aca="false">IF(I44&gt;PR_BalDone,I44+I44*(F_MR/12)-MIN(F_MortPayM,I44+I44*(F_MR/12)),I44)</f>
        <v>0</v>
      </c>
      <c r="K44" s="20" t="n">
        <f aca="false">IF(J44&gt;PR_BalDone,J44+J44*(F_MR/12)-MIN(F_MortPayM,J44+J44*(F_MR/12)),J44)</f>
        <v>0</v>
      </c>
      <c r="L44" s="20" t="n">
        <f aca="false">IF(K44&gt;PR_BalDone,K44+K44*(F_MR/12)-MIN(F_MortPayM,K44+K44*(F_MR/12)),K44)</f>
        <v>0</v>
      </c>
      <c r="M44" s="20" t="n">
        <f aca="false">IF(L44&gt;PR_BalDone,L44+L44*(F_MR/12)-MIN(F_MortPayM,L44+L44*(F_MR/12)),L44)</f>
        <v>0</v>
      </c>
      <c r="N44" s="20" t="n">
        <f aca="false">IF(M44&gt;PR_BalDone,M44+M44*(F_MR/12)-MIN(F_MortPayM,M44+M44*(F_MR/12)),M44)</f>
        <v>0</v>
      </c>
      <c r="O44" s="20" t="n">
        <f aca="false">IF(N44&gt;PR_BalDone,N44+N44*(F_MR/12)-MIN(F_MortPayM,N44+N44*(F_MR/12)),N44)</f>
        <v>0</v>
      </c>
      <c r="P44" s="20" t="n">
        <f aca="false">IF(C44&gt;PR_BalDone,MIN(F_MortPayM,C44+C44*(F_MR/12)),0)</f>
        <v>0</v>
      </c>
      <c r="Q44" s="20" t="n">
        <f aca="false">IF(D44&gt;PR_BalDone,MIN(F_MortPayM,D44+D44*(F_MR/12)),0)</f>
        <v>0</v>
      </c>
      <c r="R44" s="20" t="n">
        <f aca="false">IF(E44&gt;PR_BalDone,MIN(F_MortPayM,E44+E44*(F_MR/12)),0)</f>
        <v>0</v>
      </c>
      <c r="S44" s="20" t="n">
        <f aca="false">IF(F44&gt;PR_BalDone,MIN(F_MortPayM,F44+F44*(F_MR/12)),0)</f>
        <v>0</v>
      </c>
      <c r="T44" s="20" t="n">
        <f aca="false">IF(G44&gt;PR_BalDone,MIN(F_MortPayM,G44+G44*(F_MR/12)),0)</f>
        <v>0</v>
      </c>
      <c r="U44" s="20" t="n">
        <f aca="false">IF(H44&gt;PR_BalDone,MIN(F_MortPayM,H44+H44*(F_MR/12)),0)</f>
        <v>0</v>
      </c>
      <c r="V44" s="20" t="n">
        <f aca="false">IF(I44&gt;PR_BalDone,MIN(F_MortPayM,I44+I44*(F_MR/12)),0)</f>
        <v>0</v>
      </c>
      <c r="W44" s="20" t="n">
        <f aca="false">IF(J44&gt;PR_BalDone,MIN(F_MortPayM,J44+J44*(F_MR/12)),0)</f>
        <v>0</v>
      </c>
      <c r="X44" s="20" t="n">
        <f aca="false">IF(K44&gt;PR_BalDone,MIN(F_MortPayM,K44+K44*(F_MR/12)),0)</f>
        <v>0</v>
      </c>
      <c r="Y44" s="20" t="n">
        <f aca="false">IF(L44&gt;PR_BalDone,MIN(F_MortPayM,L44+L44*(F_MR/12)),0)</f>
        <v>0</v>
      </c>
      <c r="Z44" s="20" t="n">
        <f aca="false">IF(M44&gt;PR_BalDone,MIN(F_MortPayM,M44+M44*(F_MR/12)),0)</f>
        <v>0</v>
      </c>
      <c r="AA44" s="20" t="n">
        <f aca="false">IF(N44&gt;PR_BalDone,MIN(F_MortPayM,N44+N44*(F_MR/12)),0)</f>
        <v>0</v>
      </c>
      <c r="AB44" s="20" t="n">
        <f aca="false">MAX(0,O44)</f>
        <v>0</v>
      </c>
      <c r="AC44" s="20" t="n">
        <f aca="false">SUM(P44:AA44)</f>
        <v>0</v>
      </c>
      <c r="AD44" s="20" t="n">
        <f aca="false">'Plan cashflow'!M44</f>
        <v>0</v>
      </c>
      <c r="AE44" s="20" t="n">
        <f aca="false">IF(AD44&gt;PR_BalDone,AD44+AD44*(D_iC)-MIN(F_CardPayM,AD44+AD44*(D_iC)),AD44)</f>
        <v>0</v>
      </c>
      <c r="AF44" s="20" t="n">
        <f aca="false">IF(AE44&gt;PR_BalDone,AE44+AE44*(D_iC)-MIN(F_CardPayM,AE44+AE44*(D_iC)),AE44)</f>
        <v>0</v>
      </c>
      <c r="AG44" s="20" t="n">
        <f aca="false">IF(AF44&gt;PR_BalDone,AF44+AF44*(D_iC)-MIN(F_CardPayM,AF44+AF44*(D_iC)),AF44)</f>
        <v>0</v>
      </c>
      <c r="AH44" s="20" t="n">
        <f aca="false">IF(AG44&gt;PR_BalDone,AG44+AG44*(D_iC)-MIN(F_CardPayM,AG44+AG44*(D_iC)),AG44)</f>
        <v>0</v>
      </c>
      <c r="AI44" s="20" t="n">
        <f aca="false">IF(AH44&gt;PR_BalDone,AH44+AH44*(D_iC)-MIN(F_CardPayM,AH44+AH44*(D_iC)),AH44)</f>
        <v>0</v>
      </c>
      <c r="AJ44" s="20" t="n">
        <f aca="false">IF(AI44&gt;PR_BalDone,AI44+AI44*(D_iC)-MIN(F_CardPayM,AI44+AI44*(D_iC)),AI44)</f>
        <v>0</v>
      </c>
      <c r="AK44" s="20" t="n">
        <f aca="false">IF(AJ44&gt;PR_BalDone,AJ44+AJ44*(D_iC)-MIN(F_CardPayM,AJ44+AJ44*(D_iC)),AJ44)</f>
        <v>0</v>
      </c>
      <c r="AL44" s="20" t="n">
        <f aca="false">IF(AK44&gt;PR_BalDone,AK44+AK44*(D_iC)-MIN(F_CardPayM,AK44+AK44*(D_iC)),AK44)</f>
        <v>0</v>
      </c>
      <c r="AM44" s="20" t="n">
        <f aca="false">IF(AL44&gt;PR_BalDone,AL44+AL44*(D_iC)-MIN(F_CardPayM,AL44+AL44*(D_iC)),AL44)</f>
        <v>0</v>
      </c>
      <c r="AN44" s="20" t="n">
        <f aca="false">IF(AM44&gt;PR_BalDone,AM44+AM44*(D_iC)-MIN(F_CardPayM,AM44+AM44*(D_iC)),AM44)</f>
        <v>0</v>
      </c>
      <c r="AO44" s="20" t="n">
        <f aca="false">IF(AN44&gt;PR_BalDone,AN44+AN44*(D_iC)-MIN(F_CardPayM,AN44+AN44*(D_iC)),AN44)</f>
        <v>0</v>
      </c>
      <c r="AP44" s="20" t="n">
        <f aca="false">IF(AO44&gt;PR_BalDone,AO44+AO44*(D_iC)-MIN(F_CardPayM,AO44+AO44*(D_iC)),AO44)</f>
        <v>0</v>
      </c>
      <c r="AQ44" s="20" t="n">
        <f aca="false">IF(AD44&gt;PR_BalDone,MIN(F_CardPayM,AD44+AD44*(D_iC)),0)</f>
        <v>0</v>
      </c>
      <c r="AR44" s="20" t="n">
        <f aca="false">IF(AE44&gt;PR_BalDone,MIN(F_CardPayM,AE44+AE44*(D_iC)),0)</f>
        <v>0</v>
      </c>
      <c r="AS44" s="20" t="n">
        <f aca="false">IF(AF44&gt;PR_BalDone,MIN(F_CardPayM,AF44+AF44*(D_iC)),0)</f>
        <v>0</v>
      </c>
      <c r="AT44" s="20" t="n">
        <f aca="false">IF(AG44&gt;PR_BalDone,MIN(F_CardPayM,AG44+AG44*(D_iC)),0)</f>
        <v>0</v>
      </c>
      <c r="AU44" s="20" t="n">
        <f aca="false">IF(AH44&gt;PR_BalDone,MIN(F_CardPayM,AH44+AH44*(D_iC)),0)</f>
        <v>0</v>
      </c>
      <c r="AV44" s="20" t="n">
        <f aca="false">IF(AI44&gt;PR_BalDone,MIN(F_CardPayM,AI44+AI44*(D_iC)),0)</f>
        <v>0</v>
      </c>
      <c r="AW44" s="20" t="n">
        <f aca="false">IF(AJ44&gt;PR_BalDone,MIN(F_CardPayM,AJ44+AJ44*(D_iC)),0)</f>
        <v>0</v>
      </c>
      <c r="AX44" s="20" t="n">
        <f aca="false">IF(AK44&gt;PR_BalDone,MIN(F_CardPayM,AK44+AK44*(D_iC)),0)</f>
        <v>0</v>
      </c>
      <c r="AY44" s="20" t="n">
        <f aca="false">IF(AL44&gt;PR_BalDone,MIN(F_CardPayM,AL44+AL44*(D_iC)),0)</f>
        <v>0</v>
      </c>
      <c r="AZ44" s="20" t="n">
        <f aca="false">IF(AM44&gt;PR_BalDone,MIN(F_CardPayM,AM44+AM44*(D_iC)),0)</f>
        <v>0</v>
      </c>
      <c r="BA44" s="20" t="n">
        <f aca="false">IF(AN44&gt;PR_BalDone,MIN(F_CardPayM,AN44+AN44*(D_iC)),0)</f>
        <v>0</v>
      </c>
      <c r="BB44" s="20" t="n">
        <f aca="false">IF(AO44&gt;PR_BalDone,MIN(F_CardPayM,AO44+AO44*(D_iC)),0)</f>
        <v>0</v>
      </c>
      <c r="BC44" s="20" t="n">
        <f aca="false">MAX(0,AP44)</f>
        <v>0</v>
      </c>
      <c r="BD44" s="20" t="n">
        <f aca="false">SUM(AQ44:BB44)</f>
        <v>0</v>
      </c>
      <c r="BE44" s="20" t="n">
        <f aca="false">'Plan cashflow'!P44</f>
        <v>0</v>
      </c>
      <c r="BF44" s="20" t="n">
        <f aca="false">IF(BE44&gt;PR_BalDone,BE44+BE44*(D_iL)-MIN(F_LoanPayM,BE44+BE44*(D_iL)),BE44)</f>
        <v>0</v>
      </c>
      <c r="BG44" s="20" t="n">
        <f aca="false">IF(BF44&gt;PR_BalDone,BF44+BF44*(D_iL)-MIN(F_LoanPayM,BF44+BF44*(D_iL)),BF44)</f>
        <v>0</v>
      </c>
      <c r="BH44" s="20" t="n">
        <f aca="false">IF(BG44&gt;PR_BalDone,BG44+BG44*(D_iL)-MIN(F_LoanPayM,BG44+BG44*(D_iL)),BG44)</f>
        <v>0</v>
      </c>
      <c r="BI44" s="20" t="n">
        <f aca="false">IF(BH44&gt;PR_BalDone,BH44+BH44*(D_iL)-MIN(F_LoanPayM,BH44+BH44*(D_iL)),BH44)</f>
        <v>0</v>
      </c>
      <c r="BJ44" s="20" t="n">
        <f aca="false">IF(BI44&gt;PR_BalDone,BI44+BI44*(D_iL)-MIN(F_LoanPayM,BI44+BI44*(D_iL)),BI44)</f>
        <v>0</v>
      </c>
      <c r="BK44" s="20" t="n">
        <f aca="false">IF(BJ44&gt;PR_BalDone,BJ44+BJ44*(D_iL)-MIN(F_LoanPayM,BJ44+BJ44*(D_iL)),BJ44)</f>
        <v>0</v>
      </c>
      <c r="BL44" s="20" t="n">
        <f aca="false">IF(BK44&gt;PR_BalDone,BK44+BK44*(D_iL)-MIN(F_LoanPayM,BK44+BK44*(D_iL)),BK44)</f>
        <v>0</v>
      </c>
      <c r="BM44" s="20" t="n">
        <f aca="false">IF(BL44&gt;PR_BalDone,BL44+BL44*(D_iL)-MIN(F_LoanPayM,BL44+BL44*(D_iL)),BL44)</f>
        <v>0</v>
      </c>
      <c r="BN44" s="20" t="n">
        <f aca="false">IF(BM44&gt;PR_BalDone,BM44+BM44*(D_iL)-MIN(F_LoanPayM,BM44+BM44*(D_iL)),BM44)</f>
        <v>0</v>
      </c>
      <c r="BO44" s="20" t="n">
        <f aca="false">IF(BN44&gt;PR_BalDone,BN44+BN44*(D_iL)-MIN(F_LoanPayM,BN44+BN44*(D_iL)),BN44)</f>
        <v>0</v>
      </c>
      <c r="BP44" s="20" t="n">
        <f aca="false">IF(BO44&gt;PR_BalDone,BO44+BO44*(D_iL)-MIN(F_LoanPayM,BO44+BO44*(D_iL)),BO44)</f>
        <v>0</v>
      </c>
      <c r="BQ44" s="20" t="n">
        <f aca="false">IF(BP44&gt;PR_BalDone,BP44+BP44*(D_iL)-MIN(F_LoanPayM,BP44+BP44*(D_iL)),BP44)</f>
        <v>0</v>
      </c>
      <c r="BR44" s="20" t="n">
        <f aca="false">IF(BE44&gt;PR_BalDone,MIN(F_LoanPayM,BE44+BE44*(D_iL)),0)</f>
        <v>0</v>
      </c>
      <c r="BS44" s="20" t="n">
        <f aca="false">IF(BF44&gt;PR_BalDone,MIN(F_LoanPayM,BF44+BF44*(D_iL)),0)</f>
        <v>0</v>
      </c>
      <c r="BT44" s="20" t="n">
        <f aca="false">IF(BG44&gt;PR_BalDone,MIN(F_LoanPayM,BG44+BG44*(D_iL)),0)</f>
        <v>0</v>
      </c>
      <c r="BU44" s="20" t="n">
        <f aca="false">IF(BH44&gt;PR_BalDone,MIN(F_LoanPayM,BH44+BH44*(D_iL)),0)</f>
        <v>0</v>
      </c>
      <c r="BV44" s="20" t="n">
        <f aca="false">IF(BI44&gt;PR_BalDone,MIN(F_LoanPayM,BI44+BI44*(D_iL)),0)</f>
        <v>0</v>
      </c>
      <c r="BW44" s="20" t="n">
        <f aca="false">IF(BJ44&gt;PR_BalDone,MIN(F_LoanPayM,BJ44+BJ44*(D_iL)),0)</f>
        <v>0</v>
      </c>
      <c r="BX44" s="20" t="n">
        <f aca="false">IF(BK44&gt;PR_BalDone,MIN(F_LoanPayM,BK44+BK44*(D_iL)),0)</f>
        <v>0</v>
      </c>
      <c r="BY44" s="20" t="n">
        <f aca="false">IF(BL44&gt;PR_BalDone,MIN(F_LoanPayM,BL44+BL44*(D_iL)),0)</f>
        <v>0</v>
      </c>
      <c r="BZ44" s="20" t="n">
        <f aca="false">IF(BM44&gt;PR_BalDone,MIN(F_LoanPayM,BM44+BM44*(D_iL)),0)</f>
        <v>0</v>
      </c>
      <c r="CA44" s="20" t="n">
        <f aca="false">IF(BN44&gt;PR_BalDone,MIN(F_LoanPayM,BN44+BN44*(D_iL)),0)</f>
        <v>0</v>
      </c>
      <c r="CB44" s="20" t="n">
        <f aca="false">IF(BO44&gt;PR_BalDone,MIN(F_LoanPayM,BO44+BO44*(D_iL)),0)</f>
        <v>0</v>
      </c>
      <c r="CC44" s="20" t="n">
        <f aca="false">IF(BP44&gt;PR_BalDone,MIN(F_LoanPayM,BP44+BP44*(D_iL)),0)</f>
        <v>0</v>
      </c>
      <c r="CD44" s="20" t="n">
        <f aca="false">MAX(0,BQ44)</f>
        <v>0</v>
      </c>
      <c r="CE44" s="20" t="n">
        <f aca="false">SUM(BR44:CC44)</f>
        <v>0</v>
      </c>
      <c r="CF44" s="20" t="n">
        <f aca="false">IF(CF43&gt;1,DE43,CF43)</f>
        <v>0</v>
      </c>
      <c r="CG44" s="20" t="n">
        <f aca="false">IF(CF44&gt;PR_BalDone,CF44+CF44*(F_MR/12)-MIN(F_MortPayM,CF44+CF44*(F_MR/12)),CF44)</f>
        <v>0</v>
      </c>
      <c r="CH44" s="20" t="n">
        <f aca="false">IF(CG44&gt;PR_BalDone,CG44+CG44*(F_MR/12)-MIN(F_MortPayM,CG44+CG44*(F_MR/12)),CG44)</f>
        <v>0</v>
      </c>
      <c r="CI44" s="20" t="n">
        <f aca="false">IF(CH44&gt;PR_BalDone,CH44+CH44*(F_MR/12)-MIN(F_MortPayM,CH44+CH44*(F_MR/12)),CH44)</f>
        <v>0</v>
      </c>
      <c r="CJ44" s="20" t="n">
        <f aca="false">IF(CI44&gt;PR_BalDone,CI44+CI44*(F_MR/12)-MIN(F_MortPayM,CI44+CI44*(F_MR/12)),CI44)</f>
        <v>0</v>
      </c>
      <c r="CK44" s="20" t="n">
        <f aca="false">IF(CJ44&gt;PR_BalDone,CJ44+CJ44*(F_MR/12)-MIN(F_MortPayM,CJ44+CJ44*(F_MR/12)),CJ44)</f>
        <v>0</v>
      </c>
      <c r="CL44" s="20" t="n">
        <f aca="false">IF(CK44&gt;PR_BalDone,CK44+CK44*(F_MR/12)-MIN(F_MortPayM,CK44+CK44*(F_MR/12)),CK44)</f>
        <v>0</v>
      </c>
      <c r="CM44" s="20" t="n">
        <f aca="false">IF(CL44&gt;PR_BalDone,CL44+CL44*(F_MR/12)-MIN(F_MortPayM,CL44+CL44*(F_MR/12)),CL44)</f>
        <v>0</v>
      </c>
      <c r="CN44" s="20" t="n">
        <f aca="false">IF(CM44&gt;PR_BalDone,CM44+CM44*(F_MR/12)-MIN(F_MortPayM,CM44+CM44*(F_MR/12)),CM44)</f>
        <v>0</v>
      </c>
      <c r="CO44" s="20" t="n">
        <f aca="false">IF(CN44&gt;PR_BalDone,CN44+CN44*(F_MR/12)-MIN(F_MortPayM,CN44+CN44*(F_MR/12)),CN44)</f>
        <v>0</v>
      </c>
      <c r="CP44" s="20" t="n">
        <f aca="false">IF(CO44&gt;PR_BalDone,CO44+CO44*(F_MR/12)-MIN(F_MortPayM,CO44+CO44*(F_MR/12)),CO44)</f>
        <v>0</v>
      </c>
      <c r="CQ44" s="20" t="n">
        <f aca="false">IF(CP44&gt;PR_BalDone,CP44+CP44*(F_MR/12)-MIN(F_MortPayM,CP44+CP44*(F_MR/12)),CP44)</f>
        <v>0</v>
      </c>
      <c r="CR44" s="20" t="n">
        <f aca="false">IF(CQ44&gt;PR_BalDone,CQ44+CQ44*(F_MR/12)-MIN(F_MortPayM,CQ44+CQ44*(F_MR/12)),CQ44)</f>
        <v>0</v>
      </c>
      <c r="CS44" s="20" t="n">
        <f aca="false">IF(CF44&gt;PR_BalDone,MIN(F_MortPayM,CF44+CF44*(F_MR/12)),0)</f>
        <v>0</v>
      </c>
      <c r="CT44" s="20" t="n">
        <f aca="false">IF(CG44&gt;PR_BalDone,MIN(F_MortPayM,CG44+CG44*(F_MR/12)),0)</f>
        <v>0</v>
      </c>
      <c r="CU44" s="20" t="n">
        <f aca="false">IF(CH44&gt;PR_BalDone,MIN(F_MortPayM,CH44+CH44*(F_MR/12)),0)</f>
        <v>0</v>
      </c>
      <c r="CV44" s="20" t="n">
        <f aca="false">IF(CI44&gt;PR_BalDone,MIN(F_MortPayM,CI44+CI44*(F_MR/12)),0)</f>
        <v>0</v>
      </c>
      <c r="CW44" s="20" t="n">
        <f aca="false">IF(CJ44&gt;PR_BalDone,MIN(F_MortPayM,CJ44+CJ44*(F_MR/12)),0)</f>
        <v>0</v>
      </c>
      <c r="CX44" s="20" t="n">
        <f aca="false">IF(CK44&gt;PR_BalDone,MIN(F_MortPayM,CK44+CK44*(F_MR/12)),0)</f>
        <v>0</v>
      </c>
      <c r="CY44" s="20" t="n">
        <f aca="false">IF(CL44&gt;PR_BalDone,MIN(F_MortPayM,CL44+CL44*(F_MR/12)),0)</f>
        <v>0</v>
      </c>
      <c r="CZ44" s="20" t="n">
        <f aca="false">IF(CM44&gt;PR_BalDone,MIN(F_MortPayM,CM44+CM44*(F_MR/12)),0)</f>
        <v>0</v>
      </c>
      <c r="DA44" s="20" t="n">
        <f aca="false">IF(CN44&gt;PR_BalDone,MIN(F_MortPayM,CN44+CN44*(F_MR/12)),0)</f>
        <v>0</v>
      </c>
      <c r="DB44" s="20" t="n">
        <f aca="false">IF(CO44&gt;PR_BalDone,MIN(F_MortPayM,CO44+CO44*(F_MR/12)),0)</f>
        <v>0</v>
      </c>
      <c r="DC44" s="20" t="n">
        <f aca="false">IF(CP44&gt;PR_BalDone,MIN(F_MortPayM,CP44+CP44*(F_MR/12)),0)</f>
        <v>0</v>
      </c>
      <c r="DD44" s="20" t="n">
        <f aca="false">IF(CQ44&gt;PR_BalDone,MIN(F_MortPayM,CQ44+CQ44*(F_MR/12)),0)</f>
        <v>0</v>
      </c>
      <c r="DE44" s="20" t="n">
        <f aca="false">MAX(0,CR44)</f>
        <v>0</v>
      </c>
      <c r="DF44" s="20" t="n">
        <f aca="false">SUM(CS44:DD44)</f>
        <v>0</v>
      </c>
      <c r="DG44" s="20" t="n">
        <f aca="false">MAX(0,CF44)</f>
        <v>0</v>
      </c>
    </row>
    <row r="45" customFormat="false" ht="15" hidden="false" customHeight="true" outlineLevel="0" collapsed="false">
      <c r="B45" s="20" t="n">
        <v>37</v>
      </c>
      <c r="C45" s="20" t="n">
        <f aca="false">'Plan cashflow'!J45</f>
        <v>0</v>
      </c>
      <c r="D45" s="20" t="n">
        <f aca="false">IF(C45&gt;PR_BalDone,C45+C45*(F_MR/12)-MIN(F_MortPayM,C45+C45*(F_MR/12)),C45)</f>
        <v>0</v>
      </c>
      <c r="E45" s="20" t="n">
        <f aca="false">IF(D45&gt;PR_BalDone,D45+D45*(F_MR/12)-MIN(F_MortPayM,D45+D45*(F_MR/12)),D45)</f>
        <v>0</v>
      </c>
      <c r="F45" s="20" t="n">
        <f aca="false">IF(E45&gt;PR_BalDone,E45+E45*(F_MR/12)-MIN(F_MortPayM,E45+E45*(F_MR/12)),E45)</f>
        <v>0</v>
      </c>
      <c r="G45" s="20" t="n">
        <f aca="false">IF(F45&gt;PR_BalDone,F45+F45*(F_MR/12)-MIN(F_MortPayM,F45+F45*(F_MR/12)),F45)</f>
        <v>0</v>
      </c>
      <c r="H45" s="20" t="n">
        <f aca="false">IF(G45&gt;PR_BalDone,G45+G45*(F_MR/12)-MIN(F_MortPayM,G45+G45*(F_MR/12)),G45)</f>
        <v>0</v>
      </c>
      <c r="I45" s="20" t="n">
        <f aca="false">IF(H45&gt;PR_BalDone,H45+H45*(F_MR/12)-MIN(F_MortPayM,H45+H45*(F_MR/12)),H45)</f>
        <v>0</v>
      </c>
      <c r="J45" s="20" t="n">
        <f aca="false">IF(I45&gt;PR_BalDone,I45+I45*(F_MR/12)-MIN(F_MortPayM,I45+I45*(F_MR/12)),I45)</f>
        <v>0</v>
      </c>
      <c r="K45" s="20" t="n">
        <f aca="false">IF(J45&gt;PR_BalDone,J45+J45*(F_MR/12)-MIN(F_MortPayM,J45+J45*(F_MR/12)),J45)</f>
        <v>0</v>
      </c>
      <c r="L45" s="20" t="n">
        <f aca="false">IF(K45&gt;PR_BalDone,K45+K45*(F_MR/12)-MIN(F_MortPayM,K45+K45*(F_MR/12)),K45)</f>
        <v>0</v>
      </c>
      <c r="M45" s="20" t="n">
        <f aca="false">IF(L45&gt;PR_BalDone,L45+L45*(F_MR/12)-MIN(F_MortPayM,L45+L45*(F_MR/12)),L45)</f>
        <v>0</v>
      </c>
      <c r="N45" s="20" t="n">
        <f aca="false">IF(M45&gt;PR_BalDone,M45+M45*(F_MR/12)-MIN(F_MortPayM,M45+M45*(F_MR/12)),M45)</f>
        <v>0</v>
      </c>
      <c r="O45" s="20" t="n">
        <f aca="false">IF(N45&gt;PR_BalDone,N45+N45*(F_MR/12)-MIN(F_MortPayM,N45+N45*(F_MR/12)),N45)</f>
        <v>0</v>
      </c>
      <c r="P45" s="20" t="n">
        <f aca="false">IF(C45&gt;PR_BalDone,MIN(F_MortPayM,C45+C45*(F_MR/12)),0)</f>
        <v>0</v>
      </c>
      <c r="Q45" s="20" t="n">
        <f aca="false">IF(D45&gt;PR_BalDone,MIN(F_MortPayM,D45+D45*(F_MR/12)),0)</f>
        <v>0</v>
      </c>
      <c r="R45" s="20" t="n">
        <f aca="false">IF(E45&gt;PR_BalDone,MIN(F_MortPayM,E45+E45*(F_MR/12)),0)</f>
        <v>0</v>
      </c>
      <c r="S45" s="20" t="n">
        <f aca="false">IF(F45&gt;PR_BalDone,MIN(F_MortPayM,F45+F45*(F_MR/12)),0)</f>
        <v>0</v>
      </c>
      <c r="T45" s="20" t="n">
        <f aca="false">IF(G45&gt;PR_BalDone,MIN(F_MortPayM,G45+G45*(F_MR/12)),0)</f>
        <v>0</v>
      </c>
      <c r="U45" s="20" t="n">
        <f aca="false">IF(H45&gt;PR_BalDone,MIN(F_MortPayM,H45+H45*(F_MR/12)),0)</f>
        <v>0</v>
      </c>
      <c r="V45" s="20" t="n">
        <f aca="false">IF(I45&gt;PR_BalDone,MIN(F_MortPayM,I45+I45*(F_MR/12)),0)</f>
        <v>0</v>
      </c>
      <c r="W45" s="20" t="n">
        <f aca="false">IF(J45&gt;PR_BalDone,MIN(F_MortPayM,J45+J45*(F_MR/12)),0)</f>
        <v>0</v>
      </c>
      <c r="X45" s="20" t="n">
        <f aca="false">IF(K45&gt;PR_BalDone,MIN(F_MortPayM,K45+K45*(F_MR/12)),0)</f>
        <v>0</v>
      </c>
      <c r="Y45" s="20" t="n">
        <f aca="false">IF(L45&gt;PR_BalDone,MIN(F_MortPayM,L45+L45*(F_MR/12)),0)</f>
        <v>0</v>
      </c>
      <c r="Z45" s="20" t="n">
        <f aca="false">IF(M45&gt;PR_BalDone,MIN(F_MortPayM,M45+M45*(F_MR/12)),0)</f>
        <v>0</v>
      </c>
      <c r="AA45" s="20" t="n">
        <f aca="false">IF(N45&gt;PR_BalDone,MIN(F_MortPayM,N45+N45*(F_MR/12)),0)</f>
        <v>0</v>
      </c>
      <c r="AB45" s="20" t="n">
        <f aca="false">MAX(0,O45)</f>
        <v>0</v>
      </c>
      <c r="AC45" s="20" t="n">
        <f aca="false">SUM(P45:AA45)</f>
        <v>0</v>
      </c>
      <c r="AD45" s="20" t="n">
        <f aca="false">'Plan cashflow'!M45</f>
        <v>0</v>
      </c>
      <c r="AE45" s="20" t="n">
        <f aca="false">IF(AD45&gt;PR_BalDone,AD45+AD45*(D_iC)-MIN(F_CardPayM,AD45+AD45*(D_iC)),AD45)</f>
        <v>0</v>
      </c>
      <c r="AF45" s="20" t="n">
        <f aca="false">IF(AE45&gt;PR_BalDone,AE45+AE45*(D_iC)-MIN(F_CardPayM,AE45+AE45*(D_iC)),AE45)</f>
        <v>0</v>
      </c>
      <c r="AG45" s="20" t="n">
        <f aca="false">IF(AF45&gt;PR_BalDone,AF45+AF45*(D_iC)-MIN(F_CardPayM,AF45+AF45*(D_iC)),AF45)</f>
        <v>0</v>
      </c>
      <c r="AH45" s="20" t="n">
        <f aca="false">IF(AG45&gt;PR_BalDone,AG45+AG45*(D_iC)-MIN(F_CardPayM,AG45+AG45*(D_iC)),AG45)</f>
        <v>0</v>
      </c>
      <c r="AI45" s="20" t="n">
        <f aca="false">IF(AH45&gt;PR_BalDone,AH45+AH45*(D_iC)-MIN(F_CardPayM,AH45+AH45*(D_iC)),AH45)</f>
        <v>0</v>
      </c>
      <c r="AJ45" s="20" t="n">
        <f aca="false">IF(AI45&gt;PR_BalDone,AI45+AI45*(D_iC)-MIN(F_CardPayM,AI45+AI45*(D_iC)),AI45)</f>
        <v>0</v>
      </c>
      <c r="AK45" s="20" t="n">
        <f aca="false">IF(AJ45&gt;PR_BalDone,AJ45+AJ45*(D_iC)-MIN(F_CardPayM,AJ45+AJ45*(D_iC)),AJ45)</f>
        <v>0</v>
      </c>
      <c r="AL45" s="20" t="n">
        <f aca="false">IF(AK45&gt;PR_BalDone,AK45+AK45*(D_iC)-MIN(F_CardPayM,AK45+AK45*(D_iC)),AK45)</f>
        <v>0</v>
      </c>
      <c r="AM45" s="20" t="n">
        <f aca="false">IF(AL45&gt;PR_BalDone,AL45+AL45*(D_iC)-MIN(F_CardPayM,AL45+AL45*(D_iC)),AL45)</f>
        <v>0</v>
      </c>
      <c r="AN45" s="20" t="n">
        <f aca="false">IF(AM45&gt;PR_BalDone,AM45+AM45*(D_iC)-MIN(F_CardPayM,AM45+AM45*(D_iC)),AM45)</f>
        <v>0</v>
      </c>
      <c r="AO45" s="20" t="n">
        <f aca="false">IF(AN45&gt;PR_BalDone,AN45+AN45*(D_iC)-MIN(F_CardPayM,AN45+AN45*(D_iC)),AN45)</f>
        <v>0</v>
      </c>
      <c r="AP45" s="20" t="n">
        <f aca="false">IF(AO45&gt;PR_BalDone,AO45+AO45*(D_iC)-MIN(F_CardPayM,AO45+AO45*(D_iC)),AO45)</f>
        <v>0</v>
      </c>
      <c r="AQ45" s="20" t="n">
        <f aca="false">IF(AD45&gt;PR_BalDone,MIN(F_CardPayM,AD45+AD45*(D_iC)),0)</f>
        <v>0</v>
      </c>
      <c r="AR45" s="20" t="n">
        <f aca="false">IF(AE45&gt;PR_BalDone,MIN(F_CardPayM,AE45+AE45*(D_iC)),0)</f>
        <v>0</v>
      </c>
      <c r="AS45" s="20" t="n">
        <f aca="false">IF(AF45&gt;PR_BalDone,MIN(F_CardPayM,AF45+AF45*(D_iC)),0)</f>
        <v>0</v>
      </c>
      <c r="AT45" s="20" t="n">
        <f aca="false">IF(AG45&gt;PR_BalDone,MIN(F_CardPayM,AG45+AG45*(D_iC)),0)</f>
        <v>0</v>
      </c>
      <c r="AU45" s="20" t="n">
        <f aca="false">IF(AH45&gt;PR_BalDone,MIN(F_CardPayM,AH45+AH45*(D_iC)),0)</f>
        <v>0</v>
      </c>
      <c r="AV45" s="20" t="n">
        <f aca="false">IF(AI45&gt;PR_BalDone,MIN(F_CardPayM,AI45+AI45*(D_iC)),0)</f>
        <v>0</v>
      </c>
      <c r="AW45" s="20" t="n">
        <f aca="false">IF(AJ45&gt;PR_BalDone,MIN(F_CardPayM,AJ45+AJ45*(D_iC)),0)</f>
        <v>0</v>
      </c>
      <c r="AX45" s="20" t="n">
        <f aca="false">IF(AK45&gt;PR_BalDone,MIN(F_CardPayM,AK45+AK45*(D_iC)),0)</f>
        <v>0</v>
      </c>
      <c r="AY45" s="20" t="n">
        <f aca="false">IF(AL45&gt;PR_BalDone,MIN(F_CardPayM,AL45+AL45*(D_iC)),0)</f>
        <v>0</v>
      </c>
      <c r="AZ45" s="20" t="n">
        <f aca="false">IF(AM45&gt;PR_BalDone,MIN(F_CardPayM,AM45+AM45*(D_iC)),0)</f>
        <v>0</v>
      </c>
      <c r="BA45" s="20" t="n">
        <f aca="false">IF(AN45&gt;PR_BalDone,MIN(F_CardPayM,AN45+AN45*(D_iC)),0)</f>
        <v>0</v>
      </c>
      <c r="BB45" s="20" t="n">
        <f aca="false">IF(AO45&gt;PR_BalDone,MIN(F_CardPayM,AO45+AO45*(D_iC)),0)</f>
        <v>0</v>
      </c>
      <c r="BC45" s="20" t="n">
        <f aca="false">MAX(0,AP45)</f>
        <v>0</v>
      </c>
      <c r="BD45" s="20" t="n">
        <f aca="false">SUM(AQ45:BB45)</f>
        <v>0</v>
      </c>
      <c r="BE45" s="20" t="n">
        <f aca="false">'Plan cashflow'!P45</f>
        <v>0</v>
      </c>
      <c r="BF45" s="20" t="n">
        <f aca="false">IF(BE45&gt;PR_BalDone,BE45+BE45*(D_iL)-MIN(F_LoanPayM,BE45+BE45*(D_iL)),BE45)</f>
        <v>0</v>
      </c>
      <c r="BG45" s="20" t="n">
        <f aca="false">IF(BF45&gt;PR_BalDone,BF45+BF45*(D_iL)-MIN(F_LoanPayM,BF45+BF45*(D_iL)),BF45)</f>
        <v>0</v>
      </c>
      <c r="BH45" s="20" t="n">
        <f aca="false">IF(BG45&gt;PR_BalDone,BG45+BG45*(D_iL)-MIN(F_LoanPayM,BG45+BG45*(D_iL)),BG45)</f>
        <v>0</v>
      </c>
      <c r="BI45" s="20" t="n">
        <f aca="false">IF(BH45&gt;PR_BalDone,BH45+BH45*(D_iL)-MIN(F_LoanPayM,BH45+BH45*(D_iL)),BH45)</f>
        <v>0</v>
      </c>
      <c r="BJ45" s="20" t="n">
        <f aca="false">IF(BI45&gt;PR_BalDone,BI45+BI45*(D_iL)-MIN(F_LoanPayM,BI45+BI45*(D_iL)),BI45)</f>
        <v>0</v>
      </c>
      <c r="BK45" s="20" t="n">
        <f aca="false">IF(BJ45&gt;PR_BalDone,BJ45+BJ45*(D_iL)-MIN(F_LoanPayM,BJ45+BJ45*(D_iL)),BJ45)</f>
        <v>0</v>
      </c>
      <c r="BL45" s="20" t="n">
        <f aca="false">IF(BK45&gt;PR_BalDone,BK45+BK45*(D_iL)-MIN(F_LoanPayM,BK45+BK45*(D_iL)),BK45)</f>
        <v>0</v>
      </c>
      <c r="BM45" s="20" t="n">
        <f aca="false">IF(BL45&gt;PR_BalDone,BL45+BL45*(D_iL)-MIN(F_LoanPayM,BL45+BL45*(D_iL)),BL45)</f>
        <v>0</v>
      </c>
      <c r="BN45" s="20" t="n">
        <f aca="false">IF(BM45&gt;PR_BalDone,BM45+BM45*(D_iL)-MIN(F_LoanPayM,BM45+BM45*(D_iL)),BM45)</f>
        <v>0</v>
      </c>
      <c r="BO45" s="20" t="n">
        <f aca="false">IF(BN45&gt;PR_BalDone,BN45+BN45*(D_iL)-MIN(F_LoanPayM,BN45+BN45*(D_iL)),BN45)</f>
        <v>0</v>
      </c>
      <c r="BP45" s="20" t="n">
        <f aca="false">IF(BO45&gt;PR_BalDone,BO45+BO45*(D_iL)-MIN(F_LoanPayM,BO45+BO45*(D_iL)),BO45)</f>
        <v>0</v>
      </c>
      <c r="BQ45" s="20" t="n">
        <f aca="false">IF(BP45&gt;PR_BalDone,BP45+BP45*(D_iL)-MIN(F_LoanPayM,BP45+BP45*(D_iL)),BP45)</f>
        <v>0</v>
      </c>
      <c r="BR45" s="20" t="n">
        <f aca="false">IF(BE45&gt;PR_BalDone,MIN(F_LoanPayM,BE45+BE45*(D_iL)),0)</f>
        <v>0</v>
      </c>
      <c r="BS45" s="20" t="n">
        <f aca="false">IF(BF45&gt;PR_BalDone,MIN(F_LoanPayM,BF45+BF45*(D_iL)),0)</f>
        <v>0</v>
      </c>
      <c r="BT45" s="20" t="n">
        <f aca="false">IF(BG45&gt;PR_BalDone,MIN(F_LoanPayM,BG45+BG45*(D_iL)),0)</f>
        <v>0</v>
      </c>
      <c r="BU45" s="20" t="n">
        <f aca="false">IF(BH45&gt;PR_BalDone,MIN(F_LoanPayM,BH45+BH45*(D_iL)),0)</f>
        <v>0</v>
      </c>
      <c r="BV45" s="20" t="n">
        <f aca="false">IF(BI45&gt;PR_BalDone,MIN(F_LoanPayM,BI45+BI45*(D_iL)),0)</f>
        <v>0</v>
      </c>
      <c r="BW45" s="20" t="n">
        <f aca="false">IF(BJ45&gt;PR_BalDone,MIN(F_LoanPayM,BJ45+BJ45*(D_iL)),0)</f>
        <v>0</v>
      </c>
      <c r="BX45" s="20" t="n">
        <f aca="false">IF(BK45&gt;PR_BalDone,MIN(F_LoanPayM,BK45+BK45*(D_iL)),0)</f>
        <v>0</v>
      </c>
      <c r="BY45" s="20" t="n">
        <f aca="false">IF(BL45&gt;PR_BalDone,MIN(F_LoanPayM,BL45+BL45*(D_iL)),0)</f>
        <v>0</v>
      </c>
      <c r="BZ45" s="20" t="n">
        <f aca="false">IF(BM45&gt;PR_BalDone,MIN(F_LoanPayM,BM45+BM45*(D_iL)),0)</f>
        <v>0</v>
      </c>
      <c r="CA45" s="20" t="n">
        <f aca="false">IF(BN45&gt;PR_BalDone,MIN(F_LoanPayM,BN45+BN45*(D_iL)),0)</f>
        <v>0</v>
      </c>
      <c r="CB45" s="20" t="n">
        <f aca="false">IF(BO45&gt;PR_BalDone,MIN(F_LoanPayM,BO45+BO45*(D_iL)),0)</f>
        <v>0</v>
      </c>
      <c r="CC45" s="20" t="n">
        <f aca="false">IF(BP45&gt;PR_BalDone,MIN(F_LoanPayM,BP45+BP45*(D_iL)),0)</f>
        <v>0</v>
      </c>
      <c r="CD45" s="20" t="n">
        <f aca="false">MAX(0,BQ45)</f>
        <v>0</v>
      </c>
      <c r="CE45" s="20" t="n">
        <f aca="false">SUM(BR45:CC45)</f>
        <v>0</v>
      </c>
      <c r="CF45" s="20" t="n">
        <f aca="false">IF(CF44&gt;1,DE44,CF44)</f>
        <v>0</v>
      </c>
      <c r="CG45" s="20" t="n">
        <f aca="false">IF(CF45&gt;PR_BalDone,CF45+CF45*(F_MR/12)-MIN(F_MortPayM,CF45+CF45*(F_MR/12)),CF45)</f>
        <v>0</v>
      </c>
      <c r="CH45" s="20" t="n">
        <f aca="false">IF(CG45&gt;PR_BalDone,CG45+CG45*(F_MR/12)-MIN(F_MortPayM,CG45+CG45*(F_MR/12)),CG45)</f>
        <v>0</v>
      </c>
      <c r="CI45" s="20" t="n">
        <f aca="false">IF(CH45&gt;PR_BalDone,CH45+CH45*(F_MR/12)-MIN(F_MortPayM,CH45+CH45*(F_MR/12)),CH45)</f>
        <v>0</v>
      </c>
      <c r="CJ45" s="20" t="n">
        <f aca="false">IF(CI45&gt;PR_BalDone,CI45+CI45*(F_MR/12)-MIN(F_MortPayM,CI45+CI45*(F_MR/12)),CI45)</f>
        <v>0</v>
      </c>
      <c r="CK45" s="20" t="n">
        <f aca="false">IF(CJ45&gt;PR_BalDone,CJ45+CJ45*(F_MR/12)-MIN(F_MortPayM,CJ45+CJ45*(F_MR/12)),CJ45)</f>
        <v>0</v>
      </c>
      <c r="CL45" s="20" t="n">
        <f aca="false">IF(CK45&gt;PR_BalDone,CK45+CK45*(F_MR/12)-MIN(F_MortPayM,CK45+CK45*(F_MR/12)),CK45)</f>
        <v>0</v>
      </c>
      <c r="CM45" s="20" t="n">
        <f aca="false">IF(CL45&gt;PR_BalDone,CL45+CL45*(F_MR/12)-MIN(F_MortPayM,CL45+CL45*(F_MR/12)),CL45)</f>
        <v>0</v>
      </c>
      <c r="CN45" s="20" t="n">
        <f aca="false">IF(CM45&gt;PR_BalDone,CM45+CM45*(F_MR/12)-MIN(F_MortPayM,CM45+CM45*(F_MR/12)),CM45)</f>
        <v>0</v>
      </c>
      <c r="CO45" s="20" t="n">
        <f aca="false">IF(CN45&gt;PR_BalDone,CN45+CN45*(F_MR/12)-MIN(F_MortPayM,CN45+CN45*(F_MR/12)),CN45)</f>
        <v>0</v>
      </c>
      <c r="CP45" s="20" t="n">
        <f aca="false">IF(CO45&gt;PR_BalDone,CO45+CO45*(F_MR/12)-MIN(F_MortPayM,CO45+CO45*(F_MR/12)),CO45)</f>
        <v>0</v>
      </c>
      <c r="CQ45" s="20" t="n">
        <f aca="false">IF(CP45&gt;PR_BalDone,CP45+CP45*(F_MR/12)-MIN(F_MortPayM,CP45+CP45*(F_MR/12)),CP45)</f>
        <v>0</v>
      </c>
      <c r="CR45" s="20" t="n">
        <f aca="false">IF(CQ45&gt;PR_BalDone,CQ45+CQ45*(F_MR/12)-MIN(F_MortPayM,CQ45+CQ45*(F_MR/12)),CQ45)</f>
        <v>0</v>
      </c>
      <c r="CS45" s="20" t="n">
        <f aca="false">IF(CF45&gt;PR_BalDone,MIN(F_MortPayM,CF45+CF45*(F_MR/12)),0)</f>
        <v>0</v>
      </c>
      <c r="CT45" s="20" t="n">
        <f aca="false">IF(CG45&gt;PR_BalDone,MIN(F_MortPayM,CG45+CG45*(F_MR/12)),0)</f>
        <v>0</v>
      </c>
      <c r="CU45" s="20" t="n">
        <f aca="false">IF(CH45&gt;PR_BalDone,MIN(F_MortPayM,CH45+CH45*(F_MR/12)),0)</f>
        <v>0</v>
      </c>
      <c r="CV45" s="20" t="n">
        <f aca="false">IF(CI45&gt;PR_BalDone,MIN(F_MortPayM,CI45+CI45*(F_MR/12)),0)</f>
        <v>0</v>
      </c>
      <c r="CW45" s="20" t="n">
        <f aca="false">IF(CJ45&gt;PR_BalDone,MIN(F_MortPayM,CJ45+CJ45*(F_MR/12)),0)</f>
        <v>0</v>
      </c>
      <c r="CX45" s="20" t="n">
        <f aca="false">IF(CK45&gt;PR_BalDone,MIN(F_MortPayM,CK45+CK45*(F_MR/12)),0)</f>
        <v>0</v>
      </c>
      <c r="CY45" s="20" t="n">
        <f aca="false">IF(CL45&gt;PR_BalDone,MIN(F_MortPayM,CL45+CL45*(F_MR/12)),0)</f>
        <v>0</v>
      </c>
      <c r="CZ45" s="20" t="n">
        <f aca="false">IF(CM45&gt;PR_BalDone,MIN(F_MortPayM,CM45+CM45*(F_MR/12)),0)</f>
        <v>0</v>
      </c>
      <c r="DA45" s="20" t="n">
        <f aca="false">IF(CN45&gt;PR_BalDone,MIN(F_MortPayM,CN45+CN45*(F_MR/12)),0)</f>
        <v>0</v>
      </c>
      <c r="DB45" s="20" t="n">
        <f aca="false">IF(CO45&gt;PR_BalDone,MIN(F_MortPayM,CO45+CO45*(F_MR/12)),0)</f>
        <v>0</v>
      </c>
      <c r="DC45" s="20" t="n">
        <f aca="false">IF(CP45&gt;PR_BalDone,MIN(F_MortPayM,CP45+CP45*(F_MR/12)),0)</f>
        <v>0</v>
      </c>
      <c r="DD45" s="20" t="n">
        <f aca="false">IF(CQ45&gt;PR_BalDone,MIN(F_MortPayM,CQ45+CQ45*(F_MR/12)),0)</f>
        <v>0</v>
      </c>
      <c r="DE45" s="20" t="n">
        <f aca="false">MAX(0,CR45)</f>
        <v>0</v>
      </c>
      <c r="DF45" s="20" t="n">
        <f aca="false">SUM(CS45:DD45)</f>
        <v>0</v>
      </c>
      <c r="DG45" s="20" t="n">
        <f aca="false">MAX(0,CF45)</f>
        <v>0</v>
      </c>
    </row>
    <row r="46" customFormat="false" ht="15" hidden="false" customHeight="true" outlineLevel="0" collapsed="false">
      <c r="B46" s="20" t="n">
        <v>38</v>
      </c>
      <c r="C46" s="20" t="n">
        <f aca="false">'Plan cashflow'!J46</f>
        <v>0</v>
      </c>
      <c r="D46" s="20" t="n">
        <f aca="false">IF(C46&gt;PR_BalDone,C46+C46*(F_MR/12)-MIN(F_MortPayM,C46+C46*(F_MR/12)),C46)</f>
        <v>0</v>
      </c>
      <c r="E46" s="20" t="n">
        <f aca="false">IF(D46&gt;PR_BalDone,D46+D46*(F_MR/12)-MIN(F_MortPayM,D46+D46*(F_MR/12)),D46)</f>
        <v>0</v>
      </c>
      <c r="F46" s="20" t="n">
        <f aca="false">IF(E46&gt;PR_BalDone,E46+E46*(F_MR/12)-MIN(F_MortPayM,E46+E46*(F_MR/12)),E46)</f>
        <v>0</v>
      </c>
      <c r="G46" s="20" t="n">
        <f aca="false">IF(F46&gt;PR_BalDone,F46+F46*(F_MR/12)-MIN(F_MortPayM,F46+F46*(F_MR/12)),F46)</f>
        <v>0</v>
      </c>
      <c r="H46" s="20" t="n">
        <f aca="false">IF(G46&gt;PR_BalDone,G46+G46*(F_MR/12)-MIN(F_MortPayM,G46+G46*(F_MR/12)),G46)</f>
        <v>0</v>
      </c>
      <c r="I46" s="20" t="n">
        <f aca="false">IF(H46&gt;PR_BalDone,H46+H46*(F_MR/12)-MIN(F_MortPayM,H46+H46*(F_MR/12)),H46)</f>
        <v>0</v>
      </c>
      <c r="J46" s="20" t="n">
        <f aca="false">IF(I46&gt;PR_BalDone,I46+I46*(F_MR/12)-MIN(F_MortPayM,I46+I46*(F_MR/12)),I46)</f>
        <v>0</v>
      </c>
      <c r="K46" s="20" t="n">
        <f aca="false">IF(J46&gt;PR_BalDone,J46+J46*(F_MR/12)-MIN(F_MortPayM,J46+J46*(F_MR/12)),J46)</f>
        <v>0</v>
      </c>
      <c r="L46" s="20" t="n">
        <f aca="false">IF(K46&gt;PR_BalDone,K46+K46*(F_MR/12)-MIN(F_MortPayM,K46+K46*(F_MR/12)),K46)</f>
        <v>0</v>
      </c>
      <c r="M46" s="20" t="n">
        <f aca="false">IF(L46&gt;PR_BalDone,L46+L46*(F_MR/12)-MIN(F_MortPayM,L46+L46*(F_MR/12)),L46)</f>
        <v>0</v>
      </c>
      <c r="N46" s="20" t="n">
        <f aca="false">IF(M46&gt;PR_BalDone,M46+M46*(F_MR/12)-MIN(F_MortPayM,M46+M46*(F_MR/12)),M46)</f>
        <v>0</v>
      </c>
      <c r="O46" s="20" t="n">
        <f aca="false">IF(N46&gt;PR_BalDone,N46+N46*(F_MR/12)-MIN(F_MortPayM,N46+N46*(F_MR/12)),N46)</f>
        <v>0</v>
      </c>
      <c r="P46" s="20" t="n">
        <f aca="false">IF(C46&gt;PR_BalDone,MIN(F_MortPayM,C46+C46*(F_MR/12)),0)</f>
        <v>0</v>
      </c>
      <c r="Q46" s="20" t="n">
        <f aca="false">IF(D46&gt;PR_BalDone,MIN(F_MortPayM,D46+D46*(F_MR/12)),0)</f>
        <v>0</v>
      </c>
      <c r="R46" s="20" t="n">
        <f aca="false">IF(E46&gt;PR_BalDone,MIN(F_MortPayM,E46+E46*(F_MR/12)),0)</f>
        <v>0</v>
      </c>
      <c r="S46" s="20" t="n">
        <f aca="false">IF(F46&gt;PR_BalDone,MIN(F_MortPayM,F46+F46*(F_MR/12)),0)</f>
        <v>0</v>
      </c>
      <c r="T46" s="20" t="n">
        <f aca="false">IF(G46&gt;PR_BalDone,MIN(F_MortPayM,G46+G46*(F_MR/12)),0)</f>
        <v>0</v>
      </c>
      <c r="U46" s="20" t="n">
        <f aca="false">IF(H46&gt;PR_BalDone,MIN(F_MortPayM,H46+H46*(F_MR/12)),0)</f>
        <v>0</v>
      </c>
      <c r="V46" s="20" t="n">
        <f aca="false">IF(I46&gt;PR_BalDone,MIN(F_MortPayM,I46+I46*(F_MR/12)),0)</f>
        <v>0</v>
      </c>
      <c r="W46" s="20" t="n">
        <f aca="false">IF(J46&gt;PR_BalDone,MIN(F_MortPayM,J46+J46*(F_MR/12)),0)</f>
        <v>0</v>
      </c>
      <c r="X46" s="20" t="n">
        <f aca="false">IF(K46&gt;PR_BalDone,MIN(F_MortPayM,K46+K46*(F_MR/12)),0)</f>
        <v>0</v>
      </c>
      <c r="Y46" s="20" t="n">
        <f aca="false">IF(L46&gt;PR_BalDone,MIN(F_MortPayM,L46+L46*(F_MR/12)),0)</f>
        <v>0</v>
      </c>
      <c r="Z46" s="20" t="n">
        <f aca="false">IF(M46&gt;PR_BalDone,MIN(F_MortPayM,M46+M46*(F_MR/12)),0)</f>
        <v>0</v>
      </c>
      <c r="AA46" s="20" t="n">
        <f aca="false">IF(N46&gt;PR_BalDone,MIN(F_MortPayM,N46+N46*(F_MR/12)),0)</f>
        <v>0</v>
      </c>
      <c r="AB46" s="20" t="n">
        <f aca="false">MAX(0,O46)</f>
        <v>0</v>
      </c>
      <c r="AC46" s="20" t="n">
        <f aca="false">SUM(P46:AA46)</f>
        <v>0</v>
      </c>
      <c r="AD46" s="20" t="n">
        <f aca="false">'Plan cashflow'!M46</f>
        <v>0</v>
      </c>
      <c r="AE46" s="20" t="n">
        <f aca="false">IF(AD46&gt;PR_BalDone,AD46+AD46*(D_iC)-MIN(F_CardPayM,AD46+AD46*(D_iC)),AD46)</f>
        <v>0</v>
      </c>
      <c r="AF46" s="20" t="n">
        <f aca="false">IF(AE46&gt;PR_BalDone,AE46+AE46*(D_iC)-MIN(F_CardPayM,AE46+AE46*(D_iC)),AE46)</f>
        <v>0</v>
      </c>
      <c r="AG46" s="20" t="n">
        <f aca="false">IF(AF46&gt;PR_BalDone,AF46+AF46*(D_iC)-MIN(F_CardPayM,AF46+AF46*(D_iC)),AF46)</f>
        <v>0</v>
      </c>
      <c r="AH46" s="20" t="n">
        <f aca="false">IF(AG46&gt;PR_BalDone,AG46+AG46*(D_iC)-MIN(F_CardPayM,AG46+AG46*(D_iC)),AG46)</f>
        <v>0</v>
      </c>
      <c r="AI46" s="20" t="n">
        <f aca="false">IF(AH46&gt;PR_BalDone,AH46+AH46*(D_iC)-MIN(F_CardPayM,AH46+AH46*(D_iC)),AH46)</f>
        <v>0</v>
      </c>
      <c r="AJ46" s="20" t="n">
        <f aca="false">IF(AI46&gt;PR_BalDone,AI46+AI46*(D_iC)-MIN(F_CardPayM,AI46+AI46*(D_iC)),AI46)</f>
        <v>0</v>
      </c>
      <c r="AK46" s="20" t="n">
        <f aca="false">IF(AJ46&gt;PR_BalDone,AJ46+AJ46*(D_iC)-MIN(F_CardPayM,AJ46+AJ46*(D_iC)),AJ46)</f>
        <v>0</v>
      </c>
      <c r="AL46" s="20" t="n">
        <f aca="false">IF(AK46&gt;PR_BalDone,AK46+AK46*(D_iC)-MIN(F_CardPayM,AK46+AK46*(D_iC)),AK46)</f>
        <v>0</v>
      </c>
      <c r="AM46" s="20" t="n">
        <f aca="false">IF(AL46&gt;PR_BalDone,AL46+AL46*(D_iC)-MIN(F_CardPayM,AL46+AL46*(D_iC)),AL46)</f>
        <v>0</v>
      </c>
      <c r="AN46" s="20" t="n">
        <f aca="false">IF(AM46&gt;PR_BalDone,AM46+AM46*(D_iC)-MIN(F_CardPayM,AM46+AM46*(D_iC)),AM46)</f>
        <v>0</v>
      </c>
      <c r="AO46" s="20" t="n">
        <f aca="false">IF(AN46&gt;PR_BalDone,AN46+AN46*(D_iC)-MIN(F_CardPayM,AN46+AN46*(D_iC)),AN46)</f>
        <v>0</v>
      </c>
      <c r="AP46" s="20" t="n">
        <f aca="false">IF(AO46&gt;PR_BalDone,AO46+AO46*(D_iC)-MIN(F_CardPayM,AO46+AO46*(D_iC)),AO46)</f>
        <v>0</v>
      </c>
      <c r="AQ46" s="20" t="n">
        <f aca="false">IF(AD46&gt;PR_BalDone,MIN(F_CardPayM,AD46+AD46*(D_iC)),0)</f>
        <v>0</v>
      </c>
      <c r="AR46" s="20" t="n">
        <f aca="false">IF(AE46&gt;PR_BalDone,MIN(F_CardPayM,AE46+AE46*(D_iC)),0)</f>
        <v>0</v>
      </c>
      <c r="AS46" s="20" t="n">
        <f aca="false">IF(AF46&gt;PR_BalDone,MIN(F_CardPayM,AF46+AF46*(D_iC)),0)</f>
        <v>0</v>
      </c>
      <c r="AT46" s="20" t="n">
        <f aca="false">IF(AG46&gt;PR_BalDone,MIN(F_CardPayM,AG46+AG46*(D_iC)),0)</f>
        <v>0</v>
      </c>
      <c r="AU46" s="20" t="n">
        <f aca="false">IF(AH46&gt;PR_BalDone,MIN(F_CardPayM,AH46+AH46*(D_iC)),0)</f>
        <v>0</v>
      </c>
      <c r="AV46" s="20" t="n">
        <f aca="false">IF(AI46&gt;PR_BalDone,MIN(F_CardPayM,AI46+AI46*(D_iC)),0)</f>
        <v>0</v>
      </c>
      <c r="AW46" s="20" t="n">
        <f aca="false">IF(AJ46&gt;PR_BalDone,MIN(F_CardPayM,AJ46+AJ46*(D_iC)),0)</f>
        <v>0</v>
      </c>
      <c r="AX46" s="20" t="n">
        <f aca="false">IF(AK46&gt;PR_BalDone,MIN(F_CardPayM,AK46+AK46*(D_iC)),0)</f>
        <v>0</v>
      </c>
      <c r="AY46" s="20" t="n">
        <f aca="false">IF(AL46&gt;PR_BalDone,MIN(F_CardPayM,AL46+AL46*(D_iC)),0)</f>
        <v>0</v>
      </c>
      <c r="AZ46" s="20" t="n">
        <f aca="false">IF(AM46&gt;PR_BalDone,MIN(F_CardPayM,AM46+AM46*(D_iC)),0)</f>
        <v>0</v>
      </c>
      <c r="BA46" s="20" t="n">
        <f aca="false">IF(AN46&gt;PR_BalDone,MIN(F_CardPayM,AN46+AN46*(D_iC)),0)</f>
        <v>0</v>
      </c>
      <c r="BB46" s="20" t="n">
        <f aca="false">IF(AO46&gt;PR_BalDone,MIN(F_CardPayM,AO46+AO46*(D_iC)),0)</f>
        <v>0</v>
      </c>
      <c r="BC46" s="20" t="n">
        <f aca="false">MAX(0,AP46)</f>
        <v>0</v>
      </c>
      <c r="BD46" s="20" t="n">
        <f aca="false">SUM(AQ46:BB46)</f>
        <v>0</v>
      </c>
      <c r="BE46" s="20" t="n">
        <f aca="false">'Plan cashflow'!P46</f>
        <v>0</v>
      </c>
      <c r="BF46" s="20" t="n">
        <f aca="false">IF(BE46&gt;PR_BalDone,BE46+BE46*(D_iL)-MIN(F_LoanPayM,BE46+BE46*(D_iL)),BE46)</f>
        <v>0</v>
      </c>
      <c r="BG46" s="20" t="n">
        <f aca="false">IF(BF46&gt;PR_BalDone,BF46+BF46*(D_iL)-MIN(F_LoanPayM,BF46+BF46*(D_iL)),BF46)</f>
        <v>0</v>
      </c>
      <c r="BH46" s="20" t="n">
        <f aca="false">IF(BG46&gt;PR_BalDone,BG46+BG46*(D_iL)-MIN(F_LoanPayM,BG46+BG46*(D_iL)),BG46)</f>
        <v>0</v>
      </c>
      <c r="BI46" s="20" t="n">
        <f aca="false">IF(BH46&gt;PR_BalDone,BH46+BH46*(D_iL)-MIN(F_LoanPayM,BH46+BH46*(D_iL)),BH46)</f>
        <v>0</v>
      </c>
      <c r="BJ46" s="20" t="n">
        <f aca="false">IF(BI46&gt;PR_BalDone,BI46+BI46*(D_iL)-MIN(F_LoanPayM,BI46+BI46*(D_iL)),BI46)</f>
        <v>0</v>
      </c>
      <c r="BK46" s="20" t="n">
        <f aca="false">IF(BJ46&gt;PR_BalDone,BJ46+BJ46*(D_iL)-MIN(F_LoanPayM,BJ46+BJ46*(D_iL)),BJ46)</f>
        <v>0</v>
      </c>
      <c r="BL46" s="20" t="n">
        <f aca="false">IF(BK46&gt;PR_BalDone,BK46+BK46*(D_iL)-MIN(F_LoanPayM,BK46+BK46*(D_iL)),BK46)</f>
        <v>0</v>
      </c>
      <c r="BM46" s="20" t="n">
        <f aca="false">IF(BL46&gt;PR_BalDone,BL46+BL46*(D_iL)-MIN(F_LoanPayM,BL46+BL46*(D_iL)),BL46)</f>
        <v>0</v>
      </c>
      <c r="BN46" s="20" t="n">
        <f aca="false">IF(BM46&gt;PR_BalDone,BM46+BM46*(D_iL)-MIN(F_LoanPayM,BM46+BM46*(D_iL)),BM46)</f>
        <v>0</v>
      </c>
      <c r="BO46" s="20" t="n">
        <f aca="false">IF(BN46&gt;PR_BalDone,BN46+BN46*(D_iL)-MIN(F_LoanPayM,BN46+BN46*(D_iL)),BN46)</f>
        <v>0</v>
      </c>
      <c r="BP46" s="20" t="n">
        <f aca="false">IF(BO46&gt;PR_BalDone,BO46+BO46*(D_iL)-MIN(F_LoanPayM,BO46+BO46*(D_iL)),BO46)</f>
        <v>0</v>
      </c>
      <c r="BQ46" s="20" t="n">
        <f aca="false">IF(BP46&gt;PR_BalDone,BP46+BP46*(D_iL)-MIN(F_LoanPayM,BP46+BP46*(D_iL)),BP46)</f>
        <v>0</v>
      </c>
      <c r="BR46" s="20" t="n">
        <f aca="false">IF(BE46&gt;PR_BalDone,MIN(F_LoanPayM,BE46+BE46*(D_iL)),0)</f>
        <v>0</v>
      </c>
      <c r="BS46" s="20" t="n">
        <f aca="false">IF(BF46&gt;PR_BalDone,MIN(F_LoanPayM,BF46+BF46*(D_iL)),0)</f>
        <v>0</v>
      </c>
      <c r="BT46" s="20" t="n">
        <f aca="false">IF(BG46&gt;PR_BalDone,MIN(F_LoanPayM,BG46+BG46*(D_iL)),0)</f>
        <v>0</v>
      </c>
      <c r="BU46" s="20" t="n">
        <f aca="false">IF(BH46&gt;PR_BalDone,MIN(F_LoanPayM,BH46+BH46*(D_iL)),0)</f>
        <v>0</v>
      </c>
      <c r="BV46" s="20" t="n">
        <f aca="false">IF(BI46&gt;PR_BalDone,MIN(F_LoanPayM,BI46+BI46*(D_iL)),0)</f>
        <v>0</v>
      </c>
      <c r="BW46" s="20" t="n">
        <f aca="false">IF(BJ46&gt;PR_BalDone,MIN(F_LoanPayM,BJ46+BJ46*(D_iL)),0)</f>
        <v>0</v>
      </c>
      <c r="BX46" s="20" t="n">
        <f aca="false">IF(BK46&gt;PR_BalDone,MIN(F_LoanPayM,BK46+BK46*(D_iL)),0)</f>
        <v>0</v>
      </c>
      <c r="BY46" s="20" t="n">
        <f aca="false">IF(BL46&gt;PR_BalDone,MIN(F_LoanPayM,BL46+BL46*(D_iL)),0)</f>
        <v>0</v>
      </c>
      <c r="BZ46" s="20" t="n">
        <f aca="false">IF(BM46&gt;PR_BalDone,MIN(F_LoanPayM,BM46+BM46*(D_iL)),0)</f>
        <v>0</v>
      </c>
      <c r="CA46" s="20" t="n">
        <f aca="false">IF(BN46&gt;PR_BalDone,MIN(F_LoanPayM,BN46+BN46*(D_iL)),0)</f>
        <v>0</v>
      </c>
      <c r="CB46" s="20" t="n">
        <f aca="false">IF(BO46&gt;PR_BalDone,MIN(F_LoanPayM,BO46+BO46*(D_iL)),0)</f>
        <v>0</v>
      </c>
      <c r="CC46" s="20" t="n">
        <f aca="false">IF(BP46&gt;PR_BalDone,MIN(F_LoanPayM,BP46+BP46*(D_iL)),0)</f>
        <v>0</v>
      </c>
      <c r="CD46" s="20" t="n">
        <f aca="false">MAX(0,BQ46)</f>
        <v>0</v>
      </c>
      <c r="CE46" s="20" t="n">
        <f aca="false">SUM(BR46:CC46)</f>
        <v>0</v>
      </c>
      <c r="CF46" s="20" t="n">
        <f aca="false">IF(CF45&gt;1,DE45,CF45)</f>
        <v>0</v>
      </c>
      <c r="CG46" s="20" t="n">
        <f aca="false">IF(CF46&gt;PR_BalDone,CF46+CF46*(F_MR/12)-MIN(F_MortPayM,CF46+CF46*(F_MR/12)),CF46)</f>
        <v>0</v>
      </c>
      <c r="CH46" s="20" t="n">
        <f aca="false">IF(CG46&gt;PR_BalDone,CG46+CG46*(F_MR/12)-MIN(F_MortPayM,CG46+CG46*(F_MR/12)),CG46)</f>
        <v>0</v>
      </c>
      <c r="CI46" s="20" t="n">
        <f aca="false">IF(CH46&gt;PR_BalDone,CH46+CH46*(F_MR/12)-MIN(F_MortPayM,CH46+CH46*(F_MR/12)),CH46)</f>
        <v>0</v>
      </c>
      <c r="CJ46" s="20" t="n">
        <f aca="false">IF(CI46&gt;PR_BalDone,CI46+CI46*(F_MR/12)-MIN(F_MortPayM,CI46+CI46*(F_MR/12)),CI46)</f>
        <v>0</v>
      </c>
      <c r="CK46" s="20" t="n">
        <f aca="false">IF(CJ46&gt;PR_BalDone,CJ46+CJ46*(F_MR/12)-MIN(F_MortPayM,CJ46+CJ46*(F_MR/12)),CJ46)</f>
        <v>0</v>
      </c>
      <c r="CL46" s="20" t="n">
        <f aca="false">IF(CK46&gt;PR_BalDone,CK46+CK46*(F_MR/12)-MIN(F_MortPayM,CK46+CK46*(F_MR/12)),CK46)</f>
        <v>0</v>
      </c>
      <c r="CM46" s="20" t="n">
        <f aca="false">IF(CL46&gt;PR_BalDone,CL46+CL46*(F_MR/12)-MIN(F_MortPayM,CL46+CL46*(F_MR/12)),CL46)</f>
        <v>0</v>
      </c>
      <c r="CN46" s="20" t="n">
        <f aca="false">IF(CM46&gt;PR_BalDone,CM46+CM46*(F_MR/12)-MIN(F_MortPayM,CM46+CM46*(F_MR/12)),CM46)</f>
        <v>0</v>
      </c>
      <c r="CO46" s="20" t="n">
        <f aca="false">IF(CN46&gt;PR_BalDone,CN46+CN46*(F_MR/12)-MIN(F_MortPayM,CN46+CN46*(F_MR/12)),CN46)</f>
        <v>0</v>
      </c>
      <c r="CP46" s="20" t="n">
        <f aca="false">IF(CO46&gt;PR_BalDone,CO46+CO46*(F_MR/12)-MIN(F_MortPayM,CO46+CO46*(F_MR/12)),CO46)</f>
        <v>0</v>
      </c>
      <c r="CQ46" s="20" t="n">
        <f aca="false">IF(CP46&gt;PR_BalDone,CP46+CP46*(F_MR/12)-MIN(F_MortPayM,CP46+CP46*(F_MR/12)),CP46)</f>
        <v>0</v>
      </c>
      <c r="CR46" s="20" t="n">
        <f aca="false">IF(CQ46&gt;PR_BalDone,CQ46+CQ46*(F_MR/12)-MIN(F_MortPayM,CQ46+CQ46*(F_MR/12)),CQ46)</f>
        <v>0</v>
      </c>
      <c r="CS46" s="20" t="n">
        <f aca="false">IF(CF46&gt;PR_BalDone,MIN(F_MortPayM,CF46+CF46*(F_MR/12)),0)</f>
        <v>0</v>
      </c>
      <c r="CT46" s="20" t="n">
        <f aca="false">IF(CG46&gt;PR_BalDone,MIN(F_MortPayM,CG46+CG46*(F_MR/12)),0)</f>
        <v>0</v>
      </c>
      <c r="CU46" s="20" t="n">
        <f aca="false">IF(CH46&gt;PR_BalDone,MIN(F_MortPayM,CH46+CH46*(F_MR/12)),0)</f>
        <v>0</v>
      </c>
      <c r="CV46" s="20" t="n">
        <f aca="false">IF(CI46&gt;PR_BalDone,MIN(F_MortPayM,CI46+CI46*(F_MR/12)),0)</f>
        <v>0</v>
      </c>
      <c r="CW46" s="20" t="n">
        <f aca="false">IF(CJ46&gt;PR_BalDone,MIN(F_MortPayM,CJ46+CJ46*(F_MR/12)),0)</f>
        <v>0</v>
      </c>
      <c r="CX46" s="20" t="n">
        <f aca="false">IF(CK46&gt;PR_BalDone,MIN(F_MortPayM,CK46+CK46*(F_MR/12)),0)</f>
        <v>0</v>
      </c>
      <c r="CY46" s="20" t="n">
        <f aca="false">IF(CL46&gt;PR_BalDone,MIN(F_MortPayM,CL46+CL46*(F_MR/12)),0)</f>
        <v>0</v>
      </c>
      <c r="CZ46" s="20" t="n">
        <f aca="false">IF(CM46&gt;PR_BalDone,MIN(F_MortPayM,CM46+CM46*(F_MR/12)),0)</f>
        <v>0</v>
      </c>
      <c r="DA46" s="20" t="n">
        <f aca="false">IF(CN46&gt;PR_BalDone,MIN(F_MortPayM,CN46+CN46*(F_MR/12)),0)</f>
        <v>0</v>
      </c>
      <c r="DB46" s="20" t="n">
        <f aca="false">IF(CO46&gt;PR_BalDone,MIN(F_MortPayM,CO46+CO46*(F_MR/12)),0)</f>
        <v>0</v>
      </c>
      <c r="DC46" s="20" t="n">
        <f aca="false">IF(CP46&gt;PR_BalDone,MIN(F_MortPayM,CP46+CP46*(F_MR/12)),0)</f>
        <v>0</v>
      </c>
      <c r="DD46" s="20" t="n">
        <f aca="false">IF(CQ46&gt;PR_BalDone,MIN(F_MortPayM,CQ46+CQ46*(F_MR/12)),0)</f>
        <v>0</v>
      </c>
      <c r="DE46" s="20" t="n">
        <f aca="false">MAX(0,CR46)</f>
        <v>0</v>
      </c>
      <c r="DF46" s="20" t="n">
        <f aca="false">SUM(CS46:DD46)</f>
        <v>0</v>
      </c>
      <c r="DG46" s="20" t="n">
        <f aca="false">MAX(0,CF46)</f>
        <v>0</v>
      </c>
    </row>
    <row r="47" customFormat="false" ht="15" hidden="false" customHeight="true" outlineLevel="0" collapsed="false">
      <c r="B47" s="20" t="n">
        <v>39</v>
      </c>
      <c r="C47" s="20" t="n">
        <f aca="false">'Plan cashflow'!J47</f>
        <v>0</v>
      </c>
      <c r="D47" s="20" t="n">
        <f aca="false">IF(C47&gt;PR_BalDone,C47+C47*(F_MR/12)-MIN(F_MortPayM,C47+C47*(F_MR/12)),C47)</f>
        <v>0</v>
      </c>
      <c r="E47" s="20" t="n">
        <f aca="false">IF(D47&gt;PR_BalDone,D47+D47*(F_MR/12)-MIN(F_MortPayM,D47+D47*(F_MR/12)),D47)</f>
        <v>0</v>
      </c>
      <c r="F47" s="20" t="n">
        <f aca="false">IF(E47&gt;PR_BalDone,E47+E47*(F_MR/12)-MIN(F_MortPayM,E47+E47*(F_MR/12)),E47)</f>
        <v>0</v>
      </c>
      <c r="G47" s="20" t="n">
        <f aca="false">IF(F47&gt;PR_BalDone,F47+F47*(F_MR/12)-MIN(F_MortPayM,F47+F47*(F_MR/12)),F47)</f>
        <v>0</v>
      </c>
      <c r="H47" s="20" t="n">
        <f aca="false">IF(G47&gt;PR_BalDone,G47+G47*(F_MR/12)-MIN(F_MortPayM,G47+G47*(F_MR/12)),G47)</f>
        <v>0</v>
      </c>
      <c r="I47" s="20" t="n">
        <f aca="false">IF(H47&gt;PR_BalDone,H47+H47*(F_MR/12)-MIN(F_MortPayM,H47+H47*(F_MR/12)),H47)</f>
        <v>0</v>
      </c>
      <c r="J47" s="20" t="n">
        <f aca="false">IF(I47&gt;PR_BalDone,I47+I47*(F_MR/12)-MIN(F_MortPayM,I47+I47*(F_MR/12)),I47)</f>
        <v>0</v>
      </c>
      <c r="K47" s="20" t="n">
        <f aca="false">IF(J47&gt;PR_BalDone,J47+J47*(F_MR/12)-MIN(F_MortPayM,J47+J47*(F_MR/12)),J47)</f>
        <v>0</v>
      </c>
      <c r="L47" s="20" t="n">
        <f aca="false">IF(K47&gt;PR_BalDone,K47+K47*(F_MR/12)-MIN(F_MortPayM,K47+K47*(F_MR/12)),K47)</f>
        <v>0</v>
      </c>
      <c r="M47" s="20" t="n">
        <f aca="false">IF(L47&gt;PR_BalDone,L47+L47*(F_MR/12)-MIN(F_MortPayM,L47+L47*(F_MR/12)),L47)</f>
        <v>0</v>
      </c>
      <c r="N47" s="20" t="n">
        <f aca="false">IF(M47&gt;PR_BalDone,M47+M47*(F_MR/12)-MIN(F_MortPayM,M47+M47*(F_MR/12)),M47)</f>
        <v>0</v>
      </c>
      <c r="O47" s="20" t="n">
        <f aca="false">IF(N47&gt;PR_BalDone,N47+N47*(F_MR/12)-MIN(F_MortPayM,N47+N47*(F_MR/12)),N47)</f>
        <v>0</v>
      </c>
      <c r="P47" s="20" t="n">
        <f aca="false">IF(C47&gt;PR_BalDone,MIN(F_MortPayM,C47+C47*(F_MR/12)),0)</f>
        <v>0</v>
      </c>
      <c r="Q47" s="20" t="n">
        <f aca="false">IF(D47&gt;PR_BalDone,MIN(F_MortPayM,D47+D47*(F_MR/12)),0)</f>
        <v>0</v>
      </c>
      <c r="R47" s="20" t="n">
        <f aca="false">IF(E47&gt;PR_BalDone,MIN(F_MortPayM,E47+E47*(F_MR/12)),0)</f>
        <v>0</v>
      </c>
      <c r="S47" s="20" t="n">
        <f aca="false">IF(F47&gt;PR_BalDone,MIN(F_MortPayM,F47+F47*(F_MR/12)),0)</f>
        <v>0</v>
      </c>
      <c r="T47" s="20" t="n">
        <f aca="false">IF(G47&gt;PR_BalDone,MIN(F_MortPayM,G47+G47*(F_MR/12)),0)</f>
        <v>0</v>
      </c>
      <c r="U47" s="20" t="n">
        <f aca="false">IF(H47&gt;PR_BalDone,MIN(F_MortPayM,H47+H47*(F_MR/12)),0)</f>
        <v>0</v>
      </c>
      <c r="V47" s="20" t="n">
        <f aca="false">IF(I47&gt;PR_BalDone,MIN(F_MortPayM,I47+I47*(F_MR/12)),0)</f>
        <v>0</v>
      </c>
      <c r="W47" s="20" t="n">
        <f aca="false">IF(J47&gt;PR_BalDone,MIN(F_MortPayM,J47+J47*(F_MR/12)),0)</f>
        <v>0</v>
      </c>
      <c r="X47" s="20" t="n">
        <f aca="false">IF(K47&gt;PR_BalDone,MIN(F_MortPayM,K47+K47*(F_MR/12)),0)</f>
        <v>0</v>
      </c>
      <c r="Y47" s="20" t="n">
        <f aca="false">IF(L47&gt;PR_BalDone,MIN(F_MortPayM,L47+L47*(F_MR/12)),0)</f>
        <v>0</v>
      </c>
      <c r="Z47" s="20" t="n">
        <f aca="false">IF(M47&gt;PR_BalDone,MIN(F_MortPayM,M47+M47*(F_MR/12)),0)</f>
        <v>0</v>
      </c>
      <c r="AA47" s="20" t="n">
        <f aca="false">IF(N47&gt;PR_BalDone,MIN(F_MortPayM,N47+N47*(F_MR/12)),0)</f>
        <v>0</v>
      </c>
      <c r="AB47" s="20" t="n">
        <f aca="false">MAX(0,O47)</f>
        <v>0</v>
      </c>
      <c r="AC47" s="20" t="n">
        <f aca="false">SUM(P47:AA47)</f>
        <v>0</v>
      </c>
      <c r="AD47" s="20" t="n">
        <f aca="false">'Plan cashflow'!M47</f>
        <v>0</v>
      </c>
      <c r="AE47" s="20" t="n">
        <f aca="false">IF(AD47&gt;PR_BalDone,AD47+AD47*(D_iC)-MIN(F_CardPayM,AD47+AD47*(D_iC)),AD47)</f>
        <v>0</v>
      </c>
      <c r="AF47" s="20" t="n">
        <f aca="false">IF(AE47&gt;PR_BalDone,AE47+AE47*(D_iC)-MIN(F_CardPayM,AE47+AE47*(D_iC)),AE47)</f>
        <v>0</v>
      </c>
      <c r="AG47" s="20" t="n">
        <f aca="false">IF(AF47&gt;PR_BalDone,AF47+AF47*(D_iC)-MIN(F_CardPayM,AF47+AF47*(D_iC)),AF47)</f>
        <v>0</v>
      </c>
      <c r="AH47" s="20" t="n">
        <f aca="false">IF(AG47&gt;PR_BalDone,AG47+AG47*(D_iC)-MIN(F_CardPayM,AG47+AG47*(D_iC)),AG47)</f>
        <v>0</v>
      </c>
      <c r="AI47" s="20" t="n">
        <f aca="false">IF(AH47&gt;PR_BalDone,AH47+AH47*(D_iC)-MIN(F_CardPayM,AH47+AH47*(D_iC)),AH47)</f>
        <v>0</v>
      </c>
      <c r="AJ47" s="20" t="n">
        <f aca="false">IF(AI47&gt;PR_BalDone,AI47+AI47*(D_iC)-MIN(F_CardPayM,AI47+AI47*(D_iC)),AI47)</f>
        <v>0</v>
      </c>
      <c r="AK47" s="20" t="n">
        <f aca="false">IF(AJ47&gt;PR_BalDone,AJ47+AJ47*(D_iC)-MIN(F_CardPayM,AJ47+AJ47*(D_iC)),AJ47)</f>
        <v>0</v>
      </c>
      <c r="AL47" s="20" t="n">
        <f aca="false">IF(AK47&gt;PR_BalDone,AK47+AK47*(D_iC)-MIN(F_CardPayM,AK47+AK47*(D_iC)),AK47)</f>
        <v>0</v>
      </c>
      <c r="AM47" s="20" t="n">
        <f aca="false">IF(AL47&gt;PR_BalDone,AL47+AL47*(D_iC)-MIN(F_CardPayM,AL47+AL47*(D_iC)),AL47)</f>
        <v>0</v>
      </c>
      <c r="AN47" s="20" t="n">
        <f aca="false">IF(AM47&gt;PR_BalDone,AM47+AM47*(D_iC)-MIN(F_CardPayM,AM47+AM47*(D_iC)),AM47)</f>
        <v>0</v>
      </c>
      <c r="AO47" s="20" t="n">
        <f aca="false">IF(AN47&gt;PR_BalDone,AN47+AN47*(D_iC)-MIN(F_CardPayM,AN47+AN47*(D_iC)),AN47)</f>
        <v>0</v>
      </c>
      <c r="AP47" s="20" t="n">
        <f aca="false">IF(AO47&gt;PR_BalDone,AO47+AO47*(D_iC)-MIN(F_CardPayM,AO47+AO47*(D_iC)),AO47)</f>
        <v>0</v>
      </c>
      <c r="AQ47" s="20" t="n">
        <f aca="false">IF(AD47&gt;PR_BalDone,MIN(F_CardPayM,AD47+AD47*(D_iC)),0)</f>
        <v>0</v>
      </c>
      <c r="AR47" s="20" t="n">
        <f aca="false">IF(AE47&gt;PR_BalDone,MIN(F_CardPayM,AE47+AE47*(D_iC)),0)</f>
        <v>0</v>
      </c>
      <c r="AS47" s="20" t="n">
        <f aca="false">IF(AF47&gt;PR_BalDone,MIN(F_CardPayM,AF47+AF47*(D_iC)),0)</f>
        <v>0</v>
      </c>
      <c r="AT47" s="20" t="n">
        <f aca="false">IF(AG47&gt;PR_BalDone,MIN(F_CardPayM,AG47+AG47*(D_iC)),0)</f>
        <v>0</v>
      </c>
      <c r="AU47" s="20" t="n">
        <f aca="false">IF(AH47&gt;PR_BalDone,MIN(F_CardPayM,AH47+AH47*(D_iC)),0)</f>
        <v>0</v>
      </c>
      <c r="AV47" s="20" t="n">
        <f aca="false">IF(AI47&gt;PR_BalDone,MIN(F_CardPayM,AI47+AI47*(D_iC)),0)</f>
        <v>0</v>
      </c>
      <c r="AW47" s="20" t="n">
        <f aca="false">IF(AJ47&gt;PR_BalDone,MIN(F_CardPayM,AJ47+AJ47*(D_iC)),0)</f>
        <v>0</v>
      </c>
      <c r="AX47" s="20" t="n">
        <f aca="false">IF(AK47&gt;PR_BalDone,MIN(F_CardPayM,AK47+AK47*(D_iC)),0)</f>
        <v>0</v>
      </c>
      <c r="AY47" s="20" t="n">
        <f aca="false">IF(AL47&gt;PR_BalDone,MIN(F_CardPayM,AL47+AL47*(D_iC)),0)</f>
        <v>0</v>
      </c>
      <c r="AZ47" s="20" t="n">
        <f aca="false">IF(AM47&gt;PR_BalDone,MIN(F_CardPayM,AM47+AM47*(D_iC)),0)</f>
        <v>0</v>
      </c>
      <c r="BA47" s="20" t="n">
        <f aca="false">IF(AN47&gt;PR_BalDone,MIN(F_CardPayM,AN47+AN47*(D_iC)),0)</f>
        <v>0</v>
      </c>
      <c r="BB47" s="20" t="n">
        <f aca="false">IF(AO47&gt;PR_BalDone,MIN(F_CardPayM,AO47+AO47*(D_iC)),0)</f>
        <v>0</v>
      </c>
      <c r="BC47" s="20" t="n">
        <f aca="false">MAX(0,AP47)</f>
        <v>0</v>
      </c>
      <c r="BD47" s="20" t="n">
        <f aca="false">SUM(AQ47:BB47)</f>
        <v>0</v>
      </c>
      <c r="BE47" s="20" t="n">
        <f aca="false">'Plan cashflow'!P47</f>
        <v>0</v>
      </c>
      <c r="BF47" s="20" t="n">
        <f aca="false">IF(BE47&gt;PR_BalDone,BE47+BE47*(D_iL)-MIN(F_LoanPayM,BE47+BE47*(D_iL)),BE47)</f>
        <v>0</v>
      </c>
      <c r="BG47" s="20" t="n">
        <f aca="false">IF(BF47&gt;PR_BalDone,BF47+BF47*(D_iL)-MIN(F_LoanPayM,BF47+BF47*(D_iL)),BF47)</f>
        <v>0</v>
      </c>
      <c r="BH47" s="20" t="n">
        <f aca="false">IF(BG47&gt;PR_BalDone,BG47+BG47*(D_iL)-MIN(F_LoanPayM,BG47+BG47*(D_iL)),BG47)</f>
        <v>0</v>
      </c>
      <c r="BI47" s="20" t="n">
        <f aca="false">IF(BH47&gt;PR_BalDone,BH47+BH47*(D_iL)-MIN(F_LoanPayM,BH47+BH47*(D_iL)),BH47)</f>
        <v>0</v>
      </c>
      <c r="BJ47" s="20" t="n">
        <f aca="false">IF(BI47&gt;PR_BalDone,BI47+BI47*(D_iL)-MIN(F_LoanPayM,BI47+BI47*(D_iL)),BI47)</f>
        <v>0</v>
      </c>
      <c r="BK47" s="20" t="n">
        <f aca="false">IF(BJ47&gt;PR_BalDone,BJ47+BJ47*(D_iL)-MIN(F_LoanPayM,BJ47+BJ47*(D_iL)),BJ47)</f>
        <v>0</v>
      </c>
      <c r="BL47" s="20" t="n">
        <f aca="false">IF(BK47&gt;PR_BalDone,BK47+BK47*(D_iL)-MIN(F_LoanPayM,BK47+BK47*(D_iL)),BK47)</f>
        <v>0</v>
      </c>
      <c r="BM47" s="20" t="n">
        <f aca="false">IF(BL47&gt;PR_BalDone,BL47+BL47*(D_iL)-MIN(F_LoanPayM,BL47+BL47*(D_iL)),BL47)</f>
        <v>0</v>
      </c>
      <c r="BN47" s="20" t="n">
        <f aca="false">IF(BM47&gt;PR_BalDone,BM47+BM47*(D_iL)-MIN(F_LoanPayM,BM47+BM47*(D_iL)),BM47)</f>
        <v>0</v>
      </c>
      <c r="BO47" s="20" t="n">
        <f aca="false">IF(BN47&gt;PR_BalDone,BN47+BN47*(D_iL)-MIN(F_LoanPayM,BN47+BN47*(D_iL)),BN47)</f>
        <v>0</v>
      </c>
      <c r="BP47" s="20" t="n">
        <f aca="false">IF(BO47&gt;PR_BalDone,BO47+BO47*(D_iL)-MIN(F_LoanPayM,BO47+BO47*(D_iL)),BO47)</f>
        <v>0</v>
      </c>
      <c r="BQ47" s="20" t="n">
        <f aca="false">IF(BP47&gt;PR_BalDone,BP47+BP47*(D_iL)-MIN(F_LoanPayM,BP47+BP47*(D_iL)),BP47)</f>
        <v>0</v>
      </c>
      <c r="BR47" s="20" t="n">
        <f aca="false">IF(BE47&gt;PR_BalDone,MIN(F_LoanPayM,BE47+BE47*(D_iL)),0)</f>
        <v>0</v>
      </c>
      <c r="BS47" s="20" t="n">
        <f aca="false">IF(BF47&gt;PR_BalDone,MIN(F_LoanPayM,BF47+BF47*(D_iL)),0)</f>
        <v>0</v>
      </c>
      <c r="BT47" s="20" t="n">
        <f aca="false">IF(BG47&gt;PR_BalDone,MIN(F_LoanPayM,BG47+BG47*(D_iL)),0)</f>
        <v>0</v>
      </c>
      <c r="BU47" s="20" t="n">
        <f aca="false">IF(BH47&gt;PR_BalDone,MIN(F_LoanPayM,BH47+BH47*(D_iL)),0)</f>
        <v>0</v>
      </c>
      <c r="BV47" s="20" t="n">
        <f aca="false">IF(BI47&gt;PR_BalDone,MIN(F_LoanPayM,BI47+BI47*(D_iL)),0)</f>
        <v>0</v>
      </c>
      <c r="BW47" s="20" t="n">
        <f aca="false">IF(BJ47&gt;PR_BalDone,MIN(F_LoanPayM,BJ47+BJ47*(D_iL)),0)</f>
        <v>0</v>
      </c>
      <c r="BX47" s="20" t="n">
        <f aca="false">IF(BK47&gt;PR_BalDone,MIN(F_LoanPayM,BK47+BK47*(D_iL)),0)</f>
        <v>0</v>
      </c>
      <c r="BY47" s="20" t="n">
        <f aca="false">IF(BL47&gt;PR_BalDone,MIN(F_LoanPayM,BL47+BL47*(D_iL)),0)</f>
        <v>0</v>
      </c>
      <c r="BZ47" s="20" t="n">
        <f aca="false">IF(BM47&gt;PR_BalDone,MIN(F_LoanPayM,BM47+BM47*(D_iL)),0)</f>
        <v>0</v>
      </c>
      <c r="CA47" s="20" t="n">
        <f aca="false">IF(BN47&gt;PR_BalDone,MIN(F_LoanPayM,BN47+BN47*(D_iL)),0)</f>
        <v>0</v>
      </c>
      <c r="CB47" s="20" t="n">
        <f aca="false">IF(BO47&gt;PR_BalDone,MIN(F_LoanPayM,BO47+BO47*(D_iL)),0)</f>
        <v>0</v>
      </c>
      <c r="CC47" s="20" t="n">
        <f aca="false">IF(BP47&gt;PR_BalDone,MIN(F_LoanPayM,BP47+BP47*(D_iL)),0)</f>
        <v>0</v>
      </c>
      <c r="CD47" s="20" t="n">
        <f aca="false">MAX(0,BQ47)</f>
        <v>0</v>
      </c>
      <c r="CE47" s="20" t="n">
        <f aca="false">SUM(BR47:CC47)</f>
        <v>0</v>
      </c>
      <c r="CF47" s="20" t="n">
        <f aca="false">IF(CF46&gt;1,DE46,CF46)</f>
        <v>0</v>
      </c>
      <c r="CG47" s="20" t="n">
        <f aca="false">IF(CF47&gt;PR_BalDone,CF47+CF47*(F_MR/12)-MIN(F_MortPayM,CF47+CF47*(F_MR/12)),CF47)</f>
        <v>0</v>
      </c>
      <c r="CH47" s="20" t="n">
        <f aca="false">IF(CG47&gt;PR_BalDone,CG47+CG47*(F_MR/12)-MIN(F_MortPayM,CG47+CG47*(F_MR/12)),CG47)</f>
        <v>0</v>
      </c>
      <c r="CI47" s="20" t="n">
        <f aca="false">IF(CH47&gt;PR_BalDone,CH47+CH47*(F_MR/12)-MIN(F_MortPayM,CH47+CH47*(F_MR/12)),CH47)</f>
        <v>0</v>
      </c>
      <c r="CJ47" s="20" t="n">
        <f aca="false">IF(CI47&gt;PR_BalDone,CI47+CI47*(F_MR/12)-MIN(F_MortPayM,CI47+CI47*(F_MR/12)),CI47)</f>
        <v>0</v>
      </c>
      <c r="CK47" s="20" t="n">
        <f aca="false">IF(CJ47&gt;PR_BalDone,CJ47+CJ47*(F_MR/12)-MIN(F_MortPayM,CJ47+CJ47*(F_MR/12)),CJ47)</f>
        <v>0</v>
      </c>
      <c r="CL47" s="20" t="n">
        <f aca="false">IF(CK47&gt;PR_BalDone,CK47+CK47*(F_MR/12)-MIN(F_MortPayM,CK47+CK47*(F_MR/12)),CK47)</f>
        <v>0</v>
      </c>
      <c r="CM47" s="20" t="n">
        <f aca="false">IF(CL47&gt;PR_BalDone,CL47+CL47*(F_MR/12)-MIN(F_MortPayM,CL47+CL47*(F_MR/12)),CL47)</f>
        <v>0</v>
      </c>
      <c r="CN47" s="20" t="n">
        <f aca="false">IF(CM47&gt;PR_BalDone,CM47+CM47*(F_MR/12)-MIN(F_MortPayM,CM47+CM47*(F_MR/12)),CM47)</f>
        <v>0</v>
      </c>
      <c r="CO47" s="20" t="n">
        <f aca="false">IF(CN47&gt;PR_BalDone,CN47+CN47*(F_MR/12)-MIN(F_MortPayM,CN47+CN47*(F_MR/12)),CN47)</f>
        <v>0</v>
      </c>
      <c r="CP47" s="20" t="n">
        <f aca="false">IF(CO47&gt;PR_BalDone,CO47+CO47*(F_MR/12)-MIN(F_MortPayM,CO47+CO47*(F_MR/12)),CO47)</f>
        <v>0</v>
      </c>
      <c r="CQ47" s="20" t="n">
        <f aca="false">IF(CP47&gt;PR_BalDone,CP47+CP47*(F_MR/12)-MIN(F_MortPayM,CP47+CP47*(F_MR/12)),CP47)</f>
        <v>0</v>
      </c>
      <c r="CR47" s="20" t="n">
        <f aca="false">IF(CQ47&gt;PR_BalDone,CQ47+CQ47*(F_MR/12)-MIN(F_MortPayM,CQ47+CQ47*(F_MR/12)),CQ47)</f>
        <v>0</v>
      </c>
      <c r="CS47" s="20" t="n">
        <f aca="false">IF(CF47&gt;PR_BalDone,MIN(F_MortPayM,CF47+CF47*(F_MR/12)),0)</f>
        <v>0</v>
      </c>
      <c r="CT47" s="20" t="n">
        <f aca="false">IF(CG47&gt;PR_BalDone,MIN(F_MortPayM,CG47+CG47*(F_MR/12)),0)</f>
        <v>0</v>
      </c>
      <c r="CU47" s="20" t="n">
        <f aca="false">IF(CH47&gt;PR_BalDone,MIN(F_MortPayM,CH47+CH47*(F_MR/12)),0)</f>
        <v>0</v>
      </c>
      <c r="CV47" s="20" t="n">
        <f aca="false">IF(CI47&gt;PR_BalDone,MIN(F_MortPayM,CI47+CI47*(F_MR/12)),0)</f>
        <v>0</v>
      </c>
      <c r="CW47" s="20" t="n">
        <f aca="false">IF(CJ47&gt;PR_BalDone,MIN(F_MortPayM,CJ47+CJ47*(F_MR/12)),0)</f>
        <v>0</v>
      </c>
      <c r="CX47" s="20" t="n">
        <f aca="false">IF(CK47&gt;PR_BalDone,MIN(F_MortPayM,CK47+CK47*(F_MR/12)),0)</f>
        <v>0</v>
      </c>
      <c r="CY47" s="20" t="n">
        <f aca="false">IF(CL47&gt;PR_BalDone,MIN(F_MortPayM,CL47+CL47*(F_MR/12)),0)</f>
        <v>0</v>
      </c>
      <c r="CZ47" s="20" t="n">
        <f aca="false">IF(CM47&gt;PR_BalDone,MIN(F_MortPayM,CM47+CM47*(F_MR/12)),0)</f>
        <v>0</v>
      </c>
      <c r="DA47" s="20" t="n">
        <f aca="false">IF(CN47&gt;PR_BalDone,MIN(F_MortPayM,CN47+CN47*(F_MR/12)),0)</f>
        <v>0</v>
      </c>
      <c r="DB47" s="20" t="n">
        <f aca="false">IF(CO47&gt;PR_BalDone,MIN(F_MortPayM,CO47+CO47*(F_MR/12)),0)</f>
        <v>0</v>
      </c>
      <c r="DC47" s="20" t="n">
        <f aca="false">IF(CP47&gt;PR_BalDone,MIN(F_MortPayM,CP47+CP47*(F_MR/12)),0)</f>
        <v>0</v>
      </c>
      <c r="DD47" s="20" t="n">
        <f aca="false">IF(CQ47&gt;PR_BalDone,MIN(F_MortPayM,CQ47+CQ47*(F_MR/12)),0)</f>
        <v>0</v>
      </c>
      <c r="DE47" s="20" t="n">
        <f aca="false">MAX(0,CR47)</f>
        <v>0</v>
      </c>
      <c r="DF47" s="20" t="n">
        <f aca="false">SUM(CS47:DD47)</f>
        <v>0</v>
      </c>
      <c r="DG47" s="20" t="n">
        <f aca="false">MAX(0,CF47)</f>
        <v>0</v>
      </c>
    </row>
    <row r="48" customFormat="false" ht="15" hidden="false" customHeight="true" outlineLevel="0" collapsed="false">
      <c r="B48" s="20" t="n">
        <v>40</v>
      </c>
      <c r="C48" s="20" t="n">
        <f aca="false">'Plan cashflow'!J48</f>
        <v>0</v>
      </c>
      <c r="D48" s="20" t="n">
        <f aca="false">IF(C48&gt;PR_BalDone,C48+C48*(F_MR/12)-MIN(F_MortPayM,C48+C48*(F_MR/12)),C48)</f>
        <v>0</v>
      </c>
      <c r="E48" s="20" t="n">
        <f aca="false">IF(D48&gt;PR_BalDone,D48+D48*(F_MR/12)-MIN(F_MortPayM,D48+D48*(F_MR/12)),D48)</f>
        <v>0</v>
      </c>
      <c r="F48" s="20" t="n">
        <f aca="false">IF(E48&gt;PR_BalDone,E48+E48*(F_MR/12)-MIN(F_MortPayM,E48+E48*(F_MR/12)),E48)</f>
        <v>0</v>
      </c>
      <c r="G48" s="20" t="n">
        <f aca="false">IF(F48&gt;PR_BalDone,F48+F48*(F_MR/12)-MIN(F_MortPayM,F48+F48*(F_MR/12)),F48)</f>
        <v>0</v>
      </c>
      <c r="H48" s="20" t="n">
        <f aca="false">IF(G48&gt;PR_BalDone,G48+G48*(F_MR/12)-MIN(F_MortPayM,G48+G48*(F_MR/12)),G48)</f>
        <v>0</v>
      </c>
      <c r="I48" s="20" t="n">
        <f aca="false">IF(H48&gt;PR_BalDone,H48+H48*(F_MR/12)-MIN(F_MortPayM,H48+H48*(F_MR/12)),H48)</f>
        <v>0</v>
      </c>
      <c r="J48" s="20" t="n">
        <f aca="false">IF(I48&gt;PR_BalDone,I48+I48*(F_MR/12)-MIN(F_MortPayM,I48+I48*(F_MR/12)),I48)</f>
        <v>0</v>
      </c>
      <c r="K48" s="20" t="n">
        <f aca="false">IF(J48&gt;PR_BalDone,J48+J48*(F_MR/12)-MIN(F_MortPayM,J48+J48*(F_MR/12)),J48)</f>
        <v>0</v>
      </c>
      <c r="L48" s="20" t="n">
        <f aca="false">IF(K48&gt;PR_BalDone,K48+K48*(F_MR/12)-MIN(F_MortPayM,K48+K48*(F_MR/12)),K48)</f>
        <v>0</v>
      </c>
      <c r="M48" s="20" t="n">
        <f aca="false">IF(L48&gt;PR_BalDone,L48+L48*(F_MR/12)-MIN(F_MortPayM,L48+L48*(F_MR/12)),L48)</f>
        <v>0</v>
      </c>
      <c r="N48" s="20" t="n">
        <f aca="false">IF(M48&gt;PR_BalDone,M48+M48*(F_MR/12)-MIN(F_MortPayM,M48+M48*(F_MR/12)),M48)</f>
        <v>0</v>
      </c>
      <c r="O48" s="20" t="n">
        <f aca="false">IF(N48&gt;PR_BalDone,N48+N48*(F_MR/12)-MIN(F_MortPayM,N48+N48*(F_MR/12)),N48)</f>
        <v>0</v>
      </c>
      <c r="P48" s="20" t="n">
        <f aca="false">IF(C48&gt;PR_BalDone,MIN(F_MortPayM,C48+C48*(F_MR/12)),0)</f>
        <v>0</v>
      </c>
      <c r="Q48" s="20" t="n">
        <f aca="false">IF(D48&gt;PR_BalDone,MIN(F_MortPayM,D48+D48*(F_MR/12)),0)</f>
        <v>0</v>
      </c>
      <c r="R48" s="20" t="n">
        <f aca="false">IF(E48&gt;PR_BalDone,MIN(F_MortPayM,E48+E48*(F_MR/12)),0)</f>
        <v>0</v>
      </c>
      <c r="S48" s="20" t="n">
        <f aca="false">IF(F48&gt;PR_BalDone,MIN(F_MortPayM,F48+F48*(F_MR/12)),0)</f>
        <v>0</v>
      </c>
      <c r="T48" s="20" t="n">
        <f aca="false">IF(G48&gt;PR_BalDone,MIN(F_MortPayM,G48+G48*(F_MR/12)),0)</f>
        <v>0</v>
      </c>
      <c r="U48" s="20" t="n">
        <f aca="false">IF(H48&gt;PR_BalDone,MIN(F_MortPayM,H48+H48*(F_MR/12)),0)</f>
        <v>0</v>
      </c>
      <c r="V48" s="20" t="n">
        <f aca="false">IF(I48&gt;PR_BalDone,MIN(F_MortPayM,I48+I48*(F_MR/12)),0)</f>
        <v>0</v>
      </c>
      <c r="W48" s="20" t="n">
        <f aca="false">IF(J48&gt;PR_BalDone,MIN(F_MortPayM,J48+J48*(F_MR/12)),0)</f>
        <v>0</v>
      </c>
      <c r="X48" s="20" t="n">
        <f aca="false">IF(K48&gt;PR_BalDone,MIN(F_MortPayM,K48+K48*(F_MR/12)),0)</f>
        <v>0</v>
      </c>
      <c r="Y48" s="20" t="n">
        <f aca="false">IF(L48&gt;PR_BalDone,MIN(F_MortPayM,L48+L48*(F_MR/12)),0)</f>
        <v>0</v>
      </c>
      <c r="Z48" s="20" t="n">
        <f aca="false">IF(M48&gt;PR_BalDone,MIN(F_MortPayM,M48+M48*(F_MR/12)),0)</f>
        <v>0</v>
      </c>
      <c r="AA48" s="20" t="n">
        <f aca="false">IF(N48&gt;PR_BalDone,MIN(F_MortPayM,N48+N48*(F_MR/12)),0)</f>
        <v>0</v>
      </c>
      <c r="AB48" s="20" t="n">
        <f aca="false">MAX(0,O48)</f>
        <v>0</v>
      </c>
      <c r="AC48" s="20" t="n">
        <f aca="false">SUM(P48:AA48)</f>
        <v>0</v>
      </c>
      <c r="AD48" s="20" t="n">
        <f aca="false">'Plan cashflow'!M48</f>
        <v>0</v>
      </c>
      <c r="AE48" s="20" t="n">
        <f aca="false">IF(AD48&gt;PR_BalDone,AD48+AD48*(D_iC)-MIN(F_CardPayM,AD48+AD48*(D_iC)),AD48)</f>
        <v>0</v>
      </c>
      <c r="AF48" s="20" t="n">
        <f aca="false">IF(AE48&gt;PR_BalDone,AE48+AE48*(D_iC)-MIN(F_CardPayM,AE48+AE48*(D_iC)),AE48)</f>
        <v>0</v>
      </c>
      <c r="AG48" s="20" t="n">
        <f aca="false">IF(AF48&gt;PR_BalDone,AF48+AF48*(D_iC)-MIN(F_CardPayM,AF48+AF48*(D_iC)),AF48)</f>
        <v>0</v>
      </c>
      <c r="AH48" s="20" t="n">
        <f aca="false">IF(AG48&gt;PR_BalDone,AG48+AG48*(D_iC)-MIN(F_CardPayM,AG48+AG48*(D_iC)),AG48)</f>
        <v>0</v>
      </c>
      <c r="AI48" s="20" t="n">
        <f aca="false">IF(AH48&gt;PR_BalDone,AH48+AH48*(D_iC)-MIN(F_CardPayM,AH48+AH48*(D_iC)),AH48)</f>
        <v>0</v>
      </c>
      <c r="AJ48" s="20" t="n">
        <f aca="false">IF(AI48&gt;PR_BalDone,AI48+AI48*(D_iC)-MIN(F_CardPayM,AI48+AI48*(D_iC)),AI48)</f>
        <v>0</v>
      </c>
      <c r="AK48" s="20" t="n">
        <f aca="false">IF(AJ48&gt;PR_BalDone,AJ48+AJ48*(D_iC)-MIN(F_CardPayM,AJ48+AJ48*(D_iC)),AJ48)</f>
        <v>0</v>
      </c>
      <c r="AL48" s="20" t="n">
        <f aca="false">IF(AK48&gt;PR_BalDone,AK48+AK48*(D_iC)-MIN(F_CardPayM,AK48+AK48*(D_iC)),AK48)</f>
        <v>0</v>
      </c>
      <c r="AM48" s="20" t="n">
        <f aca="false">IF(AL48&gt;PR_BalDone,AL48+AL48*(D_iC)-MIN(F_CardPayM,AL48+AL48*(D_iC)),AL48)</f>
        <v>0</v>
      </c>
      <c r="AN48" s="20" t="n">
        <f aca="false">IF(AM48&gt;PR_BalDone,AM48+AM48*(D_iC)-MIN(F_CardPayM,AM48+AM48*(D_iC)),AM48)</f>
        <v>0</v>
      </c>
      <c r="AO48" s="20" t="n">
        <f aca="false">IF(AN48&gt;PR_BalDone,AN48+AN48*(D_iC)-MIN(F_CardPayM,AN48+AN48*(D_iC)),AN48)</f>
        <v>0</v>
      </c>
      <c r="AP48" s="20" t="n">
        <f aca="false">IF(AO48&gt;PR_BalDone,AO48+AO48*(D_iC)-MIN(F_CardPayM,AO48+AO48*(D_iC)),AO48)</f>
        <v>0</v>
      </c>
      <c r="AQ48" s="20" t="n">
        <f aca="false">IF(AD48&gt;PR_BalDone,MIN(F_CardPayM,AD48+AD48*(D_iC)),0)</f>
        <v>0</v>
      </c>
      <c r="AR48" s="20" t="n">
        <f aca="false">IF(AE48&gt;PR_BalDone,MIN(F_CardPayM,AE48+AE48*(D_iC)),0)</f>
        <v>0</v>
      </c>
      <c r="AS48" s="20" t="n">
        <f aca="false">IF(AF48&gt;PR_BalDone,MIN(F_CardPayM,AF48+AF48*(D_iC)),0)</f>
        <v>0</v>
      </c>
      <c r="AT48" s="20" t="n">
        <f aca="false">IF(AG48&gt;PR_BalDone,MIN(F_CardPayM,AG48+AG48*(D_iC)),0)</f>
        <v>0</v>
      </c>
      <c r="AU48" s="20" t="n">
        <f aca="false">IF(AH48&gt;PR_BalDone,MIN(F_CardPayM,AH48+AH48*(D_iC)),0)</f>
        <v>0</v>
      </c>
      <c r="AV48" s="20" t="n">
        <f aca="false">IF(AI48&gt;PR_BalDone,MIN(F_CardPayM,AI48+AI48*(D_iC)),0)</f>
        <v>0</v>
      </c>
      <c r="AW48" s="20" t="n">
        <f aca="false">IF(AJ48&gt;PR_BalDone,MIN(F_CardPayM,AJ48+AJ48*(D_iC)),0)</f>
        <v>0</v>
      </c>
      <c r="AX48" s="20" t="n">
        <f aca="false">IF(AK48&gt;PR_BalDone,MIN(F_CardPayM,AK48+AK48*(D_iC)),0)</f>
        <v>0</v>
      </c>
      <c r="AY48" s="20" t="n">
        <f aca="false">IF(AL48&gt;PR_BalDone,MIN(F_CardPayM,AL48+AL48*(D_iC)),0)</f>
        <v>0</v>
      </c>
      <c r="AZ48" s="20" t="n">
        <f aca="false">IF(AM48&gt;PR_BalDone,MIN(F_CardPayM,AM48+AM48*(D_iC)),0)</f>
        <v>0</v>
      </c>
      <c r="BA48" s="20" t="n">
        <f aca="false">IF(AN48&gt;PR_BalDone,MIN(F_CardPayM,AN48+AN48*(D_iC)),0)</f>
        <v>0</v>
      </c>
      <c r="BB48" s="20" t="n">
        <f aca="false">IF(AO48&gt;PR_BalDone,MIN(F_CardPayM,AO48+AO48*(D_iC)),0)</f>
        <v>0</v>
      </c>
      <c r="BC48" s="20" t="n">
        <f aca="false">MAX(0,AP48)</f>
        <v>0</v>
      </c>
      <c r="BD48" s="20" t="n">
        <f aca="false">SUM(AQ48:BB48)</f>
        <v>0</v>
      </c>
      <c r="BE48" s="20" t="n">
        <f aca="false">'Plan cashflow'!P48</f>
        <v>0</v>
      </c>
      <c r="BF48" s="20" t="n">
        <f aca="false">IF(BE48&gt;PR_BalDone,BE48+BE48*(D_iL)-MIN(F_LoanPayM,BE48+BE48*(D_iL)),BE48)</f>
        <v>0</v>
      </c>
      <c r="BG48" s="20" t="n">
        <f aca="false">IF(BF48&gt;PR_BalDone,BF48+BF48*(D_iL)-MIN(F_LoanPayM,BF48+BF48*(D_iL)),BF48)</f>
        <v>0</v>
      </c>
      <c r="BH48" s="20" t="n">
        <f aca="false">IF(BG48&gt;PR_BalDone,BG48+BG48*(D_iL)-MIN(F_LoanPayM,BG48+BG48*(D_iL)),BG48)</f>
        <v>0</v>
      </c>
      <c r="BI48" s="20" t="n">
        <f aca="false">IF(BH48&gt;PR_BalDone,BH48+BH48*(D_iL)-MIN(F_LoanPayM,BH48+BH48*(D_iL)),BH48)</f>
        <v>0</v>
      </c>
      <c r="BJ48" s="20" t="n">
        <f aca="false">IF(BI48&gt;PR_BalDone,BI48+BI48*(D_iL)-MIN(F_LoanPayM,BI48+BI48*(D_iL)),BI48)</f>
        <v>0</v>
      </c>
      <c r="BK48" s="20" t="n">
        <f aca="false">IF(BJ48&gt;PR_BalDone,BJ48+BJ48*(D_iL)-MIN(F_LoanPayM,BJ48+BJ48*(D_iL)),BJ48)</f>
        <v>0</v>
      </c>
      <c r="BL48" s="20" t="n">
        <f aca="false">IF(BK48&gt;PR_BalDone,BK48+BK48*(D_iL)-MIN(F_LoanPayM,BK48+BK48*(D_iL)),BK48)</f>
        <v>0</v>
      </c>
      <c r="BM48" s="20" t="n">
        <f aca="false">IF(BL48&gt;PR_BalDone,BL48+BL48*(D_iL)-MIN(F_LoanPayM,BL48+BL48*(D_iL)),BL48)</f>
        <v>0</v>
      </c>
      <c r="BN48" s="20" t="n">
        <f aca="false">IF(BM48&gt;PR_BalDone,BM48+BM48*(D_iL)-MIN(F_LoanPayM,BM48+BM48*(D_iL)),BM48)</f>
        <v>0</v>
      </c>
      <c r="BO48" s="20" t="n">
        <f aca="false">IF(BN48&gt;PR_BalDone,BN48+BN48*(D_iL)-MIN(F_LoanPayM,BN48+BN48*(D_iL)),BN48)</f>
        <v>0</v>
      </c>
      <c r="BP48" s="20" t="n">
        <f aca="false">IF(BO48&gt;PR_BalDone,BO48+BO48*(D_iL)-MIN(F_LoanPayM,BO48+BO48*(D_iL)),BO48)</f>
        <v>0</v>
      </c>
      <c r="BQ48" s="20" t="n">
        <f aca="false">IF(BP48&gt;PR_BalDone,BP48+BP48*(D_iL)-MIN(F_LoanPayM,BP48+BP48*(D_iL)),BP48)</f>
        <v>0</v>
      </c>
      <c r="BR48" s="20" t="n">
        <f aca="false">IF(BE48&gt;PR_BalDone,MIN(F_LoanPayM,BE48+BE48*(D_iL)),0)</f>
        <v>0</v>
      </c>
      <c r="BS48" s="20" t="n">
        <f aca="false">IF(BF48&gt;PR_BalDone,MIN(F_LoanPayM,BF48+BF48*(D_iL)),0)</f>
        <v>0</v>
      </c>
      <c r="BT48" s="20" t="n">
        <f aca="false">IF(BG48&gt;PR_BalDone,MIN(F_LoanPayM,BG48+BG48*(D_iL)),0)</f>
        <v>0</v>
      </c>
      <c r="BU48" s="20" t="n">
        <f aca="false">IF(BH48&gt;PR_BalDone,MIN(F_LoanPayM,BH48+BH48*(D_iL)),0)</f>
        <v>0</v>
      </c>
      <c r="BV48" s="20" t="n">
        <f aca="false">IF(BI48&gt;PR_BalDone,MIN(F_LoanPayM,BI48+BI48*(D_iL)),0)</f>
        <v>0</v>
      </c>
      <c r="BW48" s="20" t="n">
        <f aca="false">IF(BJ48&gt;PR_BalDone,MIN(F_LoanPayM,BJ48+BJ48*(D_iL)),0)</f>
        <v>0</v>
      </c>
      <c r="BX48" s="20" t="n">
        <f aca="false">IF(BK48&gt;PR_BalDone,MIN(F_LoanPayM,BK48+BK48*(D_iL)),0)</f>
        <v>0</v>
      </c>
      <c r="BY48" s="20" t="n">
        <f aca="false">IF(BL48&gt;PR_BalDone,MIN(F_LoanPayM,BL48+BL48*(D_iL)),0)</f>
        <v>0</v>
      </c>
      <c r="BZ48" s="20" t="n">
        <f aca="false">IF(BM48&gt;PR_BalDone,MIN(F_LoanPayM,BM48+BM48*(D_iL)),0)</f>
        <v>0</v>
      </c>
      <c r="CA48" s="20" t="n">
        <f aca="false">IF(BN48&gt;PR_BalDone,MIN(F_LoanPayM,BN48+BN48*(D_iL)),0)</f>
        <v>0</v>
      </c>
      <c r="CB48" s="20" t="n">
        <f aca="false">IF(BO48&gt;PR_BalDone,MIN(F_LoanPayM,BO48+BO48*(D_iL)),0)</f>
        <v>0</v>
      </c>
      <c r="CC48" s="20" t="n">
        <f aca="false">IF(BP48&gt;PR_BalDone,MIN(F_LoanPayM,BP48+BP48*(D_iL)),0)</f>
        <v>0</v>
      </c>
      <c r="CD48" s="20" t="n">
        <f aca="false">MAX(0,BQ48)</f>
        <v>0</v>
      </c>
      <c r="CE48" s="20" t="n">
        <f aca="false">SUM(BR48:CC48)</f>
        <v>0</v>
      </c>
      <c r="CF48" s="20" t="n">
        <f aca="false">IF(CF47&gt;1,DE47,CF47)</f>
        <v>0</v>
      </c>
      <c r="CG48" s="20" t="n">
        <f aca="false">IF(CF48&gt;PR_BalDone,CF48+CF48*(F_MR/12)-MIN(F_MortPayM,CF48+CF48*(F_MR/12)),CF48)</f>
        <v>0</v>
      </c>
      <c r="CH48" s="20" t="n">
        <f aca="false">IF(CG48&gt;PR_BalDone,CG48+CG48*(F_MR/12)-MIN(F_MortPayM,CG48+CG48*(F_MR/12)),CG48)</f>
        <v>0</v>
      </c>
      <c r="CI48" s="20" t="n">
        <f aca="false">IF(CH48&gt;PR_BalDone,CH48+CH48*(F_MR/12)-MIN(F_MortPayM,CH48+CH48*(F_MR/12)),CH48)</f>
        <v>0</v>
      </c>
      <c r="CJ48" s="20" t="n">
        <f aca="false">IF(CI48&gt;PR_BalDone,CI48+CI48*(F_MR/12)-MIN(F_MortPayM,CI48+CI48*(F_MR/12)),CI48)</f>
        <v>0</v>
      </c>
      <c r="CK48" s="20" t="n">
        <f aca="false">IF(CJ48&gt;PR_BalDone,CJ48+CJ48*(F_MR/12)-MIN(F_MortPayM,CJ48+CJ48*(F_MR/12)),CJ48)</f>
        <v>0</v>
      </c>
      <c r="CL48" s="20" t="n">
        <f aca="false">IF(CK48&gt;PR_BalDone,CK48+CK48*(F_MR/12)-MIN(F_MortPayM,CK48+CK48*(F_MR/12)),CK48)</f>
        <v>0</v>
      </c>
      <c r="CM48" s="20" t="n">
        <f aca="false">IF(CL48&gt;PR_BalDone,CL48+CL48*(F_MR/12)-MIN(F_MortPayM,CL48+CL48*(F_MR/12)),CL48)</f>
        <v>0</v>
      </c>
      <c r="CN48" s="20" t="n">
        <f aca="false">IF(CM48&gt;PR_BalDone,CM48+CM48*(F_MR/12)-MIN(F_MortPayM,CM48+CM48*(F_MR/12)),CM48)</f>
        <v>0</v>
      </c>
      <c r="CO48" s="20" t="n">
        <f aca="false">IF(CN48&gt;PR_BalDone,CN48+CN48*(F_MR/12)-MIN(F_MortPayM,CN48+CN48*(F_MR/12)),CN48)</f>
        <v>0</v>
      </c>
      <c r="CP48" s="20" t="n">
        <f aca="false">IF(CO48&gt;PR_BalDone,CO48+CO48*(F_MR/12)-MIN(F_MortPayM,CO48+CO48*(F_MR/12)),CO48)</f>
        <v>0</v>
      </c>
      <c r="CQ48" s="20" t="n">
        <f aca="false">IF(CP48&gt;PR_BalDone,CP48+CP48*(F_MR/12)-MIN(F_MortPayM,CP48+CP48*(F_MR/12)),CP48)</f>
        <v>0</v>
      </c>
      <c r="CR48" s="20" t="n">
        <f aca="false">IF(CQ48&gt;PR_BalDone,CQ48+CQ48*(F_MR/12)-MIN(F_MortPayM,CQ48+CQ48*(F_MR/12)),CQ48)</f>
        <v>0</v>
      </c>
      <c r="CS48" s="20" t="n">
        <f aca="false">IF(CF48&gt;PR_BalDone,MIN(F_MortPayM,CF48+CF48*(F_MR/12)),0)</f>
        <v>0</v>
      </c>
      <c r="CT48" s="20" t="n">
        <f aca="false">IF(CG48&gt;PR_BalDone,MIN(F_MortPayM,CG48+CG48*(F_MR/12)),0)</f>
        <v>0</v>
      </c>
      <c r="CU48" s="20" t="n">
        <f aca="false">IF(CH48&gt;PR_BalDone,MIN(F_MortPayM,CH48+CH48*(F_MR/12)),0)</f>
        <v>0</v>
      </c>
      <c r="CV48" s="20" t="n">
        <f aca="false">IF(CI48&gt;PR_BalDone,MIN(F_MortPayM,CI48+CI48*(F_MR/12)),0)</f>
        <v>0</v>
      </c>
      <c r="CW48" s="20" t="n">
        <f aca="false">IF(CJ48&gt;PR_BalDone,MIN(F_MortPayM,CJ48+CJ48*(F_MR/12)),0)</f>
        <v>0</v>
      </c>
      <c r="CX48" s="20" t="n">
        <f aca="false">IF(CK48&gt;PR_BalDone,MIN(F_MortPayM,CK48+CK48*(F_MR/12)),0)</f>
        <v>0</v>
      </c>
      <c r="CY48" s="20" t="n">
        <f aca="false">IF(CL48&gt;PR_BalDone,MIN(F_MortPayM,CL48+CL48*(F_MR/12)),0)</f>
        <v>0</v>
      </c>
      <c r="CZ48" s="20" t="n">
        <f aca="false">IF(CM48&gt;PR_BalDone,MIN(F_MortPayM,CM48+CM48*(F_MR/12)),0)</f>
        <v>0</v>
      </c>
      <c r="DA48" s="20" t="n">
        <f aca="false">IF(CN48&gt;PR_BalDone,MIN(F_MortPayM,CN48+CN48*(F_MR/12)),0)</f>
        <v>0</v>
      </c>
      <c r="DB48" s="20" t="n">
        <f aca="false">IF(CO48&gt;PR_BalDone,MIN(F_MortPayM,CO48+CO48*(F_MR/12)),0)</f>
        <v>0</v>
      </c>
      <c r="DC48" s="20" t="n">
        <f aca="false">IF(CP48&gt;PR_BalDone,MIN(F_MortPayM,CP48+CP48*(F_MR/12)),0)</f>
        <v>0</v>
      </c>
      <c r="DD48" s="20" t="n">
        <f aca="false">IF(CQ48&gt;PR_BalDone,MIN(F_MortPayM,CQ48+CQ48*(F_MR/12)),0)</f>
        <v>0</v>
      </c>
      <c r="DE48" s="20" t="n">
        <f aca="false">MAX(0,CR48)</f>
        <v>0</v>
      </c>
      <c r="DF48" s="20" t="n">
        <f aca="false">SUM(CS48:DD48)</f>
        <v>0</v>
      </c>
      <c r="DG48" s="20" t="n">
        <f aca="false">MAX(0,CF48)</f>
        <v>0</v>
      </c>
    </row>
    <row r="49" customFormat="false" ht="15" hidden="false" customHeight="true" outlineLevel="0" collapsed="false">
      <c r="B49" s="20" t="n">
        <v>41</v>
      </c>
      <c r="C49" s="20" t="n">
        <f aca="false">'Plan cashflow'!J49</f>
        <v>0</v>
      </c>
      <c r="D49" s="20" t="n">
        <f aca="false">IF(C49&gt;PR_BalDone,C49+C49*(F_MR/12)-MIN(F_MortPayM,C49+C49*(F_MR/12)),C49)</f>
        <v>0</v>
      </c>
      <c r="E49" s="20" t="n">
        <f aca="false">IF(D49&gt;PR_BalDone,D49+D49*(F_MR/12)-MIN(F_MortPayM,D49+D49*(F_MR/12)),D49)</f>
        <v>0</v>
      </c>
      <c r="F49" s="20" t="n">
        <f aca="false">IF(E49&gt;PR_BalDone,E49+E49*(F_MR/12)-MIN(F_MortPayM,E49+E49*(F_MR/12)),E49)</f>
        <v>0</v>
      </c>
      <c r="G49" s="20" t="n">
        <f aca="false">IF(F49&gt;PR_BalDone,F49+F49*(F_MR/12)-MIN(F_MortPayM,F49+F49*(F_MR/12)),F49)</f>
        <v>0</v>
      </c>
      <c r="H49" s="20" t="n">
        <f aca="false">IF(G49&gt;PR_BalDone,G49+G49*(F_MR/12)-MIN(F_MortPayM,G49+G49*(F_MR/12)),G49)</f>
        <v>0</v>
      </c>
      <c r="I49" s="20" t="n">
        <f aca="false">IF(H49&gt;PR_BalDone,H49+H49*(F_MR/12)-MIN(F_MortPayM,H49+H49*(F_MR/12)),H49)</f>
        <v>0</v>
      </c>
      <c r="J49" s="20" t="n">
        <f aca="false">IF(I49&gt;PR_BalDone,I49+I49*(F_MR/12)-MIN(F_MortPayM,I49+I49*(F_MR/12)),I49)</f>
        <v>0</v>
      </c>
      <c r="K49" s="20" t="n">
        <f aca="false">IF(J49&gt;PR_BalDone,J49+J49*(F_MR/12)-MIN(F_MortPayM,J49+J49*(F_MR/12)),J49)</f>
        <v>0</v>
      </c>
      <c r="L49" s="20" t="n">
        <f aca="false">IF(K49&gt;PR_BalDone,K49+K49*(F_MR/12)-MIN(F_MortPayM,K49+K49*(F_MR/12)),K49)</f>
        <v>0</v>
      </c>
      <c r="M49" s="20" t="n">
        <f aca="false">IF(L49&gt;PR_BalDone,L49+L49*(F_MR/12)-MIN(F_MortPayM,L49+L49*(F_MR/12)),L49)</f>
        <v>0</v>
      </c>
      <c r="N49" s="20" t="n">
        <f aca="false">IF(M49&gt;PR_BalDone,M49+M49*(F_MR/12)-MIN(F_MortPayM,M49+M49*(F_MR/12)),M49)</f>
        <v>0</v>
      </c>
      <c r="O49" s="20" t="n">
        <f aca="false">IF(N49&gt;PR_BalDone,N49+N49*(F_MR/12)-MIN(F_MortPayM,N49+N49*(F_MR/12)),N49)</f>
        <v>0</v>
      </c>
      <c r="P49" s="20" t="n">
        <f aca="false">IF(C49&gt;PR_BalDone,MIN(F_MortPayM,C49+C49*(F_MR/12)),0)</f>
        <v>0</v>
      </c>
      <c r="Q49" s="20" t="n">
        <f aca="false">IF(D49&gt;PR_BalDone,MIN(F_MortPayM,D49+D49*(F_MR/12)),0)</f>
        <v>0</v>
      </c>
      <c r="R49" s="20" t="n">
        <f aca="false">IF(E49&gt;PR_BalDone,MIN(F_MortPayM,E49+E49*(F_MR/12)),0)</f>
        <v>0</v>
      </c>
      <c r="S49" s="20" t="n">
        <f aca="false">IF(F49&gt;PR_BalDone,MIN(F_MortPayM,F49+F49*(F_MR/12)),0)</f>
        <v>0</v>
      </c>
      <c r="T49" s="20" t="n">
        <f aca="false">IF(G49&gt;PR_BalDone,MIN(F_MortPayM,G49+G49*(F_MR/12)),0)</f>
        <v>0</v>
      </c>
      <c r="U49" s="20" t="n">
        <f aca="false">IF(H49&gt;PR_BalDone,MIN(F_MortPayM,H49+H49*(F_MR/12)),0)</f>
        <v>0</v>
      </c>
      <c r="V49" s="20" t="n">
        <f aca="false">IF(I49&gt;PR_BalDone,MIN(F_MortPayM,I49+I49*(F_MR/12)),0)</f>
        <v>0</v>
      </c>
      <c r="W49" s="20" t="n">
        <f aca="false">IF(J49&gt;PR_BalDone,MIN(F_MortPayM,J49+J49*(F_MR/12)),0)</f>
        <v>0</v>
      </c>
      <c r="X49" s="20" t="n">
        <f aca="false">IF(K49&gt;PR_BalDone,MIN(F_MortPayM,K49+K49*(F_MR/12)),0)</f>
        <v>0</v>
      </c>
      <c r="Y49" s="20" t="n">
        <f aca="false">IF(L49&gt;PR_BalDone,MIN(F_MortPayM,L49+L49*(F_MR/12)),0)</f>
        <v>0</v>
      </c>
      <c r="Z49" s="20" t="n">
        <f aca="false">IF(M49&gt;PR_BalDone,MIN(F_MortPayM,M49+M49*(F_MR/12)),0)</f>
        <v>0</v>
      </c>
      <c r="AA49" s="20" t="n">
        <f aca="false">IF(N49&gt;PR_BalDone,MIN(F_MortPayM,N49+N49*(F_MR/12)),0)</f>
        <v>0</v>
      </c>
      <c r="AB49" s="20" t="n">
        <f aca="false">MAX(0,O49)</f>
        <v>0</v>
      </c>
      <c r="AC49" s="20" t="n">
        <f aca="false">SUM(P49:AA49)</f>
        <v>0</v>
      </c>
      <c r="AD49" s="20" t="n">
        <f aca="false">'Plan cashflow'!M49</f>
        <v>0</v>
      </c>
      <c r="AE49" s="20" t="n">
        <f aca="false">IF(AD49&gt;PR_BalDone,AD49+AD49*(D_iC)-MIN(F_CardPayM,AD49+AD49*(D_iC)),AD49)</f>
        <v>0</v>
      </c>
      <c r="AF49" s="20" t="n">
        <f aca="false">IF(AE49&gt;PR_BalDone,AE49+AE49*(D_iC)-MIN(F_CardPayM,AE49+AE49*(D_iC)),AE49)</f>
        <v>0</v>
      </c>
      <c r="AG49" s="20" t="n">
        <f aca="false">IF(AF49&gt;PR_BalDone,AF49+AF49*(D_iC)-MIN(F_CardPayM,AF49+AF49*(D_iC)),AF49)</f>
        <v>0</v>
      </c>
      <c r="AH49" s="20" t="n">
        <f aca="false">IF(AG49&gt;PR_BalDone,AG49+AG49*(D_iC)-MIN(F_CardPayM,AG49+AG49*(D_iC)),AG49)</f>
        <v>0</v>
      </c>
      <c r="AI49" s="20" t="n">
        <f aca="false">IF(AH49&gt;PR_BalDone,AH49+AH49*(D_iC)-MIN(F_CardPayM,AH49+AH49*(D_iC)),AH49)</f>
        <v>0</v>
      </c>
      <c r="AJ49" s="20" t="n">
        <f aca="false">IF(AI49&gt;PR_BalDone,AI49+AI49*(D_iC)-MIN(F_CardPayM,AI49+AI49*(D_iC)),AI49)</f>
        <v>0</v>
      </c>
      <c r="AK49" s="20" t="n">
        <f aca="false">IF(AJ49&gt;PR_BalDone,AJ49+AJ49*(D_iC)-MIN(F_CardPayM,AJ49+AJ49*(D_iC)),AJ49)</f>
        <v>0</v>
      </c>
      <c r="AL49" s="20" t="n">
        <f aca="false">IF(AK49&gt;PR_BalDone,AK49+AK49*(D_iC)-MIN(F_CardPayM,AK49+AK49*(D_iC)),AK49)</f>
        <v>0</v>
      </c>
      <c r="AM49" s="20" t="n">
        <f aca="false">IF(AL49&gt;PR_BalDone,AL49+AL49*(D_iC)-MIN(F_CardPayM,AL49+AL49*(D_iC)),AL49)</f>
        <v>0</v>
      </c>
      <c r="AN49" s="20" t="n">
        <f aca="false">IF(AM49&gt;PR_BalDone,AM49+AM49*(D_iC)-MIN(F_CardPayM,AM49+AM49*(D_iC)),AM49)</f>
        <v>0</v>
      </c>
      <c r="AO49" s="20" t="n">
        <f aca="false">IF(AN49&gt;PR_BalDone,AN49+AN49*(D_iC)-MIN(F_CardPayM,AN49+AN49*(D_iC)),AN49)</f>
        <v>0</v>
      </c>
      <c r="AP49" s="20" t="n">
        <f aca="false">IF(AO49&gt;PR_BalDone,AO49+AO49*(D_iC)-MIN(F_CardPayM,AO49+AO49*(D_iC)),AO49)</f>
        <v>0</v>
      </c>
      <c r="AQ49" s="20" t="n">
        <f aca="false">IF(AD49&gt;PR_BalDone,MIN(F_CardPayM,AD49+AD49*(D_iC)),0)</f>
        <v>0</v>
      </c>
      <c r="AR49" s="20" t="n">
        <f aca="false">IF(AE49&gt;PR_BalDone,MIN(F_CardPayM,AE49+AE49*(D_iC)),0)</f>
        <v>0</v>
      </c>
      <c r="AS49" s="20" t="n">
        <f aca="false">IF(AF49&gt;PR_BalDone,MIN(F_CardPayM,AF49+AF49*(D_iC)),0)</f>
        <v>0</v>
      </c>
      <c r="AT49" s="20" t="n">
        <f aca="false">IF(AG49&gt;PR_BalDone,MIN(F_CardPayM,AG49+AG49*(D_iC)),0)</f>
        <v>0</v>
      </c>
      <c r="AU49" s="20" t="n">
        <f aca="false">IF(AH49&gt;PR_BalDone,MIN(F_CardPayM,AH49+AH49*(D_iC)),0)</f>
        <v>0</v>
      </c>
      <c r="AV49" s="20" t="n">
        <f aca="false">IF(AI49&gt;PR_BalDone,MIN(F_CardPayM,AI49+AI49*(D_iC)),0)</f>
        <v>0</v>
      </c>
      <c r="AW49" s="20" t="n">
        <f aca="false">IF(AJ49&gt;PR_BalDone,MIN(F_CardPayM,AJ49+AJ49*(D_iC)),0)</f>
        <v>0</v>
      </c>
      <c r="AX49" s="20" t="n">
        <f aca="false">IF(AK49&gt;PR_BalDone,MIN(F_CardPayM,AK49+AK49*(D_iC)),0)</f>
        <v>0</v>
      </c>
      <c r="AY49" s="20" t="n">
        <f aca="false">IF(AL49&gt;PR_BalDone,MIN(F_CardPayM,AL49+AL49*(D_iC)),0)</f>
        <v>0</v>
      </c>
      <c r="AZ49" s="20" t="n">
        <f aca="false">IF(AM49&gt;PR_BalDone,MIN(F_CardPayM,AM49+AM49*(D_iC)),0)</f>
        <v>0</v>
      </c>
      <c r="BA49" s="20" t="n">
        <f aca="false">IF(AN49&gt;PR_BalDone,MIN(F_CardPayM,AN49+AN49*(D_iC)),0)</f>
        <v>0</v>
      </c>
      <c r="BB49" s="20" t="n">
        <f aca="false">IF(AO49&gt;PR_BalDone,MIN(F_CardPayM,AO49+AO49*(D_iC)),0)</f>
        <v>0</v>
      </c>
      <c r="BC49" s="20" t="n">
        <f aca="false">MAX(0,AP49)</f>
        <v>0</v>
      </c>
      <c r="BD49" s="20" t="n">
        <f aca="false">SUM(AQ49:BB49)</f>
        <v>0</v>
      </c>
      <c r="BE49" s="20" t="n">
        <f aca="false">'Plan cashflow'!P49</f>
        <v>0</v>
      </c>
      <c r="BF49" s="20" t="n">
        <f aca="false">IF(BE49&gt;PR_BalDone,BE49+BE49*(D_iL)-MIN(F_LoanPayM,BE49+BE49*(D_iL)),BE49)</f>
        <v>0</v>
      </c>
      <c r="BG49" s="20" t="n">
        <f aca="false">IF(BF49&gt;PR_BalDone,BF49+BF49*(D_iL)-MIN(F_LoanPayM,BF49+BF49*(D_iL)),BF49)</f>
        <v>0</v>
      </c>
      <c r="BH49" s="20" t="n">
        <f aca="false">IF(BG49&gt;PR_BalDone,BG49+BG49*(D_iL)-MIN(F_LoanPayM,BG49+BG49*(D_iL)),BG49)</f>
        <v>0</v>
      </c>
      <c r="BI49" s="20" t="n">
        <f aca="false">IF(BH49&gt;PR_BalDone,BH49+BH49*(D_iL)-MIN(F_LoanPayM,BH49+BH49*(D_iL)),BH49)</f>
        <v>0</v>
      </c>
      <c r="BJ49" s="20" t="n">
        <f aca="false">IF(BI49&gt;PR_BalDone,BI49+BI49*(D_iL)-MIN(F_LoanPayM,BI49+BI49*(D_iL)),BI49)</f>
        <v>0</v>
      </c>
      <c r="BK49" s="20" t="n">
        <f aca="false">IF(BJ49&gt;PR_BalDone,BJ49+BJ49*(D_iL)-MIN(F_LoanPayM,BJ49+BJ49*(D_iL)),BJ49)</f>
        <v>0</v>
      </c>
      <c r="BL49" s="20" t="n">
        <f aca="false">IF(BK49&gt;PR_BalDone,BK49+BK49*(D_iL)-MIN(F_LoanPayM,BK49+BK49*(D_iL)),BK49)</f>
        <v>0</v>
      </c>
      <c r="BM49" s="20" t="n">
        <f aca="false">IF(BL49&gt;PR_BalDone,BL49+BL49*(D_iL)-MIN(F_LoanPayM,BL49+BL49*(D_iL)),BL49)</f>
        <v>0</v>
      </c>
      <c r="BN49" s="20" t="n">
        <f aca="false">IF(BM49&gt;PR_BalDone,BM49+BM49*(D_iL)-MIN(F_LoanPayM,BM49+BM49*(D_iL)),BM49)</f>
        <v>0</v>
      </c>
      <c r="BO49" s="20" t="n">
        <f aca="false">IF(BN49&gt;PR_BalDone,BN49+BN49*(D_iL)-MIN(F_LoanPayM,BN49+BN49*(D_iL)),BN49)</f>
        <v>0</v>
      </c>
      <c r="BP49" s="20" t="n">
        <f aca="false">IF(BO49&gt;PR_BalDone,BO49+BO49*(D_iL)-MIN(F_LoanPayM,BO49+BO49*(D_iL)),BO49)</f>
        <v>0</v>
      </c>
      <c r="BQ49" s="20" t="n">
        <f aca="false">IF(BP49&gt;PR_BalDone,BP49+BP49*(D_iL)-MIN(F_LoanPayM,BP49+BP49*(D_iL)),BP49)</f>
        <v>0</v>
      </c>
      <c r="BR49" s="20" t="n">
        <f aca="false">IF(BE49&gt;PR_BalDone,MIN(F_LoanPayM,BE49+BE49*(D_iL)),0)</f>
        <v>0</v>
      </c>
      <c r="BS49" s="20" t="n">
        <f aca="false">IF(BF49&gt;PR_BalDone,MIN(F_LoanPayM,BF49+BF49*(D_iL)),0)</f>
        <v>0</v>
      </c>
      <c r="BT49" s="20" t="n">
        <f aca="false">IF(BG49&gt;PR_BalDone,MIN(F_LoanPayM,BG49+BG49*(D_iL)),0)</f>
        <v>0</v>
      </c>
      <c r="BU49" s="20" t="n">
        <f aca="false">IF(BH49&gt;PR_BalDone,MIN(F_LoanPayM,BH49+BH49*(D_iL)),0)</f>
        <v>0</v>
      </c>
      <c r="BV49" s="20" t="n">
        <f aca="false">IF(BI49&gt;PR_BalDone,MIN(F_LoanPayM,BI49+BI49*(D_iL)),0)</f>
        <v>0</v>
      </c>
      <c r="BW49" s="20" t="n">
        <f aca="false">IF(BJ49&gt;PR_BalDone,MIN(F_LoanPayM,BJ49+BJ49*(D_iL)),0)</f>
        <v>0</v>
      </c>
      <c r="BX49" s="20" t="n">
        <f aca="false">IF(BK49&gt;PR_BalDone,MIN(F_LoanPayM,BK49+BK49*(D_iL)),0)</f>
        <v>0</v>
      </c>
      <c r="BY49" s="20" t="n">
        <f aca="false">IF(BL49&gt;PR_BalDone,MIN(F_LoanPayM,BL49+BL49*(D_iL)),0)</f>
        <v>0</v>
      </c>
      <c r="BZ49" s="20" t="n">
        <f aca="false">IF(BM49&gt;PR_BalDone,MIN(F_LoanPayM,BM49+BM49*(D_iL)),0)</f>
        <v>0</v>
      </c>
      <c r="CA49" s="20" t="n">
        <f aca="false">IF(BN49&gt;PR_BalDone,MIN(F_LoanPayM,BN49+BN49*(D_iL)),0)</f>
        <v>0</v>
      </c>
      <c r="CB49" s="20" t="n">
        <f aca="false">IF(BO49&gt;PR_BalDone,MIN(F_LoanPayM,BO49+BO49*(D_iL)),0)</f>
        <v>0</v>
      </c>
      <c r="CC49" s="20" t="n">
        <f aca="false">IF(BP49&gt;PR_BalDone,MIN(F_LoanPayM,BP49+BP49*(D_iL)),0)</f>
        <v>0</v>
      </c>
      <c r="CD49" s="20" t="n">
        <f aca="false">MAX(0,BQ49)</f>
        <v>0</v>
      </c>
      <c r="CE49" s="20" t="n">
        <f aca="false">SUM(BR49:CC49)</f>
        <v>0</v>
      </c>
      <c r="CF49" s="20" t="n">
        <f aca="false">IF(CF48&gt;1,DE48,CF48)</f>
        <v>0</v>
      </c>
      <c r="CG49" s="20" t="n">
        <f aca="false">IF(CF49&gt;PR_BalDone,CF49+CF49*(F_MR/12)-MIN(F_MortPayM,CF49+CF49*(F_MR/12)),CF49)</f>
        <v>0</v>
      </c>
      <c r="CH49" s="20" t="n">
        <f aca="false">IF(CG49&gt;PR_BalDone,CG49+CG49*(F_MR/12)-MIN(F_MortPayM,CG49+CG49*(F_MR/12)),CG49)</f>
        <v>0</v>
      </c>
      <c r="CI49" s="20" t="n">
        <f aca="false">IF(CH49&gt;PR_BalDone,CH49+CH49*(F_MR/12)-MIN(F_MortPayM,CH49+CH49*(F_MR/12)),CH49)</f>
        <v>0</v>
      </c>
      <c r="CJ49" s="20" t="n">
        <f aca="false">IF(CI49&gt;PR_BalDone,CI49+CI49*(F_MR/12)-MIN(F_MortPayM,CI49+CI49*(F_MR/12)),CI49)</f>
        <v>0</v>
      </c>
      <c r="CK49" s="20" t="n">
        <f aca="false">IF(CJ49&gt;PR_BalDone,CJ49+CJ49*(F_MR/12)-MIN(F_MortPayM,CJ49+CJ49*(F_MR/12)),CJ49)</f>
        <v>0</v>
      </c>
      <c r="CL49" s="20" t="n">
        <f aca="false">IF(CK49&gt;PR_BalDone,CK49+CK49*(F_MR/12)-MIN(F_MortPayM,CK49+CK49*(F_MR/12)),CK49)</f>
        <v>0</v>
      </c>
      <c r="CM49" s="20" t="n">
        <f aca="false">IF(CL49&gt;PR_BalDone,CL49+CL49*(F_MR/12)-MIN(F_MortPayM,CL49+CL49*(F_MR/12)),CL49)</f>
        <v>0</v>
      </c>
      <c r="CN49" s="20" t="n">
        <f aca="false">IF(CM49&gt;PR_BalDone,CM49+CM49*(F_MR/12)-MIN(F_MortPayM,CM49+CM49*(F_MR/12)),CM49)</f>
        <v>0</v>
      </c>
      <c r="CO49" s="20" t="n">
        <f aca="false">IF(CN49&gt;PR_BalDone,CN49+CN49*(F_MR/12)-MIN(F_MortPayM,CN49+CN49*(F_MR/12)),CN49)</f>
        <v>0</v>
      </c>
      <c r="CP49" s="20" t="n">
        <f aca="false">IF(CO49&gt;PR_BalDone,CO49+CO49*(F_MR/12)-MIN(F_MortPayM,CO49+CO49*(F_MR/12)),CO49)</f>
        <v>0</v>
      </c>
      <c r="CQ49" s="20" t="n">
        <f aca="false">IF(CP49&gt;PR_BalDone,CP49+CP49*(F_MR/12)-MIN(F_MortPayM,CP49+CP49*(F_MR/12)),CP49)</f>
        <v>0</v>
      </c>
      <c r="CR49" s="20" t="n">
        <f aca="false">IF(CQ49&gt;PR_BalDone,CQ49+CQ49*(F_MR/12)-MIN(F_MortPayM,CQ49+CQ49*(F_MR/12)),CQ49)</f>
        <v>0</v>
      </c>
      <c r="CS49" s="20" t="n">
        <f aca="false">IF(CF49&gt;PR_BalDone,MIN(F_MortPayM,CF49+CF49*(F_MR/12)),0)</f>
        <v>0</v>
      </c>
      <c r="CT49" s="20" t="n">
        <f aca="false">IF(CG49&gt;PR_BalDone,MIN(F_MortPayM,CG49+CG49*(F_MR/12)),0)</f>
        <v>0</v>
      </c>
      <c r="CU49" s="20" t="n">
        <f aca="false">IF(CH49&gt;PR_BalDone,MIN(F_MortPayM,CH49+CH49*(F_MR/12)),0)</f>
        <v>0</v>
      </c>
      <c r="CV49" s="20" t="n">
        <f aca="false">IF(CI49&gt;PR_BalDone,MIN(F_MortPayM,CI49+CI49*(F_MR/12)),0)</f>
        <v>0</v>
      </c>
      <c r="CW49" s="20" t="n">
        <f aca="false">IF(CJ49&gt;PR_BalDone,MIN(F_MortPayM,CJ49+CJ49*(F_MR/12)),0)</f>
        <v>0</v>
      </c>
      <c r="CX49" s="20" t="n">
        <f aca="false">IF(CK49&gt;PR_BalDone,MIN(F_MortPayM,CK49+CK49*(F_MR/12)),0)</f>
        <v>0</v>
      </c>
      <c r="CY49" s="20" t="n">
        <f aca="false">IF(CL49&gt;PR_BalDone,MIN(F_MortPayM,CL49+CL49*(F_MR/12)),0)</f>
        <v>0</v>
      </c>
      <c r="CZ49" s="20" t="n">
        <f aca="false">IF(CM49&gt;PR_BalDone,MIN(F_MortPayM,CM49+CM49*(F_MR/12)),0)</f>
        <v>0</v>
      </c>
      <c r="DA49" s="20" t="n">
        <f aca="false">IF(CN49&gt;PR_BalDone,MIN(F_MortPayM,CN49+CN49*(F_MR/12)),0)</f>
        <v>0</v>
      </c>
      <c r="DB49" s="20" t="n">
        <f aca="false">IF(CO49&gt;PR_BalDone,MIN(F_MortPayM,CO49+CO49*(F_MR/12)),0)</f>
        <v>0</v>
      </c>
      <c r="DC49" s="20" t="n">
        <f aca="false">IF(CP49&gt;PR_BalDone,MIN(F_MortPayM,CP49+CP49*(F_MR/12)),0)</f>
        <v>0</v>
      </c>
      <c r="DD49" s="20" t="n">
        <f aca="false">IF(CQ49&gt;PR_BalDone,MIN(F_MortPayM,CQ49+CQ49*(F_MR/12)),0)</f>
        <v>0</v>
      </c>
      <c r="DE49" s="20" t="n">
        <f aca="false">MAX(0,CR49)</f>
        <v>0</v>
      </c>
      <c r="DF49" s="20" t="n">
        <f aca="false">SUM(CS49:DD49)</f>
        <v>0</v>
      </c>
      <c r="DG49" s="20" t="n">
        <f aca="false">MAX(0,CF49)</f>
        <v>0</v>
      </c>
    </row>
    <row r="50" customFormat="false" ht="15" hidden="false" customHeight="true" outlineLevel="0" collapsed="false">
      <c r="B50" s="20" t="n">
        <v>42</v>
      </c>
      <c r="C50" s="20" t="n">
        <f aca="false">'Plan cashflow'!J50</f>
        <v>0</v>
      </c>
      <c r="D50" s="20" t="n">
        <f aca="false">IF(C50&gt;PR_BalDone,C50+C50*(F_MR/12)-MIN(F_MortPayM,C50+C50*(F_MR/12)),C50)</f>
        <v>0</v>
      </c>
      <c r="E50" s="20" t="n">
        <f aca="false">IF(D50&gt;PR_BalDone,D50+D50*(F_MR/12)-MIN(F_MortPayM,D50+D50*(F_MR/12)),D50)</f>
        <v>0</v>
      </c>
      <c r="F50" s="20" t="n">
        <f aca="false">IF(E50&gt;PR_BalDone,E50+E50*(F_MR/12)-MIN(F_MortPayM,E50+E50*(F_MR/12)),E50)</f>
        <v>0</v>
      </c>
      <c r="G50" s="20" t="n">
        <f aca="false">IF(F50&gt;PR_BalDone,F50+F50*(F_MR/12)-MIN(F_MortPayM,F50+F50*(F_MR/12)),F50)</f>
        <v>0</v>
      </c>
      <c r="H50" s="20" t="n">
        <f aca="false">IF(G50&gt;PR_BalDone,G50+G50*(F_MR/12)-MIN(F_MortPayM,G50+G50*(F_MR/12)),G50)</f>
        <v>0</v>
      </c>
      <c r="I50" s="20" t="n">
        <f aca="false">IF(H50&gt;PR_BalDone,H50+H50*(F_MR/12)-MIN(F_MortPayM,H50+H50*(F_MR/12)),H50)</f>
        <v>0</v>
      </c>
      <c r="J50" s="20" t="n">
        <f aca="false">IF(I50&gt;PR_BalDone,I50+I50*(F_MR/12)-MIN(F_MortPayM,I50+I50*(F_MR/12)),I50)</f>
        <v>0</v>
      </c>
      <c r="K50" s="20" t="n">
        <f aca="false">IF(J50&gt;PR_BalDone,J50+J50*(F_MR/12)-MIN(F_MortPayM,J50+J50*(F_MR/12)),J50)</f>
        <v>0</v>
      </c>
      <c r="L50" s="20" t="n">
        <f aca="false">IF(K50&gt;PR_BalDone,K50+K50*(F_MR/12)-MIN(F_MortPayM,K50+K50*(F_MR/12)),K50)</f>
        <v>0</v>
      </c>
      <c r="M50" s="20" t="n">
        <f aca="false">IF(L50&gt;PR_BalDone,L50+L50*(F_MR/12)-MIN(F_MortPayM,L50+L50*(F_MR/12)),L50)</f>
        <v>0</v>
      </c>
      <c r="N50" s="20" t="n">
        <f aca="false">IF(M50&gt;PR_BalDone,M50+M50*(F_MR/12)-MIN(F_MortPayM,M50+M50*(F_MR/12)),M50)</f>
        <v>0</v>
      </c>
      <c r="O50" s="20" t="n">
        <f aca="false">IF(N50&gt;PR_BalDone,N50+N50*(F_MR/12)-MIN(F_MortPayM,N50+N50*(F_MR/12)),N50)</f>
        <v>0</v>
      </c>
      <c r="P50" s="20" t="n">
        <f aca="false">IF(C50&gt;PR_BalDone,MIN(F_MortPayM,C50+C50*(F_MR/12)),0)</f>
        <v>0</v>
      </c>
      <c r="Q50" s="20" t="n">
        <f aca="false">IF(D50&gt;PR_BalDone,MIN(F_MortPayM,D50+D50*(F_MR/12)),0)</f>
        <v>0</v>
      </c>
      <c r="R50" s="20" t="n">
        <f aca="false">IF(E50&gt;PR_BalDone,MIN(F_MortPayM,E50+E50*(F_MR/12)),0)</f>
        <v>0</v>
      </c>
      <c r="S50" s="20" t="n">
        <f aca="false">IF(F50&gt;PR_BalDone,MIN(F_MortPayM,F50+F50*(F_MR/12)),0)</f>
        <v>0</v>
      </c>
      <c r="T50" s="20" t="n">
        <f aca="false">IF(G50&gt;PR_BalDone,MIN(F_MortPayM,G50+G50*(F_MR/12)),0)</f>
        <v>0</v>
      </c>
      <c r="U50" s="20" t="n">
        <f aca="false">IF(H50&gt;PR_BalDone,MIN(F_MortPayM,H50+H50*(F_MR/12)),0)</f>
        <v>0</v>
      </c>
      <c r="V50" s="20" t="n">
        <f aca="false">IF(I50&gt;PR_BalDone,MIN(F_MortPayM,I50+I50*(F_MR/12)),0)</f>
        <v>0</v>
      </c>
      <c r="W50" s="20" t="n">
        <f aca="false">IF(J50&gt;PR_BalDone,MIN(F_MortPayM,J50+J50*(F_MR/12)),0)</f>
        <v>0</v>
      </c>
      <c r="X50" s="20" t="n">
        <f aca="false">IF(K50&gt;PR_BalDone,MIN(F_MortPayM,K50+K50*(F_MR/12)),0)</f>
        <v>0</v>
      </c>
      <c r="Y50" s="20" t="n">
        <f aca="false">IF(L50&gt;PR_BalDone,MIN(F_MortPayM,L50+L50*(F_MR/12)),0)</f>
        <v>0</v>
      </c>
      <c r="Z50" s="20" t="n">
        <f aca="false">IF(M50&gt;PR_BalDone,MIN(F_MortPayM,M50+M50*(F_MR/12)),0)</f>
        <v>0</v>
      </c>
      <c r="AA50" s="20" t="n">
        <f aca="false">IF(N50&gt;PR_BalDone,MIN(F_MortPayM,N50+N50*(F_MR/12)),0)</f>
        <v>0</v>
      </c>
      <c r="AB50" s="20" t="n">
        <f aca="false">MAX(0,O50)</f>
        <v>0</v>
      </c>
      <c r="AC50" s="20" t="n">
        <f aca="false">SUM(P50:AA50)</f>
        <v>0</v>
      </c>
      <c r="AD50" s="20" t="n">
        <f aca="false">'Plan cashflow'!M50</f>
        <v>0</v>
      </c>
      <c r="AE50" s="20" t="n">
        <f aca="false">IF(AD50&gt;PR_BalDone,AD50+AD50*(D_iC)-MIN(F_CardPayM,AD50+AD50*(D_iC)),AD50)</f>
        <v>0</v>
      </c>
      <c r="AF50" s="20" t="n">
        <f aca="false">IF(AE50&gt;PR_BalDone,AE50+AE50*(D_iC)-MIN(F_CardPayM,AE50+AE50*(D_iC)),AE50)</f>
        <v>0</v>
      </c>
      <c r="AG50" s="20" t="n">
        <f aca="false">IF(AF50&gt;PR_BalDone,AF50+AF50*(D_iC)-MIN(F_CardPayM,AF50+AF50*(D_iC)),AF50)</f>
        <v>0</v>
      </c>
      <c r="AH50" s="20" t="n">
        <f aca="false">IF(AG50&gt;PR_BalDone,AG50+AG50*(D_iC)-MIN(F_CardPayM,AG50+AG50*(D_iC)),AG50)</f>
        <v>0</v>
      </c>
      <c r="AI50" s="20" t="n">
        <f aca="false">IF(AH50&gt;PR_BalDone,AH50+AH50*(D_iC)-MIN(F_CardPayM,AH50+AH50*(D_iC)),AH50)</f>
        <v>0</v>
      </c>
      <c r="AJ50" s="20" t="n">
        <f aca="false">IF(AI50&gt;PR_BalDone,AI50+AI50*(D_iC)-MIN(F_CardPayM,AI50+AI50*(D_iC)),AI50)</f>
        <v>0</v>
      </c>
      <c r="AK50" s="20" t="n">
        <f aca="false">IF(AJ50&gt;PR_BalDone,AJ50+AJ50*(D_iC)-MIN(F_CardPayM,AJ50+AJ50*(D_iC)),AJ50)</f>
        <v>0</v>
      </c>
      <c r="AL50" s="20" t="n">
        <f aca="false">IF(AK50&gt;PR_BalDone,AK50+AK50*(D_iC)-MIN(F_CardPayM,AK50+AK50*(D_iC)),AK50)</f>
        <v>0</v>
      </c>
      <c r="AM50" s="20" t="n">
        <f aca="false">IF(AL50&gt;PR_BalDone,AL50+AL50*(D_iC)-MIN(F_CardPayM,AL50+AL50*(D_iC)),AL50)</f>
        <v>0</v>
      </c>
      <c r="AN50" s="20" t="n">
        <f aca="false">IF(AM50&gt;PR_BalDone,AM50+AM50*(D_iC)-MIN(F_CardPayM,AM50+AM50*(D_iC)),AM50)</f>
        <v>0</v>
      </c>
      <c r="AO50" s="20" t="n">
        <f aca="false">IF(AN50&gt;PR_BalDone,AN50+AN50*(D_iC)-MIN(F_CardPayM,AN50+AN50*(D_iC)),AN50)</f>
        <v>0</v>
      </c>
      <c r="AP50" s="20" t="n">
        <f aca="false">IF(AO50&gt;PR_BalDone,AO50+AO50*(D_iC)-MIN(F_CardPayM,AO50+AO50*(D_iC)),AO50)</f>
        <v>0</v>
      </c>
      <c r="AQ50" s="20" t="n">
        <f aca="false">IF(AD50&gt;PR_BalDone,MIN(F_CardPayM,AD50+AD50*(D_iC)),0)</f>
        <v>0</v>
      </c>
      <c r="AR50" s="20" t="n">
        <f aca="false">IF(AE50&gt;PR_BalDone,MIN(F_CardPayM,AE50+AE50*(D_iC)),0)</f>
        <v>0</v>
      </c>
      <c r="AS50" s="20" t="n">
        <f aca="false">IF(AF50&gt;PR_BalDone,MIN(F_CardPayM,AF50+AF50*(D_iC)),0)</f>
        <v>0</v>
      </c>
      <c r="AT50" s="20" t="n">
        <f aca="false">IF(AG50&gt;PR_BalDone,MIN(F_CardPayM,AG50+AG50*(D_iC)),0)</f>
        <v>0</v>
      </c>
      <c r="AU50" s="20" t="n">
        <f aca="false">IF(AH50&gt;PR_BalDone,MIN(F_CardPayM,AH50+AH50*(D_iC)),0)</f>
        <v>0</v>
      </c>
      <c r="AV50" s="20" t="n">
        <f aca="false">IF(AI50&gt;PR_BalDone,MIN(F_CardPayM,AI50+AI50*(D_iC)),0)</f>
        <v>0</v>
      </c>
      <c r="AW50" s="20" t="n">
        <f aca="false">IF(AJ50&gt;PR_BalDone,MIN(F_CardPayM,AJ50+AJ50*(D_iC)),0)</f>
        <v>0</v>
      </c>
      <c r="AX50" s="20" t="n">
        <f aca="false">IF(AK50&gt;PR_BalDone,MIN(F_CardPayM,AK50+AK50*(D_iC)),0)</f>
        <v>0</v>
      </c>
      <c r="AY50" s="20" t="n">
        <f aca="false">IF(AL50&gt;PR_BalDone,MIN(F_CardPayM,AL50+AL50*(D_iC)),0)</f>
        <v>0</v>
      </c>
      <c r="AZ50" s="20" t="n">
        <f aca="false">IF(AM50&gt;PR_BalDone,MIN(F_CardPayM,AM50+AM50*(D_iC)),0)</f>
        <v>0</v>
      </c>
      <c r="BA50" s="20" t="n">
        <f aca="false">IF(AN50&gt;PR_BalDone,MIN(F_CardPayM,AN50+AN50*(D_iC)),0)</f>
        <v>0</v>
      </c>
      <c r="BB50" s="20" t="n">
        <f aca="false">IF(AO50&gt;PR_BalDone,MIN(F_CardPayM,AO50+AO50*(D_iC)),0)</f>
        <v>0</v>
      </c>
      <c r="BC50" s="20" t="n">
        <f aca="false">MAX(0,AP50)</f>
        <v>0</v>
      </c>
      <c r="BD50" s="20" t="n">
        <f aca="false">SUM(AQ50:BB50)</f>
        <v>0</v>
      </c>
      <c r="BE50" s="20" t="n">
        <f aca="false">'Plan cashflow'!P50</f>
        <v>0</v>
      </c>
      <c r="BF50" s="20" t="n">
        <f aca="false">IF(BE50&gt;PR_BalDone,BE50+BE50*(D_iL)-MIN(F_LoanPayM,BE50+BE50*(D_iL)),BE50)</f>
        <v>0</v>
      </c>
      <c r="BG50" s="20" t="n">
        <f aca="false">IF(BF50&gt;PR_BalDone,BF50+BF50*(D_iL)-MIN(F_LoanPayM,BF50+BF50*(D_iL)),BF50)</f>
        <v>0</v>
      </c>
      <c r="BH50" s="20" t="n">
        <f aca="false">IF(BG50&gt;PR_BalDone,BG50+BG50*(D_iL)-MIN(F_LoanPayM,BG50+BG50*(D_iL)),BG50)</f>
        <v>0</v>
      </c>
      <c r="BI50" s="20" t="n">
        <f aca="false">IF(BH50&gt;PR_BalDone,BH50+BH50*(D_iL)-MIN(F_LoanPayM,BH50+BH50*(D_iL)),BH50)</f>
        <v>0</v>
      </c>
      <c r="BJ50" s="20" t="n">
        <f aca="false">IF(BI50&gt;PR_BalDone,BI50+BI50*(D_iL)-MIN(F_LoanPayM,BI50+BI50*(D_iL)),BI50)</f>
        <v>0</v>
      </c>
      <c r="BK50" s="20" t="n">
        <f aca="false">IF(BJ50&gt;PR_BalDone,BJ50+BJ50*(D_iL)-MIN(F_LoanPayM,BJ50+BJ50*(D_iL)),BJ50)</f>
        <v>0</v>
      </c>
      <c r="BL50" s="20" t="n">
        <f aca="false">IF(BK50&gt;PR_BalDone,BK50+BK50*(D_iL)-MIN(F_LoanPayM,BK50+BK50*(D_iL)),BK50)</f>
        <v>0</v>
      </c>
      <c r="BM50" s="20" t="n">
        <f aca="false">IF(BL50&gt;PR_BalDone,BL50+BL50*(D_iL)-MIN(F_LoanPayM,BL50+BL50*(D_iL)),BL50)</f>
        <v>0</v>
      </c>
      <c r="BN50" s="20" t="n">
        <f aca="false">IF(BM50&gt;PR_BalDone,BM50+BM50*(D_iL)-MIN(F_LoanPayM,BM50+BM50*(D_iL)),BM50)</f>
        <v>0</v>
      </c>
      <c r="BO50" s="20" t="n">
        <f aca="false">IF(BN50&gt;PR_BalDone,BN50+BN50*(D_iL)-MIN(F_LoanPayM,BN50+BN50*(D_iL)),BN50)</f>
        <v>0</v>
      </c>
      <c r="BP50" s="20" t="n">
        <f aca="false">IF(BO50&gt;PR_BalDone,BO50+BO50*(D_iL)-MIN(F_LoanPayM,BO50+BO50*(D_iL)),BO50)</f>
        <v>0</v>
      </c>
      <c r="BQ50" s="20" t="n">
        <f aca="false">IF(BP50&gt;PR_BalDone,BP50+BP50*(D_iL)-MIN(F_LoanPayM,BP50+BP50*(D_iL)),BP50)</f>
        <v>0</v>
      </c>
      <c r="BR50" s="20" t="n">
        <f aca="false">IF(BE50&gt;PR_BalDone,MIN(F_LoanPayM,BE50+BE50*(D_iL)),0)</f>
        <v>0</v>
      </c>
      <c r="BS50" s="20" t="n">
        <f aca="false">IF(BF50&gt;PR_BalDone,MIN(F_LoanPayM,BF50+BF50*(D_iL)),0)</f>
        <v>0</v>
      </c>
      <c r="BT50" s="20" t="n">
        <f aca="false">IF(BG50&gt;PR_BalDone,MIN(F_LoanPayM,BG50+BG50*(D_iL)),0)</f>
        <v>0</v>
      </c>
      <c r="BU50" s="20" t="n">
        <f aca="false">IF(BH50&gt;PR_BalDone,MIN(F_LoanPayM,BH50+BH50*(D_iL)),0)</f>
        <v>0</v>
      </c>
      <c r="BV50" s="20" t="n">
        <f aca="false">IF(BI50&gt;PR_BalDone,MIN(F_LoanPayM,BI50+BI50*(D_iL)),0)</f>
        <v>0</v>
      </c>
      <c r="BW50" s="20" t="n">
        <f aca="false">IF(BJ50&gt;PR_BalDone,MIN(F_LoanPayM,BJ50+BJ50*(D_iL)),0)</f>
        <v>0</v>
      </c>
      <c r="BX50" s="20" t="n">
        <f aca="false">IF(BK50&gt;PR_BalDone,MIN(F_LoanPayM,BK50+BK50*(D_iL)),0)</f>
        <v>0</v>
      </c>
      <c r="BY50" s="20" t="n">
        <f aca="false">IF(BL50&gt;PR_BalDone,MIN(F_LoanPayM,BL50+BL50*(D_iL)),0)</f>
        <v>0</v>
      </c>
      <c r="BZ50" s="20" t="n">
        <f aca="false">IF(BM50&gt;PR_BalDone,MIN(F_LoanPayM,BM50+BM50*(D_iL)),0)</f>
        <v>0</v>
      </c>
      <c r="CA50" s="20" t="n">
        <f aca="false">IF(BN50&gt;PR_BalDone,MIN(F_LoanPayM,BN50+BN50*(D_iL)),0)</f>
        <v>0</v>
      </c>
      <c r="CB50" s="20" t="n">
        <f aca="false">IF(BO50&gt;PR_BalDone,MIN(F_LoanPayM,BO50+BO50*(D_iL)),0)</f>
        <v>0</v>
      </c>
      <c r="CC50" s="20" t="n">
        <f aca="false">IF(BP50&gt;PR_BalDone,MIN(F_LoanPayM,BP50+BP50*(D_iL)),0)</f>
        <v>0</v>
      </c>
      <c r="CD50" s="20" t="n">
        <f aca="false">MAX(0,BQ50)</f>
        <v>0</v>
      </c>
      <c r="CE50" s="20" t="n">
        <f aca="false">SUM(BR50:CC50)</f>
        <v>0</v>
      </c>
      <c r="CF50" s="20" t="n">
        <f aca="false">IF(CF49&gt;1,DE49,CF49)</f>
        <v>0</v>
      </c>
      <c r="CG50" s="20" t="n">
        <f aca="false">IF(CF50&gt;PR_BalDone,CF50+CF50*(F_MR/12)-MIN(F_MortPayM,CF50+CF50*(F_MR/12)),CF50)</f>
        <v>0</v>
      </c>
      <c r="CH50" s="20" t="n">
        <f aca="false">IF(CG50&gt;PR_BalDone,CG50+CG50*(F_MR/12)-MIN(F_MortPayM,CG50+CG50*(F_MR/12)),CG50)</f>
        <v>0</v>
      </c>
      <c r="CI50" s="20" t="n">
        <f aca="false">IF(CH50&gt;PR_BalDone,CH50+CH50*(F_MR/12)-MIN(F_MortPayM,CH50+CH50*(F_MR/12)),CH50)</f>
        <v>0</v>
      </c>
      <c r="CJ50" s="20" t="n">
        <f aca="false">IF(CI50&gt;PR_BalDone,CI50+CI50*(F_MR/12)-MIN(F_MortPayM,CI50+CI50*(F_MR/12)),CI50)</f>
        <v>0</v>
      </c>
      <c r="CK50" s="20" t="n">
        <f aca="false">IF(CJ50&gt;PR_BalDone,CJ50+CJ50*(F_MR/12)-MIN(F_MortPayM,CJ50+CJ50*(F_MR/12)),CJ50)</f>
        <v>0</v>
      </c>
      <c r="CL50" s="20" t="n">
        <f aca="false">IF(CK50&gt;PR_BalDone,CK50+CK50*(F_MR/12)-MIN(F_MortPayM,CK50+CK50*(F_MR/12)),CK50)</f>
        <v>0</v>
      </c>
      <c r="CM50" s="20" t="n">
        <f aca="false">IF(CL50&gt;PR_BalDone,CL50+CL50*(F_MR/12)-MIN(F_MortPayM,CL50+CL50*(F_MR/12)),CL50)</f>
        <v>0</v>
      </c>
      <c r="CN50" s="20" t="n">
        <f aca="false">IF(CM50&gt;PR_BalDone,CM50+CM50*(F_MR/12)-MIN(F_MortPayM,CM50+CM50*(F_MR/12)),CM50)</f>
        <v>0</v>
      </c>
      <c r="CO50" s="20" t="n">
        <f aca="false">IF(CN50&gt;PR_BalDone,CN50+CN50*(F_MR/12)-MIN(F_MortPayM,CN50+CN50*(F_MR/12)),CN50)</f>
        <v>0</v>
      </c>
      <c r="CP50" s="20" t="n">
        <f aca="false">IF(CO50&gt;PR_BalDone,CO50+CO50*(F_MR/12)-MIN(F_MortPayM,CO50+CO50*(F_MR/12)),CO50)</f>
        <v>0</v>
      </c>
      <c r="CQ50" s="20" t="n">
        <f aca="false">IF(CP50&gt;PR_BalDone,CP50+CP50*(F_MR/12)-MIN(F_MortPayM,CP50+CP50*(F_MR/12)),CP50)</f>
        <v>0</v>
      </c>
      <c r="CR50" s="20" t="n">
        <f aca="false">IF(CQ50&gt;PR_BalDone,CQ50+CQ50*(F_MR/12)-MIN(F_MortPayM,CQ50+CQ50*(F_MR/12)),CQ50)</f>
        <v>0</v>
      </c>
      <c r="CS50" s="20" t="n">
        <f aca="false">IF(CF50&gt;PR_BalDone,MIN(F_MortPayM,CF50+CF50*(F_MR/12)),0)</f>
        <v>0</v>
      </c>
      <c r="CT50" s="20" t="n">
        <f aca="false">IF(CG50&gt;PR_BalDone,MIN(F_MortPayM,CG50+CG50*(F_MR/12)),0)</f>
        <v>0</v>
      </c>
      <c r="CU50" s="20" t="n">
        <f aca="false">IF(CH50&gt;PR_BalDone,MIN(F_MortPayM,CH50+CH50*(F_MR/12)),0)</f>
        <v>0</v>
      </c>
      <c r="CV50" s="20" t="n">
        <f aca="false">IF(CI50&gt;PR_BalDone,MIN(F_MortPayM,CI50+CI50*(F_MR/12)),0)</f>
        <v>0</v>
      </c>
      <c r="CW50" s="20" t="n">
        <f aca="false">IF(CJ50&gt;PR_BalDone,MIN(F_MortPayM,CJ50+CJ50*(F_MR/12)),0)</f>
        <v>0</v>
      </c>
      <c r="CX50" s="20" t="n">
        <f aca="false">IF(CK50&gt;PR_BalDone,MIN(F_MortPayM,CK50+CK50*(F_MR/12)),0)</f>
        <v>0</v>
      </c>
      <c r="CY50" s="20" t="n">
        <f aca="false">IF(CL50&gt;PR_BalDone,MIN(F_MortPayM,CL50+CL50*(F_MR/12)),0)</f>
        <v>0</v>
      </c>
      <c r="CZ50" s="20" t="n">
        <f aca="false">IF(CM50&gt;PR_BalDone,MIN(F_MortPayM,CM50+CM50*(F_MR/12)),0)</f>
        <v>0</v>
      </c>
      <c r="DA50" s="20" t="n">
        <f aca="false">IF(CN50&gt;PR_BalDone,MIN(F_MortPayM,CN50+CN50*(F_MR/12)),0)</f>
        <v>0</v>
      </c>
      <c r="DB50" s="20" t="n">
        <f aca="false">IF(CO50&gt;PR_BalDone,MIN(F_MortPayM,CO50+CO50*(F_MR/12)),0)</f>
        <v>0</v>
      </c>
      <c r="DC50" s="20" t="n">
        <f aca="false">IF(CP50&gt;PR_BalDone,MIN(F_MortPayM,CP50+CP50*(F_MR/12)),0)</f>
        <v>0</v>
      </c>
      <c r="DD50" s="20" t="n">
        <f aca="false">IF(CQ50&gt;PR_BalDone,MIN(F_MortPayM,CQ50+CQ50*(F_MR/12)),0)</f>
        <v>0</v>
      </c>
      <c r="DE50" s="20" t="n">
        <f aca="false">MAX(0,CR50)</f>
        <v>0</v>
      </c>
      <c r="DF50" s="20" t="n">
        <f aca="false">SUM(CS50:DD50)</f>
        <v>0</v>
      </c>
      <c r="DG50" s="20" t="n">
        <f aca="false">MAX(0,CF50)</f>
        <v>0</v>
      </c>
    </row>
    <row r="51" customFormat="false" ht="15" hidden="false" customHeight="true" outlineLevel="0" collapsed="false">
      <c r="B51" s="20" t="n">
        <v>43</v>
      </c>
      <c r="C51" s="20" t="n">
        <f aca="false">'Plan cashflow'!J51</f>
        <v>0</v>
      </c>
      <c r="D51" s="20" t="n">
        <f aca="false">IF(C51&gt;PR_BalDone,C51+C51*(F_MR/12)-MIN(F_MortPayM,C51+C51*(F_MR/12)),C51)</f>
        <v>0</v>
      </c>
      <c r="E51" s="20" t="n">
        <f aca="false">IF(D51&gt;PR_BalDone,D51+D51*(F_MR/12)-MIN(F_MortPayM,D51+D51*(F_MR/12)),D51)</f>
        <v>0</v>
      </c>
      <c r="F51" s="20" t="n">
        <f aca="false">IF(E51&gt;PR_BalDone,E51+E51*(F_MR/12)-MIN(F_MortPayM,E51+E51*(F_MR/12)),E51)</f>
        <v>0</v>
      </c>
      <c r="G51" s="20" t="n">
        <f aca="false">IF(F51&gt;PR_BalDone,F51+F51*(F_MR/12)-MIN(F_MortPayM,F51+F51*(F_MR/12)),F51)</f>
        <v>0</v>
      </c>
      <c r="H51" s="20" t="n">
        <f aca="false">IF(G51&gt;PR_BalDone,G51+G51*(F_MR/12)-MIN(F_MortPayM,G51+G51*(F_MR/12)),G51)</f>
        <v>0</v>
      </c>
      <c r="I51" s="20" t="n">
        <f aca="false">IF(H51&gt;PR_BalDone,H51+H51*(F_MR/12)-MIN(F_MortPayM,H51+H51*(F_MR/12)),H51)</f>
        <v>0</v>
      </c>
      <c r="J51" s="20" t="n">
        <f aca="false">IF(I51&gt;PR_BalDone,I51+I51*(F_MR/12)-MIN(F_MortPayM,I51+I51*(F_MR/12)),I51)</f>
        <v>0</v>
      </c>
      <c r="K51" s="20" t="n">
        <f aca="false">IF(J51&gt;PR_BalDone,J51+J51*(F_MR/12)-MIN(F_MortPayM,J51+J51*(F_MR/12)),J51)</f>
        <v>0</v>
      </c>
      <c r="L51" s="20" t="n">
        <f aca="false">IF(K51&gt;PR_BalDone,K51+K51*(F_MR/12)-MIN(F_MortPayM,K51+K51*(F_MR/12)),K51)</f>
        <v>0</v>
      </c>
      <c r="M51" s="20" t="n">
        <f aca="false">IF(L51&gt;PR_BalDone,L51+L51*(F_MR/12)-MIN(F_MortPayM,L51+L51*(F_MR/12)),L51)</f>
        <v>0</v>
      </c>
      <c r="N51" s="20" t="n">
        <f aca="false">IF(M51&gt;PR_BalDone,M51+M51*(F_MR/12)-MIN(F_MortPayM,M51+M51*(F_MR/12)),M51)</f>
        <v>0</v>
      </c>
      <c r="O51" s="20" t="n">
        <f aca="false">IF(N51&gt;PR_BalDone,N51+N51*(F_MR/12)-MIN(F_MortPayM,N51+N51*(F_MR/12)),N51)</f>
        <v>0</v>
      </c>
      <c r="P51" s="20" t="n">
        <f aca="false">IF(C51&gt;PR_BalDone,MIN(F_MortPayM,C51+C51*(F_MR/12)),0)</f>
        <v>0</v>
      </c>
      <c r="Q51" s="20" t="n">
        <f aca="false">IF(D51&gt;PR_BalDone,MIN(F_MortPayM,D51+D51*(F_MR/12)),0)</f>
        <v>0</v>
      </c>
      <c r="R51" s="20" t="n">
        <f aca="false">IF(E51&gt;PR_BalDone,MIN(F_MortPayM,E51+E51*(F_MR/12)),0)</f>
        <v>0</v>
      </c>
      <c r="S51" s="20" t="n">
        <f aca="false">IF(F51&gt;PR_BalDone,MIN(F_MortPayM,F51+F51*(F_MR/12)),0)</f>
        <v>0</v>
      </c>
      <c r="T51" s="20" t="n">
        <f aca="false">IF(G51&gt;PR_BalDone,MIN(F_MortPayM,G51+G51*(F_MR/12)),0)</f>
        <v>0</v>
      </c>
      <c r="U51" s="20" t="n">
        <f aca="false">IF(H51&gt;PR_BalDone,MIN(F_MortPayM,H51+H51*(F_MR/12)),0)</f>
        <v>0</v>
      </c>
      <c r="V51" s="20" t="n">
        <f aca="false">IF(I51&gt;PR_BalDone,MIN(F_MortPayM,I51+I51*(F_MR/12)),0)</f>
        <v>0</v>
      </c>
      <c r="W51" s="20" t="n">
        <f aca="false">IF(J51&gt;PR_BalDone,MIN(F_MortPayM,J51+J51*(F_MR/12)),0)</f>
        <v>0</v>
      </c>
      <c r="X51" s="20" t="n">
        <f aca="false">IF(K51&gt;PR_BalDone,MIN(F_MortPayM,K51+K51*(F_MR/12)),0)</f>
        <v>0</v>
      </c>
      <c r="Y51" s="20" t="n">
        <f aca="false">IF(L51&gt;PR_BalDone,MIN(F_MortPayM,L51+L51*(F_MR/12)),0)</f>
        <v>0</v>
      </c>
      <c r="Z51" s="20" t="n">
        <f aca="false">IF(M51&gt;PR_BalDone,MIN(F_MortPayM,M51+M51*(F_MR/12)),0)</f>
        <v>0</v>
      </c>
      <c r="AA51" s="20" t="n">
        <f aca="false">IF(N51&gt;PR_BalDone,MIN(F_MortPayM,N51+N51*(F_MR/12)),0)</f>
        <v>0</v>
      </c>
      <c r="AB51" s="20" t="n">
        <f aca="false">MAX(0,O51)</f>
        <v>0</v>
      </c>
      <c r="AC51" s="20" t="n">
        <f aca="false">SUM(P51:AA51)</f>
        <v>0</v>
      </c>
      <c r="AD51" s="20" t="n">
        <f aca="false">'Plan cashflow'!M51</f>
        <v>0</v>
      </c>
      <c r="AE51" s="20" t="n">
        <f aca="false">IF(AD51&gt;PR_BalDone,AD51+AD51*(D_iC)-MIN(F_CardPayM,AD51+AD51*(D_iC)),AD51)</f>
        <v>0</v>
      </c>
      <c r="AF51" s="20" t="n">
        <f aca="false">IF(AE51&gt;PR_BalDone,AE51+AE51*(D_iC)-MIN(F_CardPayM,AE51+AE51*(D_iC)),AE51)</f>
        <v>0</v>
      </c>
      <c r="AG51" s="20" t="n">
        <f aca="false">IF(AF51&gt;PR_BalDone,AF51+AF51*(D_iC)-MIN(F_CardPayM,AF51+AF51*(D_iC)),AF51)</f>
        <v>0</v>
      </c>
      <c r="AH51" s="20" t="n">
        <f aca="false">IF(AG51&gt;PR_BalDone,AG51+AG51*(D_iC)-MIN(F_CardPayM,AG51+AG51*(D_iC)),AG51)</f>
        <v>0</v>
      </c>
      <c r="AI51" s="20" t="n">
        <f aca="false">IF(AH51&gt;PR_BalDone,AH51+AH51*(D_iC)-MIN(F_CardPayM,AH51+AH51*(D_iC)),AH51)</f>
        <v>0</v>
      </c>
      <c r="AJ51" s="20" t="n">
        <f aca="false">IF(AI51&gt;PR_BalDone,AI51+AI51*(D_iC)-MIN(F_CardPayM,AI51+AI51*(D_iC)),AI51)</f>
        <v>0</v>
      </c>
      <c r="AK51" s="20" t="n">
        <f aca="false">IF(AJ51&gt;PR_BalDone,AJ51+AJ51*(D_iC)-MIN(F_CardPayM,AJ51+AJ51*(D_iC)),AJ51)</f>
        <v>0</v>
      </c>
      <c r="AL51" s="20" t="n">
        <f aca="false">IF(AK51&gt;PR_BalDone,AK51+AK51*(D_iC)-MIN(F_CardPayM,AK51+AK51*(D_iC)),AK51)</f>
        <v>0</v>
      </c>
      <c r="AM51" s="20" t="n">
        <f aca="false">IF(AL51&gt;PR_BalDone,AL51+AL51*(D_iC)-MIN(F_CardPayM,AL51+AL51*(D_iC)),AL51)</f>
        <v>0</v>
      </c>
      <c r="AN51" s="20" t="n">
        <f aca="false">IF(AM51&gt;PR_BalDone,AM51+AM51*(D_iC)-MIN(F_CardPayM,AM51+AM51*(D_iC)),AM51)</f>
        <v>0</v>
      </c>
      <c r="AO51" s="20" t="n">
        <f aca="false">IF(AN51&gt;PR_BalDone,AN51+AN51*(D_iC)-MIN(F_CardPayM,AN51+AN51*(D_iC)),AN51)</f>
        <v>0</v>
      </c>
      <c r="AP51" s="20" t="n">
        <f aca="false">IF(AO51&gt;PR_BalDone,AO51+AO51*(D_iC)-MIN(F_CardPayM,AO51+AO51*(D_iC)),AO51)</f>
        <v>0</v>
      </c>
      <c r="AQ51" s="20" t="n">
        <f aca="false">IF(AD51&gt;PR_BalDone,MIN(F_CardPayM,AD51+AD51*(D_iC)),0)</f>
        <v>0</v>
      </c>
      <c r="AR51" s="20" t="n">
        <f aca="false">IF(AE51&gt;PR_BalDone,MIN(F_CardPayM,AE51+AE51*(D_iC)),0)</f>
        <v>0</v>
      </c>
      <c r="AS51" s="20" t="n">
        <f aca="false">IF(AF51&gt;PR_BalDone,MIN(F_CardPayM,AF51+AF51*(D_iC)),0)</f>
        <v>0</v>
      </c>
      <c r="AT51" s="20" t="n">
        <f aca="false">IF(AG51&gt;PR_BalDone,MIN(F_CardPayM,AG51+AG51*(D_iC)),0)</f>
        <v>0</v>
      </c>
      <c r="AU51" s="20" t="n">
        <f aca="false">IF(AH51&gt;PR_BalDone,MIN(F_CardPayM,AH51+AH51*(D_iC)),0)</f>
        <v>0</v>
      </c>
      <c r="AV51" s="20" t="n">
        <f aca="false">IF(AI51&gt;PR_BalDone,MIN(F_CardPayM,AI51+AI51*(D_iC)),0)</f>
        <v>0</v>
      </c>
      <c r="AW51" s="20" t="n">
        <f aca="false">IF(AJ51&gt;PR_BalDone,MIN(F_CardPayM,AJ51+AJ51*(D_iC)),0)</f>
        <v>0</v>
      </c>
      <c r="AX51" s="20" t="n">
        <f aca="false">IF(AK51&gt;PR_BalDone,MIN(F_CardPayM,AK51+AK51*(D_iC)),0)</f>
        <v>0</v>
      </c>
      <c r="AY51" s="20" t="n">
        <f aca="false">IF(AL51&gt;PR_BalDone,MIN(F_CardPayM,AL51+AL51*(D_iC)),0)</f>
        <v>0</v>
      </c>
      <c r="AZ51" s="20" t="n">
        <f aca="false">IF(AM51&gt;PR_BalDone,MIN(F_CardPayM,AM51+AM51*(D_iC)),0)</f>
        <v>0</v>
      </c>
      <c r="BA51" s="20" t="n">
        <f aca="false">IF(AN51&gt;PR_BalDone,MIN(F_CardPayM,AN51+AN51*(D_iC)),0)</f>
        <v>0</v>
      </c>
      <c r="BB51" s="20" t="n">
        <f aca="false">IF(AO51&gt;PR_BalDone,MIN(F_CardPayM,AO51+AO51*(D_iC)),0)</f>
        <v>0</v>
      </c>
      <c r="BC51" s="20" t="n">
        <f aca="false">MAX(0,AP51)</f>
        <v>0</v>
      </c>
      <c r="BD51" s="20" t="n">
        <f aca="false">SUM(AQ51:BB51)</f>
        <v>0</v>
      </c>
      <c r="BE51" s="20" t="n">
        <f aca="false">'Plan cashflow'!P51</f>
        <v>0</v>
      </c>
      <c r="BF51" s="20" t="n">
        <f aca="false">IF(BE51&gt;PR_BalDone,BE51+BE51*(D_iL)-MIN(F_LoanPayM,BE51+BE51*(D_iL)),BE51)</f>
        <v>0</v>
      </c>
      <c r="BG51" s="20" t="n">
        <f aca="false">IF(BF51&gt;PR_BalDone,BF51+BF51*(D_iL)-MIN(F_LoanPayM,BF51+BF51*(D_iL)),BF51)</f>
        <v>0</v>
      </c>
      <c r="BH51" s="20" t="n">
        <f aca="false">IF(BG51&gt;PR_BalDone,BG51+BG51*(D_iL)-MIN(F_LoanPayM,BG51+BG51*(D_iL)),BG51)</f>
        <v>0</v>
      </c>
      <c r="BI51" s="20" t="n">
        <f aca="false">IF(BH51&gt;PR_BalDone,BH51+BH51*(D_iL)-MIN(F_LoanPayM,BH51+BH51*(D_iL)),BH51)</f>
        <v>0</v>
      </c>
      <c r="BJ51" s="20" t="n">
        <f aca="false">IF(BI51&gt;PR_BalDone,BI51+BI51*(D_iL)-MIN(F_LoanPayM,BI51+BI51*(D_iL)),BI51)</f>
        <v>0</v>
      </c>
      <c r="BK51" s="20" t="n">
        <f aca="false">IF(BJ51&gt;PR_BalDone,BJ51+BJ51*(D_iL)-MIN(F_LoanPayM,BJ51+BJ51*(D_iL)),BJ51)</f>
        <v>0</v>
      </c>
      <c r="BL51" s="20" t="n">
        <f aca="false">IF(BK51&gt;PR_BalDone,BK51+BK51*(D_iL)-MIN(F_LoanPayM,BK51+BK51*(D_iL)),BK51)</f>
        <v>0</v>
      </c>
      <c r="BM51" s="20" t="n">
        <f aca="false">IF(BL51&gt;PR_BalDone,BL51+BL51*(D_iL)-MIN(F_LoanPayM,BL51+BL51*(D_iL)),BL51)</f>
        <v>0</v>
      </c>
      <c r="BN51" s="20" t="n">
        <f aca="false">IF(BM51&gt;PR_BalDone,BM51+BM51*(D_iL)-MIN(F_LoanPayM,BM51+BM51*(D_iL)),BM51)</f>
        <v>0</v>
      </c>
      <c r="BO51" s="20" t="n">
        <f aca="false">IF(BN51&gt;PR_BalDone,BN51+BN51*(D_iL)-MIN(F_LoanPayM,BN51+BN51*(D_iL)),BN51)</f>
        <v>0</v>
      </c>
      <c r="BP51" s="20" t="n">
        <f aca="false">IF(BO51&gt;PR_BalDone,BO51+BO51*(D_iL)-MIN(F_LoanPayM,BO51+BO51*(D_iL)),BO51)</f>
        <v>0</v>
      </c>
      <c r="BQ51" s="20" t="n">
        <f aca="false">IF(BP51&gt;PR_BalDone,BP51+BP51*(D_iL)-MIN(F_LoanPayM,BP51+BP51*(D_iL)),BP51)</f>
        <v>0</v>
      </c>
      <c r="BR51" s="20" t="n">
        <f aca="false">IF(BE51&gt;PR_BalDone,MIN(F_LoanPayM,BE51+BE51*(D_iL)),0)</f>
        <v>0</v>
      </c>
      <c r="BS51" s="20" t="n">
        <f aca="false">IF(BF51&gt;PR_BalDone,MIN(F_LoanPayM,BF51+BF51*(D_iL)),0)</f>
        <v>0</v>
      </c>
      <c r="BT51" s="20" t="n">
        <f aca="false">IF(BG51&gt;PR_BalDone,MIN(F_LoanPayM,BG51+BG51*(D_iL)),0)</f>
        <v>0</v>
      </c>
      <c r="BU51" s="20" t="n">
        <f aca="false">IF(BH51&gt;PR_BalDone,MIN(F_LoanPayM,BH51+BH51*(D_iL)),0)</f>
        <v>0</v>
      </c>
      <c r="BV51" s="20" t="n">
        <f aca="false">IF(BI51&gt;PR_BalDone,MIN(F_LoanPayM,BI51+BI51*(D_iL)),0)</f>
        <v>0</v>
      </c>
      <c r="BW51" s="20" t="n">
        <f aca="false">IF(BJ51&gt;PR_BalDone,MIN(F_LoanPayM,BJ51+BJ51*(D_iL)),0)</f>
        <v>0</v>
      </c>
      <c r="BX51" s="20" t="n">
        <f aca="false">IF(BK51&gt;PR_BalDone,MIN(F_LoanPayM,BK51+BK51*(D_iL)),0)</f>
        <v>0</v>
      </c>
      <c r="BY51" s="20" t="n">
        <f aca="false">IF(BL51&gt;PR_BalDone,MIN(F_LoanPayM,BL51+BL51*(D_iL)),0)</f>
        <v>0</v>
      </c>
      <c r="BZ51" s="20" t="n">
        <f aca="false">IF(BM51&gt;PR_BalDone,MIN(F_LoanPayM,BM51+BM51*(D_iL)),0)</f>
        <v>0</v>
      </c>
      <c r="CA51" s="20" t="n">
        <f aca="false">IF(BN51&gt;PR_BalDone,MIN(F_LoanPayM,BN51+BN51*(D_iL)),0)</f>
        <v>0</v>
      </c>
      <c r="CB51" s="20" t="n">
        <f aca="false">IF(BO51&gt;PR_BalDone,MIN(F_LoanPayM,BO51+BO51*(D_iL)),0)</f>
        <v>0</v>
      </c>
      <c r="CC51" s="20" t="n">
        <f aca="false">IF(BP51&gt;PR_BalDone,MIN(F_LoanPayM,BP51+BP51*(D_iL)),0)</f>
        <v>0</v>
      </c>
      <c r="CD51" s="20" t="n">
        <f aca="false">MAX(0,BQ51)</f>
        <v>0</v>
      </c>
      <c r="CE51" s="20" t="n">
        <f aca="false">SUM(BR51:CC51)</f>
        <v>0</v>
      </c>
      <c r="CF51" s="20" t="n">
        <f aca="false">IF(CF50&gt;1,DE50,CF50)</f>
        <v>0</v>
      </c>
      <c r="CG51" s="20" t="n">
        <f aca="false">IF(CF51&gt;PR_BalDone,CF51+CF51*(F_MR/12)-MIN(F_MortPayM,CF51+CF51*(F_MR/12)),CF51)</f>
        <v>0</v>
      </c>
      <c r="CH51" s="20" t="n">
        <f aca="false">IF(CG51&gt;PR_BalDone,CG51+CG51*(F_MR/12)-MIN(F_MortPayM,CG51+CG51*(F_MR/12)),CG51)</f>
        <v>0</v>
      </c>
      <c r="CI51" s="20" t="n">
        <f aca="false">IF(CH51&gt;PR_BalDone,CH51+CH51*(F_MR/12)-MIN(F_MortPayM,CH51+CH51*(F_MR/12)),CH51)</f>
        <v>0</v>
      </c>
      <c r="CJ51" s="20" t="n">
        <f aca="false">IF(CI51&gt;PR_BalDone,CI51+CI51*(F_MR/12)-MIN(F_MortPayM,CI51+CI51*(F_MR/12)),CI51)</f>
        <v>0</v>
      </c>
      <c r="CK51" s="20" t="n">
        <f aca="false">IF(CJ51&gt;PR_BalDone,CJ51+CJ51*(F_MR/12)-MIN(F_MortPayM,CJ51+CJ51*(F_MR/12)),CJ51)</f>
        <v>0</v>
      </c>
      <c r="CL51" s="20" t="n">
        <f aca="false">IF(CK51&gt;PR_BalDone,CK51+CK51*(F_MR/12)-MIN(F_MortPayM,CK51+CK51*(F_MR/12)),CK51)</f>
        <v>0</v>
      </c>
      <c r="CM51" s="20" t="n">
        <f aca="false">IF(CL51&gt;PR_BalDone,CL51+CL51*(F_MR/12)-MIN(F_MortPayM,CL51+CL51*(F_MR/12)),CL51)</f>
        <v>0</v>
      </c>
      <c r="CN51" s="20" t="n">
        <f aca="false">IF(CM51&gt;PR_BalDone,CM51+CM51*(F_MR/12)-MIN(F_MortPayM,CM51+CM51*(F_MR/12)),CM51)</f>
        <v>0</v>
      </c>
      <c r="CO51" s="20" t="n">
        <f aca="false">IF(CN51&gt;PR_BalDone,CN51+CN51*(F_MR/12)-MIN(F_MortPayM,CN51+CN51*(F_MR/12)),CN51)</f>
        <v>0</v>
      </c>
      <c r="CP51" s="20" t="n">
        <f aca="false">IF(CO51&gt;PR_BalDone,CO51+CO51*(F_MR/12)-MIN(F_MortPayM,CO51+CO51*(F_MR/12)),CO51)</f>
        <v>0</v>
      </c>
      <c r="CQ51" s="20" t="n">
        <f aca="false">IF(CP51&gt;PR_BalDone,CP51+CP51*(F_MR/12)-MIN(F_MortPayM,CP51+CP51*(F_MR/12)),CP51)</f>
        <v>0</v>
      </c>
      <c r="CR51" s="20" t="n">
        <f aca="false">IF(CQ51&gt;PR_BalDone,CQ51+CQ51*(F_MR/12)-MIN(F_MortPayM,CQ51+CQ51*(F_MR/12)),CQ51)</f>
        <v>0</v>
      </c>
      <c r="CS51" s="20" t="n">
        <f aca="false">IF(CF51&gt;PR_BalDone,MIN(F_MortPayM,CF51+CF51*(F_MR/12)),0)</f>
        <v>0</v>
      </c>
      <c r="CT51" s="20" t="n">
        <f aca="false">IF(CG51&gt;PR_BalDone,MIN(F_MortPayM,CG51+CG51*(F_MR/12)),0)</f>
        <v>0</v>
      </c>
      <c r="CU51" s="20" t="n">
        <f aca="false">IF(CH51&gt;PR_BalDone,MIN(F_MortPayM,CH51+CH51*(F_MR/12)),0)</f>
        <v>0</v>
      </c>
      <c r="CV51" s="20" t="n">
        <f aca="false">IF(CI51&gt;PR_BalDone,MIN(F_MortPayM,CI51+CI51*(F_MR/12)),0)</f>
        <v>0</v>
      </c>
      <c r="CW51" s="20" t="n">
        <f aca="false">IF(CJ51&gt;PR_BalDone,MIN(F_MortPayM,CJ51+CJ51*(F_MR/12)),0)</f>
        <v>0</v>
      </c>
      <c r="CX51" s="20" t="n">
        <f aca="false">IF(CK51&gt;PR_BalDone,MIN(F_MortPayM,CK51+CK51*(F_MR/12)),0)</f>
        <v>0</v>
      </c>
      <c r="CY51" s="20" t="n">
        <f aca="false">IF(CL51&gt;PR_BalDone,MIN(F_MortPayM,CL51+CL51*(F_MR/12)),0)</f>
        <v>0</v>
      </c>
      <c r="CZ51" s="20" t="n">
        <f aca="false">IF(CM51&gt;PR_BalDone,MIN(F_MortPayM,CM51+CM51*(F_MR/12)),0)</f>
        <v>0</v>
      </c>
      <c r="DA51" s="20" t="n">
        <f aca="false">IF(CN51&gt;PR_BalDone,MIN(F_MortPayM,CN51+CN51*(F_MR/12)),0)</f>
        <v>0</v>
      </c>
      <c r="DB51" s="20" t="n">
        <f aca="false">IF(CO51&gt;PR_BalDone,MIN(F_MortPayM,CO51+CO51*(F_MR/12)),0)</f>
        <v>0</v>
      </c>
      <c r="DC51" s="20" t="n">
        <f aca="false">IF(CP51&gt;PR_BalDone,MIN(F_MortPayM,CP51+CP51*(F_MR/12)),0)</f>
        <v>0</v>
      </c>
      <c r="DD51" s="20" t="n">
        <f aca="false">IF(CQ51&gt;PR_BalDone,MIN(F_MortPayM,CQ51+CQ51*(F_MR/12)),0)</f>
        <v>0</v>
      </c>
      <c r="DE51" s="20" t="n">
        <f aca="false">MAX(0,CR51)</f>
        <v>0</v>
      </c>
      <c r="DF51" s="20" t="n">
        <f aca="false">SUM(CS51:DD51)</f>
        <v>0</v>
      </c>
      <c r="DG51" s="20" t="n">
        <f aca="false">MAX(0,CF51)</f>
        <v>0</v>
      </c>
    </row>
    <row r="52" customFormat="false" ht="15" hidden="false" customHeight="true" outlineLevel="0" collapsed="false">
      <c r="B52" s="20" t="n">
        <v>44</v>
      </c>
      <c r="C52" s="20" t="n">
        <f aca="false">'Plan cashflow'!J52</f>
        <v>0</v>
      </c>
      <c r="D52" s="20" t="n">
        <f aca="false">IF(C52&gt;PR_BalDone,C52+C52*(F_MR/12)-MIN(F_MortPayM,C52+C52*(F_MR/12)),C52)</f>
        <v>0</v>
      </c>
      <c r="E52" s="20" t="n">
        <f aca="false">IF(D52&gt;PR_BalDone,D52+D52*(F_MR/12)-MIN(F_MortPayM,D52+D52*(F_MR/12)),D52)</f>
        <v>0</v>
      </c>
      <c r="F52" s="20" t="n">
        <f aca="false">IF(E52&gt;PR_BalDone,E52+E52*(F_MR/12)-MIN(F_MortPayM,E52+E52*(F_MR/12)),E52)</f>
        <v>0</v>
      </c>
      <c r="G52" s="20" t="n">
        <f aca="false">IF(F52&gt;PR_BalDone,F52+F52*(F_MR/12)-MIN(F_MortPayM,F52+F52*(F_MR/12)),F52)</f>
        <v>0</v>
      </c>
      <c r="H52" s="20" t="n">
        <f aca="false">IF(G52&gt;PR_BalDone,G52+G52*(F_MR/12)-MIN(F_MortPayM,G52+G52*(F_MR/12)),G52)</f>
        <v>0</v>
      </c>
      <c r="I52" s="20" t="n">
        <f aca="false">IF(H52&gt;PR_BalDone,H52+H52*(F_MR/12)-MIN(F_MortPayM,H52+H52*(F_MR/12)),H52)</f>
        <v>0</v>
      </c>
      <c r="J52" s="20" t="n">
        <f aca="false">IF(I52&gt;PR_BalDone,I52+I52*(F_MR/12)-MIN(F_MortPayM,I52+I52*(F_MR/12)),I52)</f>
        <v>0</v>
      </c>
      <c r="K52" s="20" t="n">
        <f aca="false">IF(J52&gt;PR_BalDone,J52+J52*(F_MR/12)-MIN(F_MortPayM,J52+J52*(F_MR/12)),J52)</f>
        <v>0</v>
      </c>
      <c r="L52" s="20" t="n">
        <f aca="false">IF(K52&gt;PR_BalDone,K52+K52*(F_MR/12)-MIN(F_MortPayM,K52+K52*(F_MR/12)),K52)</f>
        <v>0</v>
      </c>
      <c r="M52" s="20" t="n">
        <f aca="false">IF(L52&gt;PR_BalDone,L52+L52*(F_MR/12)-MIN(F_MortPayM,L52+L52*(F_MR/12)),L52)</f>
        <v>0</v>
      </c>
      <c r="N52" s="20" t="n">
        <f aca="false">IF(M52&gt;PR_BalDone,M52+M52*(F_MR/12)-MIN(F_MortPayM,M52+M52*(F_MR/12)),M52)</f>
        <v>0</v>
      </c>
      <c r="O52" s="20" t="n">
        <f aca="false">IF(N52&gt;PR_BalDone,N52+N52*(F_MR/12)-MIN(F_MortPayM,N52+N52*(F_MR/12)),N52)</f>
        <v>0</v>
      </c>
      <c r="P52" s="20" t="n">
        <f aca="false">IF(C52&gt;PR_BalDone,MIN(F_MortPayM,C52+C52*(F_MR/12)),0)</f>
        <v>0</v>
      </c>
      <c r="Q52" s="20" t="n">
        <f aca="false">IF(D52&gt;PR_BalDone,MIN(F_MortPayM,D52+D52*(F_MR/12)),0)</f>
        <v>0</v>
      </c>
      <c r="R52" s="20" t="n">
        <f aca="false">IF(E52&gt;PR_BalDone,MIN(F_MortPayM,E52+E52*(F_MR/12)),0)</f>
        <v>0</v>
      </c>
      <c r="S52" s="20" t="n">
        <f aca="false">IF(F52&gt;PR_BalDone,MIN(F_MortPayM,F52+F52*(F_MR/12)),0)</f>
        <v>0</v>
      </c>
      <c r="T52" s="20" t="n">
        <f aca="false">IF(G52&gt;PR_BalDone,MIN(F_MortPayM,G52+G52*(F_MR/12)),0)</f>
        <v>0</v>
      </c>
      <c r="U52" s="20" t="n">
        <f aca="false">IF(H52&gt;PR_BalDone,MIN(F_MortPayM,H52+H52*(F_MR/12)),0)</f>
        <v>0</v>
      </c>
      <c r="V52" s="20" t="n">
        <f aca="false">IF(I52&gt;PR_BalDone,MIN(F_MortPayM,I52+I52*(F_MR/12)),0)</f>
        <v>0</v>
      </c>
      <c r="W52" s="20" t="n">
        <f aca="false">IF(J52&gt;PR_BalDone,MIN(F_MortPayM,J52+J52*(F_MR/12)),0)</f>
        <v>0</v>
      </c>
      <c r="X52" s="20" t="n">
        <f aca="false">IF(K52&gt;PR_BalDone,MIN(F_MortPayM,K52+K52*(F_MR/12)),0)</f>
        <v>0</v>
      </c>
      <c r="Y52" s="20" t="n">
        <f aca="false">IF(L52&gt;PR_BalDone,MIN(F_MortPayM,L52+L52*(F_MR/12)),0)</f>
        <v>0</v>
      </c>
      <c r="Z52" s="20" t="n">
        <f aca="false">IF(M52&gt;PR_BalDone,MIN(F_MortPayM,M52+M52*(F_MR/12)),0)</f>
        <v>0</v>
      </c>
      <c r="AA52" s="20" t="n">
        <f aca="false">IF(N52&gt;PR_BalDone,MIN(F_MortPayM,N52+N52*(F_MR/12)),0)</f>
        <v>0</v>
      </c>
      <c r="AB52" s="20" t="n">
        <f aca="false">MAX(0,O52)</f>
        <v>0</v>
      </c>
      <c r="AC52" s="20" t="n">
        <f aca="false">SUM(P52:AA52)</f>
        <v>0</v>
      </c>
      <c r="AD52" s="20" t="n">
        <f aca="false">'Plan cashflow'!M52</f>
        <v>0</v>
      </c>
      <c r="AE52" s="20" t="n">
        <f aca="false">IF(AD52&gt;PR_BalDone,AD52+AD52*(D_iC)-MIN(F_CardPayM,AD52+AD52*(D_iC)),AD52)</f>
        <v>0</v>
      </c>
      <c r="AF52" s="20" t="n">
        <f aca="false">IF(AE52&gt;PR_BalDone,AE52+AE52*(D_iC)-MIN(F_CardPayM,AE52+AE52*(D_iC)),AE52)</f>
        <v>0</v>
      </c>
      <c r="AG52" s="20" t="n">
        <f aca="false">IF(AF52&gt;PR_BalDone,AF52+AF52*(D_iC)-MIN(F_CardPayM,AF52+AF52*(D_iC)),AF52)</f>
        <v>0</v>
      </c>
      <c r="AH52" s="20" t="n">
        <f aca="false">IF(AG52&gt;PR_BalDone,AG52+AG52*(D_iC)-MIN(F_CardPayM,AG52+AG52*(D_iC)),AG52)</f>
        <v>0</v>
      </c>
      <c r="AI52" s="20" t="n">
        <f aca="false">IF(AH52&gt;PR_BalDone,AH52+AH52*(D_iC)-MIN(F_CardPayM,AH52+AH52*(D_iC)),AH52)</f>
        <v>0</v>
      </c>
      <c r="AJ52" s="20" t="n">
        <f aca="false">IF(AI52&gt;PR_BalDone,AI52+AI52*(D_iC)-MIN(F_CardPayM,AI52+AI52*(D_iC)),AI52)</f>
        <v>0</v>
      </c>
      <c r="AK52" s="20" t="n">
        <f aca="false">IF(AJ52&gt;PR_BalDone,AJ52+AJ52*(D_iC)-MIN(F_CardPayM,AJ52+AJ52*(D_iC)),AJ52)</f>
        <v>0</v>
      </c>
      <c r="AL52" s="20" t="n">
        <f aca="false">IF(AK52&gt;PR_BalDone,AK52+AK52*(D_iC)-MIN(F_CardPayM,AK52+AK52*(D_iC)),AK52)</f>
        <v>0</v>
      </c>
      <c r="AM52" s="20" t="n">
        <f aca="false">IF(AL52&gt;PR_BalDone,AL52+AL52*(D_iC)-MIN(F_CardPayM,AL52+AL52*(D_iC)),AL52)</f>
        <v>0</v>
      </c>
      <c r="AN52" s="20" t="n">
        <f aca="false">IF(AM52&gt;PR_BalDone,AM52+AM52*(D_iC)-MIN(F_CardPayM,AM52+AM52*(D_iC)),AM52)</f>
        <v>0</v>
      </c>
      <c r="AO52" s="20" t="n">
        <f aca="false">IF(AN52&gt;PR_BalDone,AN52+AN52*(D_iC)-MIN(F_CardPayM,AN52+AN52*(D_iC)),AN52)</f>
        <v>0</v>
      </c>
      <c r="AP52" s="20" t="n">
        <f aca="false">IF(AO52&gt;PR_BalDone,AO52+AO52*(D_iC)-MIN(F_CardPayM,AO52+AO52*(D_iC)),AO52)</f>
        <v>0</v>
      </c>
      <c r="AQ52" s="20" t="n">
        <f aca="false">IF(AD52&gt;PR_BalDone,MIN(F_CardPayM,AD52+AD52*(D_iC)),0)</f>
        <v>0</v>
      </c>
      <c r="AR52" s="20" t="n">
        <f aca="false">IF(AE52&gt;PR_BalDone,MIN(F_CardPayM,AE52+AE52*(D_iC)),0)</f>
        <v>0</v>
      </c>
      <c r="AS52" s="20" t="n">
        <f aca="false">IF(AF52&gt;PR_BalDone,MIN(F_CardPayM,AF52+AF52*(D_iC)),0)</f>
        <v>0</v>
      </c>
      <c r="AT52" s="20" t="n">
        <f aca="false">IF(AG52&gt;PR_BalDone,MIN(F_CardPayM,AG52+AG52*(D_iC)),0)</f>
        <v>0</v>
      </c>
      <c r="AU52" s="20" t="n">
        <f aca="false">IF(AH52&gt;PR_BalDone,MIN(F_CardPayM,AH52+AH52*(D_iC)),0)</f>
        <v>0</v>
      </c>
      <c r="AV52" s="20" t="n">
        <f aca="false">IF(AI52&gt;PR_BalDone,MIN(F_CardPayM,AI52+AI52*(D_iC)),0)</f>
        <v>0</v>
      </c>
      <c r="AW52" s="20" t="n">
        <f aca="false">IF(AJ52&gt;PR_BalDone,MIN(F_CardPayM,AJ52+AJ52*(D_iC)),0)</f>
        <v>0</v>
      </c>
      <c r="AX52" s="20" t="n">
        <f aca="false">IF(AK52&gt;PR_BalDone,MIN(F_CardPayM,AK52+AK52*(D_iC)),0)</f>
        <v>0</v>
      </c>
      <c r="AY52" s="20" t="n">
        <f aca="false">IF(AL52&gt;PR_BalDone,MIN(F_CardPayM,AL52+AL52*(D_iC)),0)</f>
        <v>0</v>
      </c>
      <c r="AZ52" s="20" t="n">
        <f aca="false">IF(AM52&gt;PR_BalDone,MIN(F_CardPayM,AM52+AM52*(D_iC)),0)</f>
        <v>0</v>
      </c>
      <c r="BA52" s="20" t="n">
        <f aca="false">IF(AN52&gt;PR_BalDone,MIN(F_CardPayM,AN52+AN52*(D_iC)),0)</f>
        <v>0</v>
      </c>
      <c r="BB52" s="20" t="n">
        <f aca="false">IF(AO52&gt;PR_BalDone,MIN(F_CardPayM,AO52+AO52*(D_iC)),0)</f>
        <v>0</v>
      </c>
      <c r="BC52" s="20" t="n">
        <f aca="false">MAX(0,AP52)</f>
        <v>0</v>
      </c>
      <c r="BD52" s="20" t="n">
        <f aca="false">SUM(AQ52:BB52)</f>
        <v>0</v>
      </c>
      <c r="BE52" s="20" t="n">
        <f aca="false">'Plan cashflow'!P52</f>
        <v>0</v>
      </c>
      <c r="BF52" s="20" t="n">
        <f aca="false">IF(BE52&gt;PR_BalDone,BE52+BE52*(D_iL)-MIN(F_LoanPayM,BE52+BE52*(D_iL)),BE52)</f>
        <v>0</v>
      </c>
      <c r="BG52" s="20" t="n">
        <f aca="false">IF(BF52&gt;PR_BalDone,BF52+BF52*(D_iL)-MIN(F_LoanPayM,BF52+BF52*(D_iL)),BF52)</f>
        <v>0</v>
      </c>
      <c r="BH52" s="20" t="n">
        <f aca="false">IF(BG52&gt;PR_BalDone,BG52+BG52*(D_iL)-MIN(F_LoanPayM,BG52+BG52*(D_iL)),BG52)</f>
        <v>0</v>
      </c>
      <c r="BI52" s="20" t="n">
        <f aca="false">IF(BH52&gt;PR_BalDone,BH52+BH52*(D_iL)-MIN(F_LoanPayM,BH52+BH52*(D_iL)),BH52)</f>
        <v>0</v>
      </c>
      <c r="BJ52" s="20" t="n">
        <f aca="false">IF(BI52&gt;PR_BalDone,BI52+BI52*(D_iL)-MIN(F_LoanPayM,BI52+BI52*(D_iL)),BI52)</f>
        <v>0</v>
      </c>
      <c r="BK52" s="20" t="n">
        <f aca="false">IF(BJ52&gt;PR_BalDone,BJ52+BJ52*(D_iL)-MIN(F_LoanPayM,BJ52+BJ52*(D_iL)),BJ52)</f>
        <v>0</v>
      </c>
      <c r="BL52" s="20" t="n">
        <f aca="false">IF(BK52&gt;PR_BalDone,BK52+BK52*(D_iL)-MIN(F_LoanPayM,BK52+BK52*(D_iL)),BK52)</f>
        <v>0</v>
      </c>
      <c r="BM52" s="20" t="n">
        <f aca="false">IF(BL52&gt;PR_BalDone,BL52+BL52*(D_iL)-MIN(F_LoanPayM,BL52+BL52*(D_iL)),BL52)</f>
        <v>0</v>
      </c>
      <c r="BN52" s="20" t="n">
        <f aca="false">IF(BM52&gt;PR_BalDone,BM52+BM52*(D_iL)-MIN(F_LoanPayM,BM52+BM52*(D_iL)),BM52)</f>
        <v>0</v>
      </c>
      <c r="BO52" s="20" t="n">
        <f aca="false">IF(BN52&gt;PR_BalDone,BN52+BN52*(D_iL)-MIN(F_LoanPayM,BN52+BN52*(D_iL)),BN52)</f>
        <v>0</v>
      </c>
      <c r="BP52" s="20" t="n">
        <f aca="false">IF(BO52&gt;PR_BalDone,BO52+BO52*(D_iL)-MIN(F_LoanPayM,BO52+BO52*(D_iL)),BO52)</f>
        <v>0</v>
      </c>
      <c r="BQ52" s="20" t="n">
        <f aca="false">IF(BP52&gt;PR_BalDone,BP52+BP52*(D_iL)-MIN(F_LoanPayM,BP52+BP52*(D_iL)),BP52)</f>
        <v>0</v>
      </c>
      <c r="BR52" s="20" t="n">
        <f aca="false">IF(BE52&gt;PR_BalDone,MIN(F_LoanPayM,BE52+BE52*(D_iL)),0)</f>
        <v>0</v>
      </c>
      <c r="BS52" s="20" t="n">
        <f aca="false">IF(BF52&gt;PR_BalDone,MIN(F_LoanPayM,BF52+BF52*(D_iL)),0)</f>
        <v>0</v>
      </c>
      <c r="BT52" s="20" t="n">
        <f aca="false">IF(BG52&gt;PR_BalDone,MIN(F_LoanPayM,BG52+BG52*(D_iL)),0)</f>
        <v>0</v>
      </c>
      <c r="BU52" s="20" t="n">
        <f aca="false">IF(BH52&gt;PR_BalDone,MIN(F_LoanPayM,BH52+BH52*(D_iL)),0)</f>
        <v>0</v>
      </c>
      <c r="BV52" s="20" t="n">
        <f aca="false">IF(BI52&gt;PR_BalDone,MIN(F_LoanPayM,BI52+BI52*(D_iL)),0)</f>
        <v>0</v>
      </c>
      <c r="BW52" s="20" t="n">
        <f aca="false">IF(BJ52&gt;PR_BalDone,MIN(F_LoanPayM,BJ52+BJ52*(D_iL)),0)</f>
        <v>0</v>
      </c>
      <c r="BX52" s="20" t="n">
        <f aca="false">IF(BK52&gt;PR_BalDone,MIN(F_LoanPayM,BK52+BK52*(D_iL)),0)</f>
        <v>0</v>
      </c>
      <c r="BY52" s="20" t="n">
        <f aca="false">IF(BL52&gt;PR_BalDone,MIN(F_LoanPayM,BL52+BL52*(D_iL)),0)</f>
        <v>0</v>
      </c>
      <c r="BZ52" s="20" t="n">
        <f aca="false">IF(BM52&gt;PR_BalDone,MIN(F_LoanPayM,BM52+BM52*(D_iL)),0)</f>
        <v>0</v>
      </c>
      <c r="CA52" s="20" t="n">
        <f aca="false">IF(BN52&gt;PR_BalDone,MIN(F_LoanPayM,BN52+BN52*(D_iL)),0)</f>
        <v>0</v>
      </c>
      <c r="CB52" s="20" t="n">
        <f aca="false">IF(BO52&gt;PR_BalDone,MIN(F_LoanPayM,BO52+BO52*(D_iL)),0)</f>
        <v>0</v>
      </c>
      <c r="CC52" s="20" t="n">
        <f aca="false">IF(BP52&gt;PR_BalDone,MIN(F_LoanPayM,BP52+BP52*(D_iL)),0)</f>
        <v>0</v>
      </c>
      <c r="CD52" s="20" t="n">
        <f aca="false">MAX(0,BQ52)</f>
        <v>0</v>
      </c>
      <c r="CE52" s="20" t="n">
        <f aca="false">SUM(BR52:CC52)</f>
        <v>0</v>
      </c>
      <c r="CF52" s="20" t="n">
        <f aca="false">IF(CF51&gt;1,DE51,CF51)</f>
        <v>0</v>
      </c>
      <c r="CG52" s="20" t="n">
        <f aca="false">IF(CF52&gt;PR_BalDone,CF52+CF52*(F_MR/12)-MIN(F_MortPayM,CF52+CF52*(F_MR/12)),CF52)</f>
        <v>0</v>
      </c>
      <c r="CH52" s="20" t="n">
        <f aca="false">IF(CG52&gt;PR_BalDone,CG52+CG52*(F_MR/12)-MIN(F_MortPayM,CG52+CG52*(F_MR/12)),CG52)</f>
        <v>0</v>
      </c>
      <c r="CI52" s="20" t="n">
        <f aca="false">IF(CH52&gt;PR_BalDone,CH52+CH52*(F_MR/12)-MIN(F_MortPayM,CH52+CH52*(F_MR/12)),CH52)</f>
        <v>0</v>
      </c>
      <c r="CJ52" s="20" t="n">
        <f aca="false">IF(CI52&gt;PR_BalDone,CI52+CI52*(F_MR/12)-MIN(F_MortPayM,CI52+CI52*(F_MR/12)),CI52)</f>
        <v>0</v>
      </c>
      <c r="CK52" s="20" t="n">
        <f aca="false">IF(CJ52&gt;PR_BalDone,CJ52+CJ52*(F_MR/12)-MIN(F_MortPayM,CJ52+CJ52*(F_MR/12)),CJ52)</f>
        <v>0</v>
      </c>
      <c r="CL52" s="20" t="n">
        <f aca="false">IF(CK52&gt;PR_BalDone,CK52+CK52*(F_MR/12)-MIN(F_MortPayM,CK52+CK52*(F_MR/12)),CK52)</f>
        <v>0</v>
      </c>
      <c r="CM52" s="20" t="n">
        <f aca="false">IF(CL52&gt;PR_BalDone,CL52+CL52*(F_MR/12)-MIN(F_MortPayM,CL52+CL52*(F_MR/12)),CL52)</f>
        <v>0</v>
      </c>
      <c r="CN52" s="20" t="n">
        <f aca="false">IF(CM52&gt;PR_BalDone,CM52+CM52*(F_MR/12)-MIN(F_MortPayM,CM52+CM52*(F_MR/12)),CM52)</f>
        <v>0</v>
      </c>
      <c r="CO52" s="20" t="n">
        <f aca="false">IF(CN52&gt;PR_BalDone,CN52+CN52*(F_MR/12)-MIN(F_MortPayM,CN52+CN52*(F_MR/12)),CN52)</f>
        <v>0</v>
      </c>
      <c r="CP52" s="20" t="n">
        <f aca="false">IF(CO52&gt;PR_BalDone,CO52+CO52*(F_MR/12)-MIN(F_MortPayM,CO52+CO52*(F_MR/12)),CO52)</f>
        <v>0</v>
      </c>
      <c r="CQ52" s="20" t="n">
        <f aca="false">IF(CP52&gt;PR_BalDone,CP52+CP52*(F_MR/12)-MIN(F_MortPayM,CP52+CP52*(F_MR/12)),CP52)</f>
        <v>0</v>
      </c>
      <c r="CR52" s="20" t="n">
        <f aca="false">IF(CQ52&gt;PR_BalDone,CQ52+CQ52*(F_MR/12)-MIN(F_MortPayM,CQ52+CQ52*(F_MR/12)),CQ52)</f>
        <v>0</v>
      </c>
      <c r="CS52" s="20" t="n">
        <f aca="false">IF(CF52&gt;PR_BalDone,MIN(F_MortPayM,CF52+CF52*(F_MR/12)),0)</f>
        <v>0</v>
      </c>
      <c r="CT52" s="20" t="n">
        <f aca="false">IF(CG52&gt;PR_BalDone,MIN(F_MortPayM,CG52+CG52*(F_MR/12)),0)</f>
        <v>0</v>
      </c>
      <c r="CU52" s="20" t="n">
        <f aca="false">IF(CH52&gt;PR_BalDone,MIN(F_MortPayM,CH52+CH52*(F_MR/12)),0)</f>
        <v>0</v>
      </c>
      <c r="CV52" s="20" t="n">
        <f aca="false">IF(CI52&gt;PR_BalDone,MIN(F_MortPayM,CI52+CI52*(F_MR/12)),0)</f>
        <v>0</v>
      </c>
      <c r="CW52" s="20" t="n">
        <f aca="false">IF(CJ52&gt;PR_BalDone,MIN(F_MortPayM,CJ52+CJ52*(F_MR/12)),0)</f>
        <v>0</v>
      </c>
      <c r="CX52" s="20" t="n">
        <f aca="false">IF(CK52&gt;PR_BalDone,MIN(F_MortPayM,CK52+CK52*(F_MR/12)),0)</f>
        <v>0</v>
      </c>
      <c r="CY52" s="20" t="n">
        <f aca="false">IF(CL52&gt;PR_BalDone,MIN(F_MortPayM,CL52+CL52*(F_MR/12)),0)</f>
        <v>0</v>
      </c>
      <c r="CZ52" s="20" t="n">
        <f aca="false">IF(CM52&gt;PR_BalDone,MIN(F_MortPayM,CM52+CM52*(F_MR/12)),0)</f>
        <v>0</v>
      </c>
      <c r="DA52" s="20" t="n">
        <f aca="false">IF(CN52&gt;PR_BalDone,MIN(F_MortPayM,CN52+CN52*(F_MR/12)),0)</f>
        <v>0</v>
      </c>
      <c r="DB52" s="20" t="n">
        <f aca="false">IF(CO52&gt;PR_BalDone,MIN(F_MortPayM,CO52+CO52*(F_MR/12)),0)</f>
        <v>0</v>
      </c>
      <c r="DC52" s="20" t="n">
        <f aca="false">IF(CP52&gt;PR_BalDone,MIN(F_MortPayM,CP52+CP52*(F_MR/12)),0)</f>
        <v>0</v>
      </c>
      <c r="DD52" s="20" t="n">
        <f aca="false">IF(CQ52&gt;PR_BalDone,MIN(F_MortPayM,CQ52+CQ52*(F_MR/12)),0)</f>
        <v>0</v>
      </c>
      <c r="DE52" s="20" t="n">
        <f aca="false">MAX(0,CR52)</f>
        <v>0</v>
      </c>
      <c r="DF52" s="20" t="n">
        <f aca="false">SUM(CS52:DD52)</f>
        <v>0</v>
      </c>
      <c r="DG52" s="20" t="n">
        <f aca="false">MAX(0,CF52)</f>
        <v>0</v>
      </c>
    </row>
    <row r="53" customFormat="false" ht="15" hidden="false" customHeight="true" outlineLevel="0" collapsed="false">
      <c r="B53" s="20" t="n">
        <v>45</v>
      </c>
      <c r="C53" s="20" t="n">
        <f aca="false">'Plan cashflow'!J53</f>
        <v>0</v>
      </c>
      <c r="D53" s="20" t="n">
        <f aca="false">IF(C53&gt;PR_BalDone,C53+C53*(F_MR/12)-MIN(F_MortPayM,C53+C53*(F_MR/12)),C53)</f>
        <v>0</v>
      </c>
      <c r="E53" s="20" t="n">
        <f aca="false">IF(D53&gt;PR_BalDone,D53+D53*(F_MR/12)-MIN(F_MortPayM,D53+D53*(F_MR/12)),D53)</f>
        <v>0</v>
      </c>
      <c r="F53" s="20" t="n">
        <f aca="false">IF(E53&gt;PR_BalDone,E53+E53*(F_MR/12)-MIN(F_MortPayM,E53+E53*(F_MR/12)),E53)</f>
        <v>0</v>
      </c>
      <c r="G53" s="20" t="n">
        <f aca="false">IF(F53&gt;PR_BalDone,F53+F53*(F_MR/12)-MIN(F_MortPayM,F53+F53*(F_MR/12)),F53)</f>
        <v>0</v>
      </c>
      <c r="H53" s="20" t="n">
        <f aca="false">IF(G53&gt;PR_BalDone,G53+G53*(F_MR/12)-MIN(F_MortPayM,G53+G53*(F_MR/12)),G53)</f>
        <v>0</v>
      </c>
      <c r="I53" s="20" t="n">
        <f aca="false">IF(H53&gt;PR_BalDone,H53+H53*(F_MR/12)-MIN(F_MortPayM,H53+H53*(F_MR/12)),H53)</f>
        <v>0</v>
      </c>
      <c r="J53" s="20" t="n">
        <f aca="false">IF(I53&gt;PR_BalDone,I53+I53*(F_MR/12)-MIN(F_MortPayM,I53+I53*(F_MR/12)),I53)</f>
        <v>0</v>
      </c>
      <c r="K53" s="20" t="n">
        <f aca="false">IF(J53&gt;PR_BalDone,J53+J53*(F_MR/12)-MIN(F_MortPayM,J53+J53*(F_MR/12)),J53)</f>
        <v>0</v>
      </c>
      <c r="L53" s="20" t="n">
        <f aca="false">IF(K53&gt;PR_BalDone,K53+K53*(F_MR/12)-MIN(F_MortPayM,K53+K53*(F_MR/12)),K53)</f>
        <v>0</v>
      </c>
      <c r="M53" s="20" t="n">
        <f aca="false">IF(L53&gt;PR_BalDone,L53+L53*(F_MR/12)-MIN(F_MortPayM,L53+L53*(F_MR/12)),L53)</f>
        <v>0</v>
      </c>
      <c r="N53" s="20" t="n">
        <f aca="false">IF(M53&gt;PR_BalDone,M53+M53*(F_MR/12)-MIN(F_MortPayM,M53+M53*(F_MR/12)),M53)</f>
        <v>0</v>
      </c>
      <c r="O53" s="20" t="n">
        <f aca="false">IF(N53&gt;PR_BalDone,N53+N53*(F_MR/12)-MIN(F_MortPayM,N53+N53*(F_MR/12)),N53)</f>
        <v>0</v>
      </c>
      <c r="P53" s="20" t="n">
        <f aca="false">IF(C53&gt;PR_BalDone,MIN(F_MortPayM,C53+C53*(F_MR/12)),0)</f>
        <v>0</v>
      </c>
      <c r="Q53" s="20" t="n">
        <f aca="false">IF(D53&gt;PR_BalDone,MIN(F_MortPayM,D53+D53*(F_MR/12)),0)</f>
        <v>0</v>
      </c>
      <c r="R53" s="20" t="n">
        <f aca="false">IF(E53&gt;PR_BalDone,MIN(F_MortPayM,E53+E53*(F_MR/12)),0)</f>
        <v>0</v>
      </c>
      <c r="S53" s="20" t="n">
        <f aca="false">IF(F53&gt;PR_BalDone,MIN(F_MortPayM,F53+F53*(F_MR/12)),0)</f>
        <v>0</v>
      </c>
      <c r="T53" s="20" t="n">
        <f aca="false">IF(G53&gt;PR_BalDone,MIN(F_MortPayM,G53+G53*(F_MR/12)),0)</f>
        <v>0</v>
      </c>
      <c r="U53" s="20" t="n">
        <f aca="false">IF(H53&gt;PR_BalDone,MIN(F_MortPayM,H53+H53*(F_MR/12)),0)</f>
        <v>0</v>
      </c>
      <c r="V53" s="20" t="n">
        <f aca="false">IF(I53&gt;PR_BalDone,MIN(F_MortPayM,I53+I53*(F_MR/12)),0)</f>
        <v>0</v>
      </c>
      <c r="W53" s="20" t="n">
        <f aca="false">IF(J53&gt;PR_BalDone,MIN(F_MortPayM,J53+J53*(F_MR/12)),0)</f>
        <v>0</v>
      </c>
      <c r="X53" s="20" t="n">
        <f aca="false">IF(K53&gt;PR_BalDone,MIN(F_MortPayM,K53+K53*(F_MR/12)),0)</f>
        <v>0</v>
      </c>
      <c r="Y53" s="20" t="n">
        <f aca="false">IF(L53&gt;PR_BalDone,MIN(F_MortPayM,L53+L53*(F_MR/12)),0)</f>
        <v>0</v>
      </c>
      <c r="Z53" s="20" t="n">
        <f aca="false">IF(M53&gt;PR_BalDone,MIN(F_MortPayM,M53+M53*(F_MR/12)),0)</f>
        <v>0</v>
      </c>
      <c r="AA53" s="20" t="n">
        <f aca="false">IF(N53&gt;PR_BalDone,MIN(F_MortPayM,N53+N53*(F_MR/12)),0)</f>
        <v>0</v>
      </c>
      <c r="AB53" s="20" t="n">
        <f aca="false">MAX(0,O53)</f>
        <v>0</v>
      </c>
      <c r="AC53" s="20" t="n">
        <f aca="false">SUM(P53:AA53)</f>
        <v>0</v>
      </c>
      <c r="AD53" s="20" t="n">
        <f aca="false">'Plan cashflow'!M53</f>
        <v>0</v>
      </c>
      <c r="AE53" s="20" t="n">
        <f aca="false">IF(AD53&gt;PR_BalDone,AD53+AD53*(D_iC)-MIN(F_CardPayM,AD53+AD53*(D_iC)),AD53)</f>
        <v>0</v>
      </c>
      <c r="AF53" s="20" t="n">
        <f aca="false">IF(AE53&gt;PR_BalDone,AE53+AE53*(D_iC)-MIN(F_CardPayM,AE53+AE53*(D_iC)),AE53)</f>
        <v>0</v>
      </c>
      <c r="AG53" s="20" t="n">
        <f aca="false">IF(AF53&gt;PR_BalDone,AF53+AF53*(D_iC)-MIN(F_CardPayM,AF53+AF53*(D_iC)),AF53)</f>
        <v>0</v>
      </c>
      <c r="AH53" s="20" t="n">
        <f aca="false">IF(AG53&gt;PR_BalDone,AG53+AG53*(D_iC)-MIN(F_CardPayM,AG53+AG53*(D_iC)),AG53)</f>
        <v>0</v>
      </c>
      <c r="AI53" s="20" t="n">
        <f aca="false">IF(AH53&gt;PR_BalDone,AH53+AH53*(D_iC)-MIN(F_CardPayM,AH53+AH53*(D_iC)),AH53)</f>
        <v>0</v>
      </c>
      <c r="AJ53" s="20" t="n">
        <f aca="false">IF(AI53&gt;PR_BalDone,AI53+AI53*(D_iC)-MIN(F_CardPayM,AI53+AI53*(D_iC)),AI53)</f>
        <v>0</v>
      </c>
      <c r="AK53" s="20" t="n">
        <f aca="false">IF(AJ53&gt;PR_BalDone,AJ53+AJ53*(D_iC)-MIN(F_CardPayM,AJ53+AJ53*(D_iC)),AJ53)</f>
        <v>0</v>
      </c>
      <c r="AL53" s="20" t="n">
        <f aca="false">IF(AK53&gt;PR_BalDone,AK53+AK53*(D_iC)-MIN(F_CardPayM,AK53+AK53*(D_iC)),AK53)</f>
        <v>0</v>
      </c>
      <c r="AM53" s="20" t="n">
        <f aca="false">IF(AL53&gt;PR_BalDone,AL53+AL53*(D_iC)-MIN(F_CardPayM,AL53+AL53*(D_iC)),AL53)</f>
        <v>0</v>
      </c>
      <c r="AN53" s="20" t="n">
        <f aca="false">IF(AM53&gt;PR_BalDone,AM53+AM53*(D_iC)-MIN(F_CardPayM,AM53+AM53*(D_iC)),AM53)</f>
        <v>0</v>
      </c>
      <c r="AO53" s="20" t="n">
        <f aca="false">IF(AN53&gt;PR_BalDone,AN53+AN53*(D_iC)-MIN(F_CardPayM,AN53+AN53*(D_iC)),AN53)</f>
        <v>0</v>
      </c>
      <c r="AP53" s="20" t="n">
        <f aca="false">IF(AO53&gt;PR_BalDone,AO53+AO53*(D_iC)-MIN(F_CardPayM,AO53+AO53*(D_iC)),AO53)</f>
        <v>0</v>
      </c>
      <c r="AQ53" s="20" t="n">
        <f aca="false">IF(AD53&gt;PR_BalDone,MIN(F_CardPayM,AD53+AD53*(D_iC)),0)</f>
        <v>0</v>
      </c>
      <c r="AR53" s="20" t="n">
        <f aca="false">IF(AE53&gt;PR_BalDone,MIN(F_CardPayM,AE53+AE53*(D_iC)),0)</f>
        <v>0</v>
      </c>
      <c r="AS53" s="20" t="n">
        <f aca="false">IF(AF53&gt;PR_BalDone,MIN(F_CardPayM,AF53+AF53*(D_iC)),0)</f>
        <v>0</v>
      </c>
      <c r="AT53" s="20" t="n">
        <f aca="false">IF(AG53&gt;PR_BalDone,MIN(F_CardPayM,AG53+AG53*(D_iC)),0)</f>
        <v>0</v>
      </c>
      <c r="AU53" s="20" t="n">
        <f aca="false">IF(AH53&gt;PR_BalDone,MIN(F_CardPayM,AH53+AH53*(D_iC)),0)</f>
        <v>0</v>
      </c>
      <c r="AV53" s="20" t="n">
        <f aca="false">IF(AI53&gt;PR_BalDone,MIN(F_CardPayM,AI53+AI53*(D_iC)),0)</f>
        <v>0</v>
      </c>
      <c r="AW53" s="20" t="n">
        <f aca="false">IF(AJ53&gt;PR_BalDone,MIN(F_CardPayM,AJ53+AJ53*(D_iC)),0)</f>
        <v>0</v>
      </c>
      <c r="AX53" s="20" t="n">
        <f aca="false">IF(AK53&gt;PR_BalDone,MIN(F_CardPayM,AK53+AK53*(D_iC)),0)</f>
        <v>0</v>
      </c>
      <c r="AY53" s="20" t="n">
        <f aca="false">IF(AL53&gt;PR_BalDone,MIN(F_CardPayM,AL53+AL53*(D_iC)),0)</f>
        <v>0</v>
      </c>
      <c r="AZ53" s="20" t="n">
        <f aca="false">IF(AM53&gt;PR_BalDone,MIN(F_CardPayM,AM53+AM53*(D_iC)),0)</f>
        <v>0</v>
      </c>
      <c r="BA53" s="20" t="n">
        <f aca="false">IF(AN53&gt;PR_BalDone,MIN(F_CardPayM,AN53+AN53*(D_iC)),0)</f>
        <v>0</v>
      </c>
      <c r="BB53" s="20" t="n">
        <f aca="false">IF(AO53&gt;PR_BalDone,MIN(F_CardPayM,AO53+AO53*(D_iC)),0)</f>
        <v>0</v>
      </c>
      <c r="BC53" s="20" t="n">
        <f aca="false">MAX(0,AP53)</f>
        <v>0</v>
      </c>
      <c r="BD53" s="20" t="n">
        <f aca="false">SUM(AQ53:BB53)</f>
        <v>0</v>
      </c>
      <c r="BE53" s="20" t="n">
        <f aca="false">'Plan cashflow'!P53</f>
        <v>0</v>
      </c>
      <c r="BF53" s="20" t="n">
        <f aca="false">IF(BE53&gt;PR_BalDone,BE53+BE53*(D_iL)-MIN(F_LoanPayM,BE53+BE53*(D_iL)),BE53)</f>
        <v>0</v>
      </c>
      <c r="BG53" s="20" t="n">
        <f aca="false">IF(BF53&gt;PR_BalDone,BF53+BF53*(D_iL)-MIN(F_LoanPayM,BF53+BF53*(D_iL)),BF53)</f>
        <v>0</v>
      </c>
      <c r="BH53" s="20" t="n">
        <f aca="false">IF(BG53&gt;PR_BalDone,BG53+BG53*(D_iL)-MIN(F_LoanPayM,BG53+BG53*(D_iL)),BG53)</f>
        <v>0</v>
      </c>
      <c r="BI53" s="20" t="n">
        <f aca="false">IF(BH53&gt;PR_BalDone,BH53+BH53*(D_iL)-MIN(F_LoanPayM,BH53+BH53*(D_iL)),BH53)</f>
        <v>0</v>
      </c>
      <c r="BJ53" s="20" t="n">
        <f aca="false">IF(BI53&gt;PR_BalDone,BI53+BI53*(D_iL)-MIN(F_LoanPayM,BI53+BI53*(D_iL)),BI53)</f>
        <v>0</v>
      </c>
      <c r="BK53" s="20" t="n">
        <f aca="false">IF(BJ53&gt;PR_BalDone,BJ53+BJ53*(D_iL)-MIN(F_LoanPayM,BJ53+BJ53*(D_iL)),BJ53)</f>
        <v>0</v>
      </c>
      <c r="BL53" s="20" t="n">
        <f aca="false">IF(BK53&gt;PR_BalDone,BK53+BK53*(D_iL)-MIN(F_LoanPayM,BK53+BK53*(D_iL)),BK53)</f>
        <v>0</v>
      </c>
      <c r="BM53" s="20" t="n">
        <f aca="false">IF(BL53&gt;PR_BalDone,BL53+BL53*(D_iL)-MIN(F_LoanPayM,BL53+BL53*(D_iL)),BL53)</f>
        <v>0</v>
      </c>
      <c r="BN53" s="20" t="n">
        <f aca="false">IF(BM53&gt;PR_BalDone,BM53+BM53*(D_iL)-MIN(F_LoanPayM,BM53+BM53*(D_iL)),BM53)</f>
        <v>0</v>
      </c>
      <c r="BO53" s="20" t="n">
        <f aca="false">IF(BN53&gt;PR_BalDone,BN53+BN53*(D_iL)-MIN(F_LoanPayM,BN53+BN53*(D_iL)),BN53)</f>
        <v>0</v>
      </c>
      <c r="BP53" s="20" t="n">
        <f aca="false">IF(BO53&gt;PR_BalDone,BO53+BO53*(D_iL)-MIN(F_LoanPayM,BO53+BO53*(D_iL)),BO53)</f>
        <v>0</v>
      </c>
      <c r="BQ53" s="20" t="n">
        <f aca="false">IF(BP53&gt;PR_BalDone,BP53+BP53*(D_iL)-MIN(F_LoanPayM,BP53+BP53*(D_iL)),BP53)</f>
        <v>0</v>
      </c>
      <c r="BR53" s="20" t="n">
        <f aca="false">IF(BE53&gt;PR_BalDone,MIN(F_LoanPayM,BE53+BE53*(D_iL)),0)</f>
        <v>0</v>
      </c>
      <c r="BS53" s="20" t="n">
        <f aca="false">IF(BF53&gt;PR_BalDone,MIN(F_LoanPayM,BF53+BF53*(D_iL)),0)</f>
        <v>0</v>
      </c>
      <c r="BT53" s="20" t="n">
        <f aca="false">IF(BG53&gt;PR_BalDone,MIN(F_LoanPayM,BG53+BG53*(D_iL)),0)</f>
        <v>0</v>
      </c>
      <c r="BU53" s="20" t="n">
        <f aca="false">IF(BH53&gt;PR_BalDone,MIN(F_LoanPayM,BH53+BH53*(D_iL)),0)</f>
        <v>0</v>
      </c>
      <c r="BV53" s="20" t="n">
        <f aca="false">IF(BI53&gt;PR_BalDone,MIN(F_LoanPayM,BI53+BI53*(D_iL)),0)</f>
        <v>0</v>
      </c>
      <c r="BW53" s="20" t="n">
        <f aca="false">IF(BJ53&gt;PR_BalDone,MIN(F_LoanPayM,BJ53+BJ53*(D_iL)),0)</f>
        <v>0</v>
      </c>
      <c r="BX53" s="20" t="n">
        <f aca="false">IF(BK53&gt;PR_BalDone,MIN(F_LoanPayM,BK53+BK53*(D_iL)),0)</f>
        <v>0</v>
      </c>
      <c r="BY53" s="20" t="n">
        <f aca="false">IF(BL53&gt;PR_BalDone,MIN(F_LoanPayM,BL53+BL53*(D_iL)),0)</f>
        <v>0</v>
      </c>
      <c r="BZ53" s="20" t="n">
        <f aca="false">IF(BM53&gt;PR_BalDone,MIN(F_LoanPayM,BM53+BM53*(D_iL)),0)</f>
        <v>0</v>
      </c>
      <c r="CA53" s="20" t="n">
        <f aca="false">IF(BN53&gt;PR_BalDone,MIN(F_LoanPayM,BN53+BN53*(D_iL)),0)</f>
        <v>0</v>
      </c>
      <c r="CB53" s="20" t="n">
        <f aca="false">IF(BO53&gt;PR_BalDone,MIN(F_LoanPayM,BO53+BO53*(D_iL)),0)</f>
        <v>0</v>
      </c>
      <c r="CC53" s="20" t="n">
        <f aca="false">IF(BP53&gt;PR_BalDone,MIN(F_LoanPayM,BP53+BP53*(D_iL)),0)</f>
        <v>0</v>
      </c>
      <c r="CD53" s="20" t="n">
        <f aca="false">MAX(0,BQ53)</f>
        <v>0</v>
      </c>
      <c r="CE53" s="20" t="n">
        <f aca="false">SUM(BR53:CC53)</f>
        <v>0</v>
      </c>
      <c r="CF53" s="20" t="n">
        <f aca="false">IF(CF52&gt;1,DE52,CF52)</f>
        <v>0</v>
      </c>
      <c r="CG53" s="20" t="n">
        <f aca="false">IF(CF53&gt;PR_BalDone,CF53+CF53*(F_MR/12)-MIN(F_MortPayM,CF53+CF53*(F_MR/12)),CF53)</f>
        <v>0</v>
      </c>
      <c r="CH53" s="20" t="n">
        <f aca="false">IF(CG53&gt;PR_BalDone,CG53+CG53*(F_MR/12)-MIN(F_MortPayM,CG53+CG53*(F_MR/12)),CG53)</f>
        <v>0</v>
      </c>
      <c r="CI53" s="20" t="n">
        <f aca="false">IF(CH53&gt;PR_BalDone,CH53+CH53*(F_MR/12)-MIN(F_MortPayM,CH53+CH53*(F_MR/12)),CH53)</f>
        <v>0</v>
      </c>
      <c r="CJ53" s="20" t="n">
        <f aca="false">IF(CI53&gt;PR_BalDone,CI53+CI53*(F_MR/12)-MIN(F_MortPayM,CI53+CI53*(F_MR/12)),CI53)</f>
        <v>0</v>
      </c>
      <c r="CK53" s="20" t="n">
        <f aca="false">IF(CJ53&gt;PR_BalDone,CJ53+CJ53*(F_MR/12)-MIN(F_MortPayM,CJ53+CJ53*(F_MR/12)),CJ53)</f>
        <v>0</v>
      </c>
      <c r="CL53" s="20" t="n">
        <f aca="false">IF(CK53&gt;PR_BalDone,CK53+CK53*(F_MR/12)-MIN(F_MortPayM,CK53+CK53*(F_MR/12)),CK53)</f>
        <v>0</v>
      </c>
      <c r="CM53" s="20" t="n">
        <f aca="false">IF(CL53&gt;PR_BalDone,CL53+CL53*(F_MR/12)-MIN(F_MortPayM,CL53+CL53*(F_MR/12)),CL53)</f>
        <v>0</v>
      </c>
      <c r="CN53" s="20" t="n">
        <f aca="false">IF(CM53&gt;PR_BalDone,CM53+CM53*(F_MR/12)-MIN(F_MortPayM,CM53+CM53*(F_MR/12)),CM53)</f>
        <v>0</v>
      </c>
      <c r="CO53" s="20" t="n">
        <f aca="false">IF(CN53&gt;PR_BalDone,CN53+CN53*(F_MR/12)-MIN(F_MortPayM,CN53+CN53*(F_MR/12)),CN53)</f>
        <v>0</v>
      </c>
      <c r="CP53" s="20" t="n">
        <f aca="false">IF(CO53&gt;PR_BalDone,CO53+CO53*(F_MR/12)-MIN(F_MortPayM,CO53+CO53*(F_MR/12)),CO53)</f>
        <v>0</v>
      </c>
      <c r="CQ53" s="20" t="n">
        <f aca="false">IF(CP53&gt;PR_BalDone,CP53+CP53*(F_MR/12)-MIN(F_MortPayM,CP53+CP53*(F_MR/12)),CP53)</f>
        <v>0</v>
      </c>
      <c r="CR53" s="20" t="n">
        <f aca="false">IF(CQ53&gt;PR_BalDone,CQ53+CQ53*(F_MR/12)-MIN(F_MortPayM,CQ53+CQ53*(F_MR/12)),CQ53)</f>
        <v>0</v>
      </c>
      <c r="CS53" s="20" t="n">
        <f aca="false">IF(CF53&gt;PR_BalDone,MIN(F_MortPayM,CF53+CF53*(F_MR/12)),0)</f>
        <v>0</v>
      </c>
      <c r="CT53" s="20" t="n">
        <f aca="false">IF(CG53&gt;PR_BalDone,MIN(F_MortPayM,CG53+CG53*(F_MR/12)),0)</f>
        <v>0</v>
      </c>
      <c r="CU53" s="20" t="n">
        <f aca="false">IF(CH53&gt;PR_BalDone,MIN(F_MortPayM,CH53+CH53*(F_MR/12)),0)</f>
        <v>0</v>
      </c>
      <c r="CV53" s="20" t="n">
        <f aca="false">IF(CI53&gt;PR_BalDone,MIN(F_MortPayM,CI53+CI53*(F_MR/12)),0)</f>
        <v>0</v>
      </c>
      <c r="CW53" s="20" t="n">
        <f aca="false">IF(CJ53&gt;PR_BalDone,MIN(F_MortPayM,CJ53+CJ53*(F_MR/12)),0)</f>
        <v>0</v>
      </c>
      <c r="CX53" s="20" t="n">
        <f aca="false">IF(CK53&gt;PR_BalDone,MIN(F_MortPayM,CK53+CK53*(F_MR/12)),0)</f>
        <v>0</v>
      </c>
      <c r="CY53" s="20" t="n">
        <f aca="false">IF(CL53&gt;PR_BalDone,MIN(F_MortPayM,CL53+CL53*(F_MR/12)),0)</f>
        <v>0</v>
      </c>
      <c r="CZ53" s="20" t="n">
        <f aca="false">IF(CM53&gt;PR_BalDone,MIN(F_MortPayM,CM53+CM53*(F_MR/12)),0)</f>
        <v>0</v>
      </c>
      <c r="DA53" s="20" t="n">
        <f aca="false">IF(CN53&gt;PR_BalDone,MIN(F_MortPayM,CN53+CN53*(F_MR/12)),0)</f>
        <v>0</v>
      </c>
      <c r="DB53" s="20" t="n">
        <f aca="false">IF(CO53&gt;PR_BalDone,MIN(F_MortPayM,CO53+CO53*(F_MR/12)),0)</f>
        <v>0</v>
      </c>
      <c r="DC53" s="20" t="n">
        <f aca="false">IF(CP53&gt;PR_BalDone,MIN(F_MortPayM,CP53+CP53*(F_MR/12)),0)</f>
        <v>0</v>
      </c>
      <c r="DD53" s="20" t="n">
        <f aca="false">IF(CQ53&gt;PR_BalDone,MIN(F_MortPayM,CQ53+CQ53*(F_MR/12)),0)</f>
        <v>0</v>
      </c>
      <c r="DE53" s="20" t="n">
        <f aca="false">MAX(0,CR53)</f>
        <v>0</v>
      </c>
      <c r="DF53" s="20" t="n">
        <f aca="false">SUM(CS53:DD53)</f>
        <v>0</v>
      </c>
      <c r="DG53" s="20" t="n">
        <f aca="false">MAX(0,CF53)</f>
        <v>0</v>
      </c>
    </row>
    <row r="54" customFormat="false" ht="15" hidden="false" customHeight="true" outlineLevel="0" collapsed="false">
      <c r="B54" s="20" t="n">
        <v>46</v>
      </c>
      <c r="C54" s="20" t="n">
        <f aca="false">'Plan cashflow'!J54</f>
        <v>0</v>
      </c>
      <c r="D54" s="20" t="n">
        <f aca="false">IF(C54&gt;PR_BalDone,C54+C54*(F_MR/12)-MIN(F_MortPayM,C54+C54*(F_MR/12)),C54)</f>
        <v>0</v>
      </c>
      <c r="E54" s="20" t="n">
        <f aca="false">IF(D54&gt;PR_BalDone,D54+D54*(F_MR/12)-MIN(F_MortPayM,D54+D54*(F_MR/12)),D54)</f>
        <v>0</v>
      </c>
      <c r="F54" s="20" t="n">
        <f aca="false">IF(E54&gt;PR_BalDone,E54+E54*(F_MR/12)-MIN(F_MortPayM,E54+E54*(F_MR/12)),E54)</f>
        <v>0</v>
      </c>
      <c r="G54" s="20" t="n">
        <f aca="false">IF(F54&gt;PR_BalDone,F54+F54*(F_MR/12)-MIN(F_MortPayM,F54+F54*(F_MR/12)),F54)</f>
        <v>0</v>
      </c>
      <c r="H54" s="20" t="n">
        <f aca="false">IF(G54&gt;PR_BalDone,G54+G54*(F_MR/12)-MIN(F_MortPayM,G54+G54*(F_MR/12)),G54)</f>
        <v>0</v>
      </c>
      <c r="I54" s="20" t="n">
        <f aca="false">IF(H54&gt;PR_BalDone,H54+H54*(F_MR/12)-MIN(F_MortPayM,H54+H54*(F_MR/12)),H54)</f>
        <v>0</v>
      </c>
      <c r="J54" s="20" t="n">
        <f aca="false">IF(I54&gt;PR_BalDone,I54+I54*(F_MR/12)-MIN(F_MortPayM,I54+I54*(F_MR/12)),I54)</f>
        <v>0</v>
      </c>
      <c r="K54" s="20" t="n">
        <f aca="false">IF(J54&gt;PR_BalDone,J54+J54*(F_MR/12)-MIN(F_MortPayM,J54+J54*(F_MR/12)),J54)</f>
        <v>0</v>
      </c>
      <c r="L54" s="20" t="n">
        <f aca="false">IF(K54&gt;PR_BalDone,K54+K54*(F_MR/12)-MIN(F_MortPayM,K54+K54*(F_MR/12)),K54)</f>
        <v>0</v>
      </c>
      <c r="M54" s="20" t="n">
        <f aca="false">IF(L54&gt;PR_BalDone,L54+L54*(F_MR/12)-MIN(F_MortPayM,L54+L54*(F_MR/12)),L54)</f>
        <v>0</v>
      </c>
      <c r="N54" s="20" t="n">
        <f aca="false">IF(M54&gt;PR_BalDone,M54+M54*(F_MR/12)-MIN(F_MortPayM,M54+M54*(F_MR/12)),M54)</f>
        <v>0</v>
      </c>
      <c r="O54" s="20" t="n">
        <f aca="false">IF(N54&gt;PR_BalDone,N54+N54*(F_MR/12)-MIN(F_MortPayM,N54+N54*(F_MR/12)),N54)</f>
        <v>0</v>
      </c>
      <c r="P54" s="20" t="n">
        <f aca="false">IF(C54&gt;PR_BalDone,MIN(F_MortPayM,C54+C54*(F_MR/12)),0)</f>
        <v>0</v>
      </c>
      <c r="Q54" s="20" t="n">
        <f aca="false">IF(D54&gt;PR_BalDone,MIN(F_MortPayM,D54+D54*(F_MR/12)),0)</f>
        <v>0</v>
      </c>
      <c r="R54" s="20" t="n">
        <f aca="false">IF(E54&gt;PR_BalDone,MIN(F_MortPayM,E54+E54*(F_MR/12)),0)</f>
        <v>0</v>
      </c>
      <c r="S54" s="20" t="n">
        <f aca="false">IF(F54&gt;PR_BalDone,MIN(F_MortPayM,F54+F54*(F_MR/12)),0)</f>
        <v>0</v>
      </c>
      <c r="T54" s="20" t="n">
        <f aca="false">IF(G54&gt;PR_BalDone,MIN(F_MortPayM,G54+G54*(F_MR/12)),0)</f>
        <v>0</v>
      </c>
      <c r="U54" s="20" t="n">
        <f aca="false">IF(H54&gt;PR_BalDone,MIN(F_MortPayM,H54+H54*(F_MR/12)),0)</f>
        <v>0</v>
      </c>
      <c r="V54" s="20" t="n">
        <f aca="false">IF(I54&gt;PR_BalDone,MIN(F_MortPayM,I54+I54*(F_MR/12)),0)</f>
        <v>0</v>
      </c>
      <c r="W54" s="20" t="n">
        <f aca="false">IF(J54&gt;PR_BalDone,MIN(F_MortPayM,J54+J54*(F_MR/12)),0)</f>
        <v>0</v>
      </c>
      <c r="X54" s="20" t="n">
        <f aca="false">IF(K54&gt;PR_BalDone,MIN(F_MortPayM,K54+K54*(F_MR/12)),0)</f>
        <v>0</v>
      </c>
      <c r="Y54" s="20" t="n">
        <f aca="false">IF(L54&gt;PR_BalDone,MIN(F_MortPayM,L54+L54*(F_MR/12)),0)</f>
        <v>0</v>
      </c>
      <c r="Z54" s="20" t="n">
        <f aca="false">IF(M54&gt;PR_BalDone,MIN(F_MortPayM,M54+M54*(F_MR/12)),0)</f>
        <v>0</v>
      </c>
      <c r="AA54" s="20" t="n">
        <f aca="false">IF(N54&gt;PR_BalDone,MIN(F_MortPayM,N54+N54*(F_MR/12)),0)</f>
        <v>0</v>
      </c>
      <c r="AB54" s="20" t="n">
        <f aca="false">MAX(0,O54)</f>
        <v>0</v>
      </c>
      <c r="AC54" s="20" t="n">
        <f aca="false">SUM(P54:AA54)</f>
        <v>0</v>
      </c>
      <c r="AD54" s="20" t="n">
        <f aca="false">'Plan cashflow'!M54</f>
        <v>0</v>
      </c>
      <c r="AE54" s="20" t="n">
        <f aca="false">IF(AD54&gt;PR_BalDone,AD54+AD54*(D_iC)-MIN(F_CardPayM,AD54+AD54*(D_iC)),AD54)</f>
        <v>0</v>
      </c>
      <c r="AF54" s="20" t="n">
        <f aca="false">IF(AE54&gt;PR_BalDone,AE54+AE54*(D_iC)-MIN(F_CardPayM,AE54+AE54*(D_iC)),AE54)</f>
        <v>0</v>
      </c>
      <c r="AG54" s="20" t="n">
        <f aca="false">IF(AF54&gt;PR_BalDone,AF54+AF54*(D_iC)-MIN(F_CardPayM,AF54+AF54*(D_iC)),AF54)</f>
        <v>0</v>
      </c>
      <c r="AH54" s="20" t="n">
        <f aca="false">IF(AG54&gt;PR_BalDone,AG54+AG54*(D_iC)-MIN(F_CardPayM,AG54+AG54*(D_iC)),AG54)</f>
        <v>0</v>
      </c>
      <c r="AI54" s="20" t="n">
        <f aca="false">IF(AH54&gt;PR_BalDone,AH54+AH54*(D_iC)-MIN(F_CardPayM,AH54+AH54*(D_iC)),AH54)</f>
        <v>0</v>
      </c>
      <c r="AJ54" s="20" t="n">
        <f aca="false">IF(AI54&gt;PR_BalDone,AI54+AI54*(D_iC)-MIN(F_CardPayM,AI54+AI54*(D_iC)),AI54)</f>
        <v>0</v>
      </c>
      <c r="AK54" s="20" t="n">
        <f aca="false">IF(AJ54&gt;PR_BalDone,AJ54+AJ54*(D_iC)-MIN(F_CardPayM,AJ54+AJ54*(D_iC)),AJ54)</f>
        <v>0</v>
      </c>
      <c r="AL54" s="20" t="n">
        <f aca="false">IF(AK54&gt;PR_BalDone,AK54+AK54*(D_iC)-MIN(F_CardPayM,AK54+AK54*(D_iC)),AK54)</f>
        <v>0</v>
      </c>
      <c r="AM54" s="20" t="n">
        <f aca="false">IF(AL54&gt;PR_BalDone,AL54+AL54*(D_iC)-MIN(F_CardPayM,AL54+AL54*(D_iC)),AL54)</f>
        <v>0</v>
      </c>
      <c r="AN54" s="20" t="n">
        <f aca="false">IF(AM54&gt;PR_BalDone,AM54+AM54*(D_iC)-MIN(F_CardPayM,AM54+AM54*(D_iC)),AM54)</f>
        <v>0</v>
      </c>
      <c r="AO54" s="20" t="n">
        <f aca="false">IF(AN54&gt;PR_BalDone,AN54+AN54*(D_iC)-MIN(F_CardPayM,AN54+AN54*(D_iC)),AN54)</f>
        <v>0</v>
      </c>
      <c r="AP54" s="20" t="n">
        <f aca="false">IF(AO54&gt;PR_BalDone,AO54+AO54*(D_iC)-MIN(F_CardPayM,AO54+AO54*(D_iC)),AO54)</f>
        <v>0</v>
      </c>
      <c r="AQ54" s="20" t="n">
        <f aca="false">IF(AD54&gt;PR_BalDone,MIN(F_CardPayM,AD54+AD54*(D_iC)),0)</f>
        <v>0</v>
      </c>
      <c r="AR54" s="20" t="n">
        <f aca="false">IF(AE54&gt;PR_BalDone,MIN(F_CardPayM,AE54+AE54*(D_iC)),0)</f>
        <v>0</v>
      </c>
      <c r="AS54" s="20" t="n">
        <f aca="false">IF(AF54&gt;PR_BalDone,MIN(F_CardPayM,AF54+AF54*(D_iC)),0)</f>
        <v>0</v>
      </c>
      <c r="AT54" s="20" t="n">
        <f aca="false">IF(AG54&gt;PR_BalDone,MIN(F_CardPayM,AG54+AG54*(D_iC)),0)</f>
        <v>0</v>
      </c>
      <c r="AU54" s="20" t="n">
        <f aca="false">IF(AH54&gt;PR_BalDone,MIN(F_CardPayM,AH54+AH54*(D_iC)),0)</f>
        <v>0</v>
      </c>
      <c r="AV54" s="20" t="n">
        <f aca="false">IF(AI54&gt;PR_BalDone,MIN(F_CardPayM,AI54+AI54*(D_iC)),0)</f>
        <v>0</v>
      </c>
      <c r="AW54" s="20" t="n">
        <f aca="false">IF(AJ54&gt;PR_BalDone,MIN(F_CardPayM,AJ54+AJ54*(D_iC)),0)</f>
        <v>0</v>
      </c>
      <c r="AX54" s="20" t="n">
        <f aca="false">IF(AK54&gt;PR_BalDone,MIN(F_CardPayM,AK54+AK54*(D_iC)),0)</f>
        <v>0</v>
      </c>
      <c r="AY54" s="20" t="n">
        <f aca="false">IF(AL54&gt;PR_BalDone,MIN(F_CardPayM,AL54+AL54*(D_iC)),0)</f>
        <v>0</v>
      </c>
      <c r="AZ54" s="20" t="n">
        <f aca="false">IF(AM54&gt;PR_BalDone,MIN(F_CardPayM,AM54+AM54*(D_iC)),0)</f>
        <v>0</v>
      </c>
      <c r="BA54" s="20" t="n">
        <f aca="false">IF(AN54&gt;PR_BalDone,MIN(F_CardPayM,AN54+AN54*(D_iC)),0)</f>
        <v>0</v>
      </c>
      <c r="BB54" s="20" t="n">
        <f aca="false">IF(AO54&gt;PR_BalDone,MIN(F_CardPayM,AO54+AO54*(D_iC)),0)</f>
        <v>0</v>
      </c>
      <c r="BC54" s="20" t="n">
        <f aca="false">MAX(0,AP54)</f>
        <v>0</v>
      </c>
      <c r="BD54" s="20" t="n">
        <f aca="false">SUM(AQ54:BB54)</f>
        <v>0</v>
      </c>
      <c r="BE54" s="20" t="n">
        <f aca="false">'Plan cashflow'!P54</f>
        <v>0</v>
      </c>
      <c r="BF54" s="20" t="n">
        <f aca="false">IF(BE54&gt;PR_BalDone,BE54+BE54*(D_iL)-MIN(F_LoanPayM,BE54+BE54*(D_iL)),BE54)</f>
        <v>0</v>
      </c>
      <c r="BG54" s="20" t="n">
        <f aca="false">IF(BF54&gt;PR_BalDone,BF54+BF54*(D_iL)-MIN(F_LoanPayM,BF54+BF54*(D_iL)),BF54)</f>
        <v>0</v>
      </c>
      <c r="BH54" s="20" t="n">
        <f aca="false">IF(BG54&gt;PR_BalDone,BG54+BG54*(D_iL)-MIN(F_LoanPayM,BG54+BG54*(D_iL)),BG54)</f>
        <v>0</v>
      </c>
      <c r="BI54" s="20" t="n">
        <f aca="false">IF(BH54&gt;PR_BalDone,BH54+BH54*(D_iL)-MIN(F_LoanPayM,BH54+BH54*(D_iL)),BH54)</f>
        <v>0</v>
      </c>
      <c r="BJ54" s="20" t="n">
        <f aca="false">IF(BI54&gt;PR_BalDone,BI54+BI54*(D_iL)-MIN(F_LoanPayM,BI54+BI54*(D_iL)),BI54)</f>
        <v>0</v>
      </c>
      <c r="BK54" s="20" t="n">
        <f aca="false">IF(BJ54&gt;PR_BalDone,BJ54+BJ54*(D_iL)-MIN(F_LoanPayM,BJ54+BJ54*(D_iL)),BJ54)</f>
        <v>0</v>
      </c>
      <c r="BL54" s="20" t="n">
        <f aca="false">IF(BK54&gt;PR_BalDone,BK54+BK54*(D_iL)-MIN(F_LoanPayM,BK54+BK54*(D_iL)),BK54)</f>
        <v>0</v>
      </c>
      <c r="BM54" s="20" t="n">
        <f aca="false">IF(BL54&gt;PR_BalDone,BL54+BL54*(D_iL)-MIN(F_LoanPayM,BL54+BL54*(D_iL)),BL54)</f>
        <v>0</v>
      </c>
      <c r="BN54" s="20" t="n">
        <f aca="false">IF(BM54&gt;PR_BalDone,BM54+BM54*(D_iL)-MIN(F_LoanPayM,BM54+BM54*(D_iL)),BM54)</f>
        <v>0</v>
      </c>
      <c r="BO54" s="20" t="n">
        <f aca="false">IF(BN54&gt;PR_BalDone,BN54+BN54*(D_iL)-MIN(F_LoanPayM,BN54+BN54*(D_iL)),BN54)</f>
        <v>0</v>
      </c>
      <c r="BP54" s="20" t="n">
        <f aca="false">IF(BO54&gt;PR_BalDone,BO54+BO54*(D_iL)-MIN(F_LoanPayM,BO54+BO54*(D_iL)),BO54)</f>
        <v>0</v>
      </c>
      <c r="BQ54" s="20" t="n">
        <f aca="false">IF(BP54&gt;PR_BalDone,BP54+BP54*(D_iL)-MIN(F_LoanPayM,BP54+BP54*(D_iL)),BP54)</f>
        <v>0</v>
      </c>
      <c r="BR54" s="20" t="n">
        <f aca="false">IF(BE54&gt;PR_BalDone,MIN(F_LoanPayM,BE54+BE54*(D_iL)),0)</f>
        <v>0</v>
      </c>
      <c r="BS54" s="20" t="n">
        <f aca="false">IF(BF54&gt;PR_BalDone,MIN(F_LoanPayM,BF54+BF54*(D_iL)),0)</f>
        <v>0</v>
      </c>
      <c r="BT54" s="20" t="n">
        <f aca="false">IF(BG54&gt;PR_BalDone,MIN(F_LoanPayM,BG54+BG54*(D_iL)),0)</f>
        <v>0</v>
      </c>
      <c r="BU54" s="20" t="n">
        <f aca="false">IF(BH54&gt;PR_BalDone,MIN(F_LoanPayM,BH54+BH54*(D_iL)),0)</f>
        <v>0</v>
      </c>
      <c r="BV54" s="20" t="n">
        <f aca="false">IF(BI54&gt;PR_BalDone,MIN(F_LoanPayM,BI54+BI54*(D_iL)),0)</f>
        <v>0</v>
      </c>
      <c r="BW54" s="20" t="n">
        <f aca="false">IF(BJ54&gt;PR_BalDone,MIN(F_LoanPayM,BJ54+BJ54*(D_iL)),0)</f>
        <v>0</v>
      </c>
      <c r="BX54" s="20" t="n">
        <f aca="false">IF(BK54&gt;PR_BalDone,MIN(F_LoanPayM,BK54+BK54*(D_iL)),0)</f>
        <v>0</v>
      </c>
      <c r="BY54" s="20" t="n">
        <f aca="false">IF(BL54&gt;PR_BalDone,MIN(F_LoanPayM,BL54+BL54*(D_iL)),0)</f>
        <v>0</v>
      </c>
      <c r="BZ54" s="20" t="n">
        <f aca="false">IF(BM54&gt;PR_BalDone,MIN(F_LoanPayM,BM54+BM54*(D_iL)),0)</f>
        <v>0</v>
      </c>
      <c r="CA54" s="20" t="n">
        <f aca="false">IF(BN54&gt;PR_BalDone,MIN(F_LoanPayM,BN54+BN54*(D_iL)),0)</f>
        <v>0</v>
      </c>
      <c r="CB54" s="20" t="n">
        <f aca="false">IF(BO54&gt;PR_BalDone,MIN(F_LoanPayM,BO54+BO54*(D_iL)),0)</f>
        <v>0</v>
      </c>
      <c r="CC54" s="20" t="n">
        <f aca="false">IF(BP54&gt;PR_BalDone,MIN(F_LoanPayM,BP54+BP54*(D_iL)),0)</f>
        <v>0</v>
      </c>
      <c r="CD54" s="20" t="n">
        <f aca="false">MAX(0,BQ54)</f>
        <v>0</v>
      </c>
      <c r="CE54" s="20" t="n">
        <f aca="false">SUM(BR54:CC54)</f>
        <v>0</v>
      </c>
      <c r="CF54" s="20" t="n">
        <f aca="false">IF(CF53&gt;1,DE53,CF53)</f>
        <v>0</v>
      </c>
      <c r="CG54" s="20" t="n">
        <f aca="false">IF(CF54&gt;PR_BalDone,CF54+CF54*(F_MR/12)-MIN(F_MortPayM,CF54+CF54*(F_MR/12)),CF54)</f>
        <v>0</v>
      </c>
      <c r="CH54" s="20" t="n">
        <f aca="false">IF(CG54&gt;PR_BalDone,CG54+CG54*(F_MR/12)-MIN(F_MortPayM,CG54+CG54*(F_MR/12)),CG54)</f>
        <v>0</v>
      </c>
      <c r="CI54" s="20" t="n">
        <f aca="false">IF(CH54&gt;PR_BalDone,CH54+CH54*(F_MR/12)-MIN(F_MortPayM,CH54+CH54*(F_MR/12)),CH54)</f>
        <v>0</v>
      </c>
      <c r="CJ54" s="20" t="n">
        <f aca="false">IF(CI54&gt;PR_BalDone,CI54+CI54*(F_MR/12)-MIN(F_MortPayM,CI54+CI54*(F_MR/12)),CI54)</f>
        <v>0</v>
      </c>
      <c r="CK54" s="20" t="n">
        <f aca="false">IF(CJ54&gt;PR_BalDone,CJ54+CJ54*(F_MR/12)-MIN(F_MortPayM,CJ54+CJ54*(F_MR/12)),CJ54)</f>
        <v>0</v>
      </c>
      <c r="CL54" s="20" t="n">
        <f aca="false">IF(CK54&gt;PR_BalDone,CK54+CK54*(F_MR/12)-MIN(F_MortPayM,CK54+CK54*(F_MR/12)),CK54)</f>
        <v>0</v>
      </c>
      <c r="CM54" s="20" t="n">
        <f aca="false">IF(CL54&gt;PR_BalDone,CL54+CL54*(F_MR/12)-MIN(F_MortPayM,CL54+CL54*(F_MR/12)),CL54)</f>
        <v>0</v>
      </c>
      <c r="CN54" s="20" t="n">
        <f aca="false">IF(CM54&gt;PR_BalDone,CM54+CM54*(F_MR/12)-MIN(F_MortPayM,CM54+CM54*(F_MR/12)),CM54)</f>
        <v>0</v>
      </c>
      <c r="CO54" s="20" t="n">
        <f aca="false">IF(CN54&gt;PR_BalDone,CN54+CN54*(F_MR/12)-MIN(F_MortPayM,CN54+CN54*(F_MR/12)),CN54)</f>
        <v>0</v>
      </c>
      <c r="CP54" s="20" t="n">
        <f aca="false">IF(CO54&gt;PR_BalDone,CO54+CO54*(F_MR/12)-MIN(F_MortPayM,CO54+CO54*(F_MR/12)),CO54)</f>
        <v>0</v>
      </c>
      <c r="CQ54" s="20" t="n">
        <f aca="false">IF(CP54&gt;PR_BalDone,CP54+CP54*(F_MR/12)-MIN(F_MortPayM,CP54+CP54*(F_MR/12)),CP54)</f>
        <v>0</v>
      </c>
      <c r="CR54" s="20" t="n">
        <f aca="false">IF(CQ54&gt;PR_BalDone,CQ54+CQ54*(F_MR/12)-MIN(F_MortPayM,CQ54+CQ54*(F_MR/12)),CQ54)</f>
        <v>0</v>
      </c>
      <c r="CS54" s="20" t="n">
        <f aca="false">IF(CF54&gt;PR_BalDone,MIN(F_MortPayM,CF54+CF54*(F_MR/12)),0)</f>
        <v>0</v>
      </c>
      <c r="CT54" s="20" t="n">
        <f aca="false">IF(CG54&gt;PR_BalDone,MIN(F_MortPayM,CG54+CG54*(F_MR/12)),0)</f>
        <v>0</v>
      </c>
      <c r="CU54" s="20" t="n">
        <f aca="false">IF(CH54&gt;PR_BalDone,MIN(F_MortPayM,CH54+CH54*(F_MR/12)),0)</f>
        <v>0</v>
      </c>
      <c r="CV54" s="20" t="n">
        <f aca="false">IF(CI54&gt;PR_BalDone,MIN(F_MortPayM,CI54+CI54*(F_MR/12)),0)</f>
        <v>0</v>
      </c>
      <c r="CW54" s="20" t="n">
        <f aca="false">IF(CJ54&gt;PR_BalDone,MIN(F_MortPayM,CJ54+CJ54*(F_MR/12)),0)</f>
        <v>0</v>
      </c>
      <c r="CX54" s="20" t="n">
        <f aca="false">IF(CK54&gt;PR_BalDone,MIN(F_MortPayM,CK54+CK54*(F_MR/12)),0)</f>
        <v>0</v>
      </c>
      <c r="CY54" s="20" t="n">
        <f aca="false">IF(CL54&gt;PR_BalDone,MIN(F_MortPayM,CL54+CL54*(F_MR/12)),0)</f>
        <v>0</v>
      </c>
      <c r="CZ54" s="20" t="n">
        <f aca="false">IF(CM54&gt;PR_BalDone,MIN(F_MortPayM,CM54+CM54*(F_MR/12)),0)</f>
        <v>0</v>
      </c>
      <c r="DA54" s="20" t="n">
        <f aca="false">IF(CN54&gt;PR_BalDone,MIN(F_MortPayM,CN54+CN54*(F_MR/12)),0)</f>
        <v>0</v>
      </c>
      <c r="DB54" s="20" t="n">
        <f aca="false">IF(CO54&gt;PR_BalDone,MIN(F_MortPayM,CO54+CO54*(F_MR/12)),0)</f>
        <v>0</v>
      </c>
      <c r="DC54" s="20" t="n">
        <f aca="false">IF(CP54&gt;PR_BalDone,MIN(F_MortPayM,CP54+CP54*(F_MR/12)),0)</f>
        <v>0</v>
      </c>
      <c r="DD54" s="20" t="n">
        <f aca="false">IF(CQ54&gt;PR_BalDone,MIN(F_MortPayM,CQ54+CQ54*(F_MR/12)),0)</f>
        <v>0</v>
      </c>
      <c r="DE54" s="20" t="n">
        <f aca="false">MAX(0,CR54)</f>
        <v>0</v>
      </c>
      <c r="DF54" s="20" t="n">
        <f aca="false">SUM(CS54:DD54)</f>
        <v>0</v>
      </c>
      <c r="DG54" s="20" t="n">
        <f aca="false">MAX(0,CF54)</f>
        <v>0</v>
      </c>
    </row>
    <row r="55" customFormat="false" ht="15" hidden="false" customHeight="true" outlineLevel="0" collapsed="false">
      <c r="B55" s="20" t="n">
        <v>47</v>
      </c>
      <c r="C55" s="20" t="n">
        <f aca="false">'Plan cashflow'!J55</f>
        <v>0</v>
      </c>
      <c r="D55" s="20" t="n">
        <f aca="false">IF(C55&gt;PR_BalDone,C55+C55*(F_MR/12)-MIN(F_MortPayM,C55+C55*(F_MR/12)),C55)</f>
        <v>0</v>
      </c>
      <c r="E55" s="20" t="n">
        <f aca="false">IF(D55&gt;PR_BalDone,D55+D55*(F_MR/12)-MIN(F_MortPayM,D55+D55*(F_MR/12)),D55)</f>
        <v>0</v>
      </c>
      <c r="F55" s="20" t="n">
        <f aca="false">IF(E55&gt;PR_BalDone,E55+E55*(F_MR/12)-MIN(F_MortPayM,E55+E55*(F_MR/12)),E55)</f>
        <v>0</v>
      </c>
      <c r="G55" s="20" t="n">
        <f aca="false">IF(F55&gt;PR_BalDone,F55+F55*(F_MR/12)-MIN(F_MortPayM,F55+F55*(F_MR/12)),F55)</f>
        <v>0</v>
      </c>
      <c r="H55" s="20" t="n">
        <f aca="false">IF(G55&gt;PR_BalDone,G55+G55*(F_MR/12)-MIN(F_MortPayM,G55+G55*(F_MR/12)),G55)</f>
        <v>0</v>
      </c>
      <c r="I55" s="20" t="n">
        <f aca="false">IF(H55&gt;PR_BalDone,H55+H55*(F_MR/12)-MIN(F_MortPayM,H55+H55*(F_MR/12)),H55)</f>
        <v>0</v>
      </c>
      <c r="J55" s="20" t="n">
        <f aca="false">IF(I55&gt;PR_BalDone,I55+I55*(F_MR/12)-MIN(F_MortPayM,I55+I55*(F_MR/12)),I55)</f>
        <v>0</v>
      </c>
      <c r="K55" s="20" t="n">
        <f aca="false">IF(J55&gt;PR_BalDone,J55+J55*(F_MR/12)-MIN(F_MortPayM,J55+J55*(F_MR/12)),J55)</f>
        <v>0</v>
      </c>
      <c r="L55" s="20" t="n">
        <f aca="false">IF(K55&gt;PR_BalDone,K55+K55*(F_MR/12)-MIN(F_MortPayM,K55+K55*(F_MR/12)),K55)</f>
        <v>0</v>
      </c>
      <c r="M55" s="20" t="n">
        <f aca="false">IF(L55&gt;PR_BalDone,L55+L55*(F_MR/12)-MIN(F_MortPayM,L55+L55*(F_MR/12)),L55)</f>
        <v>0</v>
      </c>
      <c r="N55" s="20" t="n">
        <f aca="false">IF(M55&gt;PR_BalDone,M55+M55*(F_MR/12)-MIN(F_MortPayM,M55+M55*(F_MR/12)),M55)</f>
        <v>0</v>
      </c>
      <c r="O55" s="20" t="n">
        <f aca="false">IF(N55&gt;PR_BalDone,N55+N55*(F_MR/12)-MIN(F_MortPayM,N55+N55*(F_MR/12)),N55)</f>
        <v>0</v>
      </c>
      <c r="P55" s="20" t="n">
        <f aca="false">IF(C55&gt;PR_BalDone,MIN(F_MortPayM,C55+C55*(F_MR/12)),0)</f>
        <v>0</v>
      </c>
      <c r="Q55" s="20" t="n">
        <f aca="false">IF(D55&gt;PR_BalDone,MIN(F_MortPayM,D55+D55*(F_MR/12)),0)</f>
        <v>0</v>
      </c>
      <c r="R55" s="20" t="n">
        <f aca="false">IF(E55&gt;PR_BalDone,MIN(F_MortPayM,E55+E55*(F_MR/12)),0)</f>
        <v>0</v>
      </c>
      <c r="S55" s="20" t="n">
        <f aca="false">IF(F55&gt;PR_BalDone,MIN(F_MortPayM,F55+F55*(F_MR/12)),0)</f>
        <v>0</v>
      </c>
      <c r="T55" s="20" t="n">
        <f aca="false">IF(G55&gt;PR_BalDone,MIN(F_MortPayM,G55+G55*(F_MR/12)),0)</f>
        <v>0</v>
      </c>
      <c r="U55" s="20" t="n">
        <f aca="false">IF(H55&gt;PR_BalDone,MIN(F_MortPayM,H55+H55*(F_MR/12)),0)</f>
        <v>0</v>
      </c>
      <c r="V55" s="20" t="n">
        <f aca="false">IF(I55&gt;PR_BalDone,MIN(F_MortPayM,I55+I55*(F_MR/12)),0)</f>
        <v>0</v>
      </c>
      <c r="W55" s="20" t="n">
        <f aca="false">IF(J55&gt;PR_BalDone,MIN(F_MortPayM,J55+J55*(F_MR/12)),0)</f>
        <v>0</v>
      </c>
      <c r="X55" s="20" t="n">
        <f aca="false">IF(K55&gt;PR_BalDone,MIN(F_MortPayM,K55+K55*(F_MR/12)),0)</f>
        <v>0</v>
      </c>
      <c r="Y55" s="20" t="n">
        <f aca="false">IF(L55&gt;PR_BalDone,MIN(F_MortPayM,L55+L55*(F_MR/12)),0)</f>
        <v>0</v>
      </c>
      <c r="Z55" s="20" t="n">
        <f aca="false">IF(M55&gt;PR_BalDone,MIN(F_MortPayM,M55+M55*(F_MR/12)),0)</f>
        <v>0</v>
      </c>
      <c r="AA55" s="20" t="n">
        <f aca="false">IF(N55&gt;PR_BalDone,MIN(F_MortPayM,N55+N55*(F_MR/12)),0)</f>
        <v>0</v>
      </c>
      <c r="AB55" s="20" t="n">
        <f aca="false">MAX(0,O55)</f>
        <v>0</v>
      </c>
      <c r="AC55" s="20" t="n">
        <f aca="false">SUM(P55:AA55)</f>
        <v>0</v>
      </c>
      <c r="AD55" s="20" t="n">
        <f aca="false">'Plan cashflow'!M55</f>
        <v>0</v>
      </c>
      <c r="AE55" s="20" t="n">
        <f aca="false">IF(AD55&gt;PR_BalDone,AD55+AD55*(D_iC)-MIN(F_CardPayM,AD55+AD55*(D_iC)),AD55)</f>
        <v>0</v>
      </c>
      <c r="AF55" s="20" t="n">
        <f aca="false">IF(AE55&gt;PR_BalDone,AE55+AE55*(D_iC)-MIN(F_CardPayM,AE55+AE55*(D_iC)),AE55)</f>
        <v>0</v>
      </c>
      <c r="AG55" s="20" t="n">
        <f aca="false">IF(AF55&gt;PR_BalDone,AF55+AF55*(D_iC)-MIN(F_CardPayM,AF55+AF55*(D_iC)),AF55)</f>
        <v>0</v>
      </c>
      <c r="AH55" s="20" t="n">
        <f aca="false">IF(AG55&gt;PR_BalDone,AG55+AG55*(D_iC)-MIN(F_CardPayM,AG55+AG55*(D_iC)),AG55)</f>
        <v>0</v>
      </c>
      <c r="AI55" s="20" t="n">
        <f aca="false">IF(AH55&gt;PR_BalDone,AH55+AH55*(D_iC)-MIN(F_CardPayM,AH55+AH55*(D_iC)),AH55)</f>
        <v>0</v>
      </c>
      <c r="AJ55" s="20" t="n">
        <f aca="false">IF(AI55&gt;PR_BalDone,AI55+AI55*(D_iC)-MIN(F_CardPayM,AI55+AI55*(D_iC)),AI55)</f>
        <v>0</v>
      </c>
      <c r="AK55" s="20" t="n">
        <f aca="false">IF(AJ55&gt;PR_BalDone,AJ55+AJ55*(D_iC)-MIN(F_CardPayM,AJ55+AJ55*(D_iC)),AJ55)</f>
        <v>0</v>
      </c>
      <c r="AL55" s="20" t="n">
        <f aca="false">IF(AK55&gt;PR_BalDone,AK55+AK55*(D_iC)-MIN(F_CardPayM,AK55+AK55*(D_iC)),AK55)</f>
        <v>0</v>
      </c>
      <c r="AM55" s="20" t="n">
        <f aca="false">IF(AL55&gt;PR_BalDone,AL55+AL55*(D_iC)-MIN(F_CardPayM,AL55+AL55*(D_iC)),AL55)</f>
        <v>0</v>
      </c>
      <c r="AN55" s="20" t="n">
        <f aca="false">IF(AM55&gt;PR_BalDone,AM55+AM55*(D_iC)-MIN(F_CardPayM,AM55+AM55*(D_iC)),AM55)</f>
        <v>0</v>
      </c>
      <c r="AO55" s="20" t="n">
        <f aca="false">IF(AN55&gt;PR_BalDone,AN55+AN55*(D_iC)-MIN(F_CardPayM,AN55+AN55*(D_iC)),AN55)</f>
        <v>0</v>
      </c>
      <c r="AP55" s="20" t="n">
        <f aca="false">IF(AO55&gt;PR_BalDone,AO55+AO55*(D_iC)-MIN(F_CardPayM,AO55+AO55*(D_iC)),AO55)</f>
        <v>0</v>
      </c>
      <c r="AQ55" s="20" t="n">
        <f aca="false">IF(AD55&gt;PR_BalDone,MIN(F_CardPayM,AD55+AD55*(D_iC)),0)</f>
        <v>0</v>
      </c>
      <c r="AR55" s="20" t="n">
        <f aca="false">IF(AE55&gt;PR_BalDone,MIN(F_CardPayM,AE55+AE55*(D_iC)),0)</f>
        <v>0</v>
      </c>
      <c r="AS55" s="20" t="n">
        <f aca="false">IF(AF55&gt;PR_BalDone,MIN(F_CardPayM,AF55+AF55*(D_iC)),0)</f>
        <v>0</v>
      </c>
      <c r="AT55" s="20" t="n">
        <f aca="false">IF(AG55&gt;PR_BalDone,MIN(F_CardPayM,AG55+AG55*(D_iC)),0)</f>
        <v>0</v>
      </c>
      <c r="AU55" s="20" t="n">
        <f aca="false">IF(AH55&gt;PR_BalDone,MIN(F_CardPayM,AH55+AH55*(D_iC)),0)</f>
        <v>0</v>
      </c>
      <c r="AV55" s="20" t="n">
        <f aca="false">IF(AI55&gt;PR_BalDone,MIN(F_CardPayM,AI55+AI55*(D_iC)),0)</f>
        <v>0</v>
      </c>
      <c r="AW55" s="20" t="n">
        <f aca="false">IF(AJ55&gt;PR_BalDone,MIN(F_CardPayM,AJ55+AJ55*(D_iC)),0)</f>
        <v>0</v>
      </c>
      <c r="AX55" s="20" t="n">
        <f aca="false">IF(AK55&gt;PR_BalDone,MIN(F_CardPayM,AK55+AK55*(D_iC)),0)</f>
        <v>0</v>
      </c>
      <c r="AY55" s="20" t="n">
        <f aca="false">IF(AL55&gt;PR_BalDone,MIN(F_CardPayM,AL55+AL55*(D_iC)),0)</f>
        <v>0</v>
      </c>
      <c r="AZ55" s="20" t="n">
        <f aca="false">IF(AM55&gt;PR_BalDone,MIN(F_CardPayM,AM55+AM55*(D_iC)),0)</f>
        <v>0</v>
      </c>
      <c r="BA55" s="20" t="n">
        <f aca="false">IF(AN55&gt;PR_BalDone,MIN(F_CardPayM,AN55+AN55*(D_iC)),0)</f>
        <v>0</v>
      </c>
      <c r="BB55" s="20" t="n">
        <f aca="false">IF(AO55&gt;PR_BalDone,MIN(F_CardPayM,AO55+AO55*(D_iC)),0)</f>
        <v>0</v>
      </c>
      <c r="BC55" s="20" t="n">
        <f aca="false">MAX(0,AP55)</f>
        <v>0</v>
      </c>
      <c r="BD55" s="20" t="n">
        <f aca="false">SUM(AQ55:BB55)</f>
        <v>0</v>
      </c>
      <c r="BE55" s="20" t="n">
        <f aca="false">'Plan cashflow'!P55</f>
        <v>0</v>
      </c>
      <c r="BF55" s="20" t="n">
        <f aca="false">IF(BE55&gt;PR_BalDone,BE55+BE55*(D_iL)-MIN(F_LoanPayM,BE55+BE55*(D_iL)),BE55)</f>
        <v>0</v>
      </c>
      <c r="BG55" s="20" t="n">
        <f aca="false">IF(BF55&gt;PR_BalDone,BF55+BF55*(D_iL)-MIN(F_LoanPayM,BF55+BF55*(D_iL)),BF55)</f>
        <v>0</v>
      </c>
      <c r="BH55" s="20" t="n">
        <f aca="false">IF(BG55&gt;PR_BalDone,BG55+BG55*(D_iL)-MIN(F_LoanPayM,BG55+BG55*(D_iL)),BG55)</f>
        <v>0</v>
      </c>
      <c r="BI55" s="20" t="n">
        <f aca="false">IF(BH55&gt;PR_BalDone,BH55+BH55*(D_iL)-MIN(F_LoanPayM,BH55+BH55*(D_iL)),BH55)</f>
        <v>0</v>
      </c>
      <c r="BJ55" s="20" t="n">
        <f aca="false">IF(BI55&gt;PR_BalDone,BI55+BI55*(D_iL)-MIN(F_LoanPayM,BI55+BI55*(D_iL)),BI55)</f>
        <v>0</v>
      </c>
      <c r="BK55" s="20" t="n">
        <f aca="false">IF(BJ55&gt;PR_BalDone,BJ55+BJ55*(D_iL)-MIN(F_LoanPayM,BJ55+BJ55*(D_iL)),BJ55)</f>
        <v>0</v>
      </c>
      <c r="BL55" s="20" t="n">
        <f aca="false">IF(BK55&gt;PR_BalDone,BK55+BK55*(D_iL)-MIN(F_LoanPayM,BK55+BK55*(D_iL)),BK55)</f>
        <v>0</v>
      </c>
      <c r="BM55" s="20" t="n">
        <f aca="false">IF(BL55&gt;PR_BalDone,BL55+BL55*(D_iL)-MIN(F_LoanPayM,BL55+BL55*(D_iL)),BL55)</f>
        <v>0</v>
      </c>
      <c r="BN55" s="20" t="n">
        <f aca="false">IF(BM55&gt;PR_BalDone,BM55+BM55*(D_iL)-MIN(F_LoanPayM,BM55+BM55*(D_iL)),BM55)</f>
        <v>0</v>
      </c>
      <c r="BO55" s="20" t="n">
        <f aca="false">IF(BN55&gt;PR_BalDone,BN55+BN55*(D_iL)-MIN(F_LoanPayM,BN55+BN55*(D_iL)),BN55)</f>
        <v>0</v>
      </c>
      <c r="BP55" s="20" t="n">
        <f aca="false">IF(BO55&gt;PR_BalDone,BO55+BO55*(D_iL)-MIN(F_LoanPayM,BO55+BO55*(D_iL)),BO55)</f>
        <v>0</v>
      </c>
      <c r="BQ55" s="20" t="n">
        <f aca="false">IF(BP55&gt;PR_BalDone,BP55+BP55*(D_iL)-MIN(F_LoanPayM,BP55+BP55*(D_iL)),BP55)</f>
        <v>0</v>
      </c>
      <c r="BR55" s="20" t="n">
        <f aca="false">IF(BE55&gt;PR_BalDone,MIN(F_LoanPayM,BE55+BE55*(D_iL)),0)</f>
        <v>0</v>
      </c>
      <c r="BS55" s="20" t="n">
        <f aca="false">IF(BF55&gt;PR_BalDone,MIN(F_LoanPayM,BF55+BF55*(D_iL)),0)</f>
        <v>0</v>
      </c>
      <c r="BT55" s="20" t="n">
        <f aca="false">IF(BG55&gt;PR_BalDone,MIN(F_LoanPayM,BG55+BG55*(D_iL)),0)</f>
        <v>0</v>
      </c>
      <c r="BU55" s="20" t="n">
        <f aca="false">IF(BH55&gt;PR_BalDone,MIN(F_LoanPayM,BH55+BH55*(D_iL)),0)</f>
        <v>0</v>
      </c>
      <c r="BV55" s="20" t="n">
        <f aca="false">IF(BI55&gt;PR_BalDone,MIN(F_LoanPayM,BI55+BI55*(D_iL)),0)</f>
        <v>0</v>
      </c>
      <c r="BW55" s="20" t="n">
        <f aca="false">IF(BJ55&gt;PR_BalDone,MIN(F_LoanPayM,BJ55+BJ55*(D_iL)),0)</f>
        <v>0</v>
      </c>
      <c r="BX55" s="20" t="n">
        <f aca="false">IF(BK55&gt;PR_BalDone,MIN(F_LoanPayM,BK55+BK55*(D_iL)),0)</f>
        <v>0</v>
      </c>
      <c r="BY55" s="20" t="n">
        <f aca="false">IF(BL55&gt;PR_BalDone,MIN(F_LoanPayM,BL55+BL55*(D_iL)),0)</f>
        <v>0</v>
      </c>
      <c r="BZ55" s="20" t="n">
        <f aca="false">IF(BM55&gt;PR_BalDone,MIN(F_LoanPayM,BM55+BM55*(D_iL)),0)</f>
        <v>0</v>
      </c>
      <c r="CA55" s="20" t="n">
        <f aca="false">IF(BN55&gt;PR_BalDone,MIN(F_LoanPayM,BN55+BN55*(D_iL)),0)</f>
        <v>0</v>
      </c>
      <c r="CB55" s="20" t="n">
        <f aca="false">IF(BO55&gt;PR_BalDone,MIN(F_LoanPayM,BO55+BO55*(D_iL)),0)</f>
        <v>0</v>
      </c>
      <c r="CC55" s="20" t="n">
        <f aca="false">IF(BP55&gt;PR_BalDone,MIN(F_LoanPayM,BP55+BP55*(D_iL)),0)</f>
        <v>0</v>
      </c>
      <c r="CD55" s="20" t="n">
        <f aca="false">MAX(0,BQ55)</f>
        <v>0</v>
      </c>
      <c r="CE55" s="20" t="n">
        <f aca="false">SUM(BR55:CC55)</f>
        <v>0</v>
      </c>
      <c r="CF55" s="20" t="n">
        <f aca="false">IF(CF54&gt;1,DE54,CF54)</f>
        <v>0</v>
      </c>
      <c r="CG55" s="20" t="n">
        <f aca="false">IF(CF55&gt;PR_BalDone,CF55+CF55*(F_MR/12)-MIN(F_MortPayM,CF55+CF55*(F_MR/12)),CF55)</f>
        <v>0</v>
      </c>
      <c r="CH55" s="20" t="n">
        <f aca="false">IF(CG55&gt;PR_BalDone,CG55+CG55*(F_MR/12)-MIN(F_MortPayM,CG55+CG55*(F_MR/12)),CG55)</f>
        <v>0</v>
      </c>
      <c r="CI55" s="20" t="n">
        <f aca="false">IF(CH55&gt;PR_BalDone,CH55+CH55*(F_MR/12)-MIN(F_MortPayM,CH55+CH55*(F_MR/12)),CH55)</f>
        <v>0</v>
      </c>
      <c r="CJ55" s="20" t="n">
        <f aca="false">IF(CI55&gt;PR_BalDone,CI55+CI55*(F_MR/12)-MIN(F_MortPayM,CI55+CI55*(F_MR/12)),CI55)</f>
        <v>0</v>
      </c>
      <c r="CK55" s="20" t="n">
        <f aca="false">IF(CJ55&gt;PR_BalDone,CJ55+CJ55*(F_MR/12)-MIN(F_MortPayM,CJ55+CJ55*(F_MR/12)),CJ55)</f>
        <v>0</v>
      </c>
      <c r="CL55" s="20" t="n">
        <f aca="false">IF(CK55&gt;PR_BalDone,CK55+CK55*(F_MR/12)-MIN(F_MortPayM,CK55+CK55*(F_MR/12)),CK55)</f>
        <v>0</v>
      </c>
      <c r="CM55" s="20" t="n">
        <f aca="false">IF(CL55&gt;PR_BalDone,CL55+CL55*(F_MR/12)-MIN(F_MortPayM,CL55+CL55*(F_MR/12)),CL55)</f>
        <v>0</v>
      </c>
      <c r="CN55" s="20" t="n">
        <f aca="false">IF(CM55&gt;PR_BalDone,CM55+CM55*(F_MR/12)-MIN(F_MortPayM,CM55+CM55*(F_MR/12)),CM55)</f>
        <v>0</v>
      </c>
      <c r="CO55" s="20" t="n">
        <f aca="false">IF(CN55&gt;PR_BalDone,CN55+CN55*(F_MR/12)-MIN(F_MortPayM,CN55+CN55*(F_MR/12)),CN55)</f>
        <v>0</v>
      </c>
      <c r="CP55" s="20" t="n">
        <f aca="false">IF(CO55&gt;PR_BalDone,CO55+CO55*(F_MR/12)-MIN(F_MortPayM,CO55+CO55*(F_MR/12)),CO55)</f>
        <v>0</v>
      </c>
      <c r="CQ55" s="20" t="n">
        <f aca="false">IF(CP55&gt;PR_BalDone,CP55+CP55*(F_MR/12)-MIN(F_MortPayM,CP55+CP55*(F_MR/12)),CP55)</f>
        <v>0</v>
      </c>
      <c r="CR55" s="20" t="n">
        <f aca="false">IF(CQ55&gt;PR_BalDone,CQ55+CQ55*(F_MR/12)-MIN(F_MortPayM,CQ55+CQ55*(F_MR/12)),CQ55)</f>
        <v>0</v>
      </c>
      <c r="CS55" s="20" t="n">
        <f aca="false">IF(CF55&gt;PR_BalDone,MIN(F_MortPayM,CF55+CF55*(F_MR/12)),0)</f>
        <v>0</v>
      </c>
      <c r="CT55" s="20" t="n">
        <f aca="false">IF(CG55&gt;PR_BalDone,MIN(F_MortPayM,CG55+CG55*(F_MR/12)),0)</f>
        <v>0</v>
      </c>
      <c r="CU55" s="20" t="n">
        <f aca="false">IF(CH55&gt;PR_BalDone,MIN(F_MortPayM,CH55+CH55*(F_MR/12)),0)</f>
        <v>0</v>
      </c>
      <c r="CV55" s="20" t="n">
        <f aca="false">IF(CI55&gt;PR_BalDone,MIN(F_MortPayM,CI55+CI55*(F_MR/12)),0)</f>
        <v>0</v>
      </c>
      <c r="CW55" s="20" t="n">
        <f aca="false">IF(CJ55&gt;PR_BalDone,MIN(F_MortPayM,CJ55+CJ55*(F_MR/12)),0)</f>
        <v>0</v>
      </c>
      <c r="CX55" s="20" t="n">
        <f aca="false">IF(CK55&gt;PR_BalDone,MIN(F_MortPayM,CK55+CK55*(F_MR/12)),0)</f>
        <v>0</v>
      </c>
      <c r="CY55" s="20" t="n">
        <f aca="false">IF(CL55&gt;PR_BalDone,MIN(F_MortPayM,CL55+CL55*(F_MR/12)),0)</f>
        <v>0</v>
      </c>
      <c r="CZ55" s="20" t="n">
        <f aca="false">IF(CM55&gt;PR_BalDone,MIN(F_MortPayM,CM55+CM55*(F_MR/12)),0)</f>
        <v>0</v>
      </c>
      <c r="DA55" s="20" t="n">
        <f aca="false">IF(CN55&gt;PR_BalDone,MIN(F_MortPayM,CN55+CN55*(F_MR/12)),0)</f>
        <v>0</v>
      </c>
      <c r="DB55" s="20" t="n">
        <f aca="false">IF(CO55&gt;PR_BalDone,MIN(F_MortPayM,CO55+CO55*(F_MR/12)),0)</f>
        <v>0</v>
      </c>
      <c r="DC55" s="20" t="n">
        <f aca="false">IF(CP55&gt;PR_BalDone,MIN(F_MortPayM,CP55+CP55*(F_MR/12)),0)</f>
        <v>0</v>
      </c>
      <c r="DD55" s="20" t="n">
        <f aca="false">IF(CQ55&gt;PR_BalDone,MIN(F_MortPayM,CQ55+CQ55*(F_MR/12)),0)</f>
        <v>0</v>
      </c>
      <c r="DE55" s="20" t="n">
        <f aca="false">MAX(0,CR55)</f>
        <v>0</v>
      </c>
      <c r="DF55" s="20" t="n">
        <f aca="false">SUM(CS55:DD55)</f>
        <v>0</v>
      </c>
      <c r="DG55" s="20" t="n">
        <f aca="false">MAX(0,CF55)</f>
        <v>0</v>
      </c>
    </row>
    <row r="56" customFormat="false" ht="15" hidden="false" customHeight="true" outlineLevel="0" collapsed="false">
      <c r="B56" s="20" t="n">
        <v>48</v>
      </c>
      <c r="C56" s="20" t="n">
        <f aca="false">'Plan cashflow'!J56</f>
        <v>0</v>
      </c>
      <c r="D56" s="20" t="n">
        <f aca="false">IF(C56&gt;PR_BalDone,C56+C56*(F_MR/12)-MIN(F_MortPayM,C56+C56*(F_MR/12)),C56)</f>
        <v>0</v>
      </c>
      <c r="E56" s="20" t="n">
        <f aca="false">IF(D56&gt;PR_BalDone,D56+D56*(F_MR/12)-MIN(F_MortPayM,D56+D56*(F_MR/12)),D56)</f>
        <v>0</v>
      </c>
      <c r="F56" s="20" t="n">
        <f aca="false">IF(E56&gt;PR_BalDone,E56+E56*(F_MR/12)-MIN(F_MortPayM,E56+E56*(F_MR/12)),E56)</f>
        <v>0</v>
      </c>
      <c r="G56" s="20" t="n">
        <f aca="false">IF(F56&gt;PR_BalDone,F56+F56*(F_MR/12)-MIN(F_MortPayM,F56+F56*(F_MR/12)),F56)</f>
        <v>0</v>
      </c>
      <c r="H56" s="20" t="n">
        <f aca="false">IF(G56&gt;PR_BalDone,G56+G56*(F_MR/12)-MIN(F_MortPayM,G56+G56*(F_MR/12)),G56)</f>
        <v>0</v>
      </c>
      <c r="I56" s="20" t="n">
        <f aca="false">IF(H56&gt;PR_BalDone,H56+H56*(F_MR/12)-MIN(F_MortPayM,H56+H56*(F_MR/12)),H56)</f>
        <v>0</v>
      </c>
      <c r="J56" s="20" t="n">
        <f aca="false">IF(I56&gt;PR_BalDone,I56+I56*(F_MR/12)-MIN(F_MortPayM,I56+I56*(F_MR/12)),I56)</f>
        <v>0</v>
      </c>
      <c r="K56" s="20" t="n">
        <f aca="false">IF(J56&gt;PR_BalDone,J56+J56*(F_MR/12)-MIN(F_MortPayM,J56+J56*(F_MR/12)),J56)</f>
        <v>0</v>
      </c>
      <c r="L56" s="20" t="n">
        <f aca="false">IF(K56&gt;PR_BalDone,K56+K56*(F_MR/12)-MIN(F_MortPayM,K56+K56*(F_MR/12)),K56)</f>
        <v>0</v>
      </c>
      <c r="M56" s="20" t="n">
        <f aca="false">IF(L56&gt;PR_BalDone,L56+L56*(F_MR/12)-MIN(F_MortPayM,L56+L56*(F_MR/12)),L56)</f>
        <v>0</v>
      </c>
      <c r="N56" s="20" t="n">
        <f aca="false">IF(M56&gt;PR_BalDone,M56+M56*(F_MR/12)-MIN(F_MortPayM,M56+M56*(F_MR/12)),M56)</f>
        <v>0</v>
      </c>
      <c r="O56" s="20" t="n">
        <f aca="false">IF(N56&gt;PR_BalDone,N56+N56*(F_MR/12)-MIN(F_MortPayM,N56+N56*(F_MR/12)),N56)</f>
        <v>0</v>
      </c>
      <c r="P56" s="20" t="n">
        <f aca="false">IF(C56&gt;PR_BalDone,MIN(F_MortPayM,C56+C56*(F_MR/12)),0)</f>
        <v>0</v>
      </c>
      <c r="Q56" s="20" t="n">
        <f aca="false">IF(D56&gt;PR_BalDone,MIN(F_MortPayM,D56+D56*(F_MR/12)),0)</f>
        <v>0</v>
      </c>
      <c r="R56" s="20" t="n">
        <f aca="false">IF(E56&gt;PR_BalDone,MIN(F_MortPayM,E56+E56*(F_MR/12)),0)</f>
        <v>0</v>
      </c>
      <c r="S56" s="20" t="n">
        <f aca="false">IF(F56&gt;PR_BalDone,MIN(F_MortPayM,F56+F56*(F_MR/12)),0)</f>
        <v>0</v>
      </c>
      <c r="T56" s="20" t="n">
        <f aca="false">IF(G56&gt;PR_BalDone,MIN(F_MortPayM,G56+G56*(F_MR/12)),0)</f>
        <v>0</v>
      </c>
      <c r="U56" s="20" t="n">
        <f aca="false">IF(H56&gt;PR_BalDone,MIN(F_MortPayM,H56+H56*(F_MR/12)),0)</f>
        <v>0</v>
      </c>
      <c r="V56" s="20" t="n">
        <f aca="false">IF(I56&gt;PR_BalDone,MIN(F_MortPayM,I56+I56*(F_MR/12)),0)</f>
        <v>0</v>
      </c>
      <c r="W56" s="20" t="n">
        <f aca="false">IF(J56&gt;PR_BalDone,MIN(F_MortPayM,J56+J56*(F_MR/12)),0)</f>
        <v>0</v>
      </c>
      <c r="X56" s="20" t="n">
        <f aca="false">IF(K56&gt;PR_BalDone,MIN(F_MortPayM,K56+K56*(F_MR/12)),0)</f>
        <v>0</v>
      </c>
      <c r="Y56" s="20" t="n">
        <f aca="false">IF(L56&gt;PR_BalDone,MIN(F_MortPayM,L56+L56*(F_MR/12)),0)</f>
        <v>0</v>
      </c>
      <c r="Z56" s="20" t="n">
        <f aca="false">IF(M56&gt;PR_BalDone,MIN(F_MortPayM,M56+M56*(F_MR/12)),0)</f>
        <v>0</v>
      </c>
      <c r="AA56" s="20" t="n">
        <f aca="false">IF(N56&gt;PR_BalDone,MIN(F_MortPayM,N56+N56*(F_MR/12)),0)</f>
        <v>0</v>
      </c>
      <c r="AB56" s="20" t="n">
        <f aca="false">MAX(0,O56)</f>
        <v>0</v>
      </c>
      <c r="AC56" s="20" t="n">
        <f aca="false">SUM(P56:AA56)</f>
        <v>0</v>
      </c>
      <c r="AD56" s="20" t="n">
        <f aca="false">'Plan cashflow'!M56</f>
        <v>0</v>
      </c>
      <c r="AE56" s="20" t="n">
        <f aca="false">IF(AD56&gt;PR_BalDone,AD56+AD56*(D_iC)-MIN(F_CardPayM,AD56+AD56*(D_iC)),AD56)</f>
        <v>0</v>
      </c>
      <c r="AF56" s="20" t="n">
        <f aca="false">IF(AE56&gt;PR_BalDone,AE56+AE56*(D_iC)-MIN(F_CardPayM,AE56+AE56*(D_iC)),AE56)</f>
        <v>0</v>
      </c>
      <c r="AG56" s="20" t="n">
        <f aca="false">IF(AF56&gt;PR_BalDone,AF56+AF56*(D_iC)-MIN(F_CardPayM,AF56+AF56*(D_iC)),AF56)</f>
        <v>0</v>
      </c>
      <c r="AH56" s="20" t="n">
        <f aca="false">IF(AG56&gt;PR_BalDone,AG56+AG56*(D_iC)-MIN(F_CardPayM,AG56+AG56*(D_iC)),AG56)</f>
        <v>0</v>
      </c>
      <c r="AI56" s="20" t="n">
        <f aca="false">IF(AH56&gt;PR_BalDone,AH56+AH56*(D_iC)-MIN(F_CardPayM,AH56+AH56*(D_iC)),AH56)</f>
        <v>0</v>
      </c>
      <c r="AJ56" s="20" t="n">
        <f aca="false">IF(AI56&gt;PR_BalDone,AI56+AI56*(D_iC)-MIN(F_CardPayM,AI56+AI56*(D_iC)),AI56)</f>
        <v>0</v>
      </c>
      <c r="AK56" s="20" t="n">
        <f aca="false">IF(AJ56&gt;PR_BalDone,AJ56+AJ56*(D_iC)-MIN(F_CardPayM,AJ56+AJ56*(D_iC)),AJ56)</f>
        <v>0</v>
      </c>
      <c r="AL56" s="20" t="n">
        <f aca="false">IF(AK56&gt;PR_BalDone,AK56+AK56*(D_iC)-MIN(F_CardPayM,AK56+AK56*(D_iC)),AK56)</f>
        <v>0</v>
      </c>
      <c r="AM56" s="20" t="n">
        <f aca="false">IF(AL56&gt;PR_BalDone,AL56+AL56*(D_iC)-MIN(F_CardPayM,AL56+AL56*(D_iC)),AL56)</f>
        <v>0</v>
      </c>
      <c r="AN56" s="20" t="n">
        <f aca="false">IF(AM56&gt;PR_BalDone,AM56+AM56*(D_iC)-MIN(F_CardPayM,AM56+AM56*(D_iC)),AM56)</f>
        <v>0</v>
      </c>
      <c r="AO56" s="20" t="n">
        <f aca="false">IF(AN56&gt;PR_BalDone,AN56+AN56*(D_iC)-MIN(F_CardPayM,AN56+AN56*(D_iC)),AN56)</f>
        <v>0</v>
      </c>
      <c r="AP56" s="20" t="n">
        <f aca="false">IF(AO56&gt;PR_BalDone,AO56+AO56*(D_iC)-MIN(F_CardPayM,AO56+AO56*(D_iC)),AO56)</f>
        <v>0</v>
      </c>
      <c r="AQ56" s="20" t="n">
        <f aca="false">IF(AD56&gt;PR_BalDone,MIN(F_CardPayM,AD56+AD56*(D_iC)),0)</f>
        <v>0</v>
      </c>
      <c r="AR56" s="20" t="n">
        <f aca="false">IF(AE56&gt;PR_BalDone,MIN(F_CardPayM,AE56+AE56*(D_iC)),0)</f>
        <v>0</v>
      </c>
      <c r="AS56" s="20" t="n">
        <f aca="false">IF(AF56&gt;PR_BalDone,MIN(F_CardPayM,AF56+AF56*(D_iC)),0)</f>
        <v>0</v>
      </c>
      <c r="AT56" s="20" t="n">
        <f aca="false">IF(AG56&gt;PR_BalDone,MIN(F_CardPayM,AG56+AG56*(D_iC)),0)</f>
        <v>0</v>
      </c>
      <c r="AU56" s="20" t="n">
        <f aca="false">IF(AH56&gt;PR_BalDone,MIN(F_CardPayM,AH56+AH56*(D_iC)),0)</f>
        <v>0</v>
      </c>
      <c r="AV56" s="20" t="n">
        <f aca="false">IF(AI56&gt;PR_BalDone,MIN(F_CardPayM,AI56+AI56*(D_iC)),0)</f>
        <v>0</v>
      </c>
      <c r="AW56" s="20" t="n">
        <f aca="false">IF(AJ56&gt;PR_BalDone,MIN(F_CardPayM,AJ56+AJ56*(D_iC)),0)</f>
        <v>0</v>
      </c>
      <c r="AX56" s="20" t="n">
        <f aca="false">IF(AK56&gt;PR_BalDone,MIN(F_CardPayM,AK56+AK56*(D_iC)),0)</f>
        <v>0</v>
      </c>
      <c r="AY56" s="20" t="n">
        <f aca="false">IF(AL56&gt;PR_BalDone,MIN(F_CardPayM,AL56+AL56*(D_iC)),0)</f>
        <v>0</v>
      </c>
      <c r="AZ56" s="20" t="n">
        <f aca="false">IF(AM56&gt;PR_BalDone,MIN(F_CardPayM,AM56+AM56*(D_iC)),0)</f>
        <v>0</v>
      </c>
      <c r="BA56" s="20" t="n">
        <f aca="false">IF(AN56&gt;PR_BalDone,MIN(F_CardPayM,AN56+AN56*(D_iC)),0)</f>
        <v>0</v>
      </c>
      <c r="BB56" s="20" t="n">
        <f aca="false">IF(AO56&gt;PR_BalDone,MIN(F_CardPayM,AO56+AO56*(D_iC)),0)</f>
        <v>0</v>
      </c>
      <c r="BC56" s="20" t="n">
        <f aca="false">MAX(0,AP56)</f>
        <v>0</v>
      </c>
      <c r="BD56" s="20" t="n">
        <f aca="false">SUM(AQ56:BB56)</f>
        <v>0</v>
      </c>
      <c r="BE56" s="20" t="n">
        <f aca="false">'Plan cashflow'!P56</f>
        <v>0</v>
      </c>
      <c r="BF56" s="20" t="n">
        <f aca="false">IF(BE56&gt;PR_BalDone,BE56+BE56*(D_iL)-MIN(F_LoanPayM,BE56+BE56*(D_iL)),BE56)</f>
        <v>0</v>
      </c>
      <c r="BG56" s="20" t="n">
        <f aca="false">IF(BF56&gt;PR_BalDone,BF56+BF56*(D_iL)-MIN(F_LoanPayM,BF56+BF56*(D_iL)),BF56)</f>
        <v>0</v>
      </c>
      <c r="BH56" s="20" t="n">
        <f aca="false">IF(BG56&gt;PR_BalDone,BG56+BG56*(D_iL)-MIN(F_LoanPayM,BG56+BG56*(D_iL)),BG56)</f>
        <v>0</v>
      </c>
      <c r="BI56" s="20" t="n">
        <f aca="false">IF(BH56&gt;PR_BalDone,BH56+BH56*(D_iL)-MIN(F_LoanPayM,BH56+BH56*(D_iL)),BH56)</f>
        <v>0</v>
      </c>
      <c r="BJ56" s="20" t="n">
        <f aca="false">IF(BI56&gt;PR_BalDone,BI56+BI56*(D_iL)-MIN(F_LoanPayM,BI56+BI56*(D_iL)),BI56)</f>
        <v>0</v>
      </c>
      <c r="BK56" s="20" t="n">
        <f aca="false">IF(BJ56&gt;PR_BalDone,BJ56+BJ56*(D_iL)-MIN(F_LoanPayM,BJ56+BJ56*(D_iL)),BJ56)</f>
        <v>0</v>
      </c>
      <c r="BL56" s="20" t="n">
        <f aca="false">IF(BK56&gt;PR_BalDone,BK56+BK56*(D_iL)-MIN(F_LoanPayM,BK56+BK56*(D_iL)),BK56)</f>
        <v>0</v>
      </c>
      <c r="BM56" s="20" t="n">
        <f aca="false">IF(BL56&gt;PR_BalDone,BL56+BL56*(D_iL)-MIN(F_LoanPayM,BL56+BL56*(D_iL)),BL56)</f>
        <v>0</v>
      </c>
      <c r="BN56" s="20" t="n">
        <f aca="false">IF(BM56&gt;PR_BalDone,BM56+BM56*(D_iL)-MIN(F_LoanPayM,BM56+BM56*(D_iL)),BM56)</f>
        <v>0</v>
      </c>
      <c r="BO56" s="20" t="n">
        <f aca="false">IF(BN56&gt;PR_BalDone,BN56+BN56*(D_iL)-MIN(F_LoanPayM,BN56+BN56*(D_iL)),BN56)</f>
        <v>0</v>
      </c>
      <c r="BP56" s="20" t="n">
        <f aca="false">IF(BO56&gt;PR_BalDone,BO56+BO56*(D_iL)-MIN(F_LoanPayM,BO56+BO56*(D_iL)),BO56)</f>
        <v>0</v>
      </c>
      <c r="BQ56" s="20" t="n">
        <f aca="false">IF(BP56&gt;PR_BalDone,BP56+BP56*(D_iL)-MIN(F_LoanPayM,BP56+BP56*(D_iL)),BP56)</f>
        <v>0</v>
      </c>
      <c r="BR56" s="20" t="n">
        <f aca="false">IF(BE56&gt;PR_BalDone,MIN(F_LoanPayM,BE56+BE56*(D_iL)),0)</f>
        <v>0</v>
      </c>
      <c r="BS56" s="20" t="n">
        <f aca="false">IF(BF56&gt;PR_BalDone,MIN(F_LoanPayM,BF56+BF56*(D_iL)),0)</f>
        <v>0</v>
      </c>
      <c r="BT56" s="20" t="n">
        <f aca="false">IF(BG56&gt;PR_BalDone,MIN(F_LoanPayM,BG56+BG56*(D_iL)),0)</f>
        <v>0</v>
      </c>
      <c r="BU56" s="20" t="n">
        <f aca="false">IF(BH56&gt;PR_BalDone,MIN(F_LoanPayM,BH56+BH56*(D_iL)),0)</f>
        <v>0</v>
      </c>
      <c r="BV56" s="20" t="n">
        <f aca="false">IF(BI56&gt;PR_BalDone,MIN(F_LoanPayM,BI56+BI56*(D_iL)),0)</f>
        <v>0</v>
      </c>
      <c r="BW56" s="20" t="n">
        <f aca="false">IF(BJ56&gt;PR_BalDone,MIN(F_LoanPayM,BJ56+BJ56*(D_iL)),0)</f>
        <v>0</v>
      </c>
      <c r="BX56" s="20" t="n">
        <f aca="false">IF(BK56&gt;PR_BalDone,MIN(F_LoanPayM,BK56+BK56*(D_iL)),0)</f>
        <v>0</v>
      </c>
      <c r="BY56" s="20" t="n">
        <f aca="false">IF(BL56&gt;PR_BalDone,MIN(F_LoanPayM,BL56+BL56*(D_iL)),0)</f>
        <v>0</v>
      </c>
      <c r="BZ56" s="20" t="n">
        <f aca="false">IF(BM56&gt;PR_BalDone,MIN(F_LoanPayM,BM56+BM56*(D_iL)),0)</f>
        <v>0</v>
      </c>
      <c r="CA56" s="20" t="n">
        <f aca="false">IF(BN56&gt;PR_BalDone,MIN(F_LoanPayM,BN56+BN56*(D_iL)),0)</f>
        <v>0</v>
      </c>
      <c r="CB56" s="20" t="n">
        <f aca="false">IF(BO56&gt;PR_BalDone,MIN(F_LoanPayM,BO56+BO56*(D_iL)),0)</f>
        <v>0</v>
      </c>
      <c r="CC56" s="20" t="n">
        <f aca="false">IF(BP56&gt;PR_BalDone,MIN(F_LoanPayM,BP56+BP56*(D_iL)),0)</f>
        <v>0</v>
      </c>
      <c r="CD56" s="20" t="n">
        <f aca="false">MAX(0,BQ56)</f>
        <v>0</v>
      </c>
      <c r="CE56" s="20" t="n">
        <f aca="false">SUM(BR56:CC56)</f>
        <v>0</v>
      </c>
      <c r="CF56" s="20" t="n">
        <f aca="false">IF(CF55&gt;1,DE55,CF55)</f>
        <v>0</v>
      </c>
      <c r="CG56" s="20" t="n">
        <f aca="false">IF(CF56&gt;PR_BalDone,CF56+CF56*(F_MR/12)-MIN(F_MortPayM,CF56+CF56*(F_MR/12)),CF56)</f>
        <v>0</v>
      </c>
      <c r="CH56" s="20" t="n">
        <f aca="false">IF(CG56&gt;PR_BalDone,CG56+CG56*(F_MR/12)-MIN(F_MortPayM,CG56+CG56*(F_MR/12)),CG56)</f>
        <v>0</v>
      </c>
      <c r="CI56" s="20" t="n">
        <f aca="false">IF(CH56&gt;PR_BalDone,CH56+CH56*(F_MR/12)-MIN(F_MortPayM,CH56+CH56*(F_MR/12)),CH56)</f>
        <v>0</v>
      </c>
      <c r="CJ56" s="20" t="n">
        <f aca="false">IF(CI56&gt;PR_BalDone,CI56+CI56*(F_MR/12)-MIN(F_MortPayM,CI56+CI56*(F_MR/12)),CI56)</f>
        <v>0</v>
      </c>
      <c r="CK56" s="20" t="n">
        <f aca="false">IF(CJ56&gt;PR_BalDone,CJ56+CJ56*(F_MR/12)-MIN(F_MortPayM,CJ56+CJ56*(F_MR/12)),CJ56)</f>
        <v>0</v>
      </c>
      <c r="CL56" s="20" t="n">
        <f aca="false">IF(CK56&gt;PR_BalDone,CK56+CK56*(F_MR/12)-MIN(F_MortPayM,CK56+CK56*(F_MR/12)),CK56)</f>
        <v>0</v>
      </c>
      <c r="CM56" s="20" t="n">
        <f aca="false">IF(CL56&gt;PR_BalDone,CL56+CL56*(F_MR/12)-MIN(F_MortPayM,CL56+CL56*(F_MR/12)),CL56)</f>
        <v>0</v>
      </c>
      <c r="CN56" s="20" t="n">
        <f aca="false">IF(CM56&gt;PR_BalDone,CM56+CM56*(F_MR/12)-MIN(F_MortPayM,CM56+CM56*(F_MR/12)),CM56)</f>
        <v>0</v>
      </c>
      <c r="CO56" s="20" t="n">
        <f aca="false">IF(CN56&gt;PR_BalDone,CN56+CN56*(F_MR/12)-MIN(F_MortPayM,CN56+CN56*(F_MR/12)),CN56)</f>
        <v>0</v>
      </c>
      <c r="CP56" s="20" t="n">
        <f aca="false">IF(CO56&gt;PR_BalDone,CO56+CO56*(F_MR/12)-MIN(F_MortPayM,CO56+CO56*(F_MR/12)),CO56)</f>
        <v>0</v>
      </c>
      <c r="CQ56" s="20" t="n">
        <f aca="false">IF(CP56&gt;PR_BalDone,CP56+CP56*(F_MR/12)-MIN(F_MortPayM,CP56+CP56*(F_MR/12)),CP56)</f>
        <v>0</v>
      </c>
      <c r="CR56" s="20" t="n">
        <f aca="false">IF(CQ56&gt;PR_BalDone,CQ56+CQ56*(F_MR/12)-MIN(F_MortPayM,CQ56+CQ56*(F_MR/12)),CQ56)</f>
        <v>0</v>
      </c>
      <c r="CS56" s="20" t="n">
        <f aca="false">IF(CF56&gt;PR_BalDone,MIN(F_MortPayM,CF56+CF56*(F_MR/12)),0)</f>
        <v>0</v>
      </c>
      <c r="CT56" s="20" t="n">
        <f aca="false">IF(CG56&gt;PR_BalDone,MIN(F_MortPayM,CG56+CG56*(F_MR/12)),0)</f>
        <v>0</v>
      </c>
      <c r="CU56" s="20" t="n">
        <f aca="false">IF(CH56&gt;PR_BalDone,MIN(F_MortPayM,CH56+CH56*(F_MR/12)),0)</f>
        <v>0</v>
      </c>
      <c r="CV56" s="20" t="n">
        <f aca="false">IF(CI56&gt;PR_BalDone,MIN(F_MortPayM,CI56+CI56*(F_MR/12)),0)</f>
        <v>0</v>
      </c>
      <c r="CW56" s="20" t="n">
        <f aca="false">IF(CJ56&gt;PR_BalDone,MIN(F_MortPayM,CJ56+CJ56*(F_MR/12)),0)</f>
        <v>0</v>
      </c>
      <c r="CX56" s="20" t="n">
        <f aca="false">IF(CK56&gt;PR_BalDone,MIN(F_MortPayM,CK56+CK56*(F_MR/12)),0)</f>
        <v>0</v>
      </c>
      <c r="CY56" s="20" t="n">
        <f aca="false">IF(CL56&gt;PR_BalDone,MIN(F_MortPayM,CL56+CL56*(F_MR/12)),0)</f>
        <v>0</v>
      </c>
      <c r="CZ56" s="20" t="n">
        <f aca="false">IF(CM56&gt;PR_BalDone,MIN(F_MortPayM,CM56+CM56*(F_MR/12)),0)</f>
        <v>0</v>
      </c>
      <c r="DA56" s="20" t="n">
        <f aca="false">IF(CN56&gt;PR_BalDone,MIN(F_MortPayM,CN56+CN56*(F_MR/12)),0)</f>
        <v>0</v>
      </c>
      <c r="DB56" s="20" t="n">
        <f aca="false">IF(CO56&gt;PR_BalDone,MIN(F_MortPayM,CO56+CO56*(F_MR/12)),0)</f>
        <v>0</v>
      </c>
      <c r="DC56" s="20" t="n">
        <f aca="false">IF(CP56&gt;PR_BalDone,MIN(F_MortPayM,CP56+CP56*(F_MR/12)),0)</f>
        <v>0</v>
      </c>
      <c r="DD56" s="20" t="n">
        <f aca="false">IF(CQ56&gt;PR_BalDone,MIN(F_MortPayM,CQ56+CQ56*(F_MR/12)),0)</f>
        <v>0</v>
      </c>
      <c r="DE56" s="20" t="n">
        <f aca="false">MAX(0,CR56)</f>
        <v>0</v>
      </c>
      <c r="DF56" s="20" t="n">
        <f aca="false">SUM(CS56:DD56)</f>
        <v>0</v>
      </c>
      <c r="DG56" s="20" t="n">
        <f aca="false">MAX(0,CF56)</f>
        <v>0</v>
      </c>
    </row>
    <row r="57" customFormat="false" ht="15" hidden="false" customHeight="true" outlineLevel="0" collapsed="false">
      <c r="B57" s="20" t="n">
        <v>49</v>
      </c>
      <c r="C57" s="20" t="n">
        <f aca="false">'Plan cashflow'!J57</f>
        <v>0</v>
      </c>
      <c r="D57" s="20" t="n">
        <f aca="false">IF(C57&gt;PR_BalDone,C57+C57*(F_MR/12)-MIN(F_MortPayM,C57+C57*(F_MR/12)),C57)</f>
        <v>0</v>
      </c>
      <c r="E57" s="20" t="n">
        <f aca="false">IF(D57&gt;PR_BalDone,D57+D57*(F_MR/12)-MIN(F_MortPayM,D57+D57*(F_MR/12)),D57)</f>
        <v>0</v>
      </c>
      <c r="F57" s="20" t="n">
        <f aca="false">IF(E57&gt;PR_BalDone,E57+E57*(F_MR/12)-MIN(F_MortPayM,E57+E57*(F_MR/12)),E57)</f>
        <v>0</v>
      </c>
      <c r="G57" s="20" t="n">
        <f aca="false">IF(F57&gt;PR_BalDone,F57+F57*(F_MR/12)-MIN(F_MortPayM,F57+F57*(F_MR/12)),F57)</f>
        <v>0</v>
      </c>
      <c r="H57" s="20" t="n">
        <f aca="false">IF(G57&gt;PR_BalDone,G57+G57*(F_MR/12)-MIN(F_MortPayM,G57+G57*(F_MR/12)),G57)</f>
        <v>0</v>
      </c>
      <c r="I57" s="20" t="n">
        <f aca="false">IF(H57&gt;PR_BalDone,H57+H57*(F_MR/12)-MIN(F_MortPayM,H57+H57*(F_MR/12)),H57)</f>
        <v>0</v>
      </c>
      <c r="J57" s="20" t="n">
        <f aca="false">IF(I57&gt;PR_BalDone,I57+I57*(F_MR/12)-MIN(F_MortPayM,I57+I57*(F_MR/12)),I57)</f>
        <v>0</v>
      </c>
      <c r="K57" s="20" t="n">
        <f aca="false">IF(J57&gt;PR_BalDone,J57+J57*(F_MR/12)-MIN(F_MortPayM,J57+J57*(F_MR/12)),J57)</f>
        <v>0</v>
      </c>
      <c r="L57" s="20" t="n">
        <f aca="false">IF(K57&gt;PR_BalDone,K57+K57*(F_MR/12)-MIN(F_MortPayM,K57+K57*(F_MR/12)),K57)</f>
        <v>0</v>
      </c>
      <c r="M57" s="20" t="n">
        <f aca="false">IF(L57&gt;PR_BalDone,L57+L57*(F_MR/12)-MIN(F_MortPayM,L57+L57*(F_MR/12)),L57)</f>
        <v>0</v>
      </c>
      <c r="N57" s="20" t="n">
        <f aca="false">IF(M57&gt;PR_BalDone,M57+M57*(F_MR/12)-MIN(F_MortPayM,M57+M57*(F_MR/12)),M57)</f>
        <v>0</v>
      </c>
      <c r="O57" s="20" t="n">
        <f aca="false">IF(N57&gt;PR_BalDone,N57+N57*(F_MR/12)-MIN(F_MortPayM,N57+N57*(F_MR/12)),N57)</f>
        <v>0</v>
      </c>
      <c r="P57" s="20" t="n">
        <f aca="false">IF(C57&gt;PR_BalDone,MIN(F_MortPayM,C57+C57*(F_MR/12)),0)</f>
        <v>0</v>
      </c>
      <c r="Q57" s="20" t="n">
        <f aca="false">IF(D57&gt;PR_BalDone,MIN(F_MortPayM,D57+D57*(F_MR/12)),0)</f>
        <v>0</v>
      </c>
      <c r="R57" s="20" t="n">
        <f aca="false">IF(E57&gt;PR_BalDone,MIN(F_MortPayM,E57+E57*(F_MR/12)),0)</f>
        <v>0</v>
      </c>
      <c r="S57" s="20" t="n">
        <f aca="false">IF(F57&gt;PR_BalDone,MIN(F_MortPayM,F57+F57*(F_MR/12)),0)</f>
        <v>0</v>
      </c>
      <c r="T57" s="20" t="n">
        <f aca="false">IF(G57&gt;PR_BalDone,MIN(F_MortPayM,G57+G57*(F_MR/12)),0)</f>
        <v>0</v>
      </c>
      <c r="U57" s="20" t="n">
        <f aca="false">IF(H57&gt;PR_BalDone,MIN(F_MortPayM,H57+H57*(F_MR/12)),0)</f>
        <v>0</v>
      </c>
      <c r="V57" s="20" t="n">
        <f aca="false">IF(I57&gt;PR_BalDone,MIN(F_MortPayM,I57+I57*(F_MR/12)),0)</f>
        <v>0</v>
      </c>
      <c r="W57" s="20" t="n">
        <f aca="false">IF(J57&gt;PR_BalDone,MIN(F_MortPayM,J57+J57*(F_MR/12)),0)</f>
        <v>0</v>
      </c>
      <c r="X57" s="20" t="n">
        <f aca="false">IF(K57&gt;PR_BalDone,MIN(F_MortPayM,K57+K57*(F_MR/12)),0)</f>
        <v>0</v>
      </c>
      <c r="Y57" s="20" t="n">
        <f aca="false">IF(L57&gt;PR_BalDone,MIN(F_MortPayM,L57+L57*(F_MR/12)),0)</f>
        <v>0</v>
      </c>
      <c r="Z57" s="20" t="n">
        <f aca="false">IF(M57&gt;PR_BalDone,MIN(F_MortPayM,M57+M57*(F_MR/12)),0)</f>
        <v>0</v>
      </c>
      <c r="AA57" s="20" t="n">
        <f aca="false">IF(N57&gt;PR_BalDone,MIN(F_MortPayM,N57+N57*(F_MR/12)),0)</f>
        <v>0</v>
      </c>
      <c r="AB57" s="20" t="n">
        <f aca="false">MAX(0,O57)</f>
        <v>0</v>
      </c>
      <c r="AC57" s="20" t="n">
        <f aca="false">SUM(P57:AA57)</f>
        <v>0</v>
      </c>
      <c r="AD57" s="20" t="n">
        <f aca="false">'Plan cashflow'!M57</f>
        <v>0</v>
      </c>
      <c r="AE57" s="20" t="n">
        <f aca="false">IF(AD57&gt;PR_BalDone,AD57+AD57*(D_iC)-MIN(F_CardPayM,AD57+AD57*(D_iC)),AD57)</f>
        <v>0</v>
      </c>
      <c r="AF57" s="20" t="n">
        <f aca="false">IF(AE57&gt;PR_BalDone,AE57+AE57*(D_iC)-MIN(F_CardPayM,AE57+AE57*(D_iC)),AE57)</f>
        <v>0</v>
      </c>
      <c r="AG57" s="20" t="n">
        <f aca="false">IF(AF57&gt;PR_BalDone,AF57+AF57*(D_iC)-MIN(F_CardPayM,AF57+AF57*(D_iC)),AF57)</f>
        <v>0</v>
      </c>
      <c r="AH57" s="20" t="n">
        <f aca="false">IF(AG57&gt;PR_BalDone,AG57+AG57*(D_iC)-MIN(F_CardPayM,AG57+AG57*(D_iC)),AG57)</f>
        <v>0</v>
      </c>
      <c r="AI57" s="20" t="n">
        <f aca="false">IF(AH57&gt;PR_BalDone,AH57+AH57*(D_iC)-MIN(F_CardPayM,AH57+AH57*(D_iC)),AH57)</f>
        <v>0</v>
      </c>
      <c r="AJ57" s="20" t="n">
        <f aca="false">IF(AI57&gt;PR_BalDone,AI57+AI57*(D_iC)-MIN(F_CardPayM,AI57+AI57*(D_iC)),AI57)</f>
        <v>0</v>
      </c>
      <c r="AK57" s="20" t="n">
        <f aca="false">IF(AJ57&gt;PR_BalDone,AJ57+AJ57*(D_iC)-MIN(F_CardPayM,AJ57+AJ57*(D_iC)),AJ57)</f>
        <v>0</v>
      </c>
      <c r="AL57" s="20" t="n">
        <f aca="false">IF(AK57&gt;PR_BalDone,AK57+AK57*(D_iC)-MIN(F_CardPayM,AK57+AK57*(D_iC)),AK57)</f>
        <v>0</v>
      </c>
      <c r="AM57" s="20" t="n">
        <f aca="false">IF(AL57&gt;PR_BalDone,AL57+AL57*(D_iC)-MIN(F_CardPayM,AL57+AL57*(D_iC)),AL57)</f>
        <v>0</v>
      </c>
      <c r="AN57" s="20" t="n">
        <f aca="false">IF(AM57&gt;PR_BalDone,AM57+AM57*(D_iC)-MIN(F_CardPayM,AM57+AM57*(D_iC)),AM57)</f>
        <v>0</v>
      </c>
      <c r="AO57" s="20" t="n">
        <f aca="false">IF(AN57&gt;PR_BalDone,AN57+AN57*(D_iC)-MIN(F_CardPayM,AN57+AN57*(D_iC)),AN57)</f>
        <v>0</v>
      </c>
      <c r="AP57" s="20" t="n">
        <f aca="false">IF(AO57&gt;PR_BalDone,AO57+AO57*(D_iC)-MIN(F_CardPayM,AO57+AO57*(D_iC)),AO57)</f>
        <v>0</v>
      </c>
      <c r="AQ57" s="20" t="n">
        <f aca="false">IF(AD57&gt;PR_BalDone,MIN(F_CardPayM,AD57+AD57*(D_iC)),0)</f>
        <v>0</v>
      </c>
      <c r="AR57" s="20" t="n">
        <f aca="false">IF(AE57&gt;PR_BalDone,MIN(F_CardPayM,AE57+AE57*(D_iC)),0)</f>
        <v>0</v>
      </c>
      <c r="AS57" s="20" t="n">
        <f aca="false">IF(AF57&gt;PR_BalDone,MIN(F_CardPayM,AF57+AF57*(D_iC)),0)</f>
        <v>0</v>
      </c>
      <c r="AT57" s="20" t="n">
        <f aca="false">IF(AG57&gt;PR_BalDone,MIN(F_CardPayM,AG57+AG57*(D_iC)),0)</f>
        <v>0</v>
      </c>
      <c r="AU57" s="20" t="n">
        <f aca="false">IF(AH57&gt;PR_BalDone,MIN(F_CardPayM,AH57+AH57*(D_iC)),0)</f>
        <v>0</v>
      </c>
      <c r="AV57" s="20" t="n">
        <f aca="false">IF(AI57&gt;PR_BalDone,MIN(F_CardPayM,AI57+AI57*(D_iC)),0)</f>
        <v>0</v>
      </c>
      <c r="AW57" s="20" t="n">
        <f aca="false">IF(AJ57&gt;PR_BalDone,MIN(F_CardPayM,AJ57+AJ57*(D_iC)),0)</f>
        <v>0</v>
      </c>
      <c r="AX57" s="20" t="n">
        <f aca="false">IF(AK57&gt;PR_BalDone,MIN(F_CardPayM,AK57+AK57*(D_iC)),0)</f>
        <v>0</v>
      </c>
      <c r="AY57" s="20" t="n">
        <f aca="false">IF(AL57&gt;PR_BalDone,MIN(F_CardPayM,AL57+AL57*(D_iC)),0)</f>
        <v>0</v>
      </c>
      <c r="AZ57" s="20" t="n">
        <f aca="false">IF(AM57&gt;PR_BalDone,MIN(F_CardPayM,AM57+AM57*(D_iC)),0)</f>
        <v>0</v>
      </c>
      <c r="BA57" s="20" t="n">
        <f aca="false">IF(AN57&gt;PR_BalDone,MIN(F_CardPayM,AN57+AN57*(D_iC)),0)</f>
        <v>0</v>
      </c>
      <c r="BB57" s="20" t="n">
        <f aca="false">IF(AO57&gt;PR_BalDone,MIN(F_CardPayM,AO57+AO57*(D_iC)),0)</f>
        <v>0</v>
      </c>
      <c r="BC57" s="20" t="n">
        <f aca="false">MAX(0,AP57)</f>
        <v>0</v>
      </c>
      <c r="BD57" s="20" t="n">
        <f aca="false">SUM(AQ57:BB57)</f>
        <v>0</v>
      </c>
      <c r="BE57" s="20" t="n">
        <f aca="false">'Plan cashflow'!P57</f>
        <v>0</v>
      </c>
      <c r="BF57" s="20" t="n">
        <f aca="false">IF(BE57&gt;PR_BalDone,BE57+BE57*(D_iL)-MIN(F_LoanPayM,BE57+BE57*(D_iL)),BE57)</f>
        <v>0</v>
      </c>
      <c r="BG57" s="20" t="n">
        <f aca="false">IF(BF57&gt;PR_BalDone,BF57+BF57*(D_iL)-MIN(F_LoanPayM,BF57+BF57*(D_iL)),BF57)</f>
        <v>0</v>
      </c>
      <c r="BH57" s="20" t="n">
        <f aca="false">IF(BG57&gt;PR_BalDone,BG57+BG57*(D_iL)-MIN(F_LoanPayM,BG57+BG57*(D_iL)),BG57)</f>
        <v>0</v>
      </c>
      <c r="BI57" s="20" t="n">
        <f aca="false">IF(BH57&gt;PR_BalDone,BH57+BH57*(D_iL)-MIN(F_LoanPayM,BH57+BH57*(D_iL)),BH57)</f>
        <v>0</v>
      </c>
      <c r="BJ57" s="20" t="n">
        <f aca="false">IF(BI57&gt;PR_BalDone,BI57+BI57*(D_iL)-MIN(F_LoanPayM,BI57+BI57*(D_iL)),BI57)</f>
        <v>0</v>
      </c>
      <c r="BK57" s="20" t="n">
        <f aca="false">IF(BJ57&gt;PR_BalDone,BJ57+BJ57*(D_iL)-MIN(F_LoanPayM,BJ57+BJ57*(D_iL)),BJ57)</f>
        <v>0</v>
      </c>
      <c r="BL57" s="20" t="n">
        <f aca="false">IF(BK57&gt;PR_BalDone,BK57+BK57*(D_iL)-MIN(F_LoanPayM,BK57+BK57*(D_iL)),BK57)</f>
        <v>0</v>
      </c>
      <c r="BM57" s="20" t="n">
        <f aca="false">IF(BL57&gt;PR_BalDone,BL57+BL57*(D_iL)-MIN(F_LoanPayM,BL57+BL57*(D_iL)),BL57)</f>
        <v>0</v>
      </c>
      <c r="BN57" s="20" t="n">
        <f aca="false">IF(BM57&gt;PR_BalDone,BM57+BM57*(D_iL)-MIN(F_LoanPayM,BM57+BM57*(D_iL)),BM57)</f>
        <v>0</v>
      </c>
      <c r="BO57" s="20" t="n">
        <f aca="false">IF(BN57&gt;PR_BalDone,BN57+BN57*(D_iL)-MIN(F_LoanPayM,BN57+BN57*(D_iL)),BN57)</f>
        <v>0</v>
      </c>
      <c r="BP57" s="20" t="n">
        <f aca="false">IF(BO57&gt;PR_BalDone,BO57+BO57*(D_iL)-MIN(F_LoanPayM,BO57+BO57*(D_iL)),BO57)</f>
        <v>0</v>
      </c>
      <c r="BQ57" s="20" t="n">
        <f aca="false">IF(BP57&gt;PR_BalDone,BP57+BP57*(D_iL)-MIN(F_LoanPayM,BP57+BP57*(D_iL)),BP57)</f>
        <v>0</v>
      </c>
      <c r="BR57" s="20" t="n">
        <f aca="false">IF(BE57&gt;PR_BalDone,MIN(F_LoanPayM,BE57+BE57*(D_iL)),0)</f>
        <v>0</v>
      </c>
      <c r="BS57" s="20" t="n">
        <f aca="false">IF(BF57&gt;PR_BalDone,MIN(F_LoanPayM,BF57+BF57*(D_iL)),0)</f>
        <v>0</v>
      </c>
      <c r="BT57" s="20" t="n">
        <f aca="false">IF(BG57&gt;PR_BalDone,MIN(F_LoanPayM,BG57+BG57*(D_iL)),0)</f>
        <v>0</v>
      </c>
      <c r="BU57" s="20" t="n">
        <f aca="false">IF(BH57&gt;PR_BalDone,MIN(F_LoanPayM,BH57+BH57*(D_iL)),0)</f>
        <v>0</v>
      </c>
      <c r="BV57" s="20" t="n">
        <f aca="false">IF(BI57&gt;PR_BalDone,MIN(F_LoanPayM,BI57+BI57*(D_iL)),0)</f>
        <v>0</v>
      </c>
      <c r="BW57" s="20" t="n">
        <f aca="false">IF(BJ57&gt;PR_BalDone,MIN(F_LoanPayM,BJ57+BJ57*(D_iL)),0)</f>
        <v>0</v>
      </c>
      <c r="BX57" s="20" t="n">
        <f aca="false">IF(BK57&gt;PR_BalDone,MIN(F_LoanPayM,BK57+BK57*(D_iL)),0)</f>
        <v>0</v>
      </c>
      <c r="BY57" s="20" t="n">
        <f aca="false">IF(BL57&gt;PR_BalDone,MIN(F_LoanPayM,BL57+BL57*(D_iL)),0)</f>
        <v>0</v>
      </c>
      <c r="BZ57" s="20" t="n">
        <f aca="false">IF(BM57&gt;PR_BalDone,MIN(F_LoanPayM,BM57+BM57*(D_iL)),0)</f>
        <v>0</v>
      </c>
      <c r="CA57" s="20" t="n">
        <f aca="false">IF(BN57&gt;PR_BalDone,MIN(F_LoanPayM,BN57+BN57*(D_iL)),0)</f>
        <v>0</v>
      </c>
      <c r="CB57" s="20" t="n">
        <f aca="false">IF(BO57&gt;PR_BalDone,MIN(F_LoanPayM,BO57+BO57*(D_iL)),0)</f>
        <v>0</v>
      </c>
      <c r="CC57" s="20" t="n">
        <f aca="false">IF(BP57&gt;PR_BalDone,MIN(F_LoanPayM,BP57+BP57*(D_iL)),0)</f>
        <v>0</v>
      </c>
      <c r="CD57" s="20" t="n">
        <f aca="false">MAX(0,BQ57)</f>
        <v>0</v>
      </c>
      <c r="CE57" s="20" t="n">
        <f aca="false">SUM(BR57:CC57)</f>
        <v>0</v>
      </c>
      <c r="CF57" s="20" t="n">
        <f aca="false">IF(CF56&gt;1,DE56,CF56)</f>
        <v>0</v>
      </c>
      <c r="CG57" s="20" t="n">
        <f aca="false">IF(CF57&gt;PR_BalDone,CF57+CF57*(F_MR/12)-MIN(F_MortPayM,CF57+CF57*(F_MR/12)),CF57)</f>
        <v>0</v>
      </c>
      <c r="CH57" s="20" t="n">
        <f aca="false">IF(CG57&gt;PR_BalDone,CG57+CG57*(F_MR/12)-MIN(F_MortPayM,CG57+CG57*(F_MR/12)),CG57)</f>
        <v>0</v>
      </c>
      <c r="CI57" s="20" t="n">
        <f aca="false">IF(CH57&gt;PR_BalDone,CH57+CH57*(F_MR/12)-MIN(F_MortPayM,CH57+CH57*(F_MR/12)),CH57)</f>
        <v>0</v>
      </c>
      <c r="CJ57" s="20" t="n">
        <f aca="false">IF(CI57&gt;PR_BalDone,CI57+CI57*(F_MR/12)-MIN(F_MortPayM,CI57+CI57*(F_MR/12)),CI57)</f>
        <v>0</v>
      </c>
      <c r="CK57" s="20" t="n">
        <f aca="false">IF(CJ57&gt;PR_BalDone,CJ57+CJ57*(F_MR/12)-MIN(F_MortPayM,CJ57+CJ57*(F_MR/12)),CJ57)</f>
        <v>0</v>
      </c>
      <c r="CL57" s="20" t="n">
        <f aca="false">IF(CK57&gt;PR_BalDone,CK57+CK57*(F_MR/12)-MIN(F_MortPayM,CK57+CK57*(F_MR/12)),CK57)</f>
        <v>0</v>
      </c>
      <c r="CM57" s="20" t="n">
        <f aca="false">IF(CL57&gt;PR_BalDone,CL57+CL57*(F_MR/12)-MIN(F_MortPayM,CL57+CL57*(F_MR/12)),CL57)</f>
        <v>0</v>
      </c>
      <c r="CN57" s="20" t="n">
        <f aca="false">IF(CM57&gt;PR_BalDone,CM57+CM57*(F_MR/12)-MIN(F_MortPayM,CM57+CM57*(F_MR/12)),CM57)</f>
        <v>0</v>
      </c>
      <c r="CO57" s="20" t="n">
        <f aca="false">IF(CN57&gt;PR_BalDone,CN57+CN57*(F_MR/12)-MIN(F_MortPayM,CN57+CN57*(F_MR/12)),CN57)</f>
        <v>0</v>
      </c>
      <c r="CP57" s="20" t="n">
        <f aca="false">IF(CO57&gt;PR_BalDone,CO57+CO57*(F_MR/12)-MIN(F_MortPayM,CO57+CO57*(F_MR/12)),CO57)</f>
        <v>0</v>
      </c>
      <c r="CQ57" s="20" t="n">
        <f aca="false">IF(CP57&gt;PR_BalDone,CP57+CP57*(F_MR/12)-MIN(F_MortPayM,CP57+CP57*(F_MR/12)),CP57)</f>
        <v>0</v>
      </c>
      <c r="CR57" s="20" t="n">
        <f aca="false">IF(CQ57&gt;PR_BalDone,CQ57+CQ57*(F_MR/12)-MIN(F_MortPayM,CQ57+CQ57*(F_MR/12)),CQ57)</f>
        <v>0</v>
      </c>
      <c r="CS57" s="20" t="n">
        <f aca="false">IF(CF57&gt;PR_BalDone,MIN(F_MortPayM,CF57+CF57*(F_MR/12)),0)</f>
        <v>0</v>
      </c>
      <c r="CT57" s="20" t="n">
        <f aca="false">IF(CG57&gt;PR_BalDone,MIN(F_MortPayM,CG57+CG57*(F_MR/12)),0)</f>
        <v>0</v>
      </c>
      <c r="CU57" s="20" t="n">
        <f aca="false">IF(CH57&gt;PR_BalDone,MIN(F_MortPayM,CH57+CH57*(F_MR/12)),0)</f>
        <v>0</v>
      </c>
      <c r="CV57" s="20" t="n">
        <f aca="false">IF(CI57&gt;PR_BalDone,MIN(F_MortPayM,CI57+CI57*(F_MR/12)),0)</f>
        <v>0</v>
      </c>
      <c r="CW57" s="20" t="n">
        <f aca="false">IF(CJ57&gt;PR_BalDone,MIN(F_MortPayM,CJ57+CJ57*(F_MR/12)),0)</f>
        <v>0</v>
      </c>
      <c r="CX57" s="20" t="n">
        <f aca="false">IF(CK57&gt;PR_BalDone,MIN(F_MortPayM,CK57+CK57*(F_MR/12)),0)</f>
        <v>0</v>
      </c>
      <c r="CY57" s="20" t="n">
        <f aca="false">IF(CL57&gt;PR_BalDone,MIN(F_MortPayM,CL57+CL57*(F_MR/12)),0)</f>
        <v>0</v>
      </c>
      <c r="CZ57" s="20" t="n">
        <f aca="false">IF(CM57&gt;PR_BalDone,MIN(F_MortPayM,CM57+CM57*(F_MR/12)),0)</f>
        <v>0</v>
      </c>
      <c r="DA57" s="20" t="n">
        <f aca="false">IF(CN57&gt;PR_BalDone,MIN(F_MortPayM,CN57+CN57*(F_MR/12)),0)</f>
        <v>0</v>
      </c>
      <c r="DB57" s="20" t="n">
        <f aca="false">IF(CO57&gt;PR_BalDone,MIN(F_MortPayM,CO57+CO57*(F_MR/12)),0)</f>
        <v>0</v>
      </c>
      <c r="DC57" s="20" t="n">
        <f aca="false">IF(CP57&gt;PR_BalDone,MIN(F_MortPayM,CP57+CP57*(F_MR/12)),0)</f>
        <v>0</v>
      </c>
      <c r="DD57" s="20" t="n">
        <f aca="false">IF(CQ57&gt;PR_BalDone,MIN(F_MortPayM,CQ57+CQ57*(F_MR/12)),0)</f>
        <v>0</v>
      </c>
      <c r="DE57" s="20" t="n">
        <f aca="false">MAX(0,CR57)</f>
        <v>0</v>
      </c>
      <c r="DF57" s="20" t="n">
        <f aca="false">SUM(CS57:DD57)</f>
        <v>0</v>
      </c>
      <c r="DG57" s="20" t="n">
        <f aca="false">MAX(0,CF57)</f>
        <v>0</v>
      </c>
    </row>
    <row r="58" customFormat="false" ht="15" hidden="false" customHeight="true" outlineLevel="0" collapsed="false">
      <c r="B58" s="20" t="n">
        <v>50</v>
      </c>
      <c r="C58" s="20" t="n">
        <f aca="false">'Plan cashflow'!J58</f>
        <v>0</v>
      </c>
      <c r="D58" s="20" t="n">
        <f aca="false">IF(C58&gt;PR_BalDone,C58+C58*(F_MR/12)-MIN(F_MortPayM,C58+C58*(F_MR/12)),C58)</f>
        <v>0</v>
      </c>
      <c r="E58" s="20" t="n">
        <f aca="false">IF(D58&gt;PR_BalDone,D58+D58*(F_MR/12)-MIN(F_MortPayM,D58+D58*(F_MR/12)),D58)</f>
        <v>0</v>
      </c>
      <c r="F58" s="20" t="n">
        <f aca="false">IF(E58&gt;PR_BalDone,E58+E58*(F_MR/12)-MIN(F_MortPayM,E58+E58*(F_MR/12)),E58)</f>
        <v>0</v>
      </c>
      <c r="G58" s="20" t="n">
        <f aca="false">IF(F58&gt;PR_BalDone,F58+F58*(F_MR/12)-MIN(F_MortPayM,F58+F58*(F_MR/12)),F58)</f>
        <v>0</v>
      </c>
      <c r="H58" s="20" t="n">
        <f aca="false">IF(G58&gt;PR_BalDone,G58+G58*(F_MR/12)-MIN(F_MortPayM,G58+G58*(F_MR/12)),G58)</f>
        <v>0</v>
      </c>
      <c r="I58" s="20" t="n">
        <f aca="false">IF(H58&gt;PR_BalDone,H58+H58*(F_MR/12)-MIN(F_MortPayM,H58+H58*(F_MR/12)),H58)</f>
        <v>0</v>
      </c>
      <c r="J58" s="20" t="n">
        <f aca="false">IF(I58&gt;PR_BalDone,I58+I58*(F_MR/12)-MIN(F_MortPayM,I58+I58*(F_MR/12)),I58)</f>
        <v>0</v>
      </c>
      <c r="K58" s="20" t="n">
        <f aca="false">IF(J58&gt;PR_BalDone,J58+J58*(F_MR/12)-MIN(F_MortPayM,J58+J58*(F_MR/12)),J58)</f>
        <v>0</v>
      </c>
      <c r="L58" s="20" t="n">
        <f aca="false">IF(K58&gt;PR_BalDone,K58+K58*(F_MR/12)-MIN(F_MortPayM,K58+K58*(F_MR/12)),K58)</f>
        <v>0</v>
      </c>
      <c r="M58" s="20" t="n">
        <f aca="false">IF(L58&gt;PR_BalDone,L58+L58*(F_MR/12)-MIN(F_MortPayM,L58+L58*(F_MR/12)),L58)</f>
        <v>0</v>
      </c>
      <c r="N58" s="20" t="n">
        <f aca="false">IF(M58&gt;PR_BalDone,M58+M58*(F_MR/12)-MIN(F_MortPayM,M58+M58*(F_MR/12)),M58)</f>
        <v>0</v>
      </c>
      <c r="O58" s="20" t="n">
        <f aca="false">IF(N58&gt;PR_BalDone,N58+N58*(F_MR/12)-MIN(F_MortPayM,N58+N58*(F_MR/12)),N58)</f>
        <v>0</v>
      </c>
      <c r="P58" s="20" t="n">
        <f aca="false">IF(C58&gt;PR_BalDone,MIN(F_MortPayM,C58+C58*(F_MR/12)),0)</f>
        <v>0</v>
      </c>
      <c r="Q58" s="20" t="n">
        <f aca="false">IF(D58&gt;PR_BalDone,MIN(F_MortPayM,D58+D58*(F_MR/12)),0)</f>
        <v>0</v>
      </c>
      <c r="R58" s="20" t="n">
        <f aca="false">IF(E58&gt;PR_BalDone,MIN(F_MortPayM,E58+E58*(F_MR/12)),0)</f>
        <v>0</v>
      </c>
      <c r="S58" s="20" t="n">
        <f aca="false">IF(F58&gt;PR_BalDone,MIN(F_MortPayM,F58+F58*(F_MR/12)),0)</f>
        <v>0</v>
      </c>
      <c r="T58" s="20" t="n">
        <f aca="false">IF(G58&gt;PR_BalDone,MIN(F_MortPayM,G58+G58*(F_MR/12)),0)</f>
        <v>0</v>
      </c>
      <c r="U58" s="20" t="n">
        <f aca="false">IF(H58&gt;PR_BalDone,MIN(F_MortPayM,H58+H58*(F_MR/12)),0)</f>
        <v>0</v>
      </c>
      <c r="V58" s="20" t="n">
        <f aca="false">IF(I58&gt;PR_BalDone,MIN(F_MortPayM,I58+I58*(F_MR/12)),0)</f>
        <v>0</v>
      </c>
      <c r="W58" s="20" t="n">
        <f aca="false">IF(J58&gt;PR_BalDone,MIN(F_MortPayM,J58+J58*(F_MR/12)),0)</f>
        <v>0</v>
      </c>
      <c r="X58" s="20" t="n">
        <f aca="false">IF(K58&gt;PR_BalDone,MIN(F_MortPayM,K58+K58*(F_MR/12)),0)</f>
        <v>0</v>
      </c>
      <c r="Y58" s="20" t="n">
        <f aca="false">IF(L58&gt;PR_BalDone,MIN(F_MortPayM,L58+L58*(F_MR/12)),0)</f>
        <v>0</v>
      </c>
      <c r="Z58" s="20" t="n">
        <f aca="false">IF(M58&gt;PR_BalDone,MIN(F_MortPayM,M58+M58*(F_MR/12)),0)</f>
        <v>0</v>
      </c>
      <c r="AA58" s="20" t="n">
        <f aca="false">IF(N58&gt;PR_BalDone,MIN(F_MortPayM,N58+N58*(F_MR/12)),0)</f>
        <v>0</v>
      </c>
      <c r="AB58" s="20" t="n">
        <f aca="false">MAX(0,O58)</f>
        <v>0</v>
      </c>
      <c r="AC58" s="20" t="n">
        <f aca="false">SUM(P58:AA58)</f>
        <v>0</v>
      </c>
      <c r="AD58" s="20" t="n">
        <f aca="false">'Plan cashflow'!M58</f>
        <v>0</v>
      </c>
      <c r="AE58" s="20" t="n">
        <f aca="false">IF(AD58&gt;PR_BalDone,AD58+AD58*(D_iC)-MIN(F_CardPayM,AD58+AD58*(D_iC)),AD58)</f>
        <v>0</v>
      </c>
      <c r="AF58" s="20" t="n">
        <f aca="false">IF(AE58&gt;PR_BalDone,AE58+AE58*(D_iC)-MIN(F_CardPayM,AE58+AE58*(D_iC)),AE58)</f>
        <v>0</v>
      </c>
      <c r="AG58" s="20" t="n">
        <f aca="false">IF(AF58&gt;PR_BalDone,AF58+AF58*(D_iC)-MIN(F_CardPayM,AF58+AF58*(D_iC)),AF58)</f>
        <v>0</v>
      </c>
      <c r="AH58" s="20" t="n">
        <f aca="false">IF(AG58&gt;PR_BalDone,AG58+AG58*(D_iC)-MIN(F_CardPayM,AG58+AG58*(D_iC)),AG58)</f>
        <v>0</v>
      </c>
      <c r="AI58" s="20" t="n">
        <f aca="false">IF(AH58&gt;PR_BalDone,AH58+AH58*(D_iC)-MIN(F_CardPayM,AH58+AH58*(D_iC)),AH58)</f>
        <v>0</v>
      </c>
      <c r="AJ58" s="20" t="n">
        <f aca="false">IF(AI58&gt;PR_BalDone,AI58+AI58*(D_iC)-MIN(F_CardPayM,AI58+AI58*(D_iC)),AI58)</f>
        <v>0</v>
      </c>
      <c r="AK58" s="20" t="n">
        <f aca="false">IF(AJ58&gt;PR_BalDone,AJ58+AJ58*(D_iC)-MIN(F_CardPayM,AJ58+AJ58*(D_iC)),AJ58)</f>
        <v>0</v>
      </c>
      <c r="AL58" s="20" t="n">
        <f aca="false">IF(AK58&gt;PR_BalDone,AK58+AK58*(D_iC)-MIN(F_CardPayM,AK58+AK58*(D_iC)),AK58)</f>
        <v>0</v>
      </c>
      <c r="AM58" s="20" t="n">
        <f aca="false">IF(AL58&gt;PR_BalDone,AL58+AL58*(D_iC)-MIN(F_CardPayM,AL58+AL58*(D_iC)),AL58)</f>
        <v>0</v>
      </c>
      <c r="AN58" s="20" t="n">
        <f aca="false">IF(AM58&gt;PR_BalDone,AM58+AM58*(D_iC)-MIN(F_CardPayM,AM58+AM58*(D_iC)),AM58)</f>
        <v>0</v>
      </c>
      <c r="AO58" s="20" t="n">
        <f aca="false">IF(AN58&gt;PR_BalDone,AN58+AN58*(D_iC)-MIN(F_CardPayM,AN58+AN58*(D_iC)),AN58)</f>
        <v>0</v>
      </c>
      <c r="AP58" s="20" t="n">
        <f aca="false">IF(AO58&gt;PR_BalDone,AO58+AO58*(D_iC)-MIN(F_CardPayM,AO58+AO58*(D_iC)),AO58)</f>
        <v>0</v>
      </c>
      <c r="AQ58" s="20" t="n">
        <f aca="false">IF(AD58&gt;PR_BalDone,MIN(F_CardPayM,AD58+AD58*(D_iC)),0)</f>
        <v>0</v>
      </c>
      <c r="AR58" s="20" t="n">
        <f aca="false">IF(AE58&gt;PR_BalDone,MIN(F_CardPayM,AE58+AE58*(D_iC)),0)</f>
        <v>0</v>
      </c>
      <c r="AS58" s="20" t="n">
        <f aca="false">IF(AF58&gt;PR_BalDone,MIN(F_CardPayM,AF58+AF58*(D_iC)),0)</f>
        <v>0</v>
      </c>
      <c r="AT58" s="20" t="n">
        <f aca="false">IF(AG58&gt;PR_BalDone,MIN(F_CardPayM,AG58+AG58*(D_iC)),0)</f>
        <v>0</v>
      </c>
      <c r="AU58" s="20" t="n">
        <f aca="false">IF(AH58&gt;PR_BalDone,MIN(F_CardPayM,AH58+AH58*(D_iC)),0)</f>
        <v>0</v>
      </c>
      <c r="AV58" s="20" t="n">
        <f aca="false">IF(AI58&gt;PR_BalDone,MIN(F_CardPayM,AI58+AI58*(D_iC)),0)</f>
        <v>0</v>
      </c>
      <c r="AW58" s="20" t="n">
        <f aca="false">IF(AJ58&gt;PR_BalDone,MIN(F_CardPayM,AJ58+AJ58*(D_iC)),0)</f>
        <v>0</v>
      </c>
      <c r="AX58" s="20" t="n">
        <f aca="false">IF(AK58&gt;PR_BalDone,MIN(F_CardPayM,AK58+AK58*(D_iC)),0)</f>
        <v>0</v>
      </c>
      <c r="AY58" s="20" t="n">
        <f aca="false">IF(AL58&gt;PR_BalDone,MIN(F_CardPayM,AL58+AL58*(D_iC)),0)</f>
        <v>0</v>
      </c>
      <c r="AZ58" s="20" t="n">
        <f aca="false">IF(AM58&gt;PR_BalDone,MIN(F_CardPayM,AM58+AM58*(D_iC)),0)</f>
        <v>0</v>
      </c>
      <c r="BA58" s="20" t="n">
        <f aca="false">IF(AN58&gt;PR_BalDone,MIN(F_CardPayM,AN58+AN58*(D_iC)),0)</f>
        <v>0</v>
      </c>
      <c r="BB58" s="20" t="n">
        <f aca="false">IF(AO58&gt;PR_BalDone,MIN(F_CardPayM,AO58+AO58*(D_iC)),0)</f>
        <v>0</v>
      </c>
      <c r="BC58" s="20" t="n">
        <f aca="false">MAX(0,AP58)</f>
        <v>0</v>
      </c>
      <c r="BD58" s="20" t="n">
        <f aca="false">SUM(AQ58:BB58)</f>
        <v>0</v>
      </c>
      <c r="BE58" s="20" t="n">
        <f aca="false">'Plan cashflow'!P58</f>
        <v>0</v>
      </c>
      <c r="BF58" s="20" t="n">
        <f aca="false">IF(BE58&gt;PR_BalDone,BE58+BE58*(D_iL)-MIN(F_LoanPayM,BE58+BE58*(D_iL)),BE58)</f>
        <v>0</v>
      </c>
      <c r="BG58" s="20" t="n">
        <f aca="false">IF(BF58&gt;PR_BalDone,BF58+BF58*(D_iL)-MIN(F_LoanPayM,BF58+BF58*(D_iL)),BF58)</f>
        <v>0</v>
      </c>
      <c r="BH58" s="20" t="n">
        <f aca="false">IF(BG58&gt;PR_BalDone,BG58+BG58*(D_iL)-MIN(F_LoanPayM,BG58+BG58*(D_iL)),BG58)</f>
        <v>0</v>
      </c>
      <c r="BI58" s="20" t="n">
        <f aca="false">IF(BH58&gt;PR_BalDone,BH58+BH58*(D_iL)-MIN(F_LoanPayM,BH58+BH58*(D_iL)),BH58)</f>
        <v>0</v>
      </c>
      <c r="BJ58" s="20" t="n">
        <f aca="false">IF(BI58&gt;PR_BalDone,BI58+BI58*(D_iL)-MIN(F_LoanPayM,BI58+BI58*(D_iL)),BI58)</f>
        <v>0</v>
      </c>
      <c r="BK58" s="20" t="n">
        <f aca="false">IF(BJ58&gt;PR_BalDone,BJ58+BJ58*(D_iL)-MIN(F_LoanPayM,BJ58+BJ58*(D_iL)),BJ58)</f>
        <v>0</v>
      </c>
      <c r="BL58" s="20" t="n">
        <f aca="false">IF(BK58&gt;PR_BalDone,BK58+BK58*(D_iL)-MIN(F_LoanPayM,BK58+BK58*(D_iL)),BK58)</f>
        <v>0</v>
      </c>
      <c r="BM58" s="20" t="n">
        <f aca="false">IF(BL58&gt;PR_BalDone,BL58+BL58*(D_iL)-MIN(F_LoanPayM,BL58+BL58*(D_iL)),BL58)</f>
        <v>0</v>
      </c>
      <c r="BN58" s="20" t="n">
        <f aca="false">IF(BM58&gt;PR_BalDone,BM58+BM58*(D_iL)-MIN(F_LoanPayM,BM58+BM58*(D_iL)),BM58)</f>
        <v>0</v>
      </c>
      <c r="BO58" s="20" t="n">
        <f aca="false">IF(BN58&gt;PR_BalDone,BN58+BN58*(D_iL)-MIN(F_LoanPayM,BN58+BN58*(D_iL)),BN58)</f>
        <v>0</v>
      </c>
      <c r="BP58" s="20" t="n">
        <f aca="false">IF(BO58&gt;PR_BalDone,BO58+BO58*(D_iL)-MIN(F_LoanPayM,BO58+BO58*(D_iL)),BO58)</f>
        <v>0</v>
      </c>
      <c r="BQ58" s="20" t="n">
        <f aca="false">IF(BP58&gt;PR_BalDone,BP58+BP58*(D_iL)-MIN(F_LoanPayM,BP58+BP58*(D_iL)),BP58)</f>
        <v>0</v>
      </c>
      <c r="BR58" s="20" t="n">
        <f aca="false">IF(BE58&gt;PR_BalDone,MIN(F_LoanPayM,BE58+BE58*(D_iL)),0)</f>
        <v>0</v>
      </c>
      <c r="BS58" s="20" t="n">
        <f aca="false">IF(BF58&gt;PR_BalDone,MIN(F_LoanPayM,BF58+BF58*(D_iL)),0)</f>
        <v>0</v>
      </c>
      <c r="BT58" s="20" t="n">
        <f aca="false">IF(BG58&gt;PR_BalDone,MIN(F_LoanPayM,BG58+BG58*(D_iL)),0)</f>
        <v>0</v>
      </c>
      <c r="BU58" s="20" t="n">
        <f aca="false">IF(BH58&gt;PR_BalDone,MIN(F_LoanPayM,BH58+BH58*(D_iL)),0)</f>
        <v>0</v>
      </c>
      <c r="BV58" s="20" t="n">
        <f aca="false">IF(BI58&gt;PR_BalDone,MIN(F_LoanPayM,BI58+BI58*(D_iL)),0)</f>
        <v>0</v>
      </c>
      <c r="BW58" s="20" t="n">
        <f aca="false">IF(BJ58&gt;PR_BalDone,MIN(F_LoanPayM,BJ58+BJ58*(D_iL)),0)</f>
        <v>0</v>
      </c>
      <c r="BX58" s="20" t="n">
        <f aca="false">IF(BK58&gt;PR_BalDone,MIN(F_LoanPayM,BK58+BK58*(D_iL)),0)</f>
        <v>0</v>
      </c>
      <c r="BY58" s="20" t="n">
        <f aca="false">IF(BL58&gt;PR_BalDone,MIN(F_LoanPayM,BL58+BL58*(D_iL)),0)</f>
        <v>0</v>
      </c>
      <c r="BZ58" s="20" t="n">
        <f aca="false">IF(BM58&gt;PR_BalDone,MIN(F_LoanPayM,BM58+BM58*(D_iL)),0)</f>
        <v>0</v>
      </c>
      <c r="CA58" s="20" t="n">
        <f aca="false">IF(BN58&gt;PR_BalDone,MIN(F_LoanPayM,BN58+BN58*(D_iL)),0)</f>
        <v>0</v>
      </c>
      <c r="CB58" s="20" t="n">
        <f aca="false">IF(BO58&gt;PR_BalDone,MIN(F_LoanPayM,BO58+BO58*(D_iL)),0)</f>
        <v>0</v>
      </c>
      <c r="CC58" s="20" t="n">
        <f aca="false">IF(BP58&gt;PR_BalDone,MIN(F_LoanPayM,BP58+BP58*(D_iL)),0)</f>
        <v>0</v>
      </c>
      <c r="CD58" s="20" t="n">
        <f aca="false">MAX(0,BQ58)</f>
        <v>0</v>
      </c>
      <c r="CE58" s="20" t="n">
        <f aca="false">SUM(BR58:CC58)</f>
        <v>0</v>
      </c>
      <c r="CF58" s="20" t="n">
        <f aca="false">IF(CF57&gt;1,DE57,CF57)</f>
        <v>0</v>
      </c>
      <c r="CG58" s="20" t="n">
        <f aca="false">IF(CF58&gt;PR_BalDone,CF58+CF58*(F_MR/12)-MIN(F_MortPayM,CF58+CF58*(F_MR/12)),CF58)</f>
        <v>0</v>
      </c>
      <c r="CH58" s="20" t="n">
        <f aca="false">IF(CG58&gt;PR_BalDone,CG58+CG58*(F_MR/12)-MIN(F_MortPayM,CG58+CG58*(F_MR/12)),CG58)</f>
        <v>0</v>
      </c>
      <c r="CI58" s="20" t="n">
        <f aca="false">IF(CH58&gt;PR_BalDone,CH58+CH58*(F_MR/12)-MIN(F_MortPayM,CH58+CH58*(F_MR/12)),CH58)</f>
        <v>0</v>
      </c>
      <c r="CJ58" s="20" t="n">
        <f aca="false">IF(CI58&gt;PR_BalDone,CI58+CI58*(F_MR/12)-MIN(F_MortPayM,CI58+CI58*(F_MR/12)),CI58)</f>
        <v>0</v>
      </c>
      <c r="CK58" s="20" t="n">
        <f aca="false">IF(CJ58&gt;PR_BalDone,CJ58+CJ58*(F_MR/12)-MIN(F_MortPayM,CJ58+CJ58*(F_MR/12)),CJ58)</f>
        <v>0</v>
      </c>
      <c r="CL58" s="20" t="n">
        <f aca="false">IF(CK58&gt;PR_BalDone,CK58+CK58*(F_MR/12)-MIN(F_MortPayM,CK58+CK58*(F_MR/12)),CK58)</f>
        <v>0</v>
      </c>
      <c r="CM58" s="20" t="n">
        <f aca="false">IF(CL58&gt;PR_BalDone,CL58+CL58*(F_MR/12)-MIN(F_MortPayM,CL58+CL58*(F_MR/12)),CL58)</f>
        <v>0</v>
      </c>
      <c r="CN58" s="20" t="n">
        <f aca="false">IF(CM58&gt;PR_BalDone,CM58+CM58*(F_MR/12)-MIN(F_MortPayM,CM58+CM58*(F_MR/12)),CM58)</f>
        <v>0</v>
      </c>
      <c r="CO58" s="20" t="n">
        <f aca="false">IF(CN58&gt;PR_BalDone,CN58+CN58*(F_MR/12)-MIN(F_MortPayM,CN58+CN58*(F_MR/12)),CN58)</f>
        <v>0</v>
      </c>
      <c r="CP58" s="20" t="n">
        <f aca="false">IF(CO58&gt;PR_BalDone,CO58+CO58*(F_MR/12)-MIN(F_MortPayM,CO58+CO58*(F_MR/12)),CO58)</f>
        <v>0</v>
      </c>
      <c r="CQ58" s="20" t="n">
        <f aca="false">IF(CP58&gt;PR_BalDone,CP58+CP58*(F_MR/12)-MIN(F_MortPayM,CP58+CP58*(F_MR/12)),CP58)</f>
        <v>0</v>
      </c>
      <c r="CR58" s="20" t="n">
        <f aca="false">IF(CQ58&gt;PR_BalDone,CQ58+CQ58*(F_MR/12)-MIN(F_MortPayM,CQ58+CQ58*(F_MR/12)),CQ58)</f>
        <v>0</v>
      </c>
      <c r="CS58" s="20" t="n">
        <f aca="false">IF(CF58&gt;PR_BalDone,MIN(F_MortPayM,CF58+CF58*(F_MR/12)),0)</f>
        <v>0</v>
      </c>
      <c r="CT58" s="20" t="n">
        <f aca="false">IF(CG58&gt;PR_BalDone,MIN(F_MortPayM,CG58+CG58*(F_MR/12)),0)</f>
        <v>0</v>
      </c>
      <c r="CU58" s="20" t="n">
        <f aca="false">IF(CH58&gt;PR_BalDone,MIN(F_MortPayM,CH58+CH58*(F_MR/12)),0)</f>
        <v>0</v>
      </c>
      <c r="CV58" s="20" t="n">
        <f aca="false">IF(CI58&gt;PR_BalDone,MIN(F_MortPayM,CI58+CI58*(F_MR/12)),0)</f>
        <v>0</v>
      </c>
      <c r="CW58" s="20" t="n">
        <f aca="false">IF(CJ58&gt;PR_BalDone,MIN(F_MortPayM,CJ58+CJ58*(F_MR/12)),0)</f>
        <v>0</v>
      </c>
      <c r="CX58" s="20" t="n">
        <f aca="false">IF(CK58&gt;PR_BalDone,MIN(F_MortPayM,CK58+CK58*(F_MR/12)),0)</f>
        <v>0</v>
      </c>
      <c r="CY58" s="20" t="n">
        <f aca="false">IF(CL58&gt;PR_BalDone,MIN(F_MortPayM,CL58+CL58*(F_MR/12)),0)</f>
        <v>0</v>
      </c>
      <c r="CZ58" s="20" t="n">
        <f aca="false">IF(CM58&gt;PR_BalDone,MIN(F_MortPayM,CM58+CM58*(F_MR/12)),0)</f>
        <v>0</v>
      </c>
      <c r="DA58" s="20" t="n">
        <f aca="false">IF(CN58&gt;PR_BalDone,MIN(F_MortPayM,CN58+CN58*(F_MR/12)),0)</f>
        <v>0</v>
      </c>
      <c r="DB58" s="20" t="n">
        <f aca="false">IF(CO58&gt;PR_BalDone,MIN(F_MortPayM,CO58+CO58*(F_MR/12)),0)</f>
        <v>0</v>
      </c>
      <c r="DC58" s="20" t="n">
        <f aca="false">IF(CP58&gt;PR_BalDone,MIN(F_MortPayM,CP58+CP58*(F_MR/12)),0)</f>
        <v>0</v>
      </c>
      <c r="DD58" s="20" t="n">
        <f aca="false">IF(CQ58&gt;PR_BalDone,MIN(F_MortPayM,CQ58+CQ58*(F_MR/12)),0)</f>
        <v>0</v>
      </c>
      <c r="DE58" s="20" t="n">
        <f aca="false">MAX(0,CR58)</f>
        <v>0</v>
      </c>
      <c r="DF58" s="20" t="n">
        <f aca="false">SUM(CS58:DD58)</f>
        <v>0</v>
      </c>
      <c r="DG58" s="20" t="n">
        <f aca="false">MAX(0,CF58)</f>
        <v>0</v>
      </c>
    </row>
    <row r="59" customFormat="false" ht="15" hidden="false" customHeight="true" outlineLevel="0" collapsed="false">
      <c r="B59" s="20" t="n">
        <v>51</v>
      </c>
      <c r="C59" s="20" t="n">
        <f aca="false">'Plan cashflow'!J59</f>
        <v>0</v>
      </c>
      <c r="D59" s="20" t="n">
        <f aca="false">IF(C59&gt;PR_BalDone,C59+C59*(F_MR/12)-MIN(F_MortPayM,C59+C59*(F_MR/12)),C59)</f>
        <v>0</v>
      </c>
      <c r="E59" s="20" t="n">
        <f aca="false">IF(D59&gt;PR_BalDone,D59+D59*(F_MR/12)-MIN(F_MortPayM,D59+D59*(F_MR/12)),D59)</f>
        <v>0</v>
      </c>
      <c r="F59" s="20" t="n">
        <f aca="false">IF(E59&gt;PR_BalDone,E59+E59*(F_MR/12)-MIN(F_MortPayM,E59+E59*(F_MR/12)),E59)</f>
        <v>0</v>
      </c>
      <c r="G59" s="20" t="n">
        <f aca="false">IF(F59&gt;PR_BalDone,F59+F59*(F_MR/12)-MIN(F_MortPayM,F59+F59*(F_MR/12)),F59)</f>
        <v>0</v>
      </c>
      <c r="H59" s="20" t="n">
        <f aca="false">IF(G59&gt;PR_BalDone,G59+G59*(F_MR/12)-MIN(F_MortPayM,G59+G59*(F_MR/12)),G59)</f>
        <v>0</v>
      </c>
      <c r="I59" s="20" t="n">
        <f aca="false">IF(H59&gt;PR_BalDone,H59+H59*(F_MR/12)-MIN(F_MortPayM,H59+H59*(F_MR/12)),H59)</f>
        <v>0</v>
      </c>
      <c r="J59" s="20" t="n">
        <f aca="false">IF(I59&gt;PR_BalDone,I59+I59*(F_MR/12)-MIN(F_MortPayM,I59+I59*(F_MR/12)),I59)</f>
        <v>0</v>
      </c>
      <c r="K59" s="20" t="n">
        <f aca="false">IF(J59&gt;PR_BalDone,J59+J59*(F_MR/12)-MIN(F_MortPayM,J59+J59*(F_MR/12)),J59)</f>
        <v>0</v>
      </c>
      <c r="L59" s="20" t="n">
        <f aca="false">IF(K59&gt;PR_BalDone,K59+K59*(F_MR/12)-MIN(F_MortPayM,K59+K59*(F_MR/12)),K59)</f>
        <v>0</v>
      </c>
      <c r="M59" s="20" t="n">
        <f aca="false">IF(L59&gt;PR_BalDone,L59+L59*(F_MR/12)-MIN(F_MortPayM,L59+L59*(F_MR/12)),L59)</f>
        <v>0</v>
      </c>
      <c r="N59" s="20" t="n">
        <f aca="false">IF(M59&gt;PR_BalDone,M59+M59*(F_MR/12)-MIN(F_MortPayM,M59+M59*(F_MR/12)),M59)</f>
        <v>0</v>
      </c>
      <c r="O59" s="20" t="n">
        <f aca="false">IF(N59&gt;PR_BalDone,N59+N59*(F_MR/12)-MIN(F_MortPayM,N59+N59*(F_MR/12)),N59)</f>
        <v>0</v>
      </c>
      <c r="P59" s="20" t="n">
        <f aca="false">IF(C59&gt;PR_BalDone,MIN(F_MortPayM,C59+C59*(F_MR/12)),0)</f>
        <v>0</v>
      </c>
      <c r="Q59" s="20" t="n">
        <f aca="false">IF(D59&gt;PR_BalDone,MIN(F_MortPayM,D59+D59*(F_MR/12)),0)</f>
        <v>0</v>
      </c>
      <c r="R59" s="20" t="n">
        <f aca="false">IF(E59&gt;PR_BalDone,MIN(F_MortPayM,E59+E59*(F_MR/12)),0)</f>
        <v>0</v>
      </c>
      <c r="S59" s="20" t="n">
        <f aca="false">IF(F59&gt;PR_BalDone,MIN(F_MortPayM,F59+F59*(F_MR/12)),0)</f>
        <v>0</v>
      </c>
      <c r="T59" s="20" t="n">
        <f aca="false">IF(G59&gt;PR_BalDone,MIN(F_MortPayM,G59+G59*(F_MR/12)),0)</f>
        <v>0</v>
      </c>
      <c r="U59" s="20" t="n">
        <f aca="false">IF(H59&gt;PR_BalDone,MIN(F_MortPayM,H59+H59*(F_MR/12)),0)</f>
        <v>0</v>
      </c>
      <c r="V59" s="20" t="n">
        <f aca="false">IF(I59&gt;PR_BalDone,MIN(F_MortPayM,I59+I59*(F_MR/12)),0)</f>
        <v>0</v>
      </c>
      <c r="W59" s="20" t="n">
        <f aca="false">IF(J59&gt;PR_BalDone,MIN(F_MortPayM,J59+J59*(F_MR/12)),0)</f>
        <v>0</v>
      </c>
      <c r="X59" s="20" t="n">
        <f aca="false">IF(K59&gt;PR_BalDone,MIN(F_MortPayM,K59+K59*(F_MR/12)),0)</f>
        <v>0</v>
      </c>
      <c r="Y59" s="20" t="n">
        <f aca="false">IF(L59&gt;PR_BalDone,MIN(F_MortPayM,L59+L59*(F_MR/12)),0)</f>
        <v>0</v>
      </c>
      <c r="Z59" s="20" t="n">
        <f aca="false">IF(M59&gt;PR_BalDone,MIN(F_MortPayM,M59+M59*(F_MR/12)),0)</f>
        <v>0</v>
      </c>
      <c r="AA59" s="20" t="n">
        <f aca="false">IF(N59&gt;PR_BalDone,MIN(F_MortPayM,N59+N59*(F_MR/12)),0)</f>
        <v>0</v>
      </c>
      <c r="AB59" s="20" t="n">
        <f aca="false">MAX(0,O59)</f>
        <v>0</v>
      </c>
      <c r="AC59" s="20" t="n">
        <f aca="false">SUM(P59:AA59)</f>
        <v>0</v>
      </c>
      <c r="AD59" s="20" t="n">
        <f aca="false">'Plan cashflow'!M59</f>
        <v>0</v>
      </c>
      <c r="AE59" s="20" t="n">
        <f aca="false">IF(AD59&gt;PR_BalDone,AD59+AD59*(D_iC)-MIN(F_CardPayM,AD59+AD59*(D_iC)),AD59)</f>
        <v>0</v>
      </c>
      <c r="AF59" s="20" t="n">
        <f aca="false">IF(AE59&gt;PR_BalDone,AE59+AE59*(D_iC)-MIN(F_CardPayM,AE59+AE59*(D_iC)),AE59)</f>
        <v>0</v>
      </c>
      <c r="AG59" s="20" t="n">
        <f aca="false">IF(AF59&gt;PR_BalDone,AF59+AF59*(D_iC)-MIN(F_CardPayM,AF59+AF59*(D_iC)),AF59)</f>
        <v>0</v>
      </c>
      <c r="AH59" s="20" t="n">
        <f aca="false">IF(AG59&gt;PR_BalDone,AG59+AG59*(D_iC)-MIN(F_CardPayM,AG59+AG59*(D_iC)),AG59)</f>
        <v>0</v>
      </c>
      <c r="AI59" s="20" t="n">
        <f aca="false">IF(AH59&gt;PR_BalDone,AH59+AH59*(D_iC)-MIN(F_CardPayM,AH59+AH59*(D_iC)),AH59)</f>
        <v>0</v>
      </c>
      <c r="AJ59" s="20" t="n">
        <f aca="false">IF(AI59&gt;PR_BalDone,AI59+AI59*(D_iC)-MIN(F_CardPayM,AI59+AI59*(D_iC)),AI59)</f>
        <v>0</v>
      </c>
      <c r="AK59" s="20" t="n">
        <f aca="false">IF(AJ59&gt;PR_BalDone,AJ59+AJ59*(D_iC)-MIN(F_CardPayM,AJ59+AJ59*(D_iC)),AJ59)</f>
        <v>0</v>
      </c>
      <c r="AL59" s="20" t="n">
        <f aca="false">IF(AK59&gt;PR_BalDone,AK59+AK59*(D_iC)-MIN(F_CardPayM,AK59+AK59*(D_iC)),AK59)</f>
        <v>0</v>
      </c>
      <c r="AM59" s="20" t="n">
        <f aca="false">IF(AL59&gt;PR_BalDone,AL59+AL59*(D_iC)-MIN(F_CardPayM,AL59+AL59*(D_iC)),AL59)</f>
        <v>0</v>
      </c>
      <c r="AN59" s="20" t="n">
        <f aca="false">IF(AM59&gt;PR_BalDone,AM59+AM59*(D_iC)-MIN(F_CardPayM,AM59+AM59*(D_iC)),AM59)</f>
        <v>0</v>
      </c>
      <c r="AO59" s="20" t="n">
        <f aca="false">IF(AN59&gt;PR_BalDone,AN59+AN59*(D_iC)-MIN(F_CardPayM,AN59+AN59*(D_iC)),AN59)</f>
        <v>0</v>
      </c>
      <c r="AP59" s="20" t="n">
        <f aca="false">IF(AO59&gt;PR_BalDone,AO59+AO59*(D_iC)-MIN(F_CardPayM,AO59+AO59*(D_iC)),AO59)</f>
        <v>0</v>
      </c>
      <c r="AQ59" s="20" t="n">
        <f aca="false">IF(AD59&gt;PR_BalDone,MIN(F_CardPayM,AD59+AD59*(D_iC)),0)</f>
        <v>0</v>
      </c>
      <c r="AR59" s="20" t="n">
        <f aca="false">IF(AE59&gt;PR_BalDone,MIN(F_CardPayM,AE59+AE59*(D_iC)),0)</f>
        <v>0</v>
      </c>
      <c r="AS59" s="20" t="n">
        <f aca="false">IF(AF59&gt;PR_BalDone,MIN(F_CardPayM,AF59+AF59*(D_iC)),0)</f>
        <v>0</v>
      </c>
      <c r="AT59" s="20" t="n">
        <f aca="false">IF(AG59&gt;PR_BalDone,MIN(F_CardPayM,AG59+AG59*(D_iC)),0)</f>
        <v>0</v>
      </c>
      <c r="AU59" s="20" t="n">
        <f aca="false">IF(AH59&gt;PR_BalDone,MIN(F_CardPayM,AH59+AH59*(D_iC)),0)</f>
        <v>0</v>
      </c>
      <c r="AV59" s="20" t="n">
        <f aca="false">IF(AI59&gt;PR_BalDone,MIN(F_CardPayM,AI59+AI59*(D_iC)),0)</f>
        <v>0</v>
      </c>
      <c r="AW59" s="20" t="n">
        <f aca="false">IF(AJ59&gt;PR_BalDone,MIN(F_CardPayM,AJ59+AJ59*(D_iC)),0)</f>
        <v>0</v>
      </c>
      <c r="AX59" s="20" t="n">
        <f aca="false">IF(AK59&gt;PR_BalDone,MIN(F_CardPayM,AK59+AK59*(D_iC)),0)</f>
        <v>0</v>
      </c>
      <c r="AY59" s="20" t="n">
        <f aca="false">IF(AL59&gt;PR_BalDone,MIN(F_CardPayM,AL59+AL59*(D_iC)),0)</f>
        <v>0</v>
      </c>
      <c r="AZ59" s="20" t="n">
        <f aca="false">IF(AM59&gt;PR_BalDone,MIN(F_CardPayM,AM59+AM59*(D_iC)),0)</f>
        <v>0</v>
      </c>
      <c r="BA59" s="20" t="n">
        <f aca="false">IF(AN59&gt;PR_BalDone,MIN(F_CardPayM,AN59+AN59*(D_iC)),0)</f>
        <v>0</v>
      </c>
      <c r="BB59" s="20" t="n">
        <f aca="false">IF(AO59&gt;PR_BalDone,MIN(F_CardPayM,AO59+AO59*(D_iC)),0)</f>
        <v>0</v>
      </c>
      <c r="BC59" s="20" t="n">
        <f aca="false">MAX(0,AP59)</f>
        <v>0</v>
      </c>
      <c r="BD59" s="20" t="n">
        <f aca="false">SUM(AQ59:BB59)</f>
        <v>0</v>
      </c>
      <c r="BE59" s="20" t="n">
        <f aca="false">'Plan cashflow'!P59</f>
        <v>0</v>
      </c>
      <c r="BF59" s="20" t="n">
        <f aca="false">IF(BE59&gt;PR_BalDone,BE59+BE59*(D_iL)-MIN(F_LoanPayM,BE59+BE59*(D_iL)),BE59)</f>
        <v>0</v>
      </c>
      <c r="BG59" s="20" t="n">
        <f aca="false">IF(BF59&gt;PR_BalDone,BF59+BF59*(D_iL)-MIN(F_LoanPayM,BF59+BF59*(D_iL)),BF59)</f>
        <v>0</v>
      </c>
      <c r="BH59" s="20" t="n">
        <f aca="false">IF(BG59&gt;PR_BalDone,BG59+BG59*(D_iL)-MIN(F_LoanPayM,BG59+BG59*(D_iL)),BG59)</f>
        <v>0</v>
      </c>
      <c r="BI59" s="20" t="n">
        <f aca="false">IF(BH59&gt;PR_BalDone,BH59+BH59*(D_iL)-MIN(F_LoanPayM,BH59+BH59*(D_iL)),BH59)</f>
        <v>0</v>
      </c>
      <c r="BJ59" s="20" t="n">
        <f aca="false">IF(BI59&gt;PR_BalDone,BI59+BI59*(D_iL)-MIN(F_LoanPayM,BI59+BI59*(D_iL)),BI59)</f>
        <v>0</v>
      </c>
      <c r="BK59" s="20" t="n">
        <f aca="false">IF(BJ59&gt;PR_BalDone,BJ59+BJ59*(D_iL)-MIN(F_LoanPayM,BJ59+BJ59*(D_iL)),BJ59)</f>
        <v>0</v>
      </c>
      <c r="BL59" s="20" t="n">
        <f aca="false">IF(BK59&gt;PR_BalDone,BK59+BK59*(D_iL)-MIN(F_LoanPayM,BK59+BK59*(D_iL)),BK59)</f>
        <v>0</v>
      </c>
      <c r="BM59" s="20" t="n">
        <f aca="false">IF(BL59&gt;PR_BalDone,BL59+BL59*(D_iL)-MIN(F_LoanPayM,BL59+BL59*(D_iL)),BL59)</f>
        <v>0</v>
      </c>
      <c r="BN59" s="20" t="n">
        <f aca="false">IF(BM59&gt;PR_BalDone,BM59+BM59*(D_iL)-MIN(F_LoanPayM,BM59+BM59*(D_iL)),BM59)</f>
        <v>0</v>
      </c>
      <c r="BO59" s="20" t="n">
        <f aca="false">IF(BN59&gt;PR_BalDone,BN59+BN59*(D_iL)-MIN(F_LoanPayM,BN59+BN59*(D_iL)),BN59)</f>
        <v>0</v>
      </c>
      <c r="BP59" s="20" t="n">
        <f aca="false">IF(BO59&gt;PR_BalDone,BO59+BO59*(D_iL)-MIN(F_LoanPayM,BO59+BO59*(D_iL)),BO59)</f>
        <v>0</v>
      </c>
      <c r="BQ59" s="20" t="n">
        <f aca="false">IF(BP59&gt;PR_BalDone,BP59+BP59*(D_iL)-MIN(F_LoanPayM,BP59+BP59*(D_iL)),BP59)</f>
        <v>0</v>
      </c>
      <c r="BR59" s="20" t="n">
        <f aca="false">IF(BE59&gt;PR_BalDone,MIN(F_LoanPayM,BE59+BE59*(D_iL)),0)</f>
        <v>0</v>
      </c>
      <c r="BS59" s="20" t="n">
        <f aca="false">IF(BF59&gt;PR_BalDone,MIN(F_LoanPayM,BF59+BF59*(D_iL)),0)</f>
        <v>0</v>
      </c>
      <c r="BT59" s="20" t="n">
        <f aca="false">IF(BG59&gt;PR_BalDone,MIN(F_LoanPayM,BG59+BG59*(D_iL)),0)</f>
        <v>0</v>
      </c>
      <c r="BU59" s="20" t="n">
        <f aca="false">IF(BH59&gt;PR_BalDone,MIN(F_LoanPayM,BH59+BH59*(D_iL)),0)</f>
        <v>0</v>
      </c>
      <c r="BV59" s="20" t="n">
        <f aca="false">IF(BI59&gt;PR_BalDone,MIN(F_LoanPayM,BI59+BI59*(D_iL)),0)</f>
        <v>0</v>
      </c>
      <c r="BW59" s="20" t="n">
        <f aca="false">IF(BJ59&gt;PR_BalDone,MIN(F_LoanPayM,BJ59+BJ59*(D_iL)),0)</f>
        <v>0</v>
      </c>
      <c r="BX59" s="20" t="n">
        <f aca="false">IF(BK59&gt;PR_BalDone,MIN(F_LoanPayM,BK59+BK59*(D_iL)),0)</f>
        <v>0</v>
      </c>
      <c r="BY59" s="20" t="n">
        <f aca="false">IF(BL59&gt;PR_BalDone,MIN(F_LoanPayM,BL59+BL59*(D_iL)),0)</f>
        <v>0</v>
      </c>
      <c r="BZ59" s="20" t="n">
        <f aca="false">IF(BM59&gt;PR_BalDone,MIN(F_LoanPayM,BM59+BM59*(D_iL)),0)</f>
        <v>0</v>
      </c>
      <c r="CA59" s="20" t="n">
        <f aca="false">IF(BN59&gt;PR_BalDone,MIN(F_LoanPayM,BN59+BN59*(D_iL)),0)</f>
        <v>0</v>
      </c>
      <c r="CB59" s="20" t="n">
        <f aca="false">IF(BO59&gt;PR_BalDone,MIN(F_LoanPayM,BO59+BO59*(D_iL)),0)</f>
        <v>0</v>
      </c>
      <c r="CC59" s="20" t="n">
        <f aca="false">IF(BP59&gt;PR_BalDone,MIN(F_LoanPayM,BP59+BP59*(D_iL)),0)</f>
        <v>0</v>
      </c>
      <c r="CD59" s="20" t="n">
        <f aca="false">MAX(0,BQ59)</f>
        <v>0</v>
      </c>
      <c r="CE59" s="20" t="n">
        <f aca="false">SUM(BR59:CC59)</f>
        <v>0</v>
      </c>
      <c r="CF59" s="20" t="n">
        <f aca="false">IF(CF58&gt;1,DE58,CF58)</f>
        <v>0</v>
      </c>
      <c r="CG59" s="20" t="n">
        <f aca="false">IF(CF59&gt;PR_BalDone,CF59+CF59*(F_MR/12)-MIN(F_MortPayM,CF59+CF59*(F_MR/12)),CF59)</f>
        <v>0</v>
      </c>
      <c r="CH59" s="20" t="n">
        <f aca="false">IF(CG59&gt;PR_BalDone,CG59+CG59*(F_MR/12)-MIN(F_MortPayM,CG59+CG59*(F_MR/12)),CG59)</f>
        <v>0</v>
      </c>
      <c r="CI59" s="20" t="n">
        <f aca="false">IF(CH59&gt;PR_BalDone,CH59+CH59*(F_MR/12)-MIN(F_MortPayM,CH59+CH59*(F_MR/12)),CH59)</f>
        <v>0</v>
      </c>
      <c r="CJ59" s="20" t="n">
        <f aca="false">IF(CI59&gt;PR_BalDone,CI59+CI59*(F_MR/12)-MIN(F_MortPayM,CI59+CI59*(F_MR/12)),CI59)</f>
        <v>0</v>
      </c>
      <c r="CK59" s="20" t="n">
        <f aca="false">IF(CJ59&gt;PR_BalDone,CJ59+CJ59*(F_MR/12)-MIN(F_MortPayM,CJ59+CJ59*(F_MR/12)),CJ59)</f>
        <v>0</v>
      </c>
      <c r="CL59" s="20" t="n">
        <f aca="false">IF(CK59&gt;PR_BalDone,CK59+CK59*(F_MR/12)-MIN(F_MortPayM,CK59+CK59*(F_MR/12)),CK59)</f>
        <v>0</v>
      </c>
      <c r="CM59" s="20" t="n">
        <f aca="false">IF(CL59&gt;PR_BalDone,CL59+CL59*(F_MR/12)-MIN(F_MortPayM,CL59+CL59*(F_MR/12)),CL59)</f>
        <v>0</v>
      </c>
      <c r="CN59" s="20" t="n">
        <f aca="false">IF(CM59&gt;PR_BalDone,CM59+CM59*(F_MR/12)-MIN(F_MortPayM,CM59+CM59*(F_MR/12)),CM59)</f>
        <v>0</v>
      </c>
      <c r="CO59" s="20" t="n">
        <f aca="false">IF(CN59&gt;PR_BalDone,CN59+CN59*(F_MR/12)-MIN(F_MortPayM,CN59+CN59*(F_MR/12)),CN59)</f>
        <v>0</v>
      </c>
      <c r="CP59" s="20" t="n">
        <f aca="false">IF(CO59&gt;PR_BalDone,CO59+CO59*(F_MR/12)-MIN(F_MortPayM,CO59+CO59*(F_MR/12)),CO59)</f>
        <v>0</v>
      </c>
      <c r="CQ59" s="20" t="n">
        <f aca="false">IF(CP59&gt;PR_BalDone,CP59+CP59*(F_MR/12)-MIN(F_MortPayM,CP59+CP59*(F_MR/12)),CP59)</f>
        <v>0</v>
      </c>
      <c r="CR59" s="20" t="n">
        <f aca="false">IF(CQ59&gt;PR_BalDone,CQ59+CQ59*(F_MR/12)-MIN(F_MortPayM,CQ59+CQ59*(F_MR/12)),CQ59)</f>
        <v>0</v>
      </c>
      <c r="CS59" s="20" t="n">
        <f aca="false">IF(CF59&gt;PR_BalDone,MIN(F_MortPayM,CF59+CF59*(F_MR/12)),0)</f>
        <v>0</v>
      </c>
      <c r="CT59" s="20" t="n">
        <f aca="false">IF(CG59&gt;PR_BalDone,MIN(F_MortPayM,CG59+CG59*(F_MR/12)),0)</f>
        <v>0</v>
      </c>
      <c r="CU59" s="20" t="n">
        <f aca="false">IF(CH59&gt;PR_BalDone,MIN(F_MortPayM,CH59+CH59*(F_MR/12)),0)</f>
        <v>0</v>
      </c>
      <c r="CV59" s="20" t="n">
        <f aca="false">IF(CI59&gt;PR_BalDone,MIN(F_MortPayM,CI59+CI59*(F_MR/12)),0)</f>
        <v>0</v>
      </c>
      <c r="CW59" s="20" t="n">
        <f aca="false">IF(CJ59&gt;PR_BalDone,MIN(F_MortPayM,CJ59+CJ59*(F_MR/12)),0)</f>
        <v>0</v>
      </c>
      <c r="CX59" s="20" t="n">
        <f aca="false">IF(CK59&gt;PR_BalDone,MIN(F_MortPayM,CK59+CK59*(F_MR/12)),0)</f>
        <v>0</v>
      </c>
      <c r="CY59" s="20" t="n">
        <f aca="false">IF(CL59&gt;PR_BalDone,MIN(F_MortPayM,CL59+CL59*(F_MR/12)),0)</f>
        <v>0</v>
      </c>
      <c r="CZ59" s="20" t="n">
        <f aca="false">IF(CM59&gt;PR_BalDone,MIN(F_MortPayM,CM59+CM59*(F_MR/12)),0)</f>
        <v>0</v>
      </c>
      <c r="DA59" s="20" t="n">
        <f aca="false">IF(CN59&gt;PR_BalDone,MIN(F_MortPayM,CN59+CN59*(F_MR/12)),0)</f>
        <v>0</v>
      </c>
      <c r="DB59" s="20" t="n">
        <f aca="false">IF(CO59&gt;PR_BalDone,MIN(F_MortPayM,CO59+CO59*(F_MR/12)),0)</f>
        <v>0</v>
      </c>
      <c r="DC59" s="20" t="n">
        <f aca="false">IF(CP59&gt;PR_BalDone,MIN(F_MortPayM,CP59+CP59*(F_MR/12)),0)</f>
        <v>0</v>
      </c>
      <c r="DD59" s="20" t="n">
        <f aca="false">IF(CQ59&gt;PR_BalDone,MIN(F_MortPayM,CQ59+CQ59*(F_MR/12)),0)</f>
        <v>0</v>
      </c>
      <c r="DE59" s="20" t="n">
        <f aca="false">MAX(0,CR59)</f>
        <v>0</v>
      </c>
      <c r="DF59" s="20" t="n">
        <f aca="false">SUM(CS59:DD59)</f>
        <v>0</v>
      </c>
      <c r="DG59" s="20" t="n">
        <f aca="false">MAX(0,CF59)</f>
        <v>0</v>
      </c>
    </row>
    <row r="60" customFormat="false" ht="15" hidden="false" customHeight="true" outlineLevel="0" collapsed="false">
      <c r="B60" s="20" t="n">
        <v>52</v>
      </c>
      <c r="C60" s="20" t="n">
        <f aca="false">'Plan cashflow'!J60</f>
        <v>0</v>
      </c>
      <c r="D60" s="20" t="n">
        <f aca="false">IF(C60&gt;PR_BalDone,C60+C60*(F_MR/12)-MIN(F_MortPayM,C60+C60*(F_MR/12)),C60)</f>
        <v>0</v>
      </c>
      <c r="E60" s="20" t="n">
        <f aca="false">IF(D60&gt;PR_BalDone,D60+D60*(F_MR/12)-MIN(F_MortPayM,D60+D60*(F_MR/12)),D60)</f>
        <v>0</v>
      </c>
      <c r="F60" s="20" t="n">
        <f aca="false">IF(E60&gt;PR_BalDone,E60+E60*(F_MR/12)-MIN(F_MortPayM,E60+E60*(F_MR/12)),E60)</f>
        <v>0</v>
      </c>
      <c r="G60" s="20" t="n">
        <f aca="false">IF(F60&gt;PR_BalDone,F60+F60*(F_MR/12)-MIN(F_MortPayM,F60+F60*(F_MR/12)),F60)</f>
        <v>0</v>
      </c>
      <c r="H60" s="20" t="n">
        <f aca="false">IF(G60&gt;PR_BalDone,G60+G60*(F_MR/12)-MIN(F_MortPayM,G60+G60*(F_MR/12)),G60)</f>
        <v>0</v>
      </c>
      <c r="I60" s="20" t="n">
        <f aca="false">IF(H60&gt;PR_BalDone,H60+H60*(F_MR/12)-MIN(F_MortPayM,H60+H60*(F_MR/12)),H60)</f>
        <v>0</v>
      </c>
      <c r="J60" s="20" t="n">
        <f aca="false">IF(I60&gt;PR_BalDone,I60+I60*(F_MR/12)-MIN(F_MortPayM,I60+I60*(F_MR/12)),I60)</f>
        <v>0</v>
      </c>
      <c r="K60" s="20" t="n">
        <f aca="false">IF(J60&gt;PR_BalDone,J60+J60*(F_MR/12)-MIN(F_MortPayM,J60+J60*(F_MR/12)),J60)</f>
        <v>0</v>
      </c>
      <c r="L60" s="20" t="n">
        <f aca="false">IF(K60&gt;PR_BalDone,K60+K60*(F_MR/12)-MIN(F_MortPayM,K60+K60*(F_MR/12)),K60)</f>
        <v>0</v>
      </c>
      <c r="M60" s="20" t="n">
        <f aca="false">IF(L60&gt;PR_BalDone,L60+L60*(F_MR/12)-MIN(F_MortPayM,L60+L60*(F_MR/12)),L60)</f>
        <v>0</v>
      </c>
      <c r="N60" s="20" t="n">
        <f aca="false">IF(M60&gt;PR_BalDone,M60+M60*(F_MR/12)-MIN(F_MortPayM,M60+M60*(F_MR/12)),M60)</f>
        <v>0</v>
      </c>
      <c r="O60" s="20" t="n">
        <f aca="false">IF(N60&gt;PR_BalDone,N60+N60*(F_MR/12)-MIN(F_MortPayM,N60+N60*(F_MR/12)),N60)</f>
        <v>0</v>
      </c>
      <c r="P60" s="20" t="n">
        <f aca="false">IF(C60&gt;PR_BalDone,MIN(F_MortPayM,C60+C60*(F_MR/12)),0)</f>
        <v>0</v>
      </c>
      <c r="Q60" s="20" t="n">
        <f aca="false">IF(D60&gt;PR_BalDone,MIN(F_MortPayM,D60+D60*(F_MR/12)),0)</f>
        <v>0</v>
      </c>
      <c r="R60" s="20" t="n">
        <f aca="false">IF(E60&gt;PR_BalDone,MIN(F_MortPayM,E60+E60*(F_MR/12)),0)</f>
        <v>0</v>
      </c>
      <c r="S60" s="20" t="n">
        <f aca="false">IF(F60&gt;PR_BalDone,MIN(F_MortPayM,F60+F60*(F_MR/12)),0)</f>
        <v>0</v>
      </c>
      <c r="T60" s="20" t="n">
        <f aca="false">IF(G60&gt;PR_BalDone,MIN(F_MortPayM,G60+G60*(F_MR/12)),0)</f>
        <v>0</v>
      </c>
      <c r="U60" s="20" t="n">
        <f aca="false">IF(H60&gt;PR_BalDone,MIN(F_MortPayM,H60+H60*(F_MR/12)),0)</f>
        <v>0</v>
      </c>
      <c r="V60" s="20" t="n">
        <f aca="false">IF(I60&gt;PR_BalDone,MIN(F_MortPayM,I60+I60*(F_MR/12)),0)</f>
        <v>0</v>
      </c>
      <c r="W60" s="20" t="n">
        <f aca="false">IF(J60&gt;PR_BalDone,MIN(F_MortPayM,J60+J60*(F_MR/12)),0)</f>
        <v>0</v>
      </c>
      <c r="X60" s="20" t="n">
        <f aca="false">IF(K60&gt;PR_BalDone,MIN(F_MortPayM,K60+K60*(F_MR/12)),0)</f>
        <v>0</v>
      </c>
      <c r="Y60" s="20" t="n">
        <f aca="false">IF(L60&gt;PR_BalDone,MIN(F_MortPayM,L60+L60*(F_MR/12)),0)</f>
        <v>0</v>
      </c>
      <c r="Z60" s="20" t="n">
        <f aca="false">IF(M60&gt;PR_BalDone,MIN(F_MortPayM,M60+M60*(F_MR/12)),0)</f>
        <v>0</v>
      </c>
      <c r="AA60" s="20" t="n">
        <f aca="false">IF(N60&gt;PR_BalDone,MIN(F_MortPayM,N60+N60*(F_MR/12)),0)</f>
        <v>0</v>
      </c>
      <c r="AB60" s="20" t="n">
        <f aca="false">MAX(0,O60)</f>
        <v>0</v>
      </c>
      <c r="AC60" s="20" t="n">
        <f aca="false">SUM(P60:AA60)</f>
        <v>0</v>
      </c>
      <c r="AD60" s="20" t="n">
        <f aca="false">'Plan cashflow'!M60</f>
        <v>0</v>
      </c>
      <c r="AE60" s="20" t="n">
        <f aca="false">IF(AD60&gt;PR_BalDone,AD60+AD60*(D_iC)-MIN(F_CardPayM,AD60+AD60*(D_iC)),AD60)</f>
        <v>0</v>
      </c>
      <c r="AF60" s="20" t="n">
        <f aca="false">IF(AE60&gt;PR_BalDone,AE60+AE60*(D_iC)-MIN(F_CardPayM,AE60+AE60*(D_iC)),AE60)</f>
        <v>0</v>
      </c>
      <c r="AG60" s="20" t="n">
        <f aca="false">IF(AF60&gt;PR_BalDone,AF60+AF60*(D_iC)-MIN(F_CardPayM,AF60+AF60*(D_iC)),AF60)</f>
        <v>0</v>
      </c>
      <c r="AH60" s="20" t="n">
        <f aca="false">IF(AG60&gt;PR_BalDone,AG60+AG60*(D_iC)-MIN(F_CardPayM,AG60+AG60*(D_iC)),AG60)</f>
        <v>0</v>
      </c>
      <c r="AI60" s="20" t="n">
        <f aca="false">IF(AH60&gt;PR_BalDone,AH60+AH60*(D_iC)-MIN(F_CardPayM,AH60+AH60*(D_iC)),AH60)</f>
        <v>0</v>
      </c>
      <c r="AJ60" s="20" t="n">
        <f aca="false">IF(AI60&gt;PR_BalDone,AI60+AI60*(D_iC)-MIN(F_CardPayM,AI60+AI60*(D_iC)),AI60)</f>
        <v>0</v>
      </c>
      <c r="AK60" s="20" t="n">
        <f aca="false">IF(AJ60&gt;PR_BalDone,AJ60+AJ60*(D_iC)-MIN(F_CardPayM,AJ60+AJ60*(D_iC)),AJ60)</f>
        <v>0</v>
      </c>
      <c r="AL60" s="20" t="n">
        <f aca="false">IF(AK60&gt;PR_BalDone,AK60+AK60*(D_iC)-MIN(F_CardPayM,AK60+AK60*(D_iC)),AK60)</f>
        <v>0</v>
      </c>
      <c r="AM60" s="20" t="n">
        <f aca="false">IF(AL60&gt;PR_BalDone,AL60+AL60*(D_iC)-MIN(F_CardPayM,AL60+AL60*(D_iC)),AL60)</f>
        <v>0</v>
      </c>
      <c r="AN60" s="20" t="n">
        <f aca="false">IF(AM60&gt;PR_BalDone,AM60+AM60*(D_iC)-MIN(F_CardPayM,AM60+AM60*(D_iC)),AM60)</f>
        <v>0</v>
      </c>
      <c r="AO60" s="20" t="n">
        <f aca="false">IF(AN60&gt;PR_BalDone,AN60+AN60*(D_iC)-MIN(F_CardPayM,AN60+AN60*(D_iC)),AN60)</f>
        <v>0</v>
      </c>
      <c r="AP60" s="20" t="n">
        <f aca="false">IF(AO60&gt;PR_BalDone,AO60+AO60*(D_iC)-MIN(F_CardPayM,AO60+AO60*(D_iC)),AO60)</f>
        <v>0</v>
      </c>
      <c r="AQ60" s="20" t="n">
        <f aca="false">IF(AD60&gt;PR_BalDone,MIN(F_CardPayM,AD60+AD60*(D_iC)),0)</f>
        <v>0</v>
      </c>
      <c r="AR60" s="20" t="n">
        <f aca="false">IF(AE60&gt;PR_BalDone,MIN(F_CardPayM,AE60+AE60*(D_iC)),0)</f>
        <v>0</v>
      </c>
      <c r="AS60" s="20" t="n">
        <f aca="false">IF(AF60&gt;PR_BalDone,MIN(F_CardPayM,AF60+AF60*(D_iC)),0)</f>
        <v>0</v>
      </c>
      <c r="AT60" s="20" t="n">
        <f aca="false">IF(AG60&gt;PR_BalDone,MIN(F_CardPayM,AG60+AG60*(D_iC)),0)</f>
        <v>0</v>
      </c>
      <c r="AU60" s="20" t="n">
        <f aca="false">IF(AH60&gt;PR_BalDone,MIN(F_CardPayM,AH60+AH60*(D_iC)),0)</f>
        <v>0</v>
      </c>
      <c r="AV60" s="20" t="n">
        <f aca="false">IF(AI60&gt;PR_BalDone,MIN(F_CardPayM,AI60+AI60*(D_iC)),0)</f>
        <v>0</v>
      </c>
      <c r="AW60" s="20" t="n">
        <f aca="false">IF(AJ60&gt;PR_BalDone,MIN(F_CardPayM,AJ60+AJ60*(D_iC)),0)</f>
        <v>0</v>
      </c>
      <c r="AX60" s="20" t="n">
        <f aca="false">IF(AK60&gt;PR_BalDone,MIN(F_CardPayM,AK60+AK60*(D_iC)),0)</f>
        <v>0</v>
      </c>
      <c r="AY60" s="20" t="n">
        <f aca="false">IF(AL60&gt;PR_BalDone,MIN(F_CardPayM,AL60+AL60*(D_iC)),0)</f>
        <v>0</v>
      </c>
      <c r="AZ60" s="20" t="n">
        <f aca="false">IF(AM60&gt;PR_BalDone,MIN(F_CardPayM,AM60+AM60*(D_iC)),0)</f>
        <v>0</v>
      </c>
      <c r="BA60" s="20" t="n">
        <f aca="false">IF(AN60&gt;PR_BalDone,MIN(F_CardPayM,AN60+AN60*(D_iC)),0)</f>
        <v>0</v>
      </c>
      <c r="BB60" s="20" t="n">
        <f aca="false">IF(AO60&gt;PR_BalDone,MIN(F_CardPayM,AO60+AO60*(D_iC)),0)</f>
        <v>0</v>
      </c>
      <c r="BC60" s="20" t="n">
        <f aca="false">MAX(0,AP60)</f>
        <v>0</v>
      </c>
      <c r="BD60" s="20" t="n">
        <f aca="false">SUM(AQ60:BB60)</f>
        <v>0</v>
      </c>
      <c r="BE60" s="20" t="n">
        <f aca="false">'Plan cashflow'!P60</f>
        <v>0</v>
      </c>
      <c r="BF60" s="20" t="n">
        <f aca="false">IF(BE60&gt;PR_BalDone,BE60+BE60*(D_iL)-MIN(F_LoanPayM,BE60+BE60*(D_iL)),BE60)</f>
        <v>0</v>
      </c>
      <c r="BG60" s="20" t="n">
        <f aca="false">IF(BF60&gt;PR_BalDone,BF60+BF60*(D_iL)-MIN(F_LoanPayM,BF60+BF60*(D_iL)),BF60)</f>
        <v>0</v>
      </c>
      <c r="BH60" s="20" t="n">
        <f aca="false">IF(BG60&gt;PR_BalDone,BG60+BG60*(D_iL)-MIN(F_LoanPayM,BG60+BG60*(D_iL)),BG60)</f>
        <v>0</v>
      </c>
      <c r="BI60" s="20" t="n">
        <f aca="false">IF(BH60&gt;PR_BalDone,BH60+BH60*(D_iL)-MIN(F_LoanPayM,BH60+BH60*(D_iL)),BH60)</f>
        <v>0</v>
      </c>
      <c r="BJ60" s="20" t="n">
        <f aca="false">IF(BI60&gt;PR_BalDone,BI60+BI60*(D_iL)-MIN(F_LoanPayM,BI60+BI60*(D_iL)),BI60)</f>
        <v>0</v>
      </c>
      <c r="BK60" s="20" t="n">
        <f aca="false">IF(BJ60&gt;PR_BalDone,BJ60+BJ60*(D_iL)-MIN(F_LoanPayM,BJ60+BJ60*(D_iL)),BJ60)</f>
        <v>0</v>
      </c>
      <c r="BL60" s="20" t="n">
        <f aca="false">IF(BK60&gt;PR_BalDone,BK60+BK60*(D_iL)-MIN(F_LoanPayM,BK60+BK60*(D_iL)),BK60)</f>
        <v>0</v>
      </c>
      <c r="BM60" s="20" t="n">
        <f aca="false">IF(BL60&gt;PR_BalDone,BL60+BL60*(D_iL)-MIN(F_LoanPayM,BL60+BL60*(D_iL)),BL60)</f>
        <v>0</v>
      </c>
      <c r="BN60" s="20" t="n">
        <f aca="false">IF(BM60&gt;PR_BalDone,BM60+BM60*(D_iL)-MIN(F_LoanPayM,BM60+BM60*(D_iL)),BM60)</f>
        <v>0</v>
      </c>
      <c r="BO60" s="20" t="n">
        <f aca="false">IF(BN60&gt;PR_BalDone,BN60+BN60*(D_iL)-MIN(F_LoanPayM,BN60+BN60*(D_iL)),BN60)</f>
        <v>0</v>
      </c>
      <c r="BP60" s="20" t="n">
        <f aca="false">IF(BO60&gt;PR_BalDone,BO60+BO60*(D_iL)-MIN(F_LoanPayM,BO60+BO60*(D_iL)),BO60)</f>
        <v>0</v>
      </c>
      <c r="BQ60" s="20" t="n">
        <f aca="false">IF(BP60&gt;PR_BalDone,BP60+BP60*(D_iL)-MIN(F_LoanPayM,BP60+BP60*(D_iL)),BP60)</f>
        <v>0</v>
      </c>
      <c r="BR60" s="20" t="n">
        <f aca="false">IF(BE60&gt;PR_BalDone,MIN(F_LoanPayM,BE60+BE60*(D_iL)),0)</f>
        <v>0</v>
      </c>
      <c r="BS60" s="20" t="n">
        <f aca="false">IF(BF60&gt;PR_BalDone,MIN(F_LoanPayM,BF60+BF60*(D_iL)),0)</f>
        <v>0</v>
      </c>
      <c r="BT60" s="20" t="n">
        <f aca="false">IF(BG60&gt;PR_BalDone,MIN(F_LoanPayM,BG60+BG60*(D_iL)),0)</f>
        <v>0</v>
      </c>
      <c r="BU60" s="20" t="n">
        <f aca="false">IF(BH60&gt;PR_BalDone,MIN(F_LoanPayM,BH60+BH60*(D_iL)),0)</f>
        <v>0</v>
      </c>
      <c r="BV60" s="20" t="n">
        <f aca="false">IF(BI60&gt;PR_BalDone,MIN(F_LoanPayM,BI60+BI60*(D_iL)),0)</f>
        <v>0</v>
      </c>
      <c r="BW60" s="20" t="n">
        <f aca="false">IF(BJ60&gt;PR_BalDone,MIN(F_LoanPayM,BJ60+BJ60*(D_iL)),0)</f>
        <v>0</v>
      </c>
      <c r="BX60" s="20" t="n">
        <f aca="false">IF(BK60&gt;PR_BalDone,MIN(F_LoanPayM,BK60+BK60*(D_iL)),0)</f>
        <v>0</v>
      </c>
      <c r="BY60" s="20" t="n">
        <f aca="false">IF(BL60&gt;PR_BalDone,MIN(F_LoanPayM,BL60+BL60*(D_iL)),0)</f>
        <v>0</v>
      </c>
      <c r="BZ60" s="20" t="n">
        <f aca="false">IF(BM60&gt;PR_BalDone,MIN(F_LoanPayM,BM60+BM60*(D_iL)),0)</f>
        <v>0</v>
      </c>
      <c r="CA60" s="20" t="n">
        <f aca="false">IF(BN60&gt;PR_BalDone,MIN(F_LoanPayM,BN60+BN60*(D_iL)),0)</f>
        <v>0</v>
      </c>
      <c r="CB60" s="20" t="n">
        <f aca="false">IF(BO60&gt;PR_BalDone,MIN(F_LoanPayM,BO60+BO60*(D_iL)),0)</f>
        <v>0</v>
      </c>
      <c r="CC60" s="20" t="n">
        <f aca="false">IF(BP60&gt;PR_BalDone,MIN(F_LoanPayM,BP60+BP60*(D_iL)),0)</f>
        <v>0</v>
      </c>
      <c r="CD60" s="20" t="n">
        <f aca="false">MAX(0,BQ60)</f>
        <v>0</v>
      </c>
      <c r="CE60" s="20" t="n">
        <f aca="false">SUM(BR60:CC60)</f>
        <v>0</v>
      </c>
      <c r="CF60" s="20" t="n">
        <f aca="false">IF(CF59&gt;1,DE59,CF59)</f>
        <v>0</v>
      </c>
      <c r="CG60" s="20" t="n">
        <f aca="false">IF(CF60&gt;PR_BalDone,CF60+CF60*(F_MR/12)-MIN(F_MortPayM,CF60+CF60*(F_MR/12)),CF60)</f>
        <v>0</v>
      </c>
      <c r="CH60" s="20" t="n">
        <f aca="false">IF(CG60&gt;PR_BalDone,CG60+CG60*(F_MR/12)-MIN(F_MortPayM,CG60+CG60*(F_MR/12)),CG60)</f>
        <v>0</v>
      </c>
      <c r="CI60" s="20" t="n">
        <f aca="false">IF(CH60&gt;PR_BalDone,CH60+CH60*(F_MR/12)-MIN(F_MortPayM,CH60+CH60*(F_MR/12)),CH60)</f>
        <v>0</v>
      </c>
      <c r="CJ60" s="20" t="n">
        <f aca="false">IF(CI60&gt;PR_BalDone,CI60+CI60*(F_MR/12)-MIN(F_MortPayM,CI60+CI60*(F_MR/12)),CI60)</f>
        <v>0</v>
      </c>
      <c r="CK60" s="20" t="n">
        <f aca="false">IF(CJ60&gt;PR_BalDone,CJ60+CJ60*(F_MR/12)-MIN(F_MortPayM,CJ60+CJ60*(F_MR/12)),CJ60)</f>
        <v>0</v>
      </c>
      <c r="CL60" s="20" t="n">
        <f aca="false">IF(CK60&gt;PR_BalDone,CK60+CK60*(F_MR/12)-MIN(F_MortPayM,CK60+CK60*(F_MR/12)),CK60)</f>
        <v>0</v>
      </c>
      <c r="CM60" s="20" t="n">
        <f aca="false">IF(CL60&gt;PR_BalDone,CL60+CL60*(F_MR/12)-MIN(F_MortPayM,CL60+CL60*(F_MR/12)),CL60)</f>
        <v>0</v>
      </c>
      <c r="CN60" s="20" t="n">
        <f aca="false">IF(CM60&gt;PR_BalDone,CM60+CM60*(F_MR/12)-MIN(F_MortPayM,CM60+CM60*(F_MR/12)),CM60)</f>
        <v>0</v>
      </c>
      <c r="CO60" s="20" t="n">
        <f aca="false">IF(CN60&gt;PR_BalDone,CN60+CN60*(F_MR/12)-MIN(F_MortPayM,CN60+CN60*(F_MR/12)),CN60)</f>
        <v>0</v>
      </c>
      <c r="CP60" s="20" t="n">
        <f aca="false">IF(CO60&gt;PR_BalDone,CO60+CO60*(F_MR/12)-MIN(F_MortPayM,CO60+CO60*(F_MR/12)),CO60)</f>
        <v>0</v>
      </c>
      <c r="CQ60" s="20" t="n">
        <f aca="false">IF(CP60&gt;PR_BalDone,CP60+CP60*(F_MR/12)-MIN(F_MortPayM,CP60+CP60*(F_MR/12)),CP60)</f>
        <v>0</v>
      </c>
      <c r="CR60" s="20" t="n">
        <f aca="false">IF(CQ60&gt;PR_BalDone,CQ60+CQ60*(F_MR/12)-MIN(F_MortPayM,CQ60+CQ60*(F_MR/12)),CQ60)</f>
        <v>0</v>
      </c>
      <c r="CS60" s="20" t="n">
        <f aca="false">IF(CF60&gt;PR_BalDone,MIN(F_MortPayM,CF60+CF60*(F_MR/12)),0)</f>
        <v>0</v>
      </c>
      <c r="CT60" s="20" t="n">
        <f aca="false">IF(CG60&gt;PR_BalDone,MIN(F_MortPayM,CG60+CG60*(F_MR/12)),0)</f>
        <v>0</v>
      </c>
      <c r="CU60" s="20" t="n">
        <f aca="false">IF(CH60&gt;PR_BalDone,MIN(F_MortPayM,CH60+CH60*(F_MR/12)),0)</f>
        <v>0</v>
      </c>
      <c r="CV60" s="20" t="n">
        <f aca="false">IF(CI60&gt;PR_BalDone,MIN(F_MortPayM,CI60+CI60*(F_MR/12)),0)</f>
        <v>0</v>
      </c>
      <c r="CW60" s="20" t="n">
        <f aca="false">IF(CJ60&gt;PR_BalDone,MIN(F_MortPayM,CJ60+CJ60*(F_MR/12)),0)</f>
        <v>0</v>
      </c>
      <c r="CX60" s="20" t="n">
        <f aca="false">IF(CK60&gt;PR_BalDone,MIN(F_MortPayM,CK60+CK60*(F_MR/12)),0)</f>
        <v>0</v>
      </c>
      <c r="CY60" s="20" t="n">
        <f aca="false">IF(CL60&gt;PR_BalDone,MIN(F_MortPayM,CL60+CL60*(F_MR/12)),0)</f>
        <v>0</v>
      </c>
      <c r="CZ60" s="20" t="n">
        <f aca="false">IF(CM60&gt;PR_BalDone,MIN(F_MortPayM,CM60+CM60*(F_MR/12)),0)</f>
        <v>0</v>
      </c>
      <c r="DA60" s="20" t="n">
        <f aca="false">IF(CN60&gt;PR_BalDone,MIN(F_MortPayM,CN60+CN60*(F_MR/12)),0)</f>
        <v>0</v>
      </c>
      <c r="DB60" s="20" t="n">
        <f aca="false">IF(CO60&gt;PR_BalDone,MIN(F_MortPayM,CO60+CO60*(F_MR/12)),0)</f>
        <v>0</v>
      </c>
      <c r="DC60" s="20" t="n">
        <f aca="false">IF(CP60&gt;PR_BalDone,MIN(F_MortPayM,CP60+CP60*(F_MR/12)),0)</f>
        <v>0</v>
      </c>
      <c r="DD60" s="20" t="n">
        <f aca="false">IF(CQ60&gt;PR_BalDone,MIN(F_MortPayM,CQ60+CQ60*(F_MR/12)),0)</f>
        <v>0</v>
      </c>
      <c r="DE60" s="20" t="n">
        <f aca="false">MAX(0,CR60)</f>
        <v>0</v>
      </c>
      <c r="DF60" s="20" t="n">
        <f aca="false">SUM(CS60:DD60)</f>
        <v>0</v>
      </c>
      <c r="DG60" s="20" t="n">
        <f aca="false">MAX(0,CF60)</f>
        <v>0</v>
      </c>
    </row>
    <row r="61" customFormat="false" ht="15" hidden="false" customHeight="true" outlineLevel="0" collapsed="false">
      <c r="B61" s="20" t="n">
        <v>53</v>
      </c>
      <c r="C61" s="20" t="n">
        <f aca="false">'Plan cashflow'!J61</f>
        <v>0</v>
      </c>
      <c r="D61" s="20" t="n">
        <f aca="false">IF(C61&gt;PR_BalDone,C61+C61*(F_MR/12)-MIN(F_MortPayM,C61+C61*(F_MR/12)),C61)</f>
        <v>0</v>
      </c>
      <c r="E61" s="20" t="n">
        <f aca="false">IF(D61&gt;PR_BalDone,D61+D61*(F_MR/12)-MIN(F_MortPayM,D61+D61*(F_MR/12)),D61)</f>
        <v>0</v>
      </c>
      <c r="F61" s="20" t="n">
        <f aca="false">IF(E61&gt;PR_BalDone,E61+E61*(F_MR/12)-MIN(F_MortPayM,E61+E61*(F_MR/12)),E61)</f>
        <v>0</v>
      </c>
      <c r="G61" s="20" t="n">
        <f aca="false">IF(F61&gt;PR_BalDone,F61+F61*(F_MR/12)-MIN(F_MortPayM,F61+F61*(F_MR/12)),F61)</f>
        <v>0</v>
      </c>
      <c r="H61" s="20" t="n">
        <f aca="false">IF(G61&gt;PR_BalDone,G61+G61*(F_MR/12)-MIN(F_MortPayM,G61+G61*(F_MR/12)),G61)</f>
        <v>0</v>
      </c>
      <c r="I61" s="20" t="n">
        <f aca="false">IF(H61&gt;PR_BalDone,H61+H61*(F_MR/12)-MIN(F_MortPayM,H61+H61*(F_MR/12)),H61)</f>
        <v>0</v>
      </c>
      <c r="J61" s="20" t="n">
        <f aca="false">IF(I61&gt;PR_BalDone,I61+I61*(F_MR/12)-MIN(F_MortPayM,I61+I61*(F_MR/12)),I61)</f>
        <v>0</v>
      </c>
      <c r="K61" s="20" t="n">
        <f aca="false">IF(J61&gt;PR_BalDone,J61+J61*(F_MR/12)-MIN(F_MortPayM,J61+J61*(F_MR/12)),J61)</f>
        <v>0</v>
      </c>
      <c r="L61" s="20" t="n">
        <f aca="false">IF(K61&gt;PR_BalDone,K61+K61*(F_MR/12)-MIN(F_MortPayM,K61+K61*(F_MR/12)),K61)</f>
        <v>0</v>
      </c>
      <c r="M61" s="20" t="n">
        <f aca="false">IF(L61&gt;PR_BalDone,L61+L61*(F_MR/12)-MIN(F_MortPayM,L61+L61*(F_MR/12)),L61)</f>
        <v>0</v>
      </c>
      <c r="N61" s="20" t="n">
        <f aca="false">IF(M61&gt;PR_BalDone,M61+M61*(F_MR/12)-MIN(F_MortPayM,M61+M61*(F_MR/12)),M61)</f>
        <v>0</v>
      </c>
      <c r="O61" s="20" t="n">
        <f aca="false">IF(N61&gt;PR_BalDone,N61+N61*(F_MR/12)-MIN(F_MortPayM,N61+N61*(F_MR/12)),N61)</f>
        <v>0</v>
      </c>
      <c r="P61" s="20" t="n">
        <f aca="false">IF(C61&gt;PR_BalDone,MIN(F_MortPayM,C61+C61*(F_MR/12)),0)</f>
        <v>0</v>
      </c>
      <c r="Q61" s="20" t="n">
        <f aca="false">IF(D61&gt;PR_BalDone,MIN(F_MortPayM,D61+D61*(F_MR/12)),0)</f>
        <v>0</v>
      </c>
      <c r="R61" s="20" t="n">
        <f aca="false">IF(E61&gt;PR_BalDone,MIN(F_MortPayM,E61+E61*(F_MR/12)),0)</f>
        <v>0</v>
      </c>
      <c r="S61" s="20" t="n">
        <f aca="false">IF(F61&gt;PR_BalDone,MIN(F_MortPayM,F61+F61*(F_MR/12)),0)</f>
        <v>0</v>
      </c>
      <c r="T61" s="20" t="n">
        <f aca="false">IF(G61&gt;PR_BalDone,MIN(F_MortPayM,G61+G61*(F_MR/12)),0)</f>
        <v>0</v>
      </c>
      <c r="U61" s="20" t="n">
        <f aca="false">IF(H61&gt;PR_BalDone,MIN(F_MortPayM,H61+H61*(F_MR/12)),0)</f>
        <v>0</v>
      </c>
      <c r="V61" s="20" t="n">
        <f aca="false">IF(I61&gt;PR_BalDone,MIN(F_MortPayM,I61+I61*(F_MR/12)),0)</f>
        <v>0</v>
      </c>
      <c r="W61" s="20" t="n">
        <f aca="false">IF(J61&gt;PR_BalDone,MIN(F_MortPayM,J61+J61*(F_MR/12)),0)</f>
        <v>0</v>
      </c>
      <c r="X61" s="20" t="n">
        <f aca="false">IF(K61&gt;PR_BalDone,MIN(F_MortPayM,K61+K61*(F_MR/12)),0)</f>
        <v>0</v>
      </c>
      <c r="Y61" s="20" t="n">
        <f aca="false">IF(L61&gt;PR_BalDone,MIN(F_MortPayM,L61+L61*(F_MR/12)),0)</f>
        <v>0</v>
      </c>
      <c r="Z61" s="20" t="n">
        <f aca="false">IF(M61&gt;PR_BalDone,MIN(F_MortPayM,M61+M61*(F_MR/12)),0)</f>
        <v>0</v>
      </c>
      <c r="AA61" s="20" t="n">
        <f aca="false">IF(N61&gt;PR_BalDone,MIN(F_MortPayM,N61+N61*(F_MR/12)),0)</f>
        <v>0</v>
      </c>
      <c r="AB61" s="20" t="n">
        <f aca="false">MAX(0,O61)</f>
        <v>0</v>
      </c>
      <c r="AC61" s="20" t="n">
        <f aca="false">SUM(P61:AA61)</f>
        <v>0</v>
      </c>
      <c r="AD61" s="20" t="n">
        <f aca="false">'Plan cashflow'!M61</f>
        <v>0</v>
      </c>
      <c r="AE61" s="20" t="n">
        <f aca="false">IF(AD61&gt;PR_BalDone,AD61+AD61*(D_iC)-MIN(F_CardPayM,AD61+AD61*(D_iC)),AD61)</f>
        <v>0</v>
      </c>
      <c r="AF61" s="20" t="n">
        <f aca="false">IF(AE61&gt;PR_BalDone,AE61+AE61*(D_iC)-MIN(F_CardPayM,AE61+AE61*(D_iC)),AE61)</f>
        <v>0</v>
      </c>
      <c r="AG61" s="20" t="n">
        <f aca="false">IF(AF61&gt;PR_BalDone,AF61+AF61*(D_iC)-MIN(F_CardPayM,AF61+AF61*(D_iC)),AF61)</f>
        <v>0</v>
      </c>
      <c r="AH61" s="20" t="n">
        <f aca="false">IF(AG61&gt;PR_BalDone,AG61+AG61*(D_iC)-MIN(F_CardPayM,AG61+AG61*(D_iC)),AG61)</f>
        <v>0</v>
      </c>
      <c r="AI61" s="20" t="n">
        <f aca="false">IF(AH61&gt;PR_BalDone,AH61+AH61*(D_iC)-MIN(F_CardPayM,AH61+AH61*(D_iC)),AH61)</f>
        <v>0</v>
      </c>
      <c r="AJ61" s="20" t="n">
        <f aca="false">IF(AI61&gt;PR_BalDone,AI61+AI61*(D_iC)-MIN(F_CardPayM,AI61+AI61*(D_iC)),AI61)</f>
        <v>0</v>
      </c>
      <c r="AK61" s="20" t="n">
        <f aca="false">IF(AJ61&gt;PR_BalDone,AJ61+AJ61*(D_iC)-MIN(F_CardPayM,AJ61+AJ61*(D_iC)),AJ61)</f>
        <v>0</v>
      </c>
      <c r="AL61" s="20" t="n">
        <f aca="false">IF(AK61&gt;PR_BalDone,AK61+AK61*(D_iC)-MIN(F_CardPayM,AK61+AK61*(D_iC)),AK61)</f>
        <v>0</v>
      </c>
      <c r="AM61" s="20" t="n">
        <f aca="false">IF(AL61&gt;PR_BalDone,AL61+AL61*(D_iC)-MIN(F_CardPayM,AL61+AL61*(D_iC)),AL61)</f>
        <v>0</v>
      </c>
      <c r="AN61" s="20" t="n">
        <f aca="false">IF(AM61&gt;PR_BalDone,AM61+AM61*(D_iC)-MIN(F_CardPayM,AM61+AM61*(D_iC)),AM61)</f>
        <v>0</v>
      </c>
      <c r="AO61" s="20" t="n">
        <f aca="false">IF(AN61&gt;PR_BalDone,AN61+AN61*(D_iC)-MIN(F_CardPayM,AN61+AN61*(D_iC)),AN61)</f>
        <v>0</v>
      </c>
      <c r="AP61" s="20" t="n">
        <f aca="false">IF(AO61&gt;PR_BalDone,AO61+AO61*(D_iC)-MIN(F_CardPayM,AO61+AO61*(D_iC)),AO61)</f>
        <v>0</v>
      </c>
      <c r="AQ61" s="20" t="n">
        <f aca="false">IF(AD61&gt;PR_BalDone,MIN(F_CardPayM,AD61+AD61*(D_iC)),0)</f>
        <v>0</v>
      </c>
      <c r="AR61" s="20" t="n">
        <f aca="false">IF(AE61&gt;PR_BalDone,MIN(F_CardPayM,AE61+AE61*(D_iC)),0)</f>
        <v>0</v>
      </c>
      <c r="AS61" s="20" t="n">
        <f aca="false">IF(AF61&gt;PR_BalDone,MIN(F_CardPayM,AF61+AF61*(D_iC)),0)</f>
        <v>0</v>
      </c>
      <c r="AT61" s="20" t="n">
        <f aca="false">IF(AG61&gt;PR_BalDone,MIN(F_CardPayM,AG61+AG61*(D_iC)),0)</f>
        <v>0</v>
      </c>
      <c r="AU61" s="20" t="n">
        <f aca="false">IF(AH61&gt;PR_BalDone,MIN(F_CardPayM,AH61+AH61*(D_iC)),0)</f>
        <v>0</v>
      </c>
      <c r="AV61" s="20" t="n">
        <f aca="false">IF(AI61&gt;PR_BalDone,MIN(F_CardPayM,AI61+AI61*(D_iC)),0)</f>
        <v>0</v>
      </c>
      <c r="AW61" s="20" t="n">
        <f aca="false">IF(AJ61&gt;PR_BalDone,MIN(F_CardPayM,AJ61+AJ61*(D_iC)),0)</f>
        <v>0</v>
      </c>
      <c r="AX61" s="20" t="n">
        <f aca="false">IF(AK61&gt;PR_BalDone,MIN(F_CardPayM,AK61+AK61*(D_iC)),0)</f>
        <v>0</v>
      </c>
      <c r="AY61" s="20" t="n">
        <f aca="false">IF(AL61&gt;PR_BalDone,MIN(F_CardPayM,AL61+AL61*(D_iC)),0)</f>
        <v>0</v>
      </c>
      <c r="AZ61" s="20" t="n">
        <f aca="false">IF(AM61&gt;PR_BalDone,MIN(F_CardPayM,AM61+AM61*(D_iC)),0)</f>
        <v>0</v>
      </c>
      <c r="BA61" s="20" t="n">
        <f aca="false">IF(AN61&gt;PR_BalDone,MIN(F_CardPayM,AN61+AN61*(D_iC)),0)</f>
        <v>0</v>
      </c>
      <c r="BB61" s="20" t="n">
        <f aca="false">IF(AO61&gt;PR_BalDone,MIN(F_CardPayM,AO61+AO61*(D_iC)),0)</f>
        <v>0</v>
      </c>
      <c r="BC61" s="20" t="n">
        <f aca="false">MAX(0,AP61)</f>
        <v>0</v>
      </c>
      <c r="BD61" s="20" t="n">
        <f aca="false">SUM(AQ61:BB61)</f>
        <v>0</v>
      </c>
      <c r="BE61" s="20" t="n">
        <f aca="false">'Plan cashflow'!P61</f>
        <v>0</v>
      </c>
      <c r="BF61" s="20" t="n">
        <f aca="false">IF(BE61&gt;PR_BalDone,BE61+BE61*(D_iL)-MIN(F_LoanPayM,BE61+BE61*(D_iL)),BE61)</f>
        <v>0</v>
      </c>
      <c r="BG61" s="20" t="n">
        <f aca="false">IF(BF61&gt;PR_BalDone,BF61+BF61*(D_iL)-MIN(F_LoanPayM,BF61+BF61*(D_iL)),BF61)</f>
        <v>0</v>
      </c>
      <c r="BH61" s="20" t="n">
        <f aca="false">IF(BG61&gt;PR_BalDone,BG61+BG61*(D_iL)-MIN(F_LoanPayM,BG61+BG61*(D_iL)),BG61)</f>
        <v>0</v>
      </c>
      <c r="BI61" s="20" t="n">
        <f aca="false">IF(BH61&gt;PR_BalDone,BH61+BH61*(D_iL)-MIN(F_LoanPayM,BH61+BH61*(D_iL)),BH61)</f>
        <v>0</v>
      </c>
      <c r="BJ61" s="20" t="n">
        <f aca="false">IF(BI61&gt;PR_BalDone,BI61+BI61*(D_iL)-MIN(F_LoanPayM,BI61+BI61*(D_iL)),BI61)</f>
        <v>0</v>
      </c>
      <c r="BK61" s="20" t="n">
        <f aca="false">IF(BJ61&gt;PR_BalDone,BJ61+BJ61*(D_iL)-MIN(F_LoanPayM,BJ61+BJ61*(D_iL)),BJ61)</f>
        <v>0</v>
      </c>
      <c r="BL61" s="20" t="n">
        <f aca="false">IF(BK61&gt;PR_BalDone,BK61+BK61*(D_iL)-MIN(F_LoanPayM,BK61+BK61*(D_iL)),BK61)</f>
        <v>0</v>
      </c>
      <c r="BM61" s="20" t="n">
        <f aca="false">IF(BL61&gt;PR_BalDone,BL61+BL61*(D_iL)-MIN(F_LoanPayM,BL61+BL61*(D_iL)),BL61)</f>
        <v>0</v>
      </c>
      <c r="BN61" s="20" t="n">
        <f aca="false">IF(BM61&gt;PR_BalDone,BM61+BM61*(D_iL)-MIN(F_LoanPayM,BM61+BM61*(D_iL)),BM61)</f>
        <v>0</v>
      </c>
      <c r="BO61" s="20" t="n">
        <f aca="false">IF(BN61&gt;PR_BalDone,BN61+BN61*(D_iL)-MIN(F_LoanPayM,BN61+BN61*(D_iL)),BN61)</f>
        <v>0</v>
      </c>
      <c r="BP61" s="20" t="n">
        <f aca="false">IF(BO61&gt;PR_BalDone,BO61+BO61*(D_iL)-MIN(F_LoanPayM,BO61+BO61*(D_iL)),BO61)</f>
        <v>0</v>
      </c>
      <c r="BQ61" s="20" t="n">
        <f aca="false">IF(BP61&gt;PR_BalDone,BP61+BP61*(D_iL)-MIN(F_LoanPayM,BP61+BP61*(D_iL)),BP61)</f>
        <v>0</v>
      </c>
      <c r="BR61" s="20" t="n">
        <f aca="false">IF(BE61&gt;PR_BalDone,MIN(F_LoanPayM,BE61+BE61*(D_iL)),0)</f>
        <v>0</v>
      </c>
      <c r="BS61" s="20" t="n">
        <f aca="false">IF(BF61&gt;PR_BalDone,MIN(F_LoanPayM,BF61+BF61*(D_iL)),0)</f>
        <v>0</v>
      </c>
      <c r="BT61" s="20" t="n">
        <f aca="false">IF(BG61&gt;PR_BalDone,MIN(F_LoanPayM,BG61+BG61*(D_iL)),0)</f>
        <v>0</v>
      </c>
      <c r="BU61" s="20" t="n">
        <f aca="false">IF(BH61&gt;PR_BalDone,MIN(F_LoanPayM,BH61+BH61*(D_iL)),0)</f>
        <v>0</v>
      </c>
      <c r="BV61" s="20" t="n">
        <f aca="false">IF(BI61&gt;PR_BalDone,MIN(F_LoanPayM,BI61+BI61*(D_iL)),0)</f>
        <v>0</v>
      </c>
      <c r="BW61" s="20" t="n">
        <f aca="false">IF(BJ61&gt;PR_BalDone,MIN(F_LoanPayM,BJ61+BJ61*(D_iL)),0)</f>
        <v>0</v>
      </c>
      <c r="BX61" s="20" t="n">
        <f aca="false">IF(BK61&gt;PR_BalDone,MIN(F_LoanPayM,BK61+BK61*(D_iL)),0)</f>
        <v>0</v>
      </c>
      <c r="BY61" s="20" t="n">
        <f aca="false">IF(BL61&gt;PR_BalDone,MIN(F_LoanPayM,BL61+BL61*(D_iL)),0)</f>
        <v>0</v>
      </c>
      <c r="BZ61" s="20" t="n">
        <f aca="false">IF(BM61&gt;PR_BalDone,MIN(F_LoanPayM,BM61+BM61*(D_iL)),0)</f>
        <v>0</v>
      </c>
      <c r="CA61" s="20" t="n">
        <f aca="false">IF(BN61&gt;PR_BalDone,MIN(F_LoanPayM,BN61+BN61*(D_iL)),0)</f>
        <v>0</v>
      </c>
      <c r="CB61" s="20" t="n">
        <f aca="false">IF(BO61&gt;PR_BalDone,MIN(F_LoanPayM,BO61+BO61*(D_iL)),0)</f>
        <v>0</v>
      </c>
      <c r="CC61" s="20" t="n">
        <f aca="false">IF(BP61&gt;PR_BalDone,MIN(F_LoanPayM,BP61+BP61*(D_iL)),0)</f>
        <v>0</v>
      </c>
      <c r="CD61" s="20" t="n">
        <f aca="false">MAX(0,BQ61)</f>
        <v>0</v>
      </c>
      <c r="CE61" s="20" t="n">
        <f aca="false">SUM(BR61:CC61)</f>
        <v>0</v>
      </c>
      <c r="CF61" s="20" t="n">
        <f aca="false">IF(CF60&gt;1,DE60,CF60)</f>
        <v>0</v>
      </c>
      <c r="CG61" s="20" t="n">
        <f aca="false">IF(CF61&gt;PR_BalDone,CF61+CF61*(F_MR/12)-MIN(F_MortPayM,CF61+CF61*(F_MR/12)),CF61)</f>
        <v>0</v>
      </c>
      <c r="CH61" s="20" t="n">
        <f aca="false">IF(CG61&gt;PR_BalDone,CG61+CG61*(F_MR/12)-MIN(F_MortPayM,CG61+CG61*(F_MR/12)),CG61)</f>
        <v>0</v>
      </c>
      <c r="CI61" s="20" t="n">
        <f aca="false">IF(CH61&gt;PR_BalDone,CH61+CH61*(F_MR/12)-MIN(F_MortPayM,CH61+CH61*(F_MR/12)),CH61)</f>
        <v>0</v>
      </c>
      <c r="CJ61" s="20" t="n">
        <f aca="false">IF(CI61&gt;PR_BalDone,CI61+CI61*(F_MR/12)-MIN(F_MortPayM,CI61+CI61*(F_MR/12)),CI61)</f>
        <v>0</v>
      </c>
      <c r="CK61" s="20" t="n">
        <f aca="false">IF(CJ61&gt;PR_BalDone,CJ61+CJ61*(F_MR/12)-MIN(F_MortPayM,CJ61+CJ61*(F_MR/12)),CJ61)</f>
        <v>0</v>
      </c>
      <c r="CL61" s="20" t="n">
        <f aca="false">IF(CK61&gt;PR_BalDone,CK61+CK61*(F_MR/12)-MIN(F_MortPayM,CK61+CK61*(F_MR/12)),CK61)</f>
        <v>0</v>
      </c>
      <c r="CM61" s="20" t="n">
        <f aca="false">IF(CL61&gt;PR_BalDone,CL61+CL61*(F_MR/12)-MIN(F_MortPayM,CL61+CL61*(F_MR/12)),CL61)</f>
        <v>0</v>
      </c>
      <c r="CN61" s="20" t="n">
        <f aca="false">IF(CM61&gt;PR_BalDone,CM61+CM61*(F_MR/12)-MIN(F_MortPayM,CM61+CM61*(F_MR/12)),CM61)</f>
        <v>0</v>
      </c>
      <c r="CO61" s="20" t="n">
        <f aca="false">IF(CN61&gt;PR_BalDone,CN61+CN61*(F_MR/12)-MIN(F_MortPayM,CN61+CN61*(F_MR/12)),CN61)</f>
        <v>0</v>
      </c>
      <c r="CP61" s="20" t="n">
        <f aca="false">IF(CO61&gt;PR_BalDone,CO61+CO61*(F_MR/12)-MIN(F_MortPayM,CO61+CO61*(F_MR/12)),CO61)</f>
        <v>0</v>
      </c>
      <c r="CQ61" s="20" t="n">
        <f aca="false">IF(CP61&gt;PR_BalDone,CP61+CP61*(F_MR/12)-MIN(F_MortPayM,CP61+CP61*(F_MR/12)),CP61)</f>
        <v>0</v>
      </c>
      <c r="CR61" s="20" t="n">
        <f aca="false">IF(CQ61&gt;PR_BalDone,CQ61+CQ61*(F_MR/12)-MIN(F_MortPayM,CQ61+CQ61*(F_MR/12)),CQ61)</f>
        <v>0</v>
      </c>
      <c r="CS61" s="20" t="n">
        <f aca="false">IF(CF61&gt;PR_BalDone,MIN(F_MortPayM,CF61+CF61*(F_MR/12)),0)</f>
        <v>0</v>
      </c>
      <c r="CT61" s="20" t="n">
        <f aca="false">IF(CG61&gt;PR_BalDone,MIN(F_MortPayM,CG61+CG61*(F_MR/12)),0)</f>
        <v>0</v>
      </c>
      <c r="CU61" s="20" t="n">
        <f aca="false">IF(CH61&gt;PR_BalDone,MIN(F_MortPayM,CH61+CH61*(F_MR/12)),0)</f>
        <v>0</v>
      </c>
      <c r="CV61" s="20" t="n">
        <f aca="false">IF(CI61&gt;PR_BalDone,MIN(F_MortPayM,CI61+CI61*(F_MR/12)),0)</f>
        <v>0</v>
      </c>
      <c r="CW61" s="20" t="n">
        <f aca="false">IF(CJ61&gt;PR_BalDone,MIN(F_MortPayM,CJ61+CJ61*(F_MR/12)),0)</f>
        <v>0</v>
      </c>
      <c r="CX61" s="20" t="n">
        <f aca="false">IF(CK61&gt;PR_BalDone,MIN(F_MortPayM,CK61+CK61*(F_MR/12)),0)</f>
        <v>0</v>
      </c>
      <c r="CY61" s="20" t="n">
        <f aca="false">IF(CL61&gt;PR_BalDone,MIN(F_MortPayM,CL61+CL61*(F_MR/12)),0)</f>
        <v>0</v>
      </c>
      <c r="CZ61" s="20" t="n">
        <f aca="false">IF(CM61&gt;PR_BalDone,MIN(F_MortPayM,CM61+CM61*(F_MR/12)),0)</f>
        <v>0</v>
      </c>
      <c r="DA61" s="20" t="n">
        <f aca="false">IF(CN61&gt;PR_BalDone,MIN(F_MortPayM,CN61+CN61*(F_MR/12)),0)</f>
        <v>0</v>
      </c>
      <c r="DB61" s="20" t="n">
        <f aca="false">IF(CO61&gt;PR_BalDone,MIN(F_MortPayM,CO61+CO61*(F_MR/12)),0)</f>
        <v>0</v>
      </c>
      <c r="DC61" s="20" t="n">
        <f aca="false">IF(CP61&gt;PR_BalDone,MIN(F_MortPayM,CP61+CP61*(F_MR/12)),0)</f>
        <v>0</v>
      </c>
      <c r="DD61" s="20" t="n">
        <f aca="false">IF(CQ61&gt;PR_BalDone,MIN(F_MortPayM,CQ61+CQ61*(F_MR/12)),0)</f>
        <v>0</v>
      </c>
      <c r="DE61" s="20" t="n">
        <f aca="false">MAX(0,CR61)</f>
        <v>0</v>
      </c>
      <c r="DF61" s="20" t="n">
        <f aca="false">SUM(CS61:DD61)</f>
        <v>0</v>
      </c>
      <c r="DG61" s="20" t="n">
        <f aca="false">MAX(0,CF61)</f>
        <v>0</v>
      </c>
    </row>
    <row r="62" customFormat="false" ht="15" hidden="false" customHeight="true" outlineLevel="0" collapsed="false">
      <c r="B62" s="20" t="n">
        <v>54</v>
      </c>
      <c r="C62" s="20" t="n">
        <f aca="false">'Plan cashflow'!J62</f>
        <v>0</v>
      </c>
      <c r="D62" s="20" t="n">
        <f aca="false">IF(C62&gt;PR_BalDone,C62+C62*(F_MR/12)-MIN(F_MortPayM,C62+C62*(F_MR/12)),C62)</f>
        <v>0</v>
      </c>
      <c r="E62" s="20" t="n">
        <f aca="false">IF(D62&gt;PR_BalDone,D62+D62*(F_MR/12)-MIN(F_MortPayM,D62+D62*(F_MR/12)),D62)</f>
        <v>0</v>
      </c>
      <c r="F62" s="20" t="n">
        <f aca="false">IF(E62&gt;PR_BalDone,E62+E62*(F_MR/12)-MIN(F_MortPayM,E62+E62*(F_MR/12)),E62)</f>
        <v>0</v>
      </c>
      <c r="G62" s="20" t="n">
        <f aca="false">IF(F62&gt;PR_BalDone,F62+F62*(F_MR/12)-MIN(F_MortPayM,F62+F62*(F_MR/12)),F62)</f>
        <v>0</v>
      </c>
      <c r="H62" s="20" t="n">
        <f aca="false">IF(G62&gt;PR_BalDone,G62+G62*(F_MR/12)-MIN(F_MortPayM,G62+G62*(F_MR/12)),G62)</f>
        <v>0</v>
      </c>
      <c r="I62" s="20" t="n">
        <f aca="false">IF(H62&gt;PR_BalDone,H62+H62*(F_MR/12)-MIN(F_MortPayM,H62+H62*(F_MR/12)),H62)</f>
        <v>0</v>
      </c>
      <c r="J62" s="20" t="n">
        <f aca="false">IF(I62&gt;PR_BalDone,I62+I62*(F_MR/12)-MIN(F_MortPayM,I62+I62*(F_MR/12)),I62)</f>
        <v>0</v>
      </c>
      <c r="K62" s="20" t="n">
        <f aca="false">IF(J62&gt;PR_BalDone,J62+J62*(F_MR/12)-MIN(F_MortPayM,J62+J62*(F_MR/12)),J62)</f>
        <v>0</v>
      </c>
      <c r="L62" s="20" t="n">
        <f aca="false">IF(K62&gt;PR_BalDone,K62+K62*(F_MR/12)-MIN(F_MortPayM,K62+K62*(F_MR/12)),K62)</f>
        <v>0</v>
      </c>
      <c r="M62" s="20" t="n">
        <f aca="false">IF(L62&gt;PR_BalDone,L62+L62*(F_MR/12)-MIN(F_MortPayM,L62+L62*(F_MR/12)),L62)</f>
        <v>0</v>
      </c>
      <c r="N62" s="20" t="n">
        <f aca="false">IF(M62&gt;PR_BalDone,M62+M62*(F_MR/12)-MIN(F_MortPayM,M62+M62*(F_MR/12)),M62)</f>
        <v>0</v>
      </c>
      <c r="O62" s="20" t="n">
        <f aca="false">IF(N62&gt;PR_BalDone,N62+N62*(F_MR/12)-MIN(F_MortPayM,N62+N62*(F_MR/12)),N62)</f>
        <v>0</v>
      </c>
      <c r="P62" s="20" t="n">
        <f aca="false">IF(C62&gt;PR_BalDone,MIN(F_MortPayM,C62+C62*(F_MR/12)),0)</f>
        <v>0</v>
      </c>
      <c r="Q62" s="20" t="n">
        <f aca="false">IF(D62&gt;PR_BalDone,MIN(F_MortPayM,D62+D62*(F_MR/12)),0)</f>
        <v>0</v>
      </c>
      <c r="R62" s="20" t="n">
        <f aca="false">IF(E62&gt;PR_BalDone,MIN(F_MortPayM,E62+E62*(F_MR/12)),0)</f>
        <v>0</v>
      </c>
      <c r="S62" s="20" t="n">
        <f aca="false">IF(F62&gt;PR_BalDone,MIN(F_MortPayM,F62+F62*(F_MR/12)),0)</f>
        <v>0</v>
      </c>
      <c r="T62" s="20" t="n">
        <f aca="false">IF(G62&gt;PR_BalDone,MIN(F_MortPayM,G62+G62*(F_MR/12)),0)</f>
        <v>0</v>
      </c>
      <c r="U62" s="20" t="n">
        <f aca="false">IF(H62&gt;PR_BalDone,MIN(F_MortPayM,H62+H62*(F_MR/12)),0)</f>
        <v>0</v>
      </c>
      <c r="V62" s="20" t="n">
        <f aca="false">IF(I62&gt;PR_BalDone,MIN(F_MortPayM,I62+I62*(F_MR/12)),0)</f>
        <v>0</v>
      </c>
      <c r="W62" s="20" t="n">
        <f aca="false">IF(J62&gt;PR_BalDone,MIN(F_MortPayM,J62+J62*(F_MR/12)),0)</f>
        <v>0</v>
      </c>
      <c r="X62" s="20" t="n">
        <f aca="false">IF(K62&gt;PR_BalDone,MIN(F_MortPayM,K62+K62*(F_MR/12)),0)</f>
        <v>0</v>
      </c>
      <c r="Y62" s="20" t="n">
        <f aca="false">IF(L62&gt;PR_BalDone,MIN(F_MortPayM,L62+L62*(F_MR/12)),0)</f>
        <v>0</v>
      </c>
      <c r="Z62" s="20" t="n">
        <f aca="false">IF(M62&gt;PR_BalDone,MIN(F_MortPayM,M62+M62*(F_MR/12)),0)</f>
        <v>0</v>
      </c>
      <c r="AA62" s="20" t="n">
        <f aca="false">IF(N62&gt;PR_BalDone,MIN(F_MortPayM,N62+N62*(F_MR/12)),0)</f>
        <v>0</v>
      </c>
      <c r="AB62" s="20" t="n">
        <f aca="false">MAX(0,O62)</f>
        <v>0</v>
      </c>
      <c r="AC62" s="20" t="n">
        <f aca="false">SUM(P62:AA62)</f>
        <v>0</v>
      </c>
      <c r="AD62" s="20" t="n">
        <f aca="false">'Plan cashflow'!M62</f>
        <v>0</v>
      </c>
      <c r="AE62" s="20" t="n">
        <f aca="false">IF(AD62&gt;PR_BalDone,AD62+AD62*(D_iC)-MIN(F_CardPayM,AD62+AD62*(D_iC)),AD62)</f>
        <v>0</v>
      </c>
      <c r="AF62" s="20" t="n">
        <f aca="false">IF(AE62&gt;PR_BalDone,AE62+AE62*(D_iC)-MIN(F_CardPayM,AE62+AE62*(D_iC)),AE62)</f>
        <v>0</v>
      </c>
      <c r="AG62" s="20" t="n">
        <f aca="false">IF(AF62&gt;PR_BalDone,AF62+AF62*(D_iC)-MIN(F_CardPayM,AF62+AF62*(D_iC)),AF62)</f>
        <v>0</v>
      </c>
      <c r="AH62" s="20" t="n">
        <f aca="false">IF(AG62&gt;PR_BalDone,AG62+AG62*(D_iC)-MIN(F_CardPayM,AG62+AG62*(D_iC)),AG62)</f>
        <v>0</v>
      </c>
      <c r="AI62" s="20" t="n">
        <f aca="false">IF(AH62&gt;PR_BalDone,AH62+AH62*(D_iC)-MIN(F_CardPayM,AH62+AH62*(D_iC)),AH62)</f>
        <v>0</v>
      </c>
      <c r="AJ62" s="20" t="n">
        <f aca="false">IF(AI62&gt;PR_BalDone,AI62+AI62*(D_iC)-MIN(F_CardPayM,AI62+AI62*(D_iC)),AI62)</f>
        <v>0</v>
      </c>
      <c r="AK62" s="20" t="n">
        <f aca="false">IF(AJ62&gt;PR_BalDone,AJ62+AJ62*(D_iC)-MIN(F_CardPayM,AJ62+AJ62*(D_iC)),AJ62)</f>
        <v>0</v>
      </c>
      <c r="AL62" s="20" t="n">
        <f aca="false">IF(AK62&gt;PR_BalDone,AK62+AK62*(D_iC)-MIN(F_CardPayM,AK62+AK62*(D_iC)),AK62)</f>
        <v>0</v>
      </c>
      <c r="AM62" s="20" t="n">
        <f aca="false">IF(AL62&gt;PR_BalDone,AL62+AL62*(D_iC)-MIN(F_CardPayM,AL62+AL62*(D_iC)),AL62)</f>
        <v>0</v>
      </c>
      <c r="AN62" s="20" t="n">
        <f aca="false">IF(AM62&gt;PR_BalDone,AM62+AM62*(D_iC)-MIN(F_CardPayM,AM62+AM62*(D_iC)),AM62)</f>
        <v>0</v>
      </c>
      <c r="AO62" s="20" t="n">
        <f aca="false">IF(AN62&gt;PR_BalDone,AN62+AN62*(D_iC)-MIN(F_CardPayM,AN62+AN62*(D_iC)),AN62)</f>
        <v>0</v>
      </c>
      <c r="AP62" s="20" t="n">
        <f aca="false">IF(AO62&gt;PR_BalDone,AO62+AO62*(D_iC)-MIN(F_CardPayM,AO62+AO62*(D_iC)),AO62)</f>
        <v>0</v>
      </c>
      <c r="AQ62" s="20" t="n">
        <f aca="false">IF(AD62&gt;PR_BalDone,MIN(F_CardPayM,AD62+AD62*(D_iC)),0)</f>
        <v>0</v>
      </c>
      <c r="AR62" s="20" t="n">
        <f aca="false">IF(AE62&gt;PR_BalDone,MIN(F_CardPayM,AE62+AE62*(D_iC)),0)</f>
        <v>0</v>
      </c>
      <c r="AS62" s="20" t="n">
        <f aca="false">IF(AF62&gt;PR_BalDone,MIN(F_CardPayM,AF62+AF62*(D_iC)),0)</f>
        <v>0</v>
      </c>
      <c r="AT62" s="20" t="n">
        <f aca="false">IF(AG62&gt;PR_BalDone,MIN(F_CardPayM,AG62+AG62*(D_iC)),0)</f>
        <v>0</v>
      </c>
      <c r="AU62" s="20" t="n">
        <f aca="false">IF(AH62&gt;PR_BalDone,MIN(F_CardPayM,AH62+AH62*(D_iC)),0)</f>
        <v>0</v>
      </c>
      <c r="AV62" s="20" t="n">
        <f aca="false">IF(AI62&gt;PR_BalDone,MIN(F_CardPayM,AI62+AI62*(D_iC)),0)</f>
        <v>0</v>
      </c>
      <c r="AW62" s="20" t="n">
        <f aca="false">IF(AJ62&gt;PR_BalDone,MIN(F_CardPayM,AJ62+AJ62*(D_iC)),0)</f>
        <v>0</v>
      </c>
      <c r="AX62" s="20" t="n">
        <f aca="false">IF(AK62&gt;PR_BalDone,MIN(F_CardPayM,AK62+AK62*(D_iC)),0)</f>
        <v>0</v>
      </c>
      <c r="AY62" s="20" t="n">
        <f aca="false">IF(AL62&gt;PR_BalDone,MIN(F_CardPayM,AL62+AL62*(D_iC)),0)</f>
        <v>0</v>
      </c>
      <c r="AZ62" s="20" t="n">
        <f aca="false">IF(AM62&gt;PR_BalDone,MIN(F_CardPayM,AM62+AM62*(D_iC)),0)</f>
        <v>0</v>
      </c>
      <c r="BA62" s="20" t="n">
        <f aca="false">IF(AN62&gt;PR_BalDone,MIN(F_CardPayM,AN62+AN62*(D_iC)),0)</f>
        <v>0</v>
      </c>
      <c r="BB62" s="20" t="n">
        <f aca="false">IF(AO62&gt;PR_BalDone,MIN(F_CardPayM,AO62+AO62*(D_iC)),0)</f>
        <v>0</v>
      </c>
      <c r="BC62" s="20" t="n">
        <f aca="false">MAX(0,AP62)</f>
        <v>0</v>
      </c>
      <c r="BD62" s="20" t="n">
        <f aca="false">SUM(AQ62:BB62)</f>
        <v>0</v>
      </c>
      <c r="BE62" s="20" t="n">
        <f aca="false">'Plan cashflow'!P62</f>
        <v>0</v>
      </c>
      <c r="BF62" s="20" t="n">
        <f aca="false">IF(BE62&gt;PR_BalDone,BE62+BE62*(D_iL)-MIN(F_LoanPayM,BE62+BE62*(D_iL)),BE62)</f>
        <v>0</v>
      </c>
      <c r="BG62" s="20" t="n">
        <f aca="false">IF(BF62&gt;PR_BalDone,BF62+BF62*(D_iL)-MIN(F_LoanPayM,BF62+BF62*(D_iL)),BF62)</f>
        <v>0</v>
      </c>
      <c r="BH62" s="20" t="n">
        <f aca="false">IF(BG62&gt;PR_BalDone,BG62+BG62*(D_iL)-MIN(F_LoanPayM,BG62+BG62*(D_iL)),BG62)</f>
        <v>0</v>
      </c>
      <c r="BI62" s="20" t="n">
        <f aca="false">IF(BH62&gt;PR_BalDone,BH62+BH62*(D_iL)-MIN(F_LoanPayM,BH62+BH62*(D_iL)),BH62)</f>
        <v>0</v>
      </c>
      <c r="BJ62" s="20" t="n">
        <f aca="false">IF(BI62&gt;PR_BalDone,BI62+BI62*(D_iL)-MIN(F_LoanPayM,BI62+BI62*(D_iL)),BI62)</f>
        <v>0</v>
      </c>
      <c r="BK62" s="20" t="n">
        <f aca="false">IF(BJ62&gt;PR_BalDone,BJ62+BJ62*(D_iL)-MIN(F_LoanPayM,BJ62+BJ62*(D_iL)),BJ62)</f>
        <v>0</v>
      </c>
      <c r="BL62" s="20" t="n">
        <f aca="false">IF(BK62&gt;PR_BalDone,BK62+BK62*(D_iL)-MIN(F_LoanPayM,BK62+BK62*(D_iL)),BK62)</f>
        <v>0</v>
      </c>
      <c r="BM62" s="20" t="n">
        <f aca="false">IF(BL62&gt;PR_BalDone,BL62+BL62*(D_iL)-MIN(F_LoanPayM,BL62+BL62*(D_iL)),BL62)</f>
        <v>0</v>
      </c>
      <c r="BN62" s="20" t="n">
        <f aca="false">IF(BM62&gt;PR_BalDone,BM62+BM62*(D_iL)-MIN(F_LoanPayM,BM62+BM62*(D_iL)),BM62)</f>
        <v>0</v>
      </c>
      <c r="BO62" s="20" t="n">
        <f aca="false">IF(BN62&gt;PR_BalDone,BN62+BN62*(D_iL)-MIN(F_LoanPayM,BN62+BN62*(D_iL)),BN62)</f>
        <v>0</v>
      </c>
      <c r="BP62" s="20" t="n">
        <f aca="false">IF(BO62&gt;PR_BalDone,BO62+BO62*(D_iL)-MIN(F_LoanPayM,BO62+BO62*(D_iL)),BO62)</f>
        <v>0</v>
      </c>
      <c r="BQ62" s="20" t="n">
        <f aca="false">IF(BP62&gt;PR_BalDone,BP62+BP62*(D_iL)-MIN(F_LoanPayM,BP62+BP62*(D_iL)),BP62)</f>
        <v>0</v>
      </c>
      <c r="BR62" s="20" t="n">
        <f aca="false">IF(BE62&gt;PR_BalDone,MIN(F_LoanPayM,BE62+BE62*(D_iL)),0)</f>
        <v>0</v>
      </c>
      <c r="BS62" s="20" t="n">
        <f aca="false">IF(BF62&gt;PR_BalDone,MIN(F_LoanPayM,BF62+BF62*(D_iL)),0)</f>
        <v>0</v>
      </c>
      <c r="BT62" s="20" t="n">
        <f aca="false">IF(BG62&gt;PR_BalDone,MIN(F_LoanPayM,BG62+BG62*(D_iL)),0)</f>
        <v>0</v>
      </c>
      <c r="BU62" s="20" t="n">
        <f aca="false">IF(BH62&gt;PR_BalDone,MIN(F_LoanPayM,BH62+BH62*(D_iL)),0)</f>
        <v>0</v>
      </c>
      <c r="BV62" s="20" t="n">
        <f aca="false">IF(BI62&gt;PR_BalDone,MIN(F_LoanPayM,BI62+BI62*(D_iL)),0)</f>
        <v>0</v>
      </c>
      <c r="BW62" s="20" t="n">
        <f aca="false">IF(BJ62&gt;PR_BalDone,MIN(F_LoanPayM,BJ62+BJ62*(D_iL)),0)</f>
        <v>0</v>
      </c>
      <c r="BX62" s="20" t="n">
        <f aca="false">IF(BK62&gt;PR_BalDone,MIN(F_LoanPayM,BK62+BK62*(D_iL)),0)</f>
        <v>0</v>
      </c>
      <c r="BY62" s="20" t="n">
        <f aca="false">IF(BL62&gt;PR_BalDone,MIN(F_LoanPayM,BL62+BL62*(D_iL)),0)</f>
        <v>0</v>
      </c>
      <c r="BZ62" s="20" t="n">
        <f aca="false">IF(BM62&gt;PR_BalDone,MIN(F_LoanPayM,BM62+BM62*(D_iL)),0)</f>
        <v>0</v>
      </c>
      <c r="CA62" s="20" t="n">
        <f aca="false">IF(BN62&gt;PR_BalDone,MIN(F_LoanPayM,BN62+BN62*(D_iL)),0)</f>
        <v>0</v>
      </c>
      <c r="CB62" s="20" t="n">
        <f aca="false">IF(BO62&gt;PR_BalDone,MIN(F_LoanPayM,BO62+BO62*(D_iL)),0)</f>
        <v>0</v>
      </c>
      <c r="CC62" s="20" t="n">
        <f aca="false">IF(BP62&gt;PR_BalDone,MIN(F_LoanPayM,BP62+BP62*(D_iL)),0)</f>
        <v>0</v>
      </c>
      <c r="CD62" s="20" t="n">
        <f aca="false">MAX(0,BQ62)</f>
        <v>0</v>
      </c>
      <c r="CE62" s="20" t="n">
        <f aca="false">SUM(BR62:CC62)</f>
        <v>0</v>
      </c>
      <c r="CF62" s="20" t="n">
        <f aca="false">IF(CF61&gt;1,DE61,CF61)</f>
        <v>0</v>
      </c>
      <c r="CG62" s="20" t="n">
        <f aca="false">IF(CF62&gt;PR_BalDone,CF62+CF62*(F_MR/12)-MIN(F_MortPayM,CF62+CF62*(F_MR/12)),CF62)</f>
        <v>0</v>
      </c>
      <c r="CH62" s="20" t="n">
        <f aca="false">IF(CG62&gt;PR_BalDone,CG62+CG62*(F_MR/12)-MIN(F_MortPayM,CG62+CG62*(F_MR/12)),CG62)</f>
        <v>0</v>
      </c>
      <c r="CI62" s="20" t="n">
        <f aca="false">IF(CH62&gt;PR_BalDone,CH62+CH62*(F_MR/12)-MIN(F_MortPayM,CH62+CH62*(F_MR/12)),CH62)</f>
        <v>0</v>
      </c>
      <c r="CJ62" s="20" t="n">
        <f aca="false">IF(CI62&gt;PR_BalDone,CI62+CI62*(F_MR/12)-MIN(F_MortPayM,CI62+CI62*(F_MR/12)),CI62)</f>
        <v>0</v>
      </c>
      <c r="CK62" s="20" t="n">
        <f aca="false">IF(CJ62&gt;PR_BalDone,CJ62+CJ62*(F_MR/12)-MIN(F_MortPayM,CJ62+CJ62*(F_MR/12)),CJ62)</f>
        <v>0</v>
      </c>
      <c r="CL62" s="20" t="n">
        <f aca="false">IF(CK62&gt;PR_BalDone,CK62+CK62*(F_MR/12)-MIN(F_MortPayM,CK62+CK62*(F_MR/12)),CK62)</f>
        <v>0</v>
      </c>
      <c r="CM62" s="20" t="n">
        <f aca="false">IF(CL62&gt;PR_BalDone,CL62+CL62*(F_MR/12)-MIN(F_MortPayM,CL62+CL62*(F_MR/12)),CL62)</f>
        <v>0</v>
      </c>
      <c r="CN62" s="20" t="n">
        <f aca="false">IF(CM62&gt;PR_BalDone,CM62+CM62*(F_MR/12)-MIN(F_MortPayM,CM62+CM62*(F_MR/12)),CM62)</f>
        <v>0</v>
      </c>
      <c r="CO62" s="20" t="n">
        <f aca="false">IF(CN62&gt;PR_BalDone,CN62+CN62*(F_MR/12)-MIN(F_MortPayM,CN62+CN62*(F_MR/12)),CN62)</f>
        <v>0</v>
      </c>
      <c r="CP62" s="20" t="n">
        <f aca="false">IF(CO62&gt;PR_BalDone,CO62+CO62*(F_MR/12)-MIN(F_MortPayM,CO62+CO62*(F_MR/12)),CO62)</f>
        <v>0</v>
      </c>
      <c r="CQ62" s="20" t="n">
        <f aca="false">IF(CP62&gt;PR_BalDone,CP62+CP62*(F_MR/12)-MIN(F_MortPayM,CP62+CP62*(F_MR/12)),CP62)</f>
        <v>0</v>
      </c>
      <c r="CR62" s="20" t="n">
        <f aca="false">IF(CQ62&gt;PR_BalDone,CQ62+CQ62*(F_MR/12)-MIN(F_MortPayM,CQ62+CQ62*(F_MR/12)),CQ62)</f>
        <v>0</v>
      </c>
      <c r="CS62" s="20" t="n">
        <f aca="false">IF(CF62&gt;PR_BalDone,MIN(F_MortPayM,CF62+CF62*(F_MR/12)),0)</f>
        <v>0</v>
      </c>
      <c r="CT62" s="20" t="n">
        <f aca="false">IF(CG62&gt;PR_BalDone,MIN(F_MortPayM,CG62+CG62*(F_MR/12)),0)</f>
        <v>0</v>
      </c>
      <c r="CU62" s="20" t="n">
        <f aca="false">IF(CH62&gt;PR_BalDone,MIN(F_MortPayM,CH62+CH62*(F_MR/12)),0)</f>
        <v>0</v>
      </c>
      <c r="CV62" s="20" t="n">
        <f aca="false">IF(CI62&gt;PR_BalDone,MIN(F_MortPayM,CI62+CI62*(F_MR/12)),0)</f>
        <v>0</v>
      </c>
      <c r="CW62" s="20" t="n">
        <f aca="false">IF(CJ62&gt;PR_BalDone,MIN(F_MortPayM,CJ62+CJ62*(F_MR/12)),0)</f>
        <v>0</v>
      </c>
      <c r="CX62" s="20" t="n">
        <f aca="false">IF(CK62&gt;PR_BalDone,MIN(F_MortPayM,CK62+CK62*(F_MR/12)),0)</f>
        <v>0</v>
      </c>
      <c r="CY62" s="20" t="n">
        <f aca="false">IF(CL62&gt;PR_BalDone,MIN(F_MortPayM,CL62+CL62*(F_MR/12)),0)</f>
        <v>0</v>
      </c>
      <c r="CZ62" s="20" t="n">
        <f aca="false">IF(CM62&gt;PR_BalDone,MIN(F_MortPayM,CM62+CM62*(F_MR/12)),0)</f>
        <v>0</v>
      </c>
      <c r="DA62" s="20" t="n">
        <f aca="false">IF(CN62&gt;PR_BalDone,MIN(F_MortPayM,CN62+CN62*(F_MR/12)),0)</f>
        <v>0</v>
      </c>
      <c r="DB62" s="20" t="n">
        <f aca="false">IF(CO62&gt;PR_BalDone,MIN(F_MortPayM,CO62+CO62*(F_MR/12)),0)</f>
        <v>0</v>
      </c>
      <c r="DC62" s="20" t="n">
        <f aca="false">IF(CP62&gt;PR_BalDone,MIN(F_MortPayM,CP62+CP62*(F_MR/12)),0)</f>
        <v>0</v>
      </c>
      <c r="DD62" s="20" t="n">
        <f aca="false">IF(CQ62&gt;PR_BalDone,MIN(F_MortPayM,CQ62+CQ62*(F_MR/12)),0)</f>
        <v>0</v>
      </c>
      <c r="DE62" s="20" t="n">
        <f aca="false">MAX(0,CR62)</f>
        <v>0</v>
      </c>
      <c r="DF62" s="20" t="n">
        <f aca="false">SUM(CS62:DD62)</f>
        <v>0</v>
      </c>
      <c r="DG62" s="20" t="n">
        <f aca="false">MAX(0,CF62)</f>
        <v>0</v>
      </c>
    </row>
    <row r="63" customFormat="false" ht="15" hidden="false" customHeight="true" outlineLevel="0" collapsed="false">
      <c r="B63" s="20" t="n">
        <v>55</v>
      </c>
      <c r="C63" s="20" t="n">
        <f aca="false">'Plan cashflow'!J63</f>
        <v>0</v>
      </c>
      <c r="D63" s="20" t="n">
        <f aca="false">IF(C63&gt;PR_BalDone,C63+C63*(F_MR/12)-MIN(F_MortPayM,C63+C63*(F_MR/12)),C63)</f>
        <v>0</v>
      </c>
      <c r="E63" s="20" t="n">
        <f aca="false">IF(D63&gt;PR_BalDone,D63+D63*(F_MR/12)-MIN(F_MortPayM,D63+D63*(F_MR/12)),D63)</f>
        <v>0</v>
      </c>
      <c r="F63" s="20" t="n">
        <f aca="false">IF(E63&gt;PR_BalDone,E63+E63*(F_MR/12)-MIN(F_MortPayM,E63+E63*(F_MR/12)),E63)</f>
        <v>0</v>
      </c>
      <c r="G63" s="20" t="n">
        <f aca="false">IF(F63&gt;PR_BalDone,F63+F63*(F_MR/12)-MIN(F_MortPayM,F63+F63*(F_MR/12)),F63)</f>
        <v>0</v>
      </c>
      <c r="H63" s="20" t="n">
        <f aca="false">IF(G63&gt;PR_BalDone,G63+G63*(F_MR/12)-MIN(F_MortPayM,G63+G63*(F_MR/12)),G63)</f>
        <v>0</v>
      </c>
      <c r="I63" s="20" t="n">
        <f aca="false">IF(H63&gt;PR_BalDone,H63+H63*(F_MR/12)-MIN(F_MortPayM,H63+H63*(F_MR/12)),H63)</f>
        <v>0</v>
      </c>
      <c r="J63" s="20" t="n">
        <f aca="false">IF(I63&gt;PR_BalDone,I63+I63*(F_MR/12)-MIN(F_MortPayM,I63+I63*(F_MR/12)),I63)</f>
        <v>0</v>
      </c>
      <c r="K63" s="20" t="n">
        <f aca="false">IF(J63&gt;PR_BalDone,J63+J63*(F_MR/12)-MIN(F_MortPayM,J63+J63*(F_MR/12)),J63)</f>
        <v>0</v>
      </c>
      <c r="L63" s="20" t="n">
        <f aca="false">IF(K63&gt;PR_BalDone,K63+K63*(F_MR/12)-MIN(F_MortPayM,K63+K63*(F_MR/12)),K63)</f>
        <v>0</v>
      </c>
      <c r="M63" s="20" t="n">
        <f aca="false">IF(L63&gt;PR_BalDone,L63+L63*(F_MR/12)-MIN(F_MortPayM,L63+L63*(F_MR/12)),L63)</f>
        <v>0</v>
      </c>
      <c r="N63" s="20" t="n">
        <f aca="false">IF(M63&gt;PR_BalDone,M63+M63*(F_MR/12)-MIN(F_MortPayM,M63+M63*(F_MR/12)),M63)</f>
        <v>0</v>
      </c>
      <c r="O63" s="20" t="n">
        <f aca="false">IF(N63&gt;PR_BalDone,N63+N63*(F_MR/12)-MIN(F_MortPayM,N63+N63*(F_MR/12)),N63)</f>
        <v>0</v>
      </c>
      <c r="P63" s="20" t="n">
        <f aca="false">IF(C63&gt;PR_BalDone,MIN(F_MortPayM,C63+C63*(F_MR/12)),0)</f>
        <v>0</v>
      </c>
      <c r="Q63" s="20" t="n">
        <f aca="false">IF(D63&gt;PR_BalDone,MIN(F_MortPayM,D63+D63*(F_MR/12)),0)</f>
        <v>0</v>
      </c>
      <c r="R63" s="20" t="n">
        <f aca="false">IF(E63&gt;PR_BalDone,MIN(F_MortPayM,E63+E63*(F_MR/12)),0)</f>
        <v>0</v>
      </c>
      <c r="S63" s="20" t="n">
        <f aca="false">IF(F63&gt;PR_BalDone,MIN(F_MortPayM,F63+F63*(F_MR/12)),0)</f>
        <v>0</v>
      </c>
      <c r="T63" s="20" t="n">
        <f aca="false">IF(G63&gt;PR_BalDone,MIN(F_MortPayM,G63+G63*(F_MR/12)),0)</f>
        <v>0</v>
      </c>
      <c r="U63" s="20" t="n">
        <f aca="false">IF(H63&gt;PR_BalDone,MIN(F_MortPayM,H63+H63*(F_MR/12)),0)</f>
        <v>0</v>
      </c>
      <c r="V63" s="20" t="n">
        <f aca="false">IF(I63&gt;PR_BalDone,MIN(F_MortPayM,I63+I63*(F_MR/12)),0)</f>
        <v>0</v>
      </c>
      <c r="W63" s="20" t="n">
        <f aca="false">IF(J63&gt;PR_BalDone,MIN(F_MortPayM,J63+J63*(F_MR/12)),0)</f>
        <v>0</v>
      </c>
      <c r="X63" s="20" t="n">
        <f aca="false">IF(K63&gt;PR_BalDone,MIN(F_MortPayM,K63+K63*(F_MR/12)),0)</f>
        <v>0</v>
      </c>
      <c r="Y63" s="20" t="n">
        <f aca="false">IF(L63&gt;PR_BalDone,MIN(F_MortPayM,L63+L63*(F_MR/12)),0)</f>
        <v>0</v>
      </c>
      <c r="Z63" s="20" t="n">
        <f aca="false">IF(M63&gt;PR_BalDone,MIN(F_MortPayM,M63+M63*(F_MR/12)),0)</f>
        <v>0</v>
      </c>
      <c r="AA63" s="20" t="n">
        <f aca="false">IF(N63&gt;PR_BalDone,MIN(F_MortPayM,N63+N63*(F_MR/12)),0)</f>
        <v>0</v>
      </c>
      <c r="AB63" s="20" t="n">
        <f aca="false">MAX(0,O63)</f>
        <v>0</v>
      </c>
      <c r="AC63" s="20" t="n">
        <f aca="false">SUM(P63:AA63)</f>
        <v>0</v>
      </c>
      <c r="AD63" s="20" t="n">
        <f aca="false">'Plan cashflow'!M63</f>
        <v>0</v>
      </c>
      <c r="AE63" s="20" t="n">
        <f aca="false">IF(AD63&gt;PR_BalDone,AD63+AD63*(D_iC)-MIN(F_CardPayM,AD63+AD63*(D_iC)),AD63)</f>
        <v>0</v>
      </c>
      <c r="AF63" s="20" t="n">
        <f aca="false">IF(AE63&gt;PR_BalDone,AE63+AE63*(D_iC)-MIN(F_CardPayM,AE63+AE63*(D_iC)),AE63)</f>
        <v>0</v>
      </c>
      <c r="AG63" s="20" t="n">
        <f aca="false">IF(AF63&gt;PR_BalDone,AF63+AF63*(D_iC)-MIN(F_CardPayM,AF63+AF63*(D_iC)),AF63)</f>
        <v>0</v>
      </c>
      <c r="AH63" s="20" t="n">
        <f aca="false">IF(AG63&gt;PR_BalDone,AG63+AG63*(D_iC)-MIN(F_CardPayM,AG63+AG63*(D_iC)),AG63)</f>
        <v>0</v>
      </c>
      <c r="AI63" s="20" t="n">
        <f aca="false">IF(AH63&gt;PR_BalDone,AH63+AH63*(D_iC)-MIN(F_CardPayM,AH63+AH63*(D_iC)),AH63)</f>
        <v>0</v>
      </c>
      <c r="AJ63" s="20" t="n">
        <f aca="false">IF(AI63&gt;PR_BalDone,AI63+AI63*(D_iC)-MIN(F_CardPayM,AI63+AI63*(D_iC)),AI63)</f>
        <v>0</v>
      </c>
      <c r="AK63" s="20" t="n">
        <f aca="false">IF(AJ63&gt;PR_BalDone,AJ63+AJ63*(D_iC)-MIN(F_CardPayM,AJ63+AJ63*(D_iC)),AJ63)</f>
        <v>0</v>
      </c>
      <c r="AL63" s="20" t="n">
        <f aca="false">IF(AK63&gt;PR_BalDone,AK63+AK63*(D_iC)-MIN(F_CardPayM,AK63+AK63*(D_iC)),AK63)</f>
        <v>0</v>
      </c>
      <c r="AM63" s="20" t="n">
        <f aca="false">IF(AL63&gt;PR_BalDone,AL63+AL63*(D_iC)-MIN(F_CardPayM,AL63+AL63*(D_iC)),AL63)</f>
        <v>0</v>
      </c>
      <c r="AN63" s="20" t="n">
        <f aca="false">IF(AM63&gt;PR_BalDone,AM63+AM63*(D_iC)-MIN(F_CardPayM,AM63+AM63*(D_iC)),AM63)</f>
        <v>0</v>
      </c>
      <c r="AO63" s="20" t="n">
        <f aca="false">IF(AN63&gt;PR_BalDone,AN63+AN63*(D_iC)-MIN(F_CardPayM,AN63+AN63*(D_iC)),AN63)</f>
        <v>0</v>
      </c>
      <c r="AP63" s="20" t="n">
        <f aca="false">IF(AO63&gt;PR_BalDone,AO63+AO63*(D_iC)-MIN(F_CardPayM,AO63+AO63*(D_iC)),AO63)</f>
        <v>0</v>
      </c>
      <c r="AQ63" s="20" t="n">
        <f aca="false">IF(AD63&gt;PR_BalDone,MIN(F_CardPayM,AD63+AD63*(D_iC)),0)</f>
        <v>0</v>
      </c>
      <c r="AR63" s="20" t="n">
        <f aca="false">IF(AE63&gt;PR_BalDone,MIN(F_CardPayM,AE63+AE63*(D_iC)),0)</f>
        <v>0</v>
      </c>
      <c r="AS63" s="20" t="n">
        <f aca="false">IF(AF63&gt;PR_BalDone,MIN(F_CardPayM,AF63+AF63*(D_iC)),0)</f>
        <v>0</v>
      </c>
      <c r="AT63" s="20" t="n">
        <f aca="false">IF(AG63&gt;PR_BalDone,MIN(F_CardPayM,AG63+AG63*(D_iC)),0)</f>
        <v>0</v>
      </c>
      <c r="AU63" s="20" t="n">
        <f aca="false">IF(AH63&gt;PR_BalDone,MIN(F_CardPayM,AH63+AH63*(D_iC)),0)</f>
        <v>0</v>
      </c>
      <c r="AV63" s="20" t="n">
        <f aca="false">IF(AI63&gt;PR_BalDone,MIN(F_CardPayM,AI63+AI63*(D_iC)),0)</f>
        <v>0</v>
      </c>
      <c r="AW63" s="20" t="n">
        <f aca="false">IF(AJ63&gt;PR_BalDone,MIN(F_CardPayM,AJ63+AJ63*(D_iC)),0)</f>
        <v>0</v>
      </c>
      <c r="AX63" s="20" t="n">
        <f aca="false">IF(AK63&gt;PR_BalDone,MIN(F_CardPayM,AK63+AK63*(D_iC)),0)</f>
        <v>0</v>
      </c>
      <c r="AY63" s="20" t="n">
        <f aca="false">IF(AL63&gt;PR_BalDone,MIN(F_CardPayM,AL63+AL63*(D_iC)),0)</f>
        <v>0</v>
      </c>
      <c r="AZ63" s="20" t="n">
        <f aca="false">IF(AM63&gt;PR_BalDone,MIN(F_CardPayM,AM63+AM63*(D_iC)),0)</f>
        <v>0</v>
      </c>
      <c r="BA63" s="20" t="n">
        <f aca="false">IF(AN63&gt;PR_BalDone,MIN(F_CardPayM,AN63+AN63*(D_iC)),0)</f>
        <v>0</v>
      </c>
      <c r="BB63" s="20" t="n">
        <f aca="false">IF(AO63&gt;PR_BalDone,MIN(F_CardPayM,AO63+AO63*(D_iC)),0)</f>
        <v>0</v>
      </c>
      <c r="BC63" s="20" t="n">
        <f aca="false">MAX(0,AP63)</f>
        <v>0</v>
      </c>
      <c r="BD63" s="20" t="n">
        <f aca="false">SUM(AQ63:BB63)</f>
        <v>0</v>
      </c>
      <c r="BE63" s="20" t="n">
        <f aca="false">'Plan cashflow'!P63</f>
        <v>0</v>
      </c>
      <c r="BF63" s="20" t="n">
        <f aca="false">IF(BE63&gt;PR_BalDone,BE63+BE63*(D_iL)-MIN(F_LoanPayM,BE63+BE63*(D_iL)),BE63)</f>
        <v>0</v>
      </c>
      <c r="BG63" s="20" t="n">
        <f aca="false">IF(BF63&gt;PR_BalDone,BF63+BF63*(D_iL)-MIN(F_LoanPayM,BF63+BF63*(D_iL)),BF63)</f>
        <v>0</v>
      </c>
      <c r="BH63" s="20" t="n">
        <f aca="false">IF(BG63&gt;PR_BalDone,BG63+BG63*(D_iL)-MIN(F_LoanPayM,BG63+BG63*(D_iL)),BG63)</f>
        <v>0</v>
      </c>
      <c r="BI63" s="20" t="n">
        <f aca="false">IF(BH63&gt;PR_BalDone,BH63+BH63*(D_iL)-MIN(F_LoanPayM,BH63+BH63*(D_iL)),BH63)</f>
        <v>0</v>
      </c>
      <c r="BJ63" s="20" t="n">
        <f aca="false">IF(BI63&gt;PR_BalDone,BI63+BI63*(D_iL)-MIN(F_LoanPayM,BI63+BI63*(D_iL)),BI63)</f>
        <v>0</v>
      </c>
      <c r="BK63" s="20" t="n">
        <f aca="false">IF(BJ63&gt;PR_BalDone,BJ63+BJ63*(D_iL)-MIN(F_LoanPayM,BJ63+BJ63*(D_iL)),BJ63)</f>
        <v>0</v>
      </c>
      <c r="BL63" s="20" t="n">
        <f aca="false">IF(BK63&gt;PR_BalDone,BK63+BK63*(D_iL)-MIN(F_LoanPayM,BK63+BK63*(D_iL)),BK63)</f>
        <v>0</v>
      </c>
      <c r="BM63" s="20" t="n">
        <f aca="false">IF(BL63&gt;PR_BalDone,BL63+BL63*(D_iL)-MIN(F_LoanPayM,BL63+BL63*(D_iL)),BL63)</f>
        <v>0</v>
      </c>
      <c r="BN63" s="20" t="n">
        <f aca="false">IF(BM63&gt;PR_BalDone,BM63+BM63*(D_iL)-MIN(F_LoanPayM,BM63+BM63*(D_iL)),BM63)</f>
        <v>0</v>
      </c>
      <c r="BO63" s="20" t="n">
        <f aca="false">IF(BN63&gt;PR_BalDone,BN63+BN63*(D_iL)-MIN(F_LoanPayM,BN63+BN63*(D_iL)),BN63)</f>
        <v>0</v>
      </c>
      <c r="BP63" s="20" t="n">
        <f aca="false">IF(BO63&gt;PR_BalDone,BO63+BO63*(D_iL)-MIN(F_LoanPayM,BO63+BO63*(D_iL)),BO63)</f>
        <v>0</v>
      </c>
      <c r="BQ63" s="20" t="n">
        <f aca="false">IF(BP63&gt;PR_BalDone,BP63+BP63*(D_iL)-MIN(F_LoanPayM,BP63+BP63*(D_iL)),BP63)</f>
        <v>0</v>
      </c>
      <c r="BR63" s="20" t="n">
        <f aca="false">IF(BE63&gt;PR_BalDone,MIN(F_LoanPayM,BE63+BE63*(D_iL)),0)</f>
        <v>0</v>
      </c>
      <c r="BS63" s="20" t="n">
        <f aca="false">IF(BF63&gt;PR_BalDone,MIN(F_LoanPayM,BF63+BF63*(D_iL)),0)</f>
        <v>0</v>
      </c>
      <c r="BT63" s="20" t="n">
        <f aca="false">IF(BG63&gt;PR_BalDone,MIN(F_LoanPayM,BG63+BG63*(D_iL)),0)</f>
        <v>0</v>
      </c>
      <c r="BU63" s="20" t="n">
        <f aca="false">IF(BH63&gt;PR_BalDone,MIN(F_LoanPayM,BH63+BH63*(D_iL)),0)</f>
        <v>0</v>
      </c>
      <c r="BV63" s="20" t="n">
        <f aca="false">IF(BI63&gt;PR_BalDone,MIN(F_LoanPayM,BI63+BI63*(D_iL)),0)</f>
        <v>0</v>
      </c>
      <c r="BW63" s="20" t="n">
        <f aca="false">IF(BJ63&gt;PR_BalDone,MIN(F_LoanPayM,BJ63+BJ63*(D_iL)),0)</f>
        <v>0</v>
      </c>
      <c r="BX63" s="20" t="n">
        <f aca="false">IF(BK63&gt;PR_BalDone,MIN(F_LoanPayM,BK63+BK63*(D_iL)),0)</f>
        <v>0</v>
      </c>
      <c r="BY63" s="20" t="n">
        <f aca="false">IF(BL63&gt;PR_BalDone,MIN(F_LoanPayM,BL63+BL63*(D_iL)),0)</f>
        <v>0</v>
      </c>
      <c r="BZ63" s="20" t="n">
        <f aca="false">IF(BM63&gt;PR_BalDone,MIN(F_LoanPayM,BM63+BM63*(D_iL)),0)</f>
        <v>0</v>
      </c>
      <c r="CA63" s="20" t="n">
        <f aca="false">IF(BN63&gt;PR_BalDone,MIN(F_LoanPayM,BN63+BN63*(D_iL)),0)</f>
        <v>0</v>
      </c>
      <c r="CB63" s="20" t="n">
        <f aca="false">IF(BO63&gt;PR_BalDone,MIN(F_LoanPayM,BO63+BO63*(D_iL)),0)</f>
        <v>0</v>
      </c>
      <c r="CC63" s="20" t="n">
        <f aca="false">IF(BP63&gt;PR_BalDone,MIN(F_LoanPayM,BP63+BP63*(D_iL)),0)</f>
        <v>0</v>
      </c>
      <c r="CD63" s="20" t="n">
        <f aca="false">MAX(0,BQ63)</f>
        <v>0</v>
      </c>
      <c r="CE63" s="20" t="n">
        <f aca="false">SUM(BR63:CC63)</f>
        <v>0</v>
      </c>
      <c r="CF63" s="20" t="n">
        <f aca="false">IF(CF62&gt;1,DE62,CF62)</f>
        <v>0</v>
      </c>
      <c r="CG63" s="20" t="n">
        <f aca="false">IF(CF63&gt;PR_BalDone,CF63+CF63*(F_MR/12)-MIN(F_MortPayM,CF63+CF63*(F_MR/12)),CF63)</f>
        <v>0</v>
      </c>
      <c r="CH63" s="20" t="n">
        <f aca="false">IF(CG63&gt;PR_BalDone,CG63+CG63*(F_MR/12)-MIN(F_MortPayM,CG63+CG63*(F_MR/12)),CG63)</f>
        <v>0</v>
      </c>
      <c r="CI63" s="20" t="n">
        <f aca="false">IF(CH63&gt;PR_BalDone,CH63+CH63*(F_MR/12)-MIN(F_MortPayM,CH63+CH63*(F_MR/12)),CH63)</f>
        <v>0</v>
      </c>
      <c r="CJ63" s="20" t="n">
        <f aca="false">IF(CI63&gt;PR_BalDone,CI63+CI63*(F_MR/12)-MIN(F_MortPayM,CI63+CI63*(F_MR/12)),CI63)</f>
        <v>0</v>
      </c>
      <c r="CK63" s="20" t="n">
        <f aca="false">IF(CJ63&gt;PR_BalDone,CJ63+CJ63*(F_MR/12)-MIN(F_MortPayM,CJ63+CJ63*(F_MR/12)),CJ63)</f>
        <v>0</v>
      </c>
      <c r="CL63" s="20" t="n">
        <f aca="false">IF(CK63&gt;PR_BalDone,CK63+CK63*(F_MR/12)-MIN(F_MortPayM,CK63+CK63*(F_MR/12)),CK63)</f>
        <v>0</v>
      </c>
      <c r="CM63" s="20" t="n">
        <f aca="false">IF(CL63&gt;PR_BalDone,CL63+CL63*(F_MR/12)-MIN(F_MortPayM,CL63+CL63*(F_MR/12)),CL63)</f>
        <v>0</v>
      </c>
      <c r="CN63" s="20" t="n">
        <f aca="false">IF(CM63&gt;PR_BalDone,CM63+CM63*(F_MR/12)-MIN(F_MortPayM,CM63+CM63*(F_MR/12)),CM63)</f>
        <v>0</v>
      </c>
      <c r="CO63" s="20" t="n">
        <f aca="false">IF(CN63&gt;PR_BalDone,CN63+CN63*(F_MR/12)-MIN(F_MortPayM,CN63+CN63*(F_MR/12)),CN63)</f>
        <v>0</v>
      </c>
      <c r="CP63" s="20" t="n">
        <f aca="false">IF(CO63&gt;PR_BalDone,CO63+CO63*(F_MR/12)-MIN(F_MortPayM,CO63+CO63*(F_MR/12)),CO63)</f>
        <v>0</v>
      </c>
      <c r="CQ63" s="20" t="n">
        <f aca="false">IF(CP63&gt;PR_BalDone,CP63+CP63*(F_MR/12)-MIN(F_MortPayM,CP63+CP63*(F_MR/12)),CP63)</f>
        <v>0</v>
      </c>
      <c r="CR63" s="20" t="n">
        <f aca="false">IF(CQ63&gt;PR_BalDone,CQ63+CQ63*(F_MR/12)-MIN(F_MortPayM,CQ63+CQ63*(F_MR/12)),CQ63)</f>
        <v>0</v>
      </c>
      <c r="CS63" s="20" t="n">
        <f aca="false">IF(CF63&gt;PR_BalDone,MIN(F_MortPayM,CF63+CF63*(F_MR/12)),0)</f>
        <v>0</v>
      </c>
      <c r="CT63" s="20" t="n">
        <f aca="false">IF(CG63&gt;PR_BalDone,MIN(F_MortPayM,CG63+CG63*(F_MR/12)),0)</f>
        <v>0</v>
      </c>
      <c r="CU63" s="20" t="n">
        <f aca="false">IF(CH63&gt;PR_BalDone,MIN(F_MortPayM,CH63+CH63*(F_MR/12)),0)</f>
        <v>0</v>
      </c>
      <c r="CV63" s="20" t="n">
        <f aca="false">IF(CI63&gt;PR_BalDone,MIN(F_MortPayM,CI63+CI63*(F_MR/12)),0)</f>
        <v>0</v>
      </c>
      <c r="CW63" s="20" t="n">
        <f aca="false">IF(CJ63&gt;PR_BalDone,MIN(F_MortPayM,CJ63+CJ63*(F_MR/12)),0)</f>
        <v>0</v>
      </c>
      <c r="CX63" s="20" t="n">
        <f aca="false">IF(CK63&gt;PR_BalDone,MIN(F_MortPayM,CK63+CK63*(F_MR/12)),0)</f>
        <v>0</v>
      </c>
      <c r="CY63" s="20" t="n">
        <f aca="false">IF(CL63&gt;PR_BalDone,MIN(F_MortPayM,CL63+CL63*(F_MR/12)),0)</f>
        <v>0</v>
      </c>
      <c r="CZ63" s="20" t="n">
        <f aca="false">IF(CM63&gt;PR_BalDone,MIN(F_MortPayM,CM63+CM63*(F_MR/12)),0)</f>
        <v>0</v>
      </c>
      <c r="DA63" s="20" t="n">
        <f aca="false">IF(CN63&gt;PR_BalDone,MIN(F_MortPayM,CN63+CN63*(F_MR/12)),0)</f>
        <v>0</v>
      </c>
      <c r="DB63" s="20" t="n">
        <f aca="false">IF(CO63&gt;PR_BalDone,MIN(F_MortPayM,CO63+CO63*(F_MR/12)),0)</f>
        <v>0</v>
      </c>
      <c r="DC63" s="20" t="n">
        <f aca="false">IF(CP63&gt;PR_BalDone,MIN(F_MortPayM,CP63+CP63*(F_MR/12)),0)</f>
        <v>0</v>
      </c>
      <c r="DD63" s="20" t="n">
        <f aca="false">IF(CQ63&gt;PR_BalDone,MIN(F_MortPayM,CQ63+CQ63*(F_MR/12)),0)</f>
        <v>0</v>
      </c>
      <c r="DE63" s="20" t="n">
        <f aca="false">MAX(0,CR63)</f>
        <v>0</v>
      </c>
      <c r="DF63" s="20" t="n">
        <f aca="false">SUM(CS63:DD63)</f>
        <v>0</v>
      </c>
      <c r="DG63" s="20" t="n">
        <f aca="false">MAX(0,CF63)</f>
        <v>0</v>
      </c>
    </row>
    <row r="64" customFormat="false" ht="15" hidden="false" customHeight="true" outlineLevel="0" collapsed="false">
      <c r="B64" s="20" t="n">
        <v>56</v>
      </c>
      <c r="C64" s="20" t="n">
        <f aca="false">'Plan cashflow'!J64</f>
        <v>0</v>
      </c>
      <c r="D64" s="20" t="n">
        <f aca="false">IF(C64&gt;PR_BalDone,C64+C64*(F_MR/12)-MIN(F_MortPayM,C64+C64*(F_MR/12)),C64)</f>
        <v>0</v>
      </c>
      <c r="E64" s="20" t="n">
        <f aca="false">IF(D64&gt;PR_BalDone,D64+D64*(F_MR/12)-MIN(F_MortPayM,D64+D64*(F_MR/12)),D64)</f>
        <v>0</v>
      </c>
      <c r="F64" s="20" t="n">
        <f aca="false">IF(E64&gt;PR_BalDone,E64+E64*(F_MR/12)-MIN(F_MortPayM,E64+E64*(F_MR/12)),E64)</f>
        <v>0</v>
      </c>
      <c r="G64" s="20" t="n">
        <f aca="false">IF(F64&gt;PR_BalDone,F64+F64*(F_MR/12)-MIN(F_MortPayM,F64+F64*(F_MR/12)),F64)</f>
        <v>0</v>
      </c>
      <c r="H64" s="20" t="n">
        <f aca="false">IF(G64&gt;PR_BalDone,G64+G64*(F_MR/12)-MIN(F_MortPayM,G64+G64*(F_MR/12)),G64)</f>
        <v>0</v>
      </c>
      <c r="I64" s="20" t="n">
        <f aca="false">IF(H64&gt;PR_BalDone,H64+H64*(F_MR/12)-MIN(F_MortPayM,H64+H64*(F_MR/12)),H64)</f>
        <v>0</v>
      </c>
      <c r="J64" s="20" t="n">
        <f aca="false">IF(I64&gt;PR_BalDone,I64+I64*(F_MR/12)-MIN(F_MortPayM,I64+I64*(F_MR/12)),I64)</f>
        <v>0</v>
      </c>
      <c r="K64" s="20" t="n">
        <f aca="false">IF(J64&gt;PR_BalDone,J64+J64*(F_MR/12)-MIN(F_MortPayM,J64+J64*(F_MR/12)),J64)</f>
        <v>0</v>
      </c>
      <c r="L64" s="20" t="n">
        <f aca="false">IF(K64&gt;PR_BalDone,K64+K64*(F_MR/12)-MIN(F_MortPayM,K64+K64*(F_MR/12)),K64)</f>
        <v>0</v>
      </c>
      <c r="M64" s="20" t="n">
        <f aca="false">IF(L64&gt;PR_BalDone,L64+L64*(F_MR/12)-MIN(F_MortPayM,L64+L64*(F_MR/12)),L64)</f>
        <v>0</v>
      </c>
      <c r="N64" s="20" t="n">
        <f aca="false">IF(M64&gt;PR_BalDone,M64+M64*(F_MR/12)-MIN(F_MortPayM,M64+M64*(F_MR/12)),M64)</f>
        <v>0</v>
      </c>
      <c r="O64" s="20" t="n">
        <f aca="false">IF(N64&gt;PR_BalDone,N64+N64*(F_MR/12)-MIN(F_MortPayM,N64+N64*(F_MR/12)),N64)</f>
        <v>0</v>
      </c>
      <c r="P64" s="20" t="n">
        <f aca="false">IF(C64&gt;PR_BalDone,MIN(F_MortPayM,C64+C64*(F_MR/12)),0)</f>
        <v>0</v>
      </c>
      <c r="Q64" s="20" t="n">
        <f aca="false">IF(D64&gt;PR_BalDone,MIN(F_MortPayM,D64+D64*(F_MR/12)),0)</f>
        <v>0</v>
      </c>
      <c r="R64" s="20" t="n">
        <f aca="false">IF(E64&gt;PR_BalDone,MIN(F_MortPayM,E64+E64*(F_MR/12)),0)</f>
        <v>0</v>
      </c>
      <c r="S64" s="20" t="n">
        <f aca="false">IF(F64&gt;PR_BalDone,MIN(F_MortPayM,F64+F64*(F_MR/12)),0)</f>
        <v>0</v>
      </c>
      <c r="T64" s="20" t="n">
        <f aca="false">IF(G64&gt;PR_BalDone,MIN(F_MortPayM,G64+G64*(F_MR/12)),0)</f>
        <v>0</v>
      </c>
      <c r="U64" s="20" t="n">
        <f aca="false">IF(H64&gt;PR_BalDone,MIN(F_MortPayM,H64+H64*(F_MR/12)),0)</f>
        <v>0</v>
      </c>
      <c r="V64" s="20" t="n">
        <f aca="false">IF(I64&gt;PR_BalDone,MIN(F_MortPayM,I64+I64*(F_MR/12)),0)</f>
        <v>0</v>
      </c>
      <c r="W64" s="20" t="n">
        <f aca="false">IF(J64&gt;PR_BalDone,MIN(F_MortPayM,J64+J64*(F_MR/12)),0)</f>
        <v>0</v>
      </c>
      <c r="X64" s="20" t="n">
        <f aca="false">IF(K64&gt;PR_BalDone,MIN(F_MortPayM,K64+K64*(F_MR/12)),0)</f>
        <v>0</v>
      </c>
      <c r="Y64" s="20" t="n">
        <f aca="false">IF(L64&gt;PR_BalDone,MIN(F_MortPayM,L64+L64*(F_MR/12)),0)</f>
        <v>0</v>
      </c>
      <c r="Z64" s="20" t="n">
        <f aca="false">IF(M64&gt;PR_BalDone,MIN(F_MortPayM,M64+M64*(F_MR/12)),0)</f>
        <v>0</v>
      </c>
      <c r="AA64" s="20" t="n">
        <f aca="false">IF(N64&gt;PR_BalDone,MIN(F_MortPayM,N64+N64*(F_MR/12)),0)</f>
        <v>0</v>
      </c>
      <c r="AB64" s="20" t="n">
        <f aca="false">MAX(0,O64)</f>
        <v>0</v>
      </c>
      <c r="AC64" s="20" t="n">
        <f aca="false">SUM(P64:AA64)</f>
        <v>0</v>
      </c>
      <c r="AD64" s="20" t="n">
        <f aca="false">'Plan cashflow'!M64</f>
        <v>0</v>
      </c>
      <c r="AE64" s="20" t="n">
        <f aca="false">IF(AD64&gt;PR_BalDone,AD64+AD64*(D_iC)-MIN(F_CardPayM,AD64+AD64*(D_iC)),AD64)</f>
        <v>0</v>
      </c>
      <c r="AF64" s="20" t="n">
        <f aca="false">IF(AE64&gt;PR_BalDone,AE64+AE64*(D_iC)-MIN(F_CardPayM,AE64+AE64*(D_iC)),AE64)</f>
        <v>0</v>
      </c>
      <c r="AG64" s="20" t="n">
        <f aca="false">IF(AF64&gt;PR_BalDone,AF64+AF64*(D_iC)-MIN(F_CardPayM,AF64+AF64*(D_iC)),AF64)</f>
        <v>0</v>
      </c>
      <c r="AH64" s="20" t="n">
        <f aca="false">IF(AG64&gt;PR_BalDone,AG64+AG64*(D_iC)-MIN(F_CardPayM,AG64+AG64*(D_iC)),AG64)</f>
        <v>0</v>
      </c>
      <c r="AI64" s="20" t="n">
        <f aca="false">IF(AH64&gt;PR_BalDone,AH64+AH64*(D_iC)-MIN(F_CardPayM,AH64+AH64*(D_iC)),AH64)</f>
        <v>0</v>
      </c>
      <c r="AJ64" s="20" t="n">
        <f aca="false">IF(AI64&gt;PR_BalDone,AI64+AI64*(D_iC)-MIN(F_CardPayM,AI64+AI64*(D_iC)),AI64)</f>
        <v>0</v>
      </c>
      <c r="AK64" s="20" t="n">
        <f aca="false">IF(AJ64&gt;PR_BalDone,AJ64+AJ64*(D_iC)-MIN(F_CardPayM,AJ64+AJ64*(D_iC)),AJ64)</f>
        <v>0</v>
      </c>
      <c r="AL64" s="20" t="n">
        <f aca="false">IF(AK64&gt;PR_BalDone,AK64+AK64*(D_iC)-MIN(F_CardPayM,AK64+AK64*(D_iC)),AK64)</f>
        <v>0</v>
      </c>
      <c r="AM64" s="20" t="n">
        <f aca="false">IF(AL64&gt;PR_BalDone,AL64+AL64*(D_iC)-MIN(F_CardPayM,AL64+AL64*(D_iC)),AL64)</f>
        <v>0</v>
      </c>
      <c r="AN64" s="20" t="n">
        <f aca="false">IF(AM64&gt;PR_BalDone,AM64+AM64*(D_iC)-MIN(F_CardPayM,AM64+AM64*(D_iC)),AM64)</f>
        <v>0</v>
      </c>
      <c r="AO64" s="20" t="n">
        <f aca="false">IF(AN64&gt;PR_BalDone,AN64+AN64*(D_iC)-MIN(F_CardPayM,AN64+AN64*(D_iC)),AN64)</f>
        <v>0</v>
      </c>
      <c r="AP64" s="20" t="n">
        <f aca="false">IF(AO64&gt;PR_BalDone,AO64+AO64*(D_iC)-MIN(F_CardPayM,AO64+AO64*(D_iC)),AO64)</f>
        <v>0</v>
      </c>
      <c r="AQ64" s="20" t="n">
        <f aca="false">IF(AD64&gt;PR_BalDone,MIN(F_CardPayM,AD64+AD64*(D_iC)),0)</f>
        <v>0</v>
      </c>
      <c r="AR64" s="20" t="n">
        <f aca="false">IF(AE64&gt;PR_BalDone,MIN(F_CardPayM,AE64+AE64*(D_iC)),0)</f>
        <v>0</v>
      </c>
      <c r="AS64" s="20" t="n">
        <f aca="false">IF(AF64&gt;PR_BalDone,MIN(F_CardPayM,AF64+AF64*(D_iC)),0)</f>
        <v>0</v>
      </c>
      <c r="AT64" s="20" t="n">
        <f aca="false">IF(AG64&gt;PR_BalDone,MIN(F_CardPayM,AG64+AG64*(D_iC)),0)</f>
        <v>0</v>
      </c>
      <c r="AU64" s="20" t="n">
        <f aca="false">IF(AH64&gt;PR_BalDone,MIN(F_CardPayM,AH64+AH64*(D_iC)),0)</f>
        <v>0</v>
      </c>
      <c r="AV64" s="20" t="n">
        <f aca="false">IF(AI64&gt;PR_BalDone,MIN(F_CardPayM,AI64+AI64*(D_iC)),0)</f>
        <v>0</v>
      </c>
      <c r="AW64" s="20" t="n">
        <f aca="false">IF(AJ64&gt;PR_BalDone,MIN(F_CardPayM,AJ64+AJ64*(D_iC)),0)</f>
        <v>0</v>
      </c>
      <c r="AX64" s="20" t="n">
        <f aca="false">IF(AK64&gt;PR_BalDone,MIN(F_CardPayM,AK64+AK64*(D_iC)),0)</f>
        <v>0</v>
      </c>
      <c r="AY64" s="20" t="n">
        <f aca="false">IF(AL64&gt;PR_BalDone,MIN(F_CardPayM,AL64+AL64*(D_iC)),0)</f>
        <v>0</v>
      </c>
      <c r="AZ64" s="20" t="n">
        <f aca="false">IF(AM64&gt;PR_BalDone,MIN(F_CardPayM,AM64+AM64*(D_iC)),0)</f>
        <v>0</v>
      </c>
      <c r="BA64" s="20" t="n">
        <f aca="false">IF(AN64&gt;PR_BalDone,MIN(F_CardPayM,AN64+AN64*(D_iC)),0)</f>
        <v>0</v>
      </c>
      <c r="BB64" s="20" t="n">
        <f aca="false">IF(AO64&gt;PR_BalDone,MIN(F_CardPayM,AO64+AO64*(D_iC)),0)</f>
        <v>0</v>
      </c>
      <c r="BC64" s="20" t="n">
        <f aca="false">MAX(0,AP64)</f>
        <v>0</v>
      </c>
      <c r="BD64" s="20" t="n">
        <f aca="false">SUM(AQ64:BB64)</f>
        <v>0</v>
      </c>
      <c r="BE64" s="20" t="n">
        <f aca="false">'Plan cashflow'!P64</f>
        <v>0</v>
      </c>
      <c r="BF64" s="20" t="n">
        <f aca="false">IF(BE64&gt;PR_BalDone,BE64+BE64*(D_iL)-MIN(F_LoanPayM,BE64+BE64*(D_iL)),BE64)</f>
        <v>0</v>
      </c>
      <c r="BG64" s="20" t="n">
        <f aca="false">IF(BF64&gt;PR_BalDone,BF64+BF64*(D_iL)-MIN(F_LoanPayM,BF64+BF64*(D_iL)),BF64)</f>
        <v>0</v>
      </c>
      <c r="BH64" s="20" t="n">
        <f aca="false">IF(BG64&gt;PR_BalDone,BG64+BG64*(D_iL)-MIN(F_LoanPayM,BG64+BG64*(D_iL)),BG64)</f>
        <v>0</v>
      </c>
      <c r="BI64" s="20" t="n">
        <f aca="false">IF(BH64&gt;PR_BalDone,BH64+BH64*(D_iL)-MIN(F_LoanPayM,BH64+BH64*(D_iL)),BH64)</f>
        <v>0</v>
      </c>
      <c r="BJ64" s="20" t="n">
        <f aca="false">IF(BI64&gt;PR_BalDone,BI64+BI64*(D_iL)-MIN(F_LoanPayM,BI64+BI64*(D_iL)),BI64)</f>
        <v>0</v>
      </c>
      <c r="BK64" s="20" t="n">
        <f aca="false">IF(BJ64&gt;PR_BalDone,BJ64+BJ64*(D_iL)-MIN(F_LoanPayM,BJ64+BJ64*(D_iL)),BJ64)</f>
        <v>0</v>
      </c>
      <c r="BL64" s="20" t="n">
        <f aca="false">IF(BK64&gt;PR_BalDone,BK64+BK64*(D_iL)-MIN(F_LoanPayM,BK64+BK64*(D_iL)),BK64)</f>
        <v>0</v>
      </c>
      <c r="BM64" s="20" t="n">
        <f aca="false">IF(BL64&gt;PR_BalDone,BL64+BL64*(D_iL)-MIN(F_LoanPayM,BL64+BL64*(D_iL)),BL64)</f>
        <v>0</v>
      </c>
      <c r="BN64" s="20" t="n">
        <f aca="false">IF(BM64&gt;PR_BalDone,BM64+BM64*(D_iL)-MIN(F_LoanPayM,BM64+BM64*(D_iL)),BM64)</f>
        <v>0</v>
      </c>
      <c r="BO64" s="20" t="n">
        <f aca="false">IF(BN64&gt;PR_BalDone,BN64+BN64*(D_iL)-MIN(F_LoanPayM,BN64+BN64*(D_iL)),BN64)</f>
        <v>0</v>
      </c>
      <c r="BP64" s="20" t="n">
        <f aca="false">IF(BO64&gt;PR_BalDone,BO64+BO64*(D_iL)-MIN(F_LoanPayM,BO64+BO64*(D_iL)),BO64)</f>
        <v>0</v>
      </c>
      <c r="BQ64" s="20" t="n">
        <f aca="false">IF(BP64&gt;PR_BalDone,BP64+BP64*(D_iL)-MIN(F_LoanPayM,BP64+BP64*(D_iL)),BP64)</f>
        <v>0</v>
      </c>
      <c r="BR64" s="20" t="n">
        <f aca="false">IF(BE64&gt;PR_BalDone,MIN(F_LoanPayM,BE64+BE64*(D_iL)),0)</f>
        <v>0</v>
      </c>
      <c r="BS64" s="20" t="n">
        <f aca="false">IF(BF64&gt;PR_BalDone,MIN(F_LoanPayM,BF64+BF64*(D_iL)),0)</f>
        <v>0</v>
      </c>
      <c r="BT64" s="20" t="n">
        <f aca="false">IF(BG64&gt;PR_BalDone,MIN(F_LoanPayM,BG64+BG64*(D_iL)),0)</f>
        <v>0</v>
      </c>
      <c r="BU64" s="20" t="n">
        <f aca="false">IF(BH64&gt;PR_BalDone,MIN(F_LoanPayM,BH64+BH64*(D_iL)),0)</f>
        <v>0</v>
      </c>
      <c r="BV64" s="20" t="n">
        <f aca="false">IF(BI64&gt;PR_BalDone,MIN(F_LoanPayM,BI64+BI64*(D_iL)),0)</f>
        <v>0</v>
      </c>
      <c r="BW64" s="20" t="n">
        <f aca="false">IF(BJ64&gt;PR_BalDone,MIN(F_LoanPayM,BJ64+BJ64*(D_iL)),0)</f>
        <v>0</v>
      </c>
      <c r="BX64" s="20" t="n">
        <f aca="false">IF(BK64&gt;PR_BalDone,MIN(F_LoanPayM,BK64+BK64*(D_iL)),0)</f>
        <v>0</v>
      </c>
      <c r="BY64" s="20" t="n">
        <f aca="false">IF(BL64&gt;PR_BalDone,MIN(F_LoanPayM,BL64+BL64*(D_iL)),0)</f>
        <v>0</v>
      </c>
      <c r="BZ64" s="20" t="n">
        <f aca="false">IF(BM64&gt;PR_BalDone,MIN(F_LoanPayM,BM64+BM64*(D_iL)),0)</f>
        <v>0</v>
      </c>
      <c r="CA64" s="20" t="n">
        <f aca="false">IF(BN64&gt;PR_BalDone,MIN(F_LoanPayM,BN64+BN64*(D_iL)),0)</f>
        <v>0</v>
      </c>
      <c r="CB64" s="20" t="n">
        <f aca="false">IF(BO64&gt;PR_BalDone,MIN(F_LoanPayM,BO64+BO64*(D_iL)),0)</f>
        <v>0</v>
      </c>
      <c r="CC64" s="20" t="n">
        <f aca="false">IF(BP64&gt;PR_BalDone,MIN(F_LoanPayM,BP64+BP64*(D_iL)),0)</f>
        <v>0</v>
      </c>
      <c r="CD64" s="20" t="n">
        <f aca="false">MAX(0,BQ64)</f>
        <v>0</v>
      </c>
      <c r="CE64" s="20" t="n">
        <f aca="false">SUM(BR64:CC64)</f>
        <v>0</v>
      </c>
      <c r="CF64" s="20" t="n">
        <f aca="false">IF(CF63&gt;1,DE63,CF63)</f>
        <v>0</v>
      </c>
      <c r="CG64" s="20" t="n">
        <f aca="false">IF(CF64&gt;PR_BalDone,CF64+CF64*(F_MR/12)-MIN(F_MortPayM,CF64+CF64*(F_MR/12)),CF64)</f>
        <v>0</v>
      </c>
      <c r="CH64" s="20" t="n">
        <f aca="false">IF(CG64&gt;PR_BalDone,CG64+CG64*(F_MR/12)-MIN(F_MortPayM,CG64+CG64*(F_MR/12)),CG64)</f>
        <v>0</v>
      </c>
      <c r="CI64" s="20" t="n">
        <f aca="false">IF(CH64&gt;PR_BalDone,CH64+CH64*(F_MR/12)-MIN(F_MortPayM,CH64+CH64*(F_MR/12)),CH64)</f>
        <v>0</v>
      </c>
      <c r="CJ64" s="20" t="n">
        <f aca="false">IF(CI64&gt;PR_BalDone,CI64+CI64*(F_MR/12)-MIN(F_MortPayM,CI64+CI64*(F_MR/12)),CI64)</f>
        <v>0</v>
      </c>
      <c r="CK64" s="20" t="n">
        <f aca="false">IF(CJ64&gt;PR_BalDone,CJ64+CJ64*(F_MR/12)-MIN(F_MortPayM,CJ64+CJ64*(F_MR/12)),CJ64)</f>
        <v>0</v>
      </c>
      <c r="CL64" s="20" t="n">
        <f aca="false">IF(CK64&gt;PR_BalDone,CK64+CK64*(F_MR/12)-MIN(F_MortPayM,CK64+CK64*(F_MR/12)),CK64)</f>
        <v>0</v>
      </c>
      <c r="CM64" s="20" t="n">
        <f aca="false">IF(CL64&gt;PR_BalDone,CL64+CL64*(F_MR/12)-MIN(F_MortPayM,CL64+CL64*(F_MR/12)),CL64)</f>
        <v>0</v>
      </c>
      <c r="CN64" s="20" t="n">
        <f aca="false">IF(CM64&gt;PR_BalDone,CM64+CM64*(F_MR/12)-MIN(F_MortPayM,CM64+CM64*(F_MR/12)),CM64)</f>
        <v>0</v>
      </c>
      <c r="CO64" s="20" t="n">
        <f aca="false">IF(CN64&gt;PR_BalDone,CN64+CN64*(F_MR/12)-MIN(F_MortPayM,CN64+CN64*(F_MR/12)),CN64)</f>
        <v>0</v>
      </c>
      <c r="CP64" s="20" t="n">
        <f aca="false">IF(CO64&gt;PR_BalDone,CO64+CO64*(F_MR/12)-MIN(F_MortPayM,CO64+CO64*(F_MR/12)),CO64)</f>
        <v>0</v>
      </c>
      <c r="CQ64" s="20" t="n">
        <f aca="false">IF(CP64&gt;PR_BalDone,CP64+CP64*(F_MR/12)-MIN(F_MortPayM,CP64+CP64*(F_MR/12)),CP64)</f>
        <v>0</v>
      </c>
      <c r="CR64" s="20" t="n">
        <f aca="false">IF(CQ64&gt;PR_BalDone,CQ64+CQ64*(F_MR/12)-MIN(F_MortPayM,CQ64+CQ64*(F_MR/12)),CQ64)</f>
        <v>0</v>
      </c>
      <c r="CS64" s="20" t="n">
        <f aca="false">IF(CF64&gt;PR_BalDone,MIN(F_MortPayM,CF64+CF64*(F_MR/12)),0)</f>
        <v>0</v>
      </c>
      <c r="CT64" s="20" t="n">
        <f aca="false">IF(CG64&gt;PR_BalDone,MIN(F_MortPayM,CG64+CG64*(F_MR/12)),0)</f>
        <v>0</v>
      </c>
      <c r="CU64" s="20" t="n">
        <f aca="false">IF(CH64&gt;PR_BalDone,MIN(F_MortPayM,CH64+CH64*(F_MR/12)),0)</f>
        <v>0</v>
      </c>
      <c r="CV64" s="20" t="n">
        <f aca="false">IF(CI64&gt;PR_BalDone,MIN(F_MortPayM,CI64+CI64*(F_MR/12)),0)</f>
        <v>0</v>
      </c>
      <c r="CW64" s="20" t="n">
        <f aca="false">IF(CJ64&gt;PR_BalDone,MIN(F_MortPayM,CJ64+CJ64*(F_MR/12)),0)</f>
        <v>0</v>
      </c>
      <c r="CX64" s="20" t="n">
        <f aca="false">IF(CK64&gt;PR_BalDone,MIN(F_MortPayM,CK64+CK64*(F_MR/12)),0)</f>
        <v>0</v>
      </c>
      <c r="CY64" s="20" t="n">
        <f aca="false">IF(CL64&gt;PR_BalDone,MIN(F_MortPayM,CL64+CL64*(F_MR/12)),0)</f>
        <v>0</v>
      </c>
      <c r="CZ64" s="20" t="n">
        <f aca="false">IF(CM64&gt;PR_BalDone,MIN(F_MortPayM,CM64+CM64*(F_MR/12)),0)</f>
        <v>0</v>
      </c>
      <c r="DA64" s="20" t="n">
        <f aca="false">IF(CN64&gt;PR_BalDone,MIN(F_MortPayM,CN64+CN64*(F_MR/12)),0)</f>
        <v>0</v>
      </c>
      <c r="DB64" s="20" t="n">
        <f aca="false">IF(CO64&gt;PR_BalDone,MIN(F_MortPayM,CO64+CO64*(F_MR/12)),0)</f>
        <v>0</v>
      </c>
      <c r="DC64" s="20" t="n">
        <f aca="false">IF(CP64&gt;PR_BalDone,MIN(F_MortPayM,CP64+CP64*(F_MR/12)),0)</f>
        <v>0</v>
      </c>
      <c r="DD64" s="20" t="n">
        <f aca="false">IF(CQ64&gt;PR_BalDone,MIN(F_MortPayM,CQ64+CQ64*(F_MR/12)),0)</f>
        <v>0</v>
      </c>
      <c r="DE64" s="20" t="n">
        <f aca="false">MAX(0,CR64)</f>
        <v>0</v>
      </c>
      <c r="DF64" s="20" t="n">
        <f aca="false">SUM(CS64:DD64)</f>
        <v>0</v>
      </c>
      <c r="DG64" s="20" t="n">
        <f aca="false">MAX(0,CF64)</f>
        <v>0</v>
      </c>
    </row>
    <row r="65" customFormat="false" ht="15" hidden="false" customHeight="true" outlineLevel="0" collapsed="false">
      <c r="B65" s="20" t="n">
        <v>57</v>
      </c>
      <c r="C65" s="20" t="n">
        <f aca="false">'Plan cashflow'!J65</f>
        <v>0</v>
      </c>
      <c r="D65" s="20" t="n">
        <f aca="false">IF(C65&gt;PR_BalDone,C65+C65*(F_MR/12)-MIN(F_MortPayM,C65+C65*(F_MR/12)),C65)</f>
        <v>0</v>
      </c>
      <c r="E65" s="20" t="n">
        <f aca="false">IF(D65&gt;PR_BalDone,D65+D65*(F_MR/12)-MIN(F_MortPayM,D65+D65*(F_MR/12)),D65)</f>
        <v>0</v>
      </c>
      <c r="F65" s="20" t="n">
        <f aca="false">IF(E65&gt;PR_BalDone,E65+E65*(F_MR/12)-MIN(F_MortPayM,E65+E65*(F_MR/12)),E65)</f>
        <v>0</v>
      </c>
      <c r="G65" s="20" t="n">
        <f aca="false">IF(F65&gt;PR_BalDone,F65+F65*(F_MR/12)-MIN(F_MortPayM,F65+F65*(F_MR/12)),F65)</f>
        <v>0</v>
      </c>
      <c r="H65" s="20" t="n">
        <f aca="false">IF(G65&gt;PR_BalDone,G65+G65*(F_MR/12)-MIN(F_MortPayM,G65+G65*(F_MR/12)),G65)</f>
        <v>0</v>
      </c>
      <c r="I65" s="20" t="n">
        <f aca="false">IF(H65&gt;PR_BalDone,H65+H65*(F_MR/12)-MIN(F_MortPayM,H65+H65*(F_MR/12)),H65)</f>
        <v>0</v>
      </c>
      <c r="J65" s="20" t="n">
        <f aca="false">IF(I65&gt;PR_BalDone,I65+I65*(F_MR/12)-MIN(F_MortPayM,I65+I65*(F_MR/12)),I65)</f>
        <v>0</v>
      </c>
      <c r="K65" s="20" t="n">
        <f aca="false">IF(J65&gt;PR_BalDone,J65+J65*(F_MR/12)-MIN(F_MortPayM,J65+J65*(F_MR/12)),J65)</f>
        <v>0</v>
      </c>
      <c r="L65" s="20" t="n">
        <f aca="false">IF(K65&gt;PR_BalDone,K65+K65*(F_MR/12)-MIN(F_MortPayM,K65+K65*(F_MR/12)),K65)</f>
        <v>0</v>
      </c>
      <c r="M65" s="20" t="n">
        <f aca="false">IF(L65&gt;PR_BalDone,L65+L65*(F_MR/12)-MIN(F_MortPayM,L65+L65*(F_MR/12)),L65)</f>
        <v>0</v>
      </c>
      <c r="N65" s="20" t="n">
        <f aca="false">IF(M65&gt;PR_BalDone,M65+M65*(F_MR/12)-MIN(F_MortPayM,M65+M65*(F_MR/12)),M65)</f>
        <v>0</v>
      </c>
      <c r="O65" s="20" t="n">
        <f aca="false">IF(N65&gt;PR_BalDone,N65+N65*(F_MR/12)-MIN(F_MortPayM,N65+N65*(F_MR/12)),N65)</f>
        <v>0</v>
      </c>
      <c r="P65" s="20" t="n">
        <f aca="false">IF(C65&gt;PR_BalDone,MIN(F_MortPayM,C65+C65*(F_MR/12)),0)</f>
        <v>0</v>
      </c>
      <c r="Q65" s="20" t="n">
        <f aca="false">IF(D65&gt;PR_BalDone,MIN(F_MortPayM,D65+D65*(F_MR/12)),0)</f>
        <v>0</v>
      </c>
      <c r="R65" s="20" t="n">
        <f aca="false">IF(E65&gt;PR_BalDone,MIN(F_MortPayM,E65+E65*(F_MR/12)),0)</f>
        <v>0</v>
      </c>
      <c r="S65" s="20" t="n">
        <f aca="false">IF(F65&gt;PR_BalDone,MIN(F_MortPayM,F65+F65*(F_MR/12)),0)</f>
        <v>0</v>
      </c>
      <c r="T65" s="20" t="n">
        <f aca="false">IF(G65&gt;PR_BalDone,MIN(F_MortPayM,G65+G65*(F_MR/12)),0)</f>
        <v>0</v>
      </c>
      <c r="U65" s="20" t="n">
        <f aca="false">IF(H65&gt;PR_BalDone,MIN(F_MortPayM,H65+H65*(F_MR/12)),0)</f>
        <v>0</v>
      </c>
      <c r="V65" s="20" t="n">
        <f aca="false">IF(I65&gt;PR_BalDone,MIN(F_MortPayM,I65+I65*(F_MR/12)),0)</f>
        <v>0</v>
      </c>
      <c r="W65" s="20" t="n">
        <f aca="false">IF(J65&gt;PR_BalDone,MIN(F_MortPayM,J65+J65*(F_MR/12)),0)</f>
        <v>0</v>
      </c>
      <c r="X65" s="20" t="n">
        <f aca="false">IF(K65&gt;PR_BalDone,MIN(F_MortPayM,K65+K65*(F_MR/12)),0)</f>
        <v>0</v>
      </c>
      <c r="Y65" s="20" t="n">
        <f aca="false">IF(L65&gt;PR_BalDone,MIN(F_MortPayM,L65+L65*(F_MR/12)),0)</f>
        <v>0</v>
      </c>
      <c r="Z65" s="20" t="n">
        <f aca="false">IF(M65&gt;PR_BalDone,MIN(F_MortPayM,M65+M65*(F_MR/12)),0)</f>
        <v>0</v>
      </c>
      <c r="AA65" s="20" t="n">
        <f aca="false">IF(N65&gt;PR_BalDone,MIN(F_MortPayM,N65+N65*(F_MR/12)),0)</f>
        <v>0</v>
      </c>
      <c r="AB65" s="20" t="n">
        <f aca="false">MAX(0,O65)</f>
        <v>0</v>
      </c>
      <c r="AC65" s="20" t="n">
        <f aca="false">SUM(P65:AA65)</f>
        <v>0</v>
      </c>
      <c r="AD65" s="20" t="n">
        <f aca="false">'Plan cashflow'!M65</f>
        <v>0</v>
      </c>
      <c r="AE65" s="20" t="n">
        <f aca="false">IF(AD65&gt;PR_BalDone,AD65+AD65*(D_iC)-MIN(F_CardPayM,AD65+AD65*(D_iC)),AD65)</f>
        <v>0</v>
      </c>
      <c r="AF65" s="20" t="n">
        <f aca="false">IF(AE65&gt;PR_BalDone,AE65+AE65*(D_iC)-MIN(F_CardPayM,AE65+AE65*(D_iC)),AE65)</f>
        <v>0</v>
      </c>
      <c r="AG65" s="20" t="n">
        <f aca="false">IF(AF65&gt;PR_BalDone,AF65+AF65*(D_iC)-MIN(F_CardPayM,AF65+AF65*(D_iC)),AF65)</f>
        <v>0</v>
      </c>
      <c r="AH65" s="20" t="n">
        <f aca="false">IF(AG65&gt;PR_BalDone,AG65+AG65*(D_iC)-MIN(F_CardPayM,AG65+AG65*(D_iC)),AG65)</f>
        <v>0</v>
      </c>
      <c r="AI65" s="20" t="n">
        <f aca="false">IF(AH65&gt;PR_BalDone,AH65+AH65*(D_iC)-MIN(F_CardPayM,AH65+AH65*(D_iC)),AH65)</f>
        <v>0</v>
      </c>
      <c r="AJ65" s="20" t="n">
        <f aca="false">IF(AI65&gt;PR_BalDone,AI65+AI65*(D_iC)-MIN(F_CardPayM,AI65+AI65*(D_iC)),AI65)</f>
        <v>0</v>
      </c>
      <c r="AK65" s="20" t="n">
        <f aca="false">IF(AJ65&gt;PR_BalDone,AJ65+AJ65*(D_iC)-MIN(F_CardPayM,AJ65+AJ65*(D_iC)),AJ65)</f>
        <v>0</v>
      </c>
      <c r="AL65" s="20" t="n">
        <f aca="false">IF(AK65&gt;PR_BalDone,AK65+AK65*(D_iC)-MIN(F_CardPayM,AK65+AK65*(D_iC)),AK65)</f>
        <v>0</v>
      </c>
      <c r="AM65" s="20" t="n">
        <f aca="false">IF(AL65&gt;PR_BalDone,AL65+AL65*(D_iC)-MIN(F_CardPayM,AL65+AL65*(D_iC)),AL65)</f>
        <v>0</v>
      </c>
      <c r="AN65" s="20" t="n">
        <f aca="false">IF(AM65&gt;PR_BalDone,AM65+AM65*(D_iC)-MIN(F_CardPayM,AM65+AM65*(D_iC)),AM65)</f>
        <v>0</v>
      </c>
      <c r="AO65" s="20" t="n">
        <f aca="false">IF(AN65&gt;PR_BalDone,AN65+AN65*(D_iC)-MIN(F_CardPayM,AN65+AN65*(D_iC)),AN65)</f>
        <v>0</v>
      </c>
      <c r="AP65" s="20" t="n">
        <f aca="false">IF(AO65&gt;PR_BalDone,AO65+AO65*(D_iC)-MIN(F_CardPayM,AO65+AO65*(D_iC)),AO65)</f>
        <v>0</v>
      </c>
      <c r="AQ65" s="20" t="n">
        <f aca="false">IF(AD65&gt;PR_BalDone,MIN(F_CardPayM,AD65+AD65*(D_iC)),0)</f>
        <v>0</v>
      </c>
      <c r="AR65" s="20" t="n">
        <f aca="false">IF(AE65&gt;PR_BalDone,MIN(F_CardPayM,AE65+AE65*(D_iC)),0)</f>
        <v>0</v>
      </c>
      <c r="AS65" s="20" t="n">
        <f aca="false">IF(AF65&gt;PR_BalDone,MIN(F_CardPayM,AF65+AF65*(D_iC)),0)</f>
        <v>0</v>
      </c>
      <c r="AT65" s="20" t="n">
        <f aca="false">IF(AG65&gt;PR_BalDone,MIN(F_CardPayM,AG65+AG65*(D_iC)),0)</f>
        <v>0</v>
      </c>
      <c r="AU65" s="20" t="n">
        <f aca="false">IF(AH65&gt;PR_BalDone,MIN(F_CardPayM,AH65+AH65*(D_iC)),0)</f>
        <v>0</v>
      </c>
      <c r="AV65" s="20" t="n">
        <f aca="false">IF(AI65&gt;PR_BalDone,MIN(F_CardPayM,AI65+AI65*(D_iC)),0)</f>
        <v>0</v>
      </c>
      <c r="AW65" s="20" t="n">
        <f aca="false">IF(AJ65&gt;PR_BalDone,MIN(F_CardPayM,AJ65+AJ65*(D_iC)),0)</f>
        <v>0</v>
      </c>
      <c r="AX65" s="20" t="n">
        <f aca="false">IF(AK65&gt;PR_BalDone,MIN(F_CardPayM,AK65+AK65*(D_iC)),0)</f>
        <v>0</v>
      </c>
      <c r="AY65" s="20" t="n">
        <f aca="false">IF(AL65&gt;PR_BalDone,MIN(F_CardPayM,AL65+AL65*(D_iC)),0)</f>
        <v>0</v>
      </c>
      <c r="AZ65" s="20" t="n">
        <f aca="false">IF(AM65&gt;PR_BalDone,MIN(F_CardPayM,AM65+AM65*(D_iC)),0)</f>
        <v>0</v>
      </c>
      <c r="BA65" s="20" t="n">
        <f aca="false">IF(AN65&gt;PR_BalDone,MIN(F_CardPayM,AN65+AN65*(D_iC)),0)</f>
        <v>0</v>
      </c>
      <c r="BB65" s="20" t="n">
        <f aca="false">IF(AO65&gt;PR_BalDone,MIN(F_CardPayM,AO65+AO65*(D_iC)),0)</f>
        <v>0</v>
      </c>
      <c r="BC65" s="20" t="n">
        <f aca="false">MAX(0,AP65)</f>
        <v>0</v>
      </c>
      <c r="BD65" s="20" t="n">
        <f aca="false">SUM(AQ65:BB65)</f>
        <v>0</v>
      </c>
      <c r="BE65" s="20" t="n">
        <f aca="false">'Plan cashflow'!P65</f>
        <v>0</v>
      </c>
      <c r="BF65" s="20" t="n">
        <f aca="false">IF(BE65&gt;PR_BalDone,BE65+BE65*(D_iL)-MIN(F_LoanPayM,BE65+BE65*(D_iL)),BE65)</f>
        <v>0</v>
      </c>
      <c r="BG65" s="20" t="n">
        <f aca="false">IF(BF65&gt;PR_BalDone,BF65+BF65*(D_iL)-MIN(F_LoanPayM,BF65+BF65*(D_iL)),BF65)</f>
        <v>0</v>
      </c>
      <c r="BH65" s="20" t="n">
        <f aca="false">IF(BG65&gt;PR_BalDone,BG65+BG65*(D_iL)-MIN(F_LoanPayM,BG65+BG65*(D_iL)),BG65)</f>
        <v>0</v>
      </c>
      <c r="BI65" s="20" t="n">
        <f aca="false">IF(BH65&gt;PR_BalDone,BH65+BH65*(D_iL)-MIN(F_LoanPayM,BH65+BH65*(D_iL)),BH65)</f>
        <v>0</v>
      </c>
      <c r="BJ65" s="20" t="n">
        <f aca="false">IF(BI65&gt;PR_BalDone,BI65+BI65*(D_iL)-MIN(F_LoanPayM,BI65+BI65*(D_iL)),BI65)</f>
        <v>0</v>
      </c>
      <c r="BK65" s="20" t="n">
        <f aca="false">IF(BJ65&gt;PR_BalDone,BJ65+BJ65*(D_iL)-MIN(F_LoanPayM,BJ65+BJ65*(D_iL)),BJ65)</f>
        <v>0</v>
      </c>
      <c r="BL65" s="20" t="n">
        <f aca="false">IF(BK65&gt;PR_BalDone,BK65+BK65*(D_iL)-MIN(F_LoanPayM,BK65+BK65*(D_iL)),BK65)</f>
        <v>0</v>
      </c>
      <c r="BM65" s="20" t="n">
        <f aca="false">IF(BL65&gt;PR_BalDone,BL65+BL65*(D_iL)-MIN(F_LoanPayM,BL65+BL65*(D_iL)),BL65)</f>
        <v>0</v>
      </c>
      <c r="BN65" s="20" t="n">
        <f aca="false">IF(BM65&gt;PR_BalDone,BM65+BM65*(D_iL)-MIN(F_LoanPayM,BM65+BM65*(D_iL)),BM65)</f>
        <v>0</v>
      </c>
      <c r="BO65" s="20" t="n">
        <f aca="false">IF(BN65&gt;PR_BalDone,BN65+BN65*(D_iL)-MIN(F_LoanPayM,BN65+BN65*(D_iL)),BN65)</f>
        <v>0</v>
      </c>
      <c r="BP65" s="20" t="n">
        <f aca="false">IF(BO65&gt;PR_BalDone,BO65+BO65*(D_iL)-MIN(F_LoanPayM,BO65+BO65*(D_iL)),BO65)</f>
        <v>0</v>
      </c>
      <c r="BQ65" s="20" t="n">
        <f aca="false">IF(BP65&gt;PR_BalDone,BP65+BP65*(D_iL)-MIN(F_LoanPayM,BP65+BP65*(D_iL)),BP65)</f>
        <v>0</v>
      </c>
      <c r="BR65" s="20" t="n">
        <f aca="false">IF(BE65&gt;PR_BalDone,MIN(F_LoanPayM,BE65+BE65*(D_iL)),0)</f>
        <v>0</v>
      </c>
      <c r="BS65" s="20" t="n">
        <f aca="false">IF(BF65&gt;PR_BalDone,MIN(F_LoanPayM,BF65+BF65*(D_iL)),0)</f>
        <v>0</v>
      </c>
      <c r="BT65" s="20" t="n">
        <f aca="false">IF(BG65&gt;PR_BalDone,MIN(F_LoanPayM,BG65+BG65*(D_iL)),0)</f>
        <v>0</v>
      </c>
      <c r="BU65" s="20" t="n">
        <f aca="false">IF(BH65&gt;PR_BalDone,MIN(F_LoanPayM,BH65+BH65*(D_iL)),0)</f>
        <v>0</v>
      </c>
      <c r="BV65" s="20" t="n">
        <f aca="false">IF(BI65&gt;PR_BalDone,MIN(F_LoanPayM,BI65+BI65*(D_iL)),0)</f>
        <v>0</v>
      </c>
      <c r="BW65" s="20" t="n">
        <f aca="false">IF(BJ65&gt;PR_BalDone,MIN(F_LoanPayM,BJ65+BJ65*(D_iL)),0)</f>
        <v>0</v>
      </c>
      <c r="BX65" s="20" t="n">
        <f aca="false">IF(BK65&gt;PR_BalDone,MIN(F_LoanPayM,BK65+BK65*(D_iL)),0)</f>
        <v>0</v>
      </c>
      <c r="BY65" s="20" t="n">
        <f aca="false">IF(BL65&gt;PR_BalDone,MIN(F_LoanPayM,BL65+BL65*(D_iL)),0)</f>
        <v>0</v>
      </c>
      <c r="BZ65" s="20" t="n">
        <f aca="false">IF(BM65&gt;PR_BalDone,MIN(F_LoanPayM,BM65+BM65*(D_iL)),0)</f>
        <v>0</v>
      </c>
      <c r="CA65" s="20" t="n">
        <f aca="false">IF(BN65&gt;PR_BalDone,MIN(F_LoanPayM,BN65+BN65*(D_iL)),0)</f>
        <v>0</v>
      </c>
      <c r="CB65" s="20" t="n">
        <f aca="false">IF(BO65&gt;PR_BalDone,MIN(F_LoanPayM,BO65+BO65*(D_iL)),0)</f>
        <v>0</v>
      </c>
      <c r="CC65" s="20" t="n">
        <f aca="false">IF(BP65&gt;PR_BalDone,MIN(F_LoanPayM,BP65+BP65*(D_iL)),0)</f>
        <v>0</v>
      </c>
      <c r="CD65" s="20" t="n">
        <f aca="false">MAX(0,BQ65)</f>
        <v>0</v>
      </c>
      <c r="CE65" s="20" t="n">
        <f aca="false">SUM(BR65:CC65)</f>
        <v>0</v>
      </c>
      <c r="CF65" s="20" t="n">
        <f aca="false">IF(CF64&gt;1,DE64,CF64)</f>
        <v>0</v>
      </c>
      <c r="CG65" s="20" t="n">
        <f aca="false">IF(CF65&gt;PR_BalDone,CF65+CF65*(F_MR/12)-MIN(F_MortPayM,CF65+CF65*(F_MR/12)),CF65)</f>
        <v>0</v>
      </c>
      <c r="CH65" s="20" t="n">
        <f aca="false">IF(CG65&gt;PR_BalDone,CG65+CG65*(F_MR/12)-MIN(F_MortPayM,CG65+CG65*(F_MR/12)),CG65)</f>
        <v>0</v>
      </c>
      <c r="CI65" s="20" t="n">
        <f aca="false">IF(CH65&gt;PR_BalDone,CH65+CH65*(F_MR/12)-MIN(F_MortPayM,CH65+CH65*(F_MR/12)),CH65)</f>
        <v>0</v>
      </c>
      <c r="CJ65" s="20" t="n">
        <f aca="false">IF(CI65&gt;PR_BalDone,CI65+CI65*(F_MR/12)-MIN(F_MortPayM,CI65+CI65*(F_MR/12)),CI65)</f>
        <v>0</v>
      </c>
      <c r="CK65" s="20" t="n">
        <f aca="false">IF(CJ65&gt;PR_BalDone,CJ65+CJ65*(F_MR/12)-MIN(F_MortPayM,CJ65+CJ65*(F_MR/12)),CJ65)</f>
        <v>0</v>
      </c>
      <c r="CL65" s="20" t="n">
        <f aca="false">IF(CK65&gt;PR_BalDone,CK65+CK65*(F_MR/12)-MIN(F_MortPayM,CK65+CK65*(F_MR/12)),CK65)</f>
        <v>0</v>
      </c>
      <c r="CM65" s="20" t="n">
        <f aca="false">IF(CL65&gt;PR_BalDone,CL65+CL65*(F_MR/12)-MIN(F_MortPayM,CL65+CL65*(F_MR/12)),CL65)</f>
        <v>0</v>
      </c>
      <c r="CN65" s="20" t="n">
        <f aca="false">IF(CM65&gt;PR_BalDone,CM65+CM65*(F_MR/12)-MIN(F_MortPayM,CM65+CM65*(F_MR/12)),CM65)</f>
        <v>0</v>
      </c>
      <c r="CO65" s="20" t="n">
        <f aca="false">IF(CN65&gt;PR_BalDone,CN65+CN65*(F_MR/12)-MIN(F_MortPayM,CN65+CN65*(F_MR/12)),CN65)</f>
        <v>0</v>
      </c>
      <c r="CP65" s="20" t="n">
        <f aca="false">IF(CO65&gt;PR_BalDone,CO65+CO65*(F_MR/12)-MIN(F_MortPayM,CO65+CO65*(F_MR/12)),CO65)</f>
        <v>0</v>
      </c>
      <c r="CQ65" s="20" t="n">
        <f aca="false">IF(CP65&gt;PR_BalDone,CP65+CP65*(F_MR/12)-MIN(F_MortPayM,CP65+CP65*(F_MR/12)),CP65)</f>
        <v>0</v>
      </c>
      <c r="CR65" s="20" t="n">
        <f aca="false">IF(CQ65&gt;PR_BalDone,CQ65+CQ65*(F_MR/12)-MIN(F_MortPayM,CQ65+CQ65*(F_MR/12)),CQ65)</f>
        <v>0</v>
      </c>
      <c r="CS65" s="20" t="n">
        <f aca="false">IF(CF65&gt;PR_BalDone,MIN(F_MortPayM,CF65+CF65*(F_MR/12)),0)</f>
        <v>0</v>
      </c>
      <c r="CT65" s="20" t="n">
        <f aca="false">IF(CG65&gt;PR_BalDone,MIN(F_MortPayM,CG65+CG65*(F_MR/12)),0)</f>
        <v>0</v>
      </c>
      <c r="CU65" s="20" t="n">
        <f aca="false">IF(CH65&gt;PR_BalDone,MIN(F_MortPayM,CH65+CH65*(F_MR/12)),0)</f>
        <v>0</v>
      </c>
      <c r="CV65" s="20" t="n">
        <f aca="false">IF(CI65&gt;PR_BalDone,MIN(F_MortPayM,CI65+CI65*(F_MR/12)),0)</f>
        <v>0</v>
      </c>
      <c r="CW65" s="20" t="n">
        <f aca="false">IF(CJ65&gt;PR_BalDone,MIN(F_MortPayM,CJ65+CJ65*(F_MR/12)),0)</f>
        <v>0</v>
      </c>
      <c r="CX65" s="20" t="n">
        <f aca="false">IF(CK65&gt;PR_BalDone,MIN(F_MortPayM,CK65+CK65*(F_MR/12)),0)</f>
        <v>0</v>
      </c>
      <c r="CY65" s="20" t="n">
        <f aca="false">IF(CL65&gt;PR_BalDone,MIN(F_MortPayM,CL65+CL65*(F_MR/12)),0)</f>
        <v>0</v>
      </c>
      <c r="CZ65" s="20" t="n">
        <f aca="false">IF(CM65&gt;PR_BalDone,MIN(F_MortPayM,CM65+CM65*(F_MR/12)),0)</f>
        <v>0</v>
      </c>
      <c r="DA65" s="20" t="n">
        <f aca="false">IF(CN65&gt;PR_BalDone,MIN(F_MortPayM,CN65+CN65*(F_MR/12)),0)</f>
        <v>0</v>
      </c>
      <c r="DB65" s="20" t="n">
        <f aca="false">IF(CO65&gt;PR_BalDone,MIN(F_MortPayM,CO65+CO65*(F_MR/12)),0)</f>
        <v>0</v>
      </c>
      <c r="DC65" s="20" t="n">
        <f aca="false">IF(CP65&gt;PR_BalDone,MIN(F_MortPayM,CP65+CP65*(F_MR/12)),0)</f>
        <v>0</v>
      </c>
      <c r="DD65" s="20" t="n">
        <f aca="false">IF(CQ65&gt;PR_BalDone,MIN(F_MortPayM,CQ65+CQ65*(F_MR/12)),0)</f>
        <v>0</v>
      </c>
      <c r="DE65" s="20" t="n">
        <f aca="false">MAX(0,CR65)</f>
        <v>0</v>
      </c>
      <c r="DF65" s="20" t="n">
        <f aca="false">SUM(CS65:DD65)</f>
        <v>0</v>
      </c>
      <c r="DG65" s="20" t="n">
        <f aca="false">MAX(0,CF65)</f>
        <v>0</v>
      </c>
    </row>
    <row r="66" customFormat="false" ht="15" hidden="false" customHeight="true" outlineLevel="0" collapsed="false">
      <c r="B66" s="20" t="n">
        <v>58</v>
      </c>
      <c r="C66" s="20" t="n">
        <f aca="false">'Plan cashflow'!J66</f>
        <v>0</v>
      </c>
      <c r="D66" s="20" t="n">
        <f aca="false">IF(C66&gt;PR_BalDone,C66+C66*(F_MR/12)-MIN(F_MortPayM,C66+C66*(F_MR/12)),C66)</f>
        <v>0</v>
      </c>
      <c r="E66" s="20" t="n">
        <f aca="false">IF(D66&gt;PR_BalDone,D66+D66*(F_MR/12)-MIN(F_MortPayM,D66+D66*(F_MR/12)),D66)</f>
        <v>0</v>
      </c>
      <c r="F66" s="20" t="n">
        <f aca="false">IF(E66&gt;PR_BalDone,E66+E66*(F_MR/12)-MIN(F_MortPayM,E66+E66*(F_MR/12)),E66)</f>
        <v>0</v>
      </c>
      <c r="G66" s="20" t="n">
        <f aca="false">IF(F66&gt;PR_BalDone,F66+F66*(F_MR/12)-MIN(F_MortPayM,F66+F66*(F_MR/12)),F66)</f>
        <v>0</v>
      </c>
      <c r="H66" s="20" t="n">
        <f aca="false">IF(G66&gt;PR_BalDone,G66+G66*(F_MR/12)-MIN(F_MortPayM,G66+G66*(F_MR/12)),G66)</f>
        <v>0</v>
      </c>
      <c r="I66" s="20" t="n">
        <f aca="false">IF(H66&gt;PR_BalDone,H66+H66*(F_MR/12)-MIN(F_MortPayM,H66+H66*(F_MR/12)),H66)</f>
        <v>0</v>
      </c>
      <c r="J66" s="20" t="n">
        <f aca="false">IF(I66&gt;PR_BalDone,I66+I66*(F_MR/12)-MIN(F_MortPayM,I66+I66*(F_MR/12)),I66)</f>
        <v>0</v>
      </c>
      <c r="K66" s="20" t="n">
        <f aca="false">IF(J66&gt;PR_BalDone,J66+J66*(F_MR/12)-MIN(F_MortPayM,J66+J66*(F_MR/12)),J66)</f>
        <v>0</v>
      </c>
      <c r="L66" s="20" t="n">
        <f aca="false">IF(K66&gt;PR_BalDone,K66+K66*(F_MR/12)-MIN(F_MortPayM,K66+K66*(F_MR/12)),K66)</f>
        <v>0</v>
      </c>
      <c r="M66" s="20" t="n">
        <f aca="false">IF(L66&gt;PR_BalDone,L66+L66*(F_MR/12)-MIN(F_MortPayM,L66+L66*(F_MR/12)),L66)</f>
        <v>0</v>
      </c>
      <c r="N66" s="20" t="n">
        <f aca="false">IF(M66&gt;PR_BalDone,M66+M66*(F_MR/12)-MIN(F_MortPayM,M66+M66*(F_MR/12)),M66)</f>
        <v>0</v>
      </c>
      <c r="O66" s="20" t="n">
        <f aca="false">IF(N66&gt;PR_BalDone,N66+N66*(F_MR/12)-MIN(F_MortPayM,N66+N66*(F_MR/12)),N66)</f>
        <v>0</v>
      </c>
      <c r="P66" s="20" t="n">
        <f aca="false">IF(C66&gt;PR_BalDone,MIN(F_MortPayM,C66+C66*(F_MR/12)),0)</f>
        <v>0</v>
      </c>
      <c r="Q66" s="20" t="n">
        <f aca="false">IF(D66&gt;PR_BalDone,MIN(F_MortPayM,D66+D66*(F_MR/12)),0)</f>
        <v>0</v>
      </c>
      <c r="R66" s="20" t="n">
        <f aca="false">IF(E66&gt;PR_BalDone,MIN(F_MortPayM,E66+E66*(F_MR/12)),0)</f>
        <v>0</v>
      </c>
      <c r="S66" s="20" t="n">
        <f aca="false">IF(F66&gt;PR_BalDone,MIN(F_MortPayM,F66+F66*(F_MR/12)),0)</f>
        <v>0</v>
      </c>
      <c r="T66" s="20" t="n">
        <f aca="false">IF(G66&gt;PR_BalDone,MIN(F_MortPayM,G66+G66*(F_MR/12)),0)</f>
        <v>0</v>
      </c>
      <c r="U66" s="20" t="n">
        <f aca="false">IF(H66&gt;PR_BalDone,MIN(F_MortPayM,H66+H66*(F_MR/12)),0)</f>
        <v>0</v>
      </c>
      <c r="V66" s="20" t="n">
        <f aca="false">IF(I66&gt;PR_BalDone,MIN(F_MortPayM,I66+I66*(F_MR/12)),0)</f>
        <v>0</v>
      </c>
      <c r="W66" s="20" t="n">
        <f aca="false">IF(J66&gt;PR_BalDone,MIN(F_MortPayM,J66+J66*(F_MR/12)),0)</f>
        <v>0</v>
      </c>
      <c r="X66" s="20" t="n">
        <f aca="false">IF(K66&gt;PR_BalDone,MIN(F_MortPayM,K66+K66*(F_MR/12)),0)</f>
        <v>0</v>
      </c>
      <c r="Y66" s="20" t="n">
        <f aca="false">IF(L66&gt;PR_BalDone,MIN(F_MortPayM,L66+L66*(F_MR/12)),0)</f>
        <v>0</v>
      </c>
      <c r="Z66" s="20" t="n">
        <f aca="false">IF(M66&gt;PR_BalDone,MIN(F_MortPayM,M66+M66*(F_MR/12)),0)</f>
        <v>0</v>
      </c>
      <c r="AA66" s="20" t="n">
        <f aca="false">IF(N66&gt;PR_BalDone,MIN(F_MortPayM,N66+N66*(F_MR/12)),0)</f>
        <v>0</v>
      </c>
      <c r="AB66" s="20" t="n">
        <f aca="false">MAX(0,O66)</f>
        <v>0</v>
      </c>
      <c r="AC66" s="20" t="n">
        <f aca="false">SUM(P66:AA66)</f>
        <v>0</v>
      </c>
      <c r="AD66" s="20" t="n">
        <f aca="false">'Plan cashflow'!M66</f>
        <v>0</v>
      </c>
      <c r="AE66" s="20" t="n">
        <f aca="false">IF(AD66&gt;PR_BalDone,AD66+AD66*(D_iC)-MIN(F_CardPayM,AD66+AD66*(D_iC)),AD66)</f>
        <v>0</v>
      </c>
      <c r="AF66" s="20" t="n">
        <f aca="false">IF(AE66&gt;PR_BalDone,AE66+AE66*(D_iC)-MIN(F_CardPayM,AE66+AE66*(D_iC)),AE66)</f>
        <v>0</v>
      </c>
      <c r="AG66" s="20" t="n">
        <f aca="false">IF(AF66&gt;PR_BalDone,AF66+AF66*(D_iC)-MIN(F_CardPayM,AF66+AF66*(D_iC)),AF66)</f>
        <v>0</v>
      </c>
      <c r="AH66" s="20" t="n">
        <f aca="false">IF(AG66&gt;PR_BalDone,AG66+AG66*(D_iC)-MIN(F_CardPayM,AG66+AG66*(D_iC)),AG66)</f>
        <v>0</v>
      </c>
      <c r="AI66" s="20" t="n">
        <f aca="false">IF(AH66&gt;PR_BalDone,AH66+AH66*(D_iC)-MIN(F_CardPayM,AH66+AH66*(D_iC)),AH66)</f>
        <v>0</v>
      </c>
      <c r="AJ66" s="20" t="n">
        <f aca="false">IF(AI66&gt;PR_BalDone,AI66+AI66*(D_iC)-MIN(F_CardPayM,AI66+AI66*(D_iC)),AI66)</f>
        <v>0</v>
      </c>
      <c r="AK66" s="20" t="n">
        <f aca="false">IF(AJ66&gt;PR_BalDone,AJ66+AJ66*(D_iC)-MIN(F_CardPayM,AJ66+AJ66*(D_iC)),AJ66)</f>
        <v>0</v>
      </c>
      <c r="AL66" s="20" t="n">
        <f aca="false">IF(AK66&gt;PR_BalDone,AK66+AK66*(D_iC)-MIN(F_CardPayM,AK66+AK66*(D_iC)),AK66)</f>
        <v>0</v>
      </c>
      <c r="AM66" s="20" t="n">
        <f aca="false">IF(AL66&gt;PR_BalDone,AL66+AL66*(D_iC)-MIN(F_CardPayM,AL66+AL66*(D_iC)),AL66)</f>
        <v>0</v>
      </c>
      <c r="AN66" s="20" t="n">
        <f aca="false">IF(AM66&gt;PR_BalDone,AM66+AM66*(D_iC)-MIN(F_CardPayM,AM66+AM66*(D_iC)),AM66)</f>
        <v>0</v>
      </c>
      <c r="AO66" s="20" t="n">
        <f aca="false">IF(AN66&gt;PR_BalDone,AN66+AN66*(D_iC)-MIN(F_CardPayM,AN66+AN66*(D_iC)),AN66)</f>
        <v>0</v>
      </c>
      <c r="AP66" s="20" t="n">
        <f aca="false">IF(AO66&gt;PR_BalDone,AO66+AO66*(D_iC)-MIN(F_CardPayM,AO66+AO66*(D_iC)),AO66)</f>
        <v>0</v>
      </c>
      <c r="AQ66" s="20" t="n">
        <f aca="false">IF(AD66&gt;PR_BalDone,MIN(F_CardPayM,AD66+AD66*(D_iC)),0)</f>
        <v>0</v>
      </c>
      <c r="AR66" s="20" t="n">
        <f aca="false">IF(AE66&gt;PR_BalDone,MIN(F_CardPayM,AE66+AE66*(D_iC)),0)</f>
        <v>0</v>
      </c>
      <c r="AS66" s="20" t="n">
        <f aca="false">IF(AF66&gt;PR_BalDone,MIN(F_CardPayM,AF66+AF66*(D_iC)),0)</f>
        <v>0</v>
      </c>
      <c r="AT66" s="20" t="n">
        <f aca="false">IF(AG66&gt;PR_BalDone,MIN(F_CardPayM,AG66+AG66*(D_iC)),0)</f>
        <v>0</v>
      </c>
      <c r="AU66" s="20" t="n">
        <f aca="false">IF(AH66&gt;PR_BalDone,MIN(F_CardPayM,AH66+AH66*(D_iC)),0)</f>
        <v>0</v>
      </c>
      <c r="AV66" s="20" t="n">
        <f aca="false">IF(AI66&gt;PR_BalDone,MIN(F_CardPayM,AI66+AI66*(D_iC)),0)</f>
        <v>0</v>
      </c>
      <c r="AW66" s="20" t="n">
        <f aca="false">IF(AJ66&gt;PR_BalDone,MIN(F_CardPayM,AJ66+AJ66*(D_iC)),0)</f>
        <v>0</v>
      </c>
      <c r="AX66" s="20" t="n">
        <f aca="false">IF(AK66&gt;PR_BalDone,MIN(F_CardPayM,AK66+AK66*(D_iC)),0)</f>
        <v>0</v>
      </c>
      <c r="AY66" s="20" t="n">
        <f aca="false">IF(AL66&gt;PR_BalDone,MIN(F_CardPayM,AL66+AL66*(D_iC)),0)</f>
        <v>0</v>
      </c>
      <c r="AZ66" s="20" t="n">
        <f aca="false">IF(AM66&gt;PR_BalDone,MIN(F_CardPayM,AM66+AM66*(D_iC)),0)</f>
        <v>0</v>
      </c>
      <c r="BA66" s="20" t="n">
        <f aca="false">IF(AN66&gt;PR_BalDone,MIN(F_CardPayM,AN66+AN66*(D_iC)),0)</f>
        <v>0</v>
      </c>
      <c r="BB66" s="20" t="n">
        <f aca="false">IF(AO66&gt;PR_BalDone,MIN(F_CardPayM,AO66+AO66*(D_iC)),0)</f>
        <v>0</v>
      </c>
      <c r="BC66" s="20" t="n">
        <f aca="false">MAX(0,AP66)</f>
        <v>0</v>
      </c>
      <c r="BD66" s="20" t="n">
        <f aca="false">SUM(AQ66:BB66)</f>
        <v>0</v>
      </c>
      <c r="BE66" s="20" t="n">
        <f aca="false">'Plan cashflow'!P66</f>
        <v>0</v>
      </c>
      <c r="BF66" s="20" t="n">
        <f aca="false">IF(BE66&gt;PR_BalDone,BE66+BE66*(D_iL)-MIN(F_LoanPayM,BE66+BE66*(D_iL)),BE66)</f>
        <v>0</v>
      </c>
      <c r="BG66" s="20" t="n">
        <f aca="false">IF(BF66&gt;PR_BalDone,BF66+BF66*(D_iL)-MIN(F_LoanPayM,BF66+BF66*(D_iL)),BF66)</f>
        <v>0</v>
      </c>
      <c r="BH66" s="20" t="n">
        <f aca="false">IF(BG66&gt;PR_BalDone,BG66+BG66*(D_iL)-MIN(F_LoanPayM,BG66+BG66*(D_iL)),BG66)</f>
        <v>0</v>
      </c>
      <c r="BI66" s="20" t="n">
        <f aca="false">IF(BH66&gt;PR_BalDone,BH66+BH66*(D_iL)-MIN(F_LoanPayM,BH66+BH66*(D_iL)),BH66)</f>
        <v>0</v>
      </c>
      <c r="BJ66" s="20" t="n">
        <f aca="false">IF(BI66&gt;PR_BalDone,BI66+BI66*(D_iL)-MIN(F_LoanPayM,BI66+BI66*(D_iL)),BI66)</f>
        <v>0</v>
      </c>
      <c r="BK66" s="20" t="n">
        <f aca="false">IF(BJ66&gt;PR_BalDone,BJ66+BJ66*(D_iL)-MIN(F_LoanPayM,BJ66+BJ66*(D_iL)),BJ66)</f>
        <v>0</v>
      </c>
      <c r="BL66" s="20" t="n">
        <f aca="false">IF(BK66&gt;PR_BalDone,BK66+BK66*(D_iL)-MIN(F_LoanPayM,BK66+BK66*(D_iL)),BK66)</f>
        <v>0</v>
      </c>
      <c r="BM66" s="20" t="n">
        <f aca="false">IF(BL66&gt;PR_BalDone,BL66+BL66*(D_iL)-MIN(F_LoanPayM,BL66+BL66*(D_iL)),BL66)</f>
        <v>0</v>
      </c>
      <c r="BN66" s="20" t="n">
        <f aca="false">IF(BM66&gt;PR_BalDone,BM66+BM66*(D_iL)-MIN(F_LoanPayM,BM66+BM66*(D_iL)),BM66)</f>
        <v>0</v>
      </c>
      <c r="BO66" s="20" t="n">
        <f aca="false">IF(BN66&gt;PR_BalDone,BN66+BN66*(D_iL)-MIN(F_LoanPayM,BN66+BN66*(D_iL)),BN66)</f>
        <v>0</v>
      </c>
      <c r="BP66" s="20" t="n">
        <f aca="false">IF(BO66&gt;PR_BalDone,BO66+BO66*(D_iL)-MIN(F_LoanPayM,BO66+BO66*(D_iL)),BO66)</f>
        <v>0</v>
      </c>
      <c r="BQ66" s="20" t="n">
        <f aca="false">IF(BP66&gt;PR_BalDone,BP66+BP66*(D_iL)-MIN(F_LoanPayM,BP66+BP66*(D_iL)),BP66)</f>
        <v>0</v>
      </c>
      <c r="BR66" s="20" t="n">
        <f aca="false">IF(BE66&gt;PR_BalDone,MIN(F_LoanPayM,BE66+BE66*(D_iL)),0)</f>
        <v>0</v>
      </c>
      <c r="BS66" s="20" t="n">
        <f aca="false">IF(BF66&gt;PR_BalDone,MIN(F_LoanPayM,BF66+BF66*(D_iL)),0)</f>
        <v>0</v>
      </c>
      <c r="BT66" s="20" t="n">
        <f aca="false">IF(BG66&gt;PR_BalDone,MIN(F_LoanPayM,BG66+BG66*(D_iL)),0)</f>
        <v>0</v>
      </c>
      <c r="BU66" s="20" t="n">
        <f aca="false">IF(BH66&gt;PR_BalDone,MIN(F_LoanPayM,BH66+BH66*(D_iL)),0)</f>
        <v>0</v>
      </c>
      <c r="BV66" s="20" t="n">
        <f aca="false">IF(BI66&gt;PR_BalDone,MIN(F_LoanPayM,BI66+BI66*(D_iL)),0)</f>
        <v>0</v>
      </c>
      <c r="BW66" s="20" t="n">
        <f aca="false">IF(BJ66&gt;PR_BalDone,MIN(F_LoanPayM,BJ66+BJ66*(D_iL)),0)</f>
        <v>0</v>
      </c>
      <c r="BX66" s="20" t="n">
        <f aca="false">IF(BK66&gt;PR_BalDone,MIN(F_LoanPayM,BK66+BK66*(D_iL)),0)</f>
        <v>0</v>
      </c>
      <c r="BY66" s="20" t="n">
        <f aca="false">IF(BL66&gt;PR_BalDone,MIN(F_LoanPayM,BL66+BL66*(D_iL)),0)</f>
        <v>0</v>
      </c>
      <c r="BZ66" s="20" t="n">
        <f aca="false">IF(BM66&gt;PR_BalDone,MIN(F_LoanPayM,BM66+BM66*(D_iL)),0)</f>
        <v>0</v>
      </c>
      <c r="CA66" s="20" t="n">
        <f aca="false">IF(BN66&gt;PR_BalDone,MIN(F_LoanPayM,BN66+BN66*(D_iL)),0)</f>
        <v>0</v>
      </c>
      <c r="CB66" s="20" t="n">
        <f aca="false">IF(BO66&gt;PR_BalDone,MIN(F_LoanPayM,BO66+BO66*(D_iL)),0)</f>
        <v>0</v>
      </c>
      <c r="CC66" s="20" t="n">
        <f aca="false">IF(BP66&gt;PR_BalDone,MIN(F_LoanPayM,BP66+BP66*(D_iL)),0)</f>
        <v>0</v>
      </c>
      <c r="CD66" s="20" t="n">
        <f aca="false">MAX(0,BQ66)</f>
        <v>0</v>
      </c>
      <c r="CE66" s="20" t="n">
        <f aca="false">SUM(BR66:CC66)</f>
        <v>0</v>
      </c>
      <c r="CF66" s="20" t="n">
        <f aca="false">IF(CF65&gt;1,DE65,CF65)</f>
        <v>0</v>
      </c>
      <c r="CG66" s="20" t="n">
        <f aca="false">IF(CF66&gt;PR_BalDone,CF66+CF66*(F_MR/12)-MIN(F_MortPayM,CF66+CF66*(F_MR/12)),CF66)</f>
        <v>0</v>
      </c>
      <c r="CH66" s="20" t="n">
        <f aca="false">IF(CG66&gt;PR_BalDone,CG66+CG66*(F_MR/12)-MIN(F_MortPayM,CG66+CG66*(F_MR/12)),CG66)</f>
        <v>0</v>
      </c>
      <c r="CI66" s="20" t="n">
        <f aca="false">IF(CH66&gt;PR_BalDone,CH66+CH66*(F_MR/12)-MIN(F_MortPayM,CH66+CH66*(F_MR/12)),CH66)</f>
        <v>0</v>
      </c>
      <c r="CJ66" s="20" t="n">
        <f aca="false">IF(CI66&gt;PR_BalDone,CI66+CI66*(F_MR/12)-MIN(F_MortPayM,CI66+CI66*(F_MR/12)),CI66)</f>
        <v>0</v>
      </c>
      <c r="CK66" s="20" t="n">
        <f aca="false">IF(CJ66&gt;PR_BalDone,CJ66+CJ66*(F_MR/12)-MIN(F_MortPayM,CJ66+CJ66*(F_MR/12)),CJ66)</f>
        <v>0</v>
      </c>
      <c r="CL66" s="20" t="n">
        <f aca="false">IF(CK66&gt;PR_BalDone,CK66+CK66*(F_MR/12)-MIN(F_MortPayM,CK66+CK66*(F_MR/12)),CK66)</f>
        <v>0</v>
      </c>
      <c r="CM66" s="20" t="n">
        <f aca="false">IF(CL66&gt;PR_BalDone,CL66+CL66*(F_MR/12)-MIN(F_MortPayM,CL66+CL66*(F_MR/12)),CL66)</f>
        <v>0</v>
      </c>
      <c r="CN66" s="20" t="n">
        <f aca="false">IF(CM66&gt;PR_BalDone,CM66+CM66*(F_MR/12)-MIN(F_MortPayM,CM66+CM66*(F_MR/12)),CM66)</f>
        <v>0</v>
      </c>
      <c r="CO66" s="20" t="n">
        <f aca="false">IF(CN66&gt;PR_BalDone,CN66+CN66*(F_MR/12)-MIN(F_MortPayM,CN66+CN66*(F_MR/12)),CN66)</f>
        <v>0</v>
      </c>
      <c r="CP66" s="20" t="n">
        <f aca="false">IF(CO66&gt;PR_BalDone,CO66+CO66*(F_MR/12)-MIN(F_MortPayM,CO66+CO66*(F_MR/12)),CO66)</f>
        <v>0</v>
      </c>
      <c r="CQ66" s="20" t="n">
        <f aca="false">IF(CP66&gt;PR_BalDone,CP66+CP66*(F_MR/12)-MIN(F_MortPayM,CP66+CP66*(F_MR/12)),CP66)</f>
        <v>0</v>
      </c>
      <c r="CR66" s="20" t="n">
        <f aca="false">IF(CQ66&gt;PR_BalDone,CQ66+CQ66*(F_MR/12)-MIN(F_MortPayM,CQ66+CQ66*(F_MR/12)),CQ66)</f>
        <v>0</v>
      </c>
      <c r="CS66" s="20" t="n">
        <f aca="false">IF(CF66&gt;PR_BalDone,MIN(F_MortPayM,CF66+CF66*(F_MR/12)),0)</f>
        <v>0</v>
      </c>
      <c r="CT66" s="20" t="n">
        <f aca="false">IF(CG66&gt;PR_BalDone,MIN(F_MortPayM,CG66+CG66*(F_MR/12)),0)</f>
        <v>0</v>
      </c>
      <c r="CU66" s="20" t="n">
        <f aca="false">IF(CH66&gt;PR_BalDone,MIN(F_MortPayM,CH66+CH66*(F_MR/12)),0)</f>
        <v>0</v>
      </c>
      <c r="CV66" s="20" t="n">
        <f aca="false">IF(CI66&gt;PR_BalDone,MIN(F_MortPayM,CI66+CI66*(F_MR/12)),0)</f>
        <v>0</v>
      </c>
      <c r="CW66" s="20" t="n">
        <f aca="false">IF(CJ66&gt;PR_BalDone,MIN(F_MortPayM,CJ66+CJ66*(F_MR/12)),0)</f>
        <v>0</v>
      </c>
      <c r="CX66" s="20" t="n">
        <f aca="false">IF(CK66&gt;PR_BalDone,MIN(F_MortPayM,CK66+CK66*(F_MR/12)),0)</f>
        <v>0</v>
      </c>
      <c r="CY66" s="20" t="n">
        <f aca="false">IF(CL66&gt;PR_BalDone,MIN(F_MortPayM,CL66+CL66*(F_MR/12)),0)</f>
        <v>0</v>
      </c>
      <c r="CZ66" s="20" t="n">
        <f aca="false">IF(CM66&gt;PR_BalDone,MIN(F_MortPayM,CM66+CM66*(F_MR/12)),0)</f>
        <v>0</v>
      </c>
      <c r="DA66" s="20" t="n">
        <f aca="false">IF(CN66&gt;PR_BalDone,MIN(F_MortPayM,CN66+CN66*(F_MR/12)),0)</f>
        <v>0</v>
      </c>
      <c r="DB66" s="20" t="n">
        <f aca="false">IF(CO66&gt;PR_BalDone,MIN(F_MortPayM,CO66+CO66*(F_MR/12)),0)</f>
        <v>0</v>
      </c>
      <c r="DC66" s="20" t="n">
        <f aca="false">IF(CP66&gt;PR_BalDone,MIN(F_MortPayM,CP66+CP66*(F_MR/12)),0)</f>
        <v>0</v>
      </c>
      <c r="DD66" s="20" t="n">
        <f aca="false">IF(CQ66&gt;PR_BalDone,MIN(F_MortPayM,CQ66+CQ66*(F_MR/12)),0)</f>
        <v>0</v>
      </c>
      <c r="DE66" s="20" t="n">
        <f aca="false">MAX(0,CR66)</f>
        <v>0</v>
      </c>
      <c r="DF66" s="20" t="n">
        <f aca="false">SUM(CS66:DD66)</f>
        <v>0</v>
      </c>
      <c r="DG66" s="20" t="n">
        <f aca="false">MAX(0,CF66)</f>
        <v>0</v>
      </c>
    </row>
    <row r="67" customFormat="false" ht="15" hidden="false" customHeight="true" outlineLevel="0" collapsed="false">
      <c r="B67" s="20" t="n">
        <v>59</v>
      </c>
      <c r="C67" s="20" t="n">
        <f aca="false">'Plan cashflow'!J67</f>
        <v>0</v>
      </c>
      <c r="D67" s="20" t="n">
        <f aca="false">IF(C67&gt;PR_BalDone,C67+C67*(F_MR/12)-MIN(F_MortPayM,C67+C67*(F_MR/12)),C67)</f>
        <v>0</v>
      </c>
      <c r="E67" s="20" t="n">
        <f aca="false">IF(D67&gt;PR_BalDone,D67+D67*(F_MR/12)-MIN(F_MortPayM,D67+D67*(F_MR/12)),D67)</f>
        <v>0</v>
      </c>
      <c r="F67" s="20" t="n">
        <f aca="false">IF(E67&gt;PR_BalDone,E67+E67*(F_MR/12)-MIN(F_MortPayM,E67+E67*(F_MR/12)),E67)</f>
        <v>0</v>
      </c>
      <c r="G67" s="20" t="n">
        <f aca="false">IF(F67&gt;PR_BalDone,F67+F67*(F_MR/12)-MIN(F_MortPayM,F67+F67*(F_MR/12)),F67)</f>
        <v>0</v>
      </c>
      <c r="H67" s="20" t="n">
        <f aca="false">IF(G67&gt;PR_BalDone,G67+G67*(F_MR/12)-MIN(F_MortPayM,G67+G67*(F_MR/12)),G67)</f>
        <v>0</v>
      </c>
      <c r="I67" s="20" t="n">
        <f aca="false">IF(H67&gt;PR_BalDone,H67+H67*(F_MR/12)-MIN(F_MortPayM,H67+H67*(F_MR/12)),H67)</f>
        <v>0</v>
      </c>
      <c r="J67" s="20" t="n">
        <f aca="false">IF(I67&gt;PR_BalDone,I67+I67*(F_MR/12)-MIN(F_MortPayM,I67+I67*(F_MR/12)),I67)</f>
        <v>0</v>
      </c>
      <c r="K67" s="20" t="n">
        <f aca="false">IF(J67&gt;PR_BalDone,J67+J67*(F_MR/12)-MIN(F_MortPayM,J67+J67*(F_MR/12)),J67)</f>
        <v>0</v>
      </c>
      <c r="L67" s="20" t="n">
        <f aca="false">IF(K67&gt;PR_BalDone,K67+K67*(F_MR/12)-MIN(F_MortPayM,K67+K67*(F_MR/12)),K67)</f>
        <v>0</v>
      </c>
      <c r="M67" s="20" t="n">
        <f aca="false">IF(L67&gt;PR_BalDone,L67+L67*(F_MR/12)-MIN(F_MortPayM,L67+L67*(F_MR/12)),L67)</f>
        <v>0</v>
      </c>
      <c r="N67" s="20" t="n">
        <f aca="false">IF(M67&gt;PR_BalDone,M67+M67*(F_MR/12)-MIN(F_MortPayM,M67+M67*(F_MR/12)),M67)</f>
        <v>0</v>
      </c>
      <c r="O67" s="20" t="n">
        <f aca="false">IF(N67&gt;PR_BalDone,N67+N67*(F_MR/12)-MIN(F_MortPayM,N67+N67*(F_MR/12)),N67)</f>
        <v>0</v>
      </c>
      <c r="P67" s="20" t="n">
        <f aca="false">IF(C67&gt;PR_BalDone,MIN(F_MortPayM,C67+C67*(F_MR/12)),0)</f>
        <v>0</v>
      </c>
      <c r="Q67" s="20" t="n">
        <f aca="false">IF(D67&gt;PR_BalDone,MIN(F_MortPayM,D67+D67*(F_MR/12)),0)</f>
        <v>0</v>
      </c>
      <c r="R67" s="20" t="n">
        <f aca="false">IF(E67&gt;PR_BalDone,MIN(F_MortPayM,E67+E67*(F_MR/12)),0)</f>
        <v>0</v>
      </c>
      <c r="S67" s="20" t="n">
        <f aca="false">IF(F67&gt;PR_BalDone,MIN(F_MortPayM,F67+F67*(F_MR/12)),0)</f>
        <v>0</v>
      </c>
      <c r="T67" s="20" t="n">
        <f aca="false">IF(G67&gt;PR_BalDone,MIN(F_MortPayM,G67+G67*(F_MR/12)),0)</f>
        <v>0</v>
      </c>
      <c r="U67" s="20" t="n">
        <f aca="false">IF(H67&gt;PR_BalDone,MIN(F_MortPayM,H67+H67*(F_MR/12)),0)</f>
        <v>0</v>
      </c>
      <c r="V67" s="20" t="n">
        <f aca="false">IF(I67&gt;PR_BalDone,MIN(F_MortPayM,I67+I67*(F_MR/12)),0)</f>
        <v>0</v>
      </c>
      <c r="W67" s="20" t="n">
        <f aca="false">IF(J67&gt;PR_BalDone,MIN(F_MortPayM,J67+J67*(F_MR/12)),0)</f>
        <v>0</v>
      </c>
      <c r="X67" s="20" t="n">
        <f aca="false">IF(K67&gt;PR_BalDone,MIN(F_MortPayM,K67+K67*(F_MR/12)),0)</f>
        <v>0</v>
      </c>
      <c r="Y67" s="20" t="n">
        <f aca="false">IF(L67&gt;PR_BalDone,MIN(F_MortPayM,L67+L67*(F_MR/12)),0)</f>
        <v>0</v>
      </c>
      <c r="Z67" s="20" t="n">
        <f aca="false">IF(M67&gt;PR_BalDone,MIN(F_MortPayM,M67+M67*(F_MR/12)),0)</f>
        <v>0</v>
      </c>
      <c r="AA67" s="20" t="n">
        <f aca="false">IF(N67&gt;PR_BalDone,MIN(F_MortPayM,N67+N67*(F_MR/12)),0)</f>
        <v>0</v>
      </c>
      <c r="AB67" s="20" t="n">
        <f aca="false">MAX(0,O67)</f>
        <v>0</v>
      </c>
      <c r="AC67" s="20" t="n">
        <f aca="false">SUM(P67:AA67)</f>
        <v>0</v>
      </c>
      <c r="AD67" s="20" t="n">
        <f aca="false">'Plan cashflow'!M67</f>
        <v>0</v>
      </c>
      <c r="AE67" s="20" t="n">
        <f aca="false">IF(AD67&gt;PR_BalDone,AD67+AD67*(D_iC)-MIN(F_CardPayM,AD67+AD67*(D_iC)),AD67)</f>
        <v>0</v>
      </c>
      <c r="AF67" s="20" t="n">
        <f aca="false">IF(AE67&gt;PR_BalDone,AE67+AE67*(D_iC)-MIN(F_CardPayM,AE67+AE67*(D_iC)),AE67)</f>
        <v>0</v>
      </c>
      <c r="AG67" s="20" t="n">
        <f aca="false">IF(AF67&gt;PR_BalDone,AF67+AF67*(D_iC)-MIN(F_CardPayM,AF67+AF67*(D_iC)),AF67)</f>
        <v>0</v>
      </c>
      <c r="AH67" s="20" t="n">
        <f aca="false">IF(AG67&gt;PR_BalDone,AG67+AG67*(D_iC)-MIN(F_CardPayM,AG67+AG67*(D_iC)),AG67)</f>
        <v>0</v>
      </c>
      <c r="AI67" s="20" t="n">
        <f aca="false">IF(AH67&gt;PR_BalDone,AH67+AH67*(D_iC)-MIN(F_CardPayM,AH67+AH67*(D_iC)),AH67)</f>
        <v>0</v>
      </c>
      <c r="AJ67" s="20" t="n">
        <f aca="false">IF(AI67&gt;PR_BalDone,AI67+AI67*(D_iC)-MIN(F_CardPayM,AI67+AI67*(D_iC)),AI67)</f>
        <v>0</v>
      </c>
      <c r="AK67" s="20" t="n">
        <f aca="false">IF(AJ67&gt;PR_BalDone,AJ67+AJ67*(D_iC)-MIN(F_CardPayM,AJ67+AJ67*(D_iC)),AJ67)</f>
        <v>0</v>
      </c>
      <c r="AL67" s="20" t="n">
        <f aca="false">IF(AK67&gt;PR_BalDone,AK67+AK67*(D_iC)-MIN(F_CardPayM,AK67+AK67*(D_iC)),AK67)</f>
        <v>0</v>
      </c>
      <c r="AM67" s="20" t="n">
        <f aca="false">IF(AL67&gt;PR_BalDone,AL67+AL67*(D_iC)-MIN(F_CardPayM,AL67+AL67*(D_iC)),AL67)</f>
        <v>0</v>
      </c>
      <c r="AN67" s="20" t="n">
        <f aca="false">IF(AM67&gt;PR_BalDone,AM67+AM67*(D_iC)-MIN(F_CardPayM,AM67+AM67*(D_iC)),AM67)</f>
        <v>0</v>
      </c>
      <c r="AO67" s="20" t="n">
        <f aca="false">IF(AN67&gt;PR_BalDone,AN67+AN67*(D_iC)-MIN(F_CardPayM,AN67+AN67*(D_iC)),AN67)</f>
        <v>0</v>
      </c>
      <c r="AP67" s="20" t="n">
        <f aca="false">IF(AO67&gt;PR_BalDone,AO67+AO67*(D_iC)-MIN(F_CardPayM,AO67+AO67*(D_iC)),AO67)</f>
        <v>0</v>
      </c>
      <c r="AQ67" s="20" t="n">
        <f aca="false">IF(AD67&gt;PR_BalDone,MIN(F_CardPayM,AD67+AD67*(D_iC)),0)</f>
        <v>0</v>
      </c>
      <c r="AR67" s="20" t="n">
        <f aca="false">IF(AE67&gt;PR_BalDone,MIN(F_CardPayM,AE67+AE67*(D_iC)),0)</f>
        <v>0</v>
      </c>
      <c r="AS67" s="20" t="n">
        <f aca="false">IF(AF67&gt;PR_BalDone,MIN(F_CardPayM,AF67+AF67*(D_iC)),0)</f>
        <v>0</v>
      </c>
      <c r="AT67" s="20" t="n">
        <f aca="false">IF(AG67&gt;PR_BalDone,MIN(F_CardPayM,AG67+AG67*(D_iC)),0)</f>
        <v>0</v>
      </c>
      <c r="AU67" s="20" t="n">
        <f aca="false">IF(AH67&gt;PR_BalDone,MIN(F_CardPayM,AH67+AH67*(D_iC)),0)</f>
        <v>0</v>
      </c>
      <c r="AV67" s="20" t="n">
        <f aca="false">IF(AI67&gt;PR_BalDone,MIN(F_CardPayM,AI67+AI67*(D_iC)),0)</f>
        <v>0</v>
      </c>
      <c r="AW67" s="20" t="n">
        <f aca="false">IF(AJ67&gt;PR_BalDone,MIN(F_CardPayM,AJ67+AJ67*(D_iC)),0)</f>
        <v>0</v>
      </c>
      <c r="AX67" s="20" t="n">
        <f aca="false">IF(AK67&gt;PR_BalDone,MIN(F_CardPayM,AK67+AK67*(D_iC)),0)</f>
        <v>0</v>
      </c>
      <c r="AY67" s="20" t="n">
        <f aca="false">IF(AL67&gt;PR_BalDone,MIN(F_CardPayM,AL67+AL67*(D_iC)),0)</f>
        <v>0</v>
      </c>
      <c r="AZ67" s="20" t="n">
        <f aca="false">IF(AM67&gt;PR_BalDone,MIN(F_CardPayM,AM67+AM67*(D_iC)),0)</f>
        <v>0</v>
      </c>
      <c r="BA67" s="20" t="n">
        <f aca="false">IF(AN67&gt;PR_BalDone,MIN(F_CardPayM,AN67+AN67*(D_iC)),0)</f>
        <v>0</v>
      </c>
      <c r="BB67" s="20" t="n">
        <f aca="false">IF(AO67&gt;PR_BalDone,MIN(F_CardPayM,AO67+AO67*(D_iC)),0)</f>
        <v>0</v>
      </c>
      <c r="BC67" s="20" t="n">
        <f aca="false">MAX(0,AP67)</f>
        <v>0</v>
      </c>
      <c r="BD67" s="20" t="n">
        <f aca="false">SUM(AQ67:BB67)</f>
        <v>0</v>
      </c>
      <c r="BE67" s="20" t="n">
        <f aca="false">'Plan cashflow'!P67</f>
        <v>0</v>
      </c>
      <c r="BF67" s="20" t="n">
        <f aca="false">IF(BE67&gt;PR_BalDone,BE67+BE67*(D_iL)-MIN(F_LoanPayM,BE67+BE67*(D_iL)),BE67)</f>
        <v>0</v>
      </c>
      <c r="BG67" s="20" t="n">
        <f aca="false">IF(BF67&gt;PR_BalDone,BF67+BF67*(D_iL)-MIN(F_LoanPayM,BF67+BF67*(D_iL)),BF67)</f>
        <v>0</v>
      </c>
      <c r="BH67" s="20" t="n">
        <f aca="false">IF(BG67&gt;PR_BalDone,BG67+BG67*(D_iL)-MIN(F_LoanPayM,BG67+BG67*(D_iL)),BG67)</f>
        <v>0</v>
      </c>
      <c r="BI67" s="20" t="n">
        <f aca="false">IF(BH67&gt;PR_BalDone,BH67+BH67*(D_iL)-MIN(F_LoanPayM,BH67+BH67*(D_iL)),BH67)</f>
        <v>0</v>
      </c>
      <c r="BJ67" s="20" t="n">
        <f aca="false">IF(BI67&gt;PR_BalDone,BI67+BI67*(D_iL)-MIN(F_LoanPayM,BI67+BI67*(D_iL)),BI67)</f>
        <v>0</v>
      </c>
      <c r="BK67" s="20" t="n">
        <f aca="false">IF(BJ67&gt;PR_BalDone,BJ67+BJ67*(D_iL)-MIN(F_LoanPayM,BJ67+BJ67*(D_iL)),BJ67)</f>
        <v>0</v>
      </c>
      <c r="BL67" s="20" t="n">
        <f aca="false">IF(BK67&gt;PR_BalDone,BK67+BK67*(D_iL)-MIN(F_LoanPayM,BK67+BK67*(D_iL)),BK67)</f>
        <v>0</v>
      </c>
      <c r="BM67" s="20" t="n">
        <f aca="false">IF(BL67&gt;PR_BalDone,BL67+BL67*(D_iL)-MIN(F_LoanPayM,BL67+BL67*(D_iL)),BL67)</f>
        <v>0</v>
      </c>
      <c r="BN67" s="20" t="n">
        <f aca="false">IF(BM67&gt;PR_BalDone,BM67+BM67*(D_iL)-MIN(F_LoanPayM,BM67+BM67*(D_iL)),BM67)</f>
        <v>0</v>
      </c>
      <c r="BO67" s="20" t="n">
        <f aca="false">IF(BN67&gt;PR_BalDone,BN67+BN67*(D_iL)-MIN(F_LoanPayM,BN67+BN67*(D_iL)),BN67)</f>
        <v>0</v>
      </c>
      <c r="BP67" s="20" t="n">
        <f aca="false">IF(BO67&gt;PR_BalDone,BO67+BO67*(D_iL)-MIN(F_LoanPayM,BO67+BO67*(D_iL)),BO67)</f>
        <v>0</v>
      </c>
      <c r="BQ67" s="20" t="n">
        <f aca="false">IF(BP67&gt;PR_BalDone,BP67+BP67*(D_iL)-MIN(F_LoanPayM,BP67+BP67*(D_iL)),BP67)</f>
        <v>0</v>
      </c>
      <c r="BR67" s="20" t="n">
        <f aca="false">IF(BE67&gt;PR_BalDone,MIN(F_LoanPayM,BE67+BE67*(D_iL)),0)</f>
        <v>0</v>
      </c>
      <c r="BS67" s="20" t="n">
        <f aca="false">IF(BF67&gt;PR_BalDone,MIN(F_LoanPayM,BF67+BF67*(D_iL)),0)</f>
        <v>0</v>
      </c>
      <c r="BT67" s="20" t="n">
        <f aca="false">IF(BG67&gt;PR_BalDone,MIN(F_LoanPayM,BG67+BG67*(D_iL)),0)</f>
        <v>0</v>
      </c>
      <c r="BU67" s="20" t="n">
        <f aca="false">IF(BH67&gt;PR_BalDone,MIN(F_LoanPayM,BH67+BH67*(D_iL)),0)</f>
        <v>0</v>
      </c>
      <c r="BV67" s="20" t="n">
        <f aca="false">IF(BI67&gt;PR_BalDone,MIN(F_LoanPayM,BI67+BI67*(D_iL)),0)</f>
        <v>0</v>
      </c>
      <c r="BW67" s="20" t="n">
        <f aca="false">IF(BJ67&gt;PR_BalDone,MIN(F_LoanPayM,BJ67+BJ67*(D_iL)),0)</f>
        <v>0</v>
      </c>
      <c r="BX67" s="20" t="n">
        <f aca="false">IF(BK67&gt;PR_BalDone,MIN(F_LoanPayM,BK67+BK67*(D_iL)),0)</f>
        <v>0</v>
      </c>
      <c r="BY67" s="20" t="n">
        <f aca="false">IF(BL67&gt;PR_BalDone,MIN(F_LoanPayM,BL67+BL67*(D_iL)),0)</f>
        <v>0</v>
      </c>
      <c r="BZ67" s="20" t="n">
        <f aca="false">IF(BM67&gt;PR_BalDone,MIN(F_LoanPayM,BM67+BM67*(D_iL)),0)</f>
        <v>0</v>
      </c>
      <c r="CA67" s="20" t="n">
        <f aca="false">IF(BN67&gt;PR_BalDone,MIN(F_LoanPayM,BN67+BN67*(D_iL)),0)</f>
        <v>0</v>
      </c>
      <c r="CB67" s="20" t="n">
        <f aca="false">IF(BO67&gt;PR_BalDone,MIN(F_LoanPayM,BO67+BO67*(D_iL)),0)</f>
        <v>0</v>
      </c>
      <c r="CC67" s="20" t="n">
        <f aca="false">IF(BP67&gt;PR_BalDone,MIN(F_LoanPayM,BP67+BP67*(D_iL)),0)</f>
        <v>0</v>
      </c>
      <c r="CD67" s="20" t="n">
        <f aca="false">MAX(0,BQ67)</f>
        <v>0</v>
      </c>
      <c r="CE67" s="20" t="n">
        <f aca="false">SUM(BR67:CC67)</f>
        <v>0</v>
      </c>
      <c r="CF67" s="20" t="n">
        <f aca="false">IF(CF66&gt;1,DE66,CF66)</f>
        <v>0</v>
      </c>
      <c r="CG67" s="20" t="n">
        <f aca="false">IF(CF67&gt;PR_BalDone,CF67+CF67*(F_MR/12)-MIN(F_MortPayM,CF67+CF67*(F_MR/12)),CF67)</f>
        <v>0</v>
      </c>
      <c r="CH67" s="20" t="n">
        <f aca="false">IF(CG67&gt;PR_BalDone,CG67+CG67*(F_MR/12)-MIN(F_MortPayM,CG67+CG67*(F_MR/12)),CG67)</f>
        <v>0</v>
      </c>
      <c r="CI67" s="20" t="n">
        <f aca="false">IF(CH67&gt;PR_BalDone,CH67+CH67*(F_MR/12)-MIN(F_MortPayM,CH67+CH67*(F_MR/12)),CH67)</f>
        <v>0</v>
      </c>
      <c r="CJ67" s="20" t="n">
        <f aca="false">IF(CI67&gt;PR_BalDone,CI67+CI67*(F_MR/12)-MIN(F_MortPayM,CI67+CI67*(F_MR/12)),CI67)</f>
        <v>0</v>
      </c>
      <c r="CK67" s="20" t="n">
        <f aca="false">IF(CJ67&gt;PR_BalDone,CJ67+CJ67*(F_MR/12)-MIN(F_MortPayM,CJ67+CJ67*(F_MR/12)),CJ67)</f>
        <v>0</v>
      </c>
      <c r="CL67" s="20" t="n">
        <f aca="false">IF(CK67&gt;PR_BalDone,CK67+CK67*(F_MR/12)-MIN(F_MortPayM,CK67+CK67*(F_MR/12)),CK67)</f>
        <v>0</v>
      </c>
      <c r="CM67" s="20" t="n">
        <f aca="false">IF(CL67&gt;PR_BalDone,CL67+CL67*(F_MR/12)-MIN(F_MortPayM,CL67+CL67*(F_MR/12)),CL67)</f>
        <v>0</v>
      </c>
      <c r="CN67" s="20" t="n">
        <f aca="false">IF(CM67&gt;PR_BalDone,CM67+CM67*(F_MR/12)-MIN(F_MortPayM,CM67+CM67*(F_MR/12)),CM67)</f>
        <v>0</v>
      </c>
      <c r="CO67" s="20" t="n">
        <f aca="false">IF(CN67&gt;PR_BalDone,CN67+CN67*(F_MR/12)-MIN(F_MortPayM,CN67+CN67*(F_MR/12)),CN67)</f>
        <v>0</v>
      </c>
      <c r="CP67" s="20" t="n">
        <f aca="false">IF(CO67&gt;PR_BalDone,CO67+CO67*(F_MR/12)-MIN(F_MortPayM,CO67+CO67*(F_MR/12)),CO67)</f>
        <v>0</v>
      </c>
      <c r="CQ67" s="20" t="n">
        <f aca="false">IF(CP67&gt;PR_BalDone,CP67+CP67*(F_MR/12)-MIN(F_MortPayM,CP67+CP67*(F_MR/12)),CP67)</f>
        <v>0</v>
      </c>
      <c r="CR67" s="20" t="n">
        <f aca="false">IF(CQ67&gt;PR_BalDone,CQ67+CQ67*(F_MR/12)-MIN(F_MortPayM,CQ67+CQ67*(F_MR/12)),CQ67)</f>
        <v>0</v>
      </c>
      <c r="CS67" s="20" t="n">
        <f aca="false">IF(CF67&gt;PR_BalDone,MIN(F_MortPayM,CF67+CF67*(F_MR/12)),0)</f>
        <v>0</v>
      </c>
      <c r="CT67" s="20" t="n">
        <f aca="false">IF(CG67&gt;PR_BalDone,MIN(F_MortPayM,CG67+CG67*(F_MR/12)),0)</f>
        <v>0</v>
      </c>
      <c r="CU67" s="20" t="n">
        <f aca="false">IF(CH67&gt;PR_BalDone,MIN(F_MortPayM,CH67+CH67*(F_MR/12)),0)</f>
        <v>0</v>
      </c>
      <c r="CV67" s="20" t="n">
        <f aca="false">IF(CI67&gt;PR_BalDone,MIN(F_MortPayM,CI67+CI67*(F_MR/12)),0)</f>
        <v>0</v>
      </c>
      <c r="CW67" s="20" t="n">
        <f aca="false">IF(CJ67&gt;PR_BalDone,MIN(F_MortPayM,CJ67+CJ67*(F_MR/12)),0)</f>
        <v>0</v>
      </c>
      <c r="CX67" s="20" t="n">
        <f aca="false">IF(CK67&gt;PR_BalDone,MIN(F_MortPayM,CK67+CK67*(F_MR/12)),0)</f>
        <v>0</v>
      </c>
      <c r="CY67" s="20" t="n">
        <f aca="false">IF(CL67&gt;PR_BalDone,MIN(F_MortPayM,CL67+CL67*(F_MR/12)),0)</f>
        <v>0</v>
      </c>
      <c r="CZ67" s="20" t="n">
        <f aca="false">IF(CM67&gt;PR_BalDone,MIN(F_MortPayM,CM67+CM67*(F_MR/12)),0)</f>
        <v>0</v>
      </c>
      <c r="DA67" s="20" t="n">
        <f aca="false">IF(CN67&gt;PR_BalDone,MIN(F_MortPayM,CN67+CN67*(F_MR/12)),0)</f>
        <v>0</v>
      </c>
      <c r="DB67" s="20" t="n">
        <f aca="false">IF(CO67&gt;PR_BalDone,MIN(F_MortPayM,CO67+CO67*(F_MR/12)),0)</f>
        <v>0</v>
      </c>
      <c r="DC67" s="20" t="n">
        <f aca="false">IF(CP67&gt;PR_BalDone,MIN(F_MortPayM,CP67+CP67*(F_MR/12)),0)</f>
        <v>0</v>
      </c>
      <c r="DD67" s="20" t="n">
        <f aca="false">IF(CQ67&gt;PR_BalDone,MIN(F_MortPayM,CQ67+CQ67*(F_MR/12)),0)</f>
        <v>0</v>
      </c>
      <c r="DE67" s="20" t="n">
        <f aca="false">MAX(0,CR67)</f>
        <v>0</v>
      </c>
      <c r="DF67" s="20" t="n">
        <f aca="false">SUM(CS67:DD67)</f>
        <v>0</v>
      </c>
      <c r="DG67" s="20" t="n">
        <f aca="false">MAX(0,CF67)</f>
        <v>0</v>
      </c>
    </row>
    <row r="68" customFormat="false" ht="15" hidden="false" customHeight="true" outlineLevel="0" collapsed="false">
      <c r="B68" s="20" t="n">
        <v>60</v>
      </c>
      <c r="C68" s="20" t="n">
        <f aca="false">'Plan cashflow'!J68</f>
        <v>0</v>
      </c>
      <c r="D68" s="20" t="n">
        <f aca="false">IF(C68&gt;PR_BalDone,C68+C68*(F_MR/12)-MIN(F_MortPayM,C68+C68*(F_MR/12)),C68)</f>
        <v>0</v>
      </c>
      <c r="E68" s="20" t="n">
        <f aca="false">IF(D68&gt;PR_BalDone,D68+D68*(F_MR/12)-MIN(F_MortPayM,D68+D68*(F_MR/12)),D68)</f>
        <v>0</v>
      </c>
      <c r="F68" s="20" t="n">
        <f aca="false">IF(E68&gt;PR_BalDone,E68+E68*(F_MR/12)-MIN(F_MortPayM,E68+E68*(F_MR/12)),E68)</f>
        <v>0</v>
      </c>
      <c r="G68" s="20" t="n">
        <f aca="false">IF(F68&gt;PR_BalDone,F68+F68*(F_MR/12)-MIN(F_MortPayM,F68+F68*(F_MR/12)),F68)</f>
        <v>0</v>
      </c>
      <c r="H68" s="20" t="n">
        <f aca="false">IF(G68&gt;PR_BalDone,G68+G68*(F_MR/12)-MIN(F_MortPayM,G68+G68*(F_MR/12)),G68)</f>
        <v>0</v>
      </c>
      <c r="I68" s="20" t="n">
        <f aca="false">IF(H68&gt;PR_BalDone,H68+H68*(F_MR/12)-MIN(F_MortPayM,H68+H68*(F_MR/12)),H68)</f>
        <v>0</v>
      </c>
      <c r="J68" s="20" t="n">
        <f aca="false">IF(I68&gt;PR_BalDone,I68+I68*(F_MR/12)-MIN(F_MortPayM,I68+I68*(F_MR/12)),I68)</f>
        <v>0</v>
      </c>
      <c r="K68" s="20" t="n">
        <f aca="false">IF(J68&gt;PR_BalDone,J68+J68*(F_MR/12)-MIN(F_MortPayM,J68+J68*(F_MR/12)),J68)</f>
        <v>0</v>
      </c>
      <c r="L68" s="20" t="n">
        <f aca="false">IF(K68&gt;PR_BalDone,K68+K68*(F_MR/12)-MIN(F_MortPayM,K68+K68*(F_MR/12)),K68)</f>
        <v>0</v>
      </c>
      <c r="M68" s="20" t="n">
        <f aca="false">IF(L68&gt;PR_BalDone,L68+L68*(F_MR/12)-MIN(F_MortPayM,L68+L68*(F_MR/12)),L68)</f>
        <v>0</v>
      </c>
      <c r="N68" s="20" t="n">
        <f aca="false">IF(M68&gt;PR_BalDone,M68+M68*(F_MR/12)-MIN(F_MortPayM,M68+M68*(F_MR/12)),M68)</f>
        <v>0</v>
      </c>
      <c r="O68" s="20" t="n">
        <f aca="false">IF(N68&gt;PR_BalDone,N68+N68*(F_MR/12)-MIN(F_MortPayM,N68+N68*(F_MR/12)),N68)</f>
        <v>0</v>
      </c>
      <c r="P68" s="20" t="n">
        <f aca="false">IF(C68&gt;PR_BalDone,MIN(F_MortPayM,C68+C68*(F_MR/12)),0)</f>
        <v>0</v>
      </c>
      <c r="Q68" s="20" t="n">
        <f aca="false">IF(D68&gt;PR_BalDone,MIN(F_MortPayM,D68+D68*(F_MR/12)),0)</f>
        <v>0</v>
      </c>
      <c r="R68" s="20" t="n">
        <f aca="false">IF(E68&gt;PR_BalDone,MIN(F_MortPayM,E68+E68*(F_MR/12)),0)</f>
        <v>0</v>
      </c>
      <c r="S68" s="20" t="n">
        <f aca="false">IF(F68&gt;PR_BalDone,MIN(F_MortPayM,F68+F68*(F_MR/12)),0)</f>
        <v>0</v>
      </c>
      <c r="T68" s="20" t="n">
        <f aca="false">IF(G68&gt;PR_BalDone,MIN(F_MortPayM,G68+G68*(F_MR/12)),0)</f>
        <v>0</v>
      </c>
      <c r="U68" s="20" t="n">
        <f aca="false">IF(H68&gt;PR_BalDone,MIN(F_MortPayM,H68+H68*(F_MR/12)),0)</f>
        <v>0</v>
      </c>
      <c r="V68" s="20" t="n">
        <f aca="false">IF(I68&gt;PR_BalDone,MIN(F_MortPayM,I68+I68*(F_MR/12)),0)</f>
        <v>0</v>
      </c>
      <c r="W68" s="20" t="n">
        <f aca="false">IF(J68&gt;PR_BalDone,MIN(F_MortPayM,J68+J68*(F_MR/12)),0)</f>
        <v>0</v>
      </c>
      <c r="X68" s="20" t="n">
        <f aca="false">IF(K68&gt;PR_BalDone,MIN(F_MortPayM,K68+K68*(F_MR/12)),0)</f>
        <v>0</v>
      </c>
      <c r="Y68" s="20" t="n">
        <f aca="false">IF(L68&gt;PR_BalDone,MIN(F_MortPayM,L68+L68*(F_MR/12)),0)</f>
        <v>0</v>
      </c>
      <c r="Z68" s="20" t="n">
        <f aca="false">IF(M68&gt;PR_BalDone,MIN(F_MortPayM,M68+M68*(F_MR/12)),0)</f>
        <v>0</v>
      </c>
      <c r="AA68" s="20" t="n">
        <f aca="false">IF(N68&gt;PR_BalDone,MIN(F_MortPayM,N68+N68*(F_MR/12)),0)</f>
        <v>0</v>
      </c>
      <c r="AB68" s="20" t="n">
        <f aca="false">MAX(0,O68)</f>
        <v>0</v>
      </c>
      <c r="AC68" s="20" t="n">
        <f aca="false">SUM(P68:AA68)</f>
        <v>0</v>
      </c>
      <c r="AD68" s="20" t="n">
        <f aca="false">'Plan cashflow'!M68</f>
        <v>0</v>
      </c>
      <c r="AE68" s="20" t="n">
        <f aca="false">IF(AD68&gt;PR_BalDone,AD68+AD68*(D_iC)-MIN(F_CardPayM,AD68+AD68*(D_iC)),AD68)</f>
        <v>0</v>
      </c>
      <c r="AF68" s="20" t="n">
        <f aca="false">IF(AE68&gt;PR_BalDone,AE68+AE68*(D_iC)-MIN(F_CardPayM,AE68+AE68*(D_iC)),AE68)</f>
        <v>0</v>
      </c>
      <c r="AG68" s="20" t="n">
        <f aca="false">IF(AF68&gt;PR_BalDone,AF68+AF68*(D_iC)-MIN(F_CardPayM,AF68+AF68*(D_iC)),AF68)</f>
        <v>0</v>
      </c>
      <c r="AH68" s="20" t="n">
        <f aca="false">IF(AG68&gt;PR_BalDone,AG68+AG68*(D_iC)-MIN(F_CardPayM,AG68+AG68*(D_iC)),AG68)</f>
        <v>0</v>
      </c>
      <c r="AI68" s="20" t="n">
        <f aca="false">IF(AH68&gt;PR_BalDone,AH68+AH68*(D_iC)-MIN(F_CardPayM,AH68+AH68*(D_iC)),AH68)</f>
        <v>0</v>
      </c>
      <c r="AJ68" s="20" t="n">
        <f aca="false">IF(AI68&gt;PR_BalDone,AI68+AI68*(D_iC)-MIN(F_CardPayM,AI68+AI68*(D_iC)),AI68)</f>
        <v>0</v>
      </c>
      <c r="AK68" s="20" t="n">
        <f aca="false">IF(AJ68&gt;PR_BalDone,AJ68+AJ68*(D_iC)-MIN(F_CardPayM,AJ68+AJ68*(D_iC)),AJ68)</f>
        <v>0</v>
      </c>
      <c r="AL68" s="20" t="n">
        <f aca="false">IF(AK68&gt;PR_BalDone,AK68+AK68*(D_iC)-MIN(F_CardPayM,AK68+AK68*(D_iC)),AK68)</f>
        <v>0</v>
      </c>
      <c r="AM68" s="20" t="n">
        <f aca="false">IF(AL68&gt;PR_BalDone,AL68+AL68*(D_iC)-MIN(F_CardPayM,AL68+AL68*(D_iC)),AL68)</f>
        <v>0</v>
      </c>
      <c r="AN68" s="20" t="n">
        <f aca="false">IF(AM68&gt;PR_BalDone,AM68+AM68*(D_iC)-MIN(F_CardPayM,AM68+AM68*(D_iC)),AM68)</f>
        <v>0</v>
      </c>
      <c r="AO68" s="20" t="n">
        <f aca="false">IF(AN68&gt;PR_BalDone,AN68+AN68*(D_iC)-MIN(F_CardPayM,AN68+AN68*(D_iC)),AN68)</f>
        <v>0</v>
      </c>
      <c r="AP68" s="20" t="n">
        <f aca="false">IF(AO68&gt;PR_BalDone,AO68+AO68*(D_iC)-MIN(F_CardPayM,AO68+AO68*(D_iC)),AO68)</f>
        <v>0</v>
      </c>
      <c r="AQ68" s="20" t="n">
        <f aca="false">IF(AD68&gt;PR_BalDone,MIN(F_CardPayM,AD68+AD68*(D_iC)),0)</f>
        <v>0</v>
      </c>
      <c r="AR68" s="20" t="n">
        <f aca="false">IF(AE68&gt;PR_BalDone,MIN(F_CardPayM,AE68+AE68*(D_iC)),0)</f>
        <v>0</v>
      </c>
      <c r="AS68" s="20" t="n">
        <f aca="false">IF(AF68&gt;PR_BalDone,MIN(F_CardPayM,AF68+AF68*(D_iC)),0)</f>
        <v>0</v>
      </c>
      <c r="AT68" s="20" t="n">
        <f aca="false">IF(AG68&gt;PR_BalDone,MIN(F_CardPayM,AG68+AG68*(D_iC)),0)</f>
        <v>0</v>
      </c>
      <c r="AU68" s="20" t="n">
        <f aca="false">IF(AH68&gt;PR_BalDone,MIN(F_CardPayM,AH68+AH68*(D_iC)),0)</f>
        <v>0</v>
      </c>
      <c r="AV68" s="20" t="n">
        <f aca="false">IF(AI68&gt;PR_BalDone,MIN(F_CardPayM,AI68+AI68*(D_iC)),0)</f>
        <v>0</v>
      </c>
      <c r="AW68" s="20" t="n">
        <f aca="false">IF(AJ68&gt;PR_BalDone,MIN(F_CardPayM,AJ68+AJ68*(D_iC)),0)</f>
        <v>0</v>
      </c>
      <c r="AX68" s="20" t="n">
        <f aca="false">IF(AK68&gt;PR_BalDone,MIN(F_CardPayM,AK68+AK68*(D_iC)),0)</f>
        <v>0</v>
      </c>
      <c r="AY68" s="20" t="n">
        <f aca="false">IF(AL68&gt;PR_BalDone,MIN(F_CardPayM,AL68+AL68*(D_iC)),0)</f>
        <v>0</v>
      </c>
      <c r="AZ68" s="20" t="n">
        <f aca="false">IF(AM68&gt;PR_BalDone,MIN(F_CardPayM,AM68+AM68*(D_iC)),0)</f>
        <v>0</v>
      </c>
      <c r="BA68" s="20" t="n">
        <f aca="false">IF(AN68&gt;PR_BalDone,MIN(F_CardPayM,AN68+AN68*(D_iC)),0)</f>
        <v>0</v>
      </c>
      <c r="BB68" s="20" t="n">
        <f aca="false">IF(AO68&gt;PR_BalDone,MIN(F_CardPayM,AO68+AO68*(D_iC)),0)</f>
        <v>0</v>
      </c>
      <c r="BC68" s="20" t="n">
        <f aca="false">MAX(0,AP68)</f>
        <v>0</v>
      </c>
      <c r="BD68" s="20" t="n">
        <f aca="false">SUM(AQ68:BB68)</f>
        <v>0</v>
      </c>
      <c r="BE68" s="20" t="n">
        <f aca="false">'Plan cashflow'!P68</f>
        <v>0</v>
      </c>
      <c r="BF68" s="20" t="n">
        <f aca="false">IF(BE68&gt;PR_BalDone,BE68+BE68*(D_iL)-MIN(F_LoanPayM,BE68+BE68*(D_iL)),BE68)</f>
        <v>0</v>
      </c>
      <c r="BG68" s="20" t="n">
        <f aca="false">IF(BF68&gt;PR_BalDone,BF68+BF68*(D_iL)-MIN(F_LoanPayM,BF68+BF68*(D_iL)),BF68)</f>
        <v>0</v>
      </c>
      <c r="BH68" s="20" t="n">
        <f aca="false">IF(BG68&gt;PR_BalDone,BG68+BG68*(D_iL)-MIN(F_LoanPayM,BG68+BG68*(D_iL)),BG68)</f>
        <v>0</v>
      </c>
      <c r="BI68" s="20" t="n">
        <f aca="false">IF(BH68&gt;PR_BalDone,BH68+BH68*(D_iL)-MIN(F_LoanPayM,BH68+BH68*(D_iL)),BH68)</f>
        <v>0</v>
      </c>
      <c r="BJ68" s="20" t="n">
        <f aca="false">IF(BI68&gt;PR_BalDone,BI68+BI68*(D_iL)-MIN(F_LoanPayM,BI68+BI68*(D_iL)),BI68)</f>
        <v>0</v>
      </c>
      <c r="BK68" s="20" t="n">
        <f aca="false">IF(BJ68&gt;PR_BalDone,BJ68+BJ68*(D_iL)-MIN(F_LoanPayM,BJ68+BJ68*(D_iL)),BJ68)</f>
        <v>0</v>
      </c>
      <c r="BL68" s="20" t="n">
        <f aca="false">IF(BK68&gt;PR_BalDone,BK68+BK68*(D_iL)-MIN(F_LoanPayM,BK68+BK68*(D_iL)),BK68)</f>
        <v>0</v>
      </c>
      <c r="BM68" s="20" t="n">
        <f aca="false">IF(BL68&gt;PR_BalDone,BL68+BL68*(D_iL)-MIN(F_LoanPayM,BL68+BL68*(D_iL)),BL68)</f>
        <v>0</v>
      </c>
      <c r="BN68" s="20" t="n">
        <f aca="false">IF(BM68&gt;PR_BalDone,BM68+BM68*(D_iL)-MIN(F_LoanPayM,BM68+BM68*(D_iL)),BM68)</f>
        <v>0</v>
      </c>
      <c r="BO68" s="20" t="n">
        <f aca="false">IF(BN68&gt;PR_BalDone,BN68+BN68*(D_iL)-MIN(F_LoanPayM,BN68+BN68*(D_iL)),BN68)</f>
        <v>0</v>
      </c>
      <c r="BP68" s="20" t="n">
        <f aca="false">IF(BO68&gt;PR_BalDone,BO68+BO68*(D_iL)-MIN(F_LoanPayM,BO68+BO68*(D_iL)),BO68)</f>
        <v>0</v>
      </c>
      <c r="BQ68" s="20" t="n">
        <f aca="false">IF(BP68&gt;PR_BalDone,BP68+BP68*(D_iL)-MIN(F_LoanPayM,BP68+BP68*(D_iL)),BP68)</f>
        <v>0</v>
      </c>
      <c r="BR68" s="20" t="n">
        <f aca="false">IF(BE68&gt;PR_BalDone,MIN(F_LoanPayM,BE68+BE68*(D_iL)),0)</f>
        <v>0</v>
      </c>
      <c r="BS68" s="20" t="n">
        <f aca="false">IF(BF68&gt;PR_BalDone,MIN(F_LoanPayM,BF68+BF68*(D_iL)),0)</f>
        <v>0</v>
      </c>
      <c r="BT68" s="20" t="n">
        <f aca="false">IF(BG68&gt;PR_BalDone,MIN(F_LoanPayM,BG68+BG68*(D_iL)),0)</f>
        <v>0</v>
      </c>
      <c r="BU68" s="20" t="n">
        <f aca="false">IF(BH68&gt;PR_BalDone,MIN(F_LoanPayM,BH68+BH68*(D_iL)),0)</f>
        <v>0</v>
      </c>
      <c r="BV68" s="20" t="n">
        <f aca="false">IF(BI68&gt;PR_BalDone,MIN(F_LoanPayM,BI68+BI68*(D_iL)),0)</f>
        <v>0</v>
      </c>
      <c r="BW68" s="20" t="n">
        <f aca="false">IF(BJ68&gt;PR_BalDone,MIN(F_LoanPayM,BJ68+BJ68*(D_iL)),0)</f>
        <v>0</v>
      </c>
      <c r="BX68" s="20" t="n">
        <f aca="false">IF(BK68&gt;PR_BalDone,MIN(F_LoanPayM,BK68+BK68*(D_iL)),0)</f>
        <v>0</v>
      </c>
      <c r="BY68" s="20" t="n">
        <f aca="false">IF(BL68&gt;PR_BalDone,MIN(F_LoanPayM,BL68+BL68*(D_iL)),0)</f>
        <v>0</v>
      </c>
      <c r="BZ68" s="20" t="n">
        <f aca="false">IF(BM68&gt;PR_BalDone,MIN(F_LoanPayM,BM68+BM68*(D_iL)),0)</f>
        <v>0</v>
      </c>
      <c r="CA68" s="20" t="n">
        <f aca="false">IF(BN68&gt;PR_BalDone,MIN(F_LoanPayM,BN68+BN68*(D_iL)),0)</f>
        <v>0</v>
      </c>
      <c r="CB68" s="20" t="n">
        <f aca="false">IF(BO68&gt;PR_BalDone,MIN(F_LoanPayM,BO68+BO68*(D_iL)),0)</f>
        <v>0</v>
      </c>
      <c r="CC68" s="20" t="n">
        <f aca="false">IF(BP68&gt;PR_BalDone,MIN(F_LoanPayM,BP68+BP68*(D_iL)),0)</f>
        <v>0</v>
      </c>
      <c r="CD68" s="20" t="n">
        <f aca="false">MAX(0,BQ68)</f>
        <v>0</v>
      </c>
      <c r="CE68" s="20" t="n">
        <f aca="false">SUM(BR68:CC68)</f>
        <v>0</v>
      </c>
      <c r="CF68" s="20" t="n">
        <f aca="false">IF(CF67&gt;1,DE67,CF67)</f>
        <v>0</v>
      </c>
      <c r="CG68" s="20" t="n">
        <f aca="false">IF(CF68&gt;PR_BalDone,CF68+CF68*(F_MR/12)-MIN(F_MortPayM,CF68+CF68*(F_MR/12)),CF68)</f>
        <v>0</v>
      </c>
      <c r="CH68" s="20" t="n">
        <f aca="false">IF(CG68&gt;PR_BalDone,CG68+CG68*(F_MR/12)-MIN(F_MortPayM,CG68+CG68*(F_MR/12)),CG68)</f>
        <v>0</v>
      </c>
      <c r="CI68" s="20" t="n">
        <f aca="false">IF(CH68&gt;PR_BalDone,CH68+CH68*(F_MR/12)-MIN(F_MortPayM,CH68+CH68*(F_MR/12)),CH68)</f>
        <v>0</v>
      </c>
      <c r="CJ68" s="20" t="n">
        <f aca="false">IF(CI68&gt;PR_BalDone,CI68+CI68*(F_MR/12)-MIN(F_MortPayM,CI68+CI68*(F_MR/12)),CI68)</f>
        <v>0</v>
      </c>
      <c r="CK68" s="20" t="n">
        <f aca="false">IF(CJ68&gt;PR_BalDone,CJ68+CJ68*(F_MR/12)-MIN(F_MortPayM,CJ68+CJ68*(F_MR/12)),CJ68)</f>
        <v>0</v>
      </c>
      <c r="CL68" s="20" t="n">
        <f aca="false">IF(CK68&gt;PR_BalDone,CK68+CK68*(F_MR/12)-MIN(F_MortPayM,CK68+CK68*(F_MR/12)),CK68)</f>
        <v>0</v>
      </c>
      <c r="CM68" s="20" t="n">
        <f aca="false">IF(CL68&gt;PR_BalDone,CL68+CL68*(F_MR/12)-MIN(F_MortPayM,CL68+CL68*(F_MR/12)),CL68)</f>
        <v>0</v>
      </c>
      <c r="CN68" s="20" t="n">
        <f aca="false">IF(CM68&gt;PR_BalDone,CM68+CM68*(F_MR/12)-MIN(F_MortPayM,CM68+CM68*(F_MR/12)),CM68)</f>
        <v>0</v>
      </c>
      <c r="CO68" s="20" t="n">
        <f aca="false">IF(CN68&gt;PR_BalDone,CN68+CN68*(F_MR/12)-MIN(F_MortPayM,CN68+CN68*(F_MR/12)),CN68)</f>
        <v>0</v>
      </c>
      <c r="CP68" s="20" t="n">
        <f aca="false">IF(CO68&gt;PR_BalDone,CO68+CO68*(F_MR/12)-MIN(F_MortPayM,CO68+CO68*(F_MR/12)),CO68)</f>
        <v>0</v>
      </c>
      <c r="CQ68" s="20" t="n">
        <f aca="false">IF(CP68&gt;PR_BalDone,CP68+CP68*(F_MR/12)-MIN(F_MortPayM,CP68+CP68*(F_MR/12)),CP68)</f>
        <v>0</v>
      </c>
      <c r="CR68" s="20" t="n">
        <f aca="false">IF(CQ68&gt;PR_BalDone,CQ68+CQ68*(F_MR/12)-MIN(F_MortPayM,CQ68+CQ68*(F_MR/12)),CQ68)</f>
        <v>0</v>
      </c>
      <c r="CS68" s="20" t="n">
        <f aca="false">IF(CF68&gt;PR_BalDone,MIN(F_MortPayM,CF68+CF68*(F_MR/12)),0)</f>
        <v>0</v>
      </c>
      <c r="CT68" s="20" t="n">
        <f aca="false">IF(CG68&gt;PR_BalDone,MIN(F_MortPayM,CG68+CG68*(F_MR/12)),0)</f>
        <v>0</v>
      </c>
      <c r="CU68" s="20" t="n">
        <f aca="false">IF(CH68&gt;PR_BalDone,MIN(F_MortPayM,CH68+CH68*(F_MR/12)),0)</f>
        <v>0</v>
      </c>
      <c r="CV68" s="20" t="n">
        <f aca="false">IF(CI68&gt;PR_BalDone,MIN(F_MortPayM,CI68+CI68*(F_MR/12)),0)</f>
        <v>0</v>
      </c>
      <c r="CW68" s="20" t="n">
        <f aca="false">IF(CJ68&gt;PR_BalDone,MIN(F_MortPayM,CJ68+CJ68*(F_MR/12)),0)</f>
        <v>0</v>
      </c>
      <c r="CX68" s="20" t="n">
        <f aca="false">IF(CK68&gt;PR_BalDone,MIN(F_MortPayM,CK68+CK68*(F_MR/12)),0)</f>
        <v>0</v>
      </c>
      <c r="CY68" s="20" t="n">
        <f aca="false">IF(CL68&gt;PR_BalDone,MIN(F_MortPayM,CL68+CL68*(F_MR/12)),0)</f>
        <v>0</v>
      </c>
      <c r="CZ68" s="20" t="n">
        <f aca="false">IF(CM68&gt;PR_BalDone,MIN(F_MortPayM,CM68+CM68*(F_MR/12)),0)</f>
        <v>0</v>
      </c>
      <c r="DA68" s="20" t="n">
        <f aca="false">IF(CN68&gt;PR_BalDone,MIN(F_MortPayM,CN68+CN68*(F_MR/12)),0)</f>
        <v>0</v>
      </c>
      <c r="DB68" s="20" t="n">
        <f aca="false">IF(CO68&gt;PR_BalDone,MIN(F_MortPayM,CO68+CO68*(F_MR/12)),0)</f>
        <v>0</v>
      </c>
      <c r="DC68" s="20" t="n">
        <f aca="false">IF(CP68&gt;PR_BalDone,MIN(F_MortPayM,CP68+CP68*(F_MR/12)),0)</f>
        <v>0</v>
      </c>
      <c r="DD68" s="20" t="n">
        <f aca="false">IF(CQ68&gt;PR_BalDone,MIN(F_MortPayM,CQ68+CQ68*(F_MR/12)),0)</f>
        <v>0</v>
      </c>
      <c r="DE68" s="20" t="n">
        <f aca="false">MAX(0,CR68)</f>
        <v>0</v>
      </c>
      <c r="DF68" s="20" t="n">
        <f aca="false">SUM(CS68:DD68)</f>
        <v>0</v>
      </c>
      <c r="DG68" s="20" t="n">
        <f aca="false">MAX(0,CF68)</f>
        <v>0</v>
      </c>
    </row>
    <row r="69" customFormat="false" ht="15" hidden="false" customHeight="true" outlineLevel="0" collapsed="false">
      <c r="B69" s="20" t="n">
        <v>61</v>
      </c>
      <c r="C69" s="20" t="n">
        <f aca="false">'Plan cashflow'!J69</f>
        <v>0</v>
      </c>
      <c r="D69" s="20" t="n">
        <f aca="false">IF(C69&gt;PR_BalDone,C69+C69*(F_MR/12)-MIN(F_MortPayM,C69+C69*(F_MR/12)),C69)</f>
        <v>0</v>
      </c>
      <c r="E69" s="20" t="n">
        <f aca="false">IF(D69&gt;PR_BalDone,D69+D69*(F_MR/12)-MIN(F_MortPayM,D69+D69*(F_MR/12)),D69)</f>
        <v>0</v>
      </c>
      <c r="F69" s="20" t="n">
        <f aca="false">IF(E69&gt;PR_BalDone,E69+E69*(F_MR/12)-MIN(F_MortPayM,E69+E69*(F_MR/12)),E69)</f>
        <v>0</v>
      </c>
      <c r="G69" s="20" t="n">
        <f aca="false">IF(F69&gt;PR_BalDone,F69+F69*(F_MR/12)-MIN(F_MortPayM,F69+F69*(F_MR/12)),F69)</f>
        <v>0</v>
      </c>
      <c r="H69" s="20" t="n">
        <f aca="false">IF(G69&gt;PR_BalDone,G69+G69*(F_MR/12)-MIN(F_MortPayM,G69+G69*(F_MR/12)),G69)</f>
        <v>0</v>
      </c>
      <c r="I69" s="20" t="n">
        <f aca="false">IF(H69&gt;PR_BalDone,H69+H69*(F_MR/12)-MIN(F_MortPayM,H69+H69*(F_MR/12)),H69)</f>
        <v>0</v>
      </c>
      <c r="J69" s="20" t="n">
        <f aca="false">IF(I69&gt;PR_BalDone,I69+I69*(F_MR/12)-MIN(F_MortPayM,I69+I69*(F_MR/12)),I69)</f>
        <v>0</v>
      </c>
      <c r="K69" s="20" t="n">
        <f aca="false">IF(J69&gt;PR_BalDone,J69+J69*(F_MR/12)-MIN(F_MortPayM,J69+J69*(F_MR/12)),J69)</f>
        <v>0</v>
      </c>
      <c r="L69" s="20" t="n">
        <f aca="false">IF(K69&gt;PR_BalDone,K69+K69*(F_MR/12)-MIN(F_MortPayM,K69+K69*(F_MR/12)),K69)</f>
        <v>0</v>
      </c>
      <c r="M69" s="20" t="n">
        <f aca="false">IF(L69&gt;PR_BalDone,L69+L69*(F_MR/12)-MIN(F_MortPayM,L69+L69*(F_MR/12)),L69)</f>
        <v>0</v>
      </c>
      <c r="N69" s="20" t="n">
        <f aca="false">IF(M69&gt;PR_BalDone,M69+M69*(F_MR/12)-MIN(F_MortPayM,M69+M69*(F_MR/12)),M69)</f>
        <v>0</v>
      </c>
      <c r="O69" s="20" t="n">
        <f aca="false">IF(N69&gt;PR_BalDone,N69+N69*(F_MR/12)-MIN(F_MortPayM,N69+N69*(F_MR/12)),N69)</f>
        <v>0</v>
      </c>
      <c r="P69" s="20" t="n">
        <f aca="false">IF(C69&gt;PR_BalDone,MIN(F_MortPayM,C69+C69*(F_MR/12)),0)</f>
        <v>0</v>
      </c>
      <c r="Q69" s="20" t="n">
        <f aca="false">IF(D69&gt;PR_BalDone,MIN(F_MortPayM,D69+D69*(F_MR/12)),0)</f>
        <v>0</v>
      </c>
      <c r="R69" s="20" t="n">
        <f aca="false">IF(E69&gt;PR_BalDone,MIN(F_MortPayM,E69+E69*(F_MR/12)),0)</f>
        <v>0</v>
      </c>
      <c r="S69" s="20" t="n">
        <f aca="false">IF(F69&gt;PR_BalDone,MIN(F_MortPayM,F69+F69*(F_MR/12)),0)</f>
        <v>0</v>
      </c>
      <c r="T69" s="20" t="n">
        <f aca="false">IF(G69&gt;PR_BalDone,MIN(F_MortPayM,G69+G69*(F_MR/12)),0)</f>
        <v>0</v>
      </c>
      <c r="U69" s="20" t="n">
        <f aca="false">IF(H69&gt;PR_BalDone,MIN(F_MortPayM,H69+H69*(F_MR/12)),0)</f>
        <v>0</v>
      </c>
      <c r="V69" s="20" t="n">
        <f aca="false">IF(I69&gt;PR_BalDone,MIN(F_MortPayM,I69+I69*(F_MR/12)),0)</f>
        <v>0</v>
      </c>
      <c r="W69" s="20" t="n">
        <f aca="false">IF(J69&gt;PR_BalDone,MIN(F_MortPayM,J69+J69*(F_MR/12)),0)</f>
        <v>0</v>
      </c>
      <c r="X69" s="20" t="n">
        <f aca="false">IF(K69&gt;PR_BalDone,MIN(F_MortPayM,K69+K69*(F_MR/12)),0)</f>
        <v>0</v>
      </c>
      <c r="Y69" s="20" t="n">
        <f aca="false">IF(L69&gt;PR_BalDone,MIN(F_MortPayM,L69+L69*(F_MR/12)),0)</f>
        <v>0</v>
      </c>
      <c r="Z69" s="20" t="n">
        <f aca="false">IF(M69&gt;PR_BalDone,MIN(F_MortPayM,M69+M69*(F_MR/12)),0)</f>
        <v>0</v>
      </c>
      <c r="AA69" s="20" t="n">
        <f aca="false">IF(N69&gt;PR_BalDone,MIN(F_MortPayM,N69+N69*(F_MR/12)),0)</f>
        <v>0</v>
      </c>
      <c r="AB69" s="20" t="n">
        <f aca="false">MAX(0,O69)</f>
        <v>0</v>
      </c>
      <c r="AC69" s="20" t="n">
        <f aca="false">SUM(P69:AA69)</f>
        <v>0</v>
      </c>
      <c r="AD69" s="20" t="n">
        <f aca="false">'Plan cashflow'!M69</f>
        <v>0</v>
      </c>
      <c r="AE69" s="20" t="n">
        <f aca="false">IF(AD69&gt;PR_BalDone,AD69+AD69*(D_iC)-MIN(F_CardPayM,AD69+AD69*(D_iC)),AD69)</f>
        <v>0</v>
      </c>
      <c r="AF69" s="20" t="n">
        <f aca="false">IF(AE69&gt;PR_BalDone,AE69+AE69*(D_iC)-MIN(F_CardPayM,AE69+AE69*(D_iC)),AE69)</f>
        <v>0</v>
      </c>
      <c r="AG69" s="20" t="n">
        <f aca="false">IF(AF69&gt;PR_BalDone,AF69+AF69*(D_iC)-MIN(F_CardPayM,AF69+AF69*(D_iC)),AF69)</f>
        <v>0</v>
      </c>
      <c r="AH69" s="20" t="n">
        <f aca="false">IF(AG69&gt;PR_BalDone,AG69+AG69*(D_iC)-MIN(F_CardPayM,AG69+AG69*(D_iC)),AG69)</f>
        <v>0</v>
      </c>
      <c r="AI69" s="20" t="n">
        <f aca="false">IF(AH69&gt;PR_BalDone,AH69+AH69*(D_iC)-MIN(F_CardPayM,AH69+AH69*(D_iC)),AH69)</f>
        <v>0</v>
      </c>
      <c r="AJ69" s="20" t="n">
        <f aca="false">IF(AI69&gt;PR_BalDone,AI69+AI69*(D_iC)-MIN(F_CardPayM,AI69+AI69*(D_iC)),AI69)</f>
        <v>0</v>
      </c>
      <c r="AK69" s="20" t="n">
        <f aca="false">IF(AJ69&gt;PR_BalDone,AJ69+AJ69*(D_iC)-MIN(F_CardPayM,AJ69+AJ69*(D_iC)),AJ69)</f>
        <v>0</v>
      </c>
      <c r="AL69" s="20" t="n">
        <f aca="false">IF(AK69&gt;PR_BalDone,AK69+AK69*(D_iC)-MIN(F_CardPayM,AK69+AK69*(D_iC)),AK69)</f>
        <v>0</v>
      </c>
      <c r="AM69" s="20" t="n">
        <f aca="false">IF(AL69&gt;PR_BalDone,AL69+AL69*(D_iC)-MIN(F_CardPayM,AL69+AL69*(D_iC)),AL69)</f>
        <v>0</v>
      </c>
      <c r="AN69" s="20" t="n">
        <f aca="false">IF(AM69&gt;PR_BalDone,AM69+AM69*(D_iC)-MIN(F_CardPayM,AM69+AM69*(D_iC)),AM69)</f>
        <v>0</v>
      </c>
      <c r="AO69" s="20" t="n">
        <f aca="false">IF(AN69&gt;PR_BalDone,AN69+AN69*(D_iC)-MIN(F_CardPayM,AN69+AN69*(D_iC)),AN69)</f>
        <v>0</v>
      </c>
      <c r="AP69" s="20" t="n">
        <f aca="false">IF(AO69&gt;PR_BalDone,AO69+AO69*(D_iC)-MIN(F_CardPayM,AO69+AO69*(D_iC)),AO69)</f>
        <v>0</v>
      </c>
      <c r="AQ69" s="20" t="n">
        <f aca="false">IF(AD69&gt;PR_BalDone,MIN(F_CardPayM,AD69+AD69*(D_iC)),0)</f>
        <v>0</v>
      </c>
      <c r="AR69" s="20" t="n">
        <f aca="false">IF(AE69&gt;PR_BalDone,MIN(F_CardPayM,AE69+AE69*(D_iC)),0)</f>
        <v>0</v>
      </c>
      <c r="AS69" s="20" t="n">
        <f aca="false">IF(AF69&gt;PR_BalDone,MIN(F_CardPayM,AF69+AF69*(D_iC)),0)</f>
        <v>0</v>
      </c>
      <c r="AT69" s="20" t="n">
        <f aca="false">IF(AG69&gt;PR_BalDone,MIN(F_CardPayM,AG69+AG69*(D_iC)),0)</f>
        <v>0</v>
      </c>
      <c r="AU69" s="20" t="n">
        <f aca="false">IF(AH69&gt;PR_BalDone,MIN(F_CardPayM,AH69+AH69*(D_iC)),0)</f>
        <v>0</v>
      </c>
      <c r="AV69" s="20" t="n">
        <f aca="false">IF(AI69&gt;PR_BalDone,MIN(F_CardPayM,AI69+AI69*(D_iC)),0)</f>
        <v>0</v>
      </c>
      <c r="AW69" s="20" t="n">
        <f aca="false">IF(AJ69&gt;PR_BalDone,MIN(F_CardPayM,AJ69+AJ69*(D_iC)),0)</f>
        <v>0</v>
      </c>
      <c r="AX69" s="20" t="n">
        <f aca="false">IF(AK69&gt;PR_BalDone,MIN(F_CardPayM,AK69+AK69*(D_iC)),0)</f>
        <v>0</v>
      </c>
      <c r="AY69" s="20" t="n">
        <f aca="false">IF(AL69&gt;PR_BalDone,MIN(F_CardPayM,AL69+AL69*(D_iC)),0)</f>
        <v>0</v>
      </c>
      <c r="AZ69" s="20" t="n">
        <f aca="false">IF(AM69&gt;PR_BalDone,MIN(F_CardPayM,AM69+AM69*(D_iC)),0)</f>
        <v>0</v>
      </c>
      <c r="BA69" s="20" t="n">
        <f aca="false">IF(AN69&gt;PR_BalDone,MIN(F_CardPayM,AN69+AN69*(D_iC)),0)</f>
        <v>0</v>
      </c>
      <c r="BB69" s="20" t="n">
        <f aca="false">IF(AO69&gt;PR_BalDone,MIN(F_CardPayM,AO69+AO69*(D_iC)),0)</f>
        <v>0</v>
      </c>
      <c r="BC69" s="20" t="n">
        <f aca="false">MAX(0,AP69)</f>
        <v>0</v>
      </c>
      <c r="BD69" s="20" t="n">
        <f aca="false">SUM(AQ69:BB69)</f>
        <v>0</v>
      </c>
      <c r="BE69" s="20" t="n">
        <f aca="false">'Plan cashflow'!P69</f>
        <v>0</v>
      </c>
      <c r="BF69" s="20" t="n">
        <f aca="false">IF(BE69&gt;PR_BalDone,BE69+BE69*(D_iL)-MIN(F_LoanPayM,BE69+BE69*(D_iL)),BE69)</f>
        <v>0</v>
      </c>
      <c r="BG69" s="20" t="n">
        <f aca="false">IF(BF69&gt;PR_BalDone,BF69+BF69*(D_iL)-MIN(F_LoanPayM,BF69+BF69*(D_iL)),BF69)</f>
        <v>0</v>
      </c>
      <c r="BH69" s="20" t="n">
        <f aca="false">IF(BG69&gt;PR_BalDone,BG69+BG69*(D_iL)-MIN(F_LoanPayM,BG69+BG69*(D_iL)),BG69)</f>
        <v>0</v>
      </c>
      <c r="BI69" s="20" t="n">
        <f aca="false">IF(BH69&gt;PR_BalDone,BH69+BH69*(D_iL)-MIN(F_LoanPayM,BH69+BH69*(D_iL)),BH69)</f>
        <v>0</v>
      </c>
      <c r="BJ69" s="20" t="n">
        <f aca="false">IF(BI69&gt;PR_BalDone,BI69+BI69*(D_iL)-MIN(F_LoanPayM,BI69+BI69*(D_iL)),BI69)</f>
        <v>0</v>
      </c>
      <c r="BK69" s="20" t="n">
        <f aca="false">IF(BJ69&gt;PR_BalDone,BJ69+BJ69*(D_iL)-MIN(F_LoanPayM,BJ69+BJ69*(D_iL)),BJ69)</f>
        <v>0</v>
      </c>
      <c r="BL69" s="20" t="n">
        <f aca="false">IF(BK69&gt;PR_BalDone,BK69+BK69*(D_iL)-MIN(F_LoanPayM,BK69+BK69*(D_iL)),BK69)</f>
        <v>0</v>
      </c>
      <c r="BM69" s="20" t="n">
        <f aca="false">IF(BL69&gt;PR_BalDone,BL69+BL69*(D_iL)-MIN(F_LoanPayM,BL69+BL69*(D_iL)),BL69)</f>
        <v>0</v>
      </c>
      <c r="BN69" s="20" t="n">
        <f aca="false">IF(BM69&gt;PR_BalDone,BM69+BM69*(D_iL)-MIN(F_LoanPayM,BM69+BM69*(D_iL)),BM69)</f>
        <v>0</v>
      </c>
      <c r="BO69" s="20" t="n">
        <f aca="false">IF(BN69&gt;PR_BalDone,BN69+BN69*(D_iL)-MIN(F_LoanPayM,BN69+BN69*(D_iL)),BN69)</f>
        <v>0</v>
      </c>
      <c r="BP69" s="20" t="n">
        <f aca="false">IF(BO69&gt;PR_BalDone,BO69+BO69*(D_iL)-MIN(F_LoanPayM,BO69+BO69*(D_iL)),BO69)</f>
        <v>0</v>
      </c>
      <c r="BQ69" s="20" t="n">
        <f aca="false">IF(BP69&gt;PR_BalDone,BP69+BP69*(D_iL)-MIN(F_LoanPayM,BP69+BP69*(D_iL)),BP69)</f>
        <v>0</v>
      </c>
      <c r="BR69" s="20" t="n">
        <f aca="false">IF(BE69&gt;PR_BalDone,MIN(F_LoanPayM,BE69+BE69*(D_iL)),0)</f>
        <v>0</v>
      </c>
      <c r="BS69" s="20" t="n">
        <f aca="false">IF(BF69&gt;PR_BalDone,MIN(F_LoanPayM,BF69+BF69*(D_iL)),0)</f>
        <v>0</v>
      </c>
      <c r="BT69" s="20" t="n">
        <f aca="false">IF(BG69&gt;PR_BalDone,MIN(F_LoanPayM,BG69+BG69*(D_iL)),0)</f>
        <v>0</v>
      </c>
      <c r="BU69" s="20" t="n">
        <f aca="false">IF(BH69&gt;PR_BalDone,MIN(F_LoanPayM,BH69+BH69*(D_iL)),0)</f>
        <v>0</v>
      </c>
      <c r="BV69" s="20" t="n">
        <f aca="false">IF(BI69&gt;PR_BalDone,MIN(F_LoanPayM,BI69+BI69*(D_iL)),0)</f>
        <v>0</v>
      </c>
      <c r="BW69" s="20" t="n">
        <f aca="false">IF(BJ69&gt;PR_BalDone,MIN(F_LoanPayM,BJ69+BJ69*(D_iL)),0)</f>
        <v>0</v>
      </c>
      <c r="BX69" s="20" t="n">
        <f aca="false">IF(BK69&gt;PR_BalDone,MIN(F_LoanPayM,BK69+BK69*(D_iL)),0)</f>
        <v>0</v>
      </c>
      <c r="BY69" s="20" t="n">
        <f aca="false">IF(BL69&gt;PR_BalDone,MIN(F_LoanPayM,BL69+BL69*(D_iL)),0)</f>
        <v>0</v>
      </c>
      <c r="BZ69" s="20" t="n">
        <f aca="false">IF(BM69&gt;PR_BalDone,MIN(F_LoanPayM,BM69+BM69*(D_iL)),0)</f>
        <v>0</v>
      </c>
      <c r="CA69" s="20" t="n">
        <f aca="false">IF(BN69&gt;PR_BalDone,MIN(F_LoanPayM,BN69+BN69*(D_iL)),0)</f>
        <v>0</v>
      </c>
      <c r="CB69" s="20" t="n">
        <f aca="false">IF(BO69&gt;PR_BalDone,MIN(F_LoanPayM,BO69+BO69*(D_iL)),0)</f>
        <v>0</v>
      </c>
      <c r="CC69" s="20" t="n">
        <f aca="false">IF(BP69&gt;PR_BalDone,MIN(F_LoanPayM,BP69+BP69*(D_iL)),0)</f>
        <v>0</v>
      </c>
      <c r="CD69" s="20" t="n">
        <f aca="false">MAX(0,BQ69)</f>
        <v>0</v>
      </c>
      <c r="CE69" s="20" t="n">
        <f aca="false">SUM(BR69:CC69)</f>
        <v>0</v>
      </c>
      <c r="CF69" s="20" t="n">
        <f aca="false">IF(CF68&gt;1,DE68,CF68)</f>
        <v>0</v>
      </c>
      <c r="CG69" s="20" t="n">
        <f aca="false">IF(CF69&gt;PR_BalDone,CF69+CF69*(F_MR/12)-MIN(F_MortPayM,CF69+CF69*(F_MR/12)),CF69)</f>
        <v>0</v>
      </c>
      <c r="CH69" s="20" t="n">
        <f aca="false">IF(CG69&gt;PR_BalDone,CG69+CG69*(F_MR/12)-MIN(F_MortPayM,CG69+CG69*(F_MR/12)),CG69)</f>
        <v>0</v>
      </c>
      <c r="CI69" s="20" t="n">
        <f aca="false">IF(CH69&gt;PR_BalDone,CH69+CH69*(F_MR/12)-MIN(F_MortPayM,CH69+CH69*(F_MR/12)),CH69)</f>
        <v>0</v>
      </c>
      <c r="CJ69" s="20" t="n">
        <f aca="false">IF(CI69&gt;PR_BalDone,CI69+CI69*(F_MR/12)-MIN(F_MortPayM,CI69+CI69*(F_MR/12)),CI69)</f>
        <v>0</v>
      </c>
      <c r="CK69" s="20" t="n">
        <f aca="false">IF(CJ69&gt;PR_BalDone,CJ69+CJ69*(F_MR/12)-MIN(F_MortPayM,CJ69+CJ69*(F_MR/12)),CJ69)</f>
        <v>0</v>
      </c>
      <c r="CL69" s="20" t="n">
        <f aca="false">IF(CK69&gt;PR_BalDone,CK69+CK69*(F_MR/12)-MIN(F_MortPayM,CK69+CK69*(F_MR/12)),CK69)</f>
        <v>0</v>
      </c>
      <c r="CM69" s="20" t="n">
        <f aca="false">IF(CL69&gt;PR_BalDone,CL69+CL69*(F_MR/12)-MIN(F_MortPayM,CL69+CL69*(F_MR/12)),CL69)</f>
        <v>0</v>
      </c>
      <c r="CN69" s="20" t="n">
        <f aca="false">IF(CM69&gt;PR_BalDone,CM69+CM69*(F_MR/12)-MIN(F_MortPayM,CM69+CM69*(F_MR/12)),CM69)</f>
        <v>0</v>
      </c>
      <c r="CO69" s="20" t="n">
        <f aca="false">IF(CN69&gt;PR_BalDone,CN69+CN69*(F_MR/12)-MIN(F_MortPayM,CN69+CN69*(F_MR/12)),CN69)</f>
        <v>0</v>
      </c>
      <c r="CP69" s="20" t="n">
        <f aca="false">IF(CO69&gt;PR_BalDone,CO69+CO69*(F_MR/12)-MIN(F_MortPayM,CO69+CO69*(F_MR/12)),CO69)</f>
        <v>0</v>
      </c>
      <c r="CQ69" s="20" t="n">
        <f aca="false">IF(CP69&gt;PR_BalDone,CP69+CP69*(F_MR/12)-MIN(F_MortPayM,CP69+CP69*(F_MR/12)),CP69)</f>
        <v>0</v>
      </c>
      <c r="CR69" s="20" t="n">
        <f aca="false">IF(CQ69&gt;PR_BalDone,CQ69+CQ69*(F_MR/12)-MIN(F_MortPayM,CQ69+CQ69*(F_MR/12)),CQ69)</f>
        <v>0</v>
      </c>
      <c r="CS69" s="20" t="n">
        <f aca="false">IF(CF69&gt;PR_BalDone,MIN(F_MortPayM,CF69+CF69*(F_MR/12)),0)</f>
        <v>0</v>
      </c>
      <c r="CT69" s="20" t="n">
        <f aca="false">IF(CG69&gt;PR_BalDone,MIN(F_MortPayM,CG69+CG69*(F_MR/12)),0)</f>
        <v>0</v>
      </c>
      <c r="CU69" s="20" t="n">
        <f aca="false">IF(CH69&gt;PR_BalDone,MIN(F_MortPayM,CH69+CH69*(F_MR/12)),0)</f>
        <v>0</v>
      </c>
      <c r="CV69" s="20" t="n">
        <f aca="false">IF(CI69&gt;PR_BalDone,MIN(F_MortPayM,CI69+CI69*(F_MR/12)),0)</f>
        <v>0</v>
      </c>
      <c r="CW69" s="20" t="n">
        <f aca="false">IF(CJ69&gt;PR_BalDone,MIN(F_MortPayM,CJ69+CJ69*(F_MR/12)),0)</f>
        <v>0</v>
      </c>
      <c r="CX69" s="20" t="n">
        <f aca="false">IF(CK69&gt;PR_BalDone,MIN(F_MortPayM,CK69+CK69*(F_MR/12)),0)</f>
        <v>0</v>
      </c>
      <c r="CY69" s="20" t="n">
        <f aca="false">IF(CL69&gt;PR_BalDone,MIN(F_MortPayM,CL69+CL69*(F_MR/12)),0)</f>
        <v>0</v>
      </c>
      <c r="CZ69" s="20" t="n">
        <f aca="false">IF(CM69&gt;PR_BalDone,MIN(F_MortPayM,CM69+CM69*(F_MR/12)),0)</f>
        <v>0</v>
      </c>
      <c r="DA69" s="20" t="n">
        <f aca="false">IF(CN69&gt;PR_BalDone,MIN(F_MortPayM,CN69+CN69*(F_MR/12)),0)</f>
        <v>0</v>
      </c>
      <c r="DB69" s="20" t="n">
        <f aca="false">IF(CO69&gt;PR_BalDone,MIN(F_MortPayM,CO69+CO69*(F_MR/12)),0)</f>
        <v>0</v>
      </c>
      <c r="DC69" s="20" t="n">
        <f aca="false">IF(CP69&gt;PR_BalDone,MIN(F_MortPayM,CP69+CP69*(F_MR/12)),0)</f>
        <v>0</v>
      </c>
      <c r="DD69" s="20" t="n">
        <f aca="false">IF(CQ69&gt;PR_BalDone,MIN(F_MortPayM,CQ69+CQ69*(F_MR/12)),0)</f>
        <v>0</v>
      </c>
      <c r="DE69" s="20" t="n">
        <f aca="false">MAX(0,CR69)</f>
        <v>0</v>
      </c>
      <c r="DF69" s="20" t="n">
        <f aca="false">SUM(CS69:DD69)</f>
        <v>0</v>
      </c>
      <c r="DG69" s="20" t="n">
        <f aca="false">MAX(0,CF69)</f>
        <v>0</v>
      </c>
    </row>
    <row r="70" customFormat="false" ht="15" hidden="false" customHeight="true" outlineLevel="0" collapsed="false">
      <c r="B70" s="20" t="n">
        <v>62</v>
      </c>
      <c r="C70" s="20" t="n">
        <f aca="false">'Plan cashflow'!J70</f>
        <v>0</v>
      </c>
      <c r="D70" s="20" t="n">
        <f aca="false">IF(C70&gt;PR_BalDone,C70+C70*(F_MR/12)-MIN(F_MortPayM,C70+C70*(F_MR/12)),C70)</f>
        <v>0</v>
      </c>
      <c r="E70" s="20" t="n">
        <f aca="false">IF(D70&gt;PR_BalDone,D70+D70*(F_MR/12)-MIN(F_MortPayM,D70+D70*(F_MR/12)),D70)</f>
        <v>0</v>
      </c>
      <c r="F70" s="20" t="n">
        <f aca="false">IF(E70&gt;PR_BalDone,E70+E70*(F_MR/12)-MIN(F_MortPayM,E70+E70*(F_MR/12)),E70)</f>
        <v>0</v>
      </c>
      <c r="G70" s="20" t="n">
        <f aca="false">IF(F70&gt;PR_BalDone,F70+F70*(F_MR/12)-MIN(F_MortPayM,F70+F70*(F_MR/12)),F70)</f>
        <v>0</v>
      </c>
      <c r="H70" s="20" t="n">
        <f aca="false">IF(G70&gt;PR_BalDone,G70+G70*(F_MR/12)-MIN(F_MortPayM,G70+G70*(F_MR/12)),G70)</f>
        <v>0</v>
      </c>
      <c r="I70" s="20" t="n">
        <f aca="false">IF(H70&gt;PR_BalDone,H70+H70*(F_MR/12)-MIN(F_MortPayM,H70+H70*(F_MR/12)),H70)</f>
        <v>0</v>
      </c>
      <c r="J70" s="20" t="n">
        <f aca="false">IF(I70&gt;PR_BalDone,I70+I70*(F_MR/12)-MIN(F_MortPayM,I70+I70*(F_MR/12)),I70)</f>
        <v>0</v>
      </c>
      <c r="K70" s="20" t="n">
        <f aca="false">IF(J70&gt;PR_BalDone,J70+J70*(F_MR/12)-MIN(F_MortPayM,J70+J70*(F_MR/12)),J70)</f>
        <v>0</v>
      </c>
      <c r="L70" s="20" t="n">
        <f aca="false">IF(K70&gt;PR_BalDone,K70+K70*(F_MR/12)-MIN(F_MortPayM,K70+K70*(F_MR/12)),K70)</f>
        <v>0</v>
      </c>
      <c r="M70" s="20" t="n">
        <f aca="false">IF(L70&gt;PR_BalDone,L70+L70*(F_MR/12)-MIN(F_MortPayM,L70+L70*(F_MR/12)),L70)</f>
        <v>0</v>
      </c>
      <c r="N70" s="20" t="n">
        <f aca="false">IF(M70&gt;PR_BalDone,M70+M70*(F_MR/12)-MIN(F_MortPayM,M70+M70*(F_MR/12)),M70)</f>
        <v>0</v>
      </c>
      <c r="O70" s="20" t="n">
        <f aca="false">IF(N70&gt;PR_BalDone,N70+N70*(F_MR/12)-MIN(F_MortPayM,N70+N70*(F_MR/12)),N70)</f>
        <v>0</v>
      </c>
      <c r="P70" s="20" t="n">
        <f aca="false">IF(C70&gt;PR_BalDone,MIN(F_MortPayM,C70+C70*(F_MR/12)),0)</f>
        <v>0</v>
      </c>
      <c r="Q70" s="20" t="n">
        <f aca="false">IF(D70&gt;PR_BalDone,MIN(F_MortPayM,D70+D70*(F_MR/12)),0)</f>
        <v>0</v>
      </c>
      <c r="R70" s="20" t="n">
        <f aca="false">IF(E70&gt;PR_BalDone,MIN(F_MortPayM,E70+E70*(F_MR/12)),0)</f>
        <v>0</v>
      </c>
      <c r="S70" s="20" t="n">
        <f aca="false">IF(F70&gt;PR_BalDone,MIN(F_MortPayM,F70+F70*(F_MR/12)),0)</f>
        <v>0</v>
      </c>
      <c r="T70" s="20" t="n">
        <f aca="false">IF(G70&gt;PR_BalDone,MIN(F_MortPayM,G70+G70*(F_MR/12)),0)</f>
        <v>0</v>
      </c>
      <c r="U70" s="20" t="n">
        <f aca="false">IF(H70&gt;PR_BalDone,MIN(F_MortPayM,H70+H70*(F_MR/12)),0)</f>
        <v>0</v>
      </c>
      <c r="V70" s="20" t="n">
        <f aca="false">IF(I70&gt;PR_BalDone,MIN(F_MortPayM,I70+I70*(F_MR/12)),0)</f>
        <v>0</v>
      </c>
      <c r="W70" s="20" t="n">
        <f aca="false">IF(J70&gt;PR_BalDone,MIN(F_MortPayM,J70+J70*(F_MR/12)),0)</f>
        <v>0</v>
      </c>
      <c r="X70" s="20" t="n">
        <f aca="false">IF(K70&gt;PR_BalDone,MIN(F_MortPayM,K70+K70*(F_MR/12)),0)</f>
        <v>0</v>
      </c>
      <c r="Y70" s="20" t="n">
        <f aca="false">IF(L70&gt;PR_BalDone,MIN(F_MortPayM,L70+L70*(F_MR/12)),0)</f>
        <v>0</v>
      </c>
      <c r="Z70" s="20" t="n">
        <f aca="false">IF(M70&gt;PR_BalDone,MIN(F_MortPayM,M70+M70*(F_MR/12)),0)</f>
        <v>0</v>
      </c>
      <c r="AA70" s="20" t="n">
        <f aca="false">IF(N70&gt;PR_BalDone,MIN(F_MortPayM,N70+N70*(F_MR/12)),0)</f>
        <v>0</v>
      </c>
      <c r="AB70" s="20" t="n">
        <f aca="false">MAX(0,O70)</f>
        <v>0</v>
      </c>
      <c r="AC70" s="20" t="n">
        <f aca="false">SUM(P70:AA70)</f>
        <v>0</v>
      </c>
      <c r="AD70" s="20" t="n">
        <f aca="false">'Plan cashflow'!M70</f>
        <v>0</v>
      </c>
      <c r="AE70" s="20" t="n">
        <f aca="false">IF(AD70&gt;PR_BalDone,AD70+AD70*(D_iC)-MIN(F_CardPayM,AD70+AD70*(D_iC)),AD70)</f>
        <v>0</v>
      </c>
      <c r="AF70" s="20" t="n">
        <f aca="false">IF(AE70&gt;PR_BalDone,AE70+AE70*(D_iC)-MIN(F_CardPayM,AE70+AE70*(D_iC)),AE70)</f>
        <v>0</v>
      </c>
      <c r="AG70" s="20" t="n">
        <f aca="false">IF(AF70&gt;PR_BalDone,AF70+AF70*(D_iC)-MIN(F_CardPayM,AF70+AF70*(D_iC)),AF70)</f>
        <v>0</v>
      </c>
      <c r="AH70" s="20" t="n">
        <f aca="false">IF(AG70&gt;PR_BalDone,AG70+AG70*(D_iC)-MIN(F_CardPayM,AG70+AG70*(D_iC)),AG70)</f>
        <v>0</v>
      </c>
      <c r="AI70" s="20" t="n">
        <f aca="false">IF(AH70&gt;PR_BalDone,AH70+AH70*(D_iC)-MIN(F_CardPayM,AH70+AH70*(D_iC)),AH70)</f>
        <v>0</v>
      </c>
      <c r="AJ70" s="20" t="n">
        <f aca="false">IF(AI70&gt;PR_BalDone,AI70+AI70*(D_iC)-MIN(F_CardPayM,AI70+AI70*(D_iC)),AI70)</f>
        <v>0</v>
      </c>
      <c r="AK70" s="20" t="n">
        <f aca="false">IF(AJ70&gt;PR_BalDone,AJ70+AJ70*(D_iC)-MIN(F_CardPayM,AJ70+AJ70*(D_iC)),AJ70)</f>
        <v>0</v>
      </c>
      <c r="AL70" s="20" t="n">
        <f aca="false">IF(AK70&gt;PR_BalDone,AK70+AK70*(D_iC)-MIN(F_CardPayM,AK70+AK70*(D_iC)),AK70)</f>
        <v>0</v>
      </c>
      <c r="AM70" s="20" t="n">
        <f aca="false">IF(AL70&gt;PR_BalDone,AL70+AL70*(D_iC)-MIN(F_CardPayM,AL70+AL70*(D_iC)),AL70)</f>
        <v>0</v>
      </c>
      <c r="AN70" s="20" t="n">
        <f aca="false">IF(AM70&gt;PR_BalDone,AM70+AM70*(D_iC)-MIN(F_CardPayM,AM70+AM70*(D_iC)),AM70)</f>
        <v>0</v>
      </c>
      <c r="AO70" s="20" t="n">
        <f aca="false">IF(AN70&gt;PR_BalDone,AN70+AN70*(D_iC)-MIN(F_CardPayM,AN70+AN70*(D_iC)),AN70)</f>
        <v>0</v>
      </c>
      <c r="AP70" s="20" t="n">
        <f aca="false">IF(AO70&gt;PR_BalDone,AO70+AO70*(D_iC)-MIN(F_CardPayM,AO70+AO70*(D_iC)),AO70)</f>
        <v>0</v>
      </c>
      <c r="AQ70" s="20" t="n">
        <f aca="false">IF(AD70&gt;PR_BalDone,MIN(F_CardPayM,AD70+AD70*(D_iC)),0)</f>
        <v>0</v>
      </c>
      <c r="AR70" s="20" t="n">
        <f aca="false">IF(AE70&gt;PR_BalDone,MIN(F_CardPayM,AE70+AE70*(D_iC)),0)</f>
        <v>0</v>
      </c>
      <c r="AS70" s="20" t="n">
        <f aca="false">IF(AF70&gt;PR_BalDone,MIN(F_CardPayM,AF70+AF70*(D_iC)),0)</f>
        <v>0</v>
      </c>
      <c r="AT70" s="20" t="n">
        <f aca="false">IF(AG70&gt;PR_BalDone,MIN(F_CardPayM,AG70+AG70*(D_iC)),0)</f>
        <v>0</v>
      </c>
      <c r="AU70" s="20" t="n">
        <f aca="false">IF(AH70&gt;PR_BalDone,MIN(F_CardPayM,AH70+AH70*(D_iC)),0)</f>
        <v>0</v>
      </c>
      <c r="AV70" s="20" t="n">
        <f aca="false">IF(AI70&gt;PR_BalDone,MIN(F_CardPayM,AI70+AI70*(D_iC)),0)</f>
        <v>0</v>
      </c>
      <c r="AW70" s="20" t="n">
        <f aca="false">IF(AJ70&gt;PR_BalDone,MIN(F_CardPayM,AJ70+AJ70*(D_iC)),0)</f>
        <v>0</v>
      </c>
      <c r="AX70" s="20" t="n">
        <f aca="false">IF(AK70&gt;PR_BalDone,MIN(F_CardPayM,AK70+AK70*(D_iC)),0)</f>
        <v>0</v>
      </c>
      <c r="AY70" s="20" t="n">
        <f aca="false">IF(AL70&gt;PR_BalDone,MIN(F_CardPayM,AL70+AL70*(D_iC)),0)</f>
        <v>0</v>
      </c>
      <c r="AZ70" s="20" t="n">
        <f aca="false">IF(AM70&gt;PR_BalDone,MIN(F_CardPayM,AM70+AM70*(D_iC)),0)</f>
        <v>0</v>
      </c>
      <c r="BA70" s="20" t="n">
        <f aca="false">IF(AN70&gt;PR_BalDone,MIN(F_CardPayM,AN70+AN70*(D_iC)),0)</f>
        <v>0</v>
      </c>
      <c r="BB70" s="20" t="n">
        <f aca="false">IF(AO70&gt;PR_BalDone,MIN(F_CardPayM,AO70+AO70*(D_iC)),0)</f>
        <v>0</v>
      </c>
      <c r="BC70" s="20" t="n">
        <f aca="false">MAX(0,AP70)</f>
        <v>0</v>
      </c>
      <c r="BD70" s="20" t="n">
        <f aca="false">SUM(AQ70:BB70)</f>
        <v>0</v>
      </c>
      <c r="BE70" s="20" t="n">
        <f aca="false">'Plan cashflow'!P70</f>
        <v>0</v>
      </c>
      <c r="BF70" s="20" t="n">
        <f aca="false">IF(BE70&gt;PR_BalDone,BE70+BE70*(D_iL)-MIN(F_LoanPayM,BE70+BE70*(D_iL)),BE70)</f>
        <v>0</v>
      </c>
      <c r="BG70" s="20" t="n">
        <f aca="false">IF(BF70&gt;PR_BalDone,BF70+BF70*(D_iL)-MIN(F_LoanPayM,BF70+BF70*(D_iL)),BF70)</f>
        <v>0</v>
      </c>
      <c r="BH70" s="20" t="n">
        <f aca="false">IF(BG70&gt;PR_BalDone,BG70+BG70*(D_iL)-MIN(F_LoanPayM,BG70+BG70*(D_iL)),BG70)</f>
        <v>0</v>
      </c>
      <c r="BI70" s="20" t="n">
        <f aca="false">IF(BH70&gt;PR_BalDone,BH70+BH70*(D_iL)-MIN(F_LoanPayM,BH70+BH70*(D_iL)),BH70)</f>
        <v>0</v>
      </c>
      <c r="BJ70" s="20" t="n">
        <f aca="false">IF(BI70&gt;PR_BalDone,BI70+BI70*(D_iL)-MIN(F_LoanPayM,BI70+BI70*(D_iL)),BI70)</f>
        <v>0</v>
      </c>
      <c r="BK70" s="20" t="n">
        <f aca="false">IF(BJ70&gt;PR_BalDone,BJ70+BJ70*(D_iL)-MIN(F_LoanPayM,BJ70+BJ70*(D_iL)),BJ70)</f>
        <v>0</v>
      </c>
      <c r="BL70" s="20" t="n">
        <f aca="false">IF(BK70&gt;PR_BalDone,BK70+BK70*(D_iL)-MIN(F_LoanPayM,BK70+BK70*(D_iL)),BK70)</f>
        <v>0</v>
      </c>
      <c r="BM70" s="20" t="n">
        <f aca="false">IF(BL70&gt;PR_BalDone,BL70+BL70*(D_iL)-MIN(F_LoanPayM,BL70+BL70*(D_iL)),BL70)</f>
        <v>0</v>
      </c>
      <c r="BN70" s="20" t="n">
        <f aca="false">IF(BM70&gt;PR_BalDone,BM70+BM70*(D_iL)-MIN(F_LoanPayM,BM70+BM70*(D_iL)),BM70)</f>
        <v>0</v>
      </c>
      <c r="BO70" s="20" t="n">
        <f aca="false">IF(BN70&gt;PR_BalDone,BN70+BN70*(D_iL)-MIN(F_LoanPayM,BN70+BN70*(D_iL)),BN70)</f>
        <v>0</v>
      </c>
      <c r="BP70" s="20" t="n">
        <f aca="false">IF(BO70&gt;PR_BalDone,BO70+BO70*(D_iL)-MIN(F_LoanPayM,BO70+BO70*(D_iL)),BO70)</f>
        <v>0</v>
      </c>
      <c r="BQ70" s="20" t="n">
        <f aca="false">IF(BP70&gt;PR_BalDone,BP70+BP70*(D_iL)-MIN(F_LoanPayM,BP70+BP70*(D_iL)),BP70)</f>
        <v>0</v>
      </c>
      <c r="BR70" s="20" t="n">
        <f aca="false">IF(BE70&gt;PR_BalDone,MIN(F_LoanPayM,BE70+BE70*(D_iL)),0)</f>
        <v>0</v>
      </c>
      <c r="BS70" s="20" t="n">
        <f aca="false">IF(BF70&gt;PR_BalDone,MIN(F_LoanPayM,BF70+BF70*(D_iL)),0)</f>
        <v>0</v>
      </c>
      <c r="BT70" s="20" t="n">
        <f aca="false">IF(BG70&gt;PR_BalDone,MIN(F_LoanPayM,BG70+BG70*(D_iL)),0)</f>
        <v>0</v>
      </c>
      <c r="BU70" s="20" t="n">
        <f aca="false">IF(BH70&gt;PR_BalDone,MIN(F_LoanPayM,BH70+BH70*(D_iL)),0)</f>
        <v>0</v>
      </c>
      <c r="BV70" s="20" t="n">
        <f aca="false">IF(BI70&gt;PR_BalDone,MIN(F_LoanPayM,BI70+BI70*(D_iL)),0)</f>
        <v>0</v>
      </c>
      <c r="BW70" s="20" t="n">
        <f aca="false">IF(BJ70&gt;PR_BalDone,MIN(F_LoanPayM,BJ70+BJ70*(D_iL)),0)</f>
        <v>0</v>
      </c>
      <c r="BX70" s="20" t="n">
        <f aca="false">IF(BK70&gt;PR_BalDone,MIN(F_LoanPayM,BK70+BK70*(D_iL)),0)</f>
        <v>0</v>
      </c>
      <c r="BY70" s="20" t="n">
        <f aca="false">IF(BL70&gt;PR_BalDone,MIN(F_LoanPayM,BL70+BL70*(D_iL)),0)</f>
        <v>0</v>
      </c>
      <c r="BZ70" s="20" t="n">
        <f aca="false">IF(BM70&gt;PR_BalDone,MIN(F_LoanPayM,BM70+BM70*(D_iL)),0)</f>
        <v>0</v>
      </c>
      <c r="CA70" s="20" t="n">
        <f aca="false">IF(BN70&gt;PR_BalDone,MIN(F_LoanPayM,BN70+BN70*(D_iL)),0)</f>
        <v>0</v>
      </c>
      <c r="CB70" s="20" t="n">
        <f aca="false">IF(BO70&gt;PR_BalDone,MIN(F_LoanPayM,BO70+BO70*(D_iL)),0)</f>
        <v>0</v>
      </c>
      <c r="CC70" s="20" t="n">
        <f aca="false">IF(BP70&gt;PR_BalDone,MIN(F_LoanPayM,BP70+BP70*(D_iL)),0)</f>
        <v>0</v>
      </c>
      <c r="CD70" s="20" t="n">
        <f aca="false">MAX(0,BQ70)</f>
        <v>0</v>
      </c>
      <c r="CE70" s="20" t="n">
        <f aca="false">SUM(BR70:CC70)</f>
        <v>0</v>
      </c>
      <c r="CF70" s="20" t="n">
        <f aca="false">IF(CF69&gt;1,DE69,CF69)</f>
        <v>0</v>
      </c>
      <c r="CG70" s="20" t="n">
        <f aca="false">IF(CF70&gt;PR_BalDone,CF70+CF70*(F_MR/12)-MIN(F_MortPayM,CF70+CF70*(F_MR/12)),CF70)</f>
        <v>0</v>
      </c>
      <c r="CH70" s="20" t="n">
        <f aca="false">IF(CG70&gt;PR_BalDone,CG70+CG70*(F_MR/12)-MIN(F_MortPayM,CG70+CG70*(F_MR/12)),CG70)</f>
        <v>0</v>
      </c>
      <c r="CI70" s="20" t="n">
        <f aca="false">IF(CH70&gt;PR_BalDone,CH70+CH70*(F_MR/12)-MIN(F_MortPayM,CH70+CH70*(F_MR/12)),CH70)</f>
        <v>0</v>
      </c>
      <c r="CJ70" s="20" t="n">
        <f aca="false">IF(CI70&gt;PR_BalDone,CI70+CI70*(F_MR/12)-MIN(F_MortPayM,CI70+CI70*(F_MR/12)),CI70)</f>
        <v>0</v>
      </c>
      <c r="CK70" s="20" t="n">
        <f aca="false">IF(CJ70&gt;PR_BalDone,CJ70+CJ70*(F_MR/12)-MIN(F_MortPayM,CJ70+CJ70*(F_MR/12)),CJ70)</f>
        <v>0</v>
      </c>
      <c r="CL70" s="20" t="n">
        <f aca="false">IF(CK70&gt;PR_BalDone,CK70+CK70*(F_MR/12)-MIN(F_MortPayM,CK70+CK70*(F_MR/12)),CK70)</f>
        <v>0</v>
      </c>
      <c r="CM70" s="20" t="n">
        <f aca="false">IF(CL70&gt;PR_BalDone,CL70+CL70*(F_MR/12)-MIN(F_MortPayM,CL70+CL70*(F_MR/12)),CL70)</f>
        <v>0</v>
      </c>
      <c r="CN70" s="20" t="n">
        <f aca="false">IF(CM70&gt;PR_BalDone,CM70+CM70*(F_MR/12)-MIN(F_MortPayM,CM70+CM70*(F_MR/12)),CM70)</f>
        <v>0</v>
      </c>
      <c r="CO70" s="20" t="n">
        <f aca="false">IF(CN70&gt;PR_BalDone,CN70+CN70*(F_MR/12)-MIN(F_MortPayM,CN70+CN70*(F_MR/12)),CN70)</f>
        <v>0</v>
      </c>
      <c r="CP70" s="20" t="n">
        <f aca="false">IF(CO70&gt;PR_BalDone,CO70+CO70*(F_MR/12)-MIN(F_MortPayM,CO70+CO70*(F_MR/12)),CO70)</f>
        <v>0</v>
      </c>
      <c r="CQ70" s="20" t="n">
        <f aca="false">IF(CP70&gt;PR_BalDone,CP70+CP70*(F_MR/12)-MIN(F_MortPayM,CP70+CP70*(F_MR/12)),CP70)</f>
        <v>0</v>
      </c>
      <c r="CR70" s="20" t="n">
        <f aca="false">IF(CQ70&gt;PR_BalDone,CQ70+CQ70*(F_MR/12)-MIN(F_MortPayM,CQ70+CQ70*(F_MR/12)),CQ70)</f>
        <v>0</v>
      </c>
      <c r="CS70" s="20" t="n">
        <f aca="false">IF(CF70&gt;PR_BalDone,MIN(F_MortPayM,CF70+CF70*(F_MR/12)),0)</f>
        <v>0</v>
      </c>
      <c r="CT70" s="20" t="n">
        <f aca="false">IF(CG70&gt;PR_BalDone,MIN(F_MortPayM,CG70+CG70*(F_MR/12)),0)</f>
        <v>0</v>
      </c>
      <c r="CU70" s="20" t="n">
        <f aca="false">IF(CH70&gt;PR_BalDone,MIN(F_MortPayM,CH70+CH70*(F_MR/12)),0)</f>
        <v>0</v>
      </c>
      <c r="CV70" s="20" t="n">
        <f aca="false">IF(CI70&gt;PR_BalDone,MIN(F_MortPayM,CI70+CI70*(F_MR/12)),0)</f>
        <v>0</v>
      </c>
      <c r="CW70" s="20" t="n">
        <f aca="false">IF(CJ70&gt;PR_BalDone,MIN(F_MortPayM,CJ70+CJ70*(F_MR/12)),0)</f>
        <v>0</v>
      </c>
      <c r="CX70" s="20" t="n">
        <f aca="false">IF(CK70&gt;PR_BalDone,MIN(F_MortPayM,CK70+CK70*(F_MR/12)),0)</f>
        <v>0</v>
      </c>
      <c r="CY70" s="20" t="n">
        <f aca="false">IF(CL70&gt;PR_BalDone,MIN(F_MortPayM,CL70+CL70*(F_MR/12)),0)</f>
        <v>0</v>
      </c>
      <c r="CZ70" s="20" t="n">
        <f aca="false">IF(CM70&gt;PR_BalDone,MIN(F_MortPayM,CM70+CM70*(F_MR/12)),0)</f>
        <v>0</v>
      </c>
      <c r="DA70" s="20" t="n">
        <f aca="false">IF(CN70&gt;PR_BalDone,MIN(F_MortPayM,CN70+CN70*(F_MR/12)),0)</f>
        <v>0</v>
      </c>
      <c r="DB70" s="20" t="n">
        <f aca="false">IF(CO70&gt;PR_BalDone,MIN(F_MortPayM,CO70+CO70*(F_MR/12)),0)</f>
        <v>0</v>
      </c>
      <c r="DC70" s="20" t="n">
        <f aca="false">IF(CP70&gt;PR_BalDone,MIN(F_MortPayM,CP70+CP70*(F_MR/12)),0)</f>
        <v>0</v>
      </c>
      <c r="DD70" s="20" t="n">
        <f aca="false">IF(CQ70&gt;PR_BalDone,MIN(F_MortPayM,CQ70+CQ70*(F_MR/12)),0)</f>
        <v>0</v>
      </c>
      <c r="DE70" s="20" t="n">
        <f aca="false">MAX(0,CR70)</f>
        <v>0</v>
      </c>
      <c r="DF70" s="20" t="n">
        <f aca="false">SUM(CS70:DD70)</f>
        <v>0</v>
      </c>
      <c r="DG70" s="20" t="n">
        <f aca="false">MAX(0,CF70)</f>
        <v>0</v>
      </c>
    </row>
    <row r="71" customFormat="false" ht="15" hidden="false" customHeight="true" outlineLevel="0" collapsed="false">
      <c r="B71" s="20" t="n">
        <v>63</v>
      </c>
      <c r="C71" s="20" t="n">
        <f aca="false">'Plan cashflow'!J71</f>
        <v>0</v>
      </c>
      <c r="D71" s="20" t="n">
        <f aca="false">IF(C71&gt;PR_BalDone,C71+C71*(F_MR/12)-MIN(F_MortPayM,C71+C71*(F_MR/12)),C71)</f>
        <v>0</v>
      </c>
      <c r="E71" s="20" t="n">
        <f aca="false">IF(D71&gt;PR_BalDone,D71+D71*(F_MR/12)-MIN(F_MortPayM,D71+D71*(F_MR/12)),D71)</f>
        <v>0</v>
      </c>
      <c r="F71" s="20" t="n">
        <f aca="false">IF(E71&gt;PR_BalDone,E71+E71*(F_MR/12)-MIN(F_MortPayM,E71+E71*(F_MR/12)),E71)</f>
        <v>0</v>
      </c>
      <c r="G71" s="20" t="n">
        <f aca="false">IF(F71&gt;PR_BalDone,F71+F71*(F_MR/12)-MIN(F_MortPayM,F71+F71*(F_MR/12)),F71)</f>
        <v>0</v>
      </c>
      <c r="H71" s="20" t="n">
        <f aca="false">IF(G71&gt;PR_BalDone,G71+G71*(F_MR/12)-MIN(F_MortPayM,G71+G71*(F_MR/12)),G71)</f>
        <v>0</v>
      </c>
      <c r="I71" s="20" t="n">
        <f aca="false">IF(H71&gt;PR_BalDone,H71+H71*(F_MR/12)-MIN(F_MortPayM,H71+H71*(F_MR/12)),H71)</f>
        <v>0</v>
      </c>
      <c r="J71" s="20" t="n">
        <f aca="false">IF(I71&gt;PR_BalDone,I71+I71*(F_MR/12)-MIN(F_MortPayM,I71+I71*(F_MR/12)),I71)</f>
        <v>0</v>
      </c>
      <c r="K71" s="20" t="n">
        <f aca="false">IF(J71&gt;PR_BalDone,J71+J71*(F_MR/12)-MIN(F_MortPayM,J71+J71*(F_MR/12)),J71)</f>
        <v>0</v>
      </c>
      <c r="L71" s="20" t="n">
        <f aca="false">IF(K71&gt;PR_BalDone,K71+K71*(F_MR/12)-MIN(F_MortPayM,K71+K71*(F_MR/12)),K71)</f>
        <v>0</v>
      </c>
      <c r="M71" s="20" t="n">
        <f aca="false">IF(L71&gt;PR_BalDone,L71+L71*(F_MR/12)-MIN(F_MortPayM,L71+L71*(F_MR/12)),L71)</f>
        <v>0</v>
      </c>
      <c r="N71" s="20" t="n">
        <f aca="false">IF(M71&gt;PR_BalDone,M71+M71*(F_MR/12)-MIN(F_MortPayM,M71+M71*(F_MR/12)),M71)</f>
        <v>0</v>
      </c>
      <c r="O71" s="20" t="n">
        <f aca="false">IF(N71&gt;PR_BalDone,N71+N71*(F_MR/12)-MIN(F_MortPayM,N71+N71*(F_MR/12)),N71)</f>
        <v>0</v>
      </c>
      <c r="P71" s="20" t="n">
        <f aca="false">IF(C71&gt;PR_BalDone,MIN(F_MortPayM,C71+C71*(F_MR/12)),0)</f>
        <v>0</v>
      </c>
      <c r="Q71" s="20" t="n">
        <f aca="false">IF(D71&gt;PR_BalDone,MIN(F_MortPayM,D71+D71*(F_MR/12)),0)</f>
        <v>0</v>
      </c>
      <c r="R71" s="20" t="n">
        <f aca="false">IF(E71&gt;PR_BalDone,MIN(F_MortPayM,E71+E71*(F_MR/12)),0)</f>
        <v>0</v>
      </c>
      <c r="S71" s="20" t="n">
        <f aca="false">IF(F71&gt;PR_BalDone,MIN(F_MortPayM,F71+F71*(F_MR/12)),0)</f>
        <v>0</v>
      </c>
      <c r="T71" s="20" t="n">
        <f aca="false">IF(G71&gt;PR_BalDone,MIN(F_MortPayM,G71+G71*(F_MR/12)),0)</f>
        <v>0</v>
      </c>
      <c r="U71" s="20" t="n">
        <f aca="false">IF(H71&gt;PR_BalDone,MIN(F_MortPayM,H71+H71*(F_MR/12)),0)</f>
        <v>0</v>
      </c>
      <c r="V71" s="20" t="n">
        <f aca="false">IF(I71&gt;PR_BalDone,MIN(F_MortPayM,I71+I71*(F_MR/12)),0)</f>
        <v>0</v>
      </c>
      <c r="W71" s="20" t="n">
        <f aca="false">IF(J71&gt;PR_BalDone,MIN(F_MortPayM,J71+J71*(F_MR/12)),0)</f>
        <v>0</v>
      </c>
      <c r="X71" s="20" t="n">
        <f aca="false">IF(K71&gt;PR_BalDone,MIN(F_MortPayM,K71+K71*(F_MR/12)),0)</f>
        <v>0</v>
      </c>
      <c r="Y71" s="20" t="n">
        <f aca="false">IF(L71&gt;PR_BalDone,MIN(F_MortPayM,L71+L71*(F_MR/12)),0)</f>
        <v>0</v>
      </c>
      <c r="Z71" s="20" t="n">
        <f aca="false">IF(M71&gt;PR_BalDone,MIN(F_MortPayM,M71+M71*(F_MR/12)),0)</f>
        <v>0</v>
      </c>
      <c r="AA71" s="20" t="n">
        <f aca="false">IF(N71&gt;PR_BalDone,MIN(F_MortPayM,N71+N71*(F_MR/12)),0)</f>
        <v>0</v>
      </c>
      <c r="AB71" s="20" t="n">
        <f aca="false">MAX(0,O71)</f>
        <v>0</v>
      </c>
      <c r="AC71" s="20" t="n">
        <f aca="false">SUM(P71:AA71)</f>
        <v>0</v>
      </c>
      <c r="AD71" s="20" t="n">
        <f aca="false">'Plan cashflow'!M71</f>
        <v>0</v>
      </c>
      <c r="AE71" s="20" t="n">
        <f aca="false">IF(AD71&gt;PR_BalDone,AD71+AD71*(D_iC)-MIN(F_CardPayM,AD71+AD71*(D_iC)),AD71)</f>
        <v>0</v>
      </c>
      <c r="AF71" s="20" t="n">
        <f aca="false">IF(AE71&gt;PR_BalDone,AE71+AE71*(D_iC)-MIN(F_CardPayM,AE71+AE71*(D_iC)),AE71)</f>
        <v>0</v>
      </c>
      <c r="AG71" s="20" t="n">
        <f aca="false">IF(AF71&gt;PR_BalDone,AF71+AF71*(D_iC)-MIN(F_CardPayM,AF71+AF71*(D_iC)),AF71)</f>
        <v>0</v>
      </c>
      <c r="AH71" s="20" t="n">
        <f aca="false">IF(AG71&gt;PR_BalDone,AG71+AG71*(D_iC)-MIN(F_CardPayM,AG71+AG71*(D_iC)),AG71)</f>
        <v>0</v>
      </c>
      <c r="AI71" s="20" t="n">
        <f aca="false">IF(AH71&gt;PR_BalDone,AH71+AH71*(D_iC)-MIN(F_CardPayM,AH71+AH71*(D_iC)),AH71)</f>
        <v>0</v>
      </c>
      <c r="AJ71" s="20" t="n">
        <f aca="false">IF(AI71&gt;PR_BalDone,AI71+AI71*(D_iC)-MIN(F_CardPayM,AI71+AI71*(D_iC)),AI71)</f>
        <v>0</v>
      </c>
      <c r="AK71" s="20" t="n">
        <f aca="false">IF(AJ71&gt;PR_BalDone,AJ71+AJ71*(D_iC)-MIN(F_CardPayM,AJ71+AJ71*(D_iC)),AJ71)</f>
        <v>0</v>
      </c>
      <c r="AL71" s="20" t="n">
        <f aca="false">IF(AK71&gt;PR_BalDone,AK71+AK71*(D_iC)-MIN(F_CardPayM,AK71+AK71*(D_iC)),AK71)</f>
        <v>0</v>
      </c>
      <c r="AM71" s="20" t="n">
        <f aca="false">IF(AL71&gt;PR_BalDone,AL71+AL71*(D_iC)-MIN(F_CardPayM,AL71+AL71*(D_iC)),AL71)</f>
        <v>0</v>
      </c>
      <c r="AN71" s="20" t="n">
        <f aca="false">IF(AM71&gt;PR_BalDone,AM71+AM71*(D_iC)-MIN(F_CardPayM,AM71+AM71*(D_iC)),AM71)</f>
        <v>0</v>
      </c>
      <c r="AO71" s="20" t="n">
        <f aca="false">IF(AN71&gt;PR_BalDone,AN71+AN71*(D_iC)-MIN(F_CardPayM,AN71+AN71*(D_iC)),AN71)</f>
        <v>0</v>
      </c>
      <c r="AP71" s="20" t="n">
        <f aca="false">IF(AO71&gt;PR_BalDone,AO71+AO71*(D_iC)-MIN(F_CardPayM,AO71+AO71*(D_iC)),AO71)</f>
        <v>0</v>
      </c>
      <c r="AQ71" s="20" t="n">
        <f aca="false">IF(AD71&gt;PR_BalDone,MIN(F_CardPayM,AD71+AD71*(D_iC)),0)</f>
        <v>0</v>
      </c>
      <c r="AR71" s="20" t="n">
        <f aca="false">IF(AE71&gt;PR_BalDone,MIN(F_CardPayM,AE71+AE71*(D_iC)),0)</f>
        <v>0</v>
      </c>
      <c r="AS71" s="20" t="n">
        <f aca="false">IF(AF71&gt;PR_BalDone,MIN(F_CardPayM,AF71+AF71*(D_iC)),0)</f>
        <v>0</v>
      </c>
      <c r="AT71" s="20" t="n">
        <f aca="false">IF(AG71&gt;PR_BalDone,MIN(F_CardPayM,AG71+AG71*(D_iC)),0)</f>
        <v>0</v>
      </c>
      <c r="AU71" s="20" t="n">
        <f aca="false">IF(AH71&gt;PR_BalDone,MIN(F_CardPayM,AH71+AH71*(D_iC)),0)</f>
        <v>0</v>
      </c>
      <c r="AV71" s="20" t="n">
        <f aca="false">IF(AI71&gt;PR_BalDone,MIN(F_CardPayM,AI71+AI71*(D_iC)),0)</f>
        <v>0</v>
      </c>
      <c r="AW71" s="20" t="n">
        <f aca="false">IF(AJ71&gt;PR_BalDone,MIN(F_CardPayM,AJ71+AJ71*(D_iC)),0)</f>
        <v>0</v>
      </c>
      <c r="AX71" s="20" t="n">
        <f aca="false">IF(AK71&gt;PR_BalDone,MIN(F_CardPayM,AK71+AK71*(D_iC)),0)</f>
        <v>0</v>
      </c>
      <c r="AY71" s="20" t="n">
        <f aca="false">IF(AL71&gt;PR_BalDone,MIN(F_CardPayM,AL71+AL71*(D_iC)),0)</f>
        <v>0</v>
      </c>
      <c r="AZ71" s="20" t="n">
        <f aca="false">IF(AM71&gt;PR_BalDone,MIN(F_CardPayM,AM71+AM71*(D_iC)),0)</f>
        <v>0</v>
      </c>
      <c r="BA71" s="20" t="n">
        <f aca="false">IF(AN71&gt;PR_BalDone,MIN(F_CardPayM,AN71+AN71*(D_iC)),0)</f>
        <v>0</v>
      </c>
      <c r="BB71" s="20" t="n">
        <f aca="false">IF(AO71&gt;PR_BalDone,MIN(F_CardPayM,AO71+AO71*(D_iC)),0)</f>
        <v>0</v>
      </c>
      <c r="BC71" s="20" t="n">
        <f aca="false">MAX(0,AP71)</f>
        <v>0</v>
      </c>
      <c r="BD71" s="20" t="n">
        <f aca="false">SUM(AQ71:BB71)</f>
        <v>0</v>
      </c>
      <c r="BE71" s="20" t="n">
        <f aca="false">'Plan cashflow'!P71</f>
        <v>0</v>
      </c>
      <c r="BF71" s="20" t="n">
        <f aca="false">IF(BE71&gt;PR_BalDone,BE71+BE71*(D_iL)-MIN(F_LoanPayM,BE71+BE71*(D_iL)),BE71)</f>
        <v>0</v>
      </c>
      <c r="BG71" s="20" t="n">
        <f aca="false">IF(BF71&gt;PR_BalDone,BF71+BF71*(D_iL)-MIN(F_LoanPayM,BF71+BF71*(D_iL)),BF71)</f>
        <v>0</v>
      </c>
      <c r="BH71" s="20" t="n">
        <f aca="false">IF(BG71&gt;PR_BalDone,BG71+BG71*(D_iL)-MIN(F_LoanPayM,BG71+BG71*(D_iL)),BG71)</f>
        <v>0</v>
      </c>
      <c r="BI71" s="20" t="n">
        <f aca="false">IF(BH71&gt;PR_BalDone,BH71+BH71*(D_iL)-MIN(F_LoanPayM,BH71+BH71*(D_iL)),BH71)</f>
        <v>0</v>
      </c>
      <c r="BJ71" s="20" t="n">
        <f aca="false">IF(BI71&gt;PR_BalDone,BI71+BI71*(D_iL)-MIN(F_LoanPayM,BI71+BI71*(D_iL)),BI71)</f>
        <v>0</v>
      </c>
      <c r="BK71" s="20" t="n">
        <f aca="false">IF(BJ71&gt;PR_BalDone,BJ71+BJ71*(D_iL)-MIN(F_LoanPayM,BJ71+BJ71*(D_iL)),BJ71)</f>
        <v>0</v>
      </c>
      <c r="BL71" s="20" t="n">
        <f aca="false">IF(BK71&gt;PR_BalDone,BK71+BK71*(D_iL)-MIN(F_LoanPayM,BK71+BK71*(D_iL)),BK71)</f>
        <v>0</v>
      </c>
      <c r="BM71" s="20" t="n">
        <f aca="false">IF(BL71&gt;PR_BalDone,BL71+BL71*(D_iL)-MIN(F_LoanPayM,BL71+BL71*(D_iL)),BL71)</f>
        <v>0</v>
      </c>
      <c r="BN71" s="20" t="n">
        <f aca="false">IF(BM71&gt;PR_BalDone,BM71+BM71*(D_iL)-MIN(F_LoanPayM,BM71+BM71*(D_iL)),BM71)</f>
        <v>0</v>
      </c>
      <c r="BO71" s="20" t="n">
        <f aca="false">IF(BN71&gt;PR_BalDone,BN71+BN71*(D_iL)-MIN(F_LoanPayM,BN71+BN71*(D_iL)),BN71)</f>
        <v>0</v>
      </c>
      <c r="BP71" s="20" t="n">
        <f aca="false">IF(BO71&gt;PR_BalDone,BO71+BO71*(D_iL)-MIN(F_LoanPayM,BO71+BO71*(D_iL)),BO71)</f>
        <v>0</v>
      </c>
      <c r="BQ71" s="20" t="n">
        <f aca="false">IF(BP71&gt;PR_BalDone,BP71+BP71*(D_iL)-MIN(F_LoanPayM,BP71+BP71*(D_iL)),BP71)</f>
        <v>0</v>
      </c>
      <c r="BR71" s="20" t="n">
        <f aca="false">IF(BE71&gt;PR_BalDone,MIN(F_LoanPayM,BE71+BE71*(D_iL)),0)</f>
        <v>0</v>
      </c>
      <c r="BS71" s="20" t="n">
        <f aca="false">IF(BF71&gt;PR_BalDone,MIN(F_LoanPayM,BF71+BF71*(D_iL)),0)</f>
        <v>0</v>
      </c>
      <c r="BT71" s="20" t="n">
        <f aca="false">IF(BG71&gt;PR_BalDone,MIN(F_LoanPayM,BG71+BG71*(D_iL)),0)</f>
        <v>0</v>
      </c>
      <c r="BU71" s="20" t="n">
        <f aca="false">IF(BH71&gt;PR_BalDone,MIN(F_LoanPayM,BH71+BH71*(D_iL)),0)</f>
        <v>0</v>
      </c>
      <c r="BV71" s="20" t="n">
        <f aca="false">IF(BI71&gt;PR_BalDone,MIN(F_LoanPayM,BI71+BI71*(D_iL)),0)</f>
        <v>0</v>
      </c>
      <c r="BW71" s="20" t="n">
        <f aca="false">IF(BJ71&gt;PR_BalDone,MIN(F_LoanPayM,BJ71+BJ71*(D_iL)),0)</f>
        <v>0</v>
      </c>
      <c r="BX71" s="20" t="n">
        <f aca="false">IF(BK71&gt;PR_BalDone,MIN(F_LoanPayM,BK71+BK71*(D_iL)),0)</f>
        <v>0</v>
      </c>
      <c r="BY71" s="20" t="n">
        <f aca="false">IF(BL71&gt;PR_BalDone,MIN(F_LoanPayM,BL71+BL71*(D_iL)),0)</f>
        <v>0</v>
      </c>
      <c r="BZ71" s="20" t="n">
        <f aca="false">IF(BM71&gt;PR_BalDone,MIN(F_LoanPayM,BM71+BM71*(D_iL)),0)</f>
        <v>0</v>
      </c>
      <c r="CA71" s="20" t="n">
        <f aca="false">IF(BN71&gt;PR_BalDone,MIN(F_LoanPayM,BN71+BN71*(D_iL)),0)</f>
        <v>0</v>
      </c>
      <c r="CB71" s="20" t="n">
        <f aca="false">IF(BO71&gt;PR_BalDone,MIN(F_LoanPayM,BO71+BO71*(D_iL)),0)</f>
        <v>0</v>
      </c>
      <c r="CC71" s="20" t="n">
        <f aca="false">IF(BP71&gt;PR_BalDone,MIN(F_LoanPayM,BP71+BP71*(D_iL)),0)</f>
        <v>0</v>
      </c>
      <c r="CD71" s="20" t="n">
        <f aca="false">MAX(0,BQ71)</f>
        <v>0</v>
      </c>
      <c r="CE71" s="20" t="n">
        <f aca="false">SUM(BR71:CC71)</f>
        <v>0</v>
      </c>
      <c r="CF71" s="20" t="n">
        <f aca="false">IF(CF70&gt;1,DE70,CF70)</f>
        <v>0</v>
      </c>
      <c r="CG71" s="20" t="n">
        <f aca="false">IF(CF71&gt;PR_BalDone,CF71+CF71*(F_MR/12)-MIN(F_MortPayM,CF71+CF71*(F_MR/12)),CF71)</f>
        <v>0</v>
      </c>
      <c r="CH71" s="20" t="n">
        <f aca="false">IF(CG71&gt;PR_BalDone,CG71+CG71*(F_MR/12)-MIN(F_MortPayM,CG71+CG71*(F_MR/12)),CG71)</f>
        <v>0</v>
      </c>
      <c r="CI71" s="20" t="n">
        <f aca="false">IF(CH71&gt;PR_BalDone,CH71+CH71*(F_MR/12)-MIN(F_MortPayM,CH71+CH71*(F_MR/12)),CH71)</f>
        <v>0</v>
      </c>
      <c r="CJ71" s="20" t="n">
        <f aca="false">IF(CI71&gt;PR_BalDone,CI71+CI71*(F_MR/12)-MIN(F_MortPayM,CI71+CI71*(F_MR/12)),CI71)</f>
        <v>0</v>
      </c>
      <c r="CK71" s="20" t="n">
        <f aca="false">IF(CJ71&gt;PR_BalDone,CJ71+CJ71*(F_MR/12)-MIN(F_MortPayM,CJ71+CJ71*(F_MR/12)),CJ71)</f>
        <v>0</v>
      </c>
      <c r="CL71" s="20" t="n">
        <f aca="false">IF(CK71&gt;PR_BalDone,CK71+CK71*(F_MR/12)-MIN(F_MortPayM,CK71+CK71*(F_MR/12)),CK71)</f>
        <v>0</v>
      </c>
      <c r="CM71" s="20" t="n">
        <f aca="false">IF(CL71&gt;PR_BalDone,CL71+CL71*(F_MR/12)-MIN(F_MortPayM,CL71+CL71*(F_MR/12)),CL71)</f>
        <v>0</v>
      </c>
      <c r="CN71" s="20" t="n">
        <f aca="false">IF(CM71&gt;PR_BalDone,CM71+CM71*(F_MR/12)-MIN(F_MortPayM,CM71+CM71*(F_MR/12)),CM71)</f>
        <v>0</v>
      </c>
      <c r="CO71" s="20" t="n">
        <f aca="false">IF(CN71&gt;PR_BalDone,CN71+CN71*(F_MR/12)-MIN(F_MortPayM,CN71+CN71*(F_MR/12)),CN71)</f>
        <v>0</v>
      </c>
      <c r="CP71" s="20" t="n">
        <f aca="false">IF(CO71&gt;PR_BalDone,CO71+CO71*(F_MR/12)-MIN(F_MortPayM,CO71+CO71*(F_MR/12)),CO71)</f>
        <v>0</v>
      </c>
      <c r="CQ71" s="20" t="n">
        <f aca="false">IF(CP71&gt;PR_BalDone,CP71+CP71*(F_MR/12)-MIN(F_MortPayM,CP71+CP71*(F_MR/12)),CP71)</f>
        <v>0</v>
      </c>
      <c r="CR71" s="20" t="n">
        <f aca="false">IF(CQ71&gt;PR_BalDone,CQ71+CQ71*(F_MR/12)-MIN(F_MortPayM,CQ71+CQ71*(F_MR/12)),CQ71)</f>
        <v>0</v>
      </c>
      <c r="CS71" s="20" t="n">
        <f aca="false">IF(CF71&gt;PR_BalDone,MIN(F_MortPayM,CF71+CF71*(F_MR/12)),0)</f>
        <v>0</v>
      </c>
      <c r="CT71" s="20" t="n">
        <f aca="false">IF(CG71&gt;PR_BalDone,MIN(F_MortPayM,CG71+CG71*(F_MR/12)),0)</f>
        <v>0</v>
      </c>
      <c r="CU71" s="20" t="n">
        <f aca="false">IF(CH71&gt;PR_BalDone,MIN(F_MortPayM,CH71+CH71*(F_MR/12)),0)</f>
        <v>0</v>
      </c>
      <c r="CV71" s="20" t="n">
        <f aca="false">IF(CI71&gt;PR_BalDone,MIN(F_MortPayM,CI71+CI71*(F_MR/12)),0)</f>
        <v>0</v>
      </c>
      <c r="CW71" s="20" t="n">
        <f aca="false">IF(CJ71&gt;PR_BalDone,MIN(F_MortPayM,CJ71+CJ71*(F_MR/12)),0)</f>
        <v>0</v>
      </c>
      <c r="CX71" s="20" t="n">
        <f aca="false">IF(CK71&gt;PR_BalDone,MIN(F_MortPayM,CK71+CK71*(F_MR/12)),0)</f>
        <v>0</v>
      </c>
      <c r="CY71" s="20" t="n">
        <f aca="false">IF(CL71&gt;PR_BalDone,MIN(F_MortPayM,CL71+CL71*(F_MR/12)),0)</f>
        <v>0</v>
      </c>
      <c r="CZ71" s="20" t="n">
        <f aca="false">IF(CM71&gt;PR_BalDone,MIN(F_MortPayM,CM71+CM71*(F_MR/12)),0)</f>
        <v>0</v>
      </c>
      <c r="DA71" s="20" t="n">
        <f aca="false">IF(CN71&gt;PR_BalDone,MIN(F_MortPayM,CN71+CN71*(F_MR/12)),0)</f>
        <v>0</v>
      </c>
      <c r="DB71" s="20" t="n">
        <f aca="false">IF(CO71&gt;PR_BalDone,MIN(F_MortPayM,CO71+CO71*(F_MR/12)),0)</f>
        <v>0</v>
      </c>
      <c r="DC71" s="20" t="n">
        <f aca="false">IF(CP71&gt;PR_BalDone,MIN(F_MortPayM,CP71+CP71*(F_MR/12)),0)</f>
        <v>0</v>
      </c>
      <c r="DD71" s="20" t="n">
        <f aca="false">IF(CQ71&gt;PR_BalDone,MIN(F_MortPayM,CQ71+CQ71*(F_MR/12)),0)</f>
        <v>0</v>
      </c>
      <c r="DE71" s="20" t="n">
        <f aca="false">MAX(0,CR71)</f>
        <v>0</v>
      </c>
      <c r="DF71" s="20" t="n">
        <f aca="false">SUM(CS71:DD71)</f>
        <v>0</v>
      </c>
      <c r="DG71" s="20" t="n">
        <f aca="false">MAX(0,CF71)</f>
        <v>0</v>
      </c>
    </row>
    <row r="72" customFormat="false" ht="15" hidden="false" customHeight="true" outlineLevel="0" collapsed="false">
      <c r="B72" s="20" t="n">
        <v>64</v>
      </c>
      <c r="C72" s="20" t="n">
        <f aca="false">'Plan cashflow'!J72</f>
        <v>0</v>
      </c>
      <c r="D72" s="20" t="n">
        <f aca="false">IF(C72&gt;PR_BalDone,C72+C72*(F_MR/12)-MIN(F_MortPayM,C72+C72*(F_MR/12)),C72)</f>
        <v>0</v>
      </c>
      <c r="E72" s="20" t="n">
        <f aca="false">IF(D72&gt;PR_BalDone,D72+D72*(F_MR/12)-MIN(F_MortPayM,D72+D72*(F_MR/12)),D72)</f>
        <v>0</v>
      </c>
      <c r="F72" s="20" t="n">
        <f aca="false">IF(E72&gt;PR_BalDone,E72+E72*(F_MR/12)-MIN(F_MortPayM,E72+E72*(F_MR/12)),E72)</f>
        <v>0</v>
      </c>
      <c r="G72" s="20" t="n">
        <f aca="false">IF(F72&gt;PR_BalDone,F72+F72*(F_MR/12)-MIN(F_MortPayM,F72+F72*(F_MR/12)),F72)</f>
        <v>0</v>
      </c>
      <c r="H72" s="20" t="n">
        <f aca="false">IF(G72&gt;PR_BalDone,G72+G72*(F_MR/12)-MIN(F_MortPayM,G72+G72*(F_MR/12)),G72)</f>
        <v>0</v>
      </c>
      <c r="I72" s="20" t="n">
        <f aca="false">IF(H72&gt;PR_BalDone,H72+H72*(F_MR/12)-MIN(F_MortPayM,H72+H72*(F_MR/12)),H72)</f>
        <v>0</v>
      </c>
      <c r="J72" s="20" t="n">
        <f aca="false">IF(I72&gt;PR_BalDone,I72+I72*(F_MR/12)-MIN(F_MortPayM,I72+I72*(F_MR/12)),I72)</f>
        <v>0</v>
      </c>
      <c r="K72" s="20" t="n">
        <f aca="false">IF(J72&gt;PR_BalDone,J72+J72*(F_MR/12)-MIN(F_MortPayM,J72+J72*(F_MR/12)),J72)</f>
        <v>0</v>
      </c>
      <c r="L72" s="20" t="n">
        <f aca="false">IF(K72&gt;PR_BalDone,K72+K72*(F_MR/12)-MIN(F_MortPayM,K72+K72*(F_MR/12)),K72)</f>
        <v>0</v>
      </c>
      <c r="M72" s="20" t="n">
        <f aca="false">IF(L72&gt;PR_BalDone,L72+L72*(F_MR/12)-MIN(F_MortPayM,L72+L72*(F_MR/12)),L72)</f>
        <v>0</v>
      </c>
      <c r="N72" s="20" t="n">
        <f aca="false">IF(M72&gt;PR_BalDone,M72+M72*(F_MR/12)-MIN(F_MortPayM,M72+M72*(F_MR/12)),M72)</f>
        <v>0</v>
      </c>
      <c r="O72" s="20" t="n">
        <f aca="false">IF(N72&gt;PR_BalDone,N72+N72*(F_MR/12)-MIN(F_MortPayM,N72+N72*(F_MR/12)),N72)</f>
        <v>0</v>
      </c>
      <c r="P72" s="20" t="n">
        <f aca="false">IF(C72&gt;PR_BalDone,MIN(F_MortPayM,C72+C72*(F_MR/12)),0)</f>
        <v>0</v>
      </c>
      <c r="Q72" s="20" t="n">
        <f aca="false">IF(D72&gt;PR_BalDone,MIN(F_MortPayM,D72+D72*(F_MR/12)),0)</f>
        <v>0</v>
      </c>
      <c r="R72" s="20" t="n">
        <f aca="false">IF(E72&gt;PR_BalDone,MIN(F_MortPayM,E72+E72*(F_MR/12)),0)</f>
        <v>0</v>
      </c>
      <c r="S72" s="20" t="n">
        <f aca="false">IF(F72&gt;PR_BalDone,MIN(F_MortPayM,F72+F72*(F_MR/12)),0)</f>
        <v>0</v>
      </c>
      <c r="T72" s="20" t="n">
        <f aca="false">IF(G72&gt;PR_BalDone,MIN(F_MortPayM,G72+G72*(F_MR/12)),0)</f>
        <v>0</v>
      </c>
      <c r="U72" s="20" t="n">
        <f aca="false">IF(H72&gt;PR_BalDone,MIN(F_MortPayM,H72+H72*(F_MR/12)),0)</f>
        <v>0</v>
      </c>
      <c r="V72" s="20" t="n">
        <f aca="false">IF(I72&gt;PR_BalDone,MIN(F_MortPayM,I72+I72*(F_MR/12)),0)</f>
        <v>0</v>
      </c>
      <c r="W72" s="20" t="n">
        <f aca="false">IF(J72&gt;PR_BalDone,MIN(F_MortPayM,J72+J72*(F_MR/12)),0)</f>
        <v>0</v>
      </c>
      <c r="X72" s="20" t="n">
        <f aca="false">IF(K72&gt;PR_BalDone,MIN(F_MortPayM,K72+K72*(F_MR/12)),0)</f>
        <v>0</v>
      </c>
      <c r="Y72" s="20" t="n">
        <f aca="false">IF(L72&gt;PR_BalDone,MIN(F_MortPayM,L72+L72*(F_MR/12)),0)</f>
        <v>0</v>
      </c>
      <c r="Z72" s="20" t="n">
        <f aca="false">IF(M72&gt;PR_BalDone,MIN(F_MortPayM,M72+M72*(F_MR/12)),0)</f>
        <v>0</v>
      </c>
      <c r="AA72" s="20" t="n">
        <f aca="false">IF(N72&gt;PR_BalDone,MIN(F_MortPayM,N72+N72*(F_MR/12)),0)</f>
        <v>0</v>
      </c>
      <c r="AB72" s="20" t="n">
        <f aca="false">MAX(0,O72)</f>
        <v>0</v>
      </c>
      <c r="AC72" s="20" t="n">
        <f aca="false">SUM(P72:AA72)</f>
        <v>0</v>
      </c>
      <c r="AD72" s="20" t="n">
        <f aca="false">'Plan cashflow'!M72</f>
        <v>0</v>
      </c>
      <c r="AE72" s="20" t="n">
        <f aca="false">IF(AD72&gt;PR_BalDone,AD72+AD72*(D_iC)-MIN(F_CardPayM,AD72+AD72*(D_iC)),AD72)</f>
        <v>0</v>
      </c>
      <c r="AF72" s="20" t="n">
        <f aca="false">IF(AE72&gt;PR_BalDone,AE72+AE72*(D_iC)-MIN(F_CardPayM,AE72+AE72*(D_iC)),AE72)</f>
        <v>0</v>
      </c>
      <c r="AG72" s="20" t="n">
        <f aca="false">IF(AF72&gt;PR_BalDone,AF72+AF72*(D_iC)-MIN(F_CardPayM,AF72+AF72*(D_iC)),AF72)</f>
        <v>0</v>
      </c>
      <c r="AH72" s="20" t="n">
        <f aca="false">IF(AG72&gt;PR_BalDone,AG72+AG72*(D_iC)-MIN(F_CardPayM,AG72+AG72*(D_iC)),AG72)</f>
        <v>0</v>
      </c>
      <c r="AI72" s="20" t="n">
        <f aca="false">IF(AH72&gt;PR_BalDone,AH72+AH72*(D_iC)-MIN(F_CardPayM,AH72+AH72*(D_iC)),AH72)</f>
        <v>0</v>
      </c>
      <c r="AJ72" s="20" t="n">
        <f aca="false">IF(AI72&gt;PR_BalDone,AI72+AI72*(D_iC)-MIN(F_CardPayM,AI72+AI72*(D_iC)),AI72)</f>
        <v>0</v>
      </c>
      <c r="AK72" s="20" t="n">
        <f aca="false">IF(AJ72&gt;PR_BalDone,AJ72+AJ72*(D_iC)-MIN(F_CardPayM,AJ72+AJ72*(D_iC)),AJ72)</f>
        <v>0</v>
      </c>
      <c r="AL72" s="20" t="n">
        <f aca="false">IF(AK72&gt;PR_BalDone,AK72+AK72*(D_iC)-MIN(F_CardPayM,AK72+AK72*(D_iC)),AK72)</f>
        <v>0</v>
      </c>
      <c r="AM72" s="20" t="n">
        <f aca="false">IF(AL72&gt;PR_BalDone,AL72+AL72*(D_iC)-MIN(F_CardPayM,AL72+AL72*(D_iC)),AL72)</f>
        <v>0</v>
      </c>
      <c r="AN72" s="20" t="n">
        <f aca="false">IF(AM72&gt;PR_BalDone,AM72+AM72*(D_iC)-MIN(F_CardPayM,AM72+AM72*(D_iC)),AM72)</f>
        <v>0</v>
      </c>
      <c r="AO72" s="20" t="n">
        <f aca="false">IF(AN72&gt;PR_BalDone,AN72+AN72*(D_iC)-MIN(F_CardPayM,AN72+AN72*(D_iC)),AN72)</f>
        <v>0</v>
      </c>
      <c r="AP72" s="20" t="n">
        <f aca="false">IF(AO72&gt;PR_BalDone,AO72+AO72*(D_iC)-MIN(F_CardPayM,AO72+AO72*(D_iC)),AO72)</f>
        <v>0</v>
      </c>
      <c r="AQ72" s="20" t="n">
        <f aca="false">IF(AD72&gt;PR_BalDone,MIN(F_CardPayM,AD72+AD72*(D_iC)),0)</f>
        <v>0</v>
      </c>
      <c r="AR72" s="20" t="n">
        <f aca="false">IF(AE72&gt;PR_BalDone,MIN(F_CardPayM,AE72+AE72*(D_iC)),0)</f>
        <v>0</v>
      </c>
      <c r="AS72" s="20" t="n">
        <f aca="false">IF(AF72&gt;PR_BalDone,MIN(F_CardPayM,AF72+AF72*(D_iC)),0)</f>
        <v>0</v>
      </c>
      <c r="AT72" s="20" t="n">
        <f aca="false">IF(AG72&gt;PR_BalDone,MIN(F_CardPayM,AG72+AG72*(D_iC)),0)</f>
        <v>0</v>
      </c>
      <c r="AU72" s="20" t="n">
        <f aca="false">IF(AH72&gt;PR_BalDone,MIN(F_CardPayM,AH72+AH72*(D_iC)),0)</f>
        <v>0</v>
      </c>
      <c r="AV72" s="20" t="n">
        <f aca="false">IF(AI72&gt;PR_BalDone,MIN(F_CardPayM,AI72+AI72*(D_iC)),0)</f>
        <v>0</v>
      </c>
      <c r="AW72" s="20" t="n">
        <f aca="false">IF(AJ72&gt;PR_BalDone,MIN(F_CardPayM,AJ72+AJ72*(D_iC)),0)</f>
        <v>0</v>
      </c>
      <c r="AX72" s="20" t="n">
        <f aca="false">IF(AK72&gt;PR_BalDone,MIN(F_CardPayM,AK72+AK72*(D_iC)),0)</f>
        <v>0</v>
      </c>
      <c r="AY72" s="20" t="n">
        <f aca="false">IF(AL72&gt;PR_BalDone,MIN(F_CardPayM,AL72+AL72*(D_iC)),0)</f>
        <v>0</v>
      </c>
      <c r="AZ72" s="20" t="n">
        <f aca="false">IF(AM72&gt;PR_BalDone,MIN(F_CardPayM,AM72+AM72*(D_iC)),0)</f>
        <v>0</v>
      </c>
      <c r="BA72" s="20" t="n">
        <f aca="false">IF(AN72&gt;PR_BalDone,MIN(F_CardPayM,AN72+AN72*(D_iC)),0)</f>
        <v>0</v>
      </c>
      <c r="BB72" s="20" t="n">
        <f aca="false">IF(AO72&gt;PR_BalDone,MIN(F_CardPayM,AO72+AO72*(D_iC)),0)</f>
        <v>0</v>
      </c>
      <c r="BC72" s="20" t="n">
        <f aca="false">MAX(0,AP72)</f>
        <v>0</v>
      </c>
      <c r="BD72" s="20" t="n">
        <f aca="false">SUM(AQ72:BB72)</f>
        <v>0</v>
      </c>
      <c r="BE72" s="20" t="n">
        <f aca="false">'Plan cashflow'!P72</f>
        <v>0</v>
      </c>
      <c r="BF72" s="20" t="n">
        <f aca="false">IF(BE72&gt;PR_BalDone,BE72+BE72*(D_iL)-MIN(F_LoanPayM,BE72+BE72*(D_iL)),BE72)</f>
        <v>0</v>
      </c>
      <c r="BG72" s="20" t="n">
        <f aca="false">IF(BF72&gt;PR_BalDone,BF72+BF72*(D_iL)-MIN(F_LoanPayM,BF72+BF72*(D_iL)),BF72)</f>
        <v>0</v>
      </c>
      <c r="BH72" s="20" t="n">
        <f aca="false">IF(BG72&gt;PR_BalDone,BG72+BG72*(D_iL)-MIN(F_LoanPayM,BG72+BG72*(D_iL)),BG72)</f>
        <v>0</v>
      </c>
      <c r="BI72" s="20" t="n">
        <f aca="false">IF(BH72&gt;PR_BalDone,BH72+BH72*(D_iL)-MIN(F_LoanPayM,BH72+BH72*(D_iL)),BH72)</f>
        <v>0</v>
      </c>
      <c r="BJ72" s="20" t="n">
        <f aca="false">IF(BI72&gt;PR_BalDone,BI72+BI72*(D_iL)-MIN(F_LoanPayM,BI72+BI72*(D_iL)),BI72)</f>
        <v>0</v>
      </c>
      <c r="BK72" s="20" t="n">
        <f aca="false">IF(BJ72&gt;PR_BalDone,BJ72+BJ72*(D_iL)-MIN(F_LoanPayM,BJ72+BJ72*(D_iL)),BJ72)</f>
        <v>0</v>
      </c>
      <c r="BL72" s="20" t="n">
        <f aca="false">IF(BK72&gt;PR_BalDone,BK72+BK72*(D_iL)-MIN(F_LoanPayM,BK72+BK72*(D_iL)),BK72)</f>
        <v>0</v>
      </c>
      <c r="BM72" s="20" t="n">
        <f aca="false">IF(BL72&gt;PR_BalDone,BL72+BL72*(D_iL)-MIN(F_LoanPayM,BL72+BL72*(D_iL)),BL72)</f>
        <v>0</v>
      </c>
      <c r="BN72" s="20" t="n">
        <f aca="false">IF(BM72&gt;PR_BalDone,BM72+BM72*(D_iL)-MIN(F_LoanPayM,BM72+BM72*(D_iL)),BM72)</f>
        <v>0</v>
      </c>
      <c r="BO72" s="20" t="n">
        <f aca="false">IF(BN72&gt;PR_BalDone,BN72+BN72*(D_iL)-MIN(F_LoanPayM,BN72+BN72*(D_iL)),BN72)</f>
        <v>0</v>
      </c>
      <c r="BP72" s="20" t="n">
        <f aca="false">IF(BO72&gt;PR_BalDone,BO72+BO72*(D_iL)-MIN(F_LoanPayM,BO72+BO72*(D_iL)),BO72)</f>
        <v>0</v>
      </c>
      <c r="BQ72" s="20" t="n">
        <f aca="false">IF(BP72&gt;PR_BalDone,BP72+BP72*(D_iL)-MIN(F_LoanPayM,BP72+BP72*(D_iL)),BP72)</f>
        <v>0</v>
      </c>
      <c r="BR72" s="20" t="n">
        <f aca="false">IF(BE72&gt;PR_BalDone,MIN(F_LoanPayM,BE72+BE72*(D_iL)),0)</f>
        <v>0</v>
      </c>
      <c r="BS72" s="20" t="n">
        <f aca="false">IF(BF72&gt;PR_BalDone,MIN(F_LoanPayM,BF72+BF72*(D_iL)),0)</f>
        <v>0</v>
      </c>
      <c r="BT72" s="20" t="n">
        <f aca="false">IF(BG72&gt;PR_BalDone,MIN(F_LoanPayM,BG72+BG72*(D_iL)),0)</f>
        <v>0</v>
      </c>
      <c r="BU72" s="20" t="n">
        <f aca="false">IF(BH72&gt;PR_BalDone,MIN(F_LoanPayM,BH72+BH72*(D_iL)),0)</f>
        <v>0</v>
      </c>
      <c r="BV72" s="20" t="n">
        <f aca="false">IF(BI72&gt;PR_BalDone,MIN(F_LoanPayM,BI72+BI72*(D_iL)),0)</f>
        <v>0</v>
      </c>
      <c r="BW72" s="20" t="n">
        <f aca="false">IF(BJ72&gt;PR_BalDone,MIN(F_LoanPayM,BJ72+BJ72*(D_iL)),0)</f>
        <v>0</v>
      </c>
      <c r="BX72" s="20" t="n">
        <f aca="false">IF(BK72&gt;PR_BalDone,MIN(F_LoanPayM,BK72+BK72*(D_iL)),0)</f>
        <v>0</v>
      </c>
      <c r="BY72" s="20" t="n">
        <f aca="false">IF(BL72&gt;PR_BalDone,MIN(F_LoanPayM,BL72+BL72*(D_iL)),0)</f>
        <v>0</v>
      </c>
      <c r="BZ72" s="20" t="n">
        <f aca="false">IF(BM72&gt;PR_BalDone,MIN(F_LoanPayM,BM72+BM72*(D_iL)),0)</f>
        <v>0</v>
      </c>
      <c r="CA72" s="20" t="n">
        <f aca="false">IF(BN72&gt;PR_BalDone,MIN(F_LoanPayM,BN72+BN72*(D_iL)),0)</f>
        <v>0</v>
      </c>
      <c r="CB72" s="20" t="n">
        <f aca="false">IF(BO72&gt;PR_BalDone,MIN(F_LoanPayM,BO72+BO72*(D_iL)),0)</f>
        <v>0</v>
      </c>
      <c r="CC72" s="20" t="n">
        <f aca="false">IF(BP72&gt;PR_BalDone,MIN(F_LoanPayM,BP72+BP72*(D_iL)),0)</f>
        <v>0</v>
      </c>
      <c r="CD72" s="20" t="n">
        <f aca="false">MAX(0,BQ72)</f>
        <v>0</v>
      </c>
      <c r="CE72" s="20" t="n">
        <f aca="false">SUM(BR72:CC72)</f>
        <v>0</v>
      </c>
      <c r="CF72" s="20" t="n">
        <f aca="false">IF(CF71&gt;1,DE71,CF71)</f>
        <v>0</v>
      </c>
      <c r="CG72" s="20" t="n">
        <f aca="false">IF(CF72&gt;PR_BalDone,CF72+CF72*(F_MR/12)-MIN(F_MortPayM,CF72+CF72*(F_MR/12)),CF72)</f>
        <v>0</v>
      </c>
      <c r="CH72" s="20" t="n">
        <f aca="false">IF(CG72&gt;PR_BalDone,CG72+CG72*(F_MR/12)-MIN(F_MortPayM,CG72+CG72*(F_MR/12)),CG72)</f>
        <v>0</v>
      </c>
      <c r="CI72" s="20" t="n">
        <f aca="false">IF(CH72&gt;PR_BalDone,CH72+CH72*(F_MR/12)-MIN(F_MortPayM,CH72+CH72*(F_MR/12)),CH72)</f>
        <v>0</v>
      </c>
      <c r="CJ72" s="20" t="n">
        <f aca="false">IF(CI72&gt;PR_BalDone,CI72+CI72*(F_MR/12)-MIN(F_MortPayM,CI72+CI72*(F_MR/12)),CI72)</f>
        <v>0</v>
      </c>
      <c r="CK72" s="20" t="n">
        <f aca="false">IF(CJ72&gt;PR_BalDone,CJ72+CJ72*(F_MR/12)-MIN(F_MortPayM,CJ72+CJ72*(F_MR/12)),CJ72)</f>
        <v>0</v>
      </c>
      <c r="CL72" s="20" t="n">
        <f aca="false">IF(CK72&gt;PR_BalDone,CK72+CK72*(F_MR/12)-MIN(F_MortPayM,CK72+CK72*(F_MR/12)),CK72)</f>
        <v>0</v>
      </c>
      <c r="CM72" s="20" t="n">
        <f aca="false">IF(CL72&gt;PR_BalDone,CL72+CL72*(F_MR/12)-MIN(F_MortPayM,CL72+CL72*(F_MR/12)),CL72)</f>
        <v>0</v>
      </c>
      <c r="CN72" s="20" t="n">
        <f aca="false">IF(CM72&gt;PR_BalDone,CM72+CM72*(F_MR/12)-MIN(F_MortPayM,CM72+CM72*(F_MR/12)),CM72)</f>
        <v>0</v>
      </c>
      <c r="CO72" s="20" t="n">
        <f aca="false">IF(CN72&gt;PR_BalDone,CN72+CN72*(F_MR/12)-MIN(F_MortPayM,CN72+CN72*(F_MR/12)),CN72)</f>
        <v>0</v>
      </c>
      <c r="CP72" s="20" t="n">
        <f aca="false">IF(CO72&gt;PR_BalDone,CO72+CO72*(F_MR/12)-MIN(F_MortPayM,CO72+CO72*(F_MR/12)),CO72)</f>
        <v>0</v>
      </c>
      <c r="CQ72" s="20" t="n">
        <f aca="false">IF(CP72&gt;PR_BalDone,CP72+CP72*(F_MR/12)-MIN(F_MortPayM,CP72+CP72*(F_MR/12)),CP72)</f>
        <v>0</v>
      </c>
      <c r="CR72" s="20" t="n">
        <f aca="false">IF(CQ72&gt;PR_BalDone,CQ72+CQ72*(F_MR/12)-MIN(F_MortPayM,CQ72+CQ72*(F_MR/12)),CQ72)</f>
        <v>0</v>
      </c>
      <c r="CS72" s="20" t="n">
        <f aca="false">IF(CF72&gt;PR_BalDone,MIN(F_MortPayM,CF72+CF72*(F_MR/12)),0)</f>
        <v>0</v>
      </c>
      <c r="CT72" s="20" t="n">
        <f aca="false">IF(CG72&gt;PR_BalDone,MIN(F_MortPayM,CG72+CG72*(F_MR/12)),0)</f>
        <v>0</v>
      </c>
      <c r="CU72" s="20" t="n">
        <f aca="false">IF(CH72&gt;PR_BalDone,MIN(F_MortPayM,CH72+CH72*(F_MR/12)),0)</f>
        <v>0</v>
      </c>
      <c r="CV72" s="20" t="n">
        <f aca="false">IF(CI72&gt;PR_BalDone,MIN(F_MortPayM,CI72+CI72*(F_MR/12)),0)</f>
        <v>0</v>
      </c>
      <c r="CW72" s="20" t="n">
        <f aca="false">IF(CJ72&gt;PR_BalDone,MIN(F_MortPayM,CJ72+CJ72*(F_MR/12)),0)</f>
        <v>0</v>
      </c>
      <c r="CX72" s="20" t="n">
        <f aca="false">IF(CK72&gt;PR_BalDone,MIN(F_MortPayM,CK72+CK72*(F_MR/12)),0)</f>
        <v>0</v>
      </c>
      <c r="CY72" s="20" t="n">
        <f aca="false">IF(CL72&gt;PR_BalDone,MIN(F_MortPayM,CL72+CL72*(F_MR/12)),0)</f>
        <v>0</v>
      </c>
      <c r="CZ72" s="20" t="n">
        <f aca="false">IF(CM72&gt;PR_BalDone,MIN(F_MortPayM,CM72+CM72*(F_MR/12)),0)</f>
        <v>0</v>
      </c>
      <c r="DA72" s="20" t="n">
        <f aca="false">IF(CN72&gt;PR_BalDone,MIN(F_MortPayM,CN72+CN72*(F_MR/12)),0)</f>
        <v>0</v>
      </c>
      <c r="DB72" s="20" t="n">
        <f aca="false">IF(CO72&gt;PR_BalDone,MIN(F_MortPayM,CO72+CO72*(F_MR/12)),0)</f>
        <v>0</v>
      </c>
      <c r="DC72" s="20" t="n">
        <f aca="false">IF(CP72&gt;PR_BalDone,MIN(F_MortPayM,CP72+CP72*(F_MR/12)),0)</f>
        <v>0</v>
      </c>
      <c r="DD72" s="20" t="n">
        <f aca="false">IF(CQ72&gt;PR_BalDone,MIN(F_MortPayM,CQ72+CQ72*(F_MR/12)),0)</f>
        <v>0</v>
      </c>
      <c r="DE72" s="20" t="n">
        <f aca="false">MAX(0,CR72)</f>
        <v>0</v>
      </c>
      <c r="DF72" s="20" t="n">
        <f aca="false">SUM(CS72:DD72)</f>
        <v>0</v>
      </c>
      <c r="DG72" s="20" t="n">
        <f aca="false">MAX(0,CF72)</f>
        <v>0</v>
      </c>
    </row>
    <row r="73" customFormat="false" ht="15" hidden="false" customHeight="true" outlineLevel="0" collapsed="false">
      <c r="B73" s="20" t="n">
        <v>65</v>
      </c>
      <c r="C73" s="20" t="n">
        <f aca="false">'Plan cashflow'!J73</f>
        <v>0</v>
      </c>
      <c r="D73" s="20" t="n">
        <f aca="false">IF(C73&gt;PR_BalDone,C73+C73*(F_MR/12)-MIN(F_MortPayM,C73+C73*(F_MR/12)),C73)</f>
        <v>0</v>
      </c>
      <c r="E73" s="20" t="n">
        <f aca="false">IF(D73&gt;PR_BalDone,D73+D73*(F_MR/12)-MIN(F_MortPayM,D73+D73*(F_MR/12)),D73)</f>
        <v>0</v>
      </c>
      <c r="F73" s="20" t="n">
        <f aca="false">IF(E73&gt;PR_BalDone,E73+E73*(F_MR/12)-MIN(F_MortPayM,E73+E73*(F_MR/12)),E73)</f>
        <v>0</v>
      </c>
      <c r="G73" s="20" t="n">
        <f aca="false">IF(F73&gt;PR_BalDone,F73+F73*(F_MR/12)-MIN(F_MortPayM,F73+F73*(F_MR/12)),F73)</f>
        <v>0</v>
      </c>
      <c r="H73" s="20" t="n">
        <f aca="false">IF(G73&gt;PR_BalDone,G73+G73*(F_MR/12)-MIN(F_MortPayM,G73+G73*(F_MR/12)),G73)</f>
        <v>0</v>
      </c>
      <c r="I73" s="20" t="n">
        <f aca="false">IF(H73&gt;PR_BalDone,H73+H73*(F_MR/12)-MIN(F_MortPayM,H73+H73*(F_MR/12)),H73)</f>
        <v>0</v>
      </c>
      <c r="J73" s="20" t="n">
        <f aca="false">IF(I73&gt;PR_BalDone,I73+I73*(F_MR/12)-MIN(F_MortPayM,I73+I73*(F_MR/12)),I73)</f>
        <v>0</v>
      </c>
      <c r="K73" s="20" t="n">
        <f aca="false">IF(J73&gt;PR_BalDone,J73+J73*(F_MR/12)-MIN(F_MortPayM,J73+J73*(F_MR/12)),J73)</f>
        <v>0</v>
      </c>
      <c r="L73" s="20" t="n">
        <f aca="false">IF(K73&gt;PR_BalDone,K73+K73*(F_MR/12)-MIN(F_MortPayM,K73+K73*(F_MR/12)),K73)</f>
        <v>0</v>
      </c>
      <c r="M73" s="20" t="n">
        <f aca="false">IF(L73&gt;PR_BalDone,L73+L73*(F_MR/12)-MIN(F_MortPayM,L73+L73*(F_MR/12)),L73)</f>
        <v>0</v>
      </c>
      <c r="N73" s="20" t="n">
        <f aca="false">IF(M73&gt;PR_BalDone,M73+M73*(F_MR/12)-MIN(F_MortPayM,M73+M73*(F_MR/12)),M73)</f>
        <v>0</v>
      </c>
      <c r="O73" s="20" t="n">
        <f aca="false">IF(N73&gt;PR_BalDone,N73+N73*(F_MR/12)-MIN(F_MortPayM,N73+N73*(F_MR/12)),N73)</f>
        <v>0</v>
      </c>
      <c r="P73" s="20" t="n">
        <f aca="false">IF(C73&gt;PR_BalDone,MIN(F_MortPayM,C73+C73*(F_MR/12)),0)</f>
        <v>0</v>
      </c>
      <c r="Q73" s="20" t="n">
        <f aca="false">IF(D73&gt;PR_BalDone,MIN(F_MortPayM,D73+D73*(F_MR/12)),0)</f>
        <v>0</v>
      </c>
      <c r="R73" s="20" t="n">
        <f aca="false">IF(E73&gt;PR_BalDone,MIN(F_MortPayM,E73+E73*(F_MR/12)),0)</f>
        <v>0</v>
      </c>
      <c r="S73" s="20" t="n">
        <f aca="false">IF(F73&gt;PR_BalDone,MIN(F_MortPayM,F73+F73*(F_MR/12)),0)</f>
        <v>0</v>
      </c>
      <c r="T73" s="20" t="n">
        <f aca="false">IF(G73&gt;PR_BalDone,MIN(F_MortPayM,G73+G73*(F_MR/12)),0)</f>
        <v>0</v>
      </c>
      <c r="U73" s="20" t="n">
        <f aca="false">IF(H73&gt;PR_BalDone,MIN(F_MortPayM,H73+H73*(F_MR/12)),0)</f>
        <v>0</v>
      </c>
      <c r="V73" s="20" t="n">
        <f aca="false">IF(I73&gt;PR_BalDone,MIN(F_MortPayM,I73+I73*(F_MR/12)),0)</f>
        <v>0</v>
      </c>
      <c r="W73" s="20" t="n">
        <f aca="false">IF(J73&gt;PR_BalDone,MIN(F_MortPayM,J73+J73*(F_MR/12)),0)</f>
        <v>0</v>
      </c>
      <c r="X73" s="20" t="n">
        <f aca="false">IF(K73&gt;PR_BalDone,MIN(F_MortPayM,K73+K73*(F_MR/12)),0)</f>
        <v>0</v>
      </c>
      <c r="Y73" s="20" t="n">
        <f aca="false">IF(L73&gt;PR_BalDone,MIN(F_MortPayM,L73+L73*(F_MR/12)),0)</f>
        <v>0</v>
      </c>
      <c r="Z73" s="20" t="n">
        <f aca="false">IF(M73&gt;PR_BalDone,MIN(F_MortPayM,M73+M73*(F_MR/12)),0)</f>
        <v>0</v>
      </c>
      <c r="AA73" s="20" t="n">
        <f aca="false">IF(N73&gt;PR_BalDone,MIN(F_MortPayM,N73+N73*(F_MR/12)),0)</f>
        <v>0</v>
      </c>
      <c r="AB73" s="20" t="n">
        <f aca="false">MAX(0,O73)</f>
        <v>0</v>
      </c>
      <c r="AC73" s="20" t="n">
        <f aca="false">SUM(P73:AA73)</f>
        <v>0</v>
      </c>
      <c r="AD73" s="20" t="n">
        <f aca="false">'Plan cashflow'!M73</f>
        <v>0</v>
      </c>
      <c r="AE73" s="20" t="n">
        <f aca="false">IF(AD73&gt;PR_BalDone,AD73+AD73*(D_iC)-MIN(F_CardPayM,AD73+AD73*(D_iC)),AD73)</f>
        <v>0</v>
      </c>
      <c r="AF73" s="20" t="n">
        <f aca="false">IF(AE73&gt;PR_BalDone,AE73+AE73*(D_iC)-MIN(F_CardPayM,AE73+AE73*(D_iC)),AE73)</f>
        <v>0</v>
      </c>
      <c r="AG73" s="20" t="n">
        <f aca="false">IF(AF73&gt;PR_BalDone,AF73+AF73*(D_iC)-MIN(F_CardPayM,AF73+AF73*(D_iC)),AF73)</f>
        <v>0</v>
      </c>
      <c r="AH73" s="20" t="n">
        <f aca="false">IF(AG73&gt;PR_BalDone,AG73+AG73*(D_iC)-MIN(F_CardPayM,AG73+AG73*(D_iC)),AG73)</f>
        <v>0</v>
      </c>
      <c r="AI73" s="20" t="n">
        <f aca="false">IF(AH73&gt;PR_BalDone,AH73+AH73*(D_iC)-MIN(F_CardPayM,AH73+AH73*(D_iC)),AH73)</f>
        <v>0</v>
      </c>
      <c r="AJ73" s="20" t="n">
        <f aca="false">IF(AI73&gt;PR_BalDone,AI73+AI73*(D_iC)-MIN(F_CardPayM,AI73+AI73*(D_iC)),AI73)</f>
        <v>0</v>
      </c>
      <c r="AK73" s="20" t="n">
        <f aca="false">IF(AJ73&gt;PR_BalDone,AJ73+AJ73*(D_iC)-MIN(F_CardPayM,AJ73+AJ73*(D_iC)),AJ73)</f>
        <v>0</v>
      </c>
      <c r="AL73" s="20" t="n">
        <f aca="false">IF(AK73&gt;PR_BalDone,AK73+AK73*(D_iC)-MIN(F_CardPayM,AK73+AK73*(D_iC)),AK73)</f>
        <v>0</v>
      </c>
      <c r="AM73" s="20" t="n">
        <f aca="false">IF(AL73&gt;PR_BalDone,AL73+AL73*(D_iC)-MIN(F_CardPayM,AL73+AL73*(D_iC)),AL73)</f>
        <v>0</v>
      </c>
      <c r="AN73" s="20" t="n">
        <f aca="false">IF(AM73&gt;PR_BalDone,AM73+AM73*(D_iC)-MIN(F_CardPayM,AM73+AM73*(D_iC)),AM73)</f>
        <v>0</v>
      </c>
      <c r="AO73" s="20" t="n">
        <f aca="false">IF(AN73&gt;PR_BalDone,AN73+AN73*(D_iC)-MIN(F_CardPayM,AN73+AN73*(D_iC)),AN73)</f>
        <v>0</v>
      </c>
      <c r="AP73" s="20" t="n">
        <f aca="false">IF(AO73&gt;PR_BalDone,AO73+AO73*(D_iC)-MIN(F_CardPayM,AO73+AO73*(D_iC)),AO73)</f>
        <v>0</v>
      </c>
      <c r="AQ73" s="20" t="n">
        <f aca="false">IF(AD73&gt;PR_BalDone,MIN(F_CardPayM,AD73+AD73*(D_iC)),0)</f>
        <v>0</v>
      </c>
      <c r="AR73" s="20" t="n">
        <f aca="false">IF(AE73&gt;PR_BalDone,MIN(F_CardPayM,AE73+AE73*(D_iC)),0)</f>
        <v>0</v>
      </c>
      <c r="AS73" s="20" t="n">
        <f aca="false">IF(AF73&gt;PR_BalDone,MIN(F_CardPayM,AF73+AF73*(D_iC)),0)</f>
        <v>0</v>
      </c>
      <c r="AT73" s="20" t="n">
        <f aca="false">IF(AG73&gt;PR_BalDone,MIN(F_CardPayM,AG73+AG73*(D_iC)),0)</f>
        <v>0</v>
      </c>
      <c r="AU73" s="20" t="n">
        <f aca="false">IF(AH73&gt;PR_BalDone,MIN(F_CardPayM,AH73+AH73*(D_iC)),0)</f>
        <v>0</v>
      </c>
      <c r="AV73" s="20" t="n">
        <f aca="false">IF(AI73&gt;PR_BalDone,MIN(F_CardPayM,AI73+AI73*(D_iC)),0)</f>
        <v>0</v>
      </c>
      <c r="AW73" s="20" t="n">
        <f aca="false">IF(AJ73&gt;PR_BalDone,MIN(F_CardPayM,AJ73+AJ73*(D_iC)),0)</f>
        <v>0</v>
      </c>
      <c r="AX73" s="20" t="n">
        <f aca="false">IF(AK73&gt;PR_BalDone,MIN(F_CardPayM,AK73+AK73*(D_iC)),0)</f>
        <v>0</v>
      </c>
      <c r="AY73" s="20" t="n">
        <f aca="false">IF(AL73&gt;PR_BalDone,MIN(F_CardPayM,AL73+AL73*(D_iC)),0)</f>
        <v>0</v>
      </c>
      <c r="AZ73" s="20" t="n">
        <f aca="false">IF(AM73&gt;PR_BalDone,MIN(F_CardPayM,AM73+AM73*(D_iC)),0)</f>
        <v>0</v>
      </c>
      <c r="BA73" s="20" t="n">
        <f aca="false">IF(AN73&gt;PR_BalDone,MIN(F_CardPayM,AN73+AN73*(D_iC)),0)</f>
        <v>0</v>
      </c>
      <c r="BB73" s="20" t="n">
        <f aca="false">IF(AO73&gt;PR_BalDone,MIN(F_CardPayM,AO73+AO73*(D_iC)),0)</f>
        <v>0</v>
      </c>
      <c r="BC73" s="20" t="n">
        <f aca="false">MAX(0,AP73)</f>
        <v>0</v>
      </c>
      <c r="BD73" s="20" t="n">
        <f aca="false">SUM(AQ73:BB73)</f>
        <v>0</v>
      </c>
      <c r="BE73" s="20" t="n">
        <f aca="false">'Plan cashflow'!P73</f>
        <v>0</v>
      </c>
      <c r="BF73" s="20" t="n">
        <f aca="false">IF(BE73&gt;PR_BalDone,BE73+BE73*(D_iL)-MIN(F_LoanPayM,BE73+BE73*(D_iL)),BE73)</f>
        <v>0</v>
      </c>
      <c r="BG73" s="20" t="n">
        <f aca="false">IF(BF73&gt;PR_BalDone,BF73+BF73*(D_iL)-MIN(F_LoanPayM,BF73+BF73*(D_iL)),BF73)</f>
        <v>0</v>
      </c>
      <c r="BH73" s="20" t="n">
        <f aca="false">IF(BG73&gt;PR_BalDone,BG73+BG73*(D_iL)-MIN(F_LoanPayM,BG73+BG73*(D_iL)),BG73)</f>
        <v>0</v>
      </c>
      <c r="BI73" s="20" t="n">
        <f aca="false">IF(BH73&gt;PR_BalDone,BH73+BH73*(D_iL)-MIN(F_LoanPayM,BH73+BH73*(D_iL)),BH73)</f>
        <v>0</v>
      </c>
      <c r="BJ73" s="20" t="n">
        <f aca="false">IF(BI73&gt;PR_BalDone,BI73+BI73*(D_iL)-MIN(F_LoanPayM,BI73+BI73*(D_iL)),BI73)</f>
        <v>0</v>
      </c>
      <c r="BK73" s="20" t="n">
        <f aca="false">IF(BJ73&gt;PR_BalDone,BJ73+BJ73*(D_iL)-MIN(F_LoanPayM,BJ73+BJ73*(D_iL)),BJ73)</f>
        <v>0</v>
      </c>
      <c r="BL73" s="20" t="n">
        <f aca="false">IF(BK73&gt;PR_BalDone,BK73+BK73*(D_iL)-MIN(F_LoanPayM,BK73+BK73*(D_iL)),BK73)</f>
        <v>0</v>
      </c>
      <c r="BM73" s="20" t="n">
        <f aca="false">IF(BL73&gt;PR_BalDone,BL73+BL73*(D_iL)-MIN(F_LoanPayM,BL73+BL73*(D_iL)),BL73)</f>
        <v>0</v>
      </c>
      <c r="BN73" s="20" t="n">
        <f aca="false">IF(BM73&gt;PR_BalDone,BM73+BM73*(D_iL)-MIN(F_LoanPayM,BM73+BM73*(D_iL)),BM73)</f>
        <v>0</v>
      </c>
      <c r="BO73" s="20" t="n">
        <f aca="false">IF(BN73&gt;PR_BalDone,BN73+BN73*(D_iL)-MIN(F_LoanPayM,BN73+BN73*(D_iL)),BN73)</f>
        <v>0</v>
      </c>
      <c r="BP73" s="20" t="n">
        <f aca="false">IF(BO73&gt;PR_BalDone,BO73+BO73*(D_iL)-MIN(F_LoanPayM,BO73+BO73*(D_iL)),BO73)</f>
        <v>0</v>
      </c>
      <c r="BQ73" s="20" t="n">
        <f aca="false">IF(BP73&gt;PR_BalDone,BP73+BP73*(D_iL)-MIN(F_LoanPayM,BP73+BP73*(D_iL)),BP73)</f>
        <v>0</v>
      </c>
      <c r="BR73" s="20" t="n">
        <f aca="false">IF(BE73&gt;PR_BalDone,MIN(F_LoanPayM,BE73+BE73*(D_iL)),0)</f>
        <v>0</v>
      </c>
      <c r="BS73" s="20" t="n">
        <f aca="false">IF(BF73&gt;PR_BalDone,MIN(F_LoanPayM,BF73+BF73*(D_iL)),0)</f>
        <v>0</v>
      </c>
      <c r="BT73" s="20" t="n">
        <f aca="false">IF(BG73&gt;PR_BalDone,MIN(F_LoanPayM,BG73+BG73*(D_iL)),0)</f>
        <v>0</v>
      </c>
      <c r="BU73" s="20" t="n">
        <f aca="false">IF(BH73&gt;PR_BalDone,MIN(F_LoanPayM,BH73+BH73*(D_iL)),0)</f>
        <v>0</v>
      </c>
      <c r="BV73" s="20" t="n">
        <f aca="false">IF(BI73&gt;PR_BalDone,MIN(F_LoanPayM,BI73+BI73*(D_iL)),0)</f>
        <v>0</v>
      </c>
      <c r="BW73" s="20" t="n">
        <f aca="false">IF(BJ73&gt;PR_BalDone,MIN(F_LoanPayM,BJ73+BJ73*(D_iL)),0)</f>
        <v>0</v>
      </c>
      <c r="BX73" s="20" t="n">
        <f aca="false">IF(BK73&gt;PR_BalDone,MIN(F_LoanPayM,BK73+BK73*(D_iL)),0)</f>
        <v>0</v>
      </c>
      <c r="BY73" s="20" t="n">
        <f aca="false">IF(BL73&gt;PR_BalDone,MIN(F_LoanPayM,BL73+BL73*(D_iL)),0)</f>
        <v>0</v>
      </c>
      <c r="BZ73" s="20" t="n">
        <f aca="false">IF(BM73&gt;PR_BalDone,MIN(F_LoanPayM,BM73+BM73*(D_iL)),0)</f>
        <v>0</v>
      </c>
      <c r="CA73" s="20" t="n">
        <f aca="false">IF(BN73&gt;PR_BalDone,MIN(F_LoanPayM,BN73+BN73*(D_iL)),0)</f>
        <v>0</v>
      </c>
      <c r="CB73" s="20" t="n">
        <f aca="false">IF(BO73&gt;PR_BalDone,MIN(F_LoanPayM,BO73+BO73*(D_iL)),0)</f>
        <v>0</v>
      </c>
      <c r="CC73" s="20" t="n">
        <f aca="false">IF(BP73&gt;PR_BalDone,MIN(F_LoanPayM,BP73+BP73*(D_iL)),0)</f>
        <v>0</v>
      </c>
      <c r="CD73" s="20" t="n">
        <f aca="false">MAX(0,BQ73)</f>
        <v>0</v>
      </c>
      <c r="CE73" s="20" t="n">
        <f aca="false">SUM(BR73:CC73)</f>
        <v>0</v>
      </c>
      <c r="CF73" s="20" t="n">
        <f aca="false">IF(CF72&gt;1,DE72,CF72)</f>
        <v>0</v>
      </c>
      <c r="CG73" s="20" t="n">
        <f aca="false">IF(CF73&gt;PR_BalDone,CF73+CF73*(F_MR/12)-MIN(F_MortPayM,CF73+CF73*(F_MR/12)),CF73)</f>
        <v>0</v>
      </c>
      <c r="CH73" s="20" t="n">
        <f aca="false">IF(CG73&gt;PR_BalDone,CG73+CG73*(F_MR/12)-MIN(F_MortPayM,CG73+CG73*(F_MR/12)),CG73)</f>
        <v>0</v>
      </c>
      <c r="CI73" s="20" t="n">
        <f aca="false">IF(CH73&gt;PR_BalDone,CH73+CH73*(F_MR/12)-MIN(F_MortPayM,CH73+CH73*(F_MR/12)),CH73)</f>
        <v>0</v>
      </c>
      <c r="CJ73" s="20" t="n">
        <f aca="false">IF(CI73&gt;PR_BalDone,CI73+CI73*(F_MR/12)-MIN(F_MortPayM,CI73+CI73*(F_MR/12)),CI73)</f>
        <v>0</v>
      </c>
      <c r="CK73" s="20" t="n">
        <f aca="false">IF(CJ73&gt;PR_BalDone,CJ73+CJ73*(F_MR/12)-MIN(F_MortPayM,CJ73+CJ73*(F_MR/12)),CJ73)</f>
        <v>0</v>
      </c>
      <c r="CL73" s="20" t="n">
        <f aca="false">IF(CK73&gt;PR_BalDone,CK73+CK73*(F_MR/12)-MIN(F_MortPayM,CK73+CK73*(F_MR/12)),CK73)</f>
        <v>0</v>
      </c>
      <c r="CM73" s="20" t="n">
        <f aca="false">IF(CL73&gt;PR_BalDone,CL73+CL73*(F_MR/12)-MIN(F_MortPayM,CL73+CL73*(F_MR/12)),CL73)</f>
        <v>0</v>
      </c>
      <c r="CN73" s="20" t="n">
        <f aca="false">IF(CM73&gt;PR_BalDone,CM73+CM73*(F_MR/12)-MIN(F_MortPayM,CM73+CM73*(F_MR/12)),CM73)</f>
        <v>0</v>
      </c>
      <c r="CO73" s="20" t="n">
        <f aca="false">IF(CN73&gt;PR_BalDone,CN73+CN73*(F_MR/12)-MIN(F_MortPayM,CN73+CN73*(F_MR/12)),CN73)</f>
        <v>0</v>
      </c>
      <c r="CP73" s="20" t="n">
        <f aca="false">IF(CO73&gt;PR_BalDone,CO73+CO73*(F_MR/12)-MIN(F_MortPayM,CO73+CO73*(F_MR/12)),CO73)</f>
        <v>0</v>
      </c>
      <c r="CQ73" s="20" t="n">
        <f aca="false">IF(CP73&gt;PR_BalDone,CP73+CP73*(F_MR/12)-MIN(F_MortPayM,CP73+CP73*(F_MR/12)),CP73)</f>
        <v>0</v>
      </c>
      <c r="CR73" s="20" t="n">
        <f aca="false">IF(CQ73&gt;PR_BalDone,CQ73+CQ73*(F_MR/12)-MIN(F_MortPayM,CQ73+CQ73*(F_MR/12)),CQ73)</f>
        <v>0</v>
      </c>
      <c r="CS73" s="20" t="n">
        <f aca="false">IF(CF73&gt;PR_BalDone,MIN(F_MortPayM,CF73+CF73*(F_MR/12)),0)</f>
        <v>0</v>
      </c>
      <c r="CT73" s="20" t="n">
        <f aca="false">IF(CG73&gt;PR_BalDone,MIN(F_MortPayM,CG73+CG73*(F_MR/12)),0)</f>
        <v>0</v>
      </c>
      <c r="CU73" s="20" t="n">
        <f aca="false">IF(CH73&gt;PR_BalDone,MIN(F_MortPayM,CH73+CH73*(F_MR/12)),0)</f>
        <v>0</v>
      </c>
      <c r="CV73" s="20" t="n">
        <f aca="false">IF(CI73&gt;PR_BalDone,MIN(F_MortPayM,CI73+CI73*(F_MR/12)),0)</f>
        <v>0</v>
      </c>
      <c r="CW73" s="20" t="n">
        <f aca="false">IF(CJ73&gt;PR_BalDone,MIN(F_MortPayM,CJ73+CJ73*(F_MR/12)),0)</f>
        <v>0</v>
      </c>
      <c r="CX73" s="20" t="n">
        <f aca="false">IF(CK73&gt;PR_BalDone,MIN(F_MortPayM,CK73+CK73*(F_MR/12)),0)</f>
        <v>0</v>
      </c>
      <c r="CY73" s="20" t="n">
        <f aca="false">IF(CL73&gt;PR_BalDone,MIN(F_MortPayM,CL73+CL73*(F_MR/12)),0)</f>
        <v>0</v>
      </c>
      <c r="CZ73" s="20" t="n">
        <f aca="false">IF(CM73&gt;PR_BalDone,MIN(F_MortPayM,CM73+CM73*(F_MR/12)),0)</f>
        <v>0</v>
      </c>
      <c r="DA73" s="20" t="n">
        <f aca="false">IF(CN73&gt;PR_BalDone,MIN(F_MortPayM,CN73+CN73*(F_MR/12)),0)</f>
        <v>0</v>
      </c>
      <c r="DB73" s="20" t="n">
        <f aca="false">IF(CO73&gt;PR_BalDone,MIN(F_MortPayM,CO73+CO73*(F_MR/12)),0)</f>
        <v>0</v>
      </c>
      <c r="DC73" s="20" t="n">
        <f aca="false">IF(CP73&gt;PR_BalDone,MIN(F_MortPayM,CP73+CP73*(F_MR/12)),0)</f>
        <v>0</v>
      </c>
      <c r="DD73" s="20" t="n">
        <f aca="false">IF(CQ73&gt;PR_BalDone,MIN(F_MortPayM,CQ73+CQ73*(F_MR/12)),0)</f>
        <v>0</v>
      </c>
      <c r="DE73" s="20" t="n">
        <f aca="false">MAX(0,CR73)</f>
        <v>0</v>
      </c>
      <c r="DF73" s="20" t="n">
        <f aca="false">SUM(CS73:DD73)</f>
        <v>0</v>
      </c>
      <c r="DG73" s="20" t="n">
        <f aca="false">MAX(0,CF73)</f>
        <v>0</v>
      </c>
    </row>
    <row r="74" customFormat="false" ht="15" hidden="false" customHeight="true" outlineLevel="0" collapsed="false">
      <c r="B74" s="20" t="n">
        <v>66</v>
      </c>
      <c r="C74" s="20" t="n">
        <f aca="false">'Plan cashflow'!J74</f>
        <v>0</v>
      </c>
      <c r="D74" s="20" t="n">
        <f aca="false">IF(C74&gt;PR_BalDone,C74+C74*(F_MR/12)-MIN(F_MortPayM,C74+C74*(F_MR/12)),C74)</f>
        <v>0</v>
      </c>
      <c r="E74" s="20" t="n">
        <f aca="false">IF(D74&gt;PR_BalDone,D74+D74*(F_MR/12)-MIN(F_MortPayM,D74+D74*(F_MR/12)),D74)</f>
        <v>0</v>
      </c>
      <c r="F74" s="20" t="n">
        <f aca="false">IF(E74&gt;PR_BalDone,E74+E74*(F_MR/12)-MIN(F_MortPayM,E74+E74*(F_MR/12)),E74)</f>
        <v>0</v>
      </c>
      <c r="G74" s="20" t="n">
        <f aca="false">IF(F74&gt;PR_BalDone,F74+F74*(F_MR/12)-MIN(F_MortPayM,F74+F74*(F_MR/12)),F74)</f>
        <v>0</v>
      </c>
      <c r="H74" s="20" t="n">
        <f aca="false">IF(G74&gt;PR_BalDone,G74+G74*(F_MR/12)-MIN(F_MortPayM,G74+G74*(F_MR/12)),G74)</f>
        <v>0</v>
      </c>
      <c r="I74" s="20" t="n">
        <f aca="false">IF(H74&gt;PR_BalDone,H74+H74*(F_MR/12)-MIN(F_MortPayM,H74+H74*(F_MR/12)),H74)</f>
        <v>0</v>
      </c>
      <c r="J74" s="20" t="n">
        <f aca="false">IF(I74&gt;PR_BalDone,I74+I74*(F_MR/12)-MIN(F_MortPayM,I74+I74*(F_MR/12)),I74)</f>
        <v>0</v>
      </c>
      <c r="K74" s="20" t="n">
        <f aca="false">IF(J74&gt;PR_BalDone,J74+J74*(F_MR/12)-MIN(F_MortPayM,J74+J74*(F_MR/12)),J74)</f>
        <v>0</v>
      </c>
      <c r="L74" s="20" t="n">
        <f aca="false">IF(K74&gt;PR_BalDone,K74+K74*(F_MR/12)-MIN(F_MortPayM,K74+K74*(F_MR/12)),K74)</f>
        <v>0</v>
      </c>
      <c r="M74" s="20" t="n">
        <f aca="false">IF(L74&gt;PR_BalDone,L74+L74*(F_MR/12)-MIN(F_MortPayM,L74+L74*(F_MR/12)),L74)</f>
        <v>0</v>
      </c>
      <c r="N74" s="20" t="n">
        <f aca="false">IF(M74&gt;PR_BalDone,M74+M74*(F_MR/12)-MIN(F_MortPayM,M74+M74*(F_MR/12)),M74)</f>
        <v>0</v>
      </c>
      <c r="O74" s="20" t="n">
        <f aca="false">IF(N74&gt;PR_BalDone,N74+N74*(F_MR/12)-MIN(F_MortPayM,N74+N74*(F_MR/12)),N74)</f>
        <v>0</v>
      </c>
      <c r="P74" s="20" t="n">
        <f aca="false">IF(C74&gt;PR_BalDone,MIN(F_MortPayM,C74+C74*(F_MR/12)),0)</f>
        <v>0</v>
      </c>
      <c r="Q74" s="20" t="n">
        <f aca="false">IF(D74&gt;PR_BalDone,MIN(F_MortPayM,D74+D74*(F_MR/12)),0)</f>
        <v>0</v>
      </c>
      <c r="R74" s="20" t="n">
        <f aca="false">IF(E74&gt;PR_BalDone,MIN(F_MortPayM,E74+E74*(F_MR/12)),0)</f>
        <v>0</v>
      </c>
      <c r="S74" s="20" t="n">
        <f aca="false">IF(F74&gt;PR_BalDone,MIN(F_MortPayM,F74+F74*(F_MR/12)),0)</f>
        <v>0</v>
      </c>
      <c r="T74" s="20" t="n">
        <f aca="false">IF(G74&gt;PR_BalDone,MIN(F_MortPayM,G74+G74*(F_MR/12)),0)</f>
        <v>0</v>
      </c>
      <c r="U74" s="20" t="n">
        <f aca="false">IF(H74&gt;PR_BalDone,MIN(F_MortPayM,H74+H74*(F_MR/12)),0)</f>
        <v>0</v>
      </c>
      <c r="V74" s="20" t="n">
        <f aca="false">IF(I74&gt;PR_BalDone,MIN(F_MortPayM,I74+I74*(F_MR/12)),0)</f>
        <v>0</v>
      </c>
      <c r="W74" s="20" t="n">
        <f aca="false">IF(J74&gt;PR_BalDone,MIN(F_MortPayM,J74+J74*(F_MR/12)),0)</f>
        <v>0</v>
      </c>
      <c r="X74" s="20" t="n">
        <f aca="false">IF(K74&gt;PR_BalDone,MIN(F_MortPayM,K74+K74*(F_MR/12)),0)</f>
        <v>0</v>
      </c>
      <c r="Y74" s="20" t="n">
        <f aca="false">IF(L74&gt;PR_BalDone,MIN(F_MortPayM,L74+L74*(F_MR/12)),0)</f>
        <v>0</v>
      </c>
      <c r="Z74" s="20" t="n">
        <f aca="false">IF(M74&gt;PR_BalDone,MIN(F_MortPayM,M74+M74*(F_MR/12)),0)</f>
        <v>0</v>
      </c>
      <c r="AA74" s="20" t="n">
        <f aca="false">IF(N74&gt;PR_BalDone,MIN(F_MortPayM,N74+N74*(F_MR/12)),0)</f>
        <v>0</v>
      </c>
      <c r="AB74" s="20" t="n">
        <f aca="false">MAX(0,O74)</f>
        <v>0</v>
      </c>
      <c r="AC74" s="20" t="n">
        <f aca="false">SUM(P74:AA74)</f>
        <v>0</v>
      </c>
      <c r="AD74" s="20" t="n">
        <f aca="false">'Plan cashflow'!M74</f>
        <v>0</v>
      </c>
      <c r="AE74" s="20" t="n">
        <f aca="false">IF(AD74&gt;PR_BalDone,AD74+AD74*(D_iC)-MIN(F_CardPayM,AD74+AD74*(D_iC)),AD74)</f>
        <v>0</v>
      </c>
      <c r="AF74" s="20" t="n">
        <f aca="false">IF(AE74&gt;PR_BalDone,AE74+AE74*(D_iC)-MIN(F_CardPayM,AE74+AE74*(D_iC)),AE74)</f>
        <v>0</v>
      </c>
      <c r="AG74" s="20" t="n">
        <f aca="false">IF(AF74&gt;PR_BalDone,AF74+AF74*(D_iC)-MIN(F_CardPayM,AF74+AF74*(D_iC)),AF74)</f>
        <v>0</v>
      </c>
      <c r="AH74" s="20" t="n">
        <f aca="false">IF(AG74&gt;PR_BalDone,AG74+AG74*(D_iC)-MIN(F_CardPayM,AG74+AG74*(D_iC)),AG74)</f>
        <v>0</v>
      </c>
      <c r="AI74" s="20" t="n">
        <f aca="false">IF(AH74&gt;PR_BalDone,AH74+AH74*(D_iC)-MIN(F_CardPayM,AH74+AH74*(D_iC)),AH74)</f>
        <v>0</v>
      </c>
      <c r="AJ74" s="20" t="n">
        <f aca="false">IF(AI74&gt;PR_BalDone,AI74+AI74*(D_iC)-MIN(F_CardPayM,AI74+AI74*(D_iC)),AI74)</f>
        <v>0</v>
      </c>
      <c r="AK74" s="20" t="n">
        <f aca="false">IF(AJ74&gt;PR_BalDone,AJ74+AJ74*(D_iC)-MIN(F_CardPayM,AJ74+AJ74*(D_iC)),AJ74)</f>
        <v>0</v>
      </c>
      <c r="AL74" s="20" t="n">
        <f aca="false">IF(AK74&gt;PR_BalDone,AK74+AK74*(D_iC)-MIN(F_CardPayM,AK74+AK74*(D_iC)),AK74)</f>
        <v>0</v>
      </c>
      <c r="AM74" s="20" t="n">
        <f aca="false">IF(AL74&gt;PR_BalDone,AL74+AL74*(D_iC)-MIN(F_CardPayM,AL74+AL74*(D_iC)),AL74)</f>
        <v>0</v>
      </c>
      <c r="AN74" s="20" t="n">
        <f aca="false">IF(AM74&gt;PR_BalDone,AM74+AM74*(D_iC)-MIN(F_CardPayM,AM74+AM74*(D_iC)),AM74)</f>
        <v>0</v>
      </c>
      <c r="AO74" s="20" t="n">
        <f aca="false">IF(AN74&gt;PR_BalDone,AN74+AN74*(D_iC)-MIN(F_CardPayM,AN74+AN74*(D_iC)),AN74)</f>
        <v>0</v>
      </c>
      <c r="AP74" s="20" t="n">
        <f aca="false">IF(AO74&gt;PR_BalDone,AO74+AO74*(D_iC)-MIN(F_CardPayM,AO74+AO74*(D_iC)),AO74)</f>
        <v>0</v>
      </c>
      <c r="AQ74" s="20" t="n">
        <f aca="false">IF(AD74&gt;PR_BalDone,MIN(F_CardPayM,AD74+AD74*(D_iC)),0)</f>
        <v>0</v>
      </c>
      <c r="AR74" s="20" t="n">
        <f aca="false">IF(AE74&gt;PR_BalDone,MIN(F_CardPayM,AE74+AE74*(D_iC)),0)</f>
        <v>0</v>
      </c>
      <c r="AS74" s="20" t="n">
        <f aca="false">IF(AF74&gt;PR_BalDone,MIN(F_CardPayM,AF74+AF74*(D_iC)),0)</f>
        <v>0</v>
      </c>
      <c r="AT74" s="20" t="n">
        <f aca="false">IF(AG74&gt;PR_BalDone,MIN(F_CardPayM,AG74+AG74*(D_iC)),0)</f>
        <v>0</v>
      </c>
      <c r="AU74" s="20" t="n">
        <f aca="false">IF(AH74&gt;PR_BalDone,MIN(F_CardPayM,AH74+AH74*(D_iC)),0)</f>
        <v>0</v>
      </c>
      <c r="AV74" s="20" t="n">
        <f aca="false">IF(AI74&gt;PR_BalDone,MIN(F_CardPayM,AI74+AI74*(D_iC)),0)</f>
        <v>0</v>
      </c>
      <c r="AW74" s="20" t="n">
        <f aca="false">IF(AJ74&gt;PR_BalDone,MIN(F_CardPayM,AJ74+AJ74*(D_iC)),0)</f>
        <v>0</v>
      </c>
      <c r="AX74" s="20" t="n">
        <f aca="false">IF(AK74&gt;PR_BalDone,MIN(F_CardPayM,AK74+AK74*(D_iC)),0)</f>
        <v>0</v>
      </c>
      <c r="AY74" s="20" t="n">
        <f aca="false">IF(AL74&gt;PR_BalDone,MIN(F_CardPayM,AL74+AL74*(D_iC)),0)</f>
        <v>0</v>
      </c>
      <c r="AZ74" s="20" t="n">
        <f aca="false">IF(AM74&gt;PR_BalDone,MIN(F_CardPayM,AM74+AM74*(D_iC)),0)</f>
        <v>0</v>
      </c>
      <c r="BA74" s="20" t="n">
        <f aca="false">IF(AN74&gt;PR_BalDone,MIN(F_CardPayM,AN74+AN74*(D_iC)),0)</f>
        <v>0</v>
      </c>
      <c r="BB74" s="20" t="n">
        <f aca="false">IF(AO74&gt;PR_BalDone,MIN(F_CardPayM,AO74+AO74*(D_iC)),0)</f>
        <v>0</v>
      </c>
      <c r="BC74" s="20" t="n">
        <f aca="false">MAX(0,AP74)</f>
        <v>0</v>
      </c>
      <c r="BD74" s="20" t="n">
        <f aca="false">SUM(AQ74:BB74)</f>
        <v>0</v>
      </c>
      <c r="BE74" s="20" t="n">
        <f aca="false">'Plan cashflow'!P74</f>
        <v>0</v>
      </c>
      <c r="BF74" s="20" t="n">
        <f aca="false">IF(BE74&gt;PR_BalDone,BE74+BE74*(D_iL)-MIN(F_LoanPayM,BE74+BE74*(D_iL)),BE74)</f>
        <v>0</v>
      </c>
      <c r="BG74" s="20" t="n">
        <f aca="false">IF(BF74&gt;PR_BalDone,BF74+BF74*(D_iL)-MIN(F_LoanPayM,BF74+BF74*(D_iL)),BF74)</f>
        <v>0</v>
      </c>
      <c r="BH74" s="20" t="n">
        <f aca="false">IF(BG74&gt;PR_BalDone,BG74+BG74*(D_iL)-MIN(F_LoanPayM,BG74+BG74*(D_iL)),BG74)</f>
        <v>0</v>
      </c>
      <c r="BI74" s="20" t="n">
        <f aca="false">IF(BH74&gt;PR_BalDone,BH74+BH74*(D_iL)-MIN(F_LoanPayM,BH74+BH74*(D_iL)),BH74)</f>
        <v>0</v>
      </c>
      <c r="BJ74" s="20" t="n">
        <f aca="false">IF(BI74&gt;PR_BalDone,BI74+BI74*(D_iL)-MIN(F_LoanPayM,BI74+BI74*(D_iL)),BI74)</f>
        <v>0</v>
      </c>
      <c r="BK74" s="20" t="n">
        <f aca="false">IF(BJ74&gt;PR_BalDone,BJ74+BJ74*(D_iL)-MIN(F_LoanPayM,BJ74+BJ74*(D_iL)),BJ74)</f>
        <v>0</v>
      </c>
      <c r="BL74" s="20" t="n">
        <f aca="false">IF(BK74&gt;PR_BalDone,BK74+BK74*(D_iL)-MIN(F_LoanPayM,BK74+BK74*(D_iL)),BK74)</f>
        <v>0</v>
      </c>
      <c r="BM74" s="20" t="n">
        <f aca="false">IF(BL74&gt;PR_BalDone,BL74+BL74*(D_iL)-MIN(F_LoanPayM,BL74+BL74*(D_iL)),BL74)</f>
        <v>0</v>
      </c>
      <c r="BN74" s="20" t="n">
        <f aca="false">IF(BM74&gt;PR_BalDone,BM74+BM74*(D_iL)-MIN(F_LoanPayM,BM74+BM74*(D_iL)),BM74)</f>
        <v>0</v>
      </c>
      <c r="BO74" s="20" t="n">
        <f aca="false">IF(BN74&gt;PR_BalDone,BN74+BN74*(D_iL)-MIN(F_LoanPayM,BN74+BN74*(D_iL)),BN74)</f>
        <v>0</v>
      </c>
      <c r="BP74" s="20" t="n">
        <f aca="false">IF(BO74&gt;PR_BalDone,BO74+BO74*(D_iL)-MIN(F_LoanPayM,BO74+BO74*(D_iL)),BO74)</f>
        <v>0</v>
      </c>
      <c r="BQ74" s="20" t="n">
        <f aca="false">IF(BP74&gt;PR_BalDone,BP74+BP74*(D_iL)-MIN(F_LoanPayM,BP74+BP74*(D_iL)),BP74)</f>
        <v>0</v>
      </c>
      <c r="BR74" s="20" t="n">
        <f aca="false">IF(BE74&gt;PR_BalDone,MIN(F_LoanPayM,BE74+BE74*(D_iL)),0)</f>
        <v>0</v>
      </c>
      <c r="BS74" s="20" t="n">
        <f aca="false">IF(BF74&gt;PR_BalDone,MIN(F_LoanPayM,BF74+BF74*(D_iL)),0)</f>
        <v>0</v>
      </c>
      <c r="BT74" s="20" t="n">
        <f aca="false">IF(BG74&gt;PR_BalDone,MIN(F_LoanPayM,BG74+BG74*(D_iL)),0)</f>
        <v>0</v>
      </c>
      <c r="BU74" s="20" t="n">
        <f aca="false">IF(BH74&gt;PR_BalDone,MIN(F_LoanPayM,BH74+BH74*(D_iL)),0)</f>
        <v>0</v>
      </c>
      <c r="BV74" s="20" t="n">
        <f aca="false">IF(BI74&gt;PR_BalDone,MIN(F_LoanPayM,BI74+BI74*(D_iL)),0)</f>
        <v>0</v>
      </c>
      <c r="BW74" s="20" t="n">
        <f aca="false">IF(BJ74&gt;PR_BalDone,MIN(F_LoanPayM,BJ74+BJ74*(D_iL)),0)</f>
        <v>0</v>
      </c>
      <c r="BX74" s="20" t="n">
        <f aca="false">IF(BK74&gt;PR_BalDone,MIN(F_LoanPayM,BK74+BK74*(D_iL)),0)</f>
        <v>0</v>
      </c>
      <c r="BY74" s="20" t="n">
        <f aca="false">IF(BL74&gt;PR_BalDone,MIN(F_LoanPayM,BL74+BL74*(D_iL)),0)</f>
        <v>0</v>
      </c>
      <c r="BZ74" s="20" t="n">
        <f aca="false">IF(BM74&gt;PR_BalDone,MIN(F_LoanPayM,BM74+BM74*(D_iL)),0)</f>
        <v>0</v>
      </c>
      <c r="CA74" s="20" t="n">
        <f aca="false">IF(BN74&gt;PR_BalDone,MIN(F_LoanPayM,BN74+BN74*(D_iL)),0)</f>
        <v>0</v>
      </c>
      <c r="CB74" s="20" t="n">
        <f aca="false">IF(BO74&gt;PR_BalDone,MIN(F_LoanPayM,BO74+BO74*(D_iL)),0)</f>
        <v>0</v>
      </c>
      <c r="CC74" s="20" t="n">
        <f aca="false">IF(BP74&gt;PR_BalDone,MIN(F_LoanPayM,BP74+BP74*(D_iL)),0)</f>
        <v>0</v>
      </c>
      <c r="CD74" s="20" t="n">
        <f aca="false">MAX(0,BQ74)</f>
        <v>0</v>
      </c>
      <c r="CE74" s="20" t="n">
        <f aca="false">SUM(BR74:CC74)</f>
        <v>0</v>
      </c>
      <c r="CF74" s="20" t="n">
        <f aca="false">IF(CF73&gt;1,DE73,CF73)</f>
        <v>0</v>
      </c>
      <c r="CG74" s="20" t="n">
        <f aca="false">IF(CF74&gt;PR_BalDone,CF74+CF74*(F_MR/12)-MIN(F_MortPayM,CF74+CF74*(F_MR/12)),CF74)</f>
        <v>0</v>
      </c>
      <c r="CH74" s="20" t="n">
        <f aca="false">IF(CG74&gt;PR_BalDone,CG74+CG74*(F_MR/12)-MIN(F_MortPayM,CG74+CG74*(F_MR/12)),CG74)</f>
        <v>0</v>
      </c>
      <c r="CI74" s="20" t="n">
        <f aca="false">IF(CH74&gt;PR_BalDone,CH74+CH74*(F_MR/12)-MIN(F_MortPayM,CH74+CH74*(F_MR/12)),CH74)</f>
        <v>0</v>
      </c>
      <c r="CJ74" s="20" t="n">
        <f aca="false">IF(CI74&gt;PR_BalDone,CI74+CI74*(F_MR/12)-MIN(F_MortPayM,CI74+CI74*(F_MR/12)),CI74)</f>
        <v>0</v>
      </c>
      <c r="CK74" s="20" t="n">
        <f aca="false">IF(CJ74&gt;PR_BalDone,CJ74+CJ74*(F_MR/12)-MIN(F_MortPayM,CJ74+CJ74*(F_MR/12)),CJ74)</f>
        <v>0</v>
      </c>
      <c r="CL74" s="20" t="n">
        <f aca="false">IF(CK74&gt;PR_BalDone,CK74+CK74*(F_MR/12)-MIN(F_MortPayM,CK74+CK74*(F_MR/12)),CK74)</f>
        <v>0</v>
      </c>
      <c r="CM74" s="20" t="n">
        <f aca="false">IF(CL74&gt;PR_BalDone,CL74+CL74*(F_MR/12)-MIN(F_MortPayM,CL74+CL74*(F_MR/12)),CL74)</f>
        <v>0</v>
      </c>
      <c r="CN74" s="20" t="n">
        <f aca="false">IF(CM74&gt;PR_BalDone,CM74+CM74*(F_MR/12)-MIN(F_MortPayM,CM74+CM74*(F_MR/12)),CM74)</f>
        <v>0</v>
      </c>
      <c r="CO74" s="20" t="n">
        <f aca="false">IF(CN74&gt;PR_BalDone,CN74+CN74*(F_MR/12)-MIN(F_MortPayM,CN74+CN74*(F_MR/12)),CN74)</f>
        <v>0</v>
      </c>
      <c r="CP74" s="20" t="n">
        <f aca="false">IF(CO74&gt;PR_BalDone,CO74+CO74*(F_MR/12)-MIN(F_MortPayM,CO74+CO74*(F_MR/12)),CO74)</f>
        <v>0</v>
      </c>
      <c r="CQ74" s="20" t="n">
        <f aca="false">IF(CP74&gt;PR_BalDone,CP74+CP74*(F_MR/12)-MIN(F_MortPayM,CP74+CP74*(F_MR/12)),CP74)</f>
        <v>0</v>
      </c>
      <c r="CR74" s="20" t="n">
        <f aca="false">IF(CQ74&gt;PR_BalDone,CQ74+CQ74*(F_MR/12)-MIN(F_MortPayM,CQ74+CQ74*(F_MR/12)),CQ74)</f>
        <v>0</v>
      </c>
      <c r="CS74" s="20" t="n">
        <f aca="false">IF(CF74&gt;PR_BalDone,MIN(F_MortPayM,CF74+CF74*(F_MR/12)),0)</f>
        <v>0</v>
      </c>
      <c r="CT74" s="20" t="n">
        <f aca="false">IF(CG74&gt;PR_BalDone,MIN(F_MortPayM,CG74+CG74*(F_MR/12)),0)</f>
        <v>0</v>
      </c>
      <c r="CU74" s="20" t="n">
        <f aca="false">IF(CH74&gt;PR_BalDone,MIN(F_MortPayM,CH74+CH74*(F_MR/12)),0)</f>
        <v>0</v>
      </c>
      <c r="CV74" s="20" t="n">
        <f aca="false">IF(CI74&gt;PR_BalDone,MIN(F_MortPayM,CI74+CI74*(F_MR/12)),0)</f>
        <v>0</v>
      </c>
      <c r="CW74" s="20" t="n">
        <f aca="false">IF(CJ74&gt;PR_BalDone,MIN(F_MortPayM,CJ74+CJ74*(F_MR/12)),0)</f>
        <v>0</v>
      </c>
      <c r="CX74" s="20" t="n">
        <f aca="false">IF(CK74&gt;PR_BalDone,MIN(F_MortPayM,CK74+CK74*(F_MR/12)),0)</f>
        <v>0</v>
      </c>
      <c r="CY74" s="20" t="n">
        <f aca="false">IF(CL74&gt;PR_BalDone,MIN(F_MortPayM,CL74+CL74*(F_MR/12)),0)</f>
        <v>0</v>
      </c>
      <c r="CZ74" s="20" t="n">
        <f aca="false">IF(CM74&gt;PR_BalDone,MIN(F_MortPayM,CM74+CM74*(F_MR/12)),0)</f>
        <v>0</v>
      </c>
      <c r="DA74" s="20" t="n">
        <f aca="false">IF(CN74&gt;PR_BalDone,MIN(F_MortPayM,CN74+CN74*(F_MR/12)),0)</f>
        <v>0</v>
      </c>
      <c r="DB74" s="20" t="n">
        <f aca="false">IF(CO74&gt;PR_BalDone,MIN(F_MortPayM,CO74+CO74*(F_MR/12)),0)</f>
        <v>0</v>
      </c>
      <c r="DC74" s="20" t="n">
        <f aca="false">IF(CP74&gt;PR_BalDone,MIN(F_MortPayM,CP74+CP74*(F_MR/12)),0)</f>
        <v>0</v>
      </c>
      <c r="DD74" s="20" t="n">
        <f aca="false">IF(CQ74&gt;PR_BalDone,MIN(F_MortPayM,CQ74+CQ74*(F_MR/12)),0)</f>
        <v>0</v>
      </c>
      <c r="DE74" s="20" t="n">
        <f aca="false">MAX(0,CR74)</f>
        <v>0</v>
      </c>
      <c r="DF74" s="20" t="n">
        <f aca="false">SUM(CS74:DD74)</f>
        <v>0</v>
      </c>
      <c r="DG74" s="20" t="n">
        <f aca="false">MAX(0,CF74)</f>
        <v>0</v>
      </c>
    </row>
    <row r="75" customFormat="false" ht="15" hidden="false" customHeight="true" outlineLevel="0" collapsed="false">
      <c r="B75" s="20" t="n">
        <v>67</v>
      </c>
      <c r="C75" s="20" t="n">
        <f aca="false">'Plan cashflow'!J75</f>
        <v>0</v>
      </c>
      <c r="D75" s="20" t="n">
        <f aca="false">IF(C75&gt;PR_BalDone,C75+C75*(F_MR/12)-MIN(F_MortPayM,C75+C75*(F_MR/12)),C75)</f>
        <v>0</v>
      </c>
      <c r="E75" s="20" t="n">
        <f aca="false">IF(D75&gt;PR_BalDone,D75+D75*(F_MR/12)-MIN(F_MortPayM,D75+D75*(F_MR/12)),D75)</f>
        <v>0</v>
      </c>
      <c r="F75" s="20" t="n">
        <f aca="false">IF(E75&gt;PR_BalDone,E75+E75*(F_MR/12)-MIN(F_MortPayM,E75+E75*(F_MR/12)),E75)</f>
        <v>0</v>
      </c>
      <c r="G75" s="20" t="n">
        <f aca="false">IF(F75&gt;PR_BalDone,F75+F75*(F_MR/12)-MIN(F_MortPayM,F75+F75*(F_MR/12)),F75)</f>
        <v>0</v>
      </c>
      <c r="H75" s="20" t="n">
        <f aca="false">IF(G75&gt;PR_BalDone,G75+G75*(F_MR/12)-MIN(F_MortPayM,G75+G75*(F_MR/12)),G75)</f>
        <v>0</v>
      </c>
      <c r="I75" s="20" t="n">
        <f aca="false">IF(H75&gt;PR_BalDone,H75+H75*(F_MR/12)-MIN(F_MortPayM,H75+H75*(F_MR/12)),H75)</f>
        <v>0</v>
      </c>
      <c r="J75" s="20" t="n">
        <f aca="false">IF(I75&gt;PR_BalDone,I75+I75*(F_MR/12)-MIN(F_MortPayM,I75+I75*(F_MR/12)),I75)</f>
        <v>0</v>
      </c>
      <c r="K75" s="20" t="n">
        <f aca="false">IF(J75&gt;PR_BalDone,J75+J75*(F_MR/12)-MIN(F_MortPayM,J75+J75*(F_MR/12)),J75)</f>
        <v>0</v>
      </c>
      <c r="L75" s="20" t="n">
        <f aca="false">IF(K75&gt;PR_BalDone,K75+K75*(F_MR/12)-MIN(F_MortPayM,K75+K75*(F_MR/12)),K75)</f>
        <v>0</v>
      </c>
      <c r="M75" s="20" t="n">
        <f aca="false">IF(L75&gt;PR_BalDone,L75+L75*(F_MR/12)-MIN(F_MortPayM,L75+L75*(F_MR/12)),L75)</f>
        <v>0</v>
      </c>
      <c r="N75" s="20" t="n">
        <f aca="false">IF(M75&gt;PR_BalDone,M75+M75*(F_MR/12)-MIN(F_MortPayM,M75+M75*(F_MR/12)),M75)</f>
        <v>0</v>
      </c>
      <c r="O75" s="20" t="n">
        <f aca="false">IF(N75&gt;PR_BalDone,N75+N75*(F_MR/12)-MIN(F_MortPayM,N75+N75*(F_MR/12)),N75)</f>
        <v>0</v>
      </c>
      <c r="P75" s="20" t="n">
        <f aca="false">IF(C75&gt;PR_BalDone,MIN(F_MortPayM,C75+C75*(F_MR/12)),0)</f>
        <v>0</v>
      </c>
      <c r="Q75" s="20" t="n">
        <f aca="false">IF(D75&gt;PR_BalDone,MIN(F_MortPayM,D75+D75*(F_MR/12)),0)</f>
        <v>0</v>
      </c>
      <c r="R75" s="20" t="n">
        <f aca="false">IF(E75&gt;PR_BalDone,MIN(F_MortPayM,E75+E75*(F_MR/12)),0)</f>
        <v>0</v>
      </c>
      <c r="S75" s="20" t="n">
        <f aca="false">IF(F75&gt;PR_BalDone,MIN(F_MortPayM,F75+F75*(F_MR/12)),0)</f>
        <v>0</v>
      </c>
      <c r="T75" s="20" t="n">
        <f aca="false">IF(G75&gt;PR_BalDone,MIN(F_MortPayM,G75+G75*(F_MR/12)),0)</f>
        <v>0</v>
      </c>
      <c r="U75" s="20" t="n">
        <f aca="false">IF(H75&gt;PR_BalDone,MIN(F_MortPayM,H75+H75*(F_MR/12)),0)</f>
        <v>0</v>
      </c>
      <c r="V75" s="20" t="n">
        <f aca="false">IF(I75&gt;PR_BalDone,MIN(F_MortPayM,I75+I75*(F_MR/12)),0)</f>
        <v>0</v>
      </c>
      <c r="W75" s="20" t="n">
        <f aca="false">IF(J75&gt;PR_BalDone,MIN(F_MortPayM,J75+J75*(F_MR/12)),0)</f>
        <v>0</v>
      </c>
      <c r="X75" s="20" t="n">
        <f aca="false">IF(K75&gt;PR_BalDone,MIN(F_MortPayM,K75+K75*(F_MR/12)),0)</f>
        <v>0</v>
      </c>
      <c r="Y75" s="20" t="n">
        <f aca="false">IF(L75&gt;PR_BalDone,MIN(F_MortPayM,L75+L75*(F_MR/12)),0)</f>
        <v>0</v>
      </c>
      <c r="Z75" s="20" t="n">
        <f aca="false">IF(M75&gt;PR_BalDone,MIN(F_MortPayM,M75+M75*(F_MR/12)),0)</f>
        <v>0</v>
      </c>
      <c r="AA75" s="20" t="n">
        <f aca="false">IF(N75&gt;PR_BalDone,MIN(F_MortPayM,N75+N75*(F_MR/12)),0)</f>
        <v>0</v>
      </c>
      <c r="AB75" s="20" t="n">
        <f aca="false">MAX(0,O75)</f>
        <v>0</v>
      </c>
      <c r="AC75" s="20" t="n">
        <f aca="false">SUM(P75:AA75)</f>
        <v>0</v>
      </c>
      <c r="AD75" s="20" t="n">
        <f aca="false">'Plan cashflow'!M75</f>
        <v>0</v>
      </c>
      <c r="AE75" s="20" t="n">
        <f aca="false">IF(AD75&gt;PR_BalDone,AD75+AD75*(D_iC)-MIN(F_CardPayM,AD75+AD75*(D_iC)),AD75)</f>
        <v>0</v>
      </c>
      <c r="AF75" s="20" t="n">
        <f aca="false">IF(AE75&gt;PR_BalDone,AE75+AE75*(D_iC)-MIN(F_CardPayM,AE75+AE75*(D_iC)),AE75)</f>
        <v>0</v>
      </c>
      <c r="AG75" s="20" t="n">
        <f aca="false">IF(AF75&gt;PR_BalDone,AF75+AF75*(D_iC)-MIN(F_CardPayM,AF75+AF75*(D_iC)),AF75)</f>
        <v>0</v>
      </c>
      <c r="AH75" s="20" t="n">
        <f aca="false">IF(AG75&gt;PR_BalDone,AG75+AG75*(D_iC)-MIN(F_CardPayM,AG75+AG75*(D_iC)),AG75)</f>
        <v>0</v>
      </c>
      <c r="AI75" s="20" t="n">
        <f aca="false">IF(AH75&gt;PR_BalDone,AH75+AH75*(D_iC)-MIN(F_CardPayM,AH75+AH75*(D_iC)),AH75)</f>
        <v>0</v>
      </c>
      <c r="AJ75" s="20" t="n">
        <f aca="false">IF(AI75&gt;PR_BalDone,AI75+AI75*(D_iC)-MIN(F_CardPayM,AI75+AI75*(D_iC)),AI75)</f>
        <v>0</v>
      </c>
      <c r="AK75" s="20" t="n">
        <f aca="false">IF(AJ75&gt;PR_BalDone,AJ75+AJ75*(D_iC)-MIN(F_CardPayM,AJ75+AJ75*(D_iC)),AJ75)</f>
        <v>0</v>
      </c>
      <c r="AL75" s="20" t="n">
        <f aca="false">IF(AK75&gt;PR_BalDone,AK75+AK75*(D_iC)-MIN(F_CardPayM,AK75+AK75*(D_iC)),AK75)</f>
        <v>0</v>
      </c>
      <c r="AM75" s="20" t="n">
        <f aca="false">IF(AL75&gt;PR_BalDone,AL75+AL75*(D_iC)-MIN(F_CardPayM,AL75+AL75*(D_iC)),AL75)</f>
        <v>0</v>
      </c>
      <c r="AN75" s="20" t="n">
        <f aca="false">IF(AM75&gt;PR_BalDone,AM75+AM75*(D_iC)-MIN(F_CardPayM,AM75+AM75*(D_iC)),AM75)</f>
        <v>0</v>
      </c>
      <c r="AO75" s="20" t="n">
        <f aca="false">IF(AN75&gt;PR_BalDone,AN75+AN75*(D_iC)-MIN(F_CardPayM,AN75+AN75*(D_iC)),AN75)</f>
        <v>0</v>
      </c>
      <c r="AP75" s="20" t="n">
        <f aca="false">IF(AO75&gt;PR_BalDone,AO75+AO75*(D_iC)-MIN(F_CardPayM,AO75+AO75*(D_iC)),AO75)</f>
        <v>0</v>
      </c>
      <c r="AQ75" s="20" t="n">
        <f aca="false">IF(AD75&gt;PR_BalDone,MIN(F_CardPayM,AD75+AD75*(D_iC)),0)</f>
        <v>0</v>
      </c>
      <c r="AR75" s="20" t="n">
        <f aca="false">IF(AE75&gt;PR_BalDone,MIN(F_CardPayM,AE75+AE75*(D_iC)),0)</f>
        <v>0</v>
      </c>
      <c r="AS75" s="20" t="n">
        <f aca="false">IF(AF75&gt;PR_BalDone,MIN(F_CardPayM,AF75+AF75*(D_iC)),0)</f>
        <v>0</v>
      </c>
      <c r="AT75" s="20" t="n">
        <f aca="false">IF(AG75&gt;PR_BalDone,MIN(F_CardPayM,AG75+AG75*(D_iC)),0)</f>
        <v>0</v>
      </c>
      <c r="AU75" s="20" t="n">
        <f aca="false">IF(AH75&gt;PR_BalDone,MIN(F_CardPayM,AH75+AH75*(D_iC)),0)</f>
        <v>0</v>
      </c>
      <c r="AV75" s="20" t="n">
        <f aca="false">IF(AI75&gt;PR_BalDone,MIN(F_CardPayM,AI75+AI75*(D_iC)),0)</f>
        <v>0</v>
      </c>
      <c r="AW75" s="20" t="n">
        <f aca="false">IF(AJ75&gt;PR_BalDone,MIN(F_CardPayM,AJ75+AJ75*(D_iC)),0)</f>
        <v>0</v>
      </c>
      <c r="AX75" s="20" t="n">
        <f aca="false">IF(AK75&gt;PR_BalDone,MIN(F_CardPayM,AK75+AK75*(D_iC)),0)</f>
        <v>0</v>
      </c>
      <c r="AY75" s="20" t="n">
        <f aca="false">IF(AL75&gt;PR_BalDone,MIN(F_CardPayM,AL75+AL75*(D_iC)),0)</f>
        <v>0</v>
      </c>
      <c r="AZ75" s="20" t="n">
        <f aca="false">IF(AM75&gt;PR_BalDone,MIN(F_CardPayM,AM75+AM75*(D_iC)),0)</f>
        <v>0</v>
      </c>
      <c r="BA75" s="20" t="n">
        <f aca="false">IF(AN75&gt;PR_BalDone,MIN(F_CardPayM,AN75+AN75*(D_iC)),0)</f>
        <v>0</v>
      </c>
      <c r="BB75" s="20" t="n">
        <f aca="false">IF(AO75&gt;PR_BalDone,MIN(F_CardPayM,AO75+AO75*(D_iC)),0)</f>
        <v>0</v>
      </c>
      <c r="BC75" s="20" t="n">
        <f aca="false">MAX(0,AP75)</f>
        <v>0</v>
      </c>
      <c r="BD75" s="20" t="n">
        <f aca="false">SUM(AQ75:BB75)</f>
        <v>0</v>
      </c>
      <c r="BE75" s="20" t="n">
        <f aca="false">'Plan cashflow'!P75</f>
        <v>0</v>
      </c>
      <c r="BF75" s="20" t="n">
        <f aca="false">IF(BE75&gt;PR_BalDone,BE75+BE75*(D_iL)-MIN(F_LoanPayM,BE75+BE75*(D_iL)),BE75)</f>
        <v>0</v>
      </c>
      <c r="BG75" s="20" t="n">
        <f aca="false">IF(BF75&gt;PR_BalDone,BF75+BF75*(D_iL)-MIN(F_LoanPayM,BF75+BF75*(D_iL)),BF75)</f>
        <v>0</v>
      </c>
      <c r="BH75" s="20" t="n">
        <f aca="false">IF(BG75&gt;PR_BalDone,BG75+BG75*(D_iL)-MIN(F_LoanPayM,BG75+BG75*(D_iL)),BG75)</f>
        <v>0</v>
      </c>
      <c r="BI75" s="20" t="n">
        <f aca="false">IF(BH75&gt;PR_BalDone,BH75+BH75*(D_iL)-MIN(F_LoanPayM,BH75+BH75*(D_iL)),BH75)</f>
        <v>0</v>
      </c>
      <c r="BJ75" s="20" t="n">
        <f aca="false">IF(BI75&gt;PR_BalDone,BI75+BI75*(D_iL)-MIN(F_LoanPayM,BI75+BI75*(D_iL)),BI75)</f>
        <v>0</v>
      </c>
      <c r="BK75" s="20" t="n">
        <f aca="false">IF(BJ75&gt;PR_BalDone,BJ75+BJ75*(D_iL)-MIN(F_LoanPayM,BJ75+BJ75*(D_iL)),BJ75)</f>
        <v>0</v>
      </c>
      <c r="BL75" s="20" t="n">
        <f aca="false">IF(BK75&gt;PR_BalDone,BK75+BK75*(D_iL)-MIN(F_LoanPayM,BK75+BK75*(D_iL)),BK75)</f>
        <v>0</v>
      </c>
      <c r="BM75" s="20" t="n">
        <f aca="false">IF(BL75&gt;PR_BalDone,BL75+BL75*(D_iL)-MIN(F_LoanPayM,BL75+BL75*(D_iL)),BL75)</f>
        <v>0</v>
      </c>
      <c r="BN75" s="20" t="n">
        <f aca="false">IF(BM75&gt;PR_BalDone,BM75+BM75*(D_iL)-MIN(F_LoanPayM,BM75+BM75*(D_iL)),BM75)</f>
        <v>0</v>
      </c>
      <c r="BO75" s="20" t="n">
        <f aca="false">IF(BN75&gt;PR_BalDone,BN75+BN75*(D_iL)-MIN(F_LoanPayM,BN75+BN75*(D_iL)),BN75)</f>
        <v>0</v>
      </c>
      <c r="BP75" s="20" t="n">
        <f aca="false">IF(BO75&gt;PR_BalDone,BO75+BO75*(D_iL)-MIN(F_LoanPayM,BO75+BO75*(D_iL)),BO75)</f>
        <v>0</v>
      </c>
      <c r="BQ75" s="20" t="n">
        <f aca="false">IF(BP75&gt;PR_BalDone,BP75+BP75*(D_iL)-MIN(F_LoanPayM,BP75+BP75*(D_iL)),BP75)</f>
        <v>0</v>
      </c>
      <c r="BR75" s="20" t="n">
        <f aca="false">IF(BE75&gt;PR_BalDone,MIN(F_LoanPayM,BE75+BE75*(D_iL)),0)</f>
        <v>0</v>
      </c>
      <c r="BS75" s="20" t="n">
        <f aca="false">IF(BF75&gt;PR_BalDone,MIN(F_LoanPayM,BF75+BF75*(D_iL)),0)</f>
        <v>0</v>
      </c>
      <c r="BT75" s="20" t="n">
        <f aca="false">IF(BG75&gt;PR_BalDone,MIN(F_LoanPayM,BG75+BG75*(D_iL)),0)</f>
        <v>0</v>
      </c>
      <c r="BU75" s="20" t="n">
        <f aca="false">IF(BH75&gt;PR_BalDone,MIN(F_LoanPayM,BH75+BH75*(D_iL)),0)</f>
        <v>0</v>
      </c>
      <c r="BV75" s="20" t="n">
        <f aca="false">IF(BI75&gt;PR_BalDone,MIN(F_LoanPayM,BI75+BI75*(D_iL)),0)</f>
        <v>0</v>
      </c>
      <c r="BW75" s="20" t="n">
        <f aca="false">IF(BJ75&gt;PR_BalDone,MIN(F_LoanPayM,BJ75+BJ75*(D_iL)),0)</f>
        <v>0</v>
      </c>
      <c r="BX75" s="20" t="n">
        <f aca="false">IF(BK75&gt;PR_BalDone,MIN(F_LoanPayM,BK75+BK75*(D_iL)),0)</f>
        <v>0</v>
      </c>
      <c r="BY75" s="20" t="n">
        <f aca="false">IF(BL75&gt;PR_BalDone,MIN(F_LoanPayM,BL75+BL75*(D_iL)),0)</f>
        <v>0</v>
      </c>
      <c r="BZ75" s="20" t="n">
        <f aca="false">IF(BM75&gt;PR_BalDone,MIN(F_LoanPayM,BM75+BM75*(D_iL)),0)</f>
        <v>0</v>
      </c>
      <c r="CA75" s="20" t="n">
        <f aca="false">IF(BN75&gt;PR_BalDone,MIN(F_LoanPayM,BN75+BN75*(D_iL)),0)</f>
        <v>0</v>
      </c>
      <c r="CB75" s="20" t="n">
        <f aca="false">IF(BO75&gt;PR_BalDone,MIN(F_LoanPayM,BO75+BO75*(D_iL)),0)</f>
        <v>0</v>
      </c>
      <c r="CC75" s="20" t="n">
        <f aca="false">IF(BP75&gt;PR_BalDone,MIN(F_LoanPayM,BP75+BP75*(D_iL)),0)</f>
        <v>0</v>
      </c>
      <c r="CD75" s="20" t="n">
        <f aca="false">MAX(0,BQ75)</f>
        <v>0</v>
      </c>
      <c r="CE75" s="20" t="n">
        <f aca="false">SUM(BR75:CC75)</f>
        <v>0</v>
      </c>
      <c r="CF75" s="20" t="n">
        <f aca="false">IF(CF74&gt;1,DE74,CF74)</f>
        <v>0</v>
      </c>
      <c r="CG75" s="20" t="n">
        <f aca="false">IF(CF75&gt;PR_BalDone,CF75+CF75*(F_MR/12)-MIN(F_MortPayM,CF75+CF75*(F_MR/12)),CF75)</f>
        <v>0</v>
      </c>
      <c r="CH75" s="20" t="n">
        <f aca="false">IF(CG75&gt;PR_BalDone,CG75+CG75*(F_MR/12)-MIN(F_MortPayM,CG75+CG75*(F_MR/12)),CG75)</f>
        <v>0</v>
      </c>
      <c r="CI75" s="20" t="n">
        <f aca="false">IF(CH75&gt;PR_BalDone,CH75+CH75*(F_MR/12)-MIN(F_MortPayM,CH75+CH75*(F_MR/12)),CH75)</f>
        <v>0</v>
      </c>
      <c r="CJ75" s="20" t="n">
        <f aca="false">IF(CI75&gt;PR_BalDone,CI75+CI75*(F_MR/12)-MIN(F_MortPayM,CI75+CI75*(F_MR/12)),CI75)</f>
        <v>0</v>
      </c>
      <c r="CK75" s="20" t="n">
        <f aca="false">IF(CJ75&gt;PR_BalDone,CJ75+CJ75*(F_MR/12)-MIN(F_MortPayM,CJ75+CJ75*(F_MR/12)),CJ75)</f>
        <v>0</v>
      </c>
      <c r="CL75" s="20" t="n">
        <f aca="false">IF(CK75&gt;PR_BalDone,CK75+CK75*(F_MR/12)-MIN(F_MortPayM,CK75+CK75*(F_MR/12)),CK75)</f>
        <v>0</v>
      </c>
      <c r="CM75" s="20" t="n">
        <f aca="false">IF(CL75&gt;PR_BalDone,CL75+CL75*(F_MR/12)-MIN(F_MortPayM,CL75+CL75*(F_MR/12)),CL75)</f>
        <v>0</v>
      </c>
      <c r="CN75" s="20" t="n">
        <f aca="false">IF(CM75&gt;PR_BalDone,CM75+CM75*(F_MR/12)-MIN(F_MortPayM,CM75+CM75*(F_MR/12)),CM75)</f>
        <v>0</v>
      </c>
      <c r="CO75" s="20" t="n">
        <f aca="false">IF(CN75&gt;PR_BalDone,CN75+CN75*(F_MR/12)-MIN(F_MortPayM,CN75+CN75*(F_MR/12)),CN75)</f>
        <v>0</v>
      </c>
      <c r="CP75" s="20" t="n">
        <f aca="false">IF(CO75&gt;PR_BalDone,CO75+CO75*(F_MR/12)-MIN(F_MortPayM,CO75+CO75*(F_MR/12)),CO75)</f>
        <v>0</v>
      </c>
      <c r="CQ75" s="20" t="n">
        <f aca="false">IF(CP75&gt;PR_BalDone,CP75+CP75*(F_MR/12)-MIN(F_MortPayM,CP75+CP75*(F_MR/12)),CP75)</f>
        <v>0</v>
      </c>
      <c r="CR75" s="20" t="n">
        <f aca="false">IF(CQ75&gt;PR_BalDone,CQ75+CQ75*(F_MR/12)-MIN(F_MortPayM,CQ75+CQ75*(F_MR/12)),CQ75)</f>
        <v>0</v>
      </c>
      <c r="CS75" s="20" t="n">
        <f aca="false">IF(CF75&gt;PR_BalDone,MIN(F_MortPayM,CF75+CF75*(F_MR/12)),0)</f>
        <v>0</v>
      </c>
      <c r="CT75" s="20" t="n">
        <f aca="false">IF(CG75&gt;PR_BalDone,MIN(F_MortPayM,CG75+CG75*(F_MR/12)),0)</f>
        <v>0</v>
      </c>
      <c r="CU75" s="20" t="n">
        <f aca="false">IF(CH75&gt;PR_BalDone,MIN(F_MortPayM,CH75+CH75*(F_MR/12)),0)</f>
        <v>0</v>
      </c>
      <c r="CV75" s="20" t="n">
        <f aca="false">IF(CI75&gt;PR_BalDone,MIN(F_MortPayM,CI75+CI75*(F_MR/12)),0)</f>
        <v>0</v>
      </c>
      <c r="CW75" s="20" t="n">
        <f aca="false">IF(CJ75&gt;PR_BalDone,MIN(F_MortPayM,CJ75+CJ75*(F_MR/12)),0)</f>
        <v>0</v>
      </c>
      <c r="CX75" s="20" t="n">
        <f aca="false">IF(CK75&gt;PR_BalDone,MIN(F_MortPayM,CK75+CK75*(F_MR/12)),0)</f>
        <v>0</v>
      </c>
      <c r="CY75" s="20" t="n">
        <f aca="false">IF(CL75&gt;PR_BalDone,MIN(F_MortPayM,CL75+CL75*(F_MR/12)),0)</f>
        <v>0</v>
      </c>
      <c r="CZ75" s="20" t="n">
        <f aca="false">IF(CM75&gt;PR_BalDone,MIN(F_MortPayM,CM75+CM75*(F_MR/12)),0)</f>
        <v>0</v>
      </c>
      <c r="DA75" s="20" t="n">
        <f aca="false">IF(CN75&gt;PR_BalDone,MIN(F_MortPayM,CN75+CN75*(F_MR/12)),0)</f>
        <v>0</v>
      </c>
      <c r="DB75" s="20" t="n">
        <f aca="false">IF(CO75&gt;PR_BalDone,MIN(F_MortPayM,CO75+CO75*(F_MR/12)),0)</f>
        <v>0</v>
      </c>
      <c r="DC75" s="20" t="n">
        <f aca="false">IF(CP75&gt;PR_BalDone,MIN(F_MortPayM,CP75+CP75*(F_MR/12)),0)</f>
        <v>0</v>
      </c>
      <c r="DD75" s="20" t="n">
        <f aca="false">IF(CQ75&gt;PR_BalDone,MIN(F_MortPayM,CQ75+CQ75*(F_MR/12)),0)</f>
        <v>0</v>
      </c>
      <c r="DE75" s="20" t="n">
        <f aca="false">MAX(0,CR75)</f>
        <v>0</v>
      </c>
      <c r="DF75" s="20" t="n">
        <f aca="false">SUM(CS75:DD75)</f>
        <v>0</v>
      </c>
      <c r="DG75" s="20" t="n">
        <f aca="false">MAX(0,CF75)</f>
        <v>0</v>
      </c>
    </row>
    <row r="76" customFormat="false" ht="15" hidden="false" customHeight="true" outlineLevel="0" collapsed="false">
      <c r="B76" s="20" t="n">
        <v>68</v>
      </c>
      <c r="C76" s="20" t="n">
        <f aca="false">'Plan cashflow'!J76</f>
        <v>0</v>
      </c>
      <c r="D76" s="20" t="n">
        <f aca="false">IF(C76&gt;PR_BalDone,C76+C76*(F_MR/12)-MIN(F_MortPayM,C76+C76*(F_MR/12)),C76)</f>
        <v>0</v>
      </c>
      <c r="E76" s="20" t="n">
        <f aca="false">IF(D76&gt;PR_BalDone,D76+D76*(F_MR/12)-MIN(F_MortPayM,D76+D76*(F_MR/12)),D76)</f>
        <v>0</v>
      </c>
      <c r="F76" s="20" t="n">
        <f aca="false">IF(E76&gt;PR_BalDone,E76+E76*(F_MR/12)-MIN(F_MortPayM,E76+E76*(F_MR/12)),E76)</f>
        <v>0</v>
      </c>
      <c r="G76" s="20" t="n">
        <f aca="false">IF(F76&gt;PR_BalDone,F76+F76*(F_MR/12)-MIN(F_MortPayM,F76+F76*(F_MR/12)),F76)</f>
        <v>0</v>
      </c>
      <c r="H76" s="20" t="n">
        <f aca="false">IF(G76&gt;PR_BalDone,G76+G76*(F_MR/12)-MIN(F_MortPayM,G76+G76*(F_MR/12)),G76)</f>
        <v>0</v>
      </c>
      <c r="I76" s="20" t="n">
        <f aca="false">IF(H76&gt;PR_BalDone,H76+H76*(F_MR/12)-MIN(F_MortPayM,H76+H76*(F_MR/12)),H76)</f>
        <v>0</v>
      </c>
      <c r="J76" s="20" t="n">
        <f aca="false">IF(I76&gt;PR_BalDone,I76+I76*(F_MR/12)-MIN(F_MortPayM,I76+I76*(F_MR/12)),I76)</f>
        <v>0</v>
      </c>
      <c r="K76" s="20" t="n">
        <f aca="false">IF(J76&gt;PR_BalDone,J76+J76*(F_MR/12)-MIN(F_MortPayM,J76+J76*(F_MR/12)),J76)</f>
        <v>0</v>
      </c>
      <c r="L76" s="20" t="n">
        <f aca="false">IF(K76&gt;PR_BalDone,K76+K76*(F_MR/12)-MIN(F_MortPayM,K76+K76*(F_MR/12)),K76)</f>
        <v>0</v>
      </c>
      <c r="M76" s="20" t="n">
        <f aca="false">IF(L76&gt;PR_BalDone,L76+L76*(F_MR/12)-MIN(F_MortPayM,L76+L76*(F_MR/12)),L76)</f>
        <v>0</v>
      </c>
      <c r="N76" s="20" t="n">
        <f aca="false">IF(M76&gt;PR_BalDone,M76+M76*(F_MR/12)-MIN(F_MortPayM,M76+M76*(F_MR/12)),M76)</f>
        <v>0</v>
      </c>
      <c r="O76" s="20" t="n">
        <f aca="false">IF(N76&gt;PR_BalDone,N76+N76*(F_MR/12)-MIN(F_MortPayM,N76+N76*(F_MR/12)),N76)</f>
        <v>0</v>
      </c>
      <c r="P76" s="20" t="n">
        <f aca="false">IF(C76&gt;PR_BalDone,MIN(F_MortPayM,C76+C76*(F_MR/12)),0)</f>
        <v>0</v>
      </c>
      <c r="Q76" s="20" t="n">
        <f aca="false">IF(D76&gt;PR_BalDone,MIN(F_MortPayM,D76+D76*(F_MR/12)),0)</f>
        <v>0</v>
      </c>
      <c r="R76" s="20" t="n">
        <f aca="false">IF(E76&gt;PR_BalDone,MIN(F_MortPayM,E76+E76*(F_MR/12)),0)</f>
        <v>0</v>
      </c>
      <c r="S76" s="20" t="n">
        <f aca="false">IF(F76&gt;PR_BalDone,MIN(F_MortPayM,F76+F76*(F_MR/12)),0)</f>
        <v>0</v>
      </c>
      <c r="T76" s="20" t="n">
        <f aca="false">IF(G76&gt;PR_BalDone,MIN(F_MortPayM,G76+G76*(F_MR/12)),0)</f>
        <v>0</v>
      </c>
      <c r="U76" s="20" t="n">
        <f aca="false">IF(H76&gt;PR_BalDone,MIN(F_MortPayM,H76+H76*(F_MR/12)),0)</f>
        <v>0</v>
      </c>
      <c r="V76" s="20" t="n">
        <f aca="false">IF(I76&gt;PR_BalDone,MIN(F_MortPayM,I76+I76*(F_MR/12)),0)</f>
        <v>0</v>
      </c>
      <c r="W76" s="20" t="n">
        <f aca="false">IF(J76&gt;PR_BalDone,MIN(F_MortPayM,J76+J76*(F_MR/12)),0)</f>
        <v>0</v>
      </c>
      <c r="X76" s="20" t="n">
        <f aca="false">IF(K76&gt;PR_BalDone,MIN(F_MortPayM,K76+K76*(F_MR/12)),0)</f>
        <v>0</v>
      </c>
      <c r="Y76" s="20" t="n">
        <f aca="false">IF(L76&gt;PR_BalDone,MIN(F_MortPayM,L76+L76*(F_MR/12)),0)</f>
        <v>0</v>
      </c>
      <c r="Z76" s="20" t="n">
        <f aca="false">IF(M76&gt;PR_BalDone,MIN(F_MortPayM,M76+M76*(F_MR/12)),0)</f>
        <v>0</v>
      </c>
      <c r="AA76" s="20" t="n">
        <f aca="false">IF(N76&gt;PR_BalDone,MIN(F_MortPayM,N76+N76*(F_MR/12)),0)</f>
        <v>0</v>
      </c>
      <c r="AB76" s="20" t="n">
        <f aca="false">MAX(0,O76)</f>
        <v>0</v>
      </c>
      <c r="AC76" s="20" t="n">
        <f aca="false">SUM(P76:AA76)</f>
        <v>0</v>
      </c>
      <c r="AD76" s="20" t="n">
        <f aca="false">'Plan cashflow'!M76</f>
        <v>0</v>
      </c>
      <c r="AE76" s="20" t="n">
        <f aca="false">IF(AD76&gt;PR_BalDone,AD76+AD76*(D_iC)-MIN(F_CardPayM,AD76+AD76*(D_iC)),AD76)</f>
        <v>0</v>
      </c>
      <c r="AF76" s="20" t="n">
        <f aca="false">IF(AE76&gt;PR_BalDone,AE76+AE76*(D_iC)-MIN(F_CardPayM,AE76+AE76*(D_iC)),AE76)</f>
        <v>0</v>
      </c>
      <c r="AG76" s="20" t="n">
        <f aca="false">IF(AF76&gt;PR_BalDone,AF76+AF76*(D_iC)-MIN(F_CardPayM,AF76+AF76*(D_iC)),AF76)</f>
        <v>0</v>
      </c>
      <c r="AH76" s="20" t="n">
        <f aca="false">IF(AG76&gt;PR_BalDone,AG76+AG76*(D_iC)-MIN(F_CardPayM,AG76+AG76*(D_iC)),AG76)</f>
        <v>0</v>
      </c>
      <c r="AI76" s="20" t="n">
        <f aca="false">IF(AH76&gt;PR_BalDone,AH76+AH76*(D_iC)-MIN(F_CardPayM,AH76+AH76*(D_iC)),AH76)</f>
        <v>0</v>
      </c>
      <c r="AJ76" s="20" t="n">
        <f aca="false">IF(AI76&gt;PR_BalDone,AI76+AI76*(D_iC)-MIN(F_CardPayM,AI76+AI76*(D_iC)),AI76)</f>
        <v>0</v>
      </c>
      <c r="AK76" s="20" t="n">
        <f aca="false">IF(AJ76&gt;PR_BalDone,AJ76+AJ76*(D_iC)-MIN(F_CardPayM,AJ76+AJ76*(D_iC)),AJ76)</f>
        <v>0</v>
      </c>
      <c r="AL76" s="20" t="n">
        <f aca="false">IF(AK76&gt;PR_BalDone,AK76+AK76*(D_iC)-MIN(F_CardPayM,AK76+AK76*(D_iC)),AK76)</f>
        <v>0</v>
      </c>
      <c r="AM76" s="20" t="n">
        <f aca="false">IF(AL76&gt;PR_BalDone,AL76+AL76*(D_iC)-MIN(F_CardPayM,AL76+AL76*(D_iC)),AL76)</f>
        <v>0</v>
      </c>
      <c r="AN76" s="20" t="n">
        <f aca="false">IF(AM76&gt;PR_BalDone,AM76+AM76*(D_iC)-MIN(F_CardPayM,AM76+AM76*(D_iC)),AM76)</f>
        <v>0</v>
      </c>
      <c r="AO76" s="20" t="n">
        <f aca="false">IF(AN76&gt;PR_BalDone,AN76+AN76*(D_iC)-MIN(F_CardPayM,AN76+AN76*(D_iC)),AN76)</f>
        <v>0</v>
      </c>
      <c r="AP76" s="20" t="n">
        <f aca="false">IF(AO76&gt;PR_BalDone,AO76+AO76*(D_iC)-MIN(F_CardPayM,AO76+AO76*(D_iC)),AO76)</f>
        <v>0</v>
      </c>
      <c r="AQ76" s="20" t="n">
        <f aca="false">IF(AD76&gt;PR_BalDone,MIN(F_CardPayM,AD76+AD76*(D_iC)),0)</f>
        <v>0</v>
      </c>
      <c r="AR76" s="20" t="n">
        <f aca="false">IF(AE76&gt;PR_BalDone,MIN(F_CardPayM,AE76+AE76*(D_iC)),0)</f>
        <v>0</v>
      </c>
      <c r="AS76" s="20" t="n">
        <f aca="false">IF(AF76&gt;PR_BalDone,MIN(F_CardPayM,AF76+AF76*(D_iC)),0)</f>
        <v>0</v>
      </c>
      <c r="AT76" s="20" t="n">
        <f aca="false">IF(AG76&gt;PR_BalDone,MIN(F_CardPayM,AG76+AG76*(D_iC)),0)</f>
        <v>0</v>
      </c>
      <c r="AU76" s="20" t="n">
        <f aca="false">IF(AH76&gt;PR_BalDone,MIN(F_CardPayM,AH76+AH76*(D_iC)),0)</f>
        <v>0</v>
      </c>
      <c r="AV76" s="20" t="n">
        <f aca="false">IF(AI76&gt;PR_BalDone,MIN(F_CardPayM,AI76+AI76*(D_iC)),0)</f>
        <v>0</v>
      </c>
      <c r="AW76" s="20" t="n">
        <f aca="false">IF(AJ76&gt;PR_BalDone,MIN(F_CardPayM,AJ76+AJ76*(D_iC)),0)</f>
        <v>0</v>
      </c>
      <c r="AX76" s="20" t="n">
        <f aca="false">IF(AK76&gt;PR_BalDone,MIN(F_CardPayM,AK76+AK76*(D_iC)),0)</f>
        <v>0</v>
      </c>
      <c r="AY76" s="20" t="n">
        <f aca="false">IF(AL76&gt;PR_BalDone,MIN(F_CardPayM,AL76+AL76*(D_iC)),0)</f>
        <v>0</v>
      </c>
      <c r="AZ76" s="20" t="n">
        <f aca="false">IF(AM76&gt;PR_BalDone,MIN(F_CardPayM,AM76+AM76*(D_iC)),0)</f>
        <v>0</v>
      </c>
      <c r="BA76" s="20" t="n">
        <f aca="false">IF(AN76&gt;PR_BalDone,MIN(F_CardPayM,AN76+AN76*(D_iC)),0)</f>
        <v>0</v>
      </c>
      <c r="BB76" s="20" t="n">
        <f aca="false">IF(AO76&gt;PR_BalDone,MIN(F_CardPayM,AO76+AO76*(D_iC)),0)</f>
        <v>0</v>
      </c>
      <c r="BC76" s="20" t="n">
        <f aca="false">MAX(0,AP76)</f>
        <v>0</v>
      </c>
      <c r="BD76" s="20" t="n">
        <f aca="false">SUM(AQ76:BB76)</f>
        <v>0</v>
      </c>
      <c r="BE76" s="20" t="n">
        <f aca="false">'Plan cashflow'!P76</f>
        <v>0</v>
      </c>
      <c r="BF76" s="20" t="n">
        <f aca="false">IF(BE76&gt;PR_BalDone,BE76+BE76*(D_iL)-MIN(F_LoanPayM,BE76+BE76*(D_iL)),BE76)</f>
        <v>0</v>
      </c>
      <c r="BG76" s="20" t="n">
        <f aca="false">IF(BF76&gt;PR_BalDone,BF76+BF76*(D_iL)-MIN(F_LoanPayM,BF76+BF76*(D_iL)),BF76)</f>
        <v>0</v>
      </c>
      <c r="BH76" s="20" t="n">
        <f aca="false">IF(BG76&gt;PR_BalDone,BG76+BG76*(D_iL)-MIN(F_LoanPayM,BG76+BG76*(D_iL)),BG76)</f>
        <v>0</v>
      </c>
      <c r="BI76" s="20" t="n">
        <f aca="false">IF(BH76&gt;PR_BalDone,BH76+BH76*(D_iL)-MIN(F_LoanPayM,BH76+BH76*(D_iL)),BH76)</f>
        <v>0</v>
      </c>
      <c r="BJ76" s="20" t="n">
        <f aca="false">IF(BI76&gt;PR_BalDone,BI76+BI76*(D_iL)-MIN(F_LoanPayM,BI76+BI76*(D_iL)),BI76)</f>
        <v>0</v>
      </c>
      <c r="BK76" s="20" t="n">
        <f aca="false">IF(BJ76&gt;PR_BalDone,BJ76+BJ76*(D_iL)-MIN(F_LoanPayM,BJ76+BJ76*(D_iL)),BJ76)</f>
        <v>0</v>
      </c>
      <c r="BL76" s="20" t="n">
        <f aca="false">IF(BK76&gt;PR_BalDone,BK76+BK76*(D_iL)-MIN(F_LoanPayM,BK76+BK76*(D_iL)),BK76)</f>
        <v>0</v>
      </c>
      <c r="BM76" s="20" t="n">
        <f aca="false">IF(BL76&gt;PR_BalDone,BL76+BL76*(D_iL)-MIN(F_LoanPayM,BL76+BL76*(D_iL)),BL76)</f>
        <v>0</v>
      </c>
      <c r="BN76" s="20" t="n">
        <f aca="false">IF(BM76&gt;PR_BalDone,BM76+BM76*(D_iL)-MIN(F_LoanPayM,BM76+BM76*(D_iL)),BM76)</f>
        <v>0</v>
      </c>
      <c r="BO76" s="20" t="n">
        <f aca="false">IF(BN76&gt;PR_BalDone,BN76+BN76*(D_iL)-MIN(F_LoanPayM,BN76+BN76*(D_iL)),BN76)</f>
        <v>0</v>
      </c>
      <c r="BP76" s="20" t="n">
        <f aca="false">IF(BO76&gt;PR_BalDone,BO76+BO76*(D_iL)-MIN(F_LoanPayM,BO76+BO76*(D_iL)),BO76)</f>
        <v>0</v>
      </c>
      <c r="BQ76" s="20" t="n">
        <f aca="false">IF(BP76&gt;PR_BalDone,BP76+BP76*(D_iL)-MIN(F_LoanPayM,BP76+BP76*(D_iL)),BP76)</f>
        <v>0</v>
      </c>
      <c r="BR76" s="20" t="n">
        <f aca="false">IF(BE76&gt;PR_BalDone,MIN(F_LoanPayM,BE76+BE76*(D_iL)),0)</f>
        <v>0</v>
      </c>
      <c r="BS76" s="20" t="n">
        <f aca="false">IF(BF76&gt;PR_BalDone,MIN(F_LoanPayM,BF76+BF76*(D_iL)),0)</f>
        <v>0</v>
      </c>
      <c r="BT76" s="20" t="n">
        <f aca="false">IF(BG76&gt;PR_BalDone,MIN(F_LoanPayM,BG76+BG76*(D_iL)),0)</f>
        <v>0</v>
      </c>
      <c r="BU76" s="20" t="n">
        <f aca="false">IF(BH76&gt;PR_BalDone,MIN(F_LoanPayM,BH76+BH76*(D_iL)),0)</f>
        <v>0</v>
      </c>
      <c r="BV76" s="20" t="n">
        <f aca="false">IF(BI76&gt;PR_BalDone,MIN(F_LoanPayM,BI76+BI76*(D_iL)),0)</f>
        <v>0</v>
      </c>
      <c r="BW76" s="20" t="n">
        <f aca="false">IF(BJ76&gt;PR_BalDone,MIN(F_LoanPayM,BJ76+BJ76*(D_iL)),0)</f>
        <v>0</v>
      </c>
      <c r="BX76" s="20" t="n">
        <f aca="false">IF(BK76&gt;PR_BalDone,MIN(F_LoanPayM,BK76+BK76*(D_iL)),0)</f>
        <v>0</v>
      </c>
      <c r="BY76" s="20" t="n">
        <f aca="false">IF(BL76&gt;PR_BalDone,MIN(F_LoanPayM,BL76+BL76*(D_iL)),0)</f>
        <v>0</v>
      </c>
      <c r="BZ76" s="20" t="n">
        <f aca="false">IF(BM76&gt;PR_BalDone,MIN(F_LoanPayM,BM76+BM76*(D_iL)),0)</f>
        <v>0</v>
      </c>
      <c r="CA76" s="20" t="n">
        <f aca="false">IF(BN76&gt;PR_BalDone,MIN(F_LoanPayM,BN76+BN76*(D_iL)),0)</f>
        <v>0</v>
      </c>
      <c r="CB76" s="20" t="n">
        <f aca="false">IF(BO76&gt;PR_BalDone,MIN(F_LoanPayM,BO76+BO76*(D_iL)),0)</f>
        <v>0</v>
      </c>
      <c r="CC76" s="20" t="n">
        <f aca="false">IF(BP76&gt;PR_BalDone,MIN(F_LoanPayM,BP76+BP76*(D_iL)),0)</f>
        <v>0</v>
      </c>
      <c r="CD76" s="20" t="n">
        <f aca="false">MAX(0,BQ76)</f>
        <v>0</v>
      </c>
      <c r="CE76" s="20" t="n">
        <f aca="false">SUM(BR76:CC76)</f>
        <v>0</v>
      </c>
      <c r="CF76" s="20" t="n">
        <f aca="false">IF(CF75&gt;1,DE75,CF75)</f>
        <v>0</v>
      </c>
      <c r="CG76" s="20" t="n">
        <f aca="false">IF(CF76&gt;PR_BalDone,CF76+CF76*(F_MR/12)-MIN(F_MortPayM,CF76+CF76*(F_MR/12)),CF76)</f>
        <v>0</v>
      </c>
      <c r="CH76" s="20" t="n">
        <f aca="false">IF(CG76&gt;PR_BalDone,CG76+CG76*(F_MR/12)-MIN(F_MortPayM,CG76+CG76*(F_MR/12)),CG76)</f>
        <v>0</v>
      </c>
      <c r="CI76" s="20" t="n">
        <f aca="false">IF(CH76&gt;PR_BalDone,CH76+CH76*(F_MR/12)-MIN(F_MortPayM,CH76+CH76*(F_MR/12)),CH76)</f>
        <v>0</v>
      </c>
      <c r="CJ76" s="20" t="n">
        <f aca="false">IF(CI76&gt;PR_BalDone,CI76+CI76*(F_MR/12)-MIN(F_MortPayM,CI76+CI76*(F_MR/12)),CI76)</f>
        <v>0</v>
      </c>
      <c r="CK76" s="20" t="n">
        <f aca="false">IF(CJ76&gt;PR_BalDone,CJ76+CJ76*(F_MR/12)-MIN(F_MortPayM,CJ76+CJ76*(F_MR/12)),CJ76)</f>
        <v>0</v>
      </c>
      <c r="CL76" s="20" t="n">
        <f aca="false">IF(CK76&gt;PR_BalDone,CK76+CK76*(F_MR/12)-MIN(F_MortPayM,CK76+CK76*(F_MR/12)),CK76)</f>
        <v>0</v>
      </c>
      <c r="CM76" s="20" t="n">
        <f aca="false">IF(CL76&gt;PR_BalDone,CL76+CL76*(F_MR/12)-MIN(F_MortPayM,CL76+CL76*(F_MR/12)),CL76)</f>
        <v>0</v>
      </c>
      <c r="CN76" s="20" t="n">
        <f aca="false">IF(CM76&gt;PR_BalDone,CM76+CM76*(F_MR/12)-MIN(F_MortPayM,CM76+CM76*(F_MR/12)),CM76)</f>
        <v>0</v>
      </c>
      <c r="CO76" s="20" t="n">
        <f aca="false">IF(CN76&gt;PR_BalDone,CN76+CN76*(F_MR/12)-MIN(F_MortPayM,CN76+CN76*(F_MR/12)),CN76)</f>
        <v>0</v>
      </c>
      <c r="CP76" s="20" t="n">
        <f aca="false">IF(CO76&gt;PR_BalDone,CO76+CO76*(F_MR/12)-MIN(F_MortPayM,CO76+CO76*(F_MR/12)),CO76)</f>
        <v>0</v>
      </c>
      <c r="CQ76" s="20" t="n">
        <f aca="false">IF(CP76&gt;PR_BalDone,CP76+CP76*(F_MR/12)-MIN(F_MortPayM,CP76+CP76*(F_MR/12)),CP76)</f>
        <v>0</v>
      </c>
      <c r="CR76" s="20" t="n">
        <f aca="false">IF(CQ76&gt;PR_BalDone,CQ76+CQ76*(F_MR/12)-MIN(F_MortPayM,CQ76+CQ76*(F_MR/12)),CQ76)</f>
        <v>0</v>
      </c>
      <c r="CS76" s="20" t="n">
        <f aca="false">IF(CF76&gt;PR_BalDone,MIN(F_MortPayM,CF76+CF76*(F_MR/12)),0)</f>
        <v>0</v>
      </c>
      <c r="CT76" s="20" t="n">
        <f aca="false">IF(CG76&gt;PR_BalDone,MIN(F_MortPayM,CG76+CG76*(F_MR/12)),0)</f>
        <v>0</v>
      </c>
      <c r="CU76" s="20" t="n">
        <f aca="false">IF(CH76&gt;PR_BalDone,MIN(F_MortPayM,CH76+CH76*(F_MR/12)),0)</f>
        <v>0</v>
      </c>
      <c r="CV76" s="20" t="n">
        <f aca="false">IF(CI76&gt;PR_BalDone,MIN(F_MortPayM,CI76+CI76*(F_MR/12)),0)</f>
        <v>0</v>
      </c>
      <c r="CW76" s="20" t="n">
        <f aca="false">IF(CJ76&gt;PR_BalDone,MIN(F_MortPayM,CJ76+CJ76*(F_MR/12)),0)</f>
        <v>0</v>
      </c>
      <c r="CX76" s="20" t="n">
        <f aca="false">IF(CK76&gt;PR_BalDone,MIN(F_MortPayM,CK76+CK76*(F_MR/12)),0)</f>
        <v>0</v>
      </c>
      <c r="CY76" s="20" t="n">
        <f aca="false">IF(CL76&gt;PR_BalDone,MIN(F_MortPayM,CL76+CL76*(F_MR/12)),0)</f>
        <v>0</v>
      </c>
      <c r="CZ76" s="20" t="n">
        <f aca="false">IF(CM76&gt;PR_BalDone,MIN(F_MortPayM,CM76+CM76*(F_MR/12)),0)</f>
        <v>0</v>
      </c>
      <c r="DA76" s="20" t="n">
        <f aca="false">IF(CN76&gt;PR_BalDone,MIN(F_MortPayM,CN76+CN76*(F_MR/12)),0)</f>
        <v>0</v>
      </c>
      <c r="DB76" s="20" t="n">
        <f aca="false">IF(CO76&gt;PR_BalDone,MIN(F_MortPayM,CO76+CO76*(F_MR/12)),0)</f>
        <v>0</v>
      </c>
      <c r="DC76" s="20" t="n">
        <f aca="false">IF(CP76&gt;PR_BalDone,MIN(F_MortPayM,CP76+CP76*(F_MR/12)),0)</f>
        <v>0</v>
      </c>
      <c r="DD76" s="20" t="n">
        <f aca="false">IF(CQ76&gt;PR_BalDone,MIN(F_MortPayM,CQ76+CQ76*(F_MR/12)),0)</f>
        <v>0</v>
      </c>
      <c r="DE76" s="20" t="n">
        <f aca="false">MAX(0,CR76)</f>
        <v>0</v>
      </c>
      <c r="DF76" s="20" t="n">
        <f aca="false">SUM(CS76:DD76)</f>
        <v>0</v>
      </c>
      <c r="DG76" s="20" t="n">
        <f aca="false">MAX(0,CF76)</f>
        <v>0</v>
      </c>
    </row>
    <row r="77" customFormat="false" ht="15" hidden="false" customHeight="true" outlineLevel="0" collapsed="false">
      <c r="B77" s="20" t="n">
        <v>69</v>
      </c>
      <c r="C77" s="20" t="n">
        <f aca="false">'Plan cashflow'!J77</f>
        <v>0</v>
      </c>
      <c r="D77" s="20" t="n">
        <f aca="false">IF(C77&gt;PR_BalDone,C77+C77*(F_MR/12)-MIN(F_MortPayM,C77+C77*(F_MR/12)),C77)</f>
        <v>0</v>
      </c>
      <c r="E77" s="20" t="n">
        <f aca="false">IF(D77&gt;PR_BalDone,D77+D77*(F_MR/12)-MIN(F_MortPayM,D77+D77*(F_MR/12)),D77)</f>
        <v>0</v>
      </c>
      <c r="F77" s="20" t="n">
        <f aca="false">IF(E77&gt;PR_BalDone,E77+E77*(F_MR/12)-MIN(F_MortPayM,E77+E77*(F_MR/12)),E77)</f>
        <v>0</v>
      </c>
      <c r="G77" s="20" t="n">
        <f aca="false">IF(F77&gt;PR_BalDone,F77+F77*(F_MR/12)-MIN(F_MortPayM,F77+F77*(F_MR/12)),F77)</f>
        <v>0</v>
      </c>
      <c r="H77" s="20" t="n">
        <f aca="false">IF(G77&gt;PR_BalDone,G77+G77*(F_MR/12)-MIN(F_MortPayM,G77+G77*(F_MR/12)),G77)</f>
        <v>0</v>
      </c>
      <c r="I77" s="20" t="n">
        <f aca="false">IF(H77&gt;PR_BalDone,H77+H77*(F_MR/12)-MIN(F_MortPayM,H77+H77*(F_MR/12)),H77)</f>
        <v>0</v>
      </c>
      <c r="J77" s="20" t="n">
        <f aca="false">IF(I77&gt;PR_BalDone,I77+I77*(F_MR/12)-MIN(F_MortPayM,I77+I77*(F_MR/12)),I77)</f>
        <v>0</v>
      </c>
      <c r="K77" s="20" t="n">
        <f aca="false">IF(J77&gt;PR_BalDone,J77+J77*(F_MR/12)-MIN(F_MortPayM,J77+J77*(F_MR/12)),J77)</f>
        <v>0</v>
      </c>
      <c r="L77" s="20" t="n">
        <f aca="false">IF(K77&gt;PR_BalDone,K77+K77*(F_MR/12)-MIN(F_MortPayM,K77+K77*(F_MR/12)),K77)</f>
        <v>0</v>
      </c>
      <c r="M77" s="20" t="n">
        <f aca="false">IF(L77&gt;PR_BalDone,L77+L77*(F_MR/12)-MIN(F_MortPayM,L77+L77*(F_MR/12)),L77)</f>
        <v>0</v>
      </c>
      <c r="N77" s="20" t="n">
        <f aca="false">IF(M77&gt;PR_BalDone,M77+M77*(F_MR/12)-MIN(F_MortPayM,M77+M77*(F_MR/12)),M77)</f>
        <v>0</v>
      </c>
      <c r="O77" s="20" t="n">
        <f aca="false">IF(N77&gt;PR_BalDone,N77+N77*(F_MR/12)-MIN(F_MortPayM,N77+N77*(F_MR/12)),N77)</f>
        <v>0</v>
      </c>
      <c r="P77" s="20" t="n">
        <f aca="false">IF(C77&gt;PR_BalDone,MIN(F_MortPayM,C77+C77*(F_MR/12)),0)</f>
        <v>0</v>
      </c>
      <c r="Q77" s="20" t="n">
        <f aca="false">IF(D77&gt;PR_BalDone,MIN(F_MortPayM,D77+D77*(F_MR/12)),0)</f>
        <v>0</v>
      </c>
      <c r="R77" s="20" t="n">
        <f aca="false">IF(E77&gt;PR_BalDone,MIN(F_MortPayM,E77+E77*(F_MR/12)),0)</f>
        <v>0</v>
      </c>
      <c r="S77" s="20" t="n">
        <f aca="false">IF(F77&gt;PR_BalDone,MIN(F_MortPayM,F77+F77*(F_MR/12)),0)</f>
        <v>0</v>
      </c>
      <c r="T77" s="20" t="n">
        <f aca="false">IF(G77&gt;PR_BalDone,MIN(F_MortPayM,G77+G77*(F_MR/12)),0)</f>
        <v>0</v>
      </c>
      <c r="U77" s="20" t="n">
        <f aca="false">IF(H77&gt;PR_BalDone,MIN(F_MortPayM,H77+H77*(F_MR/12)),0)</f>
        <v>0</v>
      </c>
      <c r="V77" s="20" t="n">
        <f aca="false">IF(I77&gt;PR_BalDone,MIN(F_MortPayM,I77+I77*(F_MR/12)),0)</f>
        <v>0</v>
      </c>
      <c r="W77" s="20" t="n">
        <f aca="false">IF(J77&gt;PR_BalDone,MIN(F_MortPayM,J77+J77*(F_MR/12)),0)</f>
        <v>0</v>
      </c>
      <c r="X77" s="20" t="n">
        <f aca="false">IF(K77&gt;PR_BalDone,MIN(F_MortPayM,K77+K77*(F_MR/12)),0)</f>
        <v>0</v>
      </c>
      <c r="Y77" s="20" t="n">
        <f aca="false">IF(L77&gt;PR_BalDone,MIN(F_MortPayM,L77+L77*(F_MR/12)),0)</f>
        <v>0</v>
      </c>
      <c r="Z77" s="20" t="n">
        <f aca="false">IF(M77&gt;PR_BalDone,MIN(F_MortPayM,M77+M77*(F_MR/12)),0)</f>
        <v>0</v>
      </c>
      <c r="AA77" s="20" t="n">
        <f aca="false">IF(N77&gt;PR_BalDone,MIN(F_MortPayM,N77+N77*(F_MR/12)),0)</f>
        <v>0</v>
      </c>
      <c r="AB77" s="20" t="n">
        <f aca="false">MAX(0,O77)</f>
        <v>0</v>
      </c>
      <c r="AC77" s="20" t="n">
        <f aca="false">SUM(P77:AA77)</f>
        <v>0</v>
      </c>
      <c r="AD77" s="20" t="n">
        <f aca="false">'Plan cashflow'!M77</f>
        <v>0</v>
      </c>
      <c r="AE77" s="20" t="n">
        <f aca="false">IF(AD77&gt;PR_BalDone,AD77+AD77*(D_iC)-MIN(F_CardPayM,AD77+AD77*(D_iC)),AD77)</f>
        <v>0</v>
      </c>
      <c r="AF77" s="20" t="n">
        <f aca="false">IF(AE77&gt;PR_BalDone,AE77+AE77*(D_iC)-MIN(F_CardPayM,AE77+AE77*(D_iC)),AE77)</f>
        <v>0</v>
      </c>
      <c r="AG77" s="20" t="n">
        <f aca="false">IF(AF77&gt;PR_BalDone,AF77+AF77*(D_iC)-MIN(F_CardPayM,AF77+AF77*(D_iC)),AF77)</f>
        <v>0</v>
      </c>
      <c r="AH77" s="20" t="n">
        <f aca="false">IF(AG77&gt;PR_BalDone,AG77+AG77*(D_iC)-MIN(F_CardPayM,AG77+AG77*(D_iC)),AG77)</f>
        <v>0</v>
      </c>
      <c r="AI77" s="20" t="n">
        <f aca="false">IF(AH77&gt;PR_BalDone,AH77+AH77*(D_iC)-MIN(F_CardPayM,AH77+AH77*(D_iC)),AH77)</f>
        <v>0</v>
      </c>
      <c r="AJ77" s="20" t="n">
        <f aca="false">IF(AI77&gt;PR_BalDone,AI77+AI77*(D_iC)-MIN(F_CardPayM,AI77+AI77*(D_iC)),AI77)</f>
        <v>0</v>
      </c>
      <c r="AK77" s="20" t="n">
        <f aca="false">IF(AJ77&gt;PR_BalDone,AJ77+AJ77*(D_iC)-MIN(F_CardPayM,AJ77+AJ77*(D_iC)),AJ77)</f>
        <v>0</v>
      </c>
      <c r="AL77" s="20" t="n">
        <f aca="false">IF(AK77&gt;PR_BalDone,AK77+AK77*(D_iC)-MIN(F_CardPayM,AK77+AK77*(D_iC)),AK77)</f>
        <v>0</v>
      </c>
      <c r="AM77" s="20" t="n">
        <f aca="false">IF(AL77&gt;PR_BalDone,AL77+AL77*(D_iC)-MIN(F_CardPayM,AL77+AL77*(D_iC)),AL77)</f>
        <v>0</v>
      </c>
      <c r="AN77" s="20" t="n">
        <f aca="false">IF(AM77&gt;PR_BalDone,AM77+AM77*(D_iC)-MIN(F_CardPayM,AM77+AM77*(D_iC)),AM77)</f>
        <v>0</v>
      </c>
      <c r="AO77" s="20" t="n">
        <f aca="false">IF(AN77&gt;PR_BalDone,AN77+AN77*(D_iC)-MIN(F_CardPayM,AN77+AN77*(D_iC)),AN77)</f>
        <v>0</v>
      </c>
      <c r="AP77" s="20" t="n">
        <f aca="false">IF(AO77&gt;PR_BalDone,AO77+AO77*(D_iC)-MIN(F_CardPayM,AO77+AO77*(D_iC)),AO77)</f>
        <v>0</v>
      </c>
      <c r="AQ77" s="20" t="n">
        <f aca="false">IF(AD77&gt;PR_BalDone,MIN(F_CardPayM,AD77+AD77*(D_iC)),0)</f>
        <v>0</v>
      </c>
      <c r="AR77" s="20" t="n">
        <f aca="false">IF(AE77&gt;PR_BalDone,MIN(F_CardPayM,AE77+AE77*(D_iC)),0)</f>
        <v>0</v>
      </c>
      <c r="AS77" s="20" t="n">
        <f aca="false">IF(AF77&gt;PR_BalDone,MIN(F_CardPayM,AF77+AF77*(D_iC)),0)</f>
        <v>0</v>
      </c>
      <c r="AT77" s="20" t="n">
        <f aca="false">IF(AG77&gt;PR_BalDone,MIN(F_CardPayM,AG77+AG77*(D_iC)),0)</f>
        <v>0</v>
      </c>
      <c r="AU77" s="20" t="n">
        <f aca="false">IF(AH77&gt;PR_BalDone,MIN(F_CardPayM,AH77+AH77*(D_iC)),0)</f>
        <v>0</v>
      </c>
      <c r="AV77" s="20" t="n">
        <f aca="false">IF(AI77&gt;PR_BalDone,MIN(F_CardPayM,AI77+AI77*(D_iC)),0)</f>
        <v>0</v>
      </c>
      <c r="AW77" s="20" t="n">
        <f aca="false">IF(AJ77&gt;PR_BalDone,MIN(F_CardPayM,AJ77+AJ77*(D_iC)),0)</f>
        <v>0</v>
      </c>
      <c r="AX77" s="20" t="n">
        <f aca="false">IF(AK77&gt;PR_BalDone,MIN(F_CardPayM,AK77+AK77*(D_iC)),0)</f>
        <v>0</v>
      </c>
      <c r="AY77" s="20" t="n">
        <f aca="false">IF(AL77&gt;PR_BalDone,MIN(F_CardPayM,AL77+AL77*(D_iC)),0)</f>
        <v>0</v>
      </c>
      <c r="AZ77" s="20" t="n">
        <f aca="false">IF(AM77&gt;PR_BalDone,MIN(F_CardPayM,AM77+AM77*(D_iC)),0)</f>
        <v>0</v>
      </c>
      <c r="BA77" s="20" t="n">
        <f aca="false">IF(AN77&gt;PR_BalDone,MIN(F_CardPayM,AN77+AN77*(D_iC)),0)</f>
        <v>0</v>
      </c>
      <c r="BB77" s="20" t="n">
        <f aca="false">IF(AO77&gt;PR_BalDone,MIN(F_CardPayM,AO77+AO77*(D_iC)),0)</f>
        <v>0</v>
      </c>
      <c r="BC77" s="20" t="n">
        <f aca="false">MAX(0,AP77)</f>
        <v>0</v>
      </c>
      <c r="BD77" s="20" t="n">
        <f aca="false">SUM(AQ77:BB77)</f>
        <v>0</v>
      </c>
      <c r="BE77" s="20" t="n">
        <f aca="false">'Plan cashflow'!P77</f>
        <v>0</v>
      </c>
      <c r="BF77" s="20" t="n">
        <f aca="false">IF(BE77&gt;PR_BalDone,BE77+BE77*(D_iL)-MIN(F_LoanPayM,BE77+BE77*(D_iL)),BE77)</f>
        <v>0</v>
      </c>
      <c r="BG77" s="20" t="n">
        <f aca="false">IF(BF77&gt;PR_BalDone,BF77+BF77*(D_iL)-MIN(F_LoanPayM,BF77+BF77*(D_iL)),BF77)</f>
        <v>0</v>
      </c>
      <c r="BH77" s="20" t="n">
        <f aca="false">IF(BG77&gt;PR_BalDone,BG77+BG77*(D_iL)-MIN(F_LoanPayM,BG77+BG77*(D_iL)),BG77)</f>
        <v>0</v>
      </c>
      <c r="BI77" s="20" t="n">
        <f aca="false">IF(BH77&gt;PR_BalDone,BH77+BH77*(D_iL)-MIN(F_LoanPayM,BH77+BH77*(D_iL)),BH77)</f>
        <v>0</v>
      </c>
      <c r="BJ77" s="20" t="n">
        <f aca="false">IF(BI77&gt;PR_BalDone,BI77+BI77*(D_iL)-MIN(F_LoanPayM,BI77+BI77*(D_iL)),BI77)</f>
        <v>0</v>
      </c>
      <c r="BK77" s="20" t="n">
        <f aca="false">IF(BJ77&gt;PR_BalDone,BJ77+BJ77*(D_iL)-MIN(F_LoanPayM,BJ77+BJ77*(D_iL)),BJ77)</f>
        <v>0</v>
      </c>
      <c r="BL77" s="20" t="n">
        <f aca="false">IF(BK77&gt;PR_BalDone,BK77+BK77*(D_iL)-MIN(F_LoanPayM,BK77+BK77*(D_iL)),BK77)</f>
        <v>0</v>
      </c>
      <c r="BM77" s="20" t="n">
        <f aca="false">IF(BL77&gt;PR_BalDone,BL77+BL77*(D_iL)-MIN(F_LoanPayM,BL77+BL77*(D_iL)),BL77)</f>
        <v>0</v>
      </c>
      <c r="BN77" s="20" t="n">
        <f aca="false">IF(BM77&gt;PR_BalDone,BM77+BM77*(D_iL)-MIN(F_LoanPayM,BM77+BM77*(D_iL)),BM77)</f>
        <v>0</v>
      </c>
      <c r="BO77" s="20" t="n">
        <f aca="false">IF(BN77&gt;PR_BalDone,BN77+BN77*(D_iL)-MIN(F_LoanPayM,BN77+BN77*(D_iL)),BN77)</f>
        <v>0</v>
      </c>
      <c r="BP77" s="20" t="n">
        <f aca="false">IF(BO77&gt;PR_BalDone,BO77+BO77*(D_iL)-MIN(F_LoanPayM,BO77+BO77*(D_iL)),BO77)</f>
        <v>0</v>
      </c>
      <c r="BQ77" s="20" t="n">
        <f aca="false">IF(BP77&gt;PR_BalDone,BP77+BP77*(D_iL)-MIN(F_LoanPayM,BP77+BP77*(D_iL)),BP77)</f>
        <v>0</v>
      </c>
      <c r="BR77" s="20" t="n">
        <f aca="false">IF(BE77&gt;PR_BalDone,MIN(F_LoanPayM,BE77+BE77*(D_iL)),0)</f>
        <v>0</v>
      </c>
      <c r="BS77" s="20" t="n">
        <f aca="false">IF(BF77&gt;PR_BalDone,MIN(F_LoanPayM,BF77+BF77*(D_iL)),0)</f>
        <v>0</v>
      </c>
      <c r="BT77" s="20" t="n">
        <f aca="false">IF(BG77&gt;PR_BalDone,MIN(F_LoanPayM,BG77+BG77*(D_iL)),0)</f>
        <v>0</v>
      </c>
      <c r="BU77" s="20" t="n">
        <f aca="false">IF(BH77&gt;PR_BalDone,MIN(F_LoanPayM,BH77+BH77*(D_iL)),0)</f>
        <v>0</v>
      </c>
      <c r="BV77" s="20" t="n">
        <f aca="false">IF(BI77&gt;PR_BalDone,MIN(F_LoanPayM,BI77+BI77*(D_iL)),0)</f>
        <v>0</v>
      </c>
      <c r="BW77" s="20" t="n">
        <f aca="false">IF(BJ77&gt;PR_BalDone,MIN(F_LoanPayM,BJ77+BJ77*(D_iL)),0)</f>
        <v>0</v>
      </c>
      <c r="BX77" s="20" t="n">
        <f aca="false">IF(BK77&gt;PR_BalDone,MIN(F_LoanPayM,BK77+BK77*(D_iL)),0)</f>
        <v>0</v>
      </c>
      <c r="BY77" s="20" t="n">
        <f aca="false">IF(BL77&gt;PR_BalDone,MIN(F_LoanPayM,BL77+BL77*(D_iL)),0)</f>
        <v>0</v>
      </c>
      <c r="BZ77" s="20" t="n">
        <f aca="false">IF(BM77&gt;PR_BalDone,MIN(F_LoanPayM,BM77+BM77*(D_iL)),0)</f>
        <v>0</v>
      </c>
      <c r="CA77" s="20" t="n">
        <f aca="false">IF(BN77&gt;PR_BalDone,MIN(F_LoanPayM,BN77+BN77*(D_iL)),0)</f>
        <v>0</v>
      </c>
      <c r="CB77" s="20" t="n">
        <f aca="false">IF(BO77&gt;PR_BalDone,MIN(F_LoanPayM,BO77+BO77*(D_iL)),0)</f>
        <v>0</v>
      </c>
      <c r="CC77" s="20" t="n">
        <f aca="false">IF(BP77&gt;PR_BalDone,MIN(F_LoanPayM,BP77+BP77*(D_iL)),0)</f>
        <v>0</v>
      </c>
      <c r="CD77" s="20" t="n">
        <f aca="false">MAX(0,BQ77)</f>
        <v>0</v>
      </c>
      <c r="CE77" s="20" t="n">
        <f aca="false">SUM(BR77:CC77)</f>
        <v>0</v>
      </c>
      <c r="CF77" s="20" t="n">
        <f aca="false">IF(CF76&gt;1,DE76,CF76)</f>
        <v>0</v>
      </c>
      <c r="CG77" s="20" t="n">
        <f aca="false">IF(CF77&gt;PR_BalDone,CF77+CF77*(F_MR/12)-MIN(F_MortPayM,CF77+CF77*(F_MR/12)),CF77)</f>
        <v>0</v>
      </c>
      <c r="CH77" s="20" t="n">
        <f aca="false">IF(CG77&gt;PR_BalDone,CG77+CG77*(F_MR/12)-MIN(F_MortPayM,CG77+CG77*(F_MR/12)),CG77)</f>
        <v>0</v>
      </c>
      <c r="CI77" s="20" t="n">
        <f aca="false">IF(CH77&gt;PR_BalDone,CH77+CH77*(F_MR/12)-MIN(F_MortPayM,CH77+CH77*(F_MR/12)),CH77)</f>
        <v>0</v>
      </c>
      <c r="CJ77" s="20" t="n">
        <f aca="false">IF(CI77&gt;PR_BalDone,CI77+CI77*(F_MR/12)-MIN(F_MortPayM,CI77+CI77*(F_MR/12)),CI77)</f>
        <v>0</v>
      </c>
      <c r="CK77" s="20" t="n">
        <f aca="false">IF(CJ77&gt;PR_BalDone,CJ77+CJ77*(F_MR/12)-MIN(F_MortPayM,CJ77+CJ77*(F_MR/12)),CJ77)</f>
        <v>0</v>
      </c>
      <c r="CL77" s="20" t="n">
        <f aca="false">IF(CK77&gt;PR_BalDone,CK77+CK77*(F_MR/12)-MIN(F_MortPayM,CK77+CK77*(F_MR/12)),CK77)</f>
        <v>0</v>
      </c>
      <c r="CM77" s="20" t="n">
        <f aca="false">IF(CL77&gt;PR_BalDone,CL77+CL77*(F_MR/12)-MIN(F_MortPayM,CL77+CL77*(F_MR/12)),CL77)</f>
        <v>0</v>
      </c>
      <c r="CN77" s="20" t="n">
        <f aca="false">IF(CM77&gt;PR_BalDone,CM77+CM77*(F_MR/12)-MIN(F_MortPayM,CM77+CM77*(F_MR/12)),CM77)</f>
        <v>0</v>
      </c>
      <c r="CO77" s="20" t="n">
        <f aca="false">IF(CN77&gt;PR_BalDone,CN77+CN77*(F_MR/12)-MIN(F_MortPayM,CN77+CN77*(F_MR/12)),CN77)</f>
        <v>0</v>
      </c>
      <c r="CP77" s="20" t="n">
        <f aca="false">IF(CO77&gt;PR_BalDone,CO77+CO77*(F_MR/12)-MIN(F_MortPayM,CO77+CO77*(F_MR/12)),CO77)</f>
        <v>0</v>
      </c>
      <c r="CQ77" s="20" t="n">
        <f aca="false">IF(CP77&gt;PR_BalDone,CP77+CP77*(F_MR/12)-MIN(F_MortPayM,CP77+CP77*(F_MR/12)),CP77)</f>
        <v>0</v>
      </c>
      <c r="CR77" s="20" t="n">
        <f aca="false">IF(CQ77&gt;PR_BalDone,CQ77+CQ77*(F_MR/12)-MIN(F_MortPayM,CQ77+CQ77*(F_MR/12)),CQ77)</f>
        <v>0</v>
      </c>
      <c r="CS77" s="20" t="n">
        <f aca="false">IF(CF77&gt;PR_BalDone,MIN(F_MortPayM,CF77+CF77*(F_MR/12)),0)</f>
        <v>0</v>
      </c>
      <c r="CT77" s="20" t="n">
        <f aca="false">IF(CG77&gt;PR_BalDone,MIN(F_MortPayM,CG77+CG77*(F_MR/12)),0)</f>
        <v>0</v>
      </c>
      <c r="CU77" s="20" t="n">
        <f aca="false">IF(CH77&gt;PR_BalDone,MIN(F_MortPayM,CH77+CH77*(F_MR/12)),0)</f>
        <v>0</v>
      </c>
      <c r="CV77" s="20" t="n">
        <f aca="false">IF(CI77&gt;PR_BalDone,MIN(F_MortPayM,CI77+CI77*(F_MR/12)),0)</f>
        <v>0</v>
      </c>
      <c r="CW77" s="20" t="n">
        <f aca="false">IF(CJ77&gt;PR_BalDone,MIN(F_MortPayM,CJ77+CJ77*(F_MR/12)),0)</f>
        <v>0</v>
      </c>
      <c r="CX77" s="20" t="n">
        <f aca="false">IF(CK77&gt;PR_BalDone,MIN(F_MortPayM,CK77+CK77*(F_MR/12)),0)</f>
        <v>0</v>
      </c>
      <c r="CY77" s="20" t="n">
        <f aca="false">IF(CL77&gt;PR_BalDone,MIN(F_MortPayM,CL77+CL77*(F_MR/12)),0)</f>
        <v>0</v>
      </c>
      <c r="CZ77" s="20" t="n">
        <f aca="false">IF(CM77&gt;PR_BalDone,MIN(F_MortPayM,CM77+CM77*(F_MR/12)),0)</f>
        <v>0</v>
      </c>
      <c r="DA77" s="20" t="n">
        <f aca="false">IF(CN77&gt;PR_BalDone,MIN(F_MortPayM,CN77+CN77*(F_MR/12)),0)</f>
        <v>0</v>
      </c>
      <c r="DB77" s="20" t="n">
        <f aca="false">IF(CO77&gt;PR_BalDone,MIN(F_MortPayM,CO77+CO77*(F_MR/12)),0)</f>
        <v>0</v>
      </c>
      <c r="DC77" s="20" t="n">
        <f aca="false">IF(CP77&gt;PR_BalDone,MIN(F_MortPayM,CP77+CP77*(F_MR/12)),0)</f>
        <v>0</v>
      </c>
      <c r="DD77" s="20" t="n">
        <f aca="false">IF(CQ77&gt;PR_BalDone,MIN(F_MortPayM,CQ77+CQ77*(F_MR/12)),0)</f>
        <v>0</v>
      </c>
      <c r="DE77" s="20" t="n">
        <f aca="false">MAX(0,CR77)</f>
        <v>0</v>
      </c>
      <c r="DF77" s="20" t="n">
        <f aca="false">SUM(CS77:DD77)</f>
        <v>0</v>
      </c>
      <c r="DG77" s="20" t="n">
        <f aca="false">MAX(0,CF77)</f>
        <v>0</v>
      </c>
    </row>
    <row r="78" customFormat="false" ht="15" hidden="false" customHeight="true" outlineLevel="0" collapsed="false">
      <c r="B78" s="20" t="n">
        <v>70</v>
      </c>
      <c r="C78" s="20" t="n">
        <f aca="false">'Plan cashflow'!J78</f>
        <v>0</v>
      </c>
      <c r="D78" s="20" t="n">
        <f aca="false">IF(C78&gt;PR_BalDone,C78+C78*(F_MR/12)-MIN(F_MortPayM,C78+C78*(F_MR/12)),C78)</f>
        <v>0</v>
      </c>
      <c r="E78" s="20" t="n">
        <f aca="false">IF(D78&gt;PR_BalDone,D78+D78*(F_MR/12)-MIN(F_MortPayM,D78+D78*(F_MR/12)),D78)</f>
        <v>0</v>
      </c>
      <c r="F78" s="20" t="n">
        <f aca="false">IF(E78&gt;PR_BalDone,E78+E78*(F_MR/12)-MIN(F_MortPayM,E78+E78*(F_MR/12)),E78)</f>
        <v>0</v>
      </c>
      <c r="G78" s="20" t="n">
        <f aca="false">IF(F78&gt;PR_BalDone,F78+F78*(F_MR/12)-MIN(F_MortPayM,F78+F78*(F_MR/12)),F78)</f>
        <v>0</v>
      </c>
      <c r="H78" s="20" t="n">
        <f aca="false">IF(G78&gt;PR_BalDone,G78+G78*(F_MR/12)-MIN(F_MortPayM,G78+G78*(F_MR/12)),G78)</f>
        <v>0</v>
      </c>
      <c r="I78" s="20" t="n">
        <f aca="false">IF(H78&gt;PR_BalDone,H78+H78*(F_MR/12)-MIN(F_MortPayM,H78+H78*(F_MR/12)),H78)</f>
        <v>0</v>
      </c>
      <c r="J78" s="20" t="n">
        <f aca="false">IF(I78&gt;PR_BalDone,I78+I78*(F_MR/12)-MIN(F_MortPayM,I78+I78*(F_MR/12)),I78)</f>
        <v>0</v>
      </c>
      <c r="K78" s="20" t="n">
        <f aca="false">IF(J78&gt;PR_BalDone,J78+J78*(F_MR/12)-MIN(F_MortPayM,J78+J78*(F_MR/12)),J78)</f>
        <v>0</v>
      </c>
      <c r="L78" s="20" t="n">
        <f aca="false">IF(K78&gt;PR_BalDone,K78+K78*(F_MR/12)-MIN(F_MortPayM,K78+K78*(F_MR/12)),K78)</f>
        <v>0</v>
      </c>
      <c r="M78" s="20" t="n">
        <f aca="false">IF(L78&gt;PR_BalDone,L78+L78*(F_MR/12)-MIN(F_MortPayM,L78+L78*(F_MR/12)),L78)</f>
        <v>0</v>
      </c>
      <c r="N78" s="20" t="n">
        <f aca="false">IF(M78&gt;PR_BalDone,M78+M78*(F_MR/12)-MIN(F_MortPayM,M78+M78*(F_MR/12)),M78)</f>
        <v>0</v>
      </c>
      <c r="O78" s="20" t="n">
        <f aca="false">IF(N78&gt;PR_BalDone,N78+N78*(F_MR/12)-MIN(F_MortPayM,N78+N78*(F_MR/12)),N78)</f>
        <v>0</v>
      </c>
      <c r="P78" s="20" t="n">
        <f aca="false">IF(C78&gt;PR_BalDone,MIN(F_MortPayM,C78+C78*(F_MR/12)),0)</f>
        <v>0</v>
      </c>
      <c r="Q78" s="20" t="n">
        <f aca="false">IF(D78&gt;PR_BalDone,MIN(F_MortPayM,D78+D78*(F_MR/12)),0)</f>
        <v>0</v>
      </c>
      <c r="R78" s="20" t="n">
        <f aca="false">IF(E78&gt;PR_BalDone,MIN(F_MortPayM,E78+E78*(F_MR/12)),0)</f>
        <v>0</v>
      </c>
      <c r="S78" s="20" t="n">
        <f aca="false">IF(F78&gt;PR_BalDone,MIN(F_MortPayM,F78+F78*(F_MR/12)),0)</f>
        <v>0</v>
      </c>
      <c r="T78" s="20" t="n">
        <f aca="false">IF(G78&gt;PR_BalDone,MIN(F_MortPayM,G78+G78*(F_MR/12)),0)</f>
        <v>0</v>
      </c>
      <c r="U78" s="20" t="n">
        <f aca="false">IF(H78&gt;PR_BalDone,MIN(F_MortPayM,H78+H78*(F_MR/12)),0)</f>
        <v>0</v>
      </c>
      <c r="V78" s="20" t="n">
        <f aca="false">IF(I78&gt;PR_BalDone,MIN(F_MortPayM,I78+I78*(F_MR/12)),0)</f>
        <v>0</v>
      </c>
      <c r="W78" s="20" t="n">
        <f aca="false">IF(J78&gt;PR_BalDone,MIN(F_MortPayM,J78+J78*(F_MR/12)),0)</f>
        <v>0</v>
      </c>
      <c r="X78" s="20" t="n">
        <f aca="false">IF(K78&gt;PR_BalDone,MIN(F_MortPayM,K78+K78*(F_MR/12)),0)</f>
        <v>0</v>
      </c>
      <c r="Y78" s="20" t="n">
        <f aca="false">IF(L78&gt;PR_BalDone,MIN(F_MortPayM,L78+L78*(F_MR/12)),0)</f>
        <v>0</v>
      </c>
      <c r="Z78" s="20" t="n">
        <f aca="false">IF(M78&gt;PR_BalDone,MIN(F_MortPayM,M78+M78*(F_MR/12)),0)</f>
        <v>0</v>
      </c>
      <c r="AA78" s="20" t="n">
        <f aca="false">IF(N78&gt;PR_BalDone,MIN(F_MortPayM,N78+N78*(F_MR/12)),0)</f>
        <v>0</v>
      </c>
      <c r="AB78" s="20" t="n">
        <f aca="false">MAX(0,O78)</f>
        <v>0</v>
      </c>
      <c r="AC78" s="20" t="n">
        <f aca="false">SUM(P78:AA78)</f>
        <v>0</v>
      </c>
      <c r="AD78" s="20" t="n">
        <f aca="false">'Plan cashflow'!M78</f>
        <v>0</v>
      </c>
      <c r="AE78" s="20" t="n">
        <f aca="false">IF(AD78&gt;PR_BalDone,AD78+AD78*(D_iC)-MIN(F_CardPayM,AD78+AD78*(D_iC)),AD78)</f>
        <v>0</v>
      </c>
      <c r="AF78" s="20" t="n">
        <f aca="false">IF(AE78&gt;PR_BalDone,AE78+AE78*(D_iC)-MIN(F_CardPayM,AE78+AE78*(D_iC)),AE78)</f>
        <v>0</v>
      </c>
      <c r="AG78" s="20" t="n">
        <f aca="false">IF(AF78&gt;PR_BalDone,AF78+AF78*(D_iC)-MIN(F_CardPayM,AF78+AF78*(D_iC)),AF78)</f>
        <v>0</v>
      </c>
      <c r="AH78" s="20" t="n">
        <f aca="false">IF(AG78&gt;PR_BalDone,AG78+AG78*(D_iC)-MIN(F_CardPayM,AG78+AG78*(D_iC)),AG78)</f>
        <v>0</v>
      </c>
      <c r="AI78" s="20" t="n">
        <f aca="false">IF(AH78&gt;PR_BalDone,AH78+AH78*(D_iC)-MIN(F_CardPayM,AH78+AH78*(D_iC)),AH78)</f>
        <v>0</v>
      </c>
      <c r="AJ78" s="20" t="n">
        <f aca="false">IF(AI78&gt;PR_BalDone,AI78+AI78*(D_iC)-MIN(F_CardPayM,AI78+AI78*(D_iC)),AI78)</f>
        <v>0</v>
      </c>
      <c r="AK78" s="20" t="n">
        <f aca="false">IF(AJ78&gt;PR_BalDone,AJ78+AJ78*(D_iC)-MIN(F_CardPayM,AJ78+AJ78*(D_iC)),AJ78)</f>
        <v>0</v>
      </c>
      <c r="AL78" s="20" t="n">
        <f aca="false">IF(AK78&gt;PR_BalDone,AK78+AK78*(D_iC)-MIN(F_CardPayM,AK78+AK78*(D_iC)),AK78)</f>
        <v>0</v>
      </c>
      <c r="AM78" s="20" t="n">
        <f aca="false">IF(AL78&gt;PR_BalDone,AL78+AL78*(D_iC)-MIN(F_CardPayM,AL78+AL78*(D_iC)),AL78)</f>
        <v>0</v>
      </c>
      <c r="AN78" s="20" t="n">
        <f aca="false">IF(AM78&gt;PR_BalDone,AM78+AM78*(D_iC)-MIN(F_CardPayM,AM78+AM78*(D_iC)),AM78)</f>
        <v>0</v>
      </c>
      <c r="AO78" s="20" t="n">
        <f aca="false">IF(AN78&gt;PR_BalDone,AN78+AN78*(D_iC)-MIN(F_CardPayM,AN78+AN78*(D_iC)),AN78)</f>
        <v>0</v>
      </c>
      <c r="AP78" s="20" t="n">
        <f aca="false">IF(AO78&gt;PR_BalDone,AO78+AO78*(D_iC)-MIN(F_CardPayM,AO78+AO78*(D_iC)),AO78)</f>
        <v>0</v>
      </c>
      <c r="AQ78" s="20" t="n">
        <f aca="false">IF(AD78&gt;PR_BalDone,MIN(F_CardPayM,AD78+AD78*(D_iC)),0)</f>
        <v>0</v>
      </c>
      <c r="AR78" s="20" t="n">
        <f aca="false">IF(AE78&gt;PR_BalDone,MIN(F_CardPayM,AE78+AE78*(D_iC)),0)</f>
        <v>0</v>
      </c>
      <c r="AS78" s="20" t="n">
        <f aca="false">IF(AF78&gt;PR_BalDone,MIN(F_CardPayM,AF78+AF78*(D_iC)),0)</f>
        <v>0</v>
      </c>
      <c r="AT78" s="20" t="n">
        <f aca="false">IF(AG78&gt;PR_BalDone,MIN(F_CardPayM,AG78+AG78*(D_iC)),0)</f>
        <v>0</v>
      </c>
      <c r="AU78" s="20" t="n">
        <f aca="false">IF(AH78&gt;PR_BalDone,MIN(F_CardPayM,AH78+AH78*(D_iC)),0)</f>
        <v>0</v>
      </c>
      <c r="AV78" s="20" t="n">
        <f aca="false">IF(AI78&gt;PR_BalDone,MIN(F_CardPayM,AI78+AI78*(D_iC)),0)</f>
        <v>0</v>
      </c>
      <c r="AW78" s="20" t="n">
        <f aca="false">IF(AJ78&gt;PR_BalDone,MIN(F_CardPayM,AJ78+AJ78*(D_iC)),0)</f>
        <v>0</v>
      </c>
      <c r="AX78" s="20" t="n">
        <f aca="false">IF(AK78&gt;PR_BalDone,MIN(F_CardPayM,AK78+AK78*(D_iC)),0)</f>
        <v>0</v>
      </c>
      <c r="AY78" s="20" t="n">
        <f aca="false">IF(AL78&gt;PR_BalDone,MIN(F_CardPayM,AL78+AL78*(D_iC)),0)</f>
        <v>0</v>
      </c>
      <c r="AZ78" s="20" t="n">
        <f aca="false">IF(AM78&gt;PR_BalDone,MIN(F_CardPayM,AM78+AM78*(D_iC)),0)</f>
        <v>0</v>
      </c>
      <c r="BA78" s="20" t="n">
        <f aca="false">IF(AN78&gt;PR_BalDone,MIN(F_CardPayM,AN78+AN78*(D_iC)),0)</f>
        <v>0</v>
      </c>
      <c r="BB78" s="20" t="n">
        <f aca="false">IF(AO78&gt;PR_BalDone,MIN(F_CardPayM,AO78+AO78*(D_iC)),0)</f>
        <v>0</v>
      </c>
      <c r="BC78" s="20" t="n">
        <f aca="false">MAX(0,AP78)</f>
        <v>0</v>
      </c>
      <c r="BD78" s="20" t="n">
        <f aca="false">SUM(AQ78:BB78)</f>
        <v>0</v>
      </c>
      <c r="BE78" s="20" t="n">
        <f aca="false">'Plan cashflow'!P78</f>
        <v>0</v>
      </c>
      <c r="BF78" s="20" t="n">
        <f aca="false">IF(BE78&gt;PR_BalDone,BE78+BE78*(D_iL)-MIN(F_LoanPayM,BE78+BE78*(D_iL)),BE78)</f>
        <v>0</v>
      </c>
      <c r="BG78" s="20" t="n">
        <f aca="false">IF(BF78&gt;PR_BalDone,BF78+BF78*(D_iL)-MIN(F_LoanPayM,BF78+BF78*(D_iL)),BF78)</f>
        <v>0</v>
      </c>
      <c r="BH78" s="20" t="n">
        <f aca="false">IF(BG78&gt;PR_BalDone,BG78+BG78*(D_iL)-MIN(F_LoanPayM,BG78+BG78*(D_iL)),BG78)</f>
        <v>0</v>
      </c>
      <c r="BI78" s="20" t="n">
        <f aca="false">IF(BH78&gt;PR_BalDone,BH78+BH78*(D_iL)-MIN(F_LoanPayM,BH78+BH78*(D_iL)),BH78)</f>
        <v>0</v>
      </c>
      <c r="BJ78" s="20" t="n">
        <f aca="false">IF(BI78&gt;PR_BalDone,BI78+BI78*(D_iL)-MIN(F_LoanPayM,BI78+BI78*(D_iL)),BI78)</f>
        <v>0</v>
      </c>
      <c r="BK78" s="20" t="n">
        <f aca="false">IF(BJ78&gt;PR_BalDone,BJ78+BJ78*(D_iL)-MIN(F_LoanPayM,BJ78+BJ78*(D_iL)),BJ78)</f>
        <v>0</v>
      </c>
      <c r="BL78" s="20" t="n">
        <f aca="false">IF(BK78&gt;PR_BalDone,BK78+BK78*(D_iL)-MIN(F_LoanPayM,BK78+BK78*(D_iL)),BK78)</f>
        <v>0</v>
      </c>
      <c r="BM78" s="20" t="n">
        <f aca="false">IF(BL78&gt;PR_BalDone,BL78+BL78*(D_iL)-MIN(F_LoanPayM,BL78+BL78*(D_iL)),BL78)</f>
        <v>0</v>
      </c>
      <c r="BN78" s="20" t="n">
        <f aca="false">IF(BM78&gt;PR_BalDone,BM78+BM78*(D_iL)-MIN(F_LoanPayM,BM78+BM78*(D_iL)),BM78)</f>
        <v>0</v>
      </c>
      <c r="BO78" s="20" t="n">
        <f aca="false">IF(BN78&gt;PR_BalDone,BN78+BN78*(D_iL)-MIN(F_LoanPayM,BN78+BN78*(D_iL)),BN78)</f>
        <v>0</v>
      </c>
      <c r="BP78" s="20" t="n">
        <f aca="false">IF(BO78&gt;PR_BalDone,BO78+BO78*(D_iL)-MIN(F_LoanPayM,BO78+BO78*(D_iL)),BO78)</f>
        <v>0</v>
      </c>
      <c r="BQ78" s="20" t="n">
        <f aca="false">IF(BP78&gt;PR_BalDone,BP78+BP78*(D_iL)-MIN(F_LoanPayM,BP78+BP78*(D_iL)),BP78)</f>
        <v>0</v>
      </c>
      <c r="BR78" s="20" t="n">
        <f aca="false">IF(BE78&gt;PR_BalDone,MIN(F_LoanPayM,BE78+BE78*(D_iL)),0)</f>
        <v>0</v>
      </c>
      <c r="BS78" s="20" t="n">
        <f aca="false">IF(BF78&gt;PR_BalDone,MIN(F_LoanPayM,BF78+BF78*(D_iL)),0)</f>
        <v>0</v>
      </c>
      <c r="BT78" s="20" t="n">
        <f aca="false">IF(BG78&gt;PR_BalDone,MIN(F_LoanPayM,BG78+BG78*(D_iL)),0)</f>
        <v>0</v>
      </c>
      <c r="BU78" s="20" t="n">
        <f aca="false">IF(BH78&gt;PR_BalDone,MIN(F_LoanPayM,BH78+BH78*(D_iL)),0)</f>
        <v>0</v>
      </c>
      <c r="BV78" s="20" t="n">
        <f aca="false">IF(BI78&gt;PR_BalDone,MIN(F_LoanPayM,BI78+BI78*(D_iL)),0)</f>
        <v>0</v>
      </c>
      <c r="BW78" s="20" t="n">
        <f aca="false">IF(BJ78&gt;PR_BalDone,MIN(F_LoanPayM,BJ78+BJ78*(D_iL)),0)</f>
        <v>0</v>
      </c>
      <c r="BX78" s="20" t="n">
        <f aca="false">IF(BK78&gt;PR_BalDone,MIN(F_LoanPayM,BK78+BK78*(D_iL)),0)</f>
        <v>0</v>
      </c>
      <c r="BY78" s="20" t="n">
        <f aca="false">IF(BL78&gt;PR_BalDone,MIN(F_LoanPayM,BL78+BL78*(D_iL)),0)</f>
        <v>0</v>
      </c>
      <c r="BZ78" s="20" t="n">
        <f aca="false">IF(BM78&gt;PR_BalDone,MIN(F_LoanPayM,BM78+BM78*(D_iL)),0)</f>
        <v>0</v>
      </c>
      <c r="CA78" s="20" t="n">
        <f aca="false">IF(BN78&gt;PR_BalDone,MIN(F_LoanPayM,BN78+BN78*(D_iL)),0)</f>
        <v>0</v>
      </c>
      <c r="CB78" s="20" t="n">
        <f aca="false">IF(BO78&gt;PR_BalDone,MIN(F_LoanPayM,BO78+BO78*(D_iL)),0)</f>
        <v>0</v>
      </c>
      <c r="CC78" s="20" t="n">
        <f aca="false">IF(BP78&gt;PR_BalDone,MIN(F_LoanPayM,BP78+BP78*(D_iL)),0)</f>
        <v>0</v>
      </c>
      <c r="CD78" s="20" t="n">
        <f aca="false">MAX(0,BQ78)</f>
        <v>0</v>
      </c>
      <c r="CE78" s="20" t="n">
        <f aca="false">SUM(BR78:CC78)</f>
        <v>0</v>
      </c>
      <c r="CF78" s="20" t="n">
        <f aca="false">IF(CF77&gt;1,DE77,CF77)</f>
        <v>0</v>
      </c>
      <c r="CG78" s="20" t="n">
        <f aca="false">IF(CF78&gt;PR_BalDone,CF78+CF78*(F_MR/12)-MIN(F_MortPayM,CF78+CF78*(F_MR/12)),CF78)</f>
        <v>0</v>
      </c>
      <c r="CH78" s="20" t="n">
        <f aca="false">IF(CG78&gt;PR_BalDone,CG78+CG78*(F_MR/12)-MIN(F_MortPayM,CG78+CG78*(F_MR/12)),CG78)</f>
        <v>0</v>
      </c>
      <c r="CI78" s="20" t="n">
        <f aca="false">IF(CH78&gt;PR_BalDone,CH78+CH78*(F_MR/12)-MIN(F_MortPayM,CH78+CH78*(F_MR/12)),CH78)</f>
        <v>0</v>
      </c>
      <c r="CJ78" s="20" t="n">
        <f aca="false">IF(CI78&gt;PR_BalDone,CI78+CI78*(F_MR/12)-MIN(F_MortPayM,CI78+CI78*(F_MR/12)),CI78)</f>
        <v>0</v>
      </c>
      <c r="CK78" s="20" t="n">
        <f aca="false">IF(CJ78&gt;PR_BalDone,CJ78+CJ78*(F_MR/12)-MIN(F_MortPayM,CJ78+CJ78*(F_MR/12)),CJ78)</f>
        <v>0</v>
      </c>
      <c r="CL78" s="20" t="n">
        <f aca="false">IF(CK78&gt;PR_BalDone,CK78+CK78*(F_MR/12)-MIN(F_MortPayM,CK78+CK78*(F_MR/12)),CK78)</f>
        <v>0</v>
      </c>
      <c r="CM78" s="20" t="n">
        <f aca="false">IF(CL78&gt;PR_BalDone,CL78+CL78*(F_MR/12)-MIN(F_MortPayM,CL78+CL78*(F_MR/12)),CL78)</f>
        <v>0</v>
      </c>
      <c r="CN78" s="20" t="n">
        <f aca="false">IF(CM78&gt;PR_BalDone,CM78+CM78*(F_MR/12)-MIN(F_MortPayM,CM78+CM78*(F_MR/12)),CM78)</f>
        <v>0</v>
      </c>
      <c r="CO78" s="20" t="n">
        <f aca="false">IF(CN78&gt;PR_BalDone,CN78+CN78*(F_MR/12)-MIN(F_MortPayM,CN78+CN78*(F_MR/12)),CN78)</f>
        <v>0</v>
      </c>
      <c r="CP78" s="20" t="n">
        <f aca="false">IF(CO78&gt;PR_BalDone,CO78+CO78*(F_MR/12)-MIN(F_MortPayM,CO78+CO78*(F_MR/12)),CO78)</f>
        <v>0</v>
      </c>
      <c r="CQ78" s="20" t="n">
        <f aca="false">IF(CP78&gt;PR_BalDone,CP78+CP78*(F_MR/12)-MIN(F_MortPayM,CP78+CP78*(F_MR/12)),CP78)</f>
        <v>0</v>
      </c>
      <c r="CR78" s="20" t="n">
        <f aca="false">IF(CQ78&gt;PR_BalDone,CQ78+CQ78*(F_MR/12)-MIN(F_MortPayM,CQ78+CQ78*(F_MR/12)),CQ78)</f>
        <v>0</v>
      </c>
      <c r="CS78" s="20" t="n">
        <f aca="false">IF(CF78&gt;PR_BalDone,MIN(F_MortPayM,CF78+CF78*(F_MR/12)),0)</f>
        <v>0</v>
      </c>
      <c r="CT78" s="20" t="n">
        <f aca="false">IF(CG78&gt;PR_BalDone,MIN(F_MortPayM,CG78+CG78*(F_MR/12)),0)</f>
        <v>0</v>
      </c>
      <c r="CU78" s="20" t="n">
        <f aca="false">IF(CH78&gt;PR_BalDone,MIN(F_MortPayM,CH78+CH78*(F_MR/12)),0)</f>
        <v>0</v>
      </c>
      <c r="CV78" s="20" t="n">
        <f aca="false">IF(CI78&gt;PR_BalDone,MIN(F_MortPayM,CI78+CI78*(F_MR/12)),0)</f>
        <v>0</v>
      </c>
      <c r="CW78" s="20" t="n">
        <f aca="false">IF(CJ78&gt;PR_BalDone,MIN(F_MortPayM,CJ78+CJ78*(F_MR/12)),0)</f>
        <v>0</v>
      </c>
      <c r="CX78" s="20" t="n">
        <f aca="false">IF(CK78&gt;PR_BalDone,MIN(F_MortPayM,CK78+CK78*(F_MR/12)),0)</f>
        <v>0</v>
      </c>
      <c r="CY78" s="20" t="n">
        <f aca="false">IF(CL78&gt;PR_BalDone,MIN(F_MortPayM,CL78+CL78*(F_MR/12)),0)</f>
        <v>0</v>
      </c>
      <c r="CZ78" s="20" t="n">
        <f aca="false">IF(CM78&gt;PR_BalDone,MIN(F_MortPayM,CM78+CM78*(F_MR/12)),0)</f>
        <v>0</v>
      </c>
      <c r="DA78" s="20" t="n">
        <f aca="false">IF(CN78&gt;PR_BalDone,MIN(F_MortPayM,CN78+CN78*(F_MR/12)),0)</f>
        <v>0</v>
      </c>
      <c r="DB78" s="20" t="n">
        <f aca="false">IF(CO78&gt;PR_BalDone,MIN(F_MortPayM,CO78+CO78*(F_MR/12)),0)</f>
        <v>0</v>
      </c>
      <c r="DC78" s="20" t="n">
        <f aca="false">IF(CP78&gt;PR_BalDone,MIN(F_MortPayM,CP78+CP78*(F_MR/12)),0)</f>
        <v>0</v>
      </c>
      <c r="DD78" s="20" t="n">
        <f aca="false">IF(CQ78&gt;PR_BalDone,MIN(F_MortPayM,CQ78+CQ78*(F_MR/12)),0)</f>
        <v>0</v>
      </c>
      <c r="DE78" s="20" t="n">
        <f aca="false">MAX(0,CR78)</f>
        <v>0</v>
      </c>
      <c r="DF78" s="20" t="n">
        <f aca="false">SUM(CS78:DD78)</f>
        <v>0</v>
      </c>
      <c r="DG78" s="20" t="n">
        <f aca="false">MAX(0,CF78)</f>
        <v>0</v>
      </c>
    </row>
    <row r="79" customFormat="false" ht="15" hidden="false" customHeight="true" outlineLevel="0" collapsed="false">
      <c r="B79" s="20" t="n">
        <v>71</v>
      </c>
      <c r="C79" s="20" t="n">
        <f aca="false">'Plan cashflow'!J79</f>
        <v>0</v>
      </c>
      <c r="D79" s="20" t="n">
        <f aca="false">IF(C79&gt;PR_BalDone,C79+C79*(F_MR/12)-MIN(F_MortPayM,C79+C79*(F_MR/12)),C79)</f>
        <v>0</v>
      </c>
      <c r="E79" s="20" t="n">
        <f aca="false">IF(D79&gt;PR_BalDone,D79+D79*(F_MR/12)-MIN(F_MortPayM,D79+D79*(F_MR/12)),D79)</f>
        <v>0</v>
      </c>
      <c r="F79" s="20" t="n">
        <f aca="false">IF(E79&gt;PR_BalDone,E79+E79*(F_MR/12)-MIN(F_MortPayM,E79+E79*(F_MR/12)),E79)</f>
        <v>0</v>
      </c>
      <c r="G79" s="20" t="n">
        <f aca="false">IF(F79&gt;PR_BalDone,F79+F79*(F_MR/12)-MIN(F_MortPayM,F79+F79*(F_MR/12)),F79)</f>
        <v>0</v>
      </c>
      <c r="H79" s="20" t="n">
        <f aca="false">IF(G79&gt;PR_BalDone,G79+G79*(F_MR/12)-MIN(F_MortPayM,G79+G79*(F_MR/12)),G79)</f>
        <v>0</v>
      </c>
      <c r="I79" s="20" t="n">
        <f aca="false">IF(H79&gt;PR_BalDone,H79+H79*(F_MR/12)-MIN(F_MortPayM,H79+H79*(F_MR/12)),H79)</f>
        <v>0</v>
      </c>
      <c r="J79" s="20" t="n">
        <f aca="false">IF(I79&gt;PR_BalDone,I79+I79*(F_MR/12)-MIN(F_MortPayM,I79+I79*(F_MR/12)),I79)</f>
        <v>0</v>
      </c>
      <c r="K79" s="20" t="n">
        <f aca="false">IF(J79&gt;PR_BalDone,J79+J79*(F_MR/12)-MIN(F_MortPayM,J79+J79*(F_MR/12)),J79)</f>
        <v>0</v>
      </c>
      <c r="L79" s="20" t="n">
        <f aca="false">IF(K79&gt;PR_BalDone,K79+K79*(F_MR/12)-MIN(F_MortPayM,K79+K79*(F_MR/12)),K79)</f>
        <v>0</v>
      </c>
      <c r="M79" s="20" t="n">
        <f aca="false">IF(L79&gt;PR_BalDone,L79+L79*(F_MR/12)-MIN(F_MortPayM,L79+L79*(F_MR/12)),L79)</f>
        <v>0</v>
      </c>
      <c r="N79" s="20" t="n">
        <f aca="false">IF(M79&gt;PR_BalDone,M79+M79*(F_MR/12)-MIN(F_MortPayM,M79+M79*(F_MR/12)),M79)</f>
        <v>0</v>
      </c>
      <c r="O79" s="20" t="n">
        <f aca="false">IF(N79&gt;PR_BalDone,N79+N79*(F_MR/12)-MIN(F_MortPayM,N79+N79*(F_MR/12)),N79)</f>
        <v>0</v>
      </c>
      <c r="P79" s="20" t="n">
        <f aca="false">IF(C79&gt;PR_BalDone,MIN(F_MortPayM,C79+C79*(F_MR/12)),0)</f>
        <v>0</v>
      </c>
      <c r="Q79" s="20" t="n">
        <f aca="false">IF(D79&gt;PR_BalDone,MIN(F_MortPayM,D79+D79*(F_MR/12)),0)</f>
        <v>0</v>
      </c>
      <c r="R79" s="20" t="n">
        <f aca="false">IF(E79&gt;PR_BalDone,MIN(F_MortPayM,E79+E79*(F_MR/12)),0)</f>
        <v>0</v>
      </c>
      <c r="S79" s="20" t="n">
        <f aca="false">IF(F79&gt;PR_BalDone,MIN(F_MortPayM,F79+F79*(F_MR/12)),0)</f>
        <v>0</v>
      </c>
      <c r="T79" s="20" t="n">
        <f aca="false">IF(G79&gt;PR_BalDone,MIN(F_MortPayM,G79+G79*(F_MR/12)),0)</f>
        <v>0</v>
      </c>
      <c r="U79" s="20" t="n">
        <f aca="false">IF(H79&gt;PR_BalDone,MIN(F_MortPayM,H79+H79*(F_MR/12)),0)</f>
        <v>0</v>
      </c>
      <c r="V79" s="20" t="n">
        <f aca="false">IF(I79&gt;PR_BalDone,MIN(F_MortPayM,I79+I79*(F_MR/12)),0)</f>
        <v>0</v>
      </c>
      <c r="W79" s="20" t="n">
        <f aca="false">IF(J79&gt;PR_BalDone,MIN(F_MortPayM,J79+J79*(F_MR/12)),0)</f>
        <v>0</v>
      </c>
      <c r="X79" s="20" t="n">
        <f aca="false">IF(K79&gt;PR_BalDone,MIN(F_MortPayM,K79+K79*(F_MR/12)),0)</f>
        <v>0</v>
      </c>
      <c r="Y79" s="20" t="n">
        <f aca="false">IF(L79&gt;PR_BalDone,MIN(F_MortPayM,L79+L79*(F_MR/12)),0)</f>
        <v>0</v>
      </c>
      <c r="Z79" s="20" t="n">
        <f aca="false">IF(M79&gt;PR_BalDone,MIN(F_MortPayM,M79+M79*(F_MR/12)),0)</f>
        <v>0</v>
      </c>
      <c r="AA79" s="20" t="n">
        <f aca="false">IF(N79&gt;PR_BalDone,MIN(F_MortPayM,N79+N79*(F_MR/12)),0)</f>
        <v>0</v>
      </c>
      <c r="AB79" s="20" t="n">
        <f aca="false">MAX(0,O79)</f>
        <v>0</v>
      </c>
      <c r="AC79" s="20" t="n">
        <f aca="false">SUM(P79:AA79)</f>
        <v>0</v>
      </c>
      <c r="AD79" s="20" t="n">
        <f aca="false">'Plan cashflow'!M79</f>
        <v>0</v>
      </c>
      <c r="AE79" s="20" t="n">
        <f aca="false">IF(AD79&gt;PR_BalDone,AD79+AD79*(D_iC)-MIN(F_CardPayM,AD79+AD79*(D_iC)),AD79)</f>
        <v>0</v>
      </c>
      <c r="AF79" s="20" t="n">
        <f aca="false">IF(AE79&gt;PR_BalDone,AE79+AE79*(D_iC)-MIN(F_CardPayM,AE79+AE79*(D_iC)),AE79)</f>
        <v>0</v>
      </c>
      <c r="AG79" s="20" t="n">
        <f aca="false">IF(AF79&gt;PR_BalDone,AF79+AF79*(D_iC)-MIN(F_CardPayM,AF79+AF79*(D_iC)),AF79)</f>
        <v>0</v>
      </c>
      <c r="AH79" s="20" t="n">
        <f aca="false">IF(AG79&gt;PR_BalDone,AG79+AG79*(D_iC)-MIN(F_CardPayM,AG79+AG79*(D_iC)),AG79)</f>
        <v>0</v>
      </c>
      <c r="AI79" s="20" t="n">
        <f aca="false">IF(AH79&gt;PR_BalDone,AH79+AH79*(D_iC)-MIN(F_CardPayM,AH79+AH79*(D_iC)),AH79)</f>
        <v>0</v>
      </c>
      <c r="AJ79" s="20" t="n">
        <f aca="false">IF(AI79&gt;PR_BalDone,AI79+AI79*(D_iC)-MIN(F_CardPayM,AI79+AI79*(D_iC)),AI79)</f>
        <v>0</v>
      </c>
      <c r="AK79" s="20" t="n">
        <f aca="false">IF(AJ79&gt;PR_BalDone,AJ79+AJ79*(D_iC)-MIN(F_CardPayM,AJ79+AJ79*(D_iC)),AJ79)</f>
        <v>0</v>
      </c>
      <c r="AL79" s="20" t="n">
        <f aca="false">IF(AK79&gt;PR_BalDone,AK79+AK79*(D_iC)-MIN(F_CardPayM,AK79+AK79*(D_iC)),AK79)</f>
        <v>0</v>
      </c>
      <c r="AM79" s="20" t="n">
        <f aca="false">IF(AL79&gt;PR_BalDone,AL79+AL79*(D_iC)-MIN(F_CardPayM,AL79+AL79*(D_iC)),AL79)</f>
        <v>0</v>
      </c>
      <c r="AN79" s="20" t="n">
        <f aca="false">IF(AM79&gt;PR_BalDone,AM79+AM79*(D_iC)-MIN(F_CardPayM,AM79+AM79*(D_iC)),AM79)</f>
        <v>0</v>
      </c>
      <c r="AO79" s="20" t="n">
        <f aca="false">IF(AN79&gt;PR_BalDone,AN79+AN79*(D_iC)-MIN(F_CardPayM,AN79+AN79*(D_iC)),AN79)</f>
        <v>0</v>
      </c>
      <c r="AP79" s="20" t="n">
        <f aca="false">IF(AO79&gt;PR_BalDone,AO79+AO79*(D_iC)-MIN(F_CardPayM,AO79+AO79*(D_iC)),AO79)</f>
        <v>0</v>
      </c>
      <c r="AQ79" s="20" t="n">
        <f aca="false">IF(AD79&gt;PR_BalDone,MIN(F_CardPayM,AD79+AD79*(D_iC)),0)</f>
        <v>0</v>
      </c>
      <c r="AR79" s="20" t="n">
        <f aca="false">IF(AE79&gt;PR_BalDone,MIN(F_CardPayM,AE79+AE79*(D_iC)),0)</f>
        <v>0</v>
      </c>
      <c r="AS79" s="20" t="n">
        <f aca="false">IF(AF79&gt;PR_BalDone,MIN(F_CardPayM,AF79+AF79*(D_iC)),0)</f>
        <v>0</v>
      </c>
      <c r="AT79" s="20" t="n">
        <f aca="false">IF(AG79&gt;PR_BalDone,MIN(F_CardPayM,AG79+AG79*(D_iC)),0)</f>
        <v>0</v>
      </c>
      <c r="AU79" s="20" t="n">
        <f aca="false">IF(AH79&gt;PR_BalDone,MIN(F_CardPayM,AH79+AH79*(D_iC)),0)</f>
        <v>0</v>
      </c>
      <c r="AV79" s="20" t="n">
        <f aca="false">IF(AI79&gt;PR_BalDone,MIN(F_CardPayM,AI79+AI79*(D_iC)),0)</f>
        <v>0</v>
      </c>
      <c r="AW79" s="20" t="n">
        <f aca="false">IF(AJ79&gt;PR_BalDone,MIN(F_CardPayM,AJ79+AJ79*(D_iC)),0)</f>
        <v>0</v>
      </c>
      <c r="AX79" s="20" t="n">
        <f aca="false">IF(AK79&gt;PR_BalDone,MIN(F_CardPayM,AK79+AK79*(D_iC)),0)</f>
        <v>0</v>
      </c>
      <c r="AY79" s="20" t="n">
        <f aca="false">IF(AL79&gt;PR_BalDone,MIN(F_CardPayM,AL79+AL79*(D_iC)),0)</f>
        <v>0</v>
      </c>
      <c r="AZ79" s="20" t="n">
        <f aca="false">IF(AM79&gt;PR_BalDone,MIN(F_CardPayM,AM79+AM79*(D_iC)),0)</f>
        <v>0</v>
      </c>
      <c r="BA79" s="20" t="n">
        <f aca="false">IF(AN79&gt;PR_BalDone,MIN(F_CardPayM,AN79+AN79*(D_iC)),0)</f>
        <v>0</v>
      </c>
      <c r="BB79" s="20" t="n">
        <f aca="false">IF(AO79&gt;PR_BalDone,MIN(F_CardPayM,AO79+AO79*(D_iC)),0)</f>
        <v>0</v>
      </c>
      <c r="BC79" s="20" t="n">
        <f aca="false">MAX(0,AP79)</f>
        <v>0</v>
      </c>
      <c r="BD79" s="20" t="n">
        <f aca="false">SUM(AQ79:BB79)</f>
        <v>0</v>
      </c>
      <c r="BE79" s="20" t="n">
        <f aca="false">'Plan cashflow'!P79</f>
        <v>0</v>
      </c>
      <c r="BF79" s="20" t="n">
        <f aca="false">IF(BE79&gt;PR_BalDone,BE79+BE79*(D_iL)-MIN(F_LoanPayM,BE79+BE79*(D_iL)),BE79)</f>
        <v>0</v>
      </c>
      <c r="BG79" s="20" t="n">
        <f aca="false">IF(BF79&gt;PR_BalDone,BF79+BF79*(D_iL)-MIN(F_LoanPayM,BF79+BF79*(D_iL)),BF79)</f>
        <v>0</v>
      </c>
      <c r="BH79" s="20" t="n">
        <f aca="false">IF(BG79&gt;PR_BalDone,BG79+BG79*(D_iL)-MIN(F_LoanPayM,BG79+BG79*(D_iL)),BG79)</f>
        <v>0</v>
      </c>
      <c r="BI79" s="20" t="n">
        <f aca="false">IF(BH79&gt;PR_BalDone,BH79+BH79*(D_iL)-MIN(F_LoanPayM,BH79+BH79*(D_iL)),BH79)</f>
        <v>0</v>
      </c>
      <c r="BJ79" s="20" t="n">
        <f aca="false">IF(BI79&gt;PR_BalDone,BI79+BI79*(D_iL)-MIN(F_LoanPayM,BI79+BI79*(D_iL)),BI79)</f>
        <v>0</v>
      </c>
      <c r="BK79" s="20" t="n">
        <f aca="false">IF(BJ79&gt;PR_BalDone,BJ79+BJ79*(D_iL)-MIN(F_LoanPayM,BJ79+BJ79*(D_iL)),BJ79)</f>
        <v>0</v>
      </c>
      <c r="BL79" s="20" t="n">
        <f aca="false">IF(BK79&gt;PR_BalDone,BK79+BK79*(D_iL)-MIN(F_LoanPayM,BK79+BK79*(D_iL)),BK79)</f>
        <v>0</v>
      </c>
      <c r="BM79" s="20" t="n">
        <f aca="false">IF(BL79&gt;PR_BalDone,BL79+BL79*(D_iL)-MIN(F_LoanPayM,BL79+BL79*(D_iL)),BL79)</f>
        <v>0</v>
      </c>
      <c r="BN79" s="20" t="n">
        <f aca="false">IF(BM79&gt;PR_BalDone,BM79+BM79*(D_iL)-MIN(F_LoanPayM,BM79+BM79*(D_iL)),BM79)</f>
        <v>0</v>
      </c>
      <c r="BO79" s="20" t="n">
        <f aca="false">IF(BN79&gt;PR_BalDone,BN79+BN79*(D_iL)-MIN(F_LoanPayM,BN79+BN79*(D_iL)),BN79)</f>
        <v>0</v>
      </c>
      <c r="BP79" s="20" t="n">
        <f aca="false">IF(BO79&gt;PR_BalDone,BO79+BO79*(D_iL)-MIN(F_LoanPayM,BO79+BO79*(D_iL)),BO79)</f>
        <v>0</v>
      </c>
      <c r="BQ79" s="20" t="n">
        <f aca="false">IF(BP79&gt;PR_BalDone,BP79+BP79*(D_iL)-MIN(F_LoanPayM,BP79+BP79*(D_iL)),BP79)</f>
        <v>0</v>
      </c>
      <c r="BR79" s="20" t="n">
        <f aca="false">IF(BE79&gt;PR_BalDone,MIN(F_LoanPayM,BE79+BE79*(D_iL)),0)</f>
        <v>0</v>
      </c>
      <c r="BS79" s="20" t="n">
        <f aca="false">IF(BF79&gt;PR_BalDone,MIN(F_LoanPayM,BF79+BF79*(D_iL)),0)</f>
        <v>0</v>
      </c>
      <c r="BT79" s="20" t="n">
        <f aca="false">IF(BG79&gt;PR_BalDone,MIN(F_LoanPayM,BG79+BG79*(D_iL)),0)</f>
        <v>0</v>
      </c>
      <c r="BU79" s="20" t="n">
        <f aca="false">IF(BH79&gt;PR_BalDone,MIN(F_LoanPayM,BH79+BH79*(D_iL)),0)</f>
        <v>0</v>
      </c>
      <c r="BV79" s="20" t="n">
        <f aca="false">IF(BI79&gt;PR_BalDone,MIN(F_LoanPayM,BI79+BI79*(D_iL)),0)</f>
        <v>0</v>
      </c>
      <c r="BW79" s="20" t="n">
        <f aca="false">IF(BJ79&gt;PR_BalDone,MIN(F_LoanPayM,BJ79+BJ79*(D_iL)),0)</f>
        <v>0</v>
      </c>
      <c r="BX79" s="20" t="n">
        <f aca="false">IF(BK79&gt;PR_BalDone,MIN(F_LoanPayM,BK79+BK79*(D_iL)),0)</f>
        <v>0</v>
      </c>
      <c r="BY79" s="20" t="n">
        <f aca="false">IF(BL79&gt;PR_BalDone,MIN(F_LoanPayM,BL79+BL79*(D_iL)),0)</f>
        <v>0</v>
      </c>
      <c r="BZ79" s="20" t="n">
        <f aca="false">IF(BM79&gt;PR_BalDone,MIN(F_LoanPayM,BM79+BM79*(D_iL)),0)</f>
        <v>0</v>
      </c>
      <c r="CA79" s="20" t="n">
        <f aca="false">IF(BN79&gt;PR_BalDone,MIN(F_LoanPayM,BN79+BN79*(D_iL)),0)</f>
        <v>0</v>
      </c>
      <c r="CB79" s="20" t="n">
        <f aca="false">IF(BO79&gt;PR_BalDone,MIN(F_LoanPayM,BO79+BO79*(D_iL)),0)</f>
        <v>0</v>
      </c>
      <c r="CC79" s="20" t="n">
        <f aca="false">IF(BP79&gt;PR_BalDone,MIN(F_LoanPayM,BP79+BP79*(D_iL)),0)</f>
        <v>0</v>
      </c>
      <c r="CD79" s="20" t="n">
        <f aca="false">MAX(0,BQ79)</f>
        <v>0</v>
      </c>
      <c r="CE79" s="20" t="n">
        <f aca="false">SUM(BR79:CC79)</f>
        <v>0</v>
      </c>
      <c r="CF79" s="20" t="n">
        <f aca="false">IF(CF78&gt;1,DE78,CF78)</f>
        <v>0</v>
      </c>
      <c r="CG79" s="20" t="n">
        <f aca="false">IF(CF79&gt;PR_BalDone,CF79+CF79*(F_MR/12)-MIN(F_MortPayM,CF79+CF79*(F_MR/12)),CF79)</f>
        <v>0</v>
      </c>
      <c r="CH79" s="20" t="n">
        <f aca="false">IF(CG79&gt;PR_BalDone,CG79+CG79*(F_MR/12)-MIN(F_MortPayM,CG79+CG79*(F_MR/12)),CG79)</f>
        <v>0</v>
      </c>
      <c r="CI79" s="20" t="n">
        <f aca="false">IF(CH79&gt;PR_BalDone,CH79+CH79*(F_MR/12)-MIN(F_MortPayM,CH79+CH79*(F_MR/12)),CH79)</f>
        <v>0</v>
      </c>
      <c r="CJ79" s="20" t="n">
        <f aca="false">IF(CI79&gt;PR_BalDone,CI79+CI79*(F_MR/12)-MIN(F_MortPayM,CI79+CI79*(F_MR/12)),CI79)</f>
        <v>0</v>
      </c>
      <c r="CK79" s="20" t="n">
        <f aca="false">IF(CJ79&gt;PR_BalDone,CJ79+CJ79*(F_MR/12)-MIN(F_MortPayM,CJ79+CJ79*(F_MR/12)),CJ79)</f>
        <v>0</v>
      </c>
      <c r="CL79" s="20" t="n">
        <f aca="false">IF(CK79&gt;PR_BalDone,CK79+CK79*(F_MR/12)-MIN(F_MortPayM,CK79+CK79*(F_MR/12)),CK79)</f>
        <v>0</v>
      </c>
      <c r="CM79" s="20" t="n">
        <f aca="false">IF(CL79&gt;PR_BalDone,CL79+CL79*(F_MR/12)-MIN(F_MortPayM,CL79+CL79*(F_MR/12)),CL79)</f>
        <v>0</v>
      </c>
      <c r="CN79" s="20" t="n">
        <f aca="false">IF(CM79&gt;PR_BalDone,CM79+CM79*(F_MR/12)-MIN(F_MortPayM,CM79+CM79*(F_MR/12)),CM79)</f>
        <v>0</v>
      </c>
      <c r="CO79" s="20" t="n">
        <f aca="false">IF(CN79&gt;PR_BalDone,CN79+CN79*(F_MR/12)-MIN(F_MortPayM,CN79+CN79*(F_MR/12)),CN79)</f>
        <v>0</v>
      </c>
      <c r="CP79" s="20" t="n">
        <f aca="false">IF(CO79&gt;PR_BalDone,CO79+CO79*(F_MR/12)-MIN(F_MortPayM,CO79+CO79*(F_MR/12)),CO79)</f>
        <v>0</v>
      </c>
      <c r="CQ79" s="20" t="n">
        <f aca="false">IF(CP79&gt;PR_BalDone,CP79+CP79*(F_MR/12)-MIN(F_MortPayM,CP79+CP79*(F_MR/12)),CP79)</f>
        <v>0</v>
      </c>
      <c r="CR79" s="20" t="n">
        <f aca="false">IF(CQ79&gt;PR_BalDone,CQ79+CQ79*(F_MR/12)-MIN(F_MortPayM,CQ79+CQ79*(F_MR/12)),CQ79)</f>
        <v>0</v>
      </c>
      <c r="CS79" s="20" t="n">
        <f aca="false">IF(CF79&gt;PR_BalDone,MIN(F_MortPayM,CF79+CF79*(F_MR/12)),0)</f>
        <v>0</v>
      </c>
      <c r="CT79" s="20" t="n">
        <f aca="false">IF(CG79&gt;PR_BalDone,MIN(F_MortPayM,CG79+CG79*(F_MR/12)),0)</f>
        <v>0</v>
      </c>
      <c r="CU79" s="20" t="n">
        <f aca="false">IF(CH79&gt;PR_BalDone,MIN(F_MortPayM,CH79+CH79*(F_MR/12)),0)</f>
        <v>0</v>
      </c>
      <c r="CV79" s="20" t="n">
        <f aca="false">IF(CI79&gt;PR_BalDone,MIN(F_MortPayM,CI79+CI79*(F_MR/12)),0)</f>
        <v>0</v>
      </c>
      <c r="CW79" s="20" t="n">
        <f aca="false">IF(CJ79&gt;PR_BalDone,MIN(F_MortPayM,CJ79+CJ79*(F_MR/12)),0)</f>
        <v>0</v>
      </c>
      <c r="CX79" s="20" t="n">
        <f aca="false">IF(CK79&gt;PR_BalDone,MIN(F_MortPayM,CK79+CK79*(F_MR/12)),0)</f>
        <v>0</v>
      </c>
      <c r="CY79" s="20" t="n">
        <f aca="false">IF(CL79&gt;PR_BalDone,MIN(F_MortPayM,CL79+CL79*(F_MR/12)),0)</f>
        <v>0</v>
      </c>
      <c r="CZ79" s="20" t="n">
        <f aca="false">IF(CM79&gt;PR_BalDone,MIN(F_MortPayM,CM79+CM79*(F_MR/12)),0)</f>
        <v>0</v>
      </c>
      <c r="DA79" s="20" t="n">
        <f aca="false">IF(CN79&gt;PR_BalDone,MIN(F_MortPayM,CN79+CN79*(F_MR/12)),0)</f>
        <v>0</v>
      </c>
      <c r="DB79" s="20" t="n">
        <f aca="false">IF(CO79&gt;PR_BalDone,MIN(F_MortPayM,CO79+CO79*(F_MR/12)),0)</f>
        <v>0</v>
      </c>
      <c r="DC79" s="20" t="n">
        <f aca="false">IF(CP79&gt;PR_BalDone,MIN(F_MortPayM,CP79+CP79*(F_MR/12)),0)</f>
        <v>0</v>
      </c>
      <c r="DD79" s="20" t="n">
        <f aca="false">IF(CQ79&gt;PR_BalDone,MIN(F_MortPayM,CQ79+CQ79*(F_MR/12)),0)</f>
        <v>0</v>
      </c>
      <c r="DE79" s="20" t="n">
        <f aca="false">MAX(0,CR79)</f>
        <v>0</v>
      </c>
      <c r="DF79" s="20" t="n">
        <f aca="false">SUM(CS79:DD79)</f>
        <v>0</v>
      </c>
      <c r="DG79" s="20" t="n">
        <f aca="false">MAX(0,CF79)</f>
        <v>0</v>
      </c>
    </row>
    <row r="80" customFormat="false" ht="15" hidden="false" customHeight="true" outlineLevel="0" collapsed="false">
      <c r="B80" s="20" t="n">
        <v>72</v>
      </c>
      <c r="C80" s="20" t="n">
        <f aca="false">'Plan cashflow'!J80</f>
        <v>0</v>
      </c>
      <c r="D80" s="20" t="n">
        <f aca="false">IF(C80&gt;PR_BalDone,C80+C80*(F_MR/12)-MIN(F_MortPayM,C80+C80*(F_MR/12)),C80)</f>
        <v>0</v>
      </c>
      <c r="E80" s="20" t="n">
        <f aca="false">IF(D80&gt;PR_BalDone,D80+D80*(F_MR/12)-MIN(F_MortPayM,D80+D80*(F_MR/12)),D80)</f>
        <v>0</v>
      </c>
      <c r="F80" s="20" t="n">
        <f aca="false">IF(E80&gt;PR_BalDone,E80+E80*(F_MR/12)-MIN(F_MortPayM,E80+E80*(F_MR/12)),E80)</f>
        <v>0</v>
      </c>
      <c r="G80" s="20" t="n">
        <f aca="false">IF(F80&gt;PR_BalDone,F80+F80*(F_MR/12)-MIN(F_MortPayM,F80+F80*(F_MR/12)),F80)</f>
        <v>0</v>
      </c>
      <c r="H80" s="20" t="n">
        <f aca="false">IF(G80&gt;PR_BalDone,G80+G80*(F_MR/12)-MIN(F_MortPayM,G80+G80*(F_MR/12)),G80)</f>
        <v>0</v>
      </c>
      <c r="I80" s="20" t="n">
        <f aca="false">IF(H80&gt;PR_BalDone,H80+H80*(F_MR/12)-MIN(F_MortPayM,H80+H80*(F_MR/12)),H80)</f>
        <v>0</v>
      </c>
      <c r="J80" s="20" t="n">
        <f aca="false">IF(I80&gt;PR_BalDone,I80+I80*(F_MR/12)-MIN(F_MortPayM,I80+I80*(F_MR/12)),I80)</f>
        <v>0</v>
      </c>
      <c r="K80" s="20" t="n">
        <f aca="false">IF(J80&gt;PR_BalDone,J80+J80*(F_MR/12)-MIN(F_MortPayM,J80+J80*(F_MR/12)),J80)</f>
        <v>0</v>
      </c>
      <c r="L80" s="20" t="n">
        <f aca="false">IF(K80&gt;PR_BalDone,K80+K80*(F_MR/12)-MIN(F_MortPayM,K80+K80*(F_MR/12)),K80)</f>
        <v>0</v>
      </c>
      <c r="M80" s="20" t="n">
        <f aca="false">IF(L80&gt;PR_BalDone,L80+L80*(F_MR/12)-MIN(F_MortPayM,L80+L80*(F_MR/12)),L80)</f>
        <v>0</v>
      </c>
      <c r="N80" s="20" t="n">
        <f aca="false">IF(M80&gt;PR_BalDone,M80+M80*(F_MR/12)-MIN(F_MortPayM,M80+M80*(F_MR/12)),M80)</f>
        <v>0</v>
      </c>
      <c r="O80" s="20" t="n">
        <f aca="false">IF(N80&gt;PR_BalDone,N80+N80*(F_MR/12)-MIN(F_MortPayM,N80+N80*(F_MR/12)),N80)</f>
        <v>0</v>
      </c>
      <c r="P80" s="20" t="n">
        <f aca="false">IF(C80&gt;PR_BalDone,MIN(F_MortPayM,C80+C80*(F_MR/12)),0)</f>
        <v>0</v>
      </c>
      <c r="Q80" s="20" t="n">
        <f aca="false">IF(D80&gt;PR_BalDone,MIN(F_MortPayM,D80+D80*(F_MR/12)),0)</f>
        <v>0</v>
      </c>
      <c r="R80" s="20" t="n">
        <f aca="false">IF(E80&gt;PR_BalDone,MIN(F_MortPayM,E80+E80*(F_MR/12)),0)</f>
        <v>0</v>
      </c>
      <c r="S80" s="20" t="n">
        <f aca="false">IF(F80&gt;PR_BalDone,MIN(F_MortPayM,F80+F80*(F_MR/12)),0)</f>
        <v>0</v>
      </c>
      <c r="T80" s="20" t="n">
        <f aca="false">IF(G80&gt;PR_BalDone,MIN(F_MortPayM,G80+G80*(F_MR/12)),0)</f>
        <v>0</v>
      </c>
      <c r="U80" s="20" t="n">
        <f aca="false">IF(H80&gt;PR_BalDone,MIN(F_MortPayM,H80+H80*(F_MR/12)),0)</f>
        <v>0</v>
      </c>
      <c r="V80" s="20" t="n">
        <f aca="false">IF(I80&gt;PR_BalDone,MIN(F_MortPayM,I80+I80*(F_MR/12)),0)</f>
        <v>0</v>
      </c>
      <c r="W80" s="20" t="n">
        <f aca="false">IF(J80&gt;PR_BalDone,MIN(F_MortPayM,J80+J80*(F_MR/12)),0)</f>
        <v>0</v>
      </c>
      <c r="X80" s="20" t="n">
        <f aca="false">IF(K80&gt;PR_BalDone,MIN(F_MortPayM,K80+K80*(F_MR/12)),0)</f>
        <v>0</v>
      </c>
      <c r="Y80" s="20" t="n">
        <f aca="false">IF(L80&gt;PR_BalDone,MIN(F_MortPayM,L80+L80*(F_MR/12)),0)</f>
        <v>0</v>
      </c>
      <c r="Z80" s="20" t="n">
        <f aca="false">IF(M80&gt;PR_BalDone,MIN(F_MortPayM,M80+M80*(F_MR/12)),0)</f>
        <v>0</v>
      </c>
      <c r="AA80" s="20" t="n">
        <f aca="false">IF(N80&gt;PR_BalDone,MIN(F_MortPayM,N80+N80*(F_MR/12)),0)</f>
        <v>0</v>
      </c>
      <c r="AB80" s="20" t="n">
        <f aca="false">MAX(0,O80)</f>
        <v>0</v>
      </c>
      <c r="AC80" s="20" t="n">
        <f aca="false">SUM(P80:AA80)</f>
        <v>0</v>
      </c>
      <c r="AD80" s="20" t="n">
        <f aca="false">'Plan cashflow'!M80</f>
        <v>0</v>
      </c>
      <c r="AE80" s="20" t="n">
        <f aca="false">IF(AD80&gt;PR_BalDone,AD80+AD80*(D_iC)-MIN(F_CardPayM,AD80+AD80*(D_iC)),AD80)</f>
        <v>0</v>
      </c>
      <c r="AF80" s="20" t="n">
        <f aca="false">IF(AE80&gt;PR_BalDone,AE80+AE80*(D_iC)-MIN(F_CardPayM,AE80+AE80*(D_iC)),AE80)</f>
        <v>0</v>
      </c>
      <c r="AG80" s="20" t="n">
        <f aca="false">IF(AF80&gt;PR_BalDone,AF80+AF80*(D_iC)-MIN(F_CardPayM,AF80+AF80*(D_iC)),AF80)</f>
        <v>0</v>
      </c>
      <c r="AH80" s="20" t="n">
        <f aca="false">IF(AG80&gt;PR_BalDone,AG80+AG80*(D_iC)-MIN(F_CardPayM,AG80+AG80*(D_iC)),AG80)</f>
        <v>0</v>
      </c>
      <c r="AI80" s="20" t="n">
        <f aca="false">IF(AH80&gt;PR_BalDone,AH80+AH80*(D_iC)-MIN(F_CardPayM,AH80+AH80*(D_iC)),AH80)</f>
        <v>0</v>
      </c>
      <c r="AJ80" s="20" t="n">
        <f aca="false">IF(AI80&gt;PR_BalDone,AI80+AI80*(D_iC)-MIN(F_CardPayM,AI80+AI80*(D_iC)),AI80)</f>
        <v>0</v>
      </c>
      <c r="AK80" s="20" t="n">
        <f aca="false">IF(AJ80&gt;PR_BalDone,AJ80+AJ80*(D_iC)-MIN(F_CardPayM,AJ80+AJ80*(D_iC)),AJ80)</f>
        <v>0</v>
      </c>
      <c r="AL80" s="20" t="n">
        <f aca="false">IF(AK80&gt;PR_BalDone,AK80+AK80*(D_iC)-MIN(F_CardPayM,AK80+AK80*(D_iC)),AK80)</f>
        <v>0</v>
      </c>
      <c r="AM80" s="20" t="n">
        <f aca="false">IF(AL80&gt;PR_BalDone,AL80+AL80*(D_iC)-MIN(F_CardPayM,AL80+AL80*(D_iC)),AL80)</f>
        <v>0</v>
      </c>
      <c r="AN80" s="20" t="n">
        <f aca="false">IF(AM80&gt;PR_BalDone,AM80+AM80*(D_iC)-MIN(F_CardPayM,AM80+AM80*(D_iC)),AM80)</f>
        <v>0</v>
      </c>
      <c r="AO80" s="20" t="n">
        <f aca="false">IF(AN80&gt;PR_BalDone,AN80+AN80*(D_iC)-MIN(F_CardPayM,AN80+AN80*(D_iC)),AN80)</f>
        <v>0</v>
      </c>
      <c r="AP80" s="20" t="n">
        <f aca="false">IF(AO80&gt;PR_BalDone,AO80+AO80*(D_iC)-MIN(F_CardPayM,AO80+AO80*(D_iC)),AO80)</f>
        <v>0</v>
      </c>
      <c r="AQ80" s="20" t="n">
        <f aca="false">IF(AD80&gt;PR_BalDone,MIN(F_CardPayM,AD80+AD80*(D_iC)),0)</f>
        <v>0</v>
      </c>
      <c r="AR80" s="20" t="n">
        <f aca="false">IF(AE80&gt;PR_BalDone,MIN(F_CardPayM,AE80+AE80*(D_iC)),0)</f>
        <v>0</v>
      </c>
      <c r="AS80" s="20" t="n">
        <f aca="false">IF(AF80&gt;PR_BalDone,MIN(F_CardPayM,AF80+AF80*(D_iC)),0)</f>
        <v>0</v>
      </c>
      <c r="AT80" s="20" t="n">
        <f aca="false">IF(AG80&gt;PR_BalDone,MIN(F_CardPayM,AG80+AG80*(D_iC)),0)</f>
        <v>0</v>
      </c>
      <c r="AU80" s="20" t="n">
        <f aca="false">IF(AH80&gt;PR_BalDone,MIN(F_CardPayM,AH80+AH80*(D_iC)),0)</f>
        <v>0</v>
      </c>
      <c r="AV80" s="20" t="n">
        <f aca="false">IF(AI80&gt;PR_BalDone,MIN(F_CardPayM,AI80+AI80*(D_iC)),0)</f>
        <v>0</v>
      </c>
      <c r="AW80" s="20" t="n">
        <f aca="false">IF(AJ80&gt;PR_BalDone,MIN(F_CardPayM,AJ80+AJ80*(D_iC)),0)</f>
        <v>0</v>
      </c>
      <c r="AX80" s="20" t="n">
        <f aca="false">IF(AK80&gt;PR_BalDone,MIN(F_CardPayM,AK80+AK80*(D_iC)),0)</f>
        <v>0</v>
      </c>
      <c r="AY80" s="20" t="n">
        <f aca="false">IF(AL80&gt;PR_BalDone,MIN(F_CardPayM,AL80+AL80*(D_iC)),0)</f>
        <v>0</v>
      </c>
      <c r="AZ80" s="20" t="n">
        <f aca="false">IF(AM80&gt;PR_BalDone,MIN(F_CardPayM,AM80+AM80*(D_iC)),0)</f>
        <v>0</v>
      </c>
      <c r="BA80" s="20" t="n">
        <f aca="false">IF(AN80&gt;PR_BalDone,MIN(F_CardPayM,AN80+AN80*(D_iC)),0)</f>
        <v>0</v>
      </c>
      <c r="BB80" s="20" t="n">
        <f aca="false">IF(AO80&gt;PR_BalDone,MIN(F_CardPayM,AO80+AO80*(D_iC)),0)</f>
        <v>0</v>
      </c>
      <c r="BC80" s="20" t="n">
        <f aca="false">MAX(0,AP80)</f>
        <v>0</v>
      </c>
      <c r="BD80" s="20" t="n">
        <f aca="false">SUM(AQ80:BB80)</f>
        <v>0</v>
      </c>
      <c r="BE80" s="20" t="n">
        <f aca="false">'Plan cashflow'!P80</f>
        <v>0</v>
      </c>
      <c r="BF80" s="20" t="n">
        <f aca="false">IF(BE80&gt;PR_BalDone,BE80+BE80*(D_iL)-MIN(F_LoanPayM,BE80+BE80*(D_iL)),BE80)</f>
        <v>0</v>
      </c>
      <c r="BG80" s="20" t="n">
        <f aca="false">IF(BF80&gt;PR_BalDone,BF80+BF80*(D_iL)-MIN(F_LoanPayM,BF80+BF80*(D_iL)),BF80)</f>
        <v>0</v>
      </c>
      <c r="BH80" s="20" t="n">
        <f aca="false">IF(BG80&gt;PR_BalDone,BG80+BG80*(D_iL)-MIN(F_LoanPayM,BG80+BG80*(D_iL)),BG80)</f>
        <v>0</v>
      </c>
      <c r="BI80" s="20" t="n">
        <f aca="false">IF(BH80&gt;PR_BalDone,BH80+BH80*(D_iL)-MIN(F_LoanPayM,BH80+BH80*(D_iL)),BH80)</f>
        <v>0</v>
      </c>
      <c r="BJ80" s="20" t="n">
        <f aca="false">IF(BI80&gt;PR_BalDone,BI80+BI80*(D_iL)-MIN(F_LoanPayM,BI80+BI80*(D_iL)),BI80)</f>
        <v>0</v>
      </c>
      <c r="BK80" s="20" t="n">
        <f aca="false">IF(BJ80&gt;PR_BalDone,BJ80+BJ80*(D_iL)-MIN(F_LoanPayM,BJ80+BJ80*(D_iL)),BJ80)</f>
        <v>0</v>
      </c>
      <c r="BL80" s="20" t="n">
        <f aca="false">IF(BK80&gt;PR_BalDone,BK80+BK80*(D_iL)-MIN(F_LoanPayM,BK80+BK80*(D_iL)),BK80)</f>
        <v>0</v>
      </c>
      <c r="BM80" s="20" t="n">
        <f aca="false">IF(BL80&gt;PR_BalDone,BL80+BL80*(D_iL)-MIN(F_LoanPayM,BL80+BL80*(D_iL)),BL80)</f>
        <v>0</v>
      </c>
      <c r="BN80" s="20" t="n">
        <f aca="false">IF(BM80&gt;PR_BalDone,BM80+BM80*(D_iL)-MIN(F_LoanPayM,BM80+BM80*(D_iL)),BM80)</f>
        <v>0</v>
      </c>
      <c r="BO80" s="20" t="n">
        <f aca="false">IF(BN80&gt;PR_BalDone,BN80+BN80*(D_iL)-MIN(F_LoanPayM,BN80+BN80*(D_iL)),BN80)</f>
        <v>0</v>
      </c>
      <c r="BP80" s="20" t="n">
        <f aca="false">IF(BO80&gt;PR_BalDone,BO80+BO80*(D_iL)-MIN(F_LoanPayM,BO80+BO80*(D_iL)),BO80)</f>
        <v>0</v>
      </c>
      <c r="BQ80" s="20" t="n">
        <f aca="false">IF(BP80&gt;PR_BalDone,BP80+BP80*(D_iL)-MIN(F_LoanPayM,BP80+BP80*(D_iL)),BP80)</f>
        <v>0</v>
      </c>
      <c r="BR80" s="20" t="n">
        <f aca="false">IF(BE80&gt;PR_BalDone,MIN(F_LoanPayM,BE80+BE80*(D_iL)),0)</f>
        <v>0</v>
      </c>
      <c r="BS80" s="20" t="n">
        <f aca="false">IF(BF80&gt;PR_BalDone,MIN(F_LoanPayM,BF80+BF80*(D_iL)),0)</f>
        <v>0</v>
      </c>
      <c r="BT80" s="20" t="n">
        <f aca="false">IF(BG80&gt;PR_BalDone,MIN(F_LoanPayM,BG80+BG80*(D_iL)),0)</f>
        <v>0</v>
      </c>
      <c r="BU80" s="20" t="n">
        <f aca="false">IF(BH80&gt;PR_BalDone,MIN(F_LoanPayM,BH80+BH80*(D_iL)),0)</f>
        <v>0</v>
      </c>
      <c r="BV80" s="20" t="n">
        <f aca="false">IF(BI80&gt;PR_BalDone,MIN(F_LoanPayM,BI80+BI80*(D_iL)),0)</f>
        <v>0</v>
      </c>
      <c r="BW80" s="20" t="n">
        <f aca="false">IF(BJ80&gt;PR_BalDone,MIN(F_LoanPayM,BJ80+BJ80*(D_iL)),0)</f>
        <v>0</v>
      </c>
      <c r="BX80" s="20" t="n">
        <f aca="false">IF(BK80&gt;PR_BalDone,MIN(F_LoanPayM,BK80+BK80*(D_iL)),0)</f>
        <v>0</v>
      </c>
      <c r="BY80" s="20" t="n">
        <f aca="false">IF(BL80&gt;PR_BalDone,MIN(F_LoanPayM,BL80+BL80*(D_iL)),0)</f>
        <v>0</v>
      </c>
      <c r="BZ80" s="20" t="n">
        <f aca="false">IF(BM80&gt;PR_BalDone,MIN(F_LoanPayM,BM80+BM80*(D_iL)),0)</f>
        <v>0</v>
      </c>
      <c r="CA80" s="20" t="n">
        <f aca="false">IF(BN80&gt;PR_BalDone,MIN(F_LoanPayM,BN80+BN80*(D_iL)),0)</f>
        <v>0</v>
      </c>
      <c r="CB80" s="20" t="n">
        <f aca="false">IF(BO80&gt;PR_BalDone,MIN(F_LoanPayM,BO80+BO80*(D_iL)),0)</f>
        <v>0</v>
      </c>
      <c r="CC80" s="20" t="n">
        <f aca="false">IF(BP80&gt;PR_BalDone,MIN(F_LoanPayM,BP80+BP80*(D_iL)),0)</f>
        <v>0</v>
      </c>
      <c r="CD80" s="20" t="n">
        <f aca="false">MAX(0,BQ80)</f>
        <v>0</v>
      </c>
      <c r="CE80" s="20" t="n">
        <f aca="false">SUM(BR80:CC80)</f>
        <v>0</v>
      </c>
      <c r="CF80" s="20" t="n">
        <f aca="false">IF(CF79&gt;1,DE79,CF79)</f>
        <v>0</v>
      </c>
      <c r="CG80" s="20" t="n">
        <f aca="false">IF(CF80&gt;PR_BalDone,CF80+CF80*(F_MR/12)-MIN(F_MortPayM,CF80+CF80*(F_MR/12)),CF80)</f>
        <v>0</v>
      </c>
      <c r="CH80" s="20" t="n">
        <f aca="false">IF(CG80&gt;PR_BalDone,CG80+CG80*(F_MR/12)-MIN(F_MortPayM,CG80+CG80*(F_MR/12)),CG80)</f>
        <v>0</v>
      </c>
      <c r="CI80" s="20" t="n">
        <f aca="false">IF(CH80&gt;PR_BalDone,CH80+CH80*(F_MR/12)-MIN(F_MortPayM,CH80+CH80*(F_MR/12)),CH80)</f>
        <v>0</v>
      </c>
      <c r="CJ80" s="20" t="n">
        <f aca="false">IF(CI80&gt;PR_BalDone,CI80+CI80*(F_MR/12)-MIN(F_MortPayM,CI80+CI80*(F_MR/12)),CI80)</f>
        <v>0</v>
      </c>
      <c r="CK80" s="20" t="n">
        <f aca="false">IF(CJ80&gt;PR_BalDone,CJ80+CJ80*(F_MR/12)-MIN(F_MortPayM,CJ80+CJ80*(F_MR/12)),CJ80)</f>
        <v>0</v>
      </c>
      <c r="CL80" s="20" t="n">
        <f aca="false">IF(CK80&gt;PR_BalDone,CK80+CK80*(F_MR/12)-MIN(F_MortPayM,CK80+CK80*(F_MR/12)),CK80)</f>
        <v>0</v>
      </c>
      <c r="CM80" s="20" t="n">
        <f aca="false">IF(CL80&gt;PR_BalDone,CL80+CL80*(F_MR/12)-MIN(F_MortPayM,CL80+CL80*(F_MR/12)),CL80)</f>
        <v>0</v>
      </c>
      <c r="CN80" s="20" t="n">
        <f aca="false">IF(CM80&gt;PR_BalDone,CM80+CM80*(F_MR/12)-MIN(F_MortPayM,CM80+CM80*(F_MR/12)),CM80)</f>
        <v>0</v>
      </c>
      <c r="CO80" s="20" t="n">
        <f aca="false">IF(CN80&gt;PR_BalDone,CN80+CN80*(F_MR/12)-MIN(F_MortPayM,CN80+CN80*(F_MR/12)),CN80)</f>
        <v>0</v>
      </c>
      <c r="CP80" s="20" t="n">
        <f aca="false">IF(CO80&gt;PR_BalDone,CO80+CO80*(F_MR/12)-MIN(F_MortPayM,CO80+CO80*(F_MR/12)),CO80)</f>
        <v>0</v>
      </c>
      <c r="CQ80" s="20" t="n">
        <f aca="false">IF(CP80&gt;PR_BalDone,CP80+CP80*(F_MR/12)-MIN(F_MortPayM,CP80+CP80*(F_MR/12)),CP80)</f>
        <v>0</v>
      </c>
      <c r="CR80" s="20" t="n">
        <f aca="false">IF(CQ80&gt;PR_BalDone,CQ80+CQ80*(F_MR/12)-MIN(F_MortPayM,CQ80+CQ80*(F_MR/12)),CQ80)</f>
        <v>0</v>
      </c>
      <c r="CS80" s="20" t="n">
        <f aca="false">IF(CF80&gt;PR_BalDone,MIN(F_MortPayM,CF80+CF80*(F_MR/12)),0)</f>
        <v>0</v>
      </c>
      <c r="CT80" s="20" t="n">
        <f aca="false">IF(CG80&gt;PR_BalDone,MIN(F_MortPayM,CG80+CG80*(F_MR/12)),0)</f>
        <v>0</v>
      </c>
      <c r="CU80" s="20" t="n">
        <f aca="false">IF(CH80&gt;PR_BalDone,MIN(F_MortPayM,CH80+CH80*(F_MR/12)),0)</f>
        <v>0</v>
      </c>
      <c r="CV80" s="20" t="n">
        <f aca="false">IF(CI80&gt;PR_BalDone,MIN(F_MortPayM,CI80+CI80*(F_MR/12)),0)</f>
        <v>0</v>
      </c>
      <c r="CW80" s="20" t="n">
        <f aca="false">IF(CJ80&gt;PR_BalDone,MIN(F_MortPayM,CJ80+CJ80*(F_MR/12)),0)</f>
        <v>0</v>
      </c>
      <c r="CX80" s="20" t="n">
        <f aca="false">IF(CK80&gt;PR_BalDone,MIN(F_MortPayM,CK80+CK80*(F_MR/12)),0)</f>
        <v>0</v>
      </c>
      <c r="CY80" s="20" t="n">
        <f aca="false">IF(CL80&gt;PR_BalDone,MIN(F_MortPayM,CL80+CL80*(F_MR/12)),0)</f>
        <v>0</v>
      </c>
      <c r="CZ80" s="20" t="n">
        <f aca="false">IF(CM80&gt;PR_BalDone,MIN(F_MortPayM,CM80+CM80*(F_MR/12)),0)</f>
        <v>0</v>
      </c>
      <c r="DA80" s="20" t="n">
        <f aca="false">IF(CN80&gt;PR_BalDone,MIN(F_MortPayM,CN80+CN80*(F_MR/12)),0)</f>
        <v>0</v>
      </c>
      <c r="DB80" s="20" t="n">
        <f aca="false">IF(CO80&gt;PR_BalDone,MIN(F_MortPayM,CO80+CO80*(F_MR/12)),0)</f>
        <v>0</v>
      </c>
      <c r="DC80" s="20" t="n">
        <f aca="false">IF(CP80&gt;PR_BalDone,MIN(F_MortPayM,CP80+CP80*(F_MR/12)),0)</f>
        <v>0</v>
      </c>
      <c r="DD80" s="20" t="n">
        <f aca="false">IF(CQ80&gt;PR_BalDone,MIN(F_MortPayM,CQ80+CQ80*(F_MR/12)),0)</f>
        <v>0</v>
      </c>
      <c r="DE80" s="20" t="n">
        <f aca="false">MAX(0,CR80)</f>
        <v>0</v>
      </c>
      <c r="DF80" s="20" t="n">
        <f aca="false">SUM(CS80:DD80)</f>
        <v>0</v>
      </c>
      <c r="DG80" s="20" t="n">
        <f aca="false">MAX(0,CF80)</f>
        <v>0</v>
      </c>
    </row>
    <row r="81" customFormat="false" ht="15" hidden="false" customHeight="true" outlineLevel="0" collapsed="false">
      <c r="B81" s="20" t="n">
        <v>73</v>
      </c>
      <c r="C81" s="20" t="n">
        <f aca="false">'Plan cashflow'!J81</f>
        <v>0</v>
      </c>
      <c r="D81" s="20" t="n">
        <f aca="false">IF(C81&gt;PR_BalDone,C81+C81*(F_MR/12)-MIN(F_MortPayM,C81+C81*(F_MR/12)),C81)</f>
        <v>0</v>
      </c>
      <c r="E81" s="20" t="n">
        <f aca="false">IF(D81&gt;PR_BalDone,D81+D81*(F_MR/12)-MIN(F_MortPayM,D81+D81*(F_MR/12)),D81)</f>
        <v>0</v>
      </c>
      <c r="F81" s="20" t="n">
        <f aca="false">IF(E81&gt;PR_BalDone,E81+E81*(F_MR/12)-MIN(F_MortPayM,E81+E81*(F_MR/12)),E81)</f>
        <v>0</v>
      </c>
      <c r="G81" s="20" t="n">
        <f aca="false">IF(F81&gt;PR_BalDone,F81+F81*(F_MR/12)-MIN(F_MortPayM,F81+F81*(F_MR/12)),F81)</f>
        <v>0</v>
      </c>
      <c r="H81" s="20" t="n">
        <f aca="false">IF(G81&gt;PR_BalDone,G81+G81*(F_MR/12)-MIN(F_MortPayM,G81+G81*(F_MR/12)),G81)</f>
        <v>0</v>
      </c>
      <c r="I81" s="20" t="n">
        <f aca="false">IF(H81&gt;PR_BalDone,H81+H81*(F_MR/12)-MIN(F_MortPayM,H81+H81*(F_MR/12)),H81)</f>
        <v>0</v>
      </c>
      <c r="J81" s="20" t="n">
        <f aca="false">IF(I81&gt;PR_BalDone,I81+I81*(F_MR/12)-MIN(F_MortPayM,I81+I81*(F_MR/12)),I81)</f>
        <v>0</v>
      </c>
      <c r="K81" s="20" t="n">
        <f aca="false">IF(J81&gt;PR_BalDone,J81+J81*(F_MR/12)-MIN(F_MortPayM,J81+J81*(F_MR/12)),J81)</f>
        <v>0</v>
      </c>
      <c r="L81" s="20" t="n">
        <f aca="false">IF(K81&gt;PR_BalDone,K81+K81*(F_MR/12)-MIN(F_MortPayM,K81+K81*(F_MR/12)),K81)</f>
        <v>0</v>
      </c>
      <c r="M81" s="20" t="n">
        <f aca="false">IF(L81&gt;PR_BalDone,L81+L81*(F_MR/12)-MIN(F_MortPayM,L81+L81*(F_MR/12)),L81)</f>
        <v>0</v>
      </c>
      <c r="N81" s="20" t="n">
        <f aca="false">IF(M81&gt;PR_BalDone,M81+M81*(F_MR/12)-MIN(F_MortPayM,M81+M81*(F_MR/12)),M81)</f>
        <v>0</v>
      </c>
      <c r="O81" s="20" t="n">
        <f aca="false">IF(N81&gt;PR_BalDone,N81+N81*(F_MR/12)-MIN(F_MortPayM,N81+N81*(F_MR/12)),N81)</f>
        <v>0</v>
      </c>
      <c r="P81" s="20" t="n">
        <f aca="false">IF(C81&gt;PR_BalDone,MIN(F_MortPayM,C81+C81*(F_MR/12)),0)</f>
        <v>0</v>
      </c>
      <c r="Q81" s="20" t="n">
        <f aca="false">IF(D81&gt;PR_BalDone,MIN(F_MortPayM,D81+D81*(F_MR/12)),0)</f>
        <v>0</v>
      </c>
      <c r="R81" s="20" t="n">
        <f aca="false">IF(E81&gt;PR_BalDone,MIN(F_MortPayM,E81+E81*(F_MR/12)),0)</f>
        <v>0</v>
      </c>
      <c r="S81" s="20" t="n">
        <f aca="false">IF(F81&gt;PR_BalDone,MIN(F_MortPayM,F81+F81*(F_MR/12)),0)</f>
        <v>0</v>
      </c>
      <c r="T81" s="20" t="n">
        <f aca="false">IF(G81&gt;PR_BalDone,MIN(F_MortPayM,G81+G81*(F_MR/12)),0)</f>
        <v>0</v>
      </c>
      <c r="U81" s="20" t="n">
        <f aca="false">IF(H81&gt;PR_BalDone,MIN(F_MortPayM,H81+H81*(F_MR/12)),0)</f>
        <v>0</v>
      </c>
      <c r="V81" s="20" t="n">
        <f aca="false">IF(I81&gt;PR_BalDone,MIN(F_MortPayM,I81+I81*(F_MR/12)),0)</f>
        <v>0</v>
      </c>
      <c r="W81" s="20" t="n">
        <f aca="false">IF(J81&gt;PR_BalDone,MIN(F_MortPayM,J81+J81*(F_MR/12)),0)</f>
        <v>0</v>
      </c>
      <c r="X81" s="20" t="n">
        <f aca="false">IF(K81&gt;PR_BalDone,MIN(F_MortPayM,K81+K81*(F_MR/12)),0)</f>
        <v>0</v>
      </c>
      <c r="Y81" s="20" t="n">
        <f aca="false">IF(L81&gt;PR_BalDone,MIN(F_MortPayM,L81+L81*(F_MR/12)),0)</f>
        <v>0</v>
      </c>
      <c r="Z81" s="20" t="n">
        <f aca="false">IF(M81&gt;PR_BalDone,MIN(F_MortPayM,M81+M81*(F_MR/12)),0)</f>
        <v>0</v>
      </c>
      <c r="AA81" s="20" t="n">
        <f aca="false">IF(N81&gt;PR_BalDone,MIN(F_MortPayM,N81+N81*(F_MR/12)),0)</f>
        <v>0</v>
      </c>
      <c r="AB81" s="20" t="n">
        <f aca="false">MAX(0,O81)</f>
        <v>0</v>
      </c>
      <c r="AC81" s="20" t="n">
        <f aca="false">SUM(P81:AA81)</f>
        <v>0</v>
      </c>
      <c r="AD81" s="20" t="n">
        <f aca="false">'Plan cashflow'!M81</f>
        <v>0</v>
      </c>
      <c r="AE81" s="20" t="n">
        <f aca="false">IF(AD81&gt;PR_BalDone,AD81+AD81*(D_iC)-MIN(F_CardPayM,AD81+AD81*(D_iC)),AD81)</f>
        <v>0</v>
      </c>
      <c r="AF81" s="20" t="n">
        <f aca="false">IF(AE81&gt;PR_BalDone,AE81+AE81*(D_iC)-MIN(F_CardPayM,AE81+AE81*(D_iC)),AE81)</f>
        <v>0</v>
      </c>
      <c r="AG81" s="20" t="n">
        <f aca="false">IF(AF81&gt;PR_BalDone,AF81+AF81*(D_iC)-MIN(F_CardPayM,AF81+AF81*(D_iC)),AF81)</f>
        <v>0</v>
      </c>
      <c r="AH81" s="20" t="n">
        <f aca="false">IF(AG81&gt;PR_BalDone,AG81+AG81*(D_iC)-MIN(F_CardPayM,AG81+AG81*(D_iC)),AG81)</f>
        <v>0</v>
      </c>
      <c r="AI81" s="20" t="n">
        <f aca="false">IF(AH81&gt;PR_BalDone,AH81+AH81*(D_iC)-MIN(F_CardPayM,AH81+AH81*(D_iC)),AH81)</f>
        <v>0</v>
      </c>
      <c r="AJ81" s="20" t="n">
        <f aca="false">IF(AI81&gt;PR_BalDone,AI81+AI81*(D_iC)-MIN(F_CardPayM,AI81+AI81*(D_iC)),AI81)</f>
        <v>0</v>
      </c>
      <c r="AK81" s="20" t="n">
        <f aca="false">IF(AJ81&gt;PR_BalDone,AJ81+AJ81*(D_iC)-MIN(F_CardPayM,AJ81+AJ81*(D_iC)),AJ81)</f>
        <v>0</v>
      </c>
      <c r="AL81" s="20" t="n">
        <f aca="false">IF(AK81&gt;PR_BalDone,AK81+AK81*(D_iC)-MIN(F_CardPayM,AK81+AK81*(D_iC)),AK81)</f>
        <v>0</v>
      </c>
      <c r="AM81" s="20" t="n">
        <f aca="false">IF(AL81&gt;PR_BalDone,AL81+AL81*(D_iC)-MIN(F_CardPayM,AL81+AL81*(D_iC)),AL81)</f>
        <v>0</v>
      </c>
      <c r="AN81" s="20" t="n">
        <f aca="false">IF(AM81&gt;PR_BalDone,AM81+AM81*(D_iC)-MIN(F_CardPayM,AM81+AM81*(D_iC)),AM81)</f>
        <v>0</v>
      </c>
      <c r="AO81" s="20" t="n">
        <f aca="false">IF(AN81&gt;PR_BalDone,AN81+AN81*(D_iC)-MIN(F_CardPayM,AN81+AN81*(D_iC)),AN81)</f>
        <v>0</v>
      </c>
      <c r="AP81" s="20" t="n">
        <f aca="false">IF(AO81&gt;PR_BalDone,AO81+AO81*(D_iC)-MIN(F_CardPayM,AO81+AO81*(D_iC)),AO81)</f>
        <v>0</v>
      </c>
      <c r="AQ81" s="20" t="n">
        <f aca="false">IF(AD81&gt;PR_BalDone,MIN(F_CardPayM,AD81+AD81*(D_iC)),0)</f>
        <v>0</v>
      </c>
      <c r="AR81" s="20" t="n">
        <f aca="false">IF(AE81&gt;PR_BalDone,MIN(F_CardPayM,AE81+AE81*(D_iC)),0)</f>
        <v>0</v>
      </c>
      <c r="AS81" s="20" t="n">
        <f aca="false">IF(AF81&gt;PR_BalDone,MIN(F_CardPayM,AF81+AF81*(D_iC)),0)</f>
        <v>0</v>
      </c>
      <c r="AT81" s="20" t="n">
        <f aca="false">IF(AG81&gt;PR_BalDone,MIN(F_CardPayM,AG81+AG81*(D_iC)),0)</f>
        <v>0</v>
      </c>
      <c r="AU81" s="20" t="n">
        <f aca="false">IF(AH81&gt;PR_BalDone,MIN(F_CardPayM,AH81+AH81*(D_iC)),0)</f>
        <v>0</v>
      </c>
      <c r="AV81" s="20" t="n">
        <f aca="false">IF(AI81&gt;PR_BalDone,MIN(F_CardPayM,AI81+AI81*(D_iC)),0)</f>
        <v>0</v>
      </c>
      <c r="AW81" s="20" t="n">
        <f aca="false">IF(AJ81&gt;PR_BalDone,MIN(F_CardPayM,AJ81+AJ81*(D_iC)),0)</f>
        <v>0</v>
      </c>
      <c r="AX81" s="20" t="n">
        <f aca="false">IF(AK81&gt;PR_BalDone,MIN(F_CardPayM,AK81+AK81*(D_iC)),0)</f>
        <v>0</v>
      </c>
      <c r="AY81" s="20" t="n">
        <f aca="false">IF(AL81&gt;PR_BalDone,MIN(F_CardPayM,AL81+AL81*(D_iC)),0)</f>
        <v>0</v>
      </c>
      <c r="AZ81" s="20" t="n">
        <f aca="false">IF(AM81&gt;PR_BalDone,MIN(F_CardPayM,AM81+AM81*(D_iC)),0)</f>
        <v>0</v>
      </c>
      <c r="BA81" s="20" t="n">
        <f aca="false">IF(AN81&gt;PR_BalDone,MIN(F_CardPayM,AN81+AN81*(D_iC)),0)</f>
        <v>0</v>
      </c>
      <c r="BB81" s="20" t="n">
        <f aca="false">IF(AO81&gt;PR_BalDone,MIN(F_CardPayM,AO81+AO81*(D_iC)),0)</f>
        <v>0</v>
      </c>
      <c r="BC81" s="20" t="n">
        <f aca="false">MAX(0,AP81)</f>
        <v>0</v>
      </c>
      <c r="BD81" s="20" t="n">
        <f aca="false">SUM(AQ81:BB81)</f>
        <v>0</v>
      </c>
      <c r="BE81" s="20" t="n">
        <f aca="false">'Plan cashflow'!P81</f>
        <v>0</v>
      </c>
      <c r="BF81" s="20" t="n">
        <f aca="false">IF(BE81&gt;PR_BalDone,BE81+BE81*(D_iL)-MIN(F_LoanPayM,BE81+BE81*(D_iL)),BE81)</f>
        <v>0</v>
      </c>
      <c r="BG81" s="20" t="n">
        <f aca="false">IF(BF81&gt;PR_BalDone,BF81+BF81*(D_iL)-MIN(F_LoanPayM,BF81+BF81*(D_iL)),BF81)</f>
        <v>0</v>
      </c>
      <c r="BH81" s="20" t="n">
        <f aca="false">IF(BG81&gt;PR_BalDone,BG81+BG81*(D_iL)-MIN(F_LoanPayM,BG81+BG81*(D_iL)),BG81)</f>
        <v>0</v>
      </c>
      <c r="BI81" s="20" t="n">
        <f aca="false">IF(BH81&gt;PR_BalDone,BH81+BH81*(D_iL)-MIN(F_LoanPayM,BH81+BH81*(D_iL)),BH81)</f>
        <v>0</v>
      </c>
      <c r="BJ81" s="20" t="n">
        <f aca="false">IF(BI81&gt;PR_BalDone,BI81+BI81*(D_iL)-MIN(F_LoanPayM,BI81+BI81*(D_iL)),BI81)</f>
        <v>0</v>
      </c>
      <c r="BK81" s="20" t="n">
        <f aca="false">IF(BJ81&gt;PR_BalDone,BJ81+BJ81*(D_iL)-MIN(F_LoanPayM,BJ81+BJ81*(D_iL)),BJ81)</f>
        <v>0</v>
      </c>
      <c r="BL81" s="20" t="n">
        <f aca="false">IF(BK81&gt;PR_BalDone,BK81+BK81*(D_iL)-MIN(F_LoanPayM,BK81+BK81*(D_iL)),BK81)</f>
        <v>0</v>
      </c>
      <c r="BM81" s="20" t="n">
        <f aca="false">IF(BL81&gt;PR_BalDone,BL81+BL81*(D_iL)-MIN(F_LoanPayM,BL81+BL81*(D_iL)),BL81)</f>
        <v>0</v>
      </c>
      <c r="BN81" s="20" t="n">
        <f aca="false">IF(BM81&gt;PR_BalDone,BM81+BM81*(D_iL)-MIN(F_LoanPayM,BM81+BM81*(D_iL)),BM81)</f>
        <v>0</v>
      </c>
      <c r="BO81" s="20" t="n">
        <f aca="false">IF(BN81&gt;PR_BalDone,BN81+BN81*(D_iL)-MIN(F_LoanPayM,BN81+BN81*(D_iL)),BN81)</f>
        <v>0</v>
      </c>
      <c r="BP81" s="20" t="n">
        <f aca="false">IF(BO81&gt;PR_BalDone,BO81+BO81*(D_iL)-MIN(F_LoanPayM,BO81+BO81*(D_iL)),BO81)</f>
        <v>0</v>
      </c>
      <c r="BQ81" s="20" t="n">
        <f aca="false">IF(BP81&gt;PR_BalDone,BP81+BP81*(D_iL)-MIN(F_LoanPayM,BP81+BP81*(D_iL)),BP81)</f>
        <v>0</v>
      </c>
      <c r="BR81" s="20" t="n">
        <f aca="false">IF(BE81&gt;PR_BalDone,MIN(F_LoanPayM,BE81+BE81*(D_iL)),0)</f>
        <v>0</v>
      </c>
      <c r="BS81" s="20" t="n">
        <f aca="false">IF(BF81&gt;PR_BalDone,MIN(F_LoanPayM,BF81+BF81*(D_iL)),0)</f>
        <v>0</v>
      </c>
      <c r="BT81" s="20" t="n">
        <f aca="false">IF(BG81&gt;PR_BalDone,MIN(F_LoanPayM,BG81+BG81*(D_iL)),0)</f>
        <v>0</v>
      </c>
      <c r="BU81" s="20" t="n">
        <f aca="false">IF(BH81&gt;PR_BalDone,MIN(F_LoanPayM,BH81+BH81*(D_iL)),0)</f>
        <v>0</v>
      </c>
      <c r="BV81" s="20" t="n">
        <f aca="false">IF(BI81&gt;PR_BalDone,MIN(F_LoanPayM,BI81+BI81*(D_iL)),0)</f>
        <v>0</v>
      </c>
      <c r="BW81" s="20" t="n">
        <f aca="false">IF(BJ81&gt;PR_BalDone,MIN(F_LoanPayM,BJ81+BJ81*(D_iL)),0)</f>
        <v>0</v>
      </c>
      <c r="BX81" s="20" t="n">
        <f aca="false">IF(BK81&gt;PR_BalDone,MIN(F_LoanPayM,BK81+BK81*(D_iL)),0)</f>
        <v>0</v>
      </c>
      <c r="BY81" s="20" t="n">
        <f aca="false">IF(BL81&gt;PR_BalDone,MIN(F_LoanPayM,BL81+BL81*(D_iL)),0)</f>
        <v>0</v>
      </c>
      <c r="BZ81" s="20" t="n">
        <f aca="false">IF(BM81&gt;PR_BalDone,MIN(F_LoanPayM,BM81+BM81*(D_iL)),0)</f>
        <v>0</v>
      </c>
      <c r="CA81" s="20" t="n">
        <f aca="false">IF(BN81&gt;PR_BalDone,MIN(F_LoanPayM,BN81+BN81*(D_iL)),0)</f>
        <v>0</v>
      </c>
      <c r="CB81" s="20" t="n">
        <f aca="false">IF(BO81&gt;PR_BalDone,MIN(F_LoanPayM,BO81+BO81*(D_iL)),0)</f>
        <v>0</v>
      </c>
      <c r="CC81" s="20" t="n">
        <f aca="false">IF(BP81&gt;PR_BalDone,MIN(F_LoanPayM,BP81+BP81*(D_iL)),0)</f>
        <v>0</v>
      </c>
      <c r="CD81" s="20" t="n">
        <f aca="false">MAX(0,BQ81)</f>
        <v>0</v>
      </c>
      <c r="CE81" s="20" t="n">
        <f aca="false">SUM(BR81:CC81)</f>
        <v>0</v>
      </c>
      <c r="CF81" s="20" t="n">
        <f aca="false">IF(CF80&gt;1,DE80,CF80)</f>
        <v>0</v>
      </c>
      <c r="CG81" s="20" t="n">
        <f aca="false">IF(CF81&gt;PR_BalDone,CF81+CF81*(F_MR/12)-MIN(F_MortPayM,CF81+CF81*(F_MR/12)),CF81)</f>
        <v>0</v>
      </c>
      <c r="CH81" s="20" t="n">
        <f aca="false">IF(CG81&gt;PR_BalDone,CG81+CG81*(F_MR/12)-MIN(F_MortPayM,CG81+CG81*(F_MR/12)),CG81)</f>
        <v>0</v>
      </c>
      <c r="CI81" s="20" t="n">
        <f aca="false">IF(CH81&gt;PR_BalDone,CH81+CH81*(F_MR/12)-MIN(F_MortPayM,CH81+CH81*(F_MR/12)),CH81)</f>
        <v>0</v>
      </c>
      <c r="CJ81" s="20" t="n">
        <f aca="false">IF(CI81&gt;PR_BalDone,CI81+CI81*(F_MR/12)-MIN(F_MortPayM,CI81+CI81*(F_MR/12)),CI81)</f>
        <v>0</v>
      </c>
      <c r="CK81" s="20" t="n">
        <f aca="false">IF(CJ81&gt;PR_BalDone,CJ81+CJ81*(F_MR/12)-MIN(F_MortPayM,CJ81+CJ81*(F_MR/12)),CJ81)</f>
        <v>0</v>
      </c>
      <c r="CL81" s="20" t="n">
        <f aca="false">IF(CK81&gt;PR_BalDone,CK81+CK81*(F_MR/12)-MIN(F_MortPayM,CK81+CK81*(F_MR/12)),CK81)</f>
        <v>0</v>
      </c>
      <c r="CM81" s="20" t="n">
        <f aca="false">IF(CL81&gt;PR_BalDone,CL81+CL81*(F_MR/12)-MIN(F_MortPayM,CL81+CL81*(F_MR/12)),CL81)</f>
        <v>0</v>
      </c>
      <c r="CN81" s="20" t="n">
        <f aca="false">IF(CM81&gt;PR_BalDone,CM81+CM81*(F_MR/12)-MIN(F_MortPayM,CM81+CM81*(F_MR/12)),CM81)</f>
        <v>0</v>
      </c>
      <c r="CO81" s="20" t="n">
        <f aca="false">IF(CN81&gt;PR_BalDone,CN81+CN81*(F_MR/12)-MIN(F_MortPayM,CN81+CN81*(F_MR/12)),CN81)</f>
        <v>0</v>
      </c>
      <c r="CP81" s="20" t="n">
        <f aca="false">IF(CO81&gt;PR_BalDone,CO81+CO81*(F_MR/12)-MIN(F_MortPayM,CO81+CO81*(F_MR/12)),CO81)</f>
        <v>0</v>
      </c>
      <c r="CQ81" s="20" t="n">
        <f aca="false">IF(CP81&gt;PR_BalDone,CP81+CP81*(F_MR/12)-MIN(F_MortPayM,CP81+CP81*(F_MR/12)),CP81)</f>
        <v>0</v>
      </c>
      <c r="CR81" s="20" t="n">
        <f aca="false">IF(CQ81&gt;PR_BalDone,CQ81+CQ81*(F_MR/12)-MIN(F_MortPayM,CQ81+CQ81*(F_MR/12)),CQ81)</f>
        <v>0</v>
      </c>
      <c r="CS81" s="20" t="n">
        <f aca="false">IF(CF81&gt;PR_BalDone,MIN(F_MortPayM,CF81+CF81*(F_MR/12)),0)</f>
        <v>0</v>
      </c>
      <c r="CT81" s="20" t="n">
        <f aca="false">IF(CG81&gt;PR_BalDone,MIN(F_MortPayM,CG81+CG81*(F_MR/12)),0)</f>
        <v>0</v>
      </c>
      <c r="CU81" s="20" t="n">
        <f aca="false">IF(CH81&gt;PR_BalDone,MIN(F_MortPayM,CH81+CH81*(F_MR/12)),0)</f>
        <v>0</v>
      </c>
      <c r="CV81" s="20" t="n">
        <f aca="false">IF(CI81&gt;PR_BalDone,MIN(F_MortPayM,CI81+CI81*(F_MR/12)),0)</f>
        <v>0</v>
      </c>
      <c r="CW81" s="20" t="n">
        <f aca="false">IF(CJ81&gt;PR_BalDone,MIN(F_MortPayM,CJ81+CJ81*(F_MR/12)),0)</f>
        <v>0</v>
      </c>
      <c r="CX81" s="20" t="n">
        <f aca="false">IF(CK81&gt;PR_BalDone,MIN(F_MortPayM,CK81+CK81*(F_MR/12)),0)</f>
        <v>0</v>
      </c>
      <c r="CY81" s="20" t="n">
        <f aca="false">IF(CL81&gt;PR_BalDone,MIN(F_MortPayM,CL81+CL81*(F_MR/12)),0)</f>
        <v>0</v>
      </c>
      <c r="CZ81" s="20" t="n">
        <f aca="false">IF(CM81&gt;PR_BalDone,MIN(F_MortPayM,CM81+CM81*(F_MR/12)),0)</f>
        <v>0</v>
      </c>
      <c r="DA81" s="20" t="n">
        <f aca="false">IF(CN81&gt;PR_BalDone,MIN(F_MortPayM,CN81+CN81*(F_MR/12)),0)</f>
        <v>0</v>
      </c>
      <c r="DB81" s="20" t="n">
        <f aca="false">IF(CO81&gt;PR_BalDone,MIN(F_MortPayM,CO81+CO81*(F_MR/12)),0)</f>
        <v>0</v>
      </c>
      <c r="DC81" s="20" t="n">
        <f aca="false">IF(CP81&gt;PR_BalDone,MIN(F_MortPayM,CP81+CP81*(F_MR/12)),0)</f>
        <v>0</v>
      </c>
      <c r="DD81" s="20" t="n">
        <f aca="false">IF(CQ81&gt;PR_BalDone,MIN(F_MortPayM,CQ81+CQ81*(F_MR/12)),0)</f>
        <v>0</v>
      </c>
      <c r="DE81" s="20" t="n">
        <f aca="false">MAX(0,CR81)</f>
        <v>0</v>
      </c>
      <c r="DF81" s="20" t="n">
        <f aca="false">SUM(CS81:DD81)</f>
        <v>0</v>
      </c>
      <c r="DG81" s="20" t="n">
        <f aca="false">MAX(0,CF81)</f>
        <v>0</v>
      </c>
    </row>
    <row r="82" customFormat="false" ht="15" hidden="false" customHeight="true" outlineLevel="0" collapsed="false">
      <c r="B82" s="20" t="n">
        <v>74</v>
      </c>
      <c r="C82" s="20" t="n">
        <f aca="false">'Plan cashflow'!J82</f>
        <v>0</v>
      </c>
      <c r="D82" s="20" t="n">
        <f aca="false">IF(C82&gt;PR_BalDone,C82+C82*(F_MR/12)-MIN(F_MortPayM,C82+C82*(F_MR/12)),C82)</f>
        <v>0</v>
      </c>
      <c r="E82" s="20" t="n">
        <f aca="false">IF(D82&gt;PR_BalDone,D82+D82*(F_MR/12)-MIN(F_MortPayM,D82+D82*(F_MR/12)),D82)</f>
        <v>0</v>
      </c>
      <c r="F82" s="20" t="n">
        <f aca="false">IF(E82&gt;PR_BalDone,E82+E82*(F_MR/12)-MIN(F_MortPayM,E82+E82*(F_MR/12)),E82)</f>
        <v>0</v>
      </c>
      <c r="G82" s="20" t="n">
        <f aca="false">IF(F82&gt;PR_BalDone,F82+F82*(F_MR/12)-MIN(F_MortPayM,F82+F82*(F_MR/12)),F82)</f>
        <v>0</v>
      </c>
      <c r="H82" s="20" t="n">
        <f aca="false">IF(G82&gt;PR_BalDone,G82+G82*(F_MR/12)-MIN(F_MortPayM,G82+G82*(F_MR/12)),G82)</f>
        <v>0</v>
      </c>
      <c r="I82" s="20" t="n">
        <f aca="false">IF(H82&gt;PR_BalDone,H82+H82*(F_MR/12)-MIN(F_MortPayM,H82+H82*(F_MR/12)),H82)</f>
        <v>0</v>
      </c>
      <c r="J82" s="20" t="n">
        <f aca="false">IF(I82&gt;PR_BalDone,I82+I82*(F_MR/12)-MIN(F_MortPayM,I82+I82*(F_MR/12)),I82)</f>
        <v>0</v>
      </c>
      <c r="K82" s="20" t="n">
        <f aca="false">IF(J82&gt;PR_BalDone,J82+J82*(F_MR/12)-MIN(F_MortPayM,J82+J82*(F_MR/12)),J82)</f>
        <v>0</v>
      </c>
      <c r="L82" s="20" t="n">
        <f aca="false">IF(K82&gt;PR_BalDone,K82+K82*(F_MR/12)-MIN(F_MortPayM,K82+K82*(F_MR/12)),K82)</f>
        <v>0</v>
      </c>
      <c r="M82" s="20" t="n">
        <f aca="false">IF(L82&gt;PR_BalDone,L82+L82*(F_MR/12)-MIN(F_MortPayM,L82+L82*(F_MR/12)),L82)</f>
        <v>0</v>
      </c>
      <c r="N82" s="20" t="n">
        <f aca="false">IF(M82&gt;PR_BalDone,M82+M82*(F_MR/12)-MIN(F_MortPayM,M82+M82*(F_MR/12)),M82)</f>
        <v>0</v>
      </c>
      <c r="O82" s="20" t="n">
        <f aca="false">IF(N82&gt;PR_BalDone,N82+N82*(F_MR/12)-MIN(F_MortPayM,N82+N82*(F_MR/12)),N82)</f>
        <v>0</v>
      </c>
      <c r="P82" s="20" t="n">
        <f aca="false">IF(C82&gt;PR_BalDone,MIN(F_MortPayM,C82+C82*(F_MR/12)),0)</f>
        <v>0</v>
      </c>
      <c r="Q82" s="20" t="n">
        <f aca="false">IF(D82&gt;PR_BalDone,MIN(F_MortPayM,D82+D82*(F_MR/12)),0)</f>
        <v>0</v>
      </c>
      <c r="R82" s="20" t="n">
        <f aca="false">IF(E82&gt;PR_BalDone,MIN(F_MortPayM,E82+E82*(F_MR/12)),0)</f>
        <v>0</v>
      </c>
      <c r="S82" s="20" t="n">
        <f aca="false">IF(F82&gt;PR_BalDone,MIN(F_MortPayM,F82+F82*(F_MR/12)),0)</f>
        <v>0</v>
      </c>
      <c r="T82" s="20" t="n">
        <f aca="false">IF(G82&gt;PR_BalDone,MIN(F_MortPayM,G82+G82*(F_MR/12)),0)</f>
        <v>0</v>
      </c>
      <c r="U82" s="20" t="n">
        <f aca="false">IF(H82&gt;PR_BalDone,MIN(F_MortPayM,H82+H82*(F_MR/12)),0)</f>
        <v>0</v>
      </c>
      <c r="V82" s="20" t="n">
        <f aca="false">IF(I82&gt;PR_BalDone,MIN(F_MortPayM,I82+I82*(F_MR/12)),0)</f>
        <v>0</v>
      </c>
      <c r="W82" s="20" t="n">
        <f aca="false">IF(J82&gt;PR_BalDone,MIN(F_MortPayM,J82+J82*(F_MR/12)),0)</f>
        <v>0</v>
      </c>
      <c r="X82" s="20" t="n">
        <f aca="false">IF(K82&gt;PR_BalDone,MIN(F_MortPayM,K82+K82*(F_MR/12)),0)</f>
        <v>0</v>
      </c>
      <c r="Y82" s="20" t="n">
        <f aca="false">IF(L82&gt;PR_BalDone,MIN(F_MortPayM,L82+L82*(F_MR/12)),0)</f>
        <v>0</v>
      </c>
      <c r="Z82" s="20" t="n">
        <f aca="false">IF(M82&gt;PR_BalDone,MIN(F_MortPayM,M82+M82*(F_MR/12)),0)</f>
        <v>0</v>
      </c>
      <c r="AA82" s="20" t="n">
        <f aca="false">IF(N82&gt;PR_BalDone,MIN(F_MortPayM,N82+N82*(F_MR/12)),0)</f>
        <v>0</v>
      </c>
      <c r="AB82" s="20" t="n">
        <f aca="false">MAX(0,O82)</f>
        <v>0</v>
      </c>
      <c r="AC82" s="20" t="n">
        <f aca="false">SUM(P82:AA82)</f>
        <v>0</v>
      </c>
      <c r="AD82" s="20" t="n">
        <f aca="false">'Plan cashflow'!M82</f>
        <v>0</v>
      </c>
      <c r="AE82" s="20" t="n">
        <f aca="false">IF(AD82&gt;PR_BalDone,AD82+AD82*(D_iC)-MIN(F_CardPayM,AD82+AD82*(D_iC)),AD82)</f>
        <v>0</v>
      </c>
      <c r="AF82" s="20" t="n">
        <f aca="false">IF(AE82&gt;PR_BalDone,AE82+AE82*(D_iC)-MIN(F_CardPayM,AE82+AE82*(D_iC)),AE82)</f>
        <v>0</v>
      </c>
      <c r="AG82" s="20" t="n">
        <f aca="false">IF(AF82&gt;PR_BalDone,AF82+AF82*(D_iC)-MIN(F_CardPayM,AF82+AF82*(D_iC)),AF82)</f>
        <v>0</v>
      </c>
      <c r="AH82" s="20" t="n">
        <f aca="false">IF(AG82&gt;PR_BalDone,AG82+AG82*(D_iC)-MIN(F_CardPayM,AG82+AG82*(D_iC)),AG82)</f>
        <v>0</v>
      </c>
      <c r="AI82" s="20" t="n">
        <f aca="false">IF(AH82&gt;PR_BalDone,AH82+AH82*(D_iC)-MIN(F_CardPayM,AH82+AH82*(D_iC)),AH82)</f>
        <v>0</v>
      </c>
      <c r="AJ82" s="20" t="n">
        <f aca="false">IF(AI82&gt;PR_BalDone,AI82+AI82*(D_iC)-MIN(F_CardPayM,AI82+AI82*(D_iC)),AI82)</f>
        <v>0</v>
      </c>
      <c r="AK82" s="20" t="n">
        <f aca="false">IF(AJ82&gt;PR_BalDone,AJ82+AJ82*(D_iC)-MIN(F_CardPayM,AJ82+AJ82*(D_iC)),AJ82)</f>
        <v>0</v>
      </c>
      <c r="AL82" s="20" t="n">
        <f aca="false">IF(AK82&gt;PR_BalDone,AK82+AK82*(D_iC)-MIN(F_CardPayM,AK82+AK82*(D_iC)),AK82)</f>
        <v>0</v>
      </c>
      <c r="AM82" s="20" t="n">
        <f aca="false">IF(AL82&gt;PR_BalDone,AL82+AL82*(D_iC)-MIN(F_CardPayM,AL82+AL82*(D_iC)),AL82)</f>
        <v>0</v>
      </c>
      <c r="AN82" s="20" t="n">
        <f aca="false">IF(AM82&gt;PR_BalDone,AM82+AM82*(D_iC)-MIN(F_CardPayM,AM82+AM82*(D_iC)),AM82)</f>
        <v>0</v>
      </c>
      <c r="AO82" s="20" t="n">
        <f aca="false">IF(AN82&gt;PR_BalDone,AN82+AN82*(D_iC)-MIN(F_CardPayM,AN82+AN82*(D_iC)),AN82)</f>
        <v>0</v>
      </c>
      <c r="AP82" s="20" t="n">
        <f aca="false">IF(AO82&gt;PR_BalDone,AO82+AO82*(D_iC)-MIN(F_CardPayM,AO82+AO82*(D_iC)),AO82)</f>
        <v>0</v>
      </c>
      <c r="AQ82" s="20" t="n">
        <f aca="false">IF(AD82&gt;PR_BalDone,MIN(F_CardPayM,AD82+AD82*(D_iC)),0)</f>
        <v>0</v>
      </c>
      <c r="AR82" s="20" t="n">
        <f aca="false">IF(AE82&gt;PR_BalDone,MIN(F_CardPayM,AE82+AE82*(D_iC)),0)</f>
        <v>0</v>
      </c>
      <c r="AS82" s="20" t="n">
        <f aca="false">IF(AF82&gt;PR_BalDone,MIN(F_CardPayM,AF82+AF82*(D_iC)),0)</f>
        <v>0</v>
      </c>
      <c r="AT82" s="20" t="n">
        <f aca="false">IF(AG82&gt;PR_BalDone,MIN(F_CardPayM,AG82+AG82*(D_iC)),0)</f>
        <v>0</v>
      </c>
      <c r="AU82" s="20" t="n">
        <f aca="false">IF(AH82&gt;PR_BalDone,MIN(F_CardPayM,AH82+AH82*(D_iC)),0)</f>
        <v>0</v>
      </c>
      <c r="AV82" s="20" t="n">
        <f aca="false">IF(AI82&gt;PR_BalDone,MIN(F_CardPayM,AI82+AI82*(D_iC)),0)</f>
        <v>0</v>
      </c>
      <c r="AW82" s="20" t="n">
        <f aca="false">IF(AJ82&gt;PR_BalDone,MIN(F_CardPayM,AJ82+AJ82*(D_iC)),0)</f>
        <v>0</v>
      </c>
      <c r="AX82" s="20" t="n">
        <f aca="false">IF(AK82&gt;PR_BalDone,MIN(F_CardPayM,AK82+AK82*(D_iC)),0)</f>
        <v>0</v>
      </c>
      <c r="AY82" s="20" t="n">
        <f aca="false">IF(AL82&gt;PR_BalDone,MIN(F_CardPayM,AL82+AL82*(D_iC)),0)</f>
        <v>0</v>
      </c>
      <c r="AZ82" s="20" t="n">
        <f aca="false">IF(AM82&gt;PR_BalDone,MIN(F_CardPayM,AM82+AM82*(D_iC)),0)</f>
        <v>0</v>
      </c>
      <c r="BA82" s="20" t="n">
        <f aca="false">IF(AN82&gt;PR_BalDone,MIN(F_CardPayM,AN82+AN82*(D_iC)),0)</f>
        <v>0</v>
      </c>
      <c r="BB82" s="20" t="n">
        <f aca="false">IF(AO82&gt;PR_BalDone,MIN(F_CardPayM,AO82+AO82*(D_iC)),0)</f>
        <v>0</v>
      </c>
      <c r="BC82" s="20" t="n">
        <f aca="false">MAX(0,AP82)</f>
        <v>0</v>
      </c>
      <c r="BD82" s="20" t="n">
        <f aca="false">SUM(AQ82:BB82)</f>
        <v>0</v>
      </c>
      <c r="BE82" s="20" t="n">
        <f aca="false">'Plan cashflow'!P82</f>
        <v>0</v>
      </c>
      <c r="BF82" s="20" t="n">
        <f aca="false">IF(BE82&gt;PR_BalDone,BE82+BE82*(D_iL)-MIN(F_LoanPayM,BE82+BE82*(D_iL)),BE82)</f>
        <v>0</v>
      </c>
      <c r="BG82" s="20" t="n">
        <f aca="false">IF(BF82&gt;PR_BalDone,BF82+BF82*(D_iL)-MIN(F_LoanPayM,BF82+BF82*(D_iL)),BF82)</f>
        <v>0</v>
      </c>
      <c r="BH82" s="20" t="n">
        <f aca="false">IF(BG82&gt;PR_BalDone,BG82+BG82*(D_iL)-MIN(F_LoanPayM,BG82+BG82*(D_iL)),BG82)</f>
        <v>0</v>
      </c>
      <c r="BI82" s="20" t="n">
        <f aca="false">IF(BH82&gt;PR_BalDone,BH82+BH82*(D_iL)-MIN(F_LoanPayM,BH82+BH82*(D_iL)),BH82)</f>
        <v>0</v>
      </c>
      <c r="BJ82" s="20" t="n">
        <f aca="false">IF(BI82&gt;PR_BalDone,BI82+BI82*(D_iL)-MIN(F_LoanPayM,BI82+BI82*(D_iL)),BI82)</f>
        <v>0</v>
      </c>
      <c r="BK82" s="20" t="n">
        <f aca="false">IF(BJ82&gt;PR_BalDone,BJ82+BJ82*(D_iL)-MIN(F_LoanPayM,BJ82+BJ82*(D_iL)),BJ82)</f>
        <v>0</v>
      </c>
      <c r="BL82" s="20" t="n">
        <f aca="false">IF(BK82&gt;PR_BalDone,BK82+BK82*(D_iL)-MIN(F_LoanPayM,BK82+BK82*(D_iL)),BK82)</f>
        <v>0</v>
      </c>
      <c r="BM82" s="20" t="n">
        <f aca="false">IF(BL82&gt;PR_BalDone,BL82+BL82*(D_iL)-MIN(F_LoanPayM,BL82+BL82*(D_iL)),BL82)</f>
        <v>0</v>
      </c>
      <c r="BN82" s="20" t="n">
        <f aca="false">IF(BM82&gt;PR_BalDone,BM82+BM82*(D_iL)-MIN(F_LoanPayM,BM82+BM82*(D_iL)),BM82)</f>
        <v>0</v>
      </c>
      <c r="BO82" s="20" t="n">
        <f aca="false">IF(BN82&gt;PR_BalDone,BN82+BN82*(D_iL)-MIN(F_LoanPayM,BN82+BN82*(D_iL)),BN82)</f>
        <v>0</v>
      </c>
      <c r="BP82" s="20" t="n">
        <f aca="false">IF(BO82&gt;PR_BalDone,BO82+BO82*(D_iL)-MIN(F_LoanPayM,BO82+BO82*(D_iL)),BO82)</f>
        <v>0</v>
      </c>
      <c r="BQ82" s="20" t="n">
        <f aca="false">IF(BP82&gt;PR_BalDone,BP82+BP82*(D_iL)-MIN(F_LoanPayM,BP82+BP82*(D_iL)),BP82)</f>
        <v>0</v>
      </c>
      <c r="BR82" s="20" t="n">
        <f aca="false">IF(BE82&gt;PR_BalDone,MIN(F_LoanPayM,BE82+BE82*(D_iL)),0)</f>
        <v>0</v>
      </c>
      <c r="BS82" s="20" t="n">
        <f aca="false">IF(BF82&gt;PR_BalDone,MIN(F_LoanPayM,BF82+BF82*(D_iL)),0)</f>
        <v>0</v>
      </c>
      <c r="BT82" s="20" t="n">
        <f aca="false">IF(BG82&gt;PR_BalDone,MIN(F_LoanPayM,BG82+BG82*(D_iL)),0)</f>
        <v>0</v>
      </c>
      <c r="BU82" s="20" t="n">
        <f aca="false">IF(BH82&gt;PR_BalDone,MIN(F_LoanPayM,BH82+BH82*(D_iL)),0)</f>
        <v>0</v>
      </c>
      <c r="BV82" s="20" t="n">
        <f aca="false">IF(BI82&gt;PR_BalDone,MIN(F_LoanPayM,BI82+BI82*(D_iL)),0)</f>
        <v>0</v>
      </c>
      <c r="BW82" s="20" t="n">
        <f aca="false">IF(BJ82&gt;PR_BalDone,MIN(F_LoanPayM,BJ82+BJ82*(D_iL)),0)</f>
        <v>0</v>
      </c>
      <c r="BX82" s="20" t="n">
        <f aca="false">IF(BK82&gt;PR_BalDone,MIN(F_LoanPayM,BK82+BK82*(D_iL)),0)</f>
        <v>0</v>
      </c>
      <c r="BY82" s="20" t="n">
        <f aca="false">IF(BL82&gt;PR_BalDone,MIN(F_LoanPayM,BL82+BL82*(D_iL)),0)</f>
        <v>0</v>
      </c>
      <c r="BZ82" s="20" t="n">
        <f aca="false">IF(BM82&gt;PR_BalDone,MIN(F_LoanPayM,BM82+BM82*(D_iL)),0)</f>
        <v>0</v>
      </c>
      <c r="CA82" s="20" t="n">
        <f aca="false">IF(BN82&gt;PR_BalDone,MIN(F_LoanPayM,BN82+BN82*(D_iL)),0)</f>
        <v>0</v>
      </c>
      <c r="CB82" s="20" t="n">
        <f aca="false">IF(BO82&gt;PR_BalDone,MIN(F_LoanPayM,BO82+BO82*(D_iL)),0)</f>
        <v>0</v>
      </c>
      <c r="CC82" s="20" t="n">
        <f aca="false">IF(BP82&gt;PR_BalDone,MIN(F_LoanPayM,BP82+BP82*(D_iL)),0)</f>
        <v>0</v>
      </c>
      <c r="CD82" s="20" t="n">
        <f aca="false">MAX(0,BQ82)</f>
        <v>0</v>
      </c>
      <c r="CE82" s="20" t="n">
        <f aca="false">SUM(BR82:CC82)</f>
        <v>0</v>
      </c>
      <c r="CF82" s="20" t="n">
        <f aca="false">IF(CF81&gt;1,DE81,CF81)</f>
        <v>0</v>
      </c>
      <c r="CG82" s="20" t="n">
        <f aca="false">IF(CF82&gt;PR_BalDone,CF82+CF82*(F_MR/12)-MIN(F_MortPayM,CF82+CF82*(F_MR/12)),CF82)</f>
        <v>0</v>
      </c>
      <c r="CH82" s="20" t="n">
        <f aca="false">IF(CG82&gt;PR_BalDone,CG82+CG82*(F_MR/12)-MIN(F_MortPayM,CG82+CG82*(F_MR/12)),CG82)</f>
        <v>0</v>
      </c>
      <c r="CI82" s="20" t="n">
        <f aca="false">IF(CH82&gt;PR_BalDone,CH82+CH82*(F_MR/12)-MIN(F_MortPayM,CH82+CH82*(F_MR/12)),CH82)</f>
        <v>0</v>
      </c>
      <c r="CJ82" s="20" t="n">
        <f aca="false">IF(CI82&gt;PR_BalDone,CI82+CI82*(F_MR/12)-MIN(F_MortPayM,CI82+CI82*(F_MR/12)),CI82)</f>
        <v>0</v>
      </c>
      <c r="CK82" s="20" t="n">
        <f aca="false">IF(CJ82&gt;PR_BalDone,CJ82+CJ82*(F_MR/12)-MIN(F_MortPayM,CJ82+CJ82*(F_MR/12)),CJ82)</f>
        <v>0</v>
      </c>
      <c r="CL82" s="20" t="n">
        <f aca="false">IF(CK82&gt;PR_BalDone,CK82+CK82*(F_MR/12)-MIN(F_MortPayM,CK82+CK82*(F_MR/12)),CK82)</f>
        <v>0</v>
      </c>
      <c r="CM82" s="20" t="n">
        <f aca="false">IF(CL82&gt;PR_BalDone,CL82+CL82*(F_MR/12)-MIN(F_MortPayM,CL82+CL82*(F_MR/12)),CL82)</f>
        <v>0</v>
      </c>
      <c r="CN82" s="20" t="n">
        <f aca="false">IF(CM82&gt;PR_BalDone,CM82+CM82*(F_MR/12)-MIN(F_MortPayM,CM82+CM82*(F_MR/12)),CM82)</f>
        <v>0</v>
      </c>
      <c r="CO82" s="20" t="n">
        <f aca="false">IF(CN82&gt;PR_BalDone,CN82+CN82*(F_MR/12)-MIN(F_MortPayM,CN82+CN82*(F_MR/12)),CN82)</f>
        <v>0</v>
      </c>
      <c r="CP82" s="20" t="n">
        <f aca="false">IF(CO82&gt;PR_BalDone,CO82+CO82*(F_MR/12)-MIN(F_MortPayM,CO82+CO82*(F_MR/12)),CO82)</f>
        <v>0</v>
      </c>
      <c r="CQ82" s="20" t="n">
        <f aca="false">IF(CP82&gt;PR_BalDone,CP82+CP82*(F_MR/12)-MIN(F_MortPayM,CP82+CP82*(F_MR/12)),CP82)</f>
        <v>0</v>
      </c>
      <c r="CR82" s="20" t="n">
        <f aca="false">IF(CQ82&gt;PR_BalDone,CQ82+CQ82*(F_MR/12)-MIN(F_MortPayM,CQ82+CQ82*(F_MR/12)),CQ82)</f>
        <v>0</v>
      </c>
      <c r="CS82" s="20" t="n">
        <f aca="false">IF(CF82&gt;PR_BalDone,MIN(F_MortPayM,CF82+CF82*(F_MR/12)),0)</f>
        <v>0</v>
      </c>
      <c r="CT82" s="20" t="n">
        <f aca="false">IF(CG82&gt;PR_BalDone,MIN(F_MortPayM,CG82+CG82*(F_MR/12)),0)</f>
        <v>0</v>
      </c>
      <c r="CU82" s="20" t="n">
        <f aca="false">IF(CH82&gt;PR_BalDone,MIN(F_MortPayM,CH82+CH82*(F_MR/12)),0)</f>
        <v>0</v>
      </c>
      <c r="CV82" s="20" t="n">
        <f aca="false">IF(CI82&gt;PR_BalDone,MIN(F_MortPayM,CI82+CI82*(F_MR/12)),0)</f>
        <v>0</v>
      </c>
      <c r="CW82" s="20" t="n">
        <f aca="false">IF(CJ82&gt;PR_BalDone,MIN(F_MortPayM,CJ82+CJ82*(F_MR/12)),0)</f>
        <v>0</v>
      </c>
      <c r="CX82" s="20" t="n">
        <f aca="false">IF(CK82&gt;PR_BalDone,MIN(F_MortPayM,CK82+CK82*(F_MR/12)),0)</f>
        <v>0</v>
      </c>
      <c r="CY82" s="20" t="n">
        <f aca="false">IF(CL82&gt;PR_BalDone,MIN(F_MortPayM,CL82+CL82*(F_MR/12)),0)</f>
        <v>0</v>
      </c>
      <c r="CZ82" s="20" t="n">
        <f aca="false">IF(CM82&gt;PR_BalDone,MIN(F_MortPayM,CM82+CM82*(F_MR/12)),0)</f>
        <v>0</v>
      </c>
      <c r="DA82" s="20" t="n">
        <f aca="false">IF(CN82&gt;PR_BalDone,MIN(F_MortPayM,CN82+CN82*(F_MR/12)),0)</f>
        <v>0</v>
      </c>
      <c r="DB82" s="20" t="n">
        <f aca="false">IF(CO82&gt;PR_BalDone,MIN(F_MortPayM,CO82+CO82*(F_MR/12)),0)</f>
        <v>0</v>
      </c>
      <c r="DC82" s="20" t="n">
        <f aca="false">IF(CP82&gt;PR_BalDone,MIN(F_MortPayM,CP82+CP82*(F_MR/12)),0)</f>
        <v>0</v>
      </c>
      <c r="DD82" s="20" t="n">
        <f aca="false">IF(CQ82&gt;PR_BalDone,MIN(F_MortPayM,CQ82+CQ82*(F_MR/12)),0)</f>
        <v>0</v>
      </c>
      <c r="DE82" s="20" t="n">
        <f aca="false">MAX(0,CR82)</f>
        <v>0</v>
      </c>
      <c r="DF82" s="20" t="n">
        <f aca="false">SUM(CS82:DD82)</f>
        <v>0</v>
      </c>
      <c r="DG82" s="20" t="n">
        <f aca="false">MAX(0,CF82)</f>
        <v>0</v>
      </c>
    </row>
    <row r="83" customFormat="false" ht="15" hidden="false" customHeight="true" outlineLevel="0" collapsed="false">
      <c r="B83" s="20" t="n">
        <v>75</v>
      </c>
      <c r="C83" s="20" t="n">
        <f aca="false">'Plan cashflow'!J83</f>
        <v>0</v>
      </c>
      <c r="D83" s="20" t="n">
        <f aca="false">IF(C83&gt;PR_BalDone,C83+C83*(F_MR/12)-MIN(F_MortPayM,C83+C83*(F_MR/12)),C83)</f>
        <v>0</v>
      </c>
      <c r="E83" s="20" t="n">
        <f aca="false">IF(D83&gt;PR_BalDone,D83+D83*(F_MR/12)-MIN(F_MortPayM,D83+D83*(F_MR/12)),D83)</f>
        <v>0</v>
      </c>
      <c r="F83" s="20" t="n">
        <f aca="false">IF(E83&gt;PR_BalDone,E83+E83*(F_MR/12)-MIN(F_MortPayM,E83+E83*(F_MR/12)),E83)</f>
        <v>0</v>
      </c>
      <c r="G83" s="20" t="n">
        <f aca="false">IF(F83&gt;PR_BalDone,F83+F83*(F_MR/12)-MIN(F_MortPayM,F83+F83*(F_MR/12)),F83)</f>
        <v>0</v>
      </c>
      <c r="H83" s="20" t="n">
        <f aca="false">IF(G83&gt;PR_BalDone,G83+G83*(F_MR/12)-MIN(F_MortPayM,G83+G83*(F_MR/12)),G83)</f>
        <v>0</v>
      </c>
      <c r="I83" s="20" t="n">
        <f aca="false">IF(H83&gt;PR_BalDone,H83+H83*(F_MR/12)-MIN(F_MortPayM,H83+H83*(F_MR/12)),H83)</f>
        <v>0</v>
      </c>
      <c r="J83" s="20" t="n">
        <f aca="false">IF(I83&gt;PR_BalDone,I83+I83*(F_MR/12)-MIN(F_MortPayM,I83+I83*(F_MR/12)),I83)</f>
        <v>0</v>
      </c>
      <c r="K83" s="20" t="n">
        <f aca="false">IF(J83&gt;PR_BalDone,J83+J83*(F_MR/12)-MIN(F_MortPayM,J83+J83*(F_MR/12)),J83)</f>
        <v>0</v>
      </c>
      <c r="L83" s="20" t="n">
        <f aca="false">IF(K83&gt;PR_BalDone,K83+K83*(F_MR/12)-MIN(F_MortPayM,K83+K83*(F_MR/12)),K83)</f>
        <v>0</v>
      </c>
      <c r="M83" s="20" t="n">
        <f aca="false">IF(L83&gt;PR_BalDone,L83+L83*(F_MR/12)-MIN(F_MortPayM,L83+L83*(F_MR/12)),L83)</f>
        <v>0</v>
      </c>
      <c r="N83" s="20" t="n">
        <f aca="false">IF(M83&gt;PR_BalDone,M83+M83*(F_MR/12)-MIN(F_MortPayM,M83+M83*(F_MR/12)),M83)</f>
        <v>0</v>
      </c>
      <c r="O83" s="20" t="n">
        <f aca="false">IF(N83&gt;PR_BalDone,N83+N83*(F_MR/12)-MIN(F_MortPayM,N83+N83*(F_MR/12)),N83)</f>
        <v>0</v>
      </c>
      <c r="P83" s="20" t="n">
        <f aca="false">IF(C83&gt;PR_BalDone,MIN(F_MortPayM,C83+C83*(F_MR/12)),0)</f>
        <v>0</v>
      </c>
      <c r="Q83" s="20" t="n">
        <f aca="false">IF(D83&gt;PR_BalDone,MIN(F_MortPayM,D83+D83*(F_MR/12)),0)</f>
        <v>0</v>
      </c>
      <c r="R83" s="20" t="n">
        <f aca="false">IF(E83&gt;PR_BalDone,MIN(F_MortPayM,E83+E83*(F_MR/12)),0)</f>
        <v>0</v>
      </c>
      <c r="S83" s="20" t="n">
        <f aca="false">IF(F83&gt;PR_BalDone,MIN(F_MortPayM,F83+F83*(F_MR/12)),0)</f>
        <v>0</v>
      </c>
      <c r="T83" s="20" t="n">
        <f aca="false">IF(G83&gt;PR_BalDone,MIN(F_MortPayM,G83+G83*(F_MR/12)),0)</f>
        <v>0</v>
      </c>
      <c r="U83" s="20" t="n">
        <f aca="false">IF(H83&gt;PR_BalDone,MIN(F_MortPayM,H83+H83*(F_MR/12)),0)</f>
        <v>0</v>
      </c>
      <c r="V83" s="20" t="n">
        <f aca="false">IF(I83&gt;PR_BalDone,MIN(F_MortPayM,I83+I83*(F_MR/12)),0)</f>
        <v>0</v>
      </c>
      <c r="W83" s="20" t="n">
        <f aca="false">IF(J83&gt;PR_BalDone,MIN(F_MortPayM,J83+J83*(F_MR/12)),0)</f>
        <v>0</v>
      </c>
      <c r="X83" s="20" t="n">
        <f aca="false">IF(K83&gt;PR_BalDone,MIN(F_MortPayM,K83+K83*(F_MR/12)),0)</f>
        <v>0</v>
      </c>
      <c r="Y83" s="20" t="n">
        <f aca="false">IF(L83&gt;PR_BalDone,MIN(F_MortPayM,L83+L83*(F_MR/12)),0)</f>
        <v>0</v>
      </c>
      <c r="Z83" s="20" t="n">
        <f aca="false">IF(M83&gt;PR_BalDone,MIN(F_MortPayM,M83+M83*(F_MR/12)),0)</f>
        <v>0</v>
      </c>
      <c r="AA83" s="20" t="n">
        <f aca="false">IF(N83&gt;PR_BalDone,MIN(F_MortPayM,N83+N83*(F_MR/12)),0)</f>
        <v>0</v>
      </c>
      <c r="AB83" s="20" t="n">
        <f aca="false">MAX(0,O83)</f>
        <v>0</v>
      </c>
      <c r="AC83" s="20" t="n">
        <f aca="false">SUM(P83:AA83)</f>
        <v>0</v>
      </c>
      <c r="AD83" s="20" t="n">
        <f aca="false">'Plan cashflow'!M83</f>
        <v>0</v>
      </c>
      <c r="AE83" s="20" t="n">
        <f aca="false">IF(AD83&gt;PR_BalDone,AD83+AD83*(D_iC)-MIN(F_CardPayM,AD83+AD83*(D_iC)),AD83)</f>
        <v>0</v>
      </c>
      <c r="AF83" s="20" t="n">
        <f aca="false">IF(AE83&gt;PR_BalDone,AE83+AE83*(D_iC)-MIN(F_CardPayM,AE83+AE83*(D_iC)),AE83)</f>
        <v>0</v>
      </c>
      <c r="AG83" s="20" t="n">
        <f aca="false">IF(AF83&gt;PR_BalDone,AF83+AF83*(D_iC)-MIN(F_CardPayM,AF83+AF83*(D_iC)),AF83)</f>
        <v>0</v>
      </c>
      <c r="AH83" s="20" t="n">
        <f aca="false">IF(AG83&gt;PR_BalDone,AG83+AG83*(D_iC)-MIN(F_CardPayM,AG83+AG83*(D_iC)),AG83)</f>
        <v>0</v>
      </c>
      <c r="AI83" s="20" t="n">
        <f aca="false">IF(AH83&gt;PR_BalDone,AH83+AH83*(D_iC)-MIN(F_CardPayM,AH83+AH83*(D_iC)),AH83)</f>
        <v>0</v>
      </c>
      <c r="AJ83" s="20" t="n">
        <f aca="false">IF(AI83&gt;PR_BalDone,AI83+AI83*(D_iC)-MIN(F_CardPayM,AI83+AI83*(D_iC)),AI83)</f>
        <v>0</v>
      </c>
      <c r="AK83" s="20" t="n">
        <f aca="false">IF(AJ83&gt;PR_BalDone,AJ83+AJ83*(D_iC)-MIN(F_CardPayM,AJ83+AJ83*(D_iC)),AJ83)</f>
        <v>0</v>
      </c>
      <c r="AL83" s="20" t="n">
        <f aca="false">IF(AK83&gt;PR_BalDone,AK83+AK83*(D_iC)-MIN(F_CardPayM,AK83+AK83*(D_iC)),AK83)</f>
        <v>0</v>
      </c>
      <c r="AM83" s="20" t="n">
        <f aca="false">IF(AL83&gt;PR_BalDone,AL83+AL83*(D_iC)-MIN(F_CardPayM,AL83+AL83*(D_iC)),AL83)</f>
        <v>0</v>
      </c>
      <c r="AN83" s="20" t="n">
        <f aca="false">IF(AM83&gt;PR_BalDone,AM83+AM83*(D_iC)-MIN(F_CardPayM,AM83+AM83*(D_iC)),AM83)</f>
        <v>0</v>
      </c>
      <c r="AO83" s="20" t="n">
        <f aca="false">IF(AN83&gt;PR_BalDone,AN83+AN83*(D_iC)-MIN(F_CardPayM,AN83+AN83*(D_iC)),AN83)</f>
        <v>0</v>
      </c>
      <c r="AP83" s="20" t="n">
        <f aca="false">IF(AO83&gt;PR_BalDone,AO83+AO83*(D_iC)-MIN(F_CardPayM,AO83+AO83*(D_iC)),AO83)</f>
        <v>0</v>
      </c>
      <c r="AQ83" s="20" t="n">
        <f aca="false">IF(AD83&gt;PR_BalDone,MIN(F_CardPayM,AD83+AD83*(D_iC)),0)</f>
        <v>0</v>
      </c>
      <c r="AR83" s="20" t="n">
        <f aca="false">IF(AE83&gt;PR_BalDone,MIN(F_CardPayM,AE83+AE83*(D_iC)),0)</f>
        <v>0</v>
      </c>
      <c r="AS83" s="20" t="n">
        <f aca="false">IF(AF83&gt;PR_BalDone,MIN(F_CardPayM,AF83+AF83*(D_iC)),0)</f>
        <v>0</v>
      </c>
      <c r="AT83" s="20" t="n">
        <f aca="false">IF(AG83&gt;PR_BalDone,MIN(F_CardPayM,AG83+AG83*(D_iC)),0)</f>
        <v>0</v>
      </c>
      <c r="AU83" s="20" t="n">
        <f aca="false">IF(AH83&gt;PR_BalDone,MIN(F_CardPayM,AH83+AH83*(D_iC)),0)</f>
        <v>0</v>
      </c>
      <c r="AV83" s="20" t="n">
        <f aca="false">IF(AI83&gt;PR_BalDone,MIN(F_CardPayM,AI83+AI83*(D_iC)),0)</f>
        <v>0</v>
      </c>
      <c r="AW83" s="20" t="n">
        <f aca="false">IF(AJ83&gt;PR_BalDone,MIN(F_CardPayM,AJ83+AJ83*(D_iC)),0)</f>
        <v>0</v>
      </c>
      <c r="AX83" s="20" t="n">
        <f aca="false">IF(AK83&gt;PR_BalDone,MIN(F_CardPayM,AK83+AK83*(D_iC)),0)</f>
        <v>0</v>
      </c>
      <c r="AY83" s="20" t="n">
        <f aca="false">IF(AL83&gt;PR_BalDone,MIN(F_CardPayM,AL83+AL83*(D_iC)),0)</f>
        <v>0</v>
      </c>
      <c r="AZ83" s="20" t="n">
        <f aca="false">IF(AM83&gt;PR_BalDone,MIN(F_CardPayM,AM83+AM83*(D_iC)),0)</f>
        <v>0</v>
      </c>
      <c r="BA83" s="20" t="n">
        <f aca="false">IF(AN83&gt;PR_BalDone,MIN(F_CardPayM,AN83+AN83*(D_iC)),0)</f>
        <v>0</v>
      </c>
      <c r="BB83" s="20" t="n">
        <f aca="false">IF(AO83&gt;PR_BalDone,MIN(F_CardPayM,AO83+AO83*(D_iC)),0)</f>
        <v>0</v>
      </c>
      <c r="BC83" s="20" t="n">
        <f aca="false">MAX(0,AP83)</f>
        <v>0</v>
      </c>
      <c r="BD83" s="20" t="n">
        <f aca="false">SUM(AQ83:BB83)</f>
        <v>0</v>
      </c>
      <c r="BE83" s="20" t="n">
        <f aca="false">'Plan cashflow'!P83</f>
        <v>0</v>
      </c>
      <c r="BF83" s="20" t="n">
        <f aca="false">IF(BE83&gt;PR_BalDone,BE83+BE83*(D_iL)-MIN(F_LoanPayM,BE83+BE83*(D_iL)),BE83)</f>
        <v>0</v>
      </c>
      <c r="BG83" s="20" t="n">
        <f aca="false">IF(BF83&gt;PR_BalDone,BF83+BF83*(D_iL)-MIN(F_LoanPayM,BF83+BF83*(D_iL)),BF83)</f>
        <v>0</v>
      </c>
      <c r="BH83" s="20" t="n">
        <f aca="false">IF(BG83&gt;PR_BalDone,BG83+BG83*(D_iL)-MIN(F_LoanPayM,BG83+BG83*(D_iL)),BG83)</f>
        <v>0</v>
      </c>
      <c r="BI83" s="20" t="n">
        <f aca="false">IF(BH83&gt;PR_BalDone,BH83+BH83*(D_iL)-MIN(F_LoanPayM,BH83+BH83*(D_iL)),BH83)</f>
        <v>0</v>
      </c>
      <c r="BJ83" s="20" t="n">
        <f aca="false">IF(BI83&gt;PR_BalDone,BI83+BI83*(D_iL)-MIN(F_LoanPayM,BI83+BI83*(D_iL)),BI83)</f>
        <v>0</v>
      </c>
      <c r="BK83" s="20" t="n">
        <f aca="false">IF(BJ83&gt;PR_BalDone,BJ83+BJ83*(D_iL)-MIN(F_LoanPayM,BJ83+BJ83*(D_iL)),BJ83)</f>
        <v>0</v>
      </c>
      <c r="BL83" s="20" t="n">
        <f aca="false">IF(BK83&gt;PR_BalDone,BK83+BK83*(D_iL)-MIN(F_LoanPayM,BK83+BK83*(D_iL)),BK83)</f>
        <v>0</v>
      </c>
      <c r="BM83" s="20" t="n">
        <f aca="false">IF(BL83&gt;PR_BalDone,BL83+BL83*(D_iL)-MIN(F_LoanPayM,BL83+BL83*(D_iL)),BL83)</f>
        <v>0</v>
      </c>
      <c r="BN83" s="20" t="n">
        <f aca="false">IF(BM83&gt;PR_BalDone,BM83+BM83*(D_iL)-MIN(F_LoanPayM,BM83+BM83*(D_iL)),BM83)</f>
        <v>0</v>
      </c>
      <c r="BO83" s="20" t="n">
        <f aca="false">IF(BN83&gt;PR_BalDone,BN83+BN83*(D_iL)-MIN(F_LoanPayM,BN83+BN83*(D_iL)),BN83)</f>
        <v>0</v>
      </c>
      <c r="BP83" s="20" t="n">
        <f aca="false">IF(BO83&gt;PR_BalDone,BO83+BO83*(D_iL)-MIN(F_LoanPayM,BO83+BO83*(D_iL)),BO83)</f>
        <v>0</v>
      </c>
      <c r="BQ83" s="20" t="n">
        <f aca="false">IF(BP83&gt;PR_BalDone,BP83+BP83*(D_iL)-MIN(F_LoanPayM,BP83+BP83*(D_iL)),BP83)</f>
        <v>0</v>
      </c>
      <c r="BR83" s="20" t="n">
        <f aca="false">IF(BE83&gt;PR_BalDone,MIN(F_LoanPayM,BE83+BE83*(D_iL)),0)</f>
        <v>0</v>
      </c>
      <c r="BS83" s="20" t="n">
        <f aca="false">IF(BF83&gt;PR_BalDone,MIN(F_LoanPayM,BF83+BF83*(D_iL)),0)</f>
        <v>0</v>
      </c>
      <c r="BT83" s="20" t="n">
        <f aca="false">IF(BG83&gt;PR_BalDone,MIN(F_LoanPayM,BG83+BG83*(D_iL)),0)</f>
        <v>0</v>
      </c>
      <c r="BU83" s="20" t="n">
        <f aca="false">IF(BH83&gt;PR_BalDone,MIN(F_LoanPayM,BH83+BH83*(D_iL)),0)</f>
        <v>0</v>
      </c>
      <c r="BV83" s="20" t="n">
        <f aca="false">IF(BI83&gt;PR_BalDone,MIN(F_LoanPayM,BI83+BI83*(D_iL)),0)</f>
        <v>0</v>
      </c>
      <c r="BW83" s="20" t="n">
        <f aca="false">IF(BJ83&gt;PR_BalDone,MIN(F_LoanPayM,BJ83+BJ83*(D_iL)),0)</f>
        <v>0</v>
      </c>
      <c r="BX83" s="20" t="n">
        <f aca="false">IF(BK83&gt;PR_BalDone,MIN(F_LoanPayM,BK83+BK83*(D_iL)),0)</f>
        <v>0</v>
      </c>
      <c r="BY83" s="20" t="n">
        <f aca="false">IF(BL83&gt;PR_BalDone,MIN(F_LoanPayM,BL83+BL83*(D_iL)),0)</f>
        <v>0</v>
      </c>
      <c r="BZ83" s="20" t="n">
        <f aca="false">IF(BM83&gt;PR_BalDone,MIN(F_LoanPayM,BM83+BM83*(D_iL)),0)</f>
        <v>0</v>
      </c>
      <c r="CA83" s="20" t="n">
        <f aca="false">IF(BN83&gt;PR_BalDone,MIN(F_LoanPayM,BN83+BN83*(D_iL)),0)</f>
        <v>0</v>
      </c>
      <c r="CB83" s="20" t="n">
        <f aca="false">IF(BO83&gt;PR_BalDone,MIN(F_LoanPayM,BO83+BO83*(D_iL)),0)</f>
        <v>0</v>
      </c>
      <c r="CC83" s="20" t="n">
        <f aca="false">IF(BP83&gt;PR_BalDone,MIN(F_LoanPayM,BP83+BP83*(D_iL)),0)</f>
        <v>0</v>
      </c>
      <c r="CD83" s="20" t="n">
        <f aca="false">MAX(0,BQ83)</f>
        <v>0</v>
      </c>
      <c r="CE83" s="20" t="n">
        <f aca="false">SUM(BR83:CC83)</f>
        <v>0</v>
      </c>
      <c r="CF83" s="20" t="n">
        <f aca="false">IF(CF82&gt;1,DE82,CF82)</f>
        <v>0</v>
      </c>
      <c r="CG83" s="20" t="n">
        <f aca="false">IF(CF83&gt;PR_BalDone,CF83+CF83*(F_MR/12)-MIN(F_MortPayM,CF83+CF83*(F_MR/12)),CF83)</f>
        <v>0</v>
      </c>
      <c r="CH83" s="20" t="n">
        <f aca="false">IF(CG83&gt;PR_BalDone,CG83+CG83*(F_MR/12)-MIN(F_MortPayM,CG83+CG83*(F_MR/12)),CG83)</f>
        <v>0</v>
      </c>
      <c r="CI83" s="20" t="n">
        <f aca="false">IF(CH83&gt;PR_BalDone,CH83+CH83*(F_MR/12)-MIN(F_MortPayM,CH83+CH83*(F_MR/12)),CH83)</f>
        <v>0</v>
      </c>
      <c r="CJ83" s="20" t="n">
        <f aca="false">IF(CI83&gt;PR_BalDone,CI83+CI83*(F_MR/12)-MIN(F_MortPayM,CI83+CI83*(F_MR/12)),CI83)</f>
        <v>0</v>
      </c>
      <c r="CK83" s="20" t="n">
        <f aca="false">IF(CJ83&gt;PR_BalDone,CJ83+CJ83*(F_MR/12)-MIN(F_MortPayM,CJ83+CJ83*(F_MR/12)),CJ83)</f>
        <v>0</v>
      </c>
      <c r="CL83" s="20" t="n">
        <f aca="false">IF(CK83&gt;PR_BalDone,CK83+CK83*(F_MR/12)-MIN(F_MortPayM,CK83+CK83*(F_MR/12)),CK83)</f>
        <v>0</v>
      </c>
      <c r="CM83" s="20" t="n">
        <f aca="false">IF(CL83&gt;PR_BalDone,CL83+CL83*(F_MR/12)-MIN(F_MortPayM,CL83+CL83*(F_MR/12)),CL83)</f>
        <v>0</v>
      </c>
      <c r="CN83" s="20" t="n">
        <f aca="false">IF(CM83&gt;PR_BalDone,CM83+CM83*(F_MR/12)-MIN(F_MortPayM,CM83+CM83*(F_MR/12)),CM83)</f>
        <v>0</v>
      </c>
      <c r="CO83" s="20" t="n">
        <f aca="false">IF(CN83&gt;PR_BalDone,CN83+CN83*(F_MR/12)-MIN(F_MortPayM,CN83+CN83*(F_MR/12)),CN83)</f>
        <v>0</v>
      </c>
      <c r="CP83" s="20" t="n">
        <f aca="false">IF(CO83&gt;PR_BalDone,CO83+CO83*(F_MR/12)-MIN(F_MortPayM,CO83+CO83*(F_MR/12)),CO83)</f>
        <v>0</v>
      </c>
      <c r="CQ83" s="20" t="n">
        <f aca="false">IF(CP83&gt;PR_BalDone,CP83+CP83*(F_MR/12)-MIN(F_MortPayM,CP83+CP83*(F_MR/12)),CP83)</f>
        <v>0</v>
      </c>
      <c r="CR83" s="20" t="n">
        <f aca="false">IF(CQ83&gt;PR_BalDone,CQ83+CQ83*(F_MR/12)-MIN(F_MortPayM,CQ83+CQ83*(F_MR/12)),CQ83)</f>
        <v>0</v>
      </c>
      <c r="CS83" s="20" t="n">
        <f aca="false">IF(CF83&gt;PR_BalDone,MIN(F_MortPayM,CF83+CF83*(F_MR/12)),0)</f>
        <v>0</v>
      </c>
      <c r="CT83" s="20" t="n">
        <f aca="false">IF(CG83&gt;PR_BalDone,MIN(F_MortPayM,CG83+CG83*(F_MR/12)),0)</f>
        <v>0</v>
      </c>
      <c r="CU83" s="20" t="n">
        <f aca="false">IF(CH83&gt;PR_BalDone,MIN(F_MortPayM,CH83+CH83*(F_MR/12)),0)</f>
        <v>0</v>
      </c>
      <c r="CV83" s="20" t="n">
        <f aca="false">IF(CI83&gt;PR_BalDone,MIN(F_MortPayM,CI83+CI83*(F_MR/12)),0)</f>
        <v>0</v>
      </c>
      <c r="CW83" s="20" t="n">
        <f aca="false">IF(CJ83&gt;PR_BalDone,MIN(F_MortPayM,CJ83+CJ83*(F_MR/12)),0)</f>
        <v>0</v>
      </c>
      <c r="CX83" s="20" t="n">
        <f aca="false">IF(CK83&gt;PR_BalDone,MIN(F_MortPayM,CK83+CK83*(F_MR/12)),0)</f>
        <v>0</v>
      </c>
      <c r="CY83" s="20" t="n">
        <f aca="false">IF(CL83&gt;PR_BalDone,MIN(F_MortPayM,CL83+CL83*(F_MR/12)),0)</f>
        <v>0</v>
      </c>
      <c r="CZ83" s="20" t="n">
        <f aca="false">IF(CM83&gt;PR_BalDone,MIN(F_MortPayM,CM83+CM83*(F_MR/12)),0)</f>
        <v>0</v>
      </c>
      <c r="DA83" s="20" t="n">
        <f aca="false">IF(CN83&gt;PR_BalDone,MIN(F_MortPayM,CN83+CN83*(F_MR/12)),0)</f>
        <v>0</v>
      </c>
      <c r="DB83" s="20" t="n">
        <f aca="false">IF(CO83&gt;PR_BalDone,MIN(F_MortPayM,CO83+CO83*(F_MR/12)),0)</f>
        <v>0</v>
      </c>
      <c r="DC83" s="20" t="n">
        <f aca="false">IF(CP83&gt;PR_BalDone,MIN(F_MortPayM,CP83+CP83*(F_MR/12)),0)</f>
        <v>0</v>
      </c>
      <c r="DD83" s="20" t="n">
        <f aca="false">IF(CQ83&gt;PR_BalDone,MIN(F_MortPayM,CQ83+CQ83*(F_MR/12)),0)</f>
        <v>0</v>
      </c>
      <c r="DE83" s="20" t="n">
        <f aca="false">MAX(0,CR83)</f>
        <v>0</v>
      </c>
      <c r="DF83" s="20" t="n">
        <f aca="false">SUM(CS83:DD83)</f>
        <v>0</v>
      </c>
      <c r="DG83" s="20" t="n">
        <f aca="false">MAX(0,CF83)</f>
        <v>0</v>
      </c>
    </row>
    <row r="84" customFormat="false" ht="15" hidden="false" customHeight="true" outlineLevel="0" collapsed="false">
      <c r="B84" s="20" t="n">
        <v>76</v>
      </c>
      <c r="C84" s="20" t="n">
        <f aca="false">'Plan cashflow'!J84</f>
        <v>0</v>
      </c>
      <c r="D84" s="20" t="n">
        <f aca="false">IF(C84&gt;PR_BalDone,C84+C84*(F_MR/12)-MIN(F_MortPayM,C84+C84*(F_MR/12)),C84)</f>
        <v>0</v>
      </c>
      <c r="E84" s="20" t="n">
        <f aca="false">IF(D84&gt;PR_BalDone,D84+D84*(F_MR/12)-MIN(F_MortPayM,D84+D84*(F_MR/12)),D84)</f>
        <v>0</v>
      </c>
      <c r="F84" s="20" t="n">
        <f aca="false">IF(E84&gt;PR_BalDone,E84+E84*(F_MR/12)-MIN(F_MortPayM,E84+E84*(F_MR/12)),E84)</f>
        <v>0</v>
      </c>
      <c r="G84" s="20" t="n">
        <f aca="false">IF(F84&gt;PR_BalDone,F84+F84*(F_MR/12)-MIN(F_MortPayM,F84+F84*(F_MR/12)),F84)</f>
        <v>0</v>
      </c>
      <c r="H84" s="20" t="n">
        <f aca="false">IF(G84&gt;PR_BalDone,G84+G84*(F_MR/12)-MIN(F_MortPayM,G84+G84*(F_MR/12)),G84)</f>
        <v>0</v>
      </c>
      <c r="I84" s="20" t="n">
        <f aca="false">IF(H84&gt;PR_BalDone,H84+H84*(F_MR/12)-MIN(F_MortPayM,H84+H84*(F_MR/12)),H84)</f>
        <v>0</v>
      </c>
      <c r="J84" s="20" t="n">
        <f aca="false">IF(I84&gt;PR_BalDone,I84+I84*(F_MR/12)-MIN(F_MortPayM,I84+I84*(F_MR/12)),I84)</f>
        <v>0</v>
      </c>
      <c r="K84" s="20" t="n">
        <f aca="false">IF(J84&gt;PR_BalDone,J84+J84*(F_MR/12)-MIN(F_MortPayM,J84+J84*(F_MR/12)),J84)</f>
        <v>0</v>
      </c>
      <c r="L84" s="20" t="n">
        <f aca="false">IF(K84&gt;PR_BalDone,K84+K84*(F_MR/12)-MIN(F_MortPayM,K84+K84*(F_MR/12)),K84)</f>
        <v>0</v>
      </c>
      <c r="M84" s="20" t="n">
        <f aca="false">IF(L84&gt;PR_BalDone,L84+L84*(F_MR/12)-MIN(F_MortPayM,L84+L84*(F_MR/12)),L84)</f>
        <v>0</v>
      </c>
      <c r="N84" s="20" t="n">
        <f aca="false">IF(M84&gt;PR_BalDone,M84+M84*(F_MR/12)-MIN(F_MortPayM,M84+M84*(F_MR/12)),M84)</f>
        <v>0</v>
      </c>
      <c r="O84" s="20" t="n">
        <f aca="false">IF(N84&gt;PR_BalDone,N84+N84*(F_MR/12)-MIN(F_MortPayM,N84+N84*(F_MR/12)),N84)</f>
        <v>0</v>
      </c>
      <c r="P84" s="20" t="n">
        <f aca="false">IF(C84&gt;PR_BalDone,MIN(F_MortPayM,C84+C84*(F_MR/12)),0)</f>
        <v>0</v>
      </c>
      <c r="Q84" s="20" t="n">
        <f aca="false">IF(D84&gt;PR_BalDone,MIN(F_MortPayM,D84+D84*(F_MR/12)),0)</f>
        <v>0</v>
      </c>
      <c r="R84" s="20" t="n">
        <f aca="false">IF(E84&gt;PR_BalDone,MIN(F_MortPayM,E84+E84*(F_MR/12)),0)</f>
        <v>0</v>
      </c>
      <c r="S84" s="20" t="n">
        <f aca="false">IF(F84&gt;PR_BalDone,MIN(F_MortPayM,F84+F84*(F_MR/12)),0)</f>
        <v>0</v>
      </c>
      <c r="T84" s="20" t="n">
        <f aca="false">IF(G84&gt;PR_BalDone,MIN(F_MortPayM,G84+G84*(F_MR/12)),0)</f>
        <v>0</v>
      </c>
      <c r="U84" s="20" t="n">
        <f aca="false">IF(H84&gt;PR_BalDone,MIN(F_MortPayM,H84+H84*(F_MR/12)),0)</f>
        <v>0</v>
      </c>
      <c r="V84" s="20" t="n">
        <f aca="false">IF(I84&gt;PR_BalDone,MIN(F_MortPayM,I84+I84*(F_MR/12)),0)</f>
        <v>0</v>
      </c>
      <c r="W84" s="20" t="n">
        <f aca="false">IF(J84&gt;PR_BalDone,MIN(F_MortPayM,J84+J84*(F_MR/12)),0)</f>
        <v>0</v>
      </c>
      <c r="X84" s="20" t="n">
        <f aca="false">IF(K84&gt;PR_BalDone,MIN(F_MortPayM,K84+K84*(F_MR/12)),0)</f>
        <v>0</v>
      </c>
      <c r="Y84" s="20" t="n">
        <f aca="false">IF(L84&gt;PR_BalDone,MIN(F_MortPayM,L84+L84*(F_MR/12)),0)</f>
        <v>0</v>
      </c>
      <c r="Z84" s="20" t="n">
        <f aca="false">IF(M84&gt;PR_BalDone,MIN(F_MortPayM,M84+M84*(F_MR/12)),0)</f>
        <v>0</v>
      </c>
      <c r="AA84" s="20" t="n">
        <f aca="false">IF(N84&gt;PR_BalDone,MIN(F_MortPayM,N84+N84*(F_MR/12)),0)</f>
        <v>0</v>
      </c>
      <c r="AB84" s="20" t="n">
        <f aca="false">MAX(0,O84)</f>
        <v>0</v>
      </c>
      <c r="AC84" s="20" t="n">
        <f aca="false">SUM(P84:AA84)</f>
        <v>0</v>
      </c>
      <c r="AD84" s="20" t="n">
        <f aca="false">'Plan cashflow'!M84</f>
        <v>0</v>
      </c>
      <c r="AE84" s="20" t="n">
        <f aca="false">IF(AD84&gt;PR_BalDone,AD84+AD84*(D_iC)-MIN(F_CardPayM,AD84+AD84*(D_iC)),AD84)</f>
        <v>0</v>
      </c>
      <c r="AF84" s="20" t="n">
        <f aca="false">IF(AE84&gt;PR_BalDone,AE84+AE84*(D_iC)-MIN(F_CardPayM,AE84+AE84*(D_iC)),AE84)</f>
        <v>0</v>
      </c>
      <c r="AG84" s="20" t="n">
        <f aca="false">IF(AF84&gt;PR_BalDone,AF84+AF84*(D_iC)-MIN(F_CardPayM,AF84+AF84*(D_iC)),AF84)</f>
        <v>0</v>
      </c>
      <c r="AH84" s="20" t="n">
        <f aca="false">IF(AG84&gt;PR_BalDone,AG84+AG84*(D_iC)-MIN(F_CardPayM,AG84+AG84*(D_iC)),AG84)</f>
        <v>0</v>
      </c>
      <c r="AI84" s="20" t="n">
        <f aca="false">IF(AH84&gt;PR_BalDone,AH84+AH84*(D_iC)-MIN(F_CardPayM,AH84+AH84*(D_iC)),AH84)</f>
        <v>0</v>
      </c>
      <c r="AJ84" s="20" t="n">
        <f aca="false">IF(AI84&gt;PR_BalDone,AI84+AI84*(D_iC)-MIN(F_CardPayM,AI84+AI84*(D_iC)),AI84)</f>
        <v>0</v>
      </c>
      <c r="AK84" s="20" t="n">
        <f aca="false">IF(AJ84&gt;PR_BalDone,AJ84+AJ84*(D_iC)-MIN(F_CardPayM,AJ84+AJ84*(D_iC)),AJ84)</f>
        <v>0</v>
      </c>
      <c r="AL84" s="20" t="n">
        <f aca="false">IF(AK84&gt;PR_BalDone,AK84+AK84*(D_iC)-MIN(F_CardPayM,AK84+AK84*(D_iC)),AK84)</f>
        <v>0</v>
      </c>
      <c r="AM84" s="20" t="n">
        <f aca="false">IF(AL84&gt;PR_BalDone,AL84+AL84*(D_iC)-MIN(F_CardPayM,AL84+AL84*(D_iC)),AL84)</f>
        <v>0</v>
      </c>
      <c r="AN84" s="20" t="n">
        <f aca="false">IF(AM84&gt;PR_BalDone,AM84+AM84*(D_iC)-MIN(F_CardPayM,AM84+AM84*(D_iC)),AM84)</f>
        <v>0</v>
      </c>
      <c r="AO84" s="20" t="n">
        <f aca="false">IF(AN84&gt;PR_BalDone,AN84+AN84*(D_iC)-MIN(F_CardPayM,AN84+AN84*(D_iC)),AN84)</f>
        <v>0</v>
      </c>
      <c r="AP84" s="20" t="n">
        <f aca="false">IF(AO84&gt;PR_BalDone,AO84+AO84*(D_iC)-MIN(F_CardPayM,AO84+AO84*(D_iC)),AO84)</f>
        <v>0</v>
      </c>
      <c r="AQ84" s="20" t="n">
        <f aca="false">IF(AD84&gt;PR_BalDone,MIN(F_CardPayM,AD84+AD84*(D_iC)),0)</f>
        <v>0</v>
      </c>
      <c r="AR84" s="20" t="n">
        <f aca="false">IF(AE84&gt;PR_BalDone,MIN(F_CardPayM,AE84+AE84*(D_iC)),0)</f>
        <v>0</v>
      </c>
      <c r="AS84" s="20" t="n">
        <f aca="false">IF(AF84&gt;PR_BalDone,MIN(F_CardPayM,AF84+AF84*(D_iC)),0)</f>
        <v>0</v>
      </c>
      <c r="AT84" s="20" t="n">
        <f aca="false">IF(AG84&gt;PR_BalDone,MIN(F_CardPayM,AG84+AG84*(D_iC)),0)</f>
        <v>0</v>
      </c>
      <c r="AU84" s="20" t="n">
        <f aca="false">IF(AH84&gt;PR_BalDone,MIN(F_CardPayM,AH84+AH84*(D_iC)),0)</f>
        <v>0</v>
      </c>
      <c r="AV84" s="20" t="n">
        <f aca="false">IF(AI84&gt;PR_BalDone,MIN(F_CardPayM,AI84+AI84*(D_iC)),0)</f>
        <v>0</v>
      </c>
      <c r="AW84" s="20" t="n">
        <f aca="false">IF(AJ84&gt;PR_BalDone,MIN(F_CardPayM,AJ84+AJ84*(D_iC)),0)</f>
        <v>0</v>
      </c>
      <c r="AX84" s="20" t="n">
        <f aca="false">IF(AK84&gt;PR_BalDone,MIN(F_CardPayM,AK84+AK84*(D_iC)),0)</f>
        <v>0</v>
      </c>
      <c r="AY84" s="20" t="n">
        <f aca="false">IF(AL84&gt;PR_BalDone,MIN(F_CardPayM,AL84+AL84*(D_iC)),0)</f>
        <v>0</v>
      </c>
      <c r="AZ84" s="20" t="n">
        <f aca="false">IF(AM84&gt;PR_BalDone,MIN(F_CardPayM,AM84+AM84*(D_iC)),0)</f>
        <v>0</v>
      </c>
      <c r="BA84" s="20" t="n">
        <f aca="false">IF(AN84&gt;PR_BalDone,MIN(F_CardPayM,AN84+AN84*(D_iC)),0)</f>
        <v>0</v>
      </c>
      <c r="BB84" s="20" t="n">
        <f aca="false">IF(AO84&gt;PR_BalDone,MIN(F_CardPayM,AO84+AO84*(D_iC)),0)</f>
        <v>0</v>
      </c>
      <c r="BC84" s="20" t="n">
        <f aca="false">MAX(0,AP84)</f>
        <v>0</v>
      </c>
      <c r="BD84" s="20" t="n">
        <f aca="false">SUM(AQ84:BB84)</f>
        <v>0</v>
      </c>
      <c r="BE84" s="20" t="n">
        <f aca="false">'Plan cashflow'!P84</f>
        <v>0</v>
      </c>
      <c r="BF84" s="20" t="n">
        <f aca="false">IF(BE84&gt;PR_BalDone,BE84+BE84*(D_iL)-MIN(F_LoanPayM,BE84+BE84*(D_iL)),BE84)</f>
        <v>0</v>
      </c>
      <c r="BG84" s="20" t="n">
        <f aca="false">IF(BF84&gt;PR_BalDone,BF84+BF84*(D_iL)-MIN(F_LoanPayM,BF84+BF84*(D_iL)),BF84)</f>
        <v>0</v>
      </c>
      <c r="BH84" s="20" t="n">
        <f aca="false">IF(BG84&gt;PR_BalDone,BG84+BG84*(D_iL)-MIN(F_LoanPayM,BG84+BG84*(D_iL)),BG84)</f>
        <v>0</v>
      </c>
      <c r="BI84" s="20" t="n">
        <f aca="false">IF(BH84&gt;PR_BalDone,BH84+BH84*(D_iL)-MIN(F_LoanPayM,BH84+BH84*(D_iL)),BH84)</f>
        <v>0</v>
      </c>
      <c r="BJ84" s="20" t="n">
        <f aca="false">IF(BI84&gt;PR_BalDone,BI84+BI84*(D_iL)-MIN(F_LoanPayM,BI84+BI84*(D_iL)),BI84)</f>
        <v>0</v>
      </c>
      <c r="BK84" s="20" t="n">
        <f aca="false">IF(BJ84&gt;PR_BalDone,BJ84+BJ84*(D_iL)-MIN(F_LoanPayM,BJ84+BJ84*(D_iL)),BJ84)</f>
        <v>0</v>
      </c>
      <c r="BL84" s="20" t="n">
        <f aca="false">IF(BK84&gt;PR_BalDone,BK84+BK84*(D_iL)-MIN(F_LoanPayM,BK84+BK84*(D_iL)),BK84)</f>
        <v>0</v>
      </c>
      <c r="BM84" s="20" t="n">
        <f aca="false">IF(BL84&gt;PR_BalDone,BL84+BL84*(D_iL)-MIN(F_LoanPayM,BL84+BL84*(D_iL)),BL84)</f>
        <v>0</v>
      </c>
      <c r="BN84" s="20" t="n">
        <f aca="false">IF(BM84&gt;PR_BalDone,BM84+BM84*(D_iL)-MIN(F_LoanPayM,BM84+BM84*(D_iL)),BM84)</f>
        <v>0</v>
      </c>
      <c r="BO84" s="20" t="n">
        <f aca="false">IF(BN84&gt;PR_BalDone,BN84+BN84*(D_iL)-MIN(F_LoanPayM,BN84+BN84*(D_iL)),BN84)</f>
        <v>0</v>
      </c>
      <c r="BP84" s="20" t="n">
        <f aca="false">IF(BO84&gt;PR_BalDone,BO84+BO84*(D_iL)-MIN(F_LoanPayM,BO84+BO84*(D_iL)),BO84)</f>
        <v>0</v>
      </c>
      <c r="BQ84" s="20" t="n">
        <f aca="false">IF(BP84&gt;PR_BalDone,BP84+BP84*(D_iL)-MIN(F_LoanPayM,BP84+BP84*(D_iL)),BP84)</f>
        <v>0</v>
      </c>
      <c r="BR84" s="20" t="n">
        <f aca="false">IF(BE84&gt;PR_BalDone,MIN(F_LoanPayM,BE84+BE84*(D_iL)),0)</f>
        <v>0</v>
      </c>
      <c r="BS84" s="20" t="n">
        <f aca="false">IF(BF84&gt;PR_BalDone,MIN(F_LoanPayM,BF84+BF84*(D_iL)),0)</f>
        <v>0</v>
      </c>
      <c r="BT84" s="20" t="n">
        <f aca="false">IF(BG84&gt;PR_BalDone,MIN(F_LoanPayM,BG84+BG84*(D_iL)),0)</f>
        <v>0</v>
      </c>
      <c r="BU84" s="20" t="n">
        <f aca="false">IF(BH84&gt;PR_BalDone,MIN(F_LoanPayM,BH84+BH84*(D_iL)),0)</f>
        <v>0</v>
      </c>
      <c r="BV84" s="20" t="n">
        <f aca="false">IF(BI84&gt;PR_BalDone,MIN(F_LoanPayM,BI84+BI84*(D_iL)),0)</f>
        <v>0</v>
      </c>
      <c r="BW84" s="20" t="n">
        <f aca="false">IF(BJ84&gt;PR_BalDone,MIN(F_LoanPayM,BJ84+BJ84*(D_iL)),0)</f>
        <v>0</v>
      </c>
      <c r="BX84" s="20" t="n">
        <f aca="false">IF(BK84&gt;PR_BalDone,MIN(F_LoanPayM,BK84+BK84*(D_iL)),0)</f>
        <v>0</v>
      </c>
      <c r="BY84" s="20" t="n">
        <f aca="false">IF(BL84&gt;PR_BalDone,MIN(F_LoanPayM,BL84+BL84*(D_iL)),0)</f>
        <v>0</v>
      </c>
      <c r="BZ84" s="20" t="n">
        <f aca="false">IF(BM84&gt;PR_BalDone,MIN(F_LoanPayM,BM84+BM84*(D_iL)),0)</f>
        <v>0</v>
      </c>
      <c r="CA84" s="20" t="n">
        <f aca="false">IF(BN84&gt;PR_BalDone,MIN(F_LoanPayM,BN84+BN84*(D_iL)),0)</f>
        <v>0</v>
      </c>
      <c r="CB84" s="20" t="n">
        <f aca="false">IF(BO84&gt;PR_BalDone,MIN(F_LoanPayM,BO84+BO84*(D_iL)),0)</f>
        <v>0</v>
      </c>
      <c r="CC84" s="20" t="n">
        <f aca="false">IF(BP84&gt;PR_BalDone,MIN(F_LoanPayM,BP84+BP84*(D_iL)),0)</f>
        <v>0</v>
      </c>
      <c r="CD84" s="20" t="n">
        <f aca="false">MAX(0,BQ84)</f>
        <v>0</v>
      </c>
      <c r="CE84" s="20" t="n">
        <f aca="false">SUM(BR84:CC84)</f>
        <v>0</v>
      </c>
      <c r="CF84" s="20" t="n">
        <f aca="false">IF(CF83&gt;1,DE83,CF83)</f>
        <v>0</v>
      </c>
      <c r="CG84" s="20" t="n">
        <f aca="false">IF(CF84&gt;PR_BalDone,CF84+CF84*(F_MR/12)-MIN(F_MortPayM,CF84+CF84*(F_MR/12)),CF84)</f>
        <v>0</v>
      </c>
      <c r="CH84" s="20" t="n">
        <f aca="false">IF(CG84&gt;PR_BalDone,CG84+CG84*(F_MR/12)-MIN(F_MortPayM,CG84+CG84*(F_MR/12)),CG84)</f>
        <v>0</v>
      </c>
      <c r="CI84" s="20" t="n">
        <f aca="false">IF(CH84&gt;PR_BalDone,CH84+CH84*(F_MR/12)-MIN(F_MortPayM,CH84+CH84*(F_MR/12)),CH84)</f>
        <v>0</v>
      </c>
      <c r="CJ84" s="20" t="n">
        <f aca="false">IF(CI84&gt;PR_BalDone,CI84+CI84*(F_MR/12)-MIN(F_MortPayM,CI84+CI84*(F_MR/12)),CI84)</f>
        <v>0</v>
      </c>
      <c r="CK84" s="20" t="n">
        <f aca="false">IF(CJ84&gt;PR_BalDone,CJ84+CJ84*(F_MR/12)-MIN(F_MortPayM,CJ84+CJ84*(F_MR/12)),CJ84)</f>
        <v>0</v>
      </c>
      <c r="CL84" s="20" t="n">
        <f aca="false">IF(CK84&gt;PR_BalDone,CK84+CK84*(F_MR/12)-MIN(F_MortPayM,CK84+CK84*(F_MR/12)),CK84)</f>
        <v>0</v>
      </c>
      <c r="CM84" s="20" t="n">
        <f aca="false">IF(CL84&gt;PR_BalDone,CL84+CL84*(F_MR/12)-MIN(F_MortPayM,CL84+CL84*(F_MR/12)),CL84)</f>
        <v>0</v>
      </c>
      <c r="CN84" s="20" t="n">
        <f aca="false">IF(CM84&gt;PR_BalDone,CM84+CM84*(F_MR/12)-MIN(F_MortPayM,CM84+CM84*(F_MR/12)),CM84)</f>
        <v>0</v>
      </c>
      <c r="CO84" s="20" t="n">
        <f aca="false">IF(CN84&gt;PR_BalDone,CN84+CN84*(F_MR/12)-MIN(F_MortPayM,CN84+CN84*(F_MR/12)),CN84)</f>
        <v>0</v>
      </c>
      <c r="CP84" s="20" t="n">
        <f aca="false">IF(CO84&gt;PR_BalDone,CO84+CO84*(F_MR/12)-MIN(F_MortPayM,CO84+CO84*(F_MR/12)),CO84)</f>
        <v>0</v>
      </c>
      <c r="CQ84" s="20" t="n">
        <f aca="false">IF(CP84&gt;PR_BalDone,CP84+CP84*(F_MR/12)-MIN(F_MortPayM,CP84+CP84*(F_MR/12)),CP84)</f>
        <v>0</v>
      </c>
      <c r="CR84" s="20" t="n">
        <f aca="false">IF(CQ84&gt;PR_BalDone,CQ84+CQ84*(F_MR/12)-MIN(F_MortPayM,CQ84+CQ84*(F_MR/12)),CQ84)</f>
        <v>0</v>
      </c>
      <c r="CS84" s="20" t="n">
        <f aca="false">IF(CF84&gt;PR_BalDone,MIN(F_MortPayM,CF84+CF84*(F_MR/12)),0)</f>
        <v>0</v>
      </c>
      <c r="CT84" s="20" t="n">
        <f aca="false">IF(CG84&gt;PR_BalDone,MIN(F_MortPayM,CG84+CG84*(F_MR/12)),0)</f>
        <v>0</v>
      </c>
      <c r="CU84" s="20" t="n">
        <f aca="false">IF(CH84&gt;PR_BalDone,MIN(F_MortPayM,CH84+CH84*(F_MR/12)),0)</f>
        <v>0</v>
      </c>
      <c r="CV84" s="20" t="n">
        <f aca="false">IF(CI84&gt;PR_BalDone,MIN(F_MortPayM,CI84+CI84*(F_MR/12)),0)</f>
        <v>0</v>
      </c>
      <c r="CW84" s="20" t="n">
        <f aca="false">IF(CJ84&gt;PR_BalDone,MIN(F_MortPayM,CJ84+CJ84*(F_MR/12)),0)</f>
        <v>0</v>
      </c>
      <c r="CX84" s="20" t="n">
        <f aca="false">IF(CK84&gt;PR_BalDone,MIN(F_MortPayM,CK84+CK84*(F_MR/12)),0)</f>
        <v>0</v>
      </c>
      <c r="CY84" s="20" t="n">
        <f aca="false">IF(CL84&gt;PR_BalDone,MIN(F_MortPayM,CL84+CL84*(F_MR/12)),0)</f>
        <v>0</v>
      </c>
      <c r="CZ84" s="20" t="n">
        <f aca="false">IF(CM84&gt;PR_BalDone,MIN(F_MortPayM,CM84+CM84*(F_MR/12)),0)</f>
        <v>0</v>
      </c>
      <c r="DA84" s="20" t="n">
        <f aca="false">IF(CN84&gt;PR_BalDone,MIN(F_MortPayM,CN84+CN84*(F_MR/12)),0)</f>
        <v>0</v>
      </c>
      <c r="DB84" s="20" t="n">
        <f aca="false">IF(CO84&gt;PR_BalDone,MIN(F_MortPayM,CO84+CO84*(F_MR/12)),0)</f>
        <v>0</v>
      </c>
      <c r="DC84" s="20" t="n">
        <f aca="false">IF(CP84&gt;PR_BalDone,MIN(F_MortPayM,CP84+CP84*(F_MR/12)),0)</f>
        <v>0</v>
      </c>
      <c r="DD84" s="20" t="n">
        <f aca="false">IF(CQ84&gt;PR_BalDone,MIN(F_MortPayM,CQ84+CQ84*(F_MR/12)),0)</f>
        <v>0</v>
      </c>
      <c r="DE84" s="20" t="n">
        <f aca="false">MAX(0,CR84)</f>
        <v>0</v>
      </c>
      <c r="DF84" s="20" t="n">
        <f aca="false">SUM(CS84:DD84)</f>
        <v>0</v>
      </c>
      <c r="DG84" s="20" t="n">
        <f aca="false">MAX(0,CF84)</f>
        <v>0</v>
      </c>
    </row>
    <row r="85" customFormat="false" ht="15" hidden="false" customHeight="true" outlineLevel="0" collapsed="false">
      <c r="B85" s="20" t="n">
        <v>77</v>
      </c>
      <c r="C85" s="20" t="n">
        <f aca="false">'Plan cashflow'!J85</f>
        <v>0</v>
      </c>
      <c r="D85" s="20" t="n">
        <f aca="false">IF(C85&gt;PR_BalDone,C85+C85*(F_MR/12)-MIN(F_MortPayM,C85+C85*(F_MR/12)),C85)</f>
        <v>0</v>
      </c>
      <c r="E85" s="20" t="n">
        <f aca="false">IF(D85&gt;PR_BalDone,D85+D85*(F_MR/12)-MIN(F_MortPayM,D85+D85*(F_MR/12)),D85)</f>
        <v>0</v>
      </c>
      <c r="F85" s="20" t="n">
        <f aca="false">IF(E85&gt;PR_BalDone,E85+E85*(F_MR/12)-MIN(F_MortPayM,E85+E85*(F_MR/12)),E85)</f>
        <v>0</v>
      </c>
      <c r="G85" s="20" t="n">
        <f aca="false">IF(F85&gt;PR_BalDone,F85+F85*(F_MR/12)-MIN(F_MortPayM,F85+F85*(F_MR/12)),F85)</f>
        <v>0</v>
      </c>
      <c r="H85" s="20" t="n">
        <f aca="false">IF(G85&gt;PR_BalDone,G85+G85*(F_MR/12)-MIN(F_MortPayM,G85+G85*(F_MR/12)),G85)</f>
        <v>0</v>
      </c>
      <c r="I85" s="20" t="n">
        <f aca="false">IF(H85&gt;PR_BalDone,H85+H85*(F_MR/12)-MIN(F_MortPayM,H85+H85*(F_MR/12)),H85)</f>
        <v>0</v>
      </c>
      <c r="J85" s="20" t="n">
        <f aca="false">IF(I85&gt;PR_BalDone,I85+I85*(F_MR/12)-MIN(F_MortPayM,I85+I85*(F_MR/12)),I85)</f>
        <v>0</v>
      </c>
      <c r="K85" s="20" t="n">
        <f aca="false">IF(J85&gt;PR_BalDone,J85+J85*(F_MR/12)-MIN(F_MortPayM,J85+J85*(F_MR/12)),J85)</f>
        <v>0</v>
      </c>
      <c r="L85" s="20" t="n">
        <f aca="false">IF(K85&gt;PR_BalDone,K85+K85*(F_MR/12)-MIN(F_MortPayM,K85+K85*(F_MR/12)),K85)</f>
        <v>0</v>
      </c>
      <c r="M85" s="20" t="n">
        <f aca="false">IF(L85&gt;PR_BalDone,L85+L85*(F_MR/12)-MIN(F_MortPayM,L85+L85*(F_MR/12)),L85)</f>
        <v>0</v>
      </c>
      <c r="N85" s="20" t="n">
        <f aca="false">IF(M85&gt;PR_BalDone,M85+M85*(F_MR/12)-MIN(F_MortPayM,M85+M85*(F_MR/12)),M85)</f>
        <v>0</v>
      </c>
      <c r="O85" s="20" t="n">
        <f aca="false">IF(N85&gt;PR_BalDone,N85+N85*(F_MR/12)-MIN(F_MortPayM,N85+N85*(F_MR/12)),N85)</f>
        <v>0</v>
      </c>
      <c r="P85" s="20" t="n">
        <f aca="false">IF(C85&gt;PR_BalDone,MIN(F_MortPayM,C85+C85*(F_MR/12)),0)</f>
        <v>0</v>
      </c>
      <c r="Q85" s="20" t="n">
        <f aca="false">IF(D85&gt;PR_BalDone,MIN(F_MortPayM,D85+D85*(F_MR/12)),0)</f>
        <v>0</v>
      </c>
      <c r="R85" s="20" t="n">
        <f aca="false">IF(E85&gt;PR_BalDone,MIN(F_MortPayM,E85+E85*(F_MR/12)),0)</f>
        <v>0</v>
      </c>
      <c r="S85" s="20" t="n">
        <f aca="false">IF(F85&gt;PR_BalDone,MIN(F_MortPayM,F85+F85*(F_MR/12)),0)</f>
        <v>0</v>
      </c>
      <c r="T85" s="20" t="n">
        <f aca="false">IF(G85&gt;PR_BalDone,MIN(F_MortPayM,G85+G85*(F_MR/12)),0)</f>
        <v>0</v>
      </c>
      <c r="U85" s="20" t="n">
        <f aca="false">IF(H85&gt;PR_BalDone,MIN(F_MortPayM,H85+H85*(F_MR/12)),0)</f>
        <v>0</v>
      </c>
      <c r="V85" s="20" t="n">
        <f aca="false">IF(I85&gt;PR_BalDone,MIN(F_MortPayM,I85+I85*(F_MR/12)),0)</f>
        <v>0</v>
      </c>
      <c r="W85" s="20" t="n">
        <f aca="false">IF(J85&gt;PR_BalDone,MIN(F_MortPayM,J85+J85*(F_MR/12)),0)</f>
        <v>0</v>
      </c>
      <c r="X85" s="20" t="n">
        <f aca="false">IF(K85&gt;PR_BalDone,MIN(F_MortPayM,K85+K85*(F_MR/12)),0)</f>
        <v>0</v>
      </c>
      <c r="Y85" s="20" t="n">
        <f aca="false">IF(L85&gt;PR_BalDone,MIN(F_MortPayM,L85+L85*(F_MR/12)),0)</f>
        <v>0</v>
      </c>
      <c r="Z85" s="20" t="n">
        <f aca="false">IF(M85&gt;PR_BalDone,MIN(F_MortPayM,M85+M85*(F_MR/12)),0)</f>
        <v>0</v>
      </c>
      <c r="AA85" s="20" t="n">
        <f aca="false">IF(N85&gt;PR_BalDone,MIN(F_MortPayM,N85+N85*(F_MR/12)),0)</f>
        <v>0</v>
      </c>
      <c r="AB85" s="20" t="n">
        <f aca="false">MAX(0,O85)</f>
        <v>0</v>
      </c>
      <c r="AC85" s="20" t="n">
        <f aca="false">SUM(P85:AA85)</f>
        <v>0</v>
      </c>
      <c r="AD85" s="20" t="n">
        <f aca="false">'Plan cashflow'!M85</f>
        <v>0</v>
      </c>
      <c r="AE85" s="20" t="n">
        <f aca="false">IF(AD85&gt;PR_BalDone,AD85+AD85*(D_iC)-MIN(F_CardPayM,AD85+AD85*(D_iC)),AD85)</f>
        <v>0</v>
      </c>
      <c r="AF85" s="20" t="n">
        <f aca="false">IF(AE85&gt;PR_BalDone,AE85+AE85*(D_iC)-MIN(F_CardPayM,AE85+AE85*(D_iC)),AE85)</f>
        <v>0</v>
      </c>
      <c r="AG85" s="20" t="n">
        <f aca="false">IF(AF85&gt;PR_BalDone,AF85+AF85*(D_iC)-MIN(F_CardPayM,AF85+AF85*(D_iC)),AF85)</f>
        <v>0</v>
      </c>
      <c r="AH85" s="20" t="n">
        <f aca="false">IF(AG85&gt;PR_BalDone,AG85+AG85*(D_iC)-MIN(F_CardPayM,AG85+AG85*(D_iC)),AG85)</f>
        <v>0</v>
      </c>
      <c r="AI85" s="20" t="n">
        <f aca="false">IF(AH85&gt;PR_BalDone,AH85+AH85*(D_iC)-MIN(F_CardPayM,AH85+AH85*(D_iC)),AH85)</f>
        <v>0</v>
      </c>
      <c r="AJ85" s="20" t="n">
        <f aca="false">IF(AI85&gt;PR_BalDone,AI85+AI85*(D_iC)-MIN(F_CardPayM,AI85+AI85*(D_iC)),AI85)</f>
        <v>0</v>
      </c>
      <c r="AK85" s="20" t="n">
        <f aca="false">IF(AJ85&gt;PR_BalDone,AJ85+AJ85*(D_iC)-MIN(F_CardPayM,AJ85+AJ85*(D_iC)),AJ85)</f>
        <v>0</v>
      </c>
      <c r="AL85" s="20" t="n">
        <f aca="false">IF(AK85&gt;PR_BalDone,AK85+AK85*(D_iC)-MIN(F_CardPayM,AK85+AK85*(D_iC)),AK85)</f>
        <v>0</v>
      </c>
      <c r="AM85" s="20" t="n">
        <f aca="false">IF(AL85&gt;PR_BalDone,AL85+AL85*(D_iC)-MIN(F_CardPayM,AL85+AL85*(D_iC)),AL85)</f>
        <v>0</v>
      </c>
      <c r="AN85" s="20" t="n">
        <f aca="false">IF(AM85&gt;PR_BalDone,AM85+AM85*(D_iC)-MIN(F_CardPayM,AM85+AM85*(D_iC)),AM85)</f>
        <v>0</v>
      </c>
      <c r="AO85" s="20" t="n">
        <f aca="false">IF(AN85&gt;PR_BalDone,AN85+AN85*(D_iC)-MIN(F_CardPayM,AN85+AN85*(D_iC)),AN85)</f>
        <v>0</v>
      </c>
      <c r="AP85" s="20" t="n">
        <f aca="false">IF(AO85&gt;PR_BalDone,AO85+AO85*(D_iC)-MIN(F_CardPayM,AO85+AO85*(D_iC)),AO85)</f>
        <v>0</v>
      </c>
      <c r="AQ85" s="20" t="n">
        <f aca="false">IF(AD85&gt;PR_BalDone,MIN(F_CardPayM,AD85+AD85*(D_iC)),0)</f>
        <v>0</v>
      </c>
      <c r="AR85" s="20" t="n">
        <f aca="false">IF(AE85&gt;PR_BalDone,MIN(F_CardPayM,AE85+AE85*(D_iC)),0)</f>
        <v>0</v>
      </c>
      <c r="AS85" s="20" t="n">
        <f aca="false">IF(AF85&gt;PR_BalDone,MIN(F_CardPayM,AF85+AF85*(D_iC)),0)</f>
        <v>0</v>
      </c>
      <c r="AT85" s="20" t="n">
        <f aca="false">IF(AG85&gt;PR_BalDone,MIN(F_CardPayM,AG85+AG85*(D_iC)),0)</f>
        <v>0</v>
      </c>
      <c r="AU85" s="20" t="n">
        <f aca="false">IF(AH85&gt;PR_BalDone,MIN(F_CardPayM,AH85+AH85*(D_iC)),0)</f>
        <v>0</v>
      </c>
      <c r="AV85" s="20" t="n">
        <f aca="false">IF(AI85&gt;PR_BalDone,MIN(F_CardPayM,AI85+AI85*(D_iC)),0)</f>
        <v>0</v>
      </c>
      <c r="AW85" s="20" t="n">
        <f aca="false">IF(AJ85&gt;PR_BalDone,MIN(F_CardPayM,AJ85+AJ85*(D_iC)),0)</f>
        <v>0</v>
      </c>
      <c r="AX85" s="20" t="n">
        <f aca="false">IF(AK85&gt;PR_BalDone,MIN(F_CardPayM,AK85+AK85*(D_iC)),0)</f>
        <v>0</v>
      </c>
      <c r="AY85" s="20" t="n">
        <f aca="false">IF(AL85&gt;PR_BalDone,MIN(F_CardPayM,AL85+AL85*(D_iC)),0)</f>
        <v>0</v>
      </c>
      <c r="AZ85" s="20" t="n">
        <f aca="false">IF(AM85&gt;PR_BalDone,MIN(F_CardPayM,AM85+AM85*(D_iC)),0)</f>
        <v>0</v>
      </c>
      <c r="BA85" s="20" t="n">
        <f aca="false">IF(AN85&gt;PR_BalDone,MIN(F_CardPayM,AN85+AN85*(D_iC)),0)</f>
        <v>0</v>
      </c>
      <c r="BB85" s="20" t="n">
        <f aca="false">IF(AO85&gt;PR_BalDone,MIN(F_CardPayM,AO85+AO85*(D_iC)),0)</f>
        <v>0</v>
      </c>
      <c r="BC85" s="20" t="n">
        <f aca="false">MAX(0,AP85)</f>
        <v>0</v>
      </c>
      <c r="BD85" s="20" t="n">
        <f aca="false">SUM(AQ85:BB85)</f>
        <v>0</v>
      </c>
      <c r="BE85" s="20" t="n">
        <f aca="false">'Plan cashflow'!P85</f>
        <v>0</v>
      </c>
      <c r="BF85" s="20" t="n">
        <f aca="false">IF(BE85&gt;PR_BalDone,BE85+BE85*(D_iL)-MIN(F_LoanPayM,BE85+BE85*(D_iL)),BE85)</f>
        <v>0</v>
      </c>
      <c r="BG85" s="20" t="n">
        <f aca="false">IF(BF85&gt;PR_BalDone,BF85+BF85*(D_iL)-MIN(F_LoanPayM,BF85+BF85*(D_iL)),BF85)</f>
        <v>0</v>
      </c>
      <c r="BH85" s="20" t="n">
        <f aca="false">IF(BG85&gt;PR_BalDone,BG85+BG85*(D_iL)-MIN(F_LoanPayM,BG85+BG85*(D_iL)),BG85)</f>
        <v>0</v>
      </c>
      <c r="BI85" s="20" t="n">
        <f aca="false">IF(BH85&gt;PR_BalDone,BH85+BH85*(D_iL)-MIN(F_LoanPayM,BH85+BH85*(D_iL)),BH85)</f>
        <v>0</v>
      </c>
      <c r="BJ85" s="20" t="n">
        <f aca="false">IF(BI85&gt;PR_BalDone,BI85+BI85*(D_iL)-MIN(F_LoanPayM,BI85+BI85*(D_iL)),BI85)</f>
        <v>0</v>
      </c>
      <c r="BK85" s="20" t="n">
        <f aca="false">IF(BJ85&gt;PR_BalDone,BJ85+BJ85*(D_iL)-MIN(F_LoanPayM,BJ85+BJ85*(D_iL)),BJ85)</f>
        <v>0</v>
      </c>
      <c r="BL85" s="20" t="n">
        <f aca="false">IF(BK85&gt;PR_BalDone,BK85+BK85*(D_iL)-MIN(F_LoanPayM,BK85+BK85*(D_iL)),BK85)</f>
        <v>0</v>
      </c>
      <c r="BM85" s="20" t="n">
        <f aca="false">IF(BL85&gt;PR_BalDone,BL85+BL85*(D_iL)-MIN(F_LoanPayM,BL85+BL85*(D_iL)),BL85)</f>
        <v>0</v>
      </c>
      <c r="BN85" s="20" t="n">
        <f aca="false">IF(BM85&gt;PR_BalDone,BM85+BM85*(D_iL)-MIN(F_LoanPayM,BM85+BM85*(D_iL)),BM85)</f>
        <v>0</v>
      </c>
      <c r="BO85" s="20" t="n">
        <f aca="false">IF(BN85&gt;PR_BalDone,BN85+BN85*(D_iL)-MIN(F_LoanPayM,BN85+BN85*(D_iL)),BN85)</f>
        <v>0</v>
      </c>
      <c r="BP85" s="20" t="n">
        <f aca="false">IF(BO85&gt;PR_BalDone,BO85+BO85*(D_iL)-MIN(F_LoanPayM,BO85+BO85*(D_iL)),BO85)</f>
        <v>0</v>
      </c>
      <c r="BQ85" s="20" t="n">
        <f aca="false">IF(BP85&gt;PR_BalDone,BP85+BP85*(D_iL)-MIN(F_LoanPayM,BP85+BP85*(D_iL)),BP85)</f>
        <v>0</v>
      </c>
      <c r="BR85" s="20" t="n">
        <f aca="false">IF(BE85&gt;PR_BalDone,MIN(F_LoanPayM,BE85+BE85*(D_iL)),0)</f>
        <v>0</v>
      </c>
      <c r="BS85" s="20" t="n">
        <f aca="false">IF(BF85&gt;PR_BalDone,MIN(F_LoanPayM,BF85+BF85*(D_iL)),0)</f>
        <v>0</v>
      </c>
      <c r="BT85" s="20" t="n">
        <f aca="false">IF(BG85&gt;PR_BalDone,MIN(F_LoanPayM,BG85+BG85*(D_iL)),0)</f>
        <v>0</v>
      </c>
      <c r="BU85" s="20" t="n">
        <f aca="false">IF(BH85&gt;PR_BalDone,MIN(F_LoanPayM,BH85+BH85*(D_iL)),0)</f>
        <v>0</v>
      </c>
      <c r="BV85" s="20" t="n">
        <f aca="false">IF(BI85&gt;PR_BalDone,MIN(F_LoanPayM,BI85+BI85*(D_iL)),0)</f>
        <v>0</v>
      </c>
      <c r="BW85" s="20" t="n">
        <f aca="false">IF(BJ85&gt;PR_BalDone,MIN(F_LoanPayM,BJ85+BJ85*(D_iL)),0)</f>
        <v>0</v>
      </c>
      <c r="BX85" s="20" t="n">
        <f aca="false">IF(BK85&gt;PR_BalDone,MIN(F_LoanPayM,BK85+BK85*(D_iL)),0)</f>
        <v>0</v>
      </c>
      <c r="BY85" s="20" t="n">
        <f aca="false">IF(BL85&gt;PR_BalDone,MIN(F_LoanPayM,BL85+BL85*(D_iL)),0)</f>
        <v>0</v>
      </c>
      <c r="BZ85" s="20" t="n">
        <f aca="false">IF(BM85&gt;PR_BalDone,MIN(F_LoanPayM,BM85+BM85*(D_iL)),0)</f>
        <v>0</v>
      </c>
      <c r="CA85" s="20" t="n">
        <f aca="false">IF(BN85&gt;PR_BalDone,MIN(F_LoanPayM,BN85+BN85*(D_iL)),0)</f>
        <v>0</v>
      </c>
      <c r="CB85" s="20" t="n">
        <f aca="false">IF(BO85&gt;PR_BalDone,MIN(F_LoanPayM,BO85+BO85*(D_iL)),0)</f>
        <v>0</v>
      </c>
      <c r="CC85" s="20" t="n">
        <f aca="false">IF(BP85&gt;PR_BalDone,MIN(F_LoanPayM,BP85+BP85*(D_iL)),0)</f>
        <v>0</v>
      </c>
      <c r="CD85" s="20" t="n">
        <f aca="false">MAX(0,BQ85)</f>
        <v>0</v>
      </c>
      <c r="CE85" s="20" t="n">
        <f aca="false">SUM(BR85:CC85)</f>
        <v>0</v>
      </c>
      <c r="CF85" s="20" t="n">
        <f aca="false">IF(CF84&gt;1,DE84,CF84)</f>
        <v>0</v>
      </c>
      <c r="CG85" s="20" t="n">
        <f aca="false">IF(CF85&gt;PR_BalDone,CF85+CF85*(F_MR/12)-MIN(F_MortPayM,CF85+CF85*(F_MR/12)),CF85)</f>
        <v>0</v>
      </c>
      <c r="CH85" s="20" t="n">
        <f aca="false">IF(CG85&gt;PR_BalDone,CG85+CG85*(F_MR/12)-MIN(F_MortPayM,CG85+CG85*(F_MR/12)),CG85)</f>
        <v>0</v>
      </c>
      <c r="CI85" s="20" t="n">
        <f aca="false">IF(CH85&gt;PR_BalDone,CH85+CH85*(F_MR/12)-MIN(F_MortPayM,CH85+CH85*(F_MR/12)),CH85)</f>
        <v>0</v>
      </c>
      <c r="CJ85" s="20" t="n">
        <f aca="false">IF(CI85&gt;PR_BalDone,CI85+CI85*(F_MR/12)-MIN(F_MortPayM,CI85+CI85*(F_MR/12)),CI85)</f>
        <v>0</v>
      </c>
      <c r="CK85" s="20" t="n">
        <f aca="false">IF(CJ85&gt;PR_BalDone,CJ85+CJ85*(F_MR/12)-MIN(F_MortPayM,CJ85+CJ85*(F_MR/12)),CJ85)</f>
        <v>0</v>
      </c>
      <c r="CL85" s="20" t="n">
        <f aca="false">IF(CK85&gt;PR_BalDone,CK85+CK85*(F_MR/12)-MIN(F_MortPayM,CK85+CK85*(F_MR/12)),CK85)</f>
        <v>0</v>
      </c>
      <c r="CM85" s="20" t="n">
        <f aca="false">IF(CL85&gt;PR_BalDone,CL85+CL85*(F_MR/12)-MIN(F_MortPayM,CL85+CL85*(F_MR/12)),CL85)</f>
        <v>0</v>
      </c>
      <c r="CN85" s="20" t="n">
        <f aca="false">IF(CM85&gt;PR_BalDone,CM85+CM85*(F_MR/12)-MIN(F_MortPayM,CM85+CM85*(F_MR/12)),CM85)</f>
        <v>0</v>
      </c>
      <c r="CO85" s="20" t="n">
        <f aca="false">IF(CN85&gt;PR_BalDone,CN85+CN85*(F_MR/12)-MIN(F_MortPayM,CN85+CN85*(F_MR/12)),CN85)</f>
        <v>0</v>
      </c>
      <c r="CP85" s="20" t="n">
        <f aca="false">IF(CO85&gt;PR_BalDone,CO85+CO85*(F_MR/12)-MIN(F_MortPayM,CO85+CO85*(F_MR/12)),CO85)</f>
        <v>0</v>
      </c>
      <c r="CQ85" s="20" t="n">
        <f aca="false">IF(CP85&gt;PR_BalDone,CP85+CP85*(F_MR/12)-MIN(F_MortPayM,CP85+CP85*(F_MR/12)),CP85)</f>
        <v>0</v>
      </c>
      <c r="CR85" s="20" t="n">
        <f aca="false">IF(CQ85&gt;PR_BalDone,CQ85+CQ85*(F_MR/12)-MIN(F_MortPayM,CQ85+CQ85*(F_MR/12)),CQ85)</f>
        <v>0</v>
      </c>
      <c r="CS85" s="20" t="n">
        <f aca="false">IF(CF85&gt;PR_BalDone,MIN(F_MortPayM,CF85+CF85*(F_MR/12)),0)</f>
        <v>0</v>
      </c>
      <c r="CT85" s="20" t="n">
        <f aca="false">IF(CG85&gt;PR_BalDone,MIN(F_MortPayM,CG85+CG85*(F_MR/12)),0)</f>
        <v>0</v>
      </c>
      <c r="CU85" s="20" t="n">
        <f aca="false">IF(CH85&gt;PR_BalDone,MIN(F_MortPayM,CH85+CH85*(F_MR/12)),0)</f>
        <v>0</v>
      </c>
      <c r="CV85" s="20" t="n">
        <f aca="false">IF(CI85&gt;PR_BalDone,MIN(F_MortPayM,CI85+CI85*(F_MR/12)),0)</f>
        <v>0</v>
      </c>
      <c r="CW85" s="20" t="n">
        <f aca="false">IF(CJ85&gt;PR_BalDone,MIN(F_MortPayM,CJ85+CJ85*(F_MR/12)),0)</f>
        <v>0</v>
      </c>
      <c r="CX85" s="20" t="n">
        <f aca="false">IF(CK85&gt;PR_BalDone,MIN(F_MortPayM,CK85+CK85*(F_MR/12)),0)</f>
        <v>0</v>
      </c>
      <c r="CY85" s="20" t="n">
        <f aca="false">IF(CL85&gt;PR_BalDone,MIN(F_MortPayM,CL85+CL85*(F_MR/12)),0)</f>
        <v>0</v>
      </c>
      <c r="CZ85" s="20" t="n">
        <f aca="false">IF(CM85&gt;PR_BalDone,MIN(F_MortPayM,CM85+CM85*(F_MR/12)),0)</f>
        <v>0</v>
      </c>
      <c r="DA85" s="20" t="n">
        <f aca="false">IF(CN85&gt;PR_BalDone,MIN(F_MortPayM,CN85+CN85*(F_MR/12)),0)</f>
        <v>0</v>
      </c>
      <c r="DB85" s="20" t="n">
        <f aca="false">IF(CO85&gt;PR_BalDone,MIN(F_MortPayM,CO85+CO85*(F_MR/12)),0)</f>
        <v>0</v>
      </c>
      <c r="DC85" s="20" t="n">
        <f aca="false">IF(CP85&gt;PR_BalDone,MIN(F_MortPayM,CP85+CP85*(F_MR/12)),0)</f>
        <v>0</v>
      </c>
      <c r="DD85" s="20" t="n">
        <f aca="false">IF(CQ85&gt;PR_BalDone,MIN(F_MortPayM,CQ85+CQ85*(F_MR/12)),0)</f>
        <v>0</v>
      </c>
      <c r="DE85" s="20" t="n">
        <f aca="false">MAX(0,CR85)</f>
        <v>0</v>
      </c>
      <c r="DF85" s="20" t="n">
        <f aca="false">SUM(CS85:DD85)</f>
        <v>0</v>
      </c>
      <c r="DG85" s="20" t="n">
        <f aca="false">MAX(0,CF85)</f>
        <v>0</v>
      </c>
    </row>
    <row r="86" customFormat="false" ht="15" hidden="false" customHeight="true" outlineLevel="0" collapsed="false">
      <c r="B86" s="20" t="n">
        <v>78</v>
      </c>
      <c r="C86" s="20" t="n">
        <f aca="false">'Plan cashflow'!J86</f>
        <v>0</v>
      </c>
      <c r="D86" s="20" t="n">
        <f aca="false">IF(C86&gt;PR_BalDone,C86+C86*(F_MR/12)-MIN(F_MortPayM,C86+C86*(F_MR/12)),C86)</f>
        <v>0</v>
      </c>
      <c r="E86" s="20" t="n">
        <f aca="false">IF(D86&gt;PR_BalDone,D86+D86*(F_MR/12)-MIN(F_MortPayM,D86+D86*(F_MR/12)),D86)</f>
        <v>0</v>
      </c>
      <c r="F86" s="20" t="n">
        <f aca="false">IF(E86&gt;PR_BalDone,E86+E86*(F_MR/12)-MIN(F_MortPayM,E86+E86*(F_MR/12)),E86)</f>
        <v>0</v>
      </c>
      <c r="G86" s="20" t="n">
        <f aca="false">IF(F86&gt;PR_BalDone,F86+F86*(F_MR/12)-MIN(F_MortPayM,F86+F86*(F_MR/12)),F86)</f>
        <v>0</v>
      </c>
      <c r="H86" s="20" t="n">
        <f aca="false">IF(G86&gt;PR_BalDone,G86+G86*(F_MR/12)-MIN(F_MortPayM,G86+G86*(F_MR/12)),G86)</f>
        <v>0</v>
      </c>
      <c r="I86" s="20" t="n">
        <f aca="false">IF(H86&gt;PR_BalDone,H86+H86*(F_MR/12)-MIN(F_MortPayM,H86+H86*(F_MR/12)),H86)</f>
        <v>0</v>
      </c>
      <c r="J86" s="20" t="n">
        <f aca="false">IF(I86&gt;PR_BalDone,I86+I86*(F_MR/12)-MIN(F_MortPayM,I86+I86*(F_MR/12)),I86)</f>
        <v>0</v>
      </c>
      <c r="K86" s="20" t="n">
        <f aca="false">IF(J86&gt;PR_BalDone,J86+J86*(F_MR/12)-MIN(F_MortPayM,J86+J86*(F_MR/12)),J86)</f>
        <v>0</v>
      </c>
      <c r="L86" s="20" t="n">
        <f aca="false">IF(K86&gt;PR_BalDone,K86+K86*(F_MR/12)-MIN(F_MortPayM,K86+K86*(F_MR/12)),K86)</f>
        <v>0</v>
      </c>
      <c r="M86" s="20" t="n">
        <f aca="false">IF(L86&gt;PR_BalDone,L86+L86*(F_MR/12)-MIN(F_MortPayM,L86+L86*(F_MR/12)),L86)</f>
        <v>0</v>
      </c>
      <c r="N86" s="20" t="n">
        <f aca="false">IF(M86&gt;PR_BalDone,M86+M86*(F_MR/12)-MIN(F_MortPayM,M86+M86*(F_MR/12)),M86)</f>
        <v>0</v>
      </c>
      <c r="O86" s="20" t="n">
        <f aca="false">IF(N86&gt;PR_BalDone,N86+N86*(F_MR/12)-MIN(F_MortPayM,N86+N86*(F_MR/12)),N86)</f>
        <v>0</v>
      </c>
      <c r="P86" s="20" t="n">
        <f aca="false">IF(C86&gt;PR_BalDone,MIN(F_MortPayM,C86+C86*(F_MR/12)),0)</f>
        <v>0</v>
      </c>
      <c r="Q86" s="20" t="n">
        <f aca="false">IF(D86&gt;PR_BalDone,MIN(F_MortPayM,D86+D86*(F_MR/12)),0)</f>
        <v>0</v>
      </c>
      <c r="R86" s="20" t="n">
        <f aca="false">IF(E86&gt;PR_BalDone,MIN(F_MortPayM,E86+E86*(F_MR/12)),0)</f>
        <v>0</v>
      </c>
      <c r="S86" s="20" t="n">
        <f aca="false">IF(F86&gt;PR_BalDone,MIN(F_MortPayM,F86+F86*(F_MR/12)),0)</f>
        <v>0</v>
      </c>
      <c r="T86" s="20" t="n">
        <f aca="false">IF(G86&gt;PR_BalDone,MIN(F_MortPayM,G86+G86*(F_MR/12)),0)</f>
        <v>0</v>
      </c>
      <c r="U86" s="20" t="n">
        <f aca="false">IF(H86&gt;PR_BalDone,MIN(F_MortPayM,H86+H86*(F_MR/12)),0)</f>
        <v>0</v>
      </c>
      <c r="V86" s="20" t="n">
        <f aca="false">IF(I86&gt;PR_BalDone,MIN(F_MortPayM,I86+I86*(F_MR/12)),0)</f>
        <v>0</v>
      </c>
      <c r="W86" s="20" t="n">
        <f aca="false">IF(J86&gt;PR_BalDone,MIN(F_MortPayM,J86+J86*(F_MR/12)),0)</f>
        <v>0</v>
      </c>
      <c r="X86" s="20" t="n">
        <f aca="false">IF(K86&gt;PR_BalDone,MIN(F_MortPayM,K86+K86*(F_MR/12)),0)</f>
        <v>0</v>
      </c>
      <c r="Y86" s="20" t="n">
        <f aca="false">IF(L86&gt;PR_BalDone,MIN(F_MortPayM,L86+L86*(F_MR/12)),0)</f>
        <v>0</v>
      </c>
      <c r="Z86" s="20" t="n">
        <f aca="false">IF(M86&gt;PR_BalDone,MIN(F_MortPayM,M86+M86*(F_MR/12)),0)</f>
        <v>0</v>
      </c>
      <c r="AA86" s="20" t="n">
        <f aca="false">IF(N86&gt;PR_BalDone,MIN(F_MortPayM,N86+N86*(F_MR/12)),0)</f>
        <v>0</v>
      </c>
      <c r="AB86" s="20" t="n">
        <f aca="false">MAX(0,O86)</f>
        <v>0</v>
      </c>
      <c r="AC86" s="20" t="n">
        <f aca="false">SUM(P86:AA86)</f>
        <v>0</v>
      </c>
      <c r="AD86" s="20" t="n">
        <f aca="false">'Plan cashflow'!M86</f>
        <v>0</v>
      </c>
      <c r="AE86" s="20" t="n">
        <f aca="false">IF(AD86&gt;PR_BalDone,AD86+AD86*(D_iC)-MIN(F_CardPayM,AD86+AD86*(D_iC)),AD86)</f>
        <v>0</v>
      </c>
      <c r="AF86" s="20" t="n">
        <f aca="false">IF(AE86&gt;PR_BalDone,AE86+AE86*(D_iC)-MIN(F_CardPayM,AE86+AE86*(D_iC)),AE86)</f>
        <v>0</v>
      </c>
      <c r="AG86" s="20" t="n">
        <f aca="false">IF(AF86&gt;PR_BalDone,AF86+AF86*(D_iC)-MIN(F_CardPayM,AF86+AF86*(D_iC)),AF86)</f>
        <v>0</v>
      </c>
      <c r="AH86" s="20" t="n">
        <f aca="false">IF(AG86&gt;PR_BalDone,AG86+AG86*(D_iC)-MIN(F_CardPayM,AG86+AG86*(D_iC)),AG86)</f>
        <v>0</v>
      </c>
      <c r="AI86" s="20" t="n">
        <f aca="false">IF(AH86&gt;PR_BalDone,AH86+AH86*(D_iC)-MIN(F_CardPayM,AH86+AH86*(D_iC)),AH86)</f>
        <v>0</v>
      </c>
      <c r="AJ86" s="20" t="n">
        <f aca="false">IF(AI86&gt;PR_BalDone,AI86+AI86*(D_iC)-MIN(F_CardPayM,AI86+AI86*(D_iC)),AI86)</f>
        <v>0</v>
      </c>
      <c r="AK86" s="20" t="n">
        <f aca="false">IF(AJ86&gt;PR_BalDone,AJ86+AJ86*(D_iC)-MIN(F_CardPayM,AJ86+AJ86*(D_iC)),AJ86)</f>
        <v>0</v>
      </c>
      <c r="AL86" s="20" t="n">
        <f aca="false">IF(AK86&gt;PR_BalDone,AK86+AK86*(D_iC)-MIN(F_CardPayM,AK86+AK86*(D_iC)),AK86)</f>
        <v>0</v>
      </c>
      <c r="AM86" s="20" t="n">
        <f aca="false">IF(AL86&gt;PR_BalDone,AL86+AL86*(D_iC)-MIN(F_CardPayM,AL86+AL86*(D_iC)),AL86)</f>
        <v>0</v>
      </c>
      <c r="AN86" s="20" t="n">
        <f aca="false">IF(AM86&gt;PR_BalDone,AM86+AM86*(D_iC)-MIN(F_CardPayM,AM86+AM86*(D_iC)),AM86)</f>
        <v>0</v>
      </c>
      <c r="AO86" s="20" t="n">
        <f aca="false">IF(AN86&gt;PR_BalDone,AN86+AN86*(D_iC)-MIN(F_CardPayM,AN86+AN86*(D_iC)),AN86)</f>
        <v>0</v>
      </c>
      <c r="AP86" s="20" t="n">
        <f aca="false">IF(AO86&gt;PR_BalDone,AO86+AO86*(D_iC)-MIN(F_CardPayM,AO86+AO86*(D_iC)),AO86)</f>
        <v>0</v>
      </c>
      <c r="AQ86" s="20" t="n">
        <f aca="false">IF(AD86&gt;PR_BalDone,MIN(F_CardPayM,AD86+AD86*(D_iC)),0)</f>
        <v>0</v>
      </c>
      <c r="AR86" s="20" t="n">
        <f aca="false">IF(AE86&gt;PR_BalDone,MIN(F_CardPayM,AE86+AE86*(D_iC)),0)</f>
        <v>0</v>
      </c>
      <c r="AS86" s="20" t="n">
        <f aca="false">IF(AF86&gt;PR_BalDone,MIN(F_CardPayM,AF86+AF86*(D_iC)),0)</f>
        <v>0</v>
      </c>
      <c r="AT86" s="20" t="n">
        <f aca="false">IF(AG86&gt;PR_BalDone,MIN(F_CardPayM,AG86+AG86*(D_iC)),0)</f>
        <v>0</v>
      </c>
      <c r="AU86" s="20" t="n">
        <f aca="false">IF(AH86&gt;PR_BalDone,MIN(F_CardPayM,AH86+AH86*(D_iC)),0)</f>
        <v>0</v>
      </c>
      <c r="AV86" s="20" t="n">
        <f aca="false">IF(AI86&gt;PR_BalDone,MIN(F_CardPayM,AI86+AI86*(D_iC)),0)</f>
        <v>0</v>
      </c>
      <c r="AW86" s="20" t="n">
        <f aca="false">IF(AJ86&gt;PR_BalDone,MIN(F_CardPayM,AJ86+AJ86*(D_iC)),0)</f>
        <v>0</v>
      </c>
      <c r="AX86" s="20" t="n">
        <f aca="false">IF(AK86&gt;PR_BalDone,MIN(F_CardPayM,AK86+AK86*(D_iC)),0)</f>
        <v>0</v>
      </c>
      <c r="AY86" s="20" t="n">
        <f aca="false">IF(AL86&gt;PR_BalDone,MIN(F_CardPayM,AL86+AL86*(D_iC)),0)</f>
        <v>0</v>
      </c>
      <c r="AZ86" s="20" t="n">
        <f aca="false">IF(AM86&gt;PR_BalDone,MIN(F_CardPayM,AM86+AM86*(D_iC)),0)</f>
        <v>0</v>
      </c>
      <c r="BA86" s="20" t="n">
        <f aca="false">IF(AN86&gt;PR_BalDone,MIN(F_CardPayM,AN86+AN86*(D_iC)),0)</f>
        <v>0</v>
      </c>
      <c r="BB86" s="20" t="n">
        <f aca="false">IF(AO86&gt;PR_BalDone,MIN(F_CardPayM,AO86+AO86*(D_iC)),0)</f>
        <v>0</v>
      </c>
      <c r="BC86" s="20" t="n">
        <f aca="false">MAX(0,AP86)</f>
        <v>0</v>
      </c>
      <c r="BD86" s="20" t="n">
        <f aca="false">SUM(AQ86:BB86)</f>
        <v>0</v>
      </c>
      <c r="BE86" s="20" t="n">
        <f aca="false">'Plan cashflow'!P86</f>
        <v>0</v>
      </c>
      <c r="BF86" s="20" t="n">
        <f aca="false">IF(BE86&gt;PR_BalDone,BE86+BE86*(D_iL)-MIN(F_LoanPayM,BE86+BE86*(D_iL)),BE86)</f>
        <v>0</v>
      </c>
      <c r="BG86" s="20" t="n">
        <f aca="false">IF(BF86&gt;PR_BalDone,BF86+BF86*(D_iL)-MIN(F_LoanPayM,BF86+BF86*(D_iL)),BF86)</f>
        <v>0</v>
      </c>
      <c r="BH86" s="20" t="n">
        <f aca="false">IF(BG86&gt;PR_BalDone,BG86+BG86*(D_iL)-MIN(F_LoanPayM,BG86+BG86*(D_iL)),BG86)</f>
        <v>0</v>
      </c>
      <c r="BI86" s="20" t="n">
        <f aca="false">IF(BH86&gt;PR_BalDone,BH86+BH86*(D_iL)-MIN(F_LoanPayM,BH86+BH86*(D_iL)),BH86)</f>
        <v>0</v>
      </c>
      <c r="BJ86" s="20" t="n">
        <f aca="false">IF(BI86&gt;PR_BalDone,BI86+BI86*(D_iL)-MIN(F_LoanPayM,BI86+BI86*(D_iL)),BI86)</f>
        <v>0</v>
      </c>
      <c r="BK86" s="20" t="n">
        <f aca="false">IF(BJ86&gt;PR_BalDone,BJ86+BJ86*(D_iL)-MIN(F_LoanPayM,BJ86+BJ86*(D_iL)),BJ86)</f>
        <v>0</v>
      </c>
      <c r="BL86" s="20" t="n">
        <f aca="false">IF(BK86&gt;PR_BalDone,BK86+BK86*(D_iL)-MIN(F_LoanPayM,BK86+BK86*(D_iL)),BK86)</f>
        <v>0</v>
      </c>
      <c r="BM86" s="20" t="n">
        <f aca="false">IF(BL86&gt;PR_BalDone,BL86+BL86*(D_iL)-MIN(F_LoanPayM,BL86+BL86*(D_iL)),BL86)</f>
        <v>0</v>
      </c>
      <c r="BN86" s="20" t="n">
        <f aca="false">IF(BM86&gt;PR_BalDone,BM86+BM86*(D_iL)-MIN(F_LoanPayM,BM86+BM86*(D_iL)),BM86)</f>
        <v>0</v>
      </c>
      <c r="BO86" s="20" t="n">
        <f aca="false">IF(BN86&gt;PR_BalDone,BN86+BN86*(D_iL)-MIN(F_LoanPayM,BN86+BN86*(D_iL)),BN86)</f>
        <v>0</v>
      </c>
      <c r="BP86" s="20" t="n">
        <f aca="false">IF(BO86&gt;PR_BalDone,BO86+BO86*(D_iL)-MIN(F_LoanPayM,BO86+BO86*(D_iL)),BO86)</f>
        <v>0</v>
      </c>
      <c r="BQ86" s="20" t="n">
        <f aca="false">IF(BP86&gt;PR_BalDone,BP86+BP86*(D_iL)-MIN(F_LoanPayM,BP86+BP86*(D_iL)),BP86)</f>
        <v>0</v>
      </c>
      <c r="BR86" s="20" t="n">
        <f aca="false">IF(BE86&gt;PR_BalDone,MIN(F_LoanPayM,BE86+BE86*(D_iL)),0)</f>
        <v>0</v>
      </c>
      <c r="BS86" s="20" t="n">
        <f aca="false">IF(BF86&gt;PR_BalDone,MIN(F_LoanPayM,BF86+BF86*(D_iL)),0)</f>
        <v>0</v>
      </c>
      <c r="BT86" s="20" t="n">
        <f aca="false">IF(BG86&gt;PR_BalDone,MIN(F_LoanPayM,BG86+BG86*(D_iL)),0)</f>
        <v>0</v>
      </c>
      <c r="BU86" s="20" t="n">
        <f aca="false">IF(BH86&gt;PR_BalDone,MIN(F_LoanPayM,BH86+BH86*(D_iL)),0)</f>
        <v>0</v>
      </c>
      <c r="BV86" s="20" t="n">
        <f aca="false">IF(BI86&gt;PR_BalDone,MIN(F_LoanPayM,BI86+BI86*(D_iL)),0)</f>
        <v>0</v>
      </c>
      <c r="BW86" s="20" t="n">
        <f aca="false">IF(BJ86&gt;PR_BalDone,MIN(F_LoanPayM,BJ86+BJ86*(D_iL)),0)</f>
        <v>0</v>
      </c>
      <c r="BX86" s="20" t="n">
        <f aca="false">IF(BK86&gt;PR_BalDone,MIN(F_LoanPayM,BK86+BK86*(D_iL)),0)</f>
        <v>0</v>
      </c>
      <c r="BY86" s="20" t="n">
        <f aca="false">IF(BL86&gt;PR_BalDone,MIN(F_LoanPayM,BL86+BL86*(D_iL)),0)</f>
        <v>0</v>
      </c>
      <c r="BZ86" s="20" t="n">
        <f aca="false">IF(BM86&gt;PR_BalDone,MIN(F_LoanPayM,BM86+BM86*(D_iL)),0)</f>
        <v>0</v>
      </c>
      <c r="CA86" s="20" t="n">
        <f aca="false">IF(BN86&gt;PR_BalDone,MIN(F_LoanPayM,BN86+BN86*(D_iL)),0)</f>
        <v>0</v>
      </c>
      <c r="CB86" s="20" t="n">
        <f aca="false">IF(BO86&gt;PR_BalDone,MIN(F_LoanPayM,BO86+BO86*(D_iL)),0)</f>
        <v>0</v>
      </c>
      <c r="CC86" s="20" t="n">
        <f aca="false">IF(BP86&gt;PR_BalDone,MIN(F_LoanPayM,BP86+BP86*(D_iL)),0)</f>
        <v>0</v>
      </c>
      <c r="CD86" s="20" t="n">
        <f aca="false">MAX(0,BQ86)</f>
        <v>0</v>
      </c>
      <c r="CE86" s="20" t="n">
        <f aca="false">SUM(BR86:CC86)</f>
        <v>0</v>
      </c>
      <c r="CF86" s="20" t="n">
        <f aca="false">IF(CF85&gt;1,DE85,CF85)</f>
        <v>0</v>
      </c>
      <c r="CG86" s="20" t="n">
        <f aca="false">IF(CF86&gt;PR_BalDone,CF86+CF86*(F_MR/12)-MIN(F_MortPayM,CF86+CF86*(F_MR/12)),CF86)</f>
        <v>0</v>
      </c>
      <c r="CH86" s="20" t="n">
        <f aca="false">IF(CG86&gt;PR_BalDone,CG86+CG86*(F_MR/12)-MIN(F_MortPayM,CG86+CG86*(F_MR/12)),CG86)</f>
        <v>0</v>
      </c>
      <c r="CI86" s="20" t="n">
        <f aca="false">IF(CH86&gt;PR_BalDone,CH86+CH86*(F_MR/12)-MIN(F_MortPayM,CH86+CH86*(F_MR/12)),CH86)</f>
        <v>0</v>
      </c>
      <c r="CJ86" s="20" t="n">
        <f aca="false">IF(CI86&gt;PR_BalDone,CI86+CI86*(F_MR/12)-MIN(F_MortPayM,CI86+CI86*(F_MR/12)),CI86)</f>
        <v>0</v>
      </c>
      <c r="CK86" s="20" t="n">
        <f aca="false">IF(CJ86&gt;PR_BalDone,CJ86+CJ86*(F_MR/12)-MIN(F_MortPayM,CJ86+CJ86*(F_MR/12)),CJ86)</f>
        <v>0</v>
      </c>
      <c r="CL86" s="20" t="n">
        <f aca="false">IF(CK86&gt;PR_BalDone,CK86+CK86*(F_MR/12)-MIN(F_MortPayM,CK86+CK86*(F_MR/12)),CK86)</f>
        <v>0</v>
      </c>
      <c r="CM86" s="20" t="n">
        <f aca="false">IF(CL86&gt;PR_BalDone,CL86+CL86*(F_MR/12)-MIN(F_MortPayM,CL86+CL86*(F_MR/12)),CL86)</f>
        <v>0</v>
      </c>
      <c r="CN86" s="20" t="n">
        <f aca="false">IF(CM86&gt;PR_BalDone,CM86+CM86*(F_MR/12)-MIN(F_MortPayM,CM86+CM86*(F_MR/12)),CM86)</f>
        <v>0</v>
      </c>
      <c r="CO86" s="20" t="n">
        <f aca="false">IF(CN86&gt;PR_BalDone,CN86+CN86*(F_MR/12)-MIN(F_MortPayM,CN86+CN86*(F_MR/12)),CN86)</f>
        <v>0</v>
      </c>
      <c r="CP86" s="20" t="n">
        <f aca="false">IF(CO86&gt;PR_BalDone,CO86+CO86*(F_MR/12)-MIN(F_MortPayM,CO86+CO86*(F_MR/12)),CO86)</f>
        <v>0</v>
      </c>
      <c r="CQ86" s="20" t="n">
        <f aca="false">IF(CP86&gt;PR_BalDone,CP86+CP86*(F_MR/12)-MIN(F_MortPayM,CP86+CP86*(F_MR/12)),CP86)</f>
        <v>0</v>
      </c>
      <c r="CR86" s="20" t="n">
        <f aca="false">IF(CQ86&gt;PR_BalDone,CQ86+CQ86*(F_MR/12)-MIN(F_MortPayM,CQ86+CQ86*(F_MR/12)),CQ86)</f>
        <v>0</v>
      </c>
      <c r="CS86" s="20" t="n">
        <f aca="false">IF(CF86&gt;PR_BalDone,MIN(F_MortPayM,CF86+CF86*(F_MR/12)),0)</f>
        <v>0</v>
      </c>
      <c r="CT86" s="20" t="n">
        <f aca="false">IF(CG86&gt;PR_BalDone,MIN(F_MortPayM,CG86+CG86*(F_MR/12)),0)</f>
        <v>0</v>
      </c>
      <c r="CU86" s="20" t="n">
        <f aca="false">IF(CH86&gt;PR_BalDone,MIN(F_MortPayM,CH86+CH86*(F_MR/12)),0)</f>
        <v>0</v>
      </c>
      <c r="CV86" s="20" t="n">
        <f aca="false">IF(CI86&gt;PR_BalDone,MIN(F_MortPayM,CI86+CI86*(F_MR/12)),0)</f>
        <v>0</v>
      </c>
      <c r="CW86" s="20" t="n">
        <f aca="false">IF(CJ86&gt;PR_BalDone,MIN(F_MortPayM,CJ86+CJ86*(F_MR/12)),0)</f>
        <v>0</v>
      </c>
      <c r="CX86" s="20" t="n">
        <f aca="false">IF(CK86&gt;PR_BalDone,MIN(F_MortPayM,CK86+CK86*(F_MR/12)),0)</f>
        <v>0</v>
      </c>
      <c r="CY86" s="20" t="n">
        <f aca="false">IF(CL86&gt;PR_BalDone,MIN(F_MortPayM,CL86+CL86*(F_MR/12)),0)</f>
        <v>0</v>
      </c>
      <c r="CZ86" s="20" t="n">
        <f aca="false">IF(CM86&gt;PR_BalDone,MIN(F_MortPayM,CM86+CM86*(F_MR/12)),0)</f>
        <v>0</v>
      </c>
      <c r="DA86" s="20" t="n">
        <f aca="false">IF(CN86&gt;PR_BalDone,MIN(F_MortPayM,CN86+CN86*(F_MR/12)),0)</f>
        <v>0</v>
      </c>
      <c r="DB86" s="20" t="n">
        <f aca="false">IF(CO86&gt;PR_BalDone,MIN(F_MortPayM,CO86+CO86*(F_MR/12)),0)</f>
        <v>0</v>
      </c>
      <c r="DC86" s="20" t="n">
        <f aca="false">IF(CP86&gt;PR_BalDone,MIN(F_MortPayM,CP86+CP86*(F_MR/12)),0)</f>
        <v>0</v>
      </c>
      <c r="DD86" s="20" t="n">
        <f aca="false">IF(CQ86&gt;PR_BalDone,MIN(F_MortPayM,CQ86+CQ86*(F_MR/12)),0)</f>
        <v>0</v>
      </c>
      <c r="DE86" s="20" t="n">
        <f aca="false">MAX(0,CR86)</f>
        <v>0</v>
      </c>
      <c r="DF86" s="20" t="n">
        <f aca="false">SUM(CS86:DD86)</f>
        <v>0</v>
      </c>
      <c r="DG86" s="20" t="n">
        <f aca="false">MAX(0,CF86)</f>
        <v>0</v>
      </c>
    </row>
    <row r="87" customFormat="false" ht="15" hidden="false" customHeight="true" outlineLevel="0" collapsed="false">
      <c r="B87" s="20" t="n">
        <v>79</v>
      </c>
      <c r="C87" s="20" t="n">
        <f aca="false">'Plan cashflow'!J87</f>
        <v>0</v>
      </c>
      <c r="D87" s="20" t="n">
        <f aca="false">IF(C87&gt;PR_BalDone,C87+C87*(F_MR/12)-MIN(F_MortPayM,C87+C87*(F_MR/12)),C87)</f>
        <v>0</v>
      </c>
      <c r="E87" s="20" t="n">
        <f aca="false">IF(D87&gt;PR_BalDone,D87+D87*(F_MR/12)-MIN(F_MortPayM,D87+D87*(F_MR/12)),D87)</f>
        <v>0</v>
      </c>
      <c r="F87" s="20" t="n">
        <f aca="false">IF(E87&gt;PR_BalDone,E87+E87*(F_MR/12)-MIN(F_MortPayM,E87+E87*(F_MR/12)),E87)</f>
        <v>0</v>
      </c>
      <c r="G87" s="20" t="n">
        <f aca="false">IF(F87&gt;PR_BalDone,F87+F87*(F_MR/12)-MIN(F_MortPayM,F87+F87*(F_MR/12)),F87)</f>
        <v>0</v>
      </c>
      <c r="H87" s="20" t="n">
        <f aca="false">IF(G87&gt;PR_BalDone,G87+G87*(F_MR/12)-MIN(F_MortPayM,G87+G87*(F_MR/12)),G87)</f>
        <v>0</v>
      </c>
      <c r="I87" s="20" t="n">
        <f aca="false">IF(H87&gt;PR_BalDone,H87+H87*(F_MR/12)-MIN(F_MortPayM,H87+H87*(F_MR/12)),H87)</f>
        <v>0</v>
      </c>
      <c r="J87" s="20" t="n">
        <f aca="false">IF(I87&gt;PR_BalDone,I87+I87*(F_MR/12)-MIN(F_MortPayM,I87+I87*(F_MR/12)),I87)</f>
        <v>0</v>
      </c>
      <c r="K87" s="20" t="n">
        <f aca="false">IF(J87&gt;PR_BalDone,J87+J87*(F_MR/12)-MIN(F_MortPayM,J87+J87*(F_MR/12)),J87)</f>
        <v>0</v>
      </c>
      <c r="L87" s="20" t="n">
        <f aca="false">IF(K87&gt;PR_BalDone,K87+K87*(F_MR/12)-MIN(F_MortPayM,K87+K87*(F_MR/12)),K87)</f>
        <v>0</v>
      </c>
      <c r="M87" s="20" t="n">
        <f aca="false">IF(L87&gt;PR_BalDone,L87+L87*(F_MR/12)-MIN(F_MortPayM,L87+L87*(F_MR/12)),L87)</f>
        <v>0</v>
      </c>
      <c r="N87" s="20" t="n">
        <f aca="false">IF(M87&gt;PR_BalDone,M87+M87*(F_MR/12)-MIN(F_MortPayM,M87+M87*(F_MR/12)),M87)</f>
        <v>0</v>
      </c>
      <c r="O87" s="20" t="n">
        <f aca="false">IF(N87&gt;PR_BalDone,N87+N87*(F_MR/12)-MIN(F_MortPayM,N87+N87*(F_MR/12)),N87)</f>
        <v>0</v>
      </c>
      <c r="P87" s="20" t="n">
        <f aca="false">IF(C87&gt;PR_BalDone,MIN(F_MortPayM,C87+C87*(F_MR/12)),0)</f>
        <v>0</v>
      </c>
      <c r="Q87" s="20" t="n">
        <f aca="false">IF(D87&gt;PR_BalDone,MIN(F_MortPayM,D87+D87*(F_MR/12)),0)</f>
        <v>0</v>
      </c>
      <c r="R87" s="20" t="n">
        <f aca="false">IF(E87&gt;PR_BalDone,MIN(F_MortPayM,E87+E87*(F_MR/12)),0)</f>
        <v>0</v>
      </c>
      <c r="S87" s="20" t="n">
        <f aca="false">IF(F87&gt;PR_BalDone,MIN(F_MortPayM,F87+F87*(F_MR/12)),0)</f>
        <v>0</v>
      </c>
      <c r="T87" s="20" t="n">
        <f aca="false">IF(G87&gt;PR_BalDone,MIN(F_MortPayM,G87+G87*(F_MR/12)),0)</f>
        <v>0</v>
      </c>
      <c r="U87" s="20" t="n">
        <f aca="false">IF(H87&gt;PR_BalDone,MIN(F_MortPayM,H87+H87*(F_MR/12)),0)</f>
        <v>0</v>
      </c>
      <c r="V87" s="20" t="n">
        <f aca="false">IF(I87&gt;PR_BalDone,MIN(F_MortPayM,I87+I87*(F_MR/12)),0)</f>
        <v>0</v>
      </c>
      <c r="W87" s="20" t="n">
        <f aca="false">IF(J87&gt;PR_BalDone,MIN(F_MortPayM,J87+J87*(F_MR/12)),0)</f>
        <v>0</v>
      </c>
      <c r="X87" s="20" t="n">
        <f aca="false">IF(K87&gt;PR_BalDone,MIN(F_MortPayM,K87+K87*(F_MR/12)),0)</f>
        <v>0</v>
      </c>
      <c r="Y87" s="20" t="n">
        <f aca="false">IF(L87&gt;PR_BalDone,MIN(F_MortPayM,L87+L87*(F_MR/12)),0)</f>
        <v>0</v>
      </c>
      <c r="Z87" s="20" t="n">
        <f aca="false">IF(M87&gt;PR_BalDone,MIN(F_MortPayM,M87+M87*(F_MR/12)),0)</f>
        <v>0</v>
      </c>
      <c r="AA87" s="20" t="n">
        <f aca="false">IF(N87&gt;PR_BalDone,MIN(F_MortPayM,N87+N87*(F_MR/12)),0)</f>
        <v>0</v>
      </c>
      <c r="AB87" s="20" t="n">
        <f aca="false">MAX(0,O87)</f>
        <v>0</v>
      </c>
      <c r="AC87" s="20" t="n">
        <f aca="false">SUM(P87:AA87)</f>
        <v>0</v>
      </c>
      <c r="AD87" s="20" t="n">
        <f aca="false">'Plan cashflow'!M87</f>
        <v>0</v>
      </c>
      <c r="AE87" s="20" t="n">
        <f aca="false">IF(AD87&gt;PR_BalDone,AD87+AD87*(D_iC)-MIN(F_CardPayM,AD87+AD87*(D_iC)),AD87)</f>
        <v>0</v>
      </c>
      <c r="AF87" s="20" t="n">
        <f aca="false">IF(AE87&gt;PR_BalDone,AE87+AE87*(D_iC)-MIN(F_CardPayM,AE87+AE87*(D_iC)),AE87)</f>
        <v>0</v>
      </c>
      <c r="AG87" s="20" t="n">
        <f aca="false">IF(AF87&gt;PR_BalDone,AF87+AF87*(D_iC)-MIN(F_CardPayM,AF87+AF87*(D_iC)),AF87)</f>
        <v>0</v>
      </c>
      <c r="AH87" s="20" t="n">
        <f aca="false">IF(AG87&gt;PR_BalDone,AG87+AG87*(D_iC)-MIN(F_CardPayM,AG87+AG87*(D_iC)),AG87)</f>
        <v>0</v>
      </c>
      <c r="AI87" s="20" t="n">
        <f aca="false">IF(AH87&gt;PR_BalDone,AH87+AH87*(D_iC)-MIN(F_CardPayM,AH87+AH87*(D_iC)),AH87)</f>
        <v>0</v>
      </c>
      <c r="AJ87" s="20" t="n">
        <f aca="false">IF(AI87&gt;PR_BalDone,AI87+AI87*(D_iC)-MIN(F_CardPayM,AI87+AI87*(D_iC)),AI87)</f>
        <v>0</v>
      </c>
      <c r="AK87" s="20" t="n">
        <f aca="false">IF(AJ87&gt;PR_BalDone,AJ87+AJ87*(D_iC)-MIN(F_CardPayM,AJ87+AJ87*(D_iC)),AJ87)</f>
        <v>0</v>
      </c>
      <c r="AL87" s="20" t="n">
        <f aca="false">IF(AK87&gt;PR_BalDone,AK87+AK87*(D_iC)-MIN(F_CardPayM,AK87+AK87*(D_iC)),AK87)</f>
        <v>0</v>
      </c>
      <c r="AM87" s="20" t="n">
        <f aca="false">IF(AL87&gt;PR_BalDone,AL87+AL87*(D_iC)-MIN(F_CardPayM,AL87+AL87*(D_iC)),AL87)</f>
        <v>0</v>
      </c>
      <c r="AN87" s="20" t="n">
        <f aca="false">IF(AM87&gt;PR_BalDone,AM87+AM87*(D_iC)-MIN(F_CardPayM,AM87+AM87*(D_iC)),AM87)</f>
        <v>0</v>
      </c>
      <c r="AO87" s="20" t="n">
        <f aca="false">IF(AN87&gt;PR_BalDone,AN87+AN87*(D_iC)-MIN(F_CardPayM,AN87+AN87*(D_iC)),AN87)</f>
        <v>0</v>
      </c>
      <c r="AP87" s="20" t="n">
        <f aca="false">IF(AO87&gt;PR_BalDone,AO87+AO87*(D_iC)-MIN(F_CardPayM,AO87+AO87*(D_iC)),AO87)</f>
        <v>0</v>
      </c>
      <c r="AQ87" s="20" t="n">
        <f aca="false">IF(AD87&gt;PR_BalDone,MIN(F_CardPayM,AD87+AD87*(D_iC)),0)</f>
        <v>0</v>
      </c>
      <c r="AR87" s="20" t="n">
        <f aca="false">IF(AE87&gt;PR_BalDone,MIN(F_CardPayM,AE87+AE87*(D_iC)),0)</f>
        <v>0</v>
      </c>
      <c r="AS87" s="20" t="n">
        <f aca="false">IF(AF87&gt;PR_BalDone,MIN(F_CardPayM,AF87+AF87*(D_iC)),0)</f>
        <v>0</v>
      </c>
      <c r="AT87" s="20" t="n">
        <f aca="false">IF(AG87&gt;PR_BalDone,MIN(F_CardPayM,AG87+AG87*(D_iC)),0)</f>
        <v>0</v>
      </c>
      <c r="AU87" s="20" t="n">
        <f aca="false">IF(AH87&gt;PR_BalDone,MIN(F_CardPayM,AH87+AH87*(D_iC)),0)</f>
        <v>0</v>
      </c>
      <c r="AV87" s="20" t="n">
        <f aca="false">IF(AI87&gt;PR_BalDone,MIN(F_CardPayM,AI87+AI87*(D_iC)),0)</f>
        <v>0</v>
      </c>
      <c r="AW87" s="20" t="n">
        <f aca="false">IF(AJ87&gt;PR_BalDone,MIN(F_CardPayM,AJ87+AJ87*(D_iC)),0)</f>
        <v>0</v>
      </c>
      <c r="AX87" s="20" t="n">
        <f aca="false">IF(AK87&gt;PR_BalDone,MIN(F_CardPayM,AK87+AK87*(D_iC)),0)</f>
        <v>0</v>
      </c>
      <c r="AY87" s="20" t="n">
        <f aca="false">IF(AL87&gt;PR_BalDone,MIN(F_CardPayM,AL87+AL87*(D_iC)),0)</f>
        <v>0</v>
      </c>
      <c r="AZ87" s="20" t="n">
        <f aca="false">IF(AM87&gt;PR_BalDone,MIN(F_CardPayM,AM87+AM87*(D_iC)),0)</f>
        <v>0</v>
      </c>
      <c r="BA87" s="20" t="n">
        <f aca="false">IF(AN87&gt;PR_BalDone,MIN(F_CardPayM,AN87+AN87*(D_iC)),0)</f>
        <v>0</v>
      </c>
      <c r="BB87" s="20" t="n">
        <f aca="false">IF(AO87&gt;PR_BalDone,MIN(F_CardPayM,AO87+AO87*(D_iC)),0)</f>
        <v>0</v>
      </c>
      <c r="BC87" s="20" t="n">
        <f aca="false">MAX(0,AP87)</f>
        <v>0</v>
      </c>
      <c r="BD87" s="20" t="n">
        <f aca="false">SUM(AQ87:BB87)</f>
        <v>0</v>
      </c>
      <c r="BE87" s="20" t="n">
        <f aca="false">'Plan cashflow'!P87</f>
        <v>0</v>
      </c>
      <c r="BF87" s="20" t="n">
        <f aca="false">IF(BE87&gt;PR_BalDone,BE87+BE87*(D_iL)-MIN(F_LoanPayM,BE87+BE87*(D_iL)),BE87)</f>
        <v>0</v>
      </c>
      <c r="BG87" s="20" t="n">
        <f aca="false">IF(BF87&gt;PR_BalDone,BF87+BF87*(D_iL)-MIN(F_LoanPayM,BF87+BF87*(D_iL)),BF87)</f>
        <v>0</v>
      </c>
      <c r="BH87" s="20" t="n">
        <f aca="false">IF(BG87&gt;PR_BalDone,BG87+BG87*(D_iL)-MIN(F_LoanPayM,BG87+BG87*(D_iL)),BG87)</f>
        <v>0</v>
      </c>
      <c r="BI87" s="20" t="n">
        <f aca="false">IF(BH87&gt;PR_BalDone,BH87+BH87*(D_iL)-MIN(F_LoanPayM,BH87+BH87*(D_iL)),BH87)</f>
        <v>0</v>
      </c>
      <c r="BJ87" s="20" t="n">
        <f aca="false">IF(BI87&gt;PR_BalDone,BI87+BI87*(D_iL)-MIN(F_LoanPayM,BI87+BI87*(D_iL)),BI87)</f>
        <v>0</v>
      </c>
      <c r="BK87" s="20" t="n">
        <f aca="false">IF(BJ87&gt;PR_BalDone,BJ87+BJ87*(D_iL)-MIN(F_LoanPayM,BJ87+BJ87*(D_iL)),BJ87)</f>
        <v>0</v>
      </c>
      <c r="BL87" s="20" t="n">
        <f aca="false">IF(BK87&gt;PR_BalDone,BK87+BK87*(D_iL)-MIN(F_LoanPayM,BK87+BK87*(D_iL)),BK87)</f>
        <v>0</v>
      </c>
      <c r="BM87" s="20" t="n">
        <f aca="false">IF(BL87&gt;PR_BalDone,BL87+BL87*(D_iL)-MIN(F_LoanPayM,BL87+BL87*(D_iL)),BL87)</f>
        <v>0</v>
      </c>
      <c r="BN87" s="20" t="n">
        <f aca="false">IF(BM87&gt;PR_BalDone,BM87+BM87*(D_iL)-MIN(F_LoanPayM,BM87+BM87*(D_iL)),BM87)</f>
        <v>0</v>
      </c>
      <c r="BO87" s="20" t="n">
        <f aca="false">IF(BN87&gt;PR_BalDone,BN87+BN87*(D_iL)-MIN(F_LoanPayM,BN87+BN87*(D_iL)),BN87)</f>
        <v>0</v>
      </c>
      <c r="BP87" s="20" t="n">
        <f aca="false">IF(BO87&gt;PR_BalDone,BO87+BO87*(D_iL)-MIN(F_LoanPayM,BO87+BO87*(D_iL)),BO87)</f>
        <v>0</v>
      </c>
      <c r="BQ87" s="20" t="n">
        <f aca="false">IF(BP87&gt;PR_BalDone,BP87+BP87*(D_iL)-MIN(F_LoanPayM,BP87+BP87*(D_iL)),BP87)</f>
        <v>0</v>
      </c>
      <c r="BR87" s="20" t="n">
        <f aca="false">IF(BE87&gt;PR_BalDone,MIN(F_LoanPayM,BE87+BE87*(D_iL)),0)</f>
        <v>0</v>
      </c>
      <c r="BS87" s="20" t="n">
        <f aca="false">IF(BF87&gt;PR_BalDone,MIN(F_LoanPayM,BF87+BF87*(D_iL)),0)</f>
        <v>0</v>
      </c>
      <c r="BT87" s="20" t="n">
        <f aca="false">IF(BG87&gt;PR_BalDone,MIN(F_LoanPayM,BG87+BG87*(D_iL)),0)</f>
        <v>0</v>
      </c>
      <c r="BU87" s="20" t="n">
        <f aca="false">IF(BH87&gt;PR_BalDone,MIN(F_LoanPayM,BH87+BH87*(D_iL)),0)</f>
        <v>0</v>
      </c>
      <c r="BV87" s="20" t="n">
        <f aca="false">IF(BI87&gt;PR_BalDone,MIN(F_LoanPayM,BI87+BI87*(D_iL)),0)</f>
        <v>0</v>
      </c>
      <c r="BW87" s="20" t="n">
        <f aca="false">IF(BJ87&gt;PR_BalDone,MIN(F_LoanPayM,BJ87+BJ87*(D_iL)),0)</f>
        <v>0</v>
      </c>
      <c r="BX87" s="20" t="n">
        <f aca="false">IF(BK87&gt;PR_BalDone,MIN(F_LoanPayM,BK87+BK87*(D_iL)),0)</f>
        <v>0</v>
      </c>
      <c r="BY87" s="20" t="n">
        <f aca="false">IF(BL87&gt;PR_BalDone,MIN(F_LoanPayM,BL87+BL87*(D_iL)),0)</f>
        <v>0</v>
      </c>
      <c r="BZ87" s="20" t="n">
        <f aca="false">IF(BM87&gt;PR_BalDone,MIN(F_LoanPayM,BM87+BM87*(D_iL)),0)</f>
        <v>0</v>
      </c>
      <c r="CA87" s="20" t="n">
        <f aca="false">IF(BN87&gt;PR_BalDone,MIN(F_LoanPayM,BN87+BN87*(D_iL)),0)</f>
        <v>0</v>
      </c>
      <c r="CB87" s="20" t="n">
        <f aca="false">IF(BO87&gt;PR_BalDone,MIN(F_LoanPayM,BO87+BO87*(D_iL)),0)</f>
        <v>0</v>
      </c>
      <c r="CC87" s="20" t="n">
        <f aca="false">IF(BP87&gt;PR_BalDone,MIN(F_LoanPayM,BP87+BP87*(D_iL)),0)</f>
        <v>0</v>
      </c>
      <c r="CD87" s="20" t="n">
        <f aca="false">MAX(0,BQ87)</f>
        <v>0</v>
      </c>
      <c r="CE87" s="20" t="n">
        <f aca="false">SUM(BR87:CC87)</f>
        <v>0</v>
      </c>
      <c r="CF87" s="20" t="n">
        <f aca="false">IF(CF86&gt;1,DE86,CF86)</f>
        <v>0</v>
      </c>
      <c r="CG87" s="20" t="n">
        <f aca="false">IF(CF87&gt;PR_BalDone,CF87+CF87*(F_MR/12)-MIN(F_MortPayM,CF87+CF87*(F_MR/12)),CF87)</f>
        <v>0</v>
      </c>
      <c r="CH87" s="20" t="n">
        <f aca="false">IF(CG87&gt;PR_BalDone,CG87+CG87*(F_MR/12)-MIN(F_MortPayM,CG87+CG87*(F_MR/12)),CG87)</f>
        <v>0</v>
      </c>
      <c r="CI87" s="20" t="n">
        <f aca="false">IF(CH87&gt;PR_BalDone,CH87+CH87*(F_MR/12)-MIN(F_MortPayM,CH87+CH87*(F_MR/12)),CH87)</f>
        <v>0</v>
      </c>
      <c r="CJ87" s="20" t="n">
        <f aca="false">IF(CI87&gt;PR_BalDone,CI87+CI87*(F_MR/12)-MIN(F_MortPayM,CI87+CI87*(F_MR/12)),CI87)</f>
        <v>0</v>
      </c>
      <c r="CK87" s="20" t="n">
        <f aca="false">IF(CJ87&gt;PR_BalDone,CJ87+CJ87*(F_MR/12)-MIN(F_MortPayM,CJ87+CJ87*(F_MR/12)),CJ87)</f>
        <v>0</v>
      </c>
      <c r="CL87" s="20" t="n">
        <f aca="false">IF(CK87&gt;PR_BalDone,CK87+CK87*(F_MR/12)-MIN(F_MortPayM,CK87+CK87*(F_MR/12)),CK87)</f>
        <v>0</v>
      </c>
      <c r="CM87" s="20" t="n">
        <f aca="false">IF(CL87&gt;PR_BalDone,CL87+CL87*(F_MR/12)-MIN(F_MortPayM,CL87+CL87*(F_MR/12)),CL87)</f>
        <v>0</v>
      </c>
      <c r="CN87" s="20" t="n">
        <f aca="false">IF(CM87&gt;PR_BalDone,CM87+CM87*(F_MR/12)-MIN(F_MortPayM,CM87+CM87*(F_MR/12)),CM87)</f>
        <v>0</v>
      </c>
      <c r="CO87" s="20" t="n">
        <f aca="false">IF(CN87&gt;PR_BalDone,CN87+CN87*(F_MR/12)-MIN(F_MortPayM,CN87+CN87*(F_MR/12)),CN87)</f>
        <v>0</v>
      </c>
      <c r="CP87" s="20" t="n">
        <f aca="false">IF(CO87&gt;PR_BalDone,CO87+CO87*(F_MR/12)-MIN(F_MortPayM,CO87+CO87*(F_MR/12)),CO87)</f>
        <v>0</v>
      </c>
      <c r="CQ87" s="20" t="n">
        <f aca="false">IF(CP87&gt;PR_BalDone,CP87+CP87*(F_MR/12)-MIN(F_MortPayM,CP87+CP87*(F_MR/12)),CP87)</f>
        <v>0</v>
      </c>
      <c r="CR87" s="20" t="n">
        <f aca="false">IF(CQ87&gt;PR_BalDone,CQ87+CQ87*(F_MR/12)-MIN(F_MortPayM,CQ87+CQ87*(F_MR/12)),CQ87)</f>
        <v>0</v>
      </c>
      <c r="CS87" s="20" t="n">
        <f aca="false">IF(CF87&gt;PR_BalDone,MIN(F_MortPayM,CF87+CF87*(F_MR/12)),0)</f>
        <v>0</v>
      </c>
      <c r="CT87" s="20" t="n">
        <f aca="false">IF(CG87&gt;PR_BalDone,MIN(F_MortPayM,CG87+CG87*(F_MR/12)),0)</f>
        <v>0</v>
      </c>
      <c r="CU87" s="20" t="n">
        <f aca="false">IF(CH87&gt;PR_BalDone,MIN(F_MortPayM,CH87+CH87*(F_MR/12)),0)</f>
        <v>0</v>
      </c>
      <c r="CV87" s="20" t="n">
        <f aca="false">IF(CI87&gt;PR_BalDone,MIN(F_MortPayM,CI87+CI87*(F_MR/12)),0)</f>
        <v>0</v>
      </c>
      <c r="CW87" s="20" t="n">
        <f aca="false">IF(CJ87&gt;PR_BalDone,MIN(F_MortPayM,CJ87+CJ87*(F_MR/12)),0)</f>
        <v>0</v>
      </c>
      <c r="CX87" s="20" t="n">
        <f aca="false">IF(CK87&gt;PR_BalDone,MIN(F_MortPayM,CK87+CK87*(F_MR/12)),0)</f>
        <v>0</v>
      </c>
      <c r="CY87" s="20" t="n">
        <f aca="false">IF(CL87&gt;PR_BalDone,MIN(F_MortPayM,CL87+CL87*(F_MR/12)),0)</f>
        <v>0</v>
      </c>
      <c r="CZ87" s="20" t="n">
        <f aca="false">IF(CM87&gt;PR_BalDone,MIN(F_MortPayM,CM87+CM87*(F_MR/12)),0)</f>
        <v>0</v>
      </c>
      <c r="DA87" s="20" t="n">
        <f aca="false">IF(CN87&gt;PR_BalDone,MIN(F_MortPayM,CN87+CN87*(F_MR/12)),0)</f>
        <v>0</v>
      </c>
      <c r="DB87" s="20" t="n">
        <f aca="false">IF(CO87&gt;PR_BalDone,MIN(F_MortPayM,CO87+CO87*(F_MR/12)),0)</f>
        <v>0</v>
      </c>
      <c r="DC87" s="20" t="n">
        <f aca="false">IF(CP87&gt;PR_BalDone,MIN(F_MortPayM,CP87+CP87*(F_MR/12)),0)</f>
        <v>0</v>
      </c>
      <c r="DD87" s="20" t="n">
        <f aca="false">IF(CQ87&gt;PR_BalDone,MIN(F_MortPayM,CQ87+CQ87*(F_MR/12)),0)</f>
        <v>0</v>
      </c>
      <c r="DE87" s="20" t="n">
        <f aca="false">MAX(0,CR87)</f>
        <v>0</v>
      </c>
      <c r="DF87" s="20" t="n">
        <f aca="false">SUM(CS87:DD87)</f>
        <v>0</v>
      </c>
      <c r="DG87" s="20" t="n">
        <f aca="false">MAX(0,CF87)</f>
        <v>0</v>
      </c>
    </row>
    <row r="88" customFormat="false" ht="15" hidden="false" customHeight="true" outlineLevel="0" collapsed="false">
      <c r="B88" s="20" t="n">
        <v>80</v>
      </c>
      <c r="C88" s="20" t="n">
        <f aca="false">'Plan cashflow'!J88</f>
        <v>0</v>
      </c>
      <c r="D88" s="20" t="n">
        <f aca="false">IF(C88&gt;PR_BalDone,C88+C88*(F_MR/12)-MIN(F_MortPayM,C88+C88*(F_MR/12)),C88)</f>
        <v>0</v>
      </c>
      <c r="E88" s="20" t="n">
        <f aca="false">IF(D88&gt;PR_BalDone,D88+D88*(F_MR/12)-MIN(F_MortPayM,D88+D88*(F_MR/12)),D88)</f>
        <v>0</v>
      </c>
      <c r="F88" s="20" t="n">
        <f aca="false">IF(E88&gt;PR_BalDone,E88+E88*(F_MR/12)-MIN(F_MortPayM,E88+E88*(F_MR/12)),E88)</f>
        <v>0</v>
      </c>
      <c r="G88" s="20" t="n">
        <f aca="false">IF(F88&gt;PR_BalDone,F88+F88*(F_MR/12)-MIN(F_MortPayM,F88+F88*(F_MR/12)),F88)</f>
        <v>0</v>
      </c>
      <c r="H88" s="20" t="n">
        <f aca="false">IF(G88&gt;PR_BalDone,G88+G88*(F_MR/12)-MIN(F_MortPayM,G88+G88*(F_MR/12)),G88)</f>
        <v>0</v>
      </c>
      <c r="I88" s="20" t="n">
        <f aca="false">IF(H88&gt;PR_BalDone,H88+H88*(F_MR/12)-MIN(F_MortPayM,H88+H88*(F_MR/12)),H88)</f>
        <v>0</v>
      </c>
      <c r="J88" s="20" t="n">
        <f aca="false">IF(I88&gt;PR_BalDone,I88+I88*(F_MR/12)-MIN(F_MortPayM,I88+I88*(F_MR/12)),I88)</f>
        <v>0</v>
      </c>
      <c r="K88" s="20" t="n">
        <f aca="false">IF(J88&gt;PR_BalDone,J88+J88*(F_MR/12)-MIN(F_MortPayM,J88+J88*(F_MR/12)),J88)</f>
        <v>0</v>
      </c>
      <c r="L88" s="20" t="n">
        <f aca="false">IF(K88&gt;PR_BalDone,K88+K88*(F_MR/12)-MIN(F_MortPayM,K88+K88*(F_MR/12)),K88)</f>
        <v>0</v>
      </c>
      <c r="M88" s="20" t="n">
        <f aca="false">IF(L88&gt;PR_BalDone,L88+L88*(F_MR/12)-MIN(F_MortPayM,L88+L88*(F_MR/12)),L88)</f>
        <v>0</v>
      </c>
      <c r="N88" s="20" t="n">
        <f aca="false">IF(M88&gt;PR_BalDone,M88+M88*(F_MR/12)-MIN(F_MortPayM,M88+M88*(F_MR/12)),M88)</f>
        <v>0</v>
      </c>
      <c r="O88" s="20" t="n">
        <f aca="false">IF(N88&gt;PR_BalDone,N88+N88*(F_MR/12)-MIN(F_MortPayM,N88+N88*(F_MR/12)),N88)</f>
        <v>0</v>
      </c>
      <c r="P88" s="20" t="n">
        <f aca="false">IF(C88&gt;PR_BalDone,MIN(F_MortPayM,C88+C88*(F_MR/12)),0)</f>
        <v>0</v>
      </c>
      <c r="Q88" s="20" t="n">
        <f aca="false">IF(D88&gt;PR_BalDone,MIN(F_MortPayM,D88+D88*(F_MR/12)),0)</f>
        <v>0</v>
      </c>
      <c r="R88" s="20" t="n">
        <f aca="false">IF(E88&gt;PR_BalDone,MIN(F_MortPayM,E88+E88*(F_MR/12)),0)</f>
        <v>0</v>
      </c>
      <c r="S88" s="20" t="n">
        <f aca="false">IF(F88&gt;PR_BalDone,MIN(F_MortPayM,F88+F88*(F_MR/12)),0)</f>
        <v>0</v>
      </c>
      <c r="T88" s="20" t="n">
        <f aca="false">IF(G88&gt;PR_BalDone,MIN(F_MortPayM,G88+G88*(F_MR/12)),0)</f>
        <v>0</v>
      </c>
      <c r="U88" s="20" t="n">
        <f aca="false">IF(H88&gt;PR_BalDone,MIN(F_MortPayM,H88+H88*(F_MR/12)),0)</f>
        <v>0</v>
      </c>
      <c r="V88" s="20" t="n">
        <f aca="false">IF(I88&gt;PR_BalDone,MIN(F_MortPayM,I88+I88*(F_MR/12)),0)</f>
        <v>0</v>
      </c>
      <c r="W88" s="20" t="n">
        <f aca="false">IF(J88&gt;PR_BalDone,MIN(F_MortPayM,J88+J88*(F_MR/12)),0)</f>
        <v>0</v>
      </c>
      <c r="X88" s="20" t="n">
        <f aca="false">IF(K88&gt;PR_BalDone,MIN(F_MortPayM,K88+K88*(F_MR/12)),0)</f>
        <v>0</v>
      </c>
      <c r="Y88" s="20" t="n">
        <f aca="false">IF(L88&gt;PR_BalDone,MIN(F_MortPayM,L88+L88*(F_MR/12)),0)</f>
        <v>0</v>
      </c>
      <c r="Z88" s="20" t="n">
        <f aca="false">IF(M88&gt;PR_BalDone,MIN(F_MortPayM,M88+M88*(F_MR/12)),0)</f>
        <v>0</v>
      </c>
      <c r="AA88" s="20" t="n">
        <f aca="false">IF(N88&gt;PR_BalDone,MIN(F_MortPayM,N88+N88*(F_MR/12)),0)</f>
        <v>0</v>
      </c>
      <c r="AB88" s="20" t="n">
        <f aca="false">MAX(0,O88)</f>
        <v>0</v>
      </c>
      <c r="AC88" s="20" t="n">
        <f aca="false">SUM(P88:AA88)</f>
        <v>0</v>
      </c>
      <c r="AD88" s="20" t="n">
        <f aca="false">'Plan cashflow'!M88</f>
        <v>0</v>
      </c>
      <c r="AE88" s="20" t="n">
        <f aca="false">IF(AD88&gt;PR_BalDone,AD88+AD88*(D_iC)-MIN(F_CardPayM,AD88+AD88*(D_iC)),AD88)</f>
        <v>0</v>
      </c>
      <c r="AF88" s="20" t="n">
        <f aca="false">IF(AE88&gt;PR_BalDone,AE88+AE88*(D_iC)-MIN(F_CardPayM,AE88+AE88*(D_iC)),AE88)</f>
        <v>0</v>
      </c>
      <c r="AG88" s="20" t="n">
        <f aca="false">IF(AF88&gt;PR_BalDone,AF88+AF88*(D_iC)-MIN(F_CardPayM,AF88+AF88*(D_iC)),AF88)</f>
        <v>0</v>
      </c>
      <c r="AH88" s="20" t="n">
        <f aca="false">IF(AG88&gt;PR_BalDone,AG88+AG88*(D_iC)-MIN(F_CardPayM,AG88+AG88*(D_iC)),AG88)</f>
        <v>0</v>
      </c>
      <c r="AI88" s="20" t="n">
        <f aca="false">IF(AH88&gt;PR_BalDone,AH88+AH88*(D_iC)-MIN(F_CardPayM,AH88+AH88*(D_iC)),AH88)</f>
        <v>0</v>
      </c>
      <c r="AJ88" s="20" t="n">
        <f aca="false">IF(AI88&gt;PR_BalDone,AI88+AI88*(D_iC)-MIN(F_CardPayM,AI88+AI88*(D_iC)),AI88)</f>
        <v>0</v>
      </c>
      <c r="AK88" s="20" t="n">
        <f aca="false">IF(AJ88&gt;PR_BalDone,AJ88+AJ88*(D_iC)-MIN(F_CardPayM,AJ88+AJ88*(D_iC)),AJ88)</f>
        <v>0</v>
      </c>
      <c r="AL88" s="20" t="n">
        <f aca="false">IF(AK88&gt;PR_BalDone,AK88+AK88*(D_iC)-MIN(F_CardPayM,AK88+AK88*(D_iC)),AK88)</f>
        <v>0</v>
      </c>
      <c r="AM88" s="20" t="n">
        <f aca="false">IF(AL88&gt;PR_BalDone,AL88+AL88*(D_iC)-MIN(F_CardPayM,AL88+AL88*(D_iC)),AL88)</f>
        <v>0</v>
      </c>
      <c r="AN88" s="20" t="n">
        <f aca="false">IF(AM88&gt;PR_BalDone,AM88+AM88*(D_iC)-MIN(F_CardPayM,AM88+AM88*(D_iC)),AM88)</f>
        <v>0</v>
      </c>
      <c r="AO88" s="20" t="n">
        <f aca="false">IF(AN88&gt;PR_BalDone,AN88+AN88*(D_iC)-MIN(F_CardPayM,AN88+AN88*(D_iC)),AN88)</f>
        <v>0</v>
      </c>
      <c r="AP88" s="20" t="n">
        <f aca="false">IF(AO88&gt;PR_BalDone,AO88+AO88*(D_iC)-MIN(F_CardPayM,AO88+AO88*(D_iC)),AO88)</f>
        <v>0</v>
      </c>
      <c r="AQ88" s="20" t="n">
        <f aca="false">IF(AD88&gt;PR_BalDone,MIN(F_CardPayM,AD88+AD88*(D_iC)),0)</f>
        <v>0</v>
      </c>
      <c r="AR88" s="20" t="n">
        <f aca="false">IF(AE88&gt;PR_BalDone,MIN(F_CardPayM,AE88+AE88*(D_iC)),0)</f>
        <v>0</v>
      </c>
      <c r="AS88" s="20" t="n">
        <f aca="false">IF(AF88&gt;PR_BalDone,MIN(F_CardPayM,AF88+AF88*(D_iC)),0)</f>
        <v>0</v>
      </c>
      <c r="AT88" s="20" t="n">
        <f aca="false">IF(AG88&gt;PR_BalDone,MIN(F_CardPayM,AG88+AG88*(D_iC)),0)</f>
        <v>0</v>
      </c>
      <c r="AU88" s="20" t="n">
        <f aca="false">IF(AH88&gt;PR_BalDone,MIN(F_CardPayM,AH88+AH88*(D_iC)),0)</f>
        <v>0</v>
      </c>
      <c r="AV88" s="20" t="n">
        <f aca="false">IF(AI88&gt;PR_BalDone,MIN(F_CardPayM,AI88+AI88*(D_iC)),0)</f>
        <v>0</v>
      </c>
      <c r="AW88" s="20" t="n">
        <f aca="false">IF(AJ88&gt;PR_BalDone,MIN(F_CardPayM,AJ88+AJ88*(D_iC)),0)</f>
        <v>0</v>
      </c>
      <c r="AX88" s="20" t="n">
        <f aca="false">IF(AK88&gt;PR_BalDone,MIN(F_CardPayM,AK88+AK88*(D_iC)),0)</f>
        <v>0</v>
      </c>
      <c r="AY88" s="20" t="n">
        <f aca="false">IF(AL88&gt;PR_BalDone,MIN(F_CardPayM,AL88+AL88*(D_iC)),0)</f>
        <v>0</v>
      </c>
      <c r="AZ88" s="20" t="n">
        <f aca="false">IF(AM88&gt;PR_BalDone,MIN(F_CardPayM,AM88+AM88*(D_iC)),0)</f>
        <v>0</v>
      </c>
      <c r="BA88" s="20" t="n">
        <f aca="false">IF(AN88&gt;PR_BalDone,MIN(F_CardPayM,AN88+AN88*(D_iC)),0)</f>
        <v>0</v>
      </c>
      <c r="BB88" s="20" t="n">
        <f aca="false">IF(AO88&gt;PR_BalDone,MIN(F_CardPayM,AO88+AO88*(D_iC)),0)</f>
        <v>0</v>
      </c>
      <c r="BC88" s="20" t="n">
        <f aca="false">MAX(0,AP88)</f>
        <v>0</v>
      </c>
      <c r="BD88" s="20" t="n">
        <f aca="false">SUM(AQ88:BB88)</f>
        <v>0</v>
      </c>
      <c r="BE88" s="20" t="n">
        <f aca="false">'Plan cashflow'!P88</f>
        <v>0</v>
      </c>
      <c r="BF88" s="20" t="n">
        <f aca="false">IF(BE88&gt;PR_BalDone,BE88+BE88*(D_iL)-MIN(F_LoanPayM,BE88+BE88*(D_iL)),BE88)</f>
        <v>0</v>
      </c>
      <c r="BG88" s="20" t="n">
        <f aca="false">IF(BF88&gt;PR_BalDone,BF88+BF88*(D_iL)-MIN(F_LoanPayM,BF88+BF88*(D_iL)),BF88)</f>
        <v>0</v>
      </c>
      <c r="BH88" s="20" t="n">
        <f aca="false">IF(BG88&gt;PR_BalDone,BG88+BG88*(D_iL)-MIN(F_LoanPayM,BG88+BG88*(D_iL)),BG88)</f>
        <v>0</v>
      </c>
      <c r="BI88" s="20" t="n">
        <f aca="false">IF(BH88&gt;PR_BalDone,BH88+BH88*(D_iL)-MIN(F_LoanPayM,BH88+BH88*(D_iL)),BH88)</f>
        <v>0</v>
      </c>
      <c r="BJ88" s="20" t="n">
        <f aca="false">IF(BI88&gt;PR_BalDone,BI88+BI88*(D_iL)-MIN(F_LoanPayM,BI88+BI88*(D_iL)),BI88)</f>
        <v>0</v>
      </c>
      <c r="BK88" s="20" t="n">
        <f aca="false">IF(BJ88&gt;PR_BalDone,BJ88+BJ88*(D_iL)-MIN(F_LoanPayM,BJ88+BJ88*(D_iL)),BJ88)</f>
        <v>0</v>
      </c>
      <c r="BL88" s="20" t="n">
        <f aca="false">IF(BK88&gt;PR_BalDone,BK88+BK88*(D_iL)-MIN(F_LoanPayM,BK88+BK88*(D_iL)),BK88)</f>
        <v>0</v>
      </c>
      <c r="BM88" s="20" t="n">
        <f aca="false">IF(BL88&gt;PR_BalDone,BL88+BL88*(D_iL)-MIN(F_LoanPayM,BL88+BL88*(D_iL)),BL88)</f>
        <v>0</v>
      </c>
      <c r="BN88" s="20" t="n">
        <f aca="false">IF(BM88&gt;PR_BalDone,BM88+BM88*(D_iL)-MIN(F_LoanPayM,BM88+BM88*(D_iL)),BM88)</f>
        <v>0</v>
      </c>
      <c r="BO88" s="20" t="n">
        <f aca="false">IF(BN88&gt;PR_BalDone,BN88+BN88*(D_iL)-MIN(F_LoanPayM,BN88+BN88*(D_iL)),BN88)</f>
        <v>0</v>
      </c>
      <c r="BP88" s="20" t="n">
        <f aca="false">IF(BO88&gt;PR_BalDone,BO88+BO88*(D_iL)-MIN(F_LoanPayM,BO88+BO88*(D_iL)),BO88)</f>
        <v>0</v>
      </c>
      <c r="BQ88" s="20" t="n">
        <f aca="false">IF(BP88&gt;PR_BalDone,BP88+BP88*(D_iL)-MIN(F_LoanPayM,BP88+BP88*(D_iL)),BP88)</f>
        <v>0</v>
      </c>
      <c r="BR88" s="20" t="n">
        <f aca="false">IF(BE88&gt;PR_BalDone,MIN(F_LoanPayM,BE88+BE88*(D_iL)),0)</f>
        <v>0</v>
      </c>
      <c r="BS88" s="20" t="n">
        <f aca="false">IF(BF88&gt;PR_BalDone,MIN(F_LoanPayM,BF88+BF88*(D_iL)),0)</f>
        <v>0</v>
      </c>
      <c r="BT88" s="20" t="n">
        <f aca="false">IF(BG88&gt;PR_BalDone,MIN(F_LoanPayM,BG88+BG88*(D_iL)),0)</f>
        <v>0</v>
      </c>
      <c r="BU88" s="20" t="n">
        <f aca="false">IF(BH88&gt;PR_BalDone,MIN(F_LoanPayM,BH88+BH88*(D_iL)),0)</f>
        <v>0</v>
      </c>
      <c r="BV88" s="20" t="n">
        <f aca="false">IF(BI88&gt;PR_BalDone,MIN(F_LoanPayM,BI88+BI88*(D_iL)),0)</f>
        <v>0</v>
      </c>
      <c r="BW88" s="20" t="n">
        <f aca="false">IF(BJ88&gt;PR_BalDone,MIN(F_LoanPayM,BJ88+BJ88*(D_iL)),0)</f>
        <v>0</v>
      </c>
      <c r="BX88" s="20" t="n">
        <f aca="false">IF(BK88&gt;PR_BalDone,MIN(F_LoanPayM,BK88+BK88*(D_iL)),0)</f>
        <v>0</v>
      </c>
      <c r="BY88" s="20" t="n">
        <f aca="false">IF(BL88&gt;PR_BalDone,MIN(F_LoanPayM,BL88+BL88*(D_iL)),0)</f>
        <v>0</v>
      </c>
      <c r="BZ88" s="20" t="n">
        <f aca="false">IF(BM88&gt;PR_BalDone,MIN(F_LoanPayM,BM88+BM88*(D_iL)),0)</f>
        <v>0</v>
      </c>
      <c r="CA88" s="20" t="n">
        <f aca="false">IF(BN88&gt;PR_BalDone,MIN(F_LoanPayM,BN88+BN88*(D_iL)),0)</f>
        <v>0</v>
      </c>
      <c r="CB88" s="20" t="n">
        <f aca="false">IF(BO88&gt;PR_BalDone,MIN(F_LoanPayM,BO88+BO88*(D_iL)),0)</f>
        <v>0</v>
      </c>
      <c r="CC88" s="20" t="n">
        <f aca="false">IF(BP88&gt;PR_BalDone,MIN(F_LoanPayM,BP88+BP88*(D_iL)),0)</f>
        <v>0</v>
      </c>
      <c r="CD88" s="20" t="n">
        <f aca="false">MAX(0,BQ88)</f>
        <v>0</v>
      </c>
      <c r="CE88" s="20" t="n">
        <f aca="false">SUM(BR88:CC88)</f>
        <v>0</v>
      </c>
      <c r="CF88" s="20" t="n">
        <f aca="false">IF(CF87&gt;1,DE87,CF87)</f>
        <v>0</v>
      </c>
      <c r="CG88" s="20" t="n">
        <f aca="false">IF(CF88&gt;PR_BalDone,CF88+CF88*(F_MR/12)-MIN(F_MortPayM,CF88+CF88*(F_MR/12)),CF88)</f>
        <v>0</v>
      </c>
      <c r="CH88" s="20" t="n">
        <f aca="false">IF(CG88&gt;PR_BalDone,CG88+CG88*(F_MR/12)-MIN(F_MortPayM,CG88+CG88*(F_MR/12)),CG88)</f>
        <v>0</v>
      </c>
      <c r="CI88" s="20" t="n">
        <f aca="false">IF(CH88&gt;PR_BalDone,CH88+CH88*(F_MR/12)-MIN(F_MortPayM,CH88+CH88*(F_MR/12)),CH88)</f>
        <v>0</v>
      </c>
      <c r="CJ88" s="20" t="n">
        <f aca="false">IF(CI88&gt;PR_BalDone,CI88+CI88*(F_MR/12)-MIN(F_MortPayM,CI88+CI88*(F_MR/12)),CI88)</f>
        <v>0</v>
      </c>
      <c r="CK88" s="20" t="n">
        <f aca="false">IF(CJ88&gt;PR_BalDone,CJ88+CJ88*(F_MR/12)-MIN(F_MortPayM,CJ88+CJ88*(F_MR/12)),CJ88)</f>
        <v>0</v>
      </c>
      <c r="CL88" s="20" t="n">
        <f aca="false">IF(CK88&gt;PR_BalDone,CK88+CK88*(F_MR/12)-MIN(F_MortPayM,CK88+CK88*(F_MR/12)),CK88)</f>
        <v>0</v>
      </c>
      <c r="CM88" s="20" t="n">
        <f aca="false">IF(CL88&gt;PR_BalDone,CL88+CL88*(F_MR/12)-MIN(F_MortPayM,CL88+CL88*(F_MR/12)),CL88)</f>
        <v>0</v>
      </c>
      <c r="CN88" s="20" t="n">
        <f aca="false">IF(CM88&gt;PR_BalDone,CM88+CM88*(F_MR/12)-MIN(F_MortPayM,CM88+CM88*(F_MR/12)),CM88)</f>
        <v>0</v>
      </c>
      <c r="CO88" s="20" t="n">
        <f aca="false">IF(CN88&gt;PR_BalDone,CN88+CN88*(F_MR/12)-MIN(F_MortPayM,CN88+CN88*(F_MR/12)),CN88)</f>
        <v>0</v>
      </c>
      <c r="CP88" s="20" t="n">
        <f aca="false">IF(CO88&gt;PR_BalDone,CO88+CO88*(F_MR/12)-MIN(F_MortPayM,CO88+CO88*(F_MR/12)),CO88)</f>
        <v>0</v>
      </c>
      <c r="CQ88" s="20" t="n">
        <f aca="false">IF(CP88&gt;PR_BalDone,CP88+CP88*(F_MR/12)-MIN(F_MortPayM,CP88+CP88*(F_MR/12)),CP88)</f>
        <v>0</v>
      </c>
      <c r="CR88" s="20" t="n">
        <f aca="false">IF(CQ88&gt;PR_BalDone,CQ88+CQ88*(F_MR/12)-MIN(F_MortPayM,CQ88+CQ88*(F_MR/12)),CQ88)</f>
        <v>0</v>
      </c>
      <c r="CS88" s="20" t="n">
        <f aca="false">IF(CF88&gt;PR_BalDone,MIN(F_MortPayM,CF88+CF88*(F_MR/12)),0)</f>
        <v>0</v>
      </c>
      <c r="CT88" s="20" t="n">
        <f aca="false">IF(CG88&gt;PR_BalDone,MIN(F_MortPayM,CG88+CG88*(F_MR/12)),0)</f>
        <v>0</v>
      </c>
      <c r="CU88" s="20" t="n">
        <f aca="false">IF(CH88&gt;PR_BalDone,MIN(F_MortPayM,CH88+CH88*(F_MR/12)),0)</f>
        <v>0</v>
      </c>
      <c r="CV88" s="20" t="n">
        <f aca="false">IF(CI88&gt;PR_BalDone,MIN(F_MortPayM,CI88+CI88*(F_MR/12)),0)</f>
        <v>0</v>
      </c>
      <c r="CW88" s="20" t="n">
        <f aca="false">IF(CJ88&gt;PR_BalDone,MIN(F_MortPayM,CJ88+CJ88*(F_MR/12)),0)</f>
        <v>0</v>
      </c>
      <c r="CX88" s="20" t="n">
        <f aca="false">IF(CK88&gt;PR_BalDone,MIN(F_MortPayM,CK88+CK88*(F_MR/12)),0)</f>
        <v>0</v>
      </c>
      <c r="CY88" s="20" t="n">
        <f aca="false">IF(CL88&gt;PR_BalDone,MIN(F_MortPayM,CL88+CL88*(F_MR/12)),0)</f>
        <v>0</v>
      </c>
      <c r="CZ88" s="20" t="n">
        <f aca="false">IF(CM88&gt;PR_BalDone,MIN(F_MortPayM,CM88+CM88*(F_MR/12)),0)</f>
        <v>0</v>
      </c>
      <c r="DA88" s="20" t="n">
        <f aca="false">IF(CN88&gt;PR_BalDone,MIN(F_MortPayM,CN88+CN88*(F_MR/12)),0)</f>
        <v>0</v>
      </c>
      <c r="DB88" s="20" t="n">
        <f aca="false">IF(CO88&gt;PR_BalDone,MIN(F_MortPayM,CO88+CO88*(F_MR/12)),0)</f>
        <v>0</v>
      </c>
      <c r="DC88" s="20" t="n">
        <f aca="false">IF(CP88&gt;PR_BalDone,MIN(F_MortPayM,CP88+CP88*(F_MR/12)),0)</f>
        <v>0</v>
      </c>
      <c r="DD88" s="20" t="n">
        <f aca="false">IF(CQ88&gt;PR_BalDone,MIN(F_MortPayM,CQ88+CQ88*(F_MR/12)),0)</f>
        <v>0</v>
      </c>
      <c r="DE88" s="20" t="n">
        <f aca="false">MAX(0,CR88)</f>
        <v>0</v>
      </c>
      <c r="DF88" s="20" t="n">
        <f aca="false">SUM(CS88:DD88)</f>
        <v>0</v>
      </c>
      <c r="DG88" s="20" t="n">
        <f aca="false">MAX(0,CF88)</f>
        <v>0</v>
      </c>
    </row>
    <row r="89" customFormat="false" ht="15" hidden="false" customHeight="true" outlineLevel="0" collapsed="false">
      <c r="B89" s="20" t="n">
        <v>81</v>
      </c>
      <c r="C89" s="20" t="n">
        <f aca="false">'Plan cashflow'!J89</f>
        <v>0</v>
      </c>
      <c r="D89" s="20" t="n">
        <f aca="false">IF(C89&gt;PR_BalDone,C89+C89*(F_MR/12)-MIN(F_MortPayM,C89+C89*(F_MR/12)),C89)</f>
        <v>0</v>
      </c>
      <c r="E89" s="20" t="n">
        <f aca="false">IF(D89&gt;PR_BalDone,D89+D89*(F_MR/12)-MIN(F_MortPayM,D89+D89*(F_MR/12)),D89)</f>
        <v>0</v>
      </c>
      <c r="F89" s="20" t="n">
        <f aca="false">IF(E89&gt;PR_BalDone,E89+E89*(F_MR/12)-MIN(F_MortPayM,E89+E89*(F_MR/12)),E89)</f>
        <v>0</v>
      </c>
      <c r="G89" s="20" t="n">
        <f aca="false">IF(F89&gt;PR_BalDone,F89+F89*(F_MR/12)-MIN(F_MortPayM,F89+F89*(F_MR/12)),F89)</f>
        <v>0</v>
      </c>
      <c r="H89" s="20" t="n">
        <f aca="false">IF(G89&gt;PR_BalDone,G89+G89*(F_MR/12)-MIN(F_MortPayM,G89+G89*(F_MR/12)),G89)</f>
        <v>0</v>
      </c>
      <c r="I89" s="20" t="n">
        <f aca="false">IF(H89&gt;PR_BalDone,H89+H89*(F_MR/12)-MIN(F_MortPayM,H89+H89*(F_MR/12)),H89)</f>
        <v>0</v>
      </c>
      <c r="J89" s="20" t="n">
        <f aca="false">IF(I89&gt;PR_BalDone,I89+I89*(F_MR/12)-MIN(F_MortPayM,I89+I89*(F_MR/12)),I89)</f>
        <v>0</v>
      </c>
      <c r="K89" s="20" t="n">
        <f aca="false">IF(J89&gt;PR_BalDone,J89+J89*(F_MR/12)-MIN(F_MortPayM,J89+J89*(F_MR/12)),J89)</f>
        <v>0</v>
      </c>
      <c r="L89" s="20" t="n">
        <f aca="false">IF(K89&gt;PR_BalDone,K89+K89*(F_MR/12)-MIN(F_MortPayM,K89+K89*(F_MR/12)),K89)</f>
        <v>0</v>
      </c>
      <c r="M89" s="20" t="n">
        <f aca="false">IF(L89&gt;PR_BalDone,L89+L89*(F_MR/12)-MIN(F_MortPayM,L89+L89*(F_MR/12)),L89)</f>
        <v>0</v>
      </c>
      <c r="N89" s="20" t="n">
        <f aca="false">IF(M89&gt;PR_BalDone,M89+M89*(F_MR/12)-MIN(F_MortPayM,M89+M89*(F_MR/12)),M89)</f>
        <v>0</v>
      </c>
      <c r="O89" s="20" t="n">
        <f aca="false">IF(N89&gt;PR_BalDone,N89+N89*(F_MR/12)-MIN(F_MortPayM,N89+N89*(F_MR/12)),N89)</f>
        <v>0</v>
      </c>
      <c r="P89" s="20" t="n">
        <f aca="false">IF(C89&gt;PR_BalDone,MIN(F_MortPayM,C89+C89*(F_MR/12)),0)</f>
        <v>0</v>
      </c>
      <c r="Q89" s="20" t="n">
        <f aca="false">IF(D89&gt;PR_BalDone,MIN(F_MortPayM,D89+D89*(F_MR/12)),0)</f>
        <v>0</v>
      </c>
      <c r="R89" s="20" t="n">
        <f aca="false">IF(E89&gt;PR_BalDone,MIN(F_MortPayM,E89+E89*(F_MR/12)),0)</f>
        <v>0</v>
      </c>
      <c r="S89" s="20" t="n">
        <f aca="false">IF(F89&gt;PR_BalDone,MIN(F_MortPayM,F89+F89*(F_MR/12)),0)</f>
        <v>0</v>
      </c>
      <c r="T89" s="20" t="n">
        <f aca="false">IF(G89&gt;PR_BalDone,MIN(F_MortPayM,G89+G89*(F_MR/12)),0)</f>
        <v>0</v>
      </c>
      <c r="U89" s="20" t="n">
        <f aca="false">IF(H89&gt;PR_BalDone,MIN(F_MortPayM,H89+H89*(F_MR/12)),0)</f>
        <v>0</v>
      </c>
      <c r="V89" s="20" t="n">
        <f aca="false">IF(I89&gt;PR_BalDone,MIN(F_MortPayM,I89+I89*(F_MR/12)),0)</f>
        <v>0</v>
      </c>
      <c r="W89" s="20" t="n">
        <f aca="false">IF(J89&gt;PR_BalDone,MIN(F_MortPayM,J89+J89*(F_MR/12)),0)</f>
        <v>0</v>
      </c>
      <c r="X89" s="20" t="n">
        <f aca="false">IF(K89&gt;PR_BalDone,MIN(F_MortPayM,K89+K89*(F_MR/12)),0)</f>
        <v>0</v>
      </c>
      <c r="Y89" s="20" t="n">
        <f aca="false">IF(L89&gt;PR_BalDone,MIN(F_MortPayM,L89+L89*(F_MR/12)),0)</f>
        <v>0</v>
      </c>
      <c r="Z89" s="20" t="n">
        <f aca="false">IF(M89&gt;PR_BalDone,MIN(F_MortPayM,M89+M89*(F_MR/12)),0)</f>
        <v>0</v>
      </c>
      <c r="AA89" s="20" t="n">
        <f aca="false">IF(N89&gt;PR_BalDone,MIN(F_MortPayM,N89+N89*(F_MR/12)),0)</f>
        <v>0</v>
      </c>
      <c r="AB89" s="20" t="n">
        <f aca="false">MAX(0,O89)</f>
        <v>0</v>
      </c>
      <c r="AC89" s="20" t="n">
        <f aca="false">SUM(P89:AA89)</f>
        <v>0</v>
      </c>
      <c r="AD89" s="20" t="n">
        <f aca="false">'Plan cashflow'!M89</f>
        <v>0</v>
      </c>
      <c r="AE89" s="20" t="n">
        <f aca="false">IF(AD89&gt;PR_BalDone,AD89+AD89*(D_iC)-MIN(F_CardPayM,AD89+AD89*(D_iC)),AD89)</f>
        <v>0</v>
      </c>
      <c r="AF89" s="20" t="n">
        <f aca="false">IF(AE89&gt;PR_BalDone,AE89+AE89*(D_iC)-MIN(F_CardPayM,AE89+AE89*(D_iC)),AE89)</f>
        <v>0</v>
      </c>
      <c r="AG89" s="20" t="n">
        <f aca="false">IF(AF89&gt;PR_BalDone,AF89+AF89*(D_iC)-MIN(F_CardPayM,AF89+AF89*(D_iC)),AF89)</f>
        <v>0</v>
      </c>
      <c r="AH89" s="20" t="n">
        <f aca="false">IF(AG89&gt;PR_BalDone,AG89+AG89*(D_iC)-MIN(F_CardPayM,AG89+AG89*(D_iC)),AG89)</f>
        <v>0</v>
      </c>
      <c r="AI89" s="20" t="n">
        <f aca="false">IF(AH89&gt;PR_BalDone,AH89+AH89*(D_iC)-MIN(F_CardPayM,AH89+AH89*(D_iC)),AH89)</f>
        <v>0</v>
      </c>
      <c r="AJ89" s="20" t="n">
        <f aca="false">IF(AI89&gt;PR_BalDone,AI89+AI89*(D_iC)-MIN(F_CardPayM,AI89+AI89*(D_iC)),AI89)</f>
        <v>0</v>
      </c>
      <c r="AK89" s="20" t="n">
        <f aca="false">IF(AJ89&gt;PR_BalDone,AJ89+AJ89*(D_iC)-MIN(F_CardPayM,AJ89+AJ89*(D_iC)),AJ89)</f>
        <v>0</v>
      </c>
      <c r="AL89" s="20" t="n">
        <f aca="false">IF(AK89&gt;PR_BalDone,AK89+AK89*(D_iC)-MIN(F_CardPayM,AK89+AK89*(D_iC)),AK89)</f>
        <v>0</v>
      </c>
      <c r="AM89" s="20" t="n">
        <f aca="false">IF(AL89&gt;PR_BalDone,AL89+AL89*(D_iC)-MIN(F_CardPayM,AL89+AL89*(D_iC)),AL89)</f>
        <v>0</v>
      </c>
      <c r="AN89" s="20" t="n">
        <f aca="false">IF(AM89&gt;PR_BalDone,AM89+AM89*(D_iC)-MIN(F_CardPayM,AM89+AM89*(D_iC)),AM89)</f>
        <v>0</v>
      </c>
      <c r="AO89" s="20" t="n">
        <f aca="false">IF(AN89&gt;PR_BalDone,AN89+AN89*(D_iC)-MIN(F_CardPayM,AN89+AN89*(D_iC)),AN89)</f>
        <v>0</v>
      </c>
      <c r="AP89" s="20" t="n">
        <f aca="false">IF(AO89&gt;PR_BalDone,AO89+AO89*(D_iC)-MIN(F_CardPayM,AO89+AO89*(D_iC)),AO89)</f>
        <v>0</v>
      </c>
      <c r="AQ89" s="20" t="n">
        <f aca="false">IF(AD89&gt;PR_BalDone,MIN(F_CardPayM,AD89+AD89*(D_iC)),0)</f>
        <v>0</v>
      </c>
      <c r="AR89" s="20" t="n">
        <f aca="false">IF(AE89&gt;PR_BalDone,MIN(F_CardPayM,AE89+AE89*(D_iC)),0)</f>
        <v>0</v>
      </c>
      <c r="AS89" s="20" t="n">
        <f aca="false">IF(AF89&gt;PR_BalDone,MIN(F_CardPayM,AF89+AF89*(D_iC)),0)</f>
        <v>0</v>
      </c>
      <c r="AT89" s="20" t="n">
        <f aca="false">IF(AG89&gt;PR_BalDone,MIN(F_CardPayM,AG89+AG89*(D_iC)),0)</f>
        <v>0</v>
      </c>
      <c r="AU89" s="20" t="n">
        <f aca="false">IF(AH89&gt;PR_BalDone,MIN(F_CardPayM,AH89+AH89*(D_iC)),0)</f>
        <v>0</v>
      </c>
      <c r="AV89" s="20" t="n">
        <f aca="false">IF(AI89&gt;PR_BalDone,MIN(F_CardPayM,AI89+AI89*(D_iC)),0)</f>
        <v>0</v>
      </c>
      <c r="AW89" s="20" t="n">
        <f aca="false">IF(AJ89&gt;PR_BalDone,MIN(F_CardPayM,AJ89+AJ89*(D_iC)),0)</f>
        <v>0</v>
      </c>
      <c r="AX89" s="20" t="n">
        <f aca="false">IF(AK89&gt;PR_BalDone,MIN(F_CardPayM,AK89+AK89*(D_iC)),0)</f>
        <v>0</v>
      </c>
      <c r="AY89" s="20" t="n">
        <f aca="false">IF(AL89&gt;PR_BalDone,MIN(F_CardPayM,AL89+AL89*(D_iC)),0)</f>
        <v>0</v>
      </c>
      <c r="AZ89" s="20" t="n">
        <f aca="false">IF(AM89&gt;PR_BalDone,MIN(F_CardPayM,AM89+AM89*(D_iC)),0)</f>
        <v>0</v>
      </c>
      <c r="BA89" s="20" t="n">
        <f aca="false">IF(AN89&gt;PR_BalDone,MIN(F_CardPayM,AN89+AN89*(D_iC)),0)</f>
        <v>0</v>
      </c>
      <c r="BB89" s="20" t="n">
        <f aca="false">IF(AO89&gt;PR_BalDone,MIN(F_CardPayM,AO89+AO89*(D_iC)),0)</f>
        <v>0</v>
      </c>
      <c r="BC89" s="20" t="n">
        <f aca="false">MAX(0,AP89)</f>
        <v>0</v>
      </c>
      <c r="BD89" s="20" t="n">
        <f aca="false">SUM(AQ89:BB89)</f>
        <v>0</v>
      </c>
      <c r="BE89" s="20" t="n">
        <f aca="false">'Plan cashflow'!P89</f>
        <v>0</v>
      </c>
      <c r="BF89" s="20" t="n">
        <f aca="false">IF(BE89&gt;PR_BalDone,BE89+BE89*(D_iL)-MIN(F_LoanPayM,BE89+BE89*(D_iL)),BE89)</f>
        <v>0</v>
      </c>
      <c r="BG89" s="20" t="n">
        <f aca="false">IF(BF89&gt;PR_BalDone,BF89+BF89*(D_iL)-MIN(F_LoanPayM,BF89+BF89*(D_iL)),BF89)</f>
        <v>0</v>
      </c>
      <c r="BH89" s="20" t="n">
        <f aca="false">IF(BG89&gt;PR_BalDone,BG89+BG89*(D_iL)-MIN(F_LoanPayM,BG89+BG89*(D_iL)),BG89)</f>
        <v>0</v>
      </c>
      <c r="BI89" s="20" t="n">
        <f aca="false">IF(BH89&gt;PR_BalDone,BH89+BH89*(D_iL)-MIN(F_LoanPayM,BH89+BH89*(D_iL)),BH89)</f>
        <v>0</v>
      </c>
      <c r="BJ89" s="20" t="n">
        <f aca="false">IF(BI89&gt;PR_BalDone,BI89+BI89*(D_iL)-MIN(F_LoanPayM,BI89+BI89*(D_iL)),BI89)</f>
        <v>0</v>
      </c>
      <c r="BK89" s="20" t="n">
        <f aca="false">IF(BJ89&gt;PR_BalDone,BJ89+BJ89*(D_iL)-MIN(F_LoanPayM,BJ89+BJ89*(D_iL)),BJ89)</f>
        <v>0</v>
      </c>
      <c r="BL89" s="20" t="n">
        <f aca="false">IF(BK89&gt;PR_BalDone,BK89+BK89*(D_iL)-MIN(F_LoanPayM,BK89+BK89*(D_iL)),BK89)</f>
        <v>0</v>
      </c>
      <c r="BM89" s="20" t="n">
        <f aca="false">IF(BL89&gt;PR_BalDone,BL89+BL89*(D_iL)-MIN(F_LoanPayM,BL89+BL89*(D_iL)),BL89)</f>
        <v>0</v>
      </c>
      <c r="BN89" s="20" t="n">
        <f aca="false">IF(BM89&gt;PR_BalDone,BM89+BM89*(D_iL)-MIN(F_LoanPayM,BM89+BM89*(D_iL)),BM89)</f>
        <v>0</v>
      </c>
      <c r="BO89" s="20" t="n">
        <f aca="false">IF(BN89&gt;PR_BalDone,BN89+BN89*(D_iL)-MIN(F_LoanPayM,BN89+BN89*(D_iL)),BN89)</f>
        <v>0</v>
      </c>
      <c r="BP89" s="20" t="n">
        <f aca="false">IF(BO89&gt;PR_BalDone,BO89+BO89*(D_iL)-MIN(F_LoanPayM,BO89+BO89*(D_iL)),BO89)</f>
        <v>0</v>
      </c>
      <c r="BQ89" s="20" t="n">
        <f aca="false">IF(BP89&gt;PR_BalDone,BP89+BP89*(D_iL)-MIN(F_LoanPayM,BP89+BP89*(D_iL)),BP89)</f>
        <v>0</v>
      </c>
      <c r="BR89" s="20" t="n">
        <f aca="false">IF(BE89&gt;PR_BalDone,MIN(F_LoanPayM,BE89+BE89*(D_iL)),0)</f>
        <v>0</v>
      </c>
      <c r="BS89" s="20" t="n">
        <f aca="false">IF(BF89&gt;PR_BalDone,MIN(F_LoanPayM,BF89+BF89*(D_iL)),0)</f>
        <v>0</v>
      </c>
      <c r="BT89" s="20" t="n">
        <f aca="false">IF(BG89&gt;PR_BalDone,MIN(F_LoanPayM,BG89+BG89*(D_iL)),0)</f>
        <v>0</v>
      </c>
      <c r="BU89" s="20" t="n">
        <f aca="false">IF(BH89&gt;PR_BalDone,MIN(F_LoanPayM,BH89+BH89*(D_iL)),0)</f>
        <v>0</v>
      </c>
      <c r="BV89" s="20" t="n">
        <f aca="false">IF(BI89&gt;PR_BalDone,MIN(F_LoanPayM,BI89+BI89*(D_iL)),0)</f>
        <v>0</v>
      </c>
      <c r="BW89" s="20" t="n">
        <f aca="false">IF(BJ89&gt;PR_BalDone,MIN(F_LoanPayM,BJ89+BJ89*(D_iL)),0)</f>
        <v>0</v>
      </c>
      <c r="BX89" s="20" t="n">
        <f aca="false">IF(BK89&gt;PR_BalDone,MIN(F_LoanPayM,BK89+BK89*(D_iL)),0)</f>
        <v>0</v>
      </c>
      <c r="BY89" s="20" t="n">
        <f aca="false">IF(BL89&gt;PR_BalDone,MIN(F_LoanPayM,BL89+BL89*(D_iL)),0)</f>
        <v>0</v>
      </c>
      <c r="BZ89" s="20" t="n">
        <f aca="false">IF(BM89&gt;PR_BalDone,MIN(F_LoanPayM,BM89+BM89*(D_iL)),0)</f>
        <v>0</v>
      </c>
      <c r="CA89" s="20" t="n">
        <f aca="false">IF(BN89&gt;PR_BalDone,MIN(F_LoanPayM,BN89+BN89*(D_iL)),0)</f>
        <v>0</v>
      </c>
      <c r="CB89" s="20" t="n">
        <f aca="false">IF(BO89&gt;PR_BalDone,MIN(F_LoanPayM,BO89+BO89*(D_iL)),0)</f>
        <v>0</v>
      </c>
      <c r="CC89" s="20" t="n">
        <f aca="false">IF(BP89&gt;PR_BalDone,MIN(F_LoanPayM,BP89+BP89*(D_iL)),0)</f>
        <v>0</v>
      </c>
      <c r="CD89" s="20" t="n">
        <f aca="false">MAX(0,BQ89)</f>
        <v>0</v>
      </c>
      <c r="CE89" s="20" t="n">
        <f aca="false">SUM(BR89:CC89)</f>
        <v>0</v>
      </c>
      <c r="CF89" s="20" t="n">
        <f aca="false">IF(CF88&gt;1,DE88,CF88)</f>
        <v>0</v>
      </c>
      <c r="CG89" s="20" t="n">
        <f aca="false">IF(CF89&gt;PR_BalDone,CF89+CF89*(F_MR/12)-MIN(F_MortPayM,CF89+CF89*(F_MR/12)),CF89)</f>
        <v>0</v>
      </c>
      <c r="CH89" s="20" t="n">
        <f aca="false">IF(CG89&gt;PR_BalDone,CG89+CG89*(F_MR/12)-MIN(F_MortPayM,CG89+CG89*(F_MR/12)),CG89)</f>
        <v>0</v>
      </c>
      <c r="CI89" s="20" t="n">
        <f aca="false">IF(CH89&gt;PR_BalDone,CH89+CH89*(F_MR/12)-MIN(F_MortPayM,CH89+CH89*(F_MR/12)),CH89)</f>
        <v>0</v>
      </c>
      <c r="CJ89" s="20" t="n">
        <f aca="false">IF(CI89&gt;PR_BalDone,CI89+CI89*(F_MR/12)-MIN(F_MortPayM,CI89+CI89*(F_MR/12)),CI89)</f>
        <v>0</v>
      </c>
      <c r="CK89" s="20" t="n">
        <f aca="false">IF(CJ89&gt;PR_BalDone,CJ89+CJ89*(F_MR/12)-MIN(F_MortPayM,CJ89+CJ89*(F_MR/12)),CJ89)</f>
        <v>0</v>
      </c>
      <c r="CL89" s="20" t="n">
        <f aca="false">IF(CK89&gt;PR_BalDone,CK89+CK89*(F_MR/12)-MIN(F_MortPayM,CK89+CK89*(F_MR/12)),CK89)</f>
        <v>0</v>
      </c>
      <c r="CM89" s="20" t="n">
        <f aca="false">IF(CL89&gt;PR_BalDone,CL89+CL89*(F_MR/12)-MIN(F_MortPayM,CL89+CL89*(F_MR/12)),CL89)</f>
        <v>0</v>
      </c>
      <c r="CN89" s="20" t="n">
        <f aca="false">IF(CM89&gt;PR_BalDone,CM89+CM89*(F_MR/12)-MIN(F_MortPayM,CM89+CM89*(F_MR/12)),CM89)</f>
        <v>0</v>
      </c>
      <c r="CO89" s="20" t="n">
        <f aca="false">IF(CN89&gt;PR_BalDone,CN89+CN89*(F_MR/12)-MIN(F_MortPayM,CN89+CN89*(F_MR/12)),CN89)</f>
        <v>0</v>
      </c>
      <c r="CP89" s="20" t="n">
        <f aca="false">IF(CO89&gt;PR_BalDone,CO89+CO89*(F_MR/12)-MIN(F_MortPayM,CO89+CO89*(F_MR/12)),CO89)</f>
        <v>0</v>
      </c>
      <c r="CQ89" s="20" t="n">
        <f aca="false">IF(CP89&gt;PR_BalDone,CP89+CP89*(F_MR/12)-MIN(F_MortPayM,CP89+CP89*(F_MR/12)),CP89)</f>
        <v>0</v>
      </c>
      <c r="CR89" s="20" t="n">
        <f aca="false">IF(CQ89&gt;PR_BalDone,CQ89+CQ89*(F_MR/12)-MIN(F_MortPayM,CQ89+CQ89*(F_MR/12)),CQ89)</f>
        <v>0</v>
      </c>
      <c r="CS89" s="20" t="n">
        <f aca="false">IF(CF89&gt;PR_BalDone,MIN(F_MortPayM,CF89+CF89*(F_MR/12)),0)</f>
        <v>0</v>
      </c>
      <c r="CT89" s="20" t="n">
        <f aca="false">IF(CG89&gt;PR_BalDone,MIN(F_MortPayM,CG89+CG89*(F_MR/12)),0)</f>
        <v>0</v>
      </c>
      <c r="CU89" s="20" t="n">
        <f aca="false">IF(CH89&gt;PR_BalDone,MIN(F_MortPayM,CH89+CH89*(F_MR/12)),0)</f>
        <v>0</v>
      </c>
      <c r="CV89" s="20" t="n">
        <f aca="false">IF(CI89&gt;PR_BalDone,MIN(F_MortPayM,CI89+CI89*(F_MR/12)),0)</f>
        <v>0</v>
      </c>
      <c r="CW89" s="20" t="n">
        <f aca="false">IF(CJ89&gt;PR_BalDone,MIN(F_MortPayM,CJ89+CJ89*(F_MR/12)),0)</f>
        <v>0</v>
      </c>
      <c r="CX89" s="20" t="n">
        <f aca="false">IF(CK89&gt;PR_BalDone,MIN(F_MortPayM,CK89+CK89*(F_MR/12)),0)</f>
        <v>0</v>
      </c>
      <c r="CY89" s="20" t="n">
        <f aca="false">IF(CL89&gt;PR_BalDone,MIN(F_MortPayM,CL89+CL89*(F_MR/12)),0)</f>
        <v>0</v>
      </c>
      <c r="CZ89" s="20" t="n">
        <f aca="false">IF(CM89&gt;PR_BalDone,MIN(F_MortPayM,CM89+CM89*(F_MR/12)),0)</f>
        <v>0</v>
      </c>
      <c r="DA89" s="20" t="n">
        <f aca="false">IF(CN89&gt;PR_BalDone,MIN(F_MortPayM,CN89+CN89*(F_MR/12)),0)</f>
        <v>0</v>
      </c>
      <c r="DB89" s="20" t="n">
        <f aca="false">IF(CO89&gt;PR_BalDone,MIN(F_MortPayM,CO89+CO89*(F_MR/12)),0)</f>
        <v>0</v>
      </c>
      <c r="DC89" s="20" t="n">
        <f aca="false">IF(CP89&gt;PR_BalDone,MIN(F_MortPayM,CP89+CP89*(F_MR/12)),0)</f>
        <v>0</v>
      </c>
      <c r="DD89" s="20" t="n">
        <f aca="false">IF(CQ89&gt;PR_BalDone,MIN(F_MortPayM,CQ89+CQ89*(F_MR/12)),0)</f>
        <v>0</v>
      </c>
      <c r="DE89" s="20" t="n">
        <f aca="false">MAX(0,CR89)</f>
        <v>0</v>
      </c>
      <c r="DF89" s="20" t="n">
        <f aca="false">SUM(CS89:DD89)</f>
        <v>0</v>
      </c>
      <c r="DG89" s="20" t="n">
        <f aca="false">MAX(0,CF89)</f>
        <v>0</v>
      </c>
    </row>
    <row r="90" customFormat="false" ht="15" hidden="false" customHeight="true" outlineLevel="0" collapsed="false">
      <c r="B90" s="20" t="n">
        <v>82</v>
      </c>
      <c r="C90" s="20" t="n">
        <f aca="false">'Plan cashflow'!J90</f>
        <v>0</v>
      </c>
      <c r="D90" s="20" t="n">
        <f aca="false">IF(C90&gt;PR_BalDone,C90+C90*(F_MR/12)-MIN(F_MortPayM,C90+C90*(F_MR/12)),C90)</f>
        <v>0</v>
      </c>
      <c r="E90" s="20" t="n">
        <f aca="false">IF(D90&gt;PR_BalDone,D90+D90*(F_MR/12)-MIN(F_MortPayM,D90+D90*(F_MR/12)),D90)</f>
        <v>0</v>
      </c>
      <c r="F90" s="20" t="n">
        <f aca="false">IF(E90&gt;PR_BalDone,E90+E90*(F_MR/12)-MIN(F_MortPayM,E90+E90*(F_MR/12)),E90)</f>
        <v>0</v>
      </c>
      <c r="G90" s="20" t="n">
        <f aca="false">IF(F90&gt;PR_BalDone,F90+F90*(F_MR/12)-MIN(F_MortPayM,F90+F90*(F_MR/12)),F90)</f>
        <v>0</v>
      </c>
      <c r="H90" s="20" t="n">
        <f aca="false">IF(G90&gt;PR_BalDone,G90+G90*(F_MR/12)-MIN(F_MortPayM,G90+G90*(F_MR/12)),G90)</f>
        <v>0</v>
      </c>
      <c r="I90" s="20" t="n">
        <f aca="false">IF(H90&gt;PR_BalDone,H90+H90*(F_MR/12)-MIN(F_MortPayM,H90+H90*(F_MR/12)),H90)</f>
        <v>0</v>
      </c>
      <c r="J90" s="20" t="n">
        <f aca="false">IF(I90&gt;PR_BalDone,I90+I90*(F_MR/12)-MIN(F_MortPayM,I90+I90*(F_MR/12)),I90)</f>
        <v>0</v>
      </c>
      <c r="K90" s="20" t="n">
        <f aca="false">IF(J90&gt;PR_BalDone,J90+J90*(F_MR/12)-MIN(F_MortPayM,J90+J90*(F_MR/12)),J90)</f>
        <v>0</v>
      </c>
      <c r="L90" s="20" t="n">
        <f aca="false">IF(K90&gt;PR_BalDone,K90+K90*(F_MR/12)-MIN(F_MortPayM,K90+K90*(F_MR/12)),K90)</f>
        <v>0</v>
      </c>
      <c r="M90" s="20" t="n">
        <f aca="false">IF(L90&gt;PR_BalDone,L90+L90*(F_MR/12)-MIN(F_MortPayM,L90+L90*(F_MR/12)),L90)</f>
        <v>0</v>
      </c>
      <c r="N90" s="20" t="n">
        <f aca="false">IF(M90&gt;PR_BalDone,M90+M90*(F_MR/12)-MIN(F_MortPayM,M90+M90*(F_MR/12)),M90)</f>
        <v>0</v>
      </c>
      <c r="O90" s="20" t="n">
        <f aca="false">IF(N90&gt;PR_BalDone,N90+N90*(F_MR/12)-MIN(F_MortPayM,N90+N90*(F_MR/12)),N90)</f>
        <v>0</v>
      </c>
      <c r="P90" s="20" t="n">
        <f aca="false">IF(C90&gt;PR_BalDone,MIN(F_MortPayM,C90+C90*(F_MR/12)),0)</f>
        <v>0</v>
      </c>
      <c r="Q90" s="20" t="n">
        <f aca="false">IF(D90&gt;PR_BalDone,MIN(F_MortPayM,D90+D90*(F_MR/12)),0)</f>
        <v>0</v>
      </c>
      <c r="R90" s="20" t="n">
        <f aca="false">IF(E90&gt;PR_BalDone,MIN(F_MortPayM,E90+E90*(F_MR/12)),0)</f>
        <v>0</v>
      </c>
      <c r="S90" s="20" t="n">
        <f aca="false">IF(F90&gt;PR_BalDone,MIN(F_MortPayM,F90+F90*(F_MR/12)),0)</f>
        <v>0</v>
      </c>
      <c r="T90" s="20" t="n">
        <f aca="false">IF(G90&gt;PR_BalDone,MIN(F_MortPayM,G90+G90*(F_MR/12)),0)</f>
        <v>0</v>
      </c>
      <c r="U90" s="20" t="n">
        <f aca="false">IF(H90&gt;PR_BalDone,MIN(F_MortPayM,H90+H90*(F_MR/12)),0)</f>
        <v>0</v>
      </c>
      <c r="V90" s="20" t="n">
        <f aca="false">IF(I90&gt;PR_BalDone,MIN(F_MortPayM,I90+I90*(F_MR/12)),0)</f>
        <v>0</v>
      </c>
      <c r="W90" s="20" t="n">
        <f aca="false">IF(J90&gt;PR_BalDone,MIN(F_MortPayM,J90+J90*(F_MR/12)),0)</f>
        <v>0</v>
      </c>
      <c r="X90" s="20" t="n">
        <f aca="false">IF(K90&gt;PR_BalDone,MIN(F_MortPayM,K90+K90*(F_MR/12)),0)</f>
        <v>0</v>
      </c>
      <c r="Y90" s="20" t="n">
        <f aca="false">IF(L90&gt;PR_BalDone,MIN(F_MortPayM,L90+L90*(F_MR/12)),0)</f>
        <v>0</v>
      </c>
      <c r="Z90" s="20" t="n">
        <f aca="false">IF(M90&gt;PR_BalDone,MIN(F_MortPayM,M90+M90*(F_MR/12)),0)</f>
        <v>0</v>
      </c>
      <c r="AA90" s="20" t="n">
        <f aca="false">IF(N90&gt;PR_BalDone,MIN(F_MortPayM,N90+N90*(F_MR/12)),0)</f>
        <v>0</v>
      </c>
      <c r="AB90" s="20" t="n">
        <f aca="false">MAX(0,O90)</f>
        <v>0</v>
      </c>
      <c r="AC90" s="20" t="n">
        <f aca="false">SUM(P90:AA90)</f>
        <v>0</v>
      </c>
      <c r="AD90" s="20" t="n">
        <f aca="false">'Plan cashflow'!M90</f>
        <v>0</v>
      </c>
      <c r="AE90" s="20" t="n">
        <f aca="false">IF(AD90&gt;PR_BalDone,AD90+AD90*(D_iC)-MIN(F_CardPayM,AD90+AD90*(D_iC)),AD90)</f>
        <v>0</v>
      </c>
      <c r="AF90" s="20" t="n">
        <f aca="false">IF(AE90&gt;PR_BalDone,AE90+AE90*(D_iC)-MIN(F_CardPayM,AE90+AE90*(D_iC)),AE90)</f>
        <v>0</v>
      </c>
      <c r="AG90" s="20" t="n">
        <f aca="false">IF(AF90&gt;PR_BalDone,AF90+AF90*(D_iC)-MIN(F_CardPayM,AF90+AF90*(D_iC)),AF90)</f>
        <v>0</v>
      </c>
      <c r="AH90" s="20" t="n">
        <f aca="false">IF(AG90&gt;PR_BalDone,AG90+AG90*(D_iC)-MIN(F_CardPayM,AG90+AG90*(D_iC)),AG90)</f>
        <v>0</v>
      </c>
      <c r="AI90" s="20" t="n">
        <f aca="false">IF(AH90&gt;PR_BalDone,AH90+AH90*(D_iC)-MIN(F_CardPayM,AH90+AH90*(D_iC)),AH90)</f>
        <v>0</v>
      </c>
      <c r="AJ90" s="20" t="n">
        <f aca="false">IF(AI90&gt;PR_BalDone,AI90+AI90*(D_iC)-MIN(F_CardPayM,AI90+AI90*(D_iC)),AI90)</f>
        <v>0</v>
      </c>
      <c r="AK90" s="20" t="n">
        <f aca="false">IF(AJ90&gt;PR_BalDone,AJ90+AJ90*(D_iC)-MIN(F_CardPayM,AJ90+AJ90*(D_iC)),AJ90)</f>
        <v>0</v>
      </c>
      <c r="AL90" s="20" t="n">
        <f aca="false">IF(AK90&gt;PR_BalDone,AK90+AK90*(D_iC)-MIN(F_CardPayM,AK90+AK90*(D_iC)),AK90)</f>
        <v>0</v>
      </c>
      <c r="AM90" s="20" t="n">
        <f aca="false">IF(AL90&gt;PR_BalDone,AL90+AL90*(D_iC)-MIN(F_CardPayM,AL90+AL90*(D_iC)),AL90)</f>
        <v>0</v>
      </c>
      <c r="AN90" s="20" t="n">
        <f aca="false">IF(AM90&gt;PR_BalDone,AM90+AM90*(D_iC)-MIN(F_CardPayM,AM90+AM90*(D_iC)),AM90)</f>
        <v>0</v>
      </c>
      <c r="AO90" s="20" t="n">
        <f aca="false">IF(AN90&gt;PR_BalDone,AN90+AN90*(D_iC)-MIN(F_CardPayM,AN90+AN90*(D_iC)),AN90)</f>
        <v>0</v>
      </c>
      <c r="AP90" s="20" t="n">
        <f aca="false">IF(AO90&gt;PR_BalDone,AO90+AO90*(D_iC)-MIN(F_CardPayM,AO90+AO90*(D_iC)),AO90)</f>
        <v>0</v>
      </c>
      <c r="AQ90" s="20" t="n">
        <f aca="false">IF(AD90&gt;PR_BalDone,MIN(F_CardPayM,AD90+AD90*(D_iC)),0)</f>
        <v>0</v>
      </c>
      <c r="AR90" s="20" t="n">
        <f aca="false">IF(AE90&gt;PR_BalDone,MIN(F_CardPayM,AE90+AE90*(D_iC)),0)</f>
        <v>0</v>
      </c>
      <c r="AS90" s="20" t="n">
        <f aca="false">IF(AF90&gt;PR_BalDone,MIN(F_CardPayM,AF90+AF90*(D_iC)),0)</f>
        <v>0</v>
      </c>
      <c r="AT90" s="20" t="n">
        <f aca="false">IF(AG90&gt;PR_BalDone,MIN(F_CardPayM,AG90+AG90*(D_iC)),0)</f>
        <v>0</v>
      </c>
      <c r="AU90" s="20" t="n">
        <f aca="false">IF(AH90&gt;PR_BalDone,MIN(F_CardPayM,AH90+AH90*(D_iC)),0)</f>
        <v>0</v>
      </c>
      <c r="AV90" s="20" t="n">
        <f aca="false">IF(AI90&gt;PR_BalDone,MIN(F_CardPayM,AI90+AI90*(D_iC)),0)</f>
        <v>0</v>
      </c>
      <c r="AW90" s="20" t="n">
        <f aca="false">IF(AJ90&gt;PR_BalDone,MIN(F_CardPayM,AJ90+AJ90*(D_iC)),0)</f>
        <v>0</v>
      </c>
      <c r="AX90" s="20" t="n">
        <f aca="false">IF(AK90&gt;PR_BalDone,MIN(F_CardPayM,AK90+AK90*(D_iC)),0)</f>
        <v>0</v>
      </c>
      <c r="AY90" s="20" t="n">
        <f aca="false">IF(AL90&gt;PR_BalDone,MIN(F_CardPayM,AL90+AL90*(D_iC)),0)</f>
        <v>0</v>
      </c>
      <c r="AZ90" s="20" t="n">
        <f aca="false">IF(AM90&gt;PR_BalDone,MIN(F_CardPayM,AM90+AM90*(D_iC)),0)</f>
        <v>0</v>
      </c>
      <c r="BA90" s="20" t="n">
        <f aca="false">IF(AN90&gt;PR_BalDone,MIN(F_CardPayM,AN90+AN90*(D_iC)),0)</f>
        <v>0</v>
      </c>
      <c r="BB90" s="20" t="n">
        <f aca="false">IF(AO90&gt;PR_BalDone,MIN(F_CardPayM,AO90+AO90*(D_iC)),0)</f>
        <v>0</v>
      </c>
      <c r="BC90" s="20" t="n">
        <f aca="false">MAX(0,AP90)</f>
        <v>0</v>
      </c>
      <c r="BD90" s="20" t="n">
        <f aca="false">SUM(AQ90:BB90)</f>
        <v>0</v>
      </c>
      <c r="BE90" s="20" t="n">
        <f aca="false">'Plan cashflow'!P90</f>
        <v>0</v>
      </c>
      <c r="BF90" s="20" t="n">
        <f aca="false">IF(BE90&gt;PR_BalDone,BE90+BE90*(D_iL)-MIN(F_LoanPayM,BE90+BE90*(D_iL)),BE90)</f>
        <v>0</v>
      </c>
      <c r="BG90" s="20" t="n">
        <f aca="false">IF(BF90&gt;PR_BalDone,BF90+BF90*(D_iL)-MIN(F_LoanPayM,BF90+BF90*(D_iL)),BF90)</f>
        <v>0</v>
      </c>
      <c r="BH90" s="20" t="n">
        <f aca="false">IF(BG90&gt;PR_BalDone,BG90+BG90*(D_iL)-MIN(F_LoanPayM,BG90+BG90*(D_iL)),BG90)</f>
        <v>0</v>
      </c>
      <c r="BI90" s="20" t="n">
        <f aca="false">IF(BH90&gt;PR_BalDone,BH90+BH90*(D_iL)-MIN(F_LoanPayM,BH90+BH90*(D_iL)),BH90)</f>
        <v>0</v>
      </c>
      <c r="BJ90" s="20" t="n">
        <f aca="false">IF(BI90&gt;PR_BalDone,BI90+BI90*(D_iL)-MIN(F_LoanPayM,BI90+BI90*(D_iL)),BI90)</f>
        <v>0</v>
      </c>
      <c r="BK90" s="20" t="n">
        <f aca="false">IF(BJ90&gt;PR_BalDone,BJ90+BJ90*(D_iL)-MIN(F_LoanPayM,BJ90+BJ90*(D_iL)),BJ90)</f>
        <v>0</v>
      </c>
      <c r="BL90" s="20" t="n">
        <f aca="false">IF(BK90&gt;PR_BalDone,BK90+BK90*(D_iL)-MIN(F_LoanPayM,BK90+BK90*(D_iL)),BK90)</f>
        <v>0</v>
      </c>
      <c r="BM90" s="20" t="n">
        <f aca="false">IF(BL90&gt;PR_BalDone,BL90+BL90*(D_iL)-MIN(F_LoanPayM,BL90+BL90*(D_iL)),BL90)</f>
        <v>0</v>
      </c>
      <c r="BN90" s="20" t="n">
        <f aca="false">IF(BM90&gt;PR_BalDone,BM90+BM90*(D_iL)-MIN(F_LoanPayM,BM90+BM90*(D_iL)),BM90)</f>
        <v>0</v>
      </c>
      <c r="BO90" s="20" t="n">
        <f aca="false">IF(BN90&gt;PR_BalDone,BN90+BN90*(D_iL)-MIN(F_LoanPayM,BN90+BN90*(D_iL)),BN90)</f>
        <v>0</v>
      </c>
      <c r="BP90" s="20" t="n">
        <f aca="false">IF(BO90&gt;PR_BalDone,BO90+BO90*(D_iL)-MIN(F_LoanPayM,BO90+BO90*(D_iL)),BO90)</f>
        <v>0</v>
      </c>
      <c r="BQ90" s="20" t="n">
        <f aca="false">IF(BP90&gt;PR_BalDone,BP90+BP90*(D_iL)-MIN(F_LoanPayM,BP90+BP90*(D_iL)),BP90)</f>
        <v>0</v>
      </c>
      <c r="BR90" s="20" t="n">
        <f aca="false">IF(BE90&gt;PR_BalDone,MIN(F_LoanPayM,BE90+BE90*(D_iL)),0)</f>
        <v>0</v>
      </c>
      <c r="BS90" s="20" t="n">
        <f aca="false">IF(BF90&gt;PR_BalDone,MIN(F_LoanPayM,BF90+BF90*(D_iL)),0)</f>
        <v>0</v>
      </c>
      <c r="BT90" s="20" t="n">
        <f aca="false">IF(BG90&gt;PR_BalDone,MIN(F_LoanPayM,BG90+BG90*(D_iL)),0)</f>
        <v>0</v>
      </c>
      <c r="BU90" s="20" t="n">
        <f aca="false">IF(BH90&gt;PR_BalDone,MIN(F_LoanPayM,BH90+BH90*(D_iL)),0)</f>
        <v>0</v>
      </c>
      <c r="BV90" s="20" t="n">
        <f aca="false">IF(BI90&gt;PR_BalDone,MIN(F_LoanPayM,BI90+BI90*(D_iL)),0)</f>
        <v>0</v>
      </c>
      <c r="BW90" s="20" t="n">
        <f aca="false">IF(BJ90&gt;PR_BalDone,MIN(F_LoanPayM,BJ90+BJ90*(D_iL)),0)</f>
        <v>0</v>
      </c>
      <c r="BX90" s="20" t="n">
        <f aca="false">IF(BK90&gt;PR_BalDone,MIN(F_LoanPayM,BK90+BK90*(D_iL)),0)</f>
        <v>0</v>
      </c>
      <c r="BY90" s="20" t="n">
        <f aca="false">IF(BL90&gt;PR_BalDone,MIN(F_LoanPayM,BL90+BL90*(D_iL)),0)</f>
        <v>0</v>
      </c>
      <c r="BZ90" s="20" t="n">
        <f aca="false">IF(BM90&gt;PR_BalDone,MIN(F_LoanPayM,BM90+BM90*(D_iL)),0)</f>
        <v>0</v>
      </c>
      <c r="CA90" s="20" t="n">
        <f aca="false">IF(BN90&gt;PR_BalDone,MIN(F_LoanPayM,BN90+BN90*(D_iL)),0)</f>
        <v>0</v>
      </c>
      <c r="CB90" s="20" t="n">
        <f aca="false">IF(BO90&gt;PR_BalDone,MIN(F_LoanPayM,BO90+BO90*(D_iL)),0)</f>
        <v>0</v>
      </c>
      <c r="CC90" s="20" t="n">
        <f aca="false">IF(BP90&gt;PR_BalDone,MIN(F_LoanPayM,BP90+BP90*(D_iL)),0)</f>
        <v>0</v>
      </c>
      <c r="CD90" s="20" t="n">
        <f aca="false">MAX(0,BQ90)</f>
        <v>0</v>
      </c>
      <c r="CE90" s="20" t="n">
        <f aca="false">SUM(BR90:CC90)</f>
        <v>0</v>
      </c>
      <c r="CF90" s="20" t="n">
        <f aca="false">IF(CF89&gt;1,DE89,CF89)</f>
        <v>0</v>
      </c>
      <c r="CG90" s="20" t="n">
        <f aca="false">IF(CF90&gt;PR_BalDone,CF90+CF90*(F_MR/12)-MIN(F_MortPayM,CF90+CF90*(F_MR/12)),CF90)</f>
        <v>0</v>
      </c>
      <c r="CH90" s="20" t="n">
        <f aca="false">IF(CG90&gt;PR_BalDone,CG90+CG90*(F_MR/12)-MIN(F_MortPayM,CG90+CG90*(F_MR/12)),CG90)</f>
        <v>0</v>
      </c>
      <c r="CI90" s="20" t="n">
        <f aca="false">IF(CH90&gt;PR_BalDone,CH90+CH90*(F_MR/12)-MIN(F_MortPayM,CH90+CH90*(F_MR/12)),CH90)</f>
        <v>0</v>
      </c>
      <c r="CJ90" s="20" t="n">
        <f aca="false">IF(CI90&gt;PR_BalDone,CI90+CI90*(F_MR/12)-MIN(F_MortPayM,CI90+CI90*(F_MR/12)),CI90)</f>
        <v>0</v>
      </c>
      <c r="CK90" s="20" t="n">
        <f aca="false">IF(CJ90&gt;PR_BalDone,CJ90+CJ90*(F_MR/12)-MIN(F_MortPayM,CJ90+CJ90*(F_MR/12)),CJ90)</f>
        <v>0</v>
      </c>
      <c r="CL90" s="20" t="n">
        <f aca="false">IF(CK90&gt;PR_BalDone,CK90+CK90*(F_MR/12)-MIN(F_MortPayM,CK90+CK90*(F_MR/12)),CK90)</f>
        <v>0</v>
      </c>
      <c r="CM90" s="20" t="n">
        <f aca="false">IF(CL90&gt;PR_BalDone,CL90+CL90*(F_MR/12)-MIN(F_MortPayM,CL90+CL90*(F_MR/12)),CL90)</f>
        <v>0</v>
      </c>
      <c r="CN90" s="20" t="n">
        <f aca="false">IF(CM90&gt;PR_BalDone,CM90+CM90*(F_MR/12)-MIN(F_MortPayM,CM90+CM90*(F_MR/12)),CM90)</f>
        <v>0</v>
      </c>
      <c r="CO90" s="20" t="n">
        <f aca="false">IF(CN90&gt;PR_BalDone,CN90+CN90*(F_MR/12)-MIN(F_MortPayM,CN90+CN90*(F_MR/12)),CN90)</f>
        <v>0</v>
      </c>
      <c r="CP90" s="20" t="n">
        <f aca="false">IF(CO90&gt;PR_BalDone,CO90+CO90*(F_MR/12)-MIN(F_MortPayM,CO90+CO90*(F_MR/12)),CO90)</f>
        <v>0</v>
      </c>
      <c r="CQ90" s="20" t="n">
        <f aca="false">IF(CP90&gt;PR_BalDone,CP90+CP90*(F_MR/12)-MIN(F_MortPayM,CP90+CP90*(F_MR/12)),CP90)</f>
        <v>0</v>
      </c>
      <c r="CR90" s="20" t="n">
        <f aca="false">IF(CQ90&gt;PR_BalDone,CQ90+CQ90*(F_MR/12)-MIN(F_MortPayM,CQ90+CQ90*(F_MR/12)),CQ90)</f>
        <v>0</v>
      </c>
      <c r="CS90" s="20" t="n">
        <f aca="false">IF(CF90&gt;PR_BalDone,MIN(F_MortPayM,CF90+CF90*(F_MR/12)),0)</f>
        <v>0</v>
      </c>
      <c r="CT90" s="20" t="n">
        <f aca="false">IF(CG90&gt;PR_BalDone,MIN(F_MortPayM,CG90+CG90*(F_MR/12)),0)</f>
        <v>0</v>
      </c>
      <c r="CU90" s="20" t="n">
        <f aca="false">IF(CH90&gt;PR_BalDone,MIN(F_MortPayM,CH90+CH90*(F_MR/12)),0)</f>
        <v>0</v>
      </c>
      <c r="CV90" s="20" t="n">
        <f aca="false">IF(CI90&gt;PR_BalDone,MIN(F_MortPayM,CI90+CI90*(F_MR/12)),0)</f>
        <v>0</v>
      </c>
      <c r="CW90" s="20" t="n">
        <f aca="false">IF(CJ90&gt;PR_BalDone,MIN(F_MortPayM,CJ90+CJ90*(F_MR/12)),0)</f>
        <v>0</v>
      </c>
      <c r="CX90" s="20" t="n">
        <f aca="false">IF(CK90&gt;PR_BalDone,MIN(F_MortPayM,CK90+CK90*(F_MR/12)),0)</f>
        <v>0</v>
      </c>
      <c r="CY90" s="20" t="n">
        <f aca="false">IF(CL90&gt;PR_BalDone,MIN(F_MortPayM,CL90+CL90*(F_MR/12)),0)</f>
        <v>0</v>
      </c>
      <c r="CZ90" s="20" t="n">
        <f aca="false">IF(CM90&gt;PR_BalDone,MIN(F_MortPayM,CM90+CM90*(F_MR/12)),0)</f>
        <v>0</v>
      </c>
      <c r="DA90" s="20" t="n">
        <f aca="false">IF(CN90&gt;PR_BalDone,MIN(F_MortPayM,CN90+CN90*(F_MR/12)),0)</f>
        <v>0</v>
      </c>
      <c r="DB90" s="20" t="n">
        <f aca="false">IF(CO90&gt;PR_BalDone,MIN(F_MortPayM,CO90+CO90*(F_MR/12)),0)</f>
        <v>0</v>
      </c>
      <c r="DC90" s="20" t="n">
        <f aca="false">IF(CP90&gt;PR_BalDone,MIN(F_MortPayM,CP90+CP90*(F_MR/12)),0)</f>
        <v>0</v>
      </c>
      <c r="DD90" s="20" t="n">
        <f aca="false">IF(CQ90&gt;PR_BalDone,MIN(F_MortPayM,CQ90+CQ90*(F_MR/12)),0)</f>
        <v>0</v>
      </c>
      <c r="DE90" s="20" t="n">
        <f aca="false">MAX(0,CR90)</f>
        <v>0</v>
      </c>
      <c r="DF90" s="20" t="n">
        <f aca="false">SUM(CS90:DD90)</f>
        <v>0</v>
      </c>
      <c r="DG90" s="20" t="n">
        <f aca="false">MAX(0,CF90)</f>
        <v>0</v>
      </c>
    </row>
    <row r="91" customFormat="false" ht="15" hidden="false" customHeight="true" outlineLevel="0" collapsed="false">
      <c r="B91" s="20" t="n">
        <v>83</v>
      </c>
      <c r="C91" s="20" t="n">
        <f aca="false">'Plan cashflow'!J91</f>
        <v>0</v>
      </c>
      <c r="D91" s="20" t="n">
        <f aca="false">IF(C91&gt;PR_BalDone,C91+C91*(F_MR/12)-MIN(F_MortPayM,C91+C91*(F_MR/12)),C91)</f>
        <v>0</v>
      </c>
      <c r="E91" s="20" t="n">
        <f aca="false">IF(D91&gt;PR_BalDone,D91+D91*(F_MR/12)-MIN(F_MortPayM,D91+D91*(F_MR/12)),D91)</f>
        <v>0</v>
      </c>
      <c r="F91" s="20" t="n">
        <f aca="false">IF(E91&gt;PR_BalDone,E91+E91*(F_MR/12)-MIN(F_MortPayM,E91+E91*(F_MR/12)),E91)</f>
        <v>0</v>
      </c>
      <c r="G91" s="20" t="n">
        <f aca="false">IF(F91&gt;PR_BalDone,F91+F91*(F_MR/12)-MIN(F_MortPayM,F91+F91*(F_MR/12)),F91)</f>
        <v>0</v>
      </c>
      <c r="H91" s="20" t="n">
        <f aca="false">IF(G91&gt;PR_BalDone,G91+G91*(F_MR/12)-MIN(F_MortPayM,G91+G91*(F_MR/12)),G91)</f>
        <v>0</v>
      </c>
      <c r="I91" s="20" t="n">
        <f aca="false">IF(H91&gt;PR_BalDone,H91+H91*(F_MR/12)-MIN(F_MortPayM,H91+H91*(F_MR/12)),H91)</f>
        <v>0</v>
      </c>
      <c r="J91" s="20" t="n">
        <f aca="false">IF(I91&gt;PR_BalDone,I91+I91*(F_MR/12)-MIN(F_MortPayM,I91+I91*(F_MR/12)),I91)</f>
        <v>0</v>
      </c>
      <c r="K91" s="20" t="n">
        <f aca="false">IF(J91&gt;PR_BalDone,J91+J91*(F_MR/12)-MIN(F_MortPayM,J91+J91*(F_MR/12)),J91)</f>
        <v>0</v>
      </c>
      <c r="L91" s="20" t="n">
        <f aca="false">IF(K91&gt;PR_BalDone,K91+K91*(F_MR/12)-MIN(F_MortPayM,K91+K91*(F_MR/12)),K91)</f>
        <v>0</v>
      </c>
      <c r="M91" s="20" t="n">
        <f aca="false">IF(L91&gt;PR_BalDone,L91+L91*(F_MR/12)-MIN(F_MortPayM,L91+L91*(F_MR/12)),L91)</f>
        <v>0</v>
      </c>
      <c r="N91" s="20" t="n">
        <f aca="false">IF(M91&gt;PR_BalDone,M91+M91*(F_MR/12)-MIN(F_MortPayM,M91+M91*(F_MR/12)),M91)</f>
        <v>0</v>
      </c>
      <c r="O91" s="20" t="n">
        <f aca="false">IF(N91&gt;PR_BalDone,N91+N91*(F_MR/12)-MIN(F_MortPayM,N91+N91*(F_MR/12)),N91)</f>
        <v>0</v>
      </c>
      <c r="P91" s="20" t="n">
        <f aca="false">IF(C91&gt;PR_BalDone,MIN(F_MortPayM,C91+C91*(F_MR/12)),0)</f>
        <v>0</v>
      </c>
      <c r="Q91" s="20" t="n">
        <f aca="false">IF(D91&gt;PR_BalDone,MIN(F_MortPayM,D91+D91*(F_MR/12)),0)</f>
        <v>0</v>
      </c>
      <c r="R91" s="20" t="n">
        <f aca="false">IF(E91&gt;PR_BalDone,MIN(F_MortPayM,E91+E91*(F_MR/12)),0)</f>
        <v>0</v>
      </c>
      <c r="S91" s="20" t="n">
        <f aca="false">IF(F91&gt;PR_BalDone,MIN(F_MortPayM,F91+F91*(F_MR/12)),0)</f>
        <v>0</v>
      </c>
      <c r="T91" s="20" t="n">
        <f aca="false">IF(G91&gt;PR_BalDone,MIN(F_MortPayM,G91+G91*(F_MR/12)),0)</f>
        <v>0</v>
      </c>
      <c r="U91" s="20" t="n">
        <f aca="false">IF(H91&gt;PR_BalDone,MIN(F_MortPayM,H91+H91*(F_MR/12)),0)</f>
        <v>0</v>
      </c>
      <c r="V91" s="20" t="n">
        <f aca="false">IF(I91&gt;PR_BalDone,MIN(F_MortPayM,I91+I91*(F_MR/12)),0)</f>
        <v>0</v>
      </c>
      <c r="W91" s="20" t="n">
        <f aca="false">IF(J91&gt;PR_BalDone,MIN(F_MortPayM,J91+J91*(F_MR/12)),0)</f>
        <v>0</v>
      </c>
      <c r="X91" s="20" t="n">
        <f aca="false">IF(K91&gt;PR_BalDone,MIN(F_MortPayM,K91+K91*(F_MR/12)),0)</f>
        <v>0</v>
      </c>
      <c r="Y91" s="20" t="n">
        <f aca="false">IF(L91&gt;PR_BalDone,MIN(F_MortPayM,L91+L91*(F_MR/12)),0)</f>
        <v>0</v>
      </c>
      <c r="Z91" s="20" t="n">
        <f aca="false">IF(M91&gt;PR_BalDone,MIN(F_MortPayM,M91+M91*(F_MR/12)),0)</f>
        <v>0</v>
      </c>
      <c r="AA91" s="20" t="n">
        <f aca="false">IF(N91&gt;PR_BalDone,MIN(F_MortPayM,N91+N91*(F_MR/12)),0)</f>
        <v>0</v>
      </c>
      <c r="AB91" s="20" t="n">
        <f aca="false">MAX(0,O91)</f>
        <v>0</v>
      </c>
      <c r="AC91" s="20" t="n">
        <f aca="false">SUM(P91:AA91)</f>
        <v>0</v>
      </c>
      <c r="AD91" s="20" t="n">
        <f aca="false">'Plan cashflow'!M91</f>
        <v>0</v>
      </c>
      <c r="AE91" s="20" t="n">
        <f aca="false">IF(AD91&gt;PR_BalDone,AD91+AD91*(D_iC)-MIN(F_CardPayM,AD91+AD91*(D_iC)),AD91)</f>
        <v>0</v>
      </c>
      <c r="AF91" s="20" t="n">
        <f aca="false">IF(AE91&gt;PR_BalDone,AE91+AE91*(D_iC)-MIN(F_CardPayM,AE91+AE91*(D_iC)),AE91)</f>
        <v>0</v>
      </c>
      <c r="AG91" s="20" t="n">
        <f aca="false">IF(AF91&gt;PR_BalDone,AF91+AF91*(D_iC)-MIN(F_CardPayM,AF91+AF91*(D_iC)),AF91)</f>
        <v>0</v>
      </c>
      <c r="AH91" s="20" t="n">
        <f aca="false">IF(AG91&gt;PR_BalDone,AG91+AG91*(D_iC)-MIN(F_CardPayM,AG91+AG91*(D_iC)),AG91)</f>
        <v>0</v>
      </c>
      <c r="AI91" s="20" t="n">
        <f aca="false">IF(AH91&gt;PR_BalDone,AH91+AH91*(D_iC)-MIN(F_CardPayM,AH91+AH91*(D_iC)),AH91)</f>
        <v>0</v>
      </c>
      <c r="AJ91" s="20" t="n">
        <f aca="false">IF(AI91&gt;PR_BalDone,AI91+AI91*(D_iC)-MIN(F_CardPayM,AI91+AI91*(D_iC)),AI91)</f>
        <v>0</v>
      </c>
      <c r="AK91" s="20" t="n">
        <f aca="false">IF(AJ91&gt;PR_BalDone,AJ91+AJ91*(D_iC)-MIN(F_CardPayM,AJ91+AJ91*(D_iC)),AJ91)</f>
        <v>0</v>
      </c>
      <c r="AL91" s="20" t="n">
        <f aca="false">IF(AK91&gt;PR_BalDone,AK91+AK91*(D_iC)-MIN(F_CardPayM,AK91+AK91*(D_iC)),AK91)</f>
        <v>0</v>
      </c>
      <c r="AM91" s="20" t="n">
        <f aca="false">IF(AL91&gt;PR_BalDone,AL91+AL91*(D_iC)-MIN(F_CardPayM,AL91+AL91*(D_iC)),AL91)</f>
        <v>0</v>
      </c>
      <c r="AN91" s="20" t="n">
        <f aca="false">IF(AM91&gt;PR_BalDone,AM91+AM91*(D_iC)-MIN(F_CardPayM,AM91+AM91*(D_iC)),AM91)</f>
        <v>0</v>
      </c>
      <c r="AO91" s="20" t="n">
        <f aca="false">IF(AN91&gt;PR_BalDone,AN91+AN91*(D_iC)-MIN(F_CardPayM,AN91+AN91*(D_iC)),AN91)</f>
        <v>0</v>
      </c>
      <c r="AP91" s="20" t="n">
        <f aca="false">IF(AO91&gt;PR_BalDone,AO91+AO91*(D_iC)-MIN(F_CardPayM,AO91+AO91*(D_iC)),AO91)</f>
        <v>0</v>
      </c>
      <c r="AQ91" s="20" t="n">
        <f aca="false">IF(AD91&gt;PR_BalDone,MIN(F_CardPayM,AD91+AD91*(D_iC)),0)</f>
        <v>0</v>
      </c>
      <c r="AR91" s="20" t="n">
        <f aca="false">IF(AE91&gt;PR_BalDone,MIN(F_CardPayM,AE91+AE91*(D_iC)),0)</f>
        <v>0</v>
      </c>
      <c r="AS91" s="20" t="n">
        <f aca="false">IF(AF91&gt;PR_BalDone,MIN(F_CardPayM,AF91+AF91*(D_iC)),0)</f>
        <v>0</v>
      </c>
      <c r="AT91" s="20" t="n">
        <f aca="false">IF(AG91&gt;PR_BalDone,MIN(F_CardPayM,AG91+AG91*(D_iC)),0)</f>
        <v>0</v>
      </c>
      <c r="AU91" s="20" t="n">
        <f aca="false">IF(AH91&gt;PR_BalDone,MIN(F_CardPayM,AH91+AH91*(D_iC)),0)</f>
        <v>0</v>
      </c>
      <c r="AV91" s="20" t="n">
        <f aca="false">IF(AI91&gt;PR_BalDone,MIN(F_CardPayM,AI91+AI91*(D_iC)),0)</f>
        <v>0</v>
      </c>
      <c r="AW91" s="20" t="n">
        <f aca="false">IF(AJ91&gt;PR_BalDone,MIN(F_CardPayM,AJ91+AJ91*(D_iC)),0)</f>
        <v>0</v>
      </c>
      <c r="AX91" s="20" t="n">
        <f aca="false">IF(AK91&gt;PR_BalDone,MIN(F_CardPayM,AK91+AK91*(D_iC)),0)</f>
        <v>0</v>
      </c>
      <c r="AY91" s="20" t="n">
        <f aca="false">IF(AL91&gt;PR_BalDone,MIN(F_CardPayM,AL91+AL91*(D_iC)),0)</f>
        <v>0</v>
      </c>
      <c r="AZ91" s="20" t="n">
        <f aca="false">IF(AM91&gt;PR_BalDone,MIN(F_CardPayM,AM91+AM91*(D_iC)),0)</f>
        <v>0</v>
      </c>
      <c r="BA91" s="20" t="n">
        <f aca="false">IF(AN91&gt;PR_BalDone,MIN(F_CardPayM,AN91+AN91*(D_iC)),0)</f>
        <v>0</v>
      </c>
      <c r="BB91" s="20" t="n">
        <f aca="false">IF(AO91&gt;PR_BalDone,MIN(F_CardPayM,AO91+AO91*(D_iC)),0)</f>
        <v>0</v>
      </c>
      <c r="BC91" s="20" t="n">
        <f aca="false">MAX(0,AP91)</f>
        <v>0</v>
      </c>
      <c r="BD91" s="20" t="n">
        <f aca="false">SUM(AQ91:BB91)</f>
        <v>0</v>
      </c>
      <c r="BE91" s="20" t="n">
        <f aca="false">'Plan cashflow'!P91</f>
        <v>0</v>
      </c>
      <c r="BF91" s="20" t="n">
        <f aca="false">IF(BE91&gt;PR_BalDone,BE91+BE91*(D_iL)-MIN(F_LoanPayM,BE91+BE91*(D_iL)),BE91)</f>
        <v>0</v>
      </c>
      <c r="BG91" s="20" t="n">
        <f aca="false">IF(BF91&gt;PR_BalDone,BF91+BF91*(D_iL)-MIN(F_LoanPayM,BF91+BF91*(D_iL)),BF91)</f>
        <v>0</v>
      </c>
      <c r="BH91" s="20" t="n">
        <f aca="false">IF(BG91&gt;PR_BalDone,BG91+BG91*(D_iL)-MIN(F_LoanPayM,BG91+BG91*(D_iL)),BG91)</f>
        <v>0</v>
      </c>
      <c r="BI91" s="20" t="n">
        <f aca="false">IF(BH91&gt;PR_BalDone,BH91+BH91*(D_iL)-MIN(F_LoanPayM,BH91+BH91*(D_iL)),BH91)</f>
        <v>0</v>
      </c>
      <c r="BJ91" s="20" t="n">
        <f aca="false">IF(BI91&gt;PR_BalDone,BI91+BI91*(D_iL)-MIN(F_LoanPayM,BI91+BI91*(D_iL)),BI91)</f>
        <v>0</v>
      </c>
      <c r="BK91" s="20" t="n">
        <f aca="false">IF(BJ91&gt;PR_BalDone,BJ91+BJ91*(D_iL)-MIN(F_LoanPayM,BJ91+BJ91*(D_iL)),BJ91)</f>
        <v>0</v>
      </c>
      <c r="BL91" s="20" t="n">
        <f aca="false">IF(BK91&gt;PR_BalDone,BK91+BK91*(D_iL)-MIN(F_LoanPayM,BK91+BK91*(D_iL)),BK91)</f>
        <v>0</v>
      </c>
      <c r="BM91" s="20" t="n">
        <f aca="false">IF(BL91&gt;PR_BalDone,BL91+BL91*(D_iL)-MIN(F_LoanPayM,BL91+BL91*(D_iL)),BL91)</f>
        <v>0</v>
      </c>
      <c r="BN91" s="20" t="n">
        <f aca="false">IF(BM91&gt;PR_BalDone,BM91+BM91*(D_iL)-MIN(F_LoanPayM,BM91+BM91*(D_iL)),BM91)</f>
        <v>0</v>
      </c>
      <c r="BO91" s="20" t="n">
        <f aca="false">IF(BN91&gt;PR_BalDone,BN91+BN91*(D_iL)-MIN(F_LoanPayM,BN91+BN91*(D_iL)),BN91)</f>
        <v>0</v>
      </c>
      <c r="BP91" s="20" t="n">
        <f aca="false">IF(BO91&gt;PR_BalDone,BO91+BO91*(D_iL)-MIN(F_LoanPayM,BO91+BO91*(D_iL)),BO91)</f>
        <v>0</v>
      </c>
      <c r="BQ91" s="20" t="n">
        <f aca="false">IF(BP91&gt;PR_BalDone,BP91+BP91*(D_iL)-MIN(F_LoanPayM,BP91+BP91*(D_iL)),BP91)</f>
        <v>0</v>
      </c>
      <c r="BR91" s="20" t="n">
        <f aca="false">IF(BE91&gt;PR_BalDone,MIN(F_LoanPayM,BE91+BE91*(D_iL)),0)</f>
        <v>0</v>
      </c>
      <c r="BS91" s="20" t="n">
        <f aca="false">IF(BF91&gt;PR_BalDone,MIN(F_LoanPayM,BF91+BF91*(D_iL)),0)</f>
        <v>0</v>
      </c>
      <c r="BT91" s="20" t="n">
        <f aca="false">IF(BG91&gt;PR_BalDone,MIN(F_LoanPayM,BG91+BG91*(D_iL)),0)</f>
        <v>0</v>
      </c>
      <c r="BU91" s="20" t="n">
        <f aca="false">IF(BH91&gt;PR_BalDone,MIN(F_LoanPayM,BH91+BH91*(D_iL)),0)</f>
        <v>0</v>
      </c>
      <c r="BV91" s="20" t="n">
        <f aca="false">IF(BI91&gt;PR_BalDone,MIN(F_LoanPayM,BI91+BI91*(D_iL)),0)</f>
        <v>0</v>
      </c>
      <c r="BW91" s="20" t="n">
        <f aca="false">IF(BJ91&gt;PR_BalDone,MIN(F_LoanPayM,BJ91+BJ91*(D_iL)),0)</f>
        <v>0</v>
      </c>
      <c r="BX91" s="20" t="n">
        <f aca="false">IF(BK91&gt;PR_BalDone,MIN(F_LoanPayM,BK91+BK91*(D_iL)),0)</f>
        <v>0</v>
      </c>
      <c r="BY91" s="20" t="n">
        <f aca="false">IF(BL91&gt;PR_BalDone,MIN(F_LoanPayM,BL91+BL91*(D_iL)),0)</f>
        <v>0</v>
      </c>
      <c r="BZ91" s="20" t="n">
        <f aca="false">IF(BM91&gt;PR_BalDone,MIN(F_LoanPayM,BM91+BM91*(D_iL)),0)</f>
        <v>0</v>
      </c>
      <c r="CA91" s="20" t="n">
        <f aca="false">IF(BN91&gt;PR_BalDone,MIN(F_LoanPayM,BN91+BN91*(D_iL)),0)</f>
        <v>0</v>
      </c>
      <c r="CB91" s="20" t="n">
        <f aca="false">IF(BO91&gt;PR_BalDone,MIN(F_LoanPayM,BO91+BO91*(D_iL)),0)</f>
        <v>0</v>
      </c>
      <c r="CC91" s="20" t="n">
        <f aca="false">IF(BP91&gt;PR_BalDone,MIN(F_LoanPayM,BP91+BP91*(D_iL)),0)</f>
        <v>0</v>
      </c>
      <c r="CD91" s="20" t="n">
        <f aca="false">MAX(0,BQ91)</f>
        <v>0</v>
      </c>
      <c r="CE91" s="20" t="n">
        <f aca="false">SUM(BR91:CC91)</f>
        <v>0</v>
      </c>
      <c r="CF91" s="20" t="n">
        <f aca="false">IF(CF90&gt;1,DE90,CF90)</f>
        <v>0</v>
      </c>
      <c r="CG91" s="20" t="n">
        <f aca="false">IF(CF91&gt;PR_BalDone,CF91+CF91*(F_MR/12)-MIN(F_MortPayM,CF91+CF91*(F_MR/12)),CF91)</f>
        <v>0</v>
      </c>
      <c r="CH91" s="20" t="n">
        <f aca="false">IF(CG91&gt;PR_BalDone,CG91+CG91*(F_MR/12)-MIN(F_MortPayM,CG91+CG91*(F_MR/12)),CG91)</f>
        <v>0</v>
      </c>
      <c r="CI91" s="20" t="n">
        <f aca="false">IF(CH91&gt;PR_BalDone,CH91+CH91*(F_MR/12)-MIN(F_MortPayM,CH91+CH91*(F_MR/12)),CH91)</f>
        <v>0</v>
      </c>
      <c r="CJ91" s="20" t="n">
        <f aca="false">IF(CI91&gt;PR_BalDone,CI91+CI91*(F_MR/12)-MIN(F_MortPayM,CI91+CI91*(F_MR/12)),CI91)</f>
        <v>0</v>
      </c>
      <c r="CK91" s="20" t="n">
        <f aca="false">IF(CJ91&gt;PR_BalDone,CJ91+CJ91*(F_MR/12)-MIN(F_MortPayM,CJ91+CJ91*(F_MR/12)),CJ91)</f>
        <v>0</v>
      </c>
      <c r="CL91" s="20" t="n">
        <f aca="false">IF(CK91&gt;PR_BalDone,CK91+CK91*(F_MR/12)-MIN(F_MortPayM,CK91+CK91*(F_MR/12)),CK91)</f>
        <v>0</v>
      </c>
      <c r="CM91" s="20" t="n">
        <f aca="false">IF(CL91&gt;PR_BalDone,CL91+CL91*(F_MR/12)-MIN(F_MortPayM,CL91+CL91*(F_MR/12)),CL91)</f>
        <v>0</v>
      </c>
      <c r="CN91" s="20" t="n">
        <f aca="false">IF(CM91&gt;PR_BalDone,CM91+CM91*(F_MR/12)-MIN(F_MortPayM,CM91+CM91*(F_MR/12)),CM91)</f>
        <v>0</v>
      </c>
      <c r="CO91" s="20" t="n">
        <f aca="false">IF(CN91&gt;PR_BalDone,CN91+CN91*(F_MR/12)-MIN(F_MortPayM,CN91+CN91*(F_MR/12)),CN91)</f>
        <v>0</v>
      </c>
      <c r="CP91" s="20" t="n">
        <f aca="false">IF(CO91&gt;PR_BalDone,CO91+CO91*(F_MR/12)-MIN(F_MortPayM,CO91+CO91*(F_MR/12)),CO91)</f>
        <v>0</v>
      </c>
      <c r="CQ91" s="20" t="n">
        <f aca="false">IF(CP91&gt;PR_BalDone,CP91+CP91*(F_MR/12)-MIN(F_MortPayM,CP91+CP91*(F_MR/12)),CP91)</f>
        <v>0</v>
      </c>
      <c r="CR91" s="20" t="n">
        <f aca="false">IF(CQ91&gt;PR_BalDone,CQ91+CQ91*(F_MR/12)-MIN(F_MortPayM,CQ91+CQ91*(F_MR/12)),CQ91)</f>
        <v>0</v>
      </c>
      <c r="CS91" s="20" t="n">
        <f aca="false">IF(CF91&gt;PR_BalDone,MIN(F_MortPayM,CF91+CF91*(F_MR/12)),0)</f>
        <v>0</v>
      </c>
      <c r="CT91" s="20" t="n">
        <f aca="false">IF(CG91&gt;PR_BalDone,MIN(F_MortPayM,CG91+CG91*(F_MR/12)),0)</f>
        <v>0</v>
      </c>
      <c r="CU91" s="20" t="n">
        <f aca="false">IF(CH91&gt;PR_BalDone,MIN(F_MortPayM,CH91+CH91*(F_MR/12)),0)</f>
        <v>0</v>
      </c>
      <c r="CV91" s="20" t="n">
        <f aca="false">IF(CI91&gt;PR_BalDone,MIN(F_MortPayM,CI91+CI91*(F_MR/12)),0)</f>
        <v>0</v>
      </c>
      <c r="CW91" s="20" t="n">
        <f aca="false">IF(CJ91&gt;PR_BalDone,MIN(F_MortPayM,CJ91+CJ91*(F_MR/12)),0)</f>
        <v>0</v>
      </c>
      <c r="CX91" s="20" t="n">
        <f aca="false">IF(CK91&gt;PR_BalDone,MIN(F_MortPayM,CK91+CK91*(F_MR/12)),0)</f>
        <v>0</v>
      </c>
      <c r="CY91" s="20" t="n">
        <f aca="false">IF(CL91&gt;PR_BalDone,MIN(F_MortPayM,CL91+CL91*(F_MR/12)),0)</f>
        <v>0</v>
      </c>
      <c r="CZ91" s="20" t="n">
        <f aca="false">IF(CM91&gt;PR_BalDone,MIN(F_MortPayM,CM91+CM91*(F_MR/12)),0)</f>
        <v>0</v>
      </c>
      <c r="DA91" s="20" t="n">
        <f aca="false">IF(CN91&gt;PR_BalDone,MIN(F_MortPayM,CN91+CN91*(F_MR/12)),0)</f>
        <v>0</v>
      </c>
      <c r="DB91" s="20" t="n">
        <f aca="false">IF(CO91&gt;PR_BalDone,MIN(F_MortPayM,CO91+CO91*(F_MR/12)),0)</f>
        <v>0</v>
      </c>
      <c r="DC91" s="20" t="n">
        <f aca="false">IF(CP91&gt;PR_BalDone,MIN(F_MortPayM,CP91+CP91*(F_MR/12)),0)</f>
        <v>0</v>
      </c>
      <c r="DD91" s="20" t="n">
        <f aca="false">IF(CQ91&gt;PR_BalDone,MIN(F_MortPayM,CQ91+CQ91*(F_MR/12)),0)</f>
        <v>0</v>
      </c>
      <c r="DE91" s="20" t="n">
        <f aca="false">MAX(0,CR91)</f>
        <v>0</v>
      </c>
      <c r="DF91" s="20" t="n">
        <f aca="false">SUM(CS91:DD91)</f>
        <v>0</v>
      </c>
      <c r="DG91" s="20" t="n">
        <f aca="false">MAX(0,CF91)</f>
        <v>0</v>
      </c>
    </row>
    <row r="92" customFormat="false" ht="15" hidden="false" customHeight="true" outlineLevel="0" collapsed="false">
      <c r="B92" s="20" t="n">
        <v>84</v>
      </c>
      <c r="C92" s="20" t="n">
        <f aca="false">'Plan cashflow'!J92</f>
        <v>0</v>
      </c>
      <c r="D92" s="20" t="n">
        <f aca="false">IF(C92&gt;PR_BalDone,C92+C92*(F_MR/12)-MIN(F_MortPayM,C92+C92*(F_MR/12)),C92)</f>
        <v>0</v>
      </c>
      <c r="E92" s="20" t="n">
        <f aca="false">IF(D92&gt;PR_BalDone,D92+D92*(F_MR/12)-MIN(F_MortPayM,D92+D92*(F_MR/12)),D92)</f>
        <v>0</v>
      </c>
      <c r="F92" s="20" t="n">
        <f aca="false">IF(E92&gt;PR_BalDone,E92+E92*(F_MR/12)-MIN(F_MortPayM,E92+E92*(F_MR/12)),E92)</f>
        <v>0</v>
      </c>
      <c r="G92" s="20" t="n">
        <f aca="false">IF(F92&gt;PR_BalDone,F92+F92*(F_MR/12)-MIN(F_MortPayM,F92+F92*(F_MR/12)),F92)</f>
        <v>0</v>
      </c>
      <c r="H92" s="20" t="n">
        <f aca="false">IF(G92&gt;PR_BalDone,G92+G92*(F_MR/12)-MIN(F_MortPayM,G92+G92*(F_MR/12)),G92)</f>
        <v>0</v>
      </c>
      <c r="I92" s="20" t="n">
        <f aca="false">IF(H92&gt;PR_BalDone,H92+H92*(F_MR/12)-MIN(F_MortPayM,H92+H92*(F_MR/12)),H92)</f>
        <v>0</v>
      </c>
      <c r="J92" s="20" t="n">
        <f aca="false">IF(I92&gt;PR_BalDone,I92+I92*(F_MR/12)-MIN(F_MortPayM,I92+I92*(F_MR/12)),I92)</f>
        <v>0</v>
      </c>
      <c r="K92" s="20" t="n">
        <f aca="false">IF(J92&gt;PR_BalDone,J92+J92*(F_MR/12)-MIN(F_MortPayM,J92+J92*(F_MR/12)),J92)</f>
        <v>0</v>
      </c>
      <c r="L92" s="20" t="n">
        <f aca="false">IF(K92&gt;PR_BalDone,K92+K92*(F_MR/12)-MIN(F_MortPayM,K92+K92*(F_MR/12)),K92)</f>
        <v>0</v>
      </c>
      <c r="M92" s="20" t="n">
        <f aca="false">IF(L92&gt;PR_BalDone,L92+L92*(F_MR/12)-MIN(F_MortPayM,L92+L92*(F_MR/12)),L92)</f>
        <v>0</v>
      </c>
      <c r="N92" s="20" t="n">
        <f aca="false">IF(M92&gt;PR_BalDone,M92+M92*(F_MR/12)-MIN(F_MortPayM,M92+M92*(F_MR/12)),M92)</f>
        <v>0</v>
      </c>
      <c r="O92" s="20" t="n">
        <f aca="false">IF(N92&gt;PR_BalDone,N92+N92*(F_MR/12)-MIN(F_MortPayM,N92+N92*(F_MR/12)),N92)</f>
        <v>0</v>
      </c>
      <c r="P92" s="20" t="n">
        <f aca="false">IF(C92&gt;PR_BalDone,MIN(F_MortPayM,C92+C92*(F_MR/12)),0)</f>
        <v>0</v>
      </c>
      <c r="Q92" s="20" t="n">
        <f aca="false">IF(D92&gt;PR_BalDone,MIN(F_MortPayM,D92+D92*(F_MR/12)),0)</f>
        <v>0</v>
      </c>
      <c r="R92" s="20" t="n">
        <f aca="false">IF(E92&gt;PR_BalDone,MIN(F_MortPayM,E92+E92*(F_MR/12)),0)</f>
        <v>0</v>
      </c>
      <c r="S92" s="20" t="n">
        <f aca="false">IF(F92&gt;PR_BalDone,MIN(F_MortPayM,F92+F92*(F_MR/12)),0)</f>
        <v>0</v>
      </c>
      <c r="T92" s="20" t="n">
        <f aca="false">IF(G92&gt;PR_BalDone,MIN(F_MortPayM,G92+G92*(F_MR/12)),0)</f>
        <v>0</v>
      </c>
      <c r="U92" s="20" t="n">
        <f aca="false">IF(H92&gt;PR_BalDone,MIN(F_MortPayM,H92+H92*(F_MR/12)),0)</f>
        <v>0</v>
      </c>
      <c r="V92" s="20" t="n">
        <f aca="false">IF(I92&gt;PR_BalDone,MIN(F_MortPayM,I92+I92*(F_MR/12)),0)</f>
        <v>0</v>
      </c>
      <c r="W92" s="20" t="n">
        <f aca="false">IF(J92&gt;PR_BalDone,MIN(F_MortPayM,J92+J92*(F_MR/12)),0)</f>
        <v>0</v>
      </c>
      <c r="X92" s="20" t="n">
        <f aca="false">IF(K92&gt;PR_BalDone,MIN(F_MortPayM,K92+K92*(F_MR/12)),0)</f>
        <v>0</v>
      </c>
      <c r="Y92" s="20" t="n">
        <f aca="false">IF(L92&gt;PR_BalDone,MIN(F_MortPayM,L92+L92*(F_MR/12)),0)</f>
        <v>0</v>
      </c>
      <c r="Z92" s="20" t="n">
        <f aca="false">IF(M92&gt;PR_BalDone,MIN(F_MortPayM,M92+M92*(F_MR/12)),0)</f>
        <v>0</v>
      </c>
      <c r="AA92" s="20" t="n">
        <f aca="false">IF(N92&gt;PR_BalDone,MIN(F_MortPayM,N92+N92*(F_MR/12)),0)</f>
        <v>0</v>
      </c>
      <c r="AB92" s="20" t="n">
        <f aca="false">MAX(0,O92)</f>
        <v>0</v>
      </c>
      <c r="AC92" s="20" t="n">
        <f aca="false">SUM(P92:AA92)</f>
        <v>0</v>
      </c>
      <c r="AD92" s="20" t="n">
        <f aca="false">'Plan cashflow'!M92</f>
        <v>0</v>
      </c>
      <c r="AE92" s="20" t="n">
        <f aca="false">IF(AD92&gt;PR_BalDone,AD92+AD92*(D_iC)-MIN(F_CardPayM,AD92+AD92*(D_iC)),AD92)</f>
        <v>0</v>
      </c>
      <c r="AF92" s="20" t="n">
        <f aca="false">IF(AE92&gt;PR_BalDone,AE92+AE92*(D_iC)-MIN(F_CardPayM,AE92+AE92*(D_iC)),AE92)</f>
        <v>0</v>
      </c>
      <c r="AG92" s="20" t="n">
        <f aca="false">IF(AF92&gt;PR_BalDone,AF92+AF92*(D_iC)-MIN(F_CardPayM,AF92+AF92*(D_iC)),AF92)</f>
        <v>0</v>
      </c>
      <c r="AH92" s="20" t="n">
        <f aca="false">IF(AG92&gt;PR_BalDone,AG92+AG92*(D_iC)-MIN(F_CardPayM,AG92+AG92*(D_iC)),AG92)</f>
        <v>0</v>
      </c>
      <c r="AI92" s="20" t="n">
        <f aca="false">IF(AH92&gt;PR_BalDone,AH92+AH92*(D_iC)-MIN(F_CardPayM,AH92+AH92*(D_iC)),AH92)</f>
        <v>0</v>
      </c>
      <c r="AJ92" s="20" t="n">
        <f aca="false">IF(AI92&gt;PR_BalDone,AI92+AI92*(D_iC)-MIN(F_CardPayM,AI92+AI92*(D_iC)),AI92)</f>
        <v>0</v>
      </c>
      <c r="AK92" s="20" t="n">
        <f aca="false">IF(AJ92&gt;PR_BalDone,AJ92+AJ92*(D_iC)-MIN(F_CardPayM,AJ92+AJ92*(D_iC)),AJ92)</f>
        <v>0</v>
      </c>
      <c r="AL92" s="20" t="n">
        <f aca="false">IF(AK92&gt;PR_BalDone,AK92+AK92*(D_iC)-MIN(F_CardPayM,AK92+AK92*(D_iC)),AK92)</f>
        <v>0</v>
      </c>
      <c r="AM92" s="20" t="n">
        <f aca="false">IF(AL92&gt;PR_BalDone,AL92+AL92*(D_iC)-MIN(F_CardPayM,AL92+AL92*(D_iC)),AL92)</f>
        <v>0</v>
      </c>
      <c r="AN92" s="20" t="n">
        <f aca="false">IF(AM92&gt;PR_BalDone,AM92+AM92*(D_iC)-MIN(F_CardPayM,AM92+AM92*(D_iC)),AM92)</f>
        <v>0</v>
      </c>
      <c r="AO92" s="20" t="n">
        <f aca="false">IF(AN92&gt;PR_BalDone,AN92+AN92*(D_iC)-MIN(F_CardPayM,AN92+AN92*(D_iC)),AN92)</f>
        <v>0</v>
      </c>
      <c r="AP92" s="20" t="n">
        <f aca="false">IF(AO92&gt;PR_BalDone,AO92+AO92*(D_iC)-MIN(F_CardPayM,AO92+AO92*(D_iC)),AO92)</f>
        <v>0</v>
      </c>
      <c r="AQ92" s="20" t="n">
        <f aca="false">IF(AD92&gt;PR_BalDone,MIN(F_CardPayM,AD92+AD92*(D_iC)),0)</f>
        <v>0</v>
      </c>
      <c r="AR92" s="20" t="n">
        <f aca="false">IF(AE92&gt;PR_BalDone,MIN(F_CardPayM,AE92+AE92*(D_iC)),0)</f>
        <v>0</v>
      </c>
      <c r="AS92" s="20" t="n">
        <f aca="false">IF(AF92&gt;PR_BalDone,MIN(F_CardPayM,AF92+AF92*(D_iC)),0)</f>
        <v>0</v>
      </c>
      <c r="AT92" s="20" t="n">
        <f aca="false">IF(AG92&gt;PR_BalDone,MIN(F_CardPayM,AG92+AG92*(D_iC)),0)</f>
        <v>0</v>
      </c>
      <c r="AU92" s="20" t="n">
        <f aca="false">IF(AH92&gt;PR_BalDone,MIN(F_CardPayM,AH92+AH92*(D_iC)),0)</f>
        <v>0</v>
      </c>
      <c r="AV92" s="20" t="n">
        <f aca="false">IF(AI92&gt;PR_BalDone,MIN(F_CardPayM,AI92+AI92*(D_iC)),0)</f>
        <v>0</v>
      </c>
      <c r="AW92" s="20" t="n">
        <f aca="false">IF(AJ92&gt;PR_BalDone,MIN(F_CardPayM,AJ92+AJ92*(D_iC)),0)</f>
        <v>0</v>
      </c>
      <c r="AX92" s="20" t="n">
        <f aca="false">IF(AK92&gt;PR_BalDone,MIN(F_CardPayM,AK92+AK92*(D_iC)),0)</f>
        <v>0</v>
      </c>
      <c r="AY92" s="20" t="n">
        <f aca="false">IF(AL92&gt;PR_BalDone,MIN(F_CardPayM,AL92+AL92*(D_iC)),0)</f>
        <v>0</v>
      </c>
      <c r="AZ92" s="20" t="n">
        <f aca="false">IF(AM92&gt;PR_BalDone,MIN(F_CardPayM,AM92+AM92*(D_iC)),0)</f>
        <v>0</v>
      </c>
      <c r="BA92" s="20" t="n">
        <f aca="false">IF(AN92&gt;PR_BalDone,MIN(F_CardPayM,AN92+AN92*(D_iC)),0)</f>
        <v>0</v>
      </c>
      <c r="BB92" s="20" t="n">
        <f aca="false">IF(AO92&gt;PR_BalDone,MIN(F_CardPayM,AO92+AO92*(D_iC)),0)</f>
        <v>0</v>
      </c>
      <c r="BC92" s="20" t="n">
        <f aca="false">MAX(0,AP92)</f>
        <v>0</v>
      </c>
      <c r="BD92" s="20" t="n">
        <f aca="false">SUM(AQ92:BB92)</f>
        <v>0</v>
      </c>
      <c r="BE92" s="20" t="n">
        <f aca="false">'Plan cashflow'!P92</f>
        <v>0</v>
      </c>
      <c r="BF92" s="20" t="n">
        <f aca="false">IF(BE92&gt;PR_BalDone,BE92+BE92*(D_iL)-MIN(F_LoanPayM,BE92+BE92*(D_iL)),BE92)</f>
        <v>0</v>
      </c>
      <c r="BG92" s="20" t="n">
        <f aca="false">IF(BF92&gt;PR_BalDone,BF92+BF92*(D_iL)-MIN(F_LoanPayM,BF92+BF92*(D_iL)),BF92)</f>
        <v>0</v>
      </c>
      <c r="BH92" s="20" t="n">
        <f aca="false">IF(BG92&gt;PR_BalDone,BG92+BG92*(D_iL)-MIN(F_LoanPayM,BG92+BG92*(D_iL)),BG92)</f>
        <v>0</v>
      </c>
      <c r="BI92" s="20" t="n">
        <f aca="false">IF(BH92&gt;PR_BalDone,BH92+BH92*(D_iL)-MIN(F_LoanPayM,BH92+BH92*(D_iL)),BH92)</f>
        <v>0</v>
      </c>
      <c r="BJ92" s="20" t="n">
        <f aca="false">IF(BI92&gt;PR_BalDone,BI92+BI92*(D_iL)-MIN(F_LoanPayM,BI92+BI92*(D_iL)),BI92)</f>
        <v>0</v>
      </c>
      <c r="BK92" s="20" t="n">
        <f aca="false">IF(BJ92&gt;PR_BalDone,BJ92+BJ92*(D_iL)-MIN(F_LoanPayM,BJ92+BJ92*(D_iL)),BJ92)</f>
        <v>0</v>
      </c>
      <c r="BL92" s="20" t="n">
        <f aca="false">IF(BK92&gt;PR_BalDone,BK92+BK92*(D_iL)-MIN(F_LoanPayM,BK92+BK92*(D_iL)),BK92)</f>
        <v>0</v>
      </c>
      <c r="BM92" s="20" t="n">
        <f aca="false">IF(BL92&gt;PR_BalDone,BL92+BL92*(D_iL)-MIN(F_LoanPayM,BL92+BL92*(D_iL)),BL92)</f>
        <v>0</v>
      </c>
      <c r="BN92" s="20" t="n">
        <f aca="false">IF(BM92&gt;PR_BalDone,BM92+BM92*(D_iL)-MIN(F_LoanPayM,BM92+BM92*(D_iL)),BM92)</f>
        <v>0</v>
      </c>
      <c r="BO92" s="20" t="n">
        <f aca="false">IF(BN92&gt;PR_BalDone,BN92+BN92*(D_iL)-MIN(F_LoanPayM,BN92+BN92*(D_iL)),BN92)</f>
        <v>0</v>
      </c>
      <c r="BP92" s="20" t="n">
        <f aca="false">IF(BO92&gt;PR_BalDone,BO92+BO92*(D_iL)-MIN(F_LoanPayM,BO92+BO92*(D_iL)),BO92)</f>
        <v>0</v>
      </c>
      <c r="BQ92" s="20" t="n">
        <f aca="false">IF(BP92&gt;PR_BalDone,BP92+BP92*(D_iL)-MIN(F_LoanPayM,BP92+BP92*(D_iL)),BP92)</f>
        <v>0</v>
      </c>
      <c r="BR92" s="20" t="n">
        <f aca="false">IF(BE92&gt;PR_BalDone,MIN(F_LoanPayM,BE92+BE92*(D_iL)),0)</f>
        <v>0</v>
      </c>
      <c r="BS92" s="20" t="n">
        <f aca="false">IF(BF92&gt;PR_BalDone,MIN(F_LoanPayM,BF92+BF92*(D_iL)),0)</f>
        <v>0</v>
      </c>
      <c r="BT92" s="20" t="n">
        <f aca="false">IF(BG92&gt;PR_BalDone,MIN(F_LoanPayM,BG92+BG92*(D_iL)),0)</f>
        <v>0</v>
      </c>
      <c r="BU92" s="20" t="n">
        <f aca="false">IF(BH92&gt;PR_BalDone,MIN(F_LoanPayM,BH92+BH92*(D_iL)),0)</f>
        <v>0</v>
      </c>
      <c r="BV92" s="20" t="n">
        <f aca="false">IF(BI92&gt;PR_BalDone,MIN(F_LoanPayM,BI92+BI92*(D_iL)),0)</f>
        <v>0</v>
      </c>
      <c r="BW92" s="20" t="n">
        <f aca="false">IF(BJ92&gt;PR_BalDone,MIN(F_LoanPayM,BJ92+BJ92*(D_iL)),0)</f>
        <v>0</v>
      </c>
      <c r="BX92" s="20" t="n">
        <f aca="false">IF(BK92&gt;PR_BalDone,MIN(F_LoanPayM,BK92+BK92*(D_iL)),0)</f>
        <v>0</v>
      </c>
      <c r="BY92" s="20" t="n">
        <f aca="false">IF(BL92&gt;PR_BalDone,MIN(F_LoanPayM,BL92+BL92*(D_iL)),0)</f>
        <v>0</v>
      </c>
      <c r="BZ92" s="20" t="n">
        <f aca="false">IF(BM92&gt;PR_BalDone,MIN(F_LoanPayM,BM92+BM92*(D_iL)),0)</f>
        <v>0</v>
      </c>
      <c r="CA92" s="20" t="n">
        <f aca="false">IF(BN92&gt;PR_BalDone,MIN(F_LoanPayM,BN92+BN92*(D_iL)),0)</f>
        <v>0</v>
      </c>
      <c r="CB92" s="20" t="n">
        <f aca="false">IF(BO92&gt;PR_BalDone,MIN(F_LoanPayM,BO92+BO92*(D_iL)),0)</f>
        <v>0</v>
      </c>
      <c r="CC92" s="20" t="n">
        <f aca="false">IF(BP92&gt;PR_BalDone,MIN(F_LoanPayM,BP92+BP92*(D_iL)),0)</f>
        <v>0</v>
      </c>
      <c r="CD92" s="20" t="n">
        <f aca="false">MAX(0,BQ92)</f>
        <v>0</v>
      </c>
      <c r="CE92" s="20" t="n">
        <f aca="false">SUM(BR92:CC92)</f>
        <v>0</v>
      </c>
      <c r="CF92" s="20" t="n">
        <f aca="false">IF(CF91&gt;1,DE91,CF91)</f>
        <v>0</v>
      </c>
      <c r="CG92" s="20" t="n">
        <f aca="false">IF(CF92&gt;PR_BalDone,CF92+CF92*(F_MR/12)-MIN(F_MortPayM,CF92+CF92*(F_MR/12)),CF92)</f>
        <v>0</v>
      </c>
      <c r="CH92" s="20" t="n">
        <f aca="false">IF(CG92&gt;PR_BalDone,CG92+CG92*(F_MR/12)-MIN(F_MortPayM,CG92+CG92*(F_MR/12)),CG92)</f>
        <v>0</v>
      </c>
      <c r="CI92" s="20" t="n">
        <f aca="false">IF(CH92&gt;PR_BalDone,CH92+CH92*(F_MR/12)-MIN(F_MortPayM,CH92+CH92*(F_MR/12)),CH92)</f>
        <v>0</v>
      </c>
      <c r="CJ92" s="20" t="n">
        <f aca="false">IF(CI92&gt;PR_BalDone,CI92+CI92*(F_MR/12)-MIN(F_MortPayM,CI92+CI92*(F_MR/12)),CI92)</f>
        <v>0</v>
      </c>
      <c r="CK92" s="20" t="n">
        <f aca="false">IF(CJ92&gt;PR_BalDone,CJ92+CJ92*(F_MR/12)-MIN(F_MortPayM,CJ92+CJ92*(F_MR/12)),CJ92)</f>
        <v>0</v>
      </c>
      <c r="CL92" s="20" t="n">
        <f aca="false">IF(CK92&gt;PR_BalDone,CK92+CK92*(F_MR/12)-MIN(F_MortPayM,CK92+CK92*(F_MR/12)),CK92)</f>
        <v>0</v>
      </c>
      <c r="CM92" s="20" t="n">
        <f aca="false">IF(CL92&gt;PR_BalDone,CL92+CL92*(F_MR/12)-MIN(F_MortPayM,CL92+CL92*(F_MR/12)),CL92)</f>
        <v>0</v>
      </c>
      <c r="CN92" s="20" t="n">
        <f aca="false">IF(CM92&gt;PR_BalDone,CM92+CM92*(F_MR/12)-MIN(F_MortPayM,CM92+CM92*(F_MR/12)),CM92)</f>
        <v>0</v>
      </c>
      <c r="CO92" s="20" t="n">
        <f aca="false">IF(CN92&gt;PR_BalDone,CN92+CN92*(F_MR/12)-MIN(F_MortPayM,CN92+CN92*(F_MR/12)),CN92)</f>
        <v>0</v>
      </c>
      <c r="CP92" s="20" t="n">
        <f aca="false">IF(CO92&gt;PR_BalDone,CO92+CO92*(F_MR/12)-MIN(F_MortPayM,CO92+CO92*(F_MR/12)),CO92)</f>
        <v>0</v>
      </c>
      <c r="CQ92" s="20" t="n">
        <f aca="false">IF(CP92&gt;PR_BalDone,CP92+CP92*(F_MR/12)-MIN(F_MortPayM,CP92+CP92*(F_MR/12)),CP92)</f>
        <v>0</v>
      </c>
      <c r="CR92" s="20" t="n">
        <f aca="false">IF(CQ92&gt;PR_BalDone,CQ92+CQ92*(F_MR/12)-MIN(F_MortPayM,CQ92+CQ92*(F_MR/12)),CQ92)</f>
        <v>0</v>
      </c>
      <c r="CS92" s="20" t="n">
        <f aca="false">IF(CF92&gt;PR_BalDone,MIN(F_MortPayM,CF92+CF92*(F_MR/12)),0)</f>
        <v>0</v>
      </c>
      <c r="CT92" s="20" t="n">
        <f aca="false">IF(CG92&gt;PR_BalDone,MIN(F_MortPayM,CG92+CG92*(F_MR/12)),0)</f>
        <v>0</v>
      </c>
      <c r="CU92" s="20" t="n">
        <f aca="false">IF(CH92&gt;PR_BalDone,MIN(F_MortPayM,CH92+CH92*(F_MR/12)),0)</f>
        <v>0</v>
      </c>
      <c r="CV92" s="20" t="n">
        <f aca="false">IF(CI92&gt;PR_BalDone,MIN(F_MortPayM,CI92+CI92*(F_MR/12)),0)</f>
        <v>0</v>
      </c>
      <c r="CW92" s="20" t="n">
        <f aca="false">IF(CJ92&gt;PR_BalDone,MIN(F_MortPayM,CJ92+CJ92*(F_MR/12)),0)</f>
        <v>0</v>
      </c>
      <c r="CX92" s="20" t="n">
        <f aca="false">IF(CK92&gt;PR_BalDone,MIN(F_MortPayM,CK92+CK92*(F_MR/12)),0)</f>
        <v>0</v>
      </c>
      <c r="CY92" s="20" t="n">
        <f aca="false">IF(CL92&gt;PR_BalDone,MIN(F_MortPayM,CL92+CL92*(F_MR/12)),0)</f>
        <v>0</v>
      </c>
      <c r="CZ92" s="20" t="n">
        <f aca="false">IF(CM92&gt;PR_BalDone,MIN(F_MortPayM,CM92+CM92*(F_MR/12)),0)</f>
        <v>0</v>
      </c>
      <c r="DA92" s="20" t="n">
        <f aca="false">IF(CN92&gt;PR_BalDone,MIN(F_MortPayM,CN92+CN92*(F_MR/12)),0)</f>
        <v>0</v>
      </c>
      <c r="DB92" s="20" t="n">
        <f aca="false">IF(CO92&gt;PR_BalDone,MIN(F_MortPayM,CO92+CO92*(F_MR/12)),0)</f>
        <v>0</v>
      </c>
      <c r="DC92" s="20" t="n">
        <f aca="false">IF(CP92&gt;PR_BalDone,MIN(F_MortPayM,CP92+CP92*(F_MR/12)),0)</f>
        <v>0</v>
      </c>
      <c r="DD92" s="20" t="n">
        <f aca="false">IF(CQ92&gt;PR_BalDone,MIN(F_MortPayM,CQ92+CQ92*(F_MR/12)),0)</f>
        <v>0</v>
      </c>
      <c r="DE92" s="20" t="n">
        <f aca="false">MAX(0,CR92)</f>
        <v>0</v>
      </c>
      <c r="DF92" s="20" t="n">
        <f aca="false">SUM(CS92:DD92)</f>
        <v>0</v>
      </c>
      <c r="DG92" s="20" t="n">
        <f aca="false">MAX(0,CF92)</f>
        <v>0</v>
      </c>
    </row>
    <row r="93" customFormat="false" ht="15" hidden="false" customHeight="true" outlineLevel="0" collapsed="false">
      <c r="B93" s="20" t="n">
        <v>85</v>
      </c>
      <c r="C93" s="20" t="n">
        <f aca="false">'Plan cashflow'!J93</f>
        <v>0</v>
      </c>
      <c r="D93" s="20" t="n">
        <f aca="false">IF(C93&gt;PR_BalDone,C93+C93*(F_MR/12)-MIN(F_MortPayM,C93+C93*(F_MR/12)),C93)</f>
        <v>0</v>
      </c>
      <c r="E93" s="20" t="n">
        <f aca="false">IF(D93&gt;PR_BalDone,D93+D93*(F_MR/12)-MIN(F_MortPayM,D93+D93*(F_MR/12)),D93)</f>
        <v>0</v>
      </c>
      <c r="F93" s="20" t="n">
        <f aca="false">IF(E93&gt;PR_BalDone,E93+E93*(F_MR/12)-MIN(F_MortPayM,E93+E93*(F_MR/12)),E93)</f>
        <v>0</v>
      </c>
      <c r="G93" s="20" t="n">
        <f aca="false">IF(F93&gt;PR_BalDone,F93+F93*(F_MR/12)-MIN(F_MortPayM,F93+F93*(F_MR/12)),F93)</f>
        <v>0</v>
      </c>
      <c r="H93" s="20" t="n">
        <f aca="false">IF(G93&gt;PR_BalDone,G93+G93*(F_MR/12)-MIN(F_MortPayM,G93+G93*(F_MR/12)),G93)</f>
        <v>0</v>
      </c>
      <c r="I93" s="20" t="n">
        <f aca="false">IF(H93&gt;PR_BalDone,H93+H93*(F_MR/12)-MIN(F_MortPayM,H93+H93*(F_MR/12)),H93)</f>
        <v>0</v>
      </c>
      <c r="J93" s="20" t="n">
        <f aca="false">IF(I93&gt;PR_BalDone,I93+I93*(F_MR/12)-MIN(F_MortPayM,I93+I93*(F_MR/12)),I93)</f>
        <v>0</v>
      </c>
      <c r="K93" s="20" t="n">
        <f aca="false">IF(J93&gt;PR_BalDone,J93+J93*(F_MR/12)-MIN(F_MortPayM,J93+J93*(F_MR/12)),J93)</f>
        <v>0</v>
      </c>
      <c r="L93" s="20" t="n">
        <f aca="false">IF(K93&gt;PR_BalDone,K93+K93*(F_MR/12)-MIN(F_MortPayM,K93+K93*(F_MR/12)),K93)</f>
        <v>0</v>
      </c>
      <c r="M93" s="20" t="n">
        <f aca="false">IF(L93&gt;PR_BalDone,L93+L93*(F_MR/12)-MIN(F_MortPayM,L93+L93*(F_MR/12)),L93)</f>
        <v>0</v>
      </c>
      <c r="N93" s="20" t="n">
        <f aca="false">IF(M93&gt;PR_BalDone,M93+M93*(F_MR/12)-MIN(F_MortPayM,M93+M93*(F_MR/12)),M93)</f>
        <v>0</v>
      </c>
      <c r="O93" s="20" t="n">
        <f aca="false">IF(N93&gt;PR_BalDone,N93+N93*(F_MR/12)-MIN(F_MortPayM,N93+N93*(F_MR/12)),N93)</f>
        <v>0</v>
      </c>
      <c r="P93" s="20" t="n">
        <f aca="false">IF(C93&gt;PR_BalDone,MIN(F_MortPayM,C93+C93*(F_MR/12)),0)</f>
        <v>0</v>
      </c>
      <c r="Q93" s="20" t="n">
        <f aca="false">IF(D93&gt;PR_BalDone,MIN(F_MortPayM,D93+D93*(F_MR/12)),0)</f>
        <v>0</v>
      </c>
      <c r="R93" s="20" t="n">
        <f aca="false">IF(E93&gt;PR_BalDone,MIN(F_MortPayM,E93+E93*(F_MR/12)),0)</f>
        <v>0</v>
      </c>
      <c r="S93" s="20" t="n">
        <f aca="false">IF(F93&gt;PR_BalDone,MIN(F_MortPayM,F93+F93*(F_MR/12)),0)</f>
        <v>0</v>
      </c>
      <c r="T93" s="20" t="n">
        <f aca="false">IF(G93&gt;PR_BalDone,MIN(F_MortPayM,G93+G93*(F_MR/12)),0)</f>
        <v>0</v>
      </c>
      <c r="U93" s="20" t="n">
        <f aca="false">IF(H93&gt;PR_BalDone,MIN(F_MortPayM,H93+H93*(F_MR/12)),0)</f>
        <v>0</v>
      </c>
      <c r="V93" s="20" t="n">
        <f aca="false">IF(I93&gt;PR_BalDone,MIN(F_MortPayM,I93+I93*(F_MR/12)),0)</f>
        <v>0</v>
      </c>
      <c r="W93" s="20" t="n">
        <f aca="false">IF(J93&gt;PR_BalDone,MIN(F_MortPayM,J93+J93*(F_MR/12)),0)</f>
        <v>0</v>
      </c>
      <c r="X93" s="20" t="n">
        <f aca="false">IF(K93&gt;PR_BalDone,MIN(F_MortPayM,K93+K93*(F_MR/12)),0)</f>
        <v>0</v>
      </c>
      <c r="Y93" s="20" t="n">
        <f aca="false">IF(L93&gt;PR_BalDone,MIN(F_MortPayM,L93+L93*(F_MR/12)),0)</f>
        <v>0</v>
      </c>
      <c r="Z93" s="20" t="n">
        <f aca="false">IF(M93&gt;PR_BalDone,MIN(F_MortPayM,M93+M93*(F_MR/12)),0)</f>
        <v>0</v>
      </c>
      <c r="AA93" s="20" t="n">
        <f aca="false">IF(N93&gt;PR_BalDone,MIN(F_MortPayM,N93+N93*(F_MR/12)),0)</f>
        <v>0</v>
      </c>
      <c r="AB93" s="20" t="n">
        <f aca="false">MAX(0,O93)</f>
        <v>0</v>
      </c>
      <c r="AC93" s="20" t="n">
        <f aca="false">SUM(P93:AA93)</f>
        <v>0</v>
      </c>
      <c r="AD93" s="20" t="n">
        <f aca="false">'Plan cashflow'!M93</f>
        <v>0</v>
      </c>
      <c r="AE93" s="20" t="n">
        <f aca="false">IF(AD93&gt;PR_BalDone,AD93+AD93*(D_iC)-MIN(F_CardPayM,AD93+AD93*(D_iC)),AD93)</f>
        <v>0</v>
      </c>
      <c r="AF93" s="20" t="n">
        <f aca="false">IF(AE93&gt;PR_BalDone,AE93+AE93*(D_iC)-MIN(F_CardPayM,AE93+AE93*(D_iC)),AE93)</f>
        <v>0</v>
      </c>
      <c r="AG93" s="20" t="n">
        <f aca="false">IF(AF93&gt;PR_BalDone,AF93+AF93*(D_iC)-MIN(F_CardPayM,AF93+AF93*(D_iC)),AF93)</f>
        <v>0</v>
      </c>
      <c r="AH93" s="20" t="n">
        <f aca="false">IF(AG93&gt;PR_BalDone,AG93+AG93*(D_iC)-MIN(F_CardPayM,AG93+AG93*(D_iC)),AG93)</f>
        <v>0</v>
      </c>
      <c r="AI93" s="20" t="n">
        <f aca="false">IF(AH93&gt;PR_BalDone,AH93+AH93*(D_iC)-MIN(F_CardPayM,AH93+AH93*(D_iC)),AH93)</f>
        <v>0</v>
      </c>
      <c r="AJ93" s="20" t="n">
        <f aca="false">IF(AI93&gt;PR_BalDone,AI93+AI93*(D_iC)-MIN(F_CardPayM,AI93+AI93*(D_iC)),AI93)</f>
        <v>0</v>
      </c>
      <c r="AK93" s="20" t="n">
        <f aca="false">IF(AJ93&gt;PR_BalDone,AJ93+AJ93*(D_iC)-MIN(F_CardPayM,AJ93+AJ93*(D_iC)),AJ93)</f>
        <v>0</v>
      </c>
      <c r="AL93" s="20" t="n">
        <f aca="false">IF(AK93&gt;PR_BalDone,AK93+AK93*(D_iC)-MIN(F_CardPayM,AK93+AK93*(D_iC)),AK93)</f>
        <v>0</v>
      </c>
      <c r="AM93" s="20" t="n">
        <f aca="false">IF(AL93&gt;PR_BalDone,AL93+AL93*(D_iC)-MIN(F_CardPayM,AL93+AL93*(D_iC)),AL93)</f>
        <v>0</v>
      </c>
      <c r="AN93" s="20" t="n">
        <f aca="false">IF(AM93&gt;PR_BalDone,AM93+AM93*(D_iC)-MIN(F_CardPayM,AM93+AM93*(D_iC)),AM93)</f>
        <v>0</v>
      </c>
      <c r="AO93" s="20" t="n">
        <f aca="false">IF(AN93&gt;PR_BalDone,AN93+AN93*(D_iC)-MIN(F_CardPayM,AN93+AN93*(D_iC)),AN93)</f>
        <v>0</v>
      </c>
      <c r="AP93" s="20" t="n">
        <f aca="false">IF(AO93&gt;PR_BalDone,AO93+AO93*(D_iC)-MIN(F_CardPayM,AO93+AO93*(D_iC)),AO93)</f>
        <v>0</v>
      </c>
      <c r="AQ93" s="20" t="n">
        <f aca="false">IF(AD93&gt;PR_BalDone,MIN(F_CardPayM,AD93+AD93*(D_iC)),0)</f>
        <v>0</v>
      </c>
      <c r="AR93" s="20" t="n">
        <f aca="false">IF(AE93&gt;PR_BalDone,MIN(F_CardPayM,AE93+AE93*(D_iC)),0)</f>
        <v>0</v>
      </c>
      <c r="AS93" s="20" t="n">
        <f aca="false">IF(AF93&gt;PR_BalDone,MIN(F_CardPayM,AF93+AF93*(D_iC)),0)</f>
        <v>0</v>
      </c>
      <c r="AT93" s="20" t="n">
        <f aca="false">IF(AG93&gt;PR_BalDone,MIN(F_CardPayM,AG93+AG93*(D_iC)),0)</f>
        <v>0</v>
      </c>
      <c r="AU93" s="20" t="n">
        <f aca="false">IF(AH93&gt;PR_BalDone,MIN(F_CardPayM,AH93+AH93*(D_iC)),0)</f>
        <v>0</v>
      </c>
      <c r="AV93" s="20" t="n">
        <f aca="false">IF(AI93&gt;PR_BalDone,MIN(F_CardPayM,AI93+AI93*(D_iC)),0)</f>
        <v>0</v>
      </c>
      <c r="AW93" s="20" t="n">
        <f aca="false">IF(AJ93&gt;PR_BalDone,MIN(F_CardPayM,AJ93+AJ93*(D_iC)),0)</f>
        <v>0</v>
      </c>
      <c r="AX93" s="20" t="n">
        <f aca="false">IF(AK93&gt;PR_BalDone,MIN(F_CardPayM,AK93+AK93*(D_iC)),0)</f>
        <v>0</v>
      </c>
      <c r="AY93" s="20" t="n">
        <f aca="false">IF(AL93&gt;PR_BalDone,MIN(F_CardPayM,AL93+AL93*(D_iC)),0)</f>
        <v>0</v>
      </c>
      <c r="AZ93" s="20" t="n">
        <f aca="false">IF(AM93&gt;PR_BalDone,MIN(F_CardPayM,AM93+AM93*(D_iC)),0)</f>
        <v>0</v>
      </c>
      <c r="BA93" s="20" t="n">
        <f aca="false">IF(AN93&gt;PR_BalDone,MIN(F_CardPayM,AN93+AN93*(D_iC)),0)</f>
        <v>0</v>
      </c>
      <c r="BB93" s="20" t="n">
        <f aca="false">IF(AO93&gt;PR_BalDone,MIN(F_CardPayM,AO93+AO93*(D_iC)),0)</f>
        <v>0</v>
      </c>
      <c r="BC93" s="20" t="n">
        <f aca="false">MAX(0,AP93)</f>
        <v>0</v>
      </c>
      <c r="BD93" s="20" t="n">
        <f aca="false">SUM(AQ93:BB93)</f>
        <v>0</v>
      </c>
      <c r="BE93" s="20" t="n">
        <f aca="false">'Plan cashflow'!P93</f>
        <v>0</v>
      </c>
      <c r="BF93" s="20" t="n">
        <f aca="false">IF(BE93&gt;PR_BalDone,BE93+BE93*(D_iL)-MIN(F_LoanPayM,BE93+BE93*(D_iL)),BE93)</f>
        <v>0</v>
      </c>
      <c r="BG93" s="20" t="n">
        <f aca="false">IF(BF93&gt;PR_BalDone,BF93+BF93*(D_iL)-MIN(F_LoanPayM,BF93+BF93*(D_iL)),BF93)</f>
        <v>0</v>
      </c>
      <c r="BH93" s="20" t="n">
        <f aca="false">IF(BG93&gt;PR_BalDone,BG93+BG93*(D_iL)-MIN(F_LoanPayM,BG93+BG93*(D_iL)),BG93)</f>
        <v>0</v>
      </c>
      <c r="BI93" s="20" t="n">
        <f aca="false">IF(BH93&gt;PR_BalDone,BH93+BH93*(D_iL)-MIN(F_LoanPayM,BH93+BH93*(D_iL)),BH93)</f>
        <v>0</v>
      </c>
      <c r="BJ93" s="20" t="n">
        <f aca="false">IF(BI93&gt;PR_BalDone,BI93+BI93*(D_iL)-MIN(F_LoanPayM,BI93+BI93*(D_iL)),BI93)</f>
        <v>0</v>
      </c>
      <c r="BK93" s="20" t="n">
        <f aca="false">IF(BJ93&gt;PR_BalDone,BJ93+BJ93*(D_iL)-MIN(F_LoanPayM,BJ93+BJ93*(D_iL)),BJ93)</f>
        <v>0</v>
      </c>
      <c r="BL93" s="20" t="n">
        <f aca="false">IF(BK93&gt;PR_BalDone,BK93+BK93*(D_iL)-MIN(F_LoanPayM,BK93+BK93*(D_iL)),BK93)</f>
        <v>0</v>
      </c>
      <c r="BM93" s="20" t="n">
        <f aca="false">IF(BL93&gt;PR_BalDone,BL93+BL93*(D_iL)-MIN(F_LoanPayM,BL93+BL93*(D_iL)),BL93)</f>
        <v>0</v>
      </c>
      <c r="BN93" s="20" t="n">
        <f aca="false">IF(BM93&gt;PR_BalDone,BM93+BM93*(D_iL)-MIN(F_LoanPayM,BM93+BM93*(D_iL)),BM93)</f>
        <v>0</v>
      </c>
      <c r="BO93" s="20" t="n">
        <f aca="false">IF(BN93&gt;PR_BalDone,BN93+BN93*(D_iL)-MIN(F_LoanPayM,BN93+BN93*(D_iL)),BN93)</f>
        <v>0</v>
      </c>
      <c r="BP93" s="20" t="n">
        <f aca="false">IF(BO93&gt;PR_BalDone,BO93+BO93*(D_iL)-MIN(F_LoanPayM,BO93+BO93*(D_iL)),BO93)</f>
        <v>0</v>
      </c>
      <c r="BQ93" s="20" t="n">
        <f aca="false">IF(BP93&gt;PR_BalDone,BP93+BP93*(D_iL)-MIN(F_LoanPayM,BP93+BP93*(D_iL)),BP93)</f>
        <v>0</v>
      </c>
      <c r="BR93" s="20" t="n">
        <f aca="false">IF(BE93&gt;PR_BalDone,MIN(F_LoanPayM,BE93+BE93*(D_iL)),0)</f>
        <v>0</v>
      </c>
      <c r="BS93" s="20" t="n">
        <f aca="false">IF(BF93&gt;PR_BalDone,MIN(F_LoanPayM,BF93+BF93*(D_iL)),0)</f>
        <v>0</v>
      </c>
      <c r="BT93" s="20" t="n">
        <f aca="false">IF(BG93&gt;PR_BalDone,MIN(F_LoanPayM,BG93+BG93*(D_iL)),0)</f>
        <v>0</v>
      </c>
      <c r="BU93" s="20" t="n">
        <f aca="false">IF(BH93&gt;PR_BalDone,MIN(F_LoanPayM,BH93+BH93*(D_iL)),0)</f>
        <v>0</v>
      </c>
      <c r="BV93" s="20" t="n">
        <f aca="false">IF(BI93&gt;PR_BalDone,MIN(F_LoanPayM,BI93+BI93*(D_iL)),0)</f>
        <v>0</v>
      </c>
      <c r="BW93" s="20" t="n">
        <f aca="false">IF(BJ93&gt;PR_BalDone,MIN(F_LoanPayM,BJ93+BJ93*(D_iL)),0)</f>
        <v>0</v>
      </c>
      <c r="BX93" s="20" t="n">
        <f aca="false">IF(BK93&gt;PR_BalDone,MIN(F_LoanPayM,BK93+BK93*(D_iL)),0)</f>
        <v>0</v>
      </c>
      <c r="BY93" s="20" t="n">
        <f aca="false">IF(BL93&gt;PR_BalDone,MIN(F_LoanPayM,BL93+BL93*(D_iL)),0)</f>
        <v>0</v>
      </c>
      <c r="BZ93" s="20" t="n">
        <f aca="false">IF(BM93&gt;PR_BalDone,MIN(F_LoanPayM,BM93+BM93*(D_iL)),0)</f>
        <v>0</v>
      </c>
      <c r="CA93" s="20" t="n">
        <f aca="false">IF(BN93&gt;PR_BalDone,MIN(F_LoanPayM,BN93+BN93*(D_iL)),0)</f>
        <v>0</v>
      </c>
      <c r="CB93" s="20" t="n">
        <f aca="false">IF(BO93&gt;PR_BalDone,MIN(F_LoanPayM,BO93+BO93*(D_iL)),0)</f>
        <v>0</v>
      </c>
      <c r="CC93" s="20" t="n">
        <f aca="false">IF(BP93&gt;PR_BalDone,MIN(F_LoanPayM,BP93+BP93*(D_iL)),0)</f>
        <v>0</v>
      </c>
      <c r="CD93" s="20" t="n">
        <f aca="false">MAX(0,BQ93)</f>
        <v>0</v>
      </c>
      <c r="CE93" s="20" t="n">
        <f aca="false">SUM(BR93:CC93)</f>
        <v>0</v>
      </c>
      <c r="CF93" s="20" t="n">
        <f aca="false">IF(CF92&gt;1,DE92,CF92)</f>
        <v>0</v>
      </c>
      <c r="CG93" s="20" t="n">
        <f aca="false">IF(CF93&gt;PR_BalDone,CF93+CF93*(F_MR/12)-MIN(F_MortPayM,CF93+CF93*(F_MR/12)),CF93)</f>
        <v>0</v>
      </c>
      <c r="CH93" s="20" t="n">
        <f aca="false">IF(CG93&gt;PR_BalDone,CG93+CG93*(F_MR/12)-MIN(F_MortPayM,CG93+CG93*(F_MR/12)),CG93)</f>
        <v>0</v>
      </c>
      <c r="CI93" s="20" t="n">
        <f aca="false">IF(CH93&gt;PR_BalDone,CH93+CH93*(F_MR/12)-MIN(F_MortPayM,CH93+CH93*(F_MR/12)),CH93)</f>
        <v>0</v>
      </c>
      <c r="CJ93" s="20" t="n">
        <f aca="false">IF(CI93&gt;PR_BalDone,CI93+CI93*(F_MR/12)-MIN(F_MortPayM,CI93+CI93*(F_MR/12)),CI93)</f>
        <v>0</v>
      </c>
      <c r="CK93" s="20" t="n">
        <f aca="false">IF(CJ93&gt;PR_BalDone,CJ93+CJ93*(F_MR/12)-MIN(F_MortPayM,CJ93+CJ93*(F_MR/12)),CJ93)</f>
        <v>0</v>
      </c>
      <c r="CL93" s="20" t="n">
        <f aca="false">IF(CK93&gt;PR_BalDone,CK93+CK93*(F_MR/12)-MIN(F_MortPayM,CK93+CK93*(F_MR/12)),CK93)</f>
        <v>0</v>
      </c>
      <c r="CM93" s="20" t="n">
        <f aca="false">IF(CL93&gt;PR_BalDone,CL93+CL93*(F_MR/12)-MIN(F_MortPayM,CL93+CL93*(F_MR/12)),CL93)</f>
        <v>0</v>
      </c>
      <c r="CN93" s="20" t="n">
        <f aca="false">IF(CM93&gt;PR_BalDone,CM93+CM93*(F_MR/12)-MIN(F_MortPayM,CM93+CM93*(F_MR/12)),CM93)</f>
        <v>0</v>
      </c>
      <c r="CO93" s="20" t="n">
        <f aca="false">IF(CN93&gt;PR_BalDone,CN93+CN93*(F_MR/12)-MIN(F_MortPayM,CN93+CN93*(F_MR/12)),CN93)</f>
        <v>0</v>
      </c>
      <c r="CP93" s="20" t="n">
        <f aca="false">IF(CO93&gt;PR_BalDone,CO93+CO93*(F_MR/12)-MIN(F_MortPayM,CO93+CO93*(F_MR/12)),CO93)</f>
        <v>0</v>
      </c>
      <c r="CQ93" s="20" t="n">
        <f aca="false">IF(CP93&gt;PR_BalDone,CP93+CP93*(F_MR/12)-MIN(F_MortPayM,CP93+CP93*(F_MR/12)),CP93)</f>
        <v>0</v>
      </c>
      <c r="CR93" s="20" t="n">
        <f aca="false">IF(CQ93&gt;PR_BalDone,CQ93+CQ93*(F_MR/12)-MIN(F_MortPayM,CQ93+CQ93*(F_MR/12)),CQ93)</f>
        <v>0</v>
      </c>
      <c r="CS93" s="20" t="n">
        <f aca="false">IF(CF93&gt;PR_BalDone,MIN(F_MortPayM,CF93+CF93*(F_MR/12)),0)</f>
        <v>0</v>
      </c>
      <c r="CT93" s="20" t="n">
        <f aca="false">IF(CG93&gt;PR_BalDone,MIN(F_MortPayM,CG93+CG93*(F_MR/12)),0)</f>
        <v>0</v>
      </c>
      <c r="CU93" s="20" t="n">
        <f aca="false">IF(CH93&gt;PR_BalDone,MIN(F_MortPayM,CH93+CH93*(F_MR/12)),0)</f>
        <v>0</v>
      </c>
      <c r="CV93" s="20" t="n">
        <f aca="false">IF(CI93&gt;PR_BalDone,MIN(F_MortPayM,CI93+CI93*(F_MR/12)),0)</f>
        <v>0</v>
      </c>
      <c r="CW93" s="20" t="n">
        <f aca="false">IF(CJ93&gt;PR_BalDone,MIN(F_MortPayM,CJ93+CJ93*(F_MR/12)),0)</f>
        <v>0</v>
      </c>
      <c r="CX93" s="20" t="n">
        <f aca="false">IF(CK93&gt;PR_BalDone,MIN(F_MortPayM,CK93+CK93*(F_MR/12)),0)</f>
        <v>0</v>
      </c>
      <c r="CY93" s="20" t="n">
        <f aca="false">IF(CL93&gt;PR_BalDone,MIN(F_MortPayM,CL93+CL93*(F_MR/12)),0)</f>
        <v>0</v>
      </c>
      <c r="CZ93" s="20" t="n">
        <f aca="false">IF(CM93&gt;PR_BalDone,MIN(F_MortPayM,CM93+CM93*(F_MR/12)),0)</f>
        <v>0</v>
      </c>
      <c r="DA93" s="20" t="n">
        <f aca="false">IF(CN93&gt;PR_BalDone,MIN(F_MortPayM,CN93+CN93*(F_MR/12)),0)</f>
        <v>0</v>
      </c>
      <c r="DB93" s="20" t="n">
        <f aca="false">IF(CO93&gt;PR_BalDone,MIN(F_MortPayM,CO93+CO93*(F_MR/12)),0)</f>
        <v>0</v>
      </c>
      <c r="DC93" s="20" t="n">
        <f aca="false">IF(CP93&gt;PR_BalDone,MIN(F_MortPayM,CP93+CP93*(F_MR/12)),0)</f>
        <v>0</v>
      </c>
      <c r="DD93" s="20" t="n">
        <f aca="false">IF(CQ93&gt;PR_BalDone,MIN(F_MortPayM,CQ93+CQ93*(F_MR/12)),0)</f>
        <v>0</v>
      </c>
      <c r="DE93" s="20" t="n">
        <f aca="false">MAX(0,CR93)</f>
        <v>0</v>
      </c>
      <c r="DF93" s="20" t="n">
        <f aca="false">SUM(CS93:DD93)</f>
        <v>0</v>
      </c>
      <c r="DG93" s="20" t="n">
        <f aca="false">MAX(0,CF93)</f>
        <v>0</v>
      </c>
    </row>
    <row r="94" customFormat="false" ht="15" hidden="false" customHeight="true" outlineLevel="0" collapsed="false">
      <c r="B94" s="20" t="n">
        <v>86</v>
      </c>
      <c r="C94" s="20" t="n">
        <f aca="false">'Plan cashflow'!J94</f>
        <v>0</v>
      </c>
      <c r="D94" s="20" t="n">
        <f aca="false">IF(C94&gt;PR_BalDone,C94+C94*(F_MR/12)-MIN(F_MortPayM,C94+C94*(F_MR/12)),C94)</f>
        <v>0</v>
      </c>
      <c r="E94" s="20" t="n">
        <f aca="false">IF(D94&gt;PR_BalDone,D94+D94*(F_MR/12)-MIN(F_MortPayM,D94+D94*(F_MR/12)),D94)</f>
        <v>0</v>
      </c>
      <c r="F94" s="20" t="n">
        <f aca="false">IF(E94&gt;PR_BalDone,E94+E94*(F_MR/12)-MIN(F_MortPayM,E94+E94*(F_MR/12)),E94)</f>
        <v>0</v>
      </c>
      <c r="G94" s="20" t="n">
        <f aca="false">IF(F94&gt;PR_BalDone,F94+F94*(F_MR/12)-MIN(F_MortPayM,F94+F94*(F_MR/12)),F94)</f>
        <v>0</v>
      </c>
      <c r="H94" s="20" t="n">
        <f aca="false">IF(G94&gt;PR_BalDone,G94+G94*(F_MR/12)-MIN(F_MortPayM,G94+G94*(F_MR/12)),G94)</f>
        <v>0</v>
      </c>
      <c r="I94" s="20" t="n">
        <f aca="false">IF(H94&gt;PR_BalDone,H94+H94*(F_MR/12)-MIN(F_MortPayM,H94+H94*(F_MR/12)),H94)</f>
        <v>0</v>
      </c>
      <c r="J94" s="20" t="n">
        <f aca="false">IF(I94&gt;PR_BalDone,I94+I94*(F_MR/12)-MIN(F_MortPayM,I94+I94*(F_MR/12)),I94)</f>
        <v>0</v>
      </c>
      <c r="K94" s="20" t="n">
        <f aca="false">IF(J94&gt;PR_BalDone,J94+J94*(F_MR/12)-MIN(F_MortPayM,J94+J94*(F_MR/12)),J94)</f>
        <v>0</v>
      </c>
      <c r="L94" s="20" t="n">
        <f aca="false">IF(K94&gt;PR_BalDone,K94+K94*(F_MR/12)-MIN(F_MortPayM,K94+K94*(F_MR/12)),K94)</f>
        <v>0</v>
      </c>
      <c r="M94" s="20" t="n">
        <f aca="false">IF(L94&gt;PR_BalDone,L94+L94*(F_MR/12)-MIN(F_MortPayM,L94+L94*(F_MR/12)),L94)</f>
        <v>0</v>
      </c>
      <c r="N94" s="20" t="n">
        <f aca="false">IF(M94&gt;PR_BalDone,M94+M94*(F_MR/12)-MIN(F_MortPayM,M94+M94*(F_MR/12)),M94)</f>
        <v>0</v>
      </c>
      <c r="O94" s="20" t="n">
        <f aca="false">IF(N94&gt;PR_BalDone,N94+N94*(F_MR/12)-MIN(F_MortPayM,N94+N94*(F_MR/12)),N94)</f>
        <v>0</v>
      </c>
      <c r="P94" s="20" t="n">
        <f aca="false">IF(C94&gt;PR_BalDone,MIN(F_MortPayM,C94+C94*(F_MR/12)),0)</f>
        <v>0</v>
      </c>
      <c r="Q94" s="20" t="n">
        <f aca="false">IF(D94&gt;PR_BalDone,MIN(F_MortPayM,D94+D94*(F_MR/12)),0)</f>
        <v>0</v>
      </c>
      <c r="R94" s="20" t="n">
        <f aca="false">IF(E94&gt;PR_BalDone,MIN(F_MortPayM,E94+E94*(F_MR/12)),0)</f>
        <v>0</v>
      </c>
      <c r="S94" s="20" t="n">
        <f aca="false">IF(F94&gt;PR_BalDone,MIN(F_MortPayM,F94+F94*(F_MR/12)),0)</f>
        <v>0</v>
      </c>
      <c r="T94" s="20" t="n">
        <f aca="false">IF(G94&gt;PR_BalDone,MIN(F_MortPayM,G94+G94*(F_MR/12)),0)</f>
        <v>0</v>
      </c>
      <c r="U94" s="20" t="n">
        <f aca="false">IF(H94&gt;PR_BalDone,MIN(F_MortPayM,H94+H94*(F_MR/12)),0)</f>
        <v>0</v>
      </c>
      <c r="V94" s="20" t="n">
        <f aca="false">IF(I94&gt;PR_BalDone,MIN(F_MortPayM,I94+I94*(F_MR/12)),0)</f>
        <v>0</v>
      </c>
      <c r="W94" s="20" t="n">
        <f aca="false">IF(J94&gt;PR_BalDone,MIN(F_MortPayM,J94+J94*(F_MR/12)),0)</f>
        <v>0</v>
      </c>
      <c r="X94" s="20" t="n">
        <f aca="false">IF(K94&gt;PR_BalDone,MIN(F_MortPayM,K94+K94*(F_MR/12)),0)</f>
        <v>0</v>
      </c>
      <c r="Y94" s="20" t="n">
        <f aca="false">IF(L94&gt;PR_BalDone,MIN(F_MortPayM,L94+L94*(F_MR/12)),0)</f>
        <v>0</v>
      </c>
      <c r="Z94" s="20" t="n">
        <f aca="false">IF(M94&gt;PR_BalDone,MIN(F_MortPayM,M94+M94*(F_MR/12)),0)</f>
        <v>0</v>
      </c>
      <c r="AA94" s="20" t="n">
        <f aca="false">IF(N94&gt;PR_BalDone,MIN(F_MortPayM,N94+N94*(F_MR/12)),0)</f>
        <v>0</v>
      </c>
      <c r="AB94" s="20" t="n">
        <f aca="false">MAX(0,O94)</f>
        <v>0</v>
      </c>
      <c r="AC94" s="20" t="n">
        <f aca="false">SUM(P94:AA94)</f>
        <v>0</v>
      </c>
      <c r="AD94" s="20" t="n">
        <f aca="false">'Plan cashflow'!M94</f>
        <v>0</v>
      </c>
      <c r="AE94" s="20" t="n">
        <f aca="false">IF(AD94&gt;PR_BalDone,AD94+AD94*(D_iC)-MIN(F_CardPayM,AD94+AD94*(D_iC)),AD94)</f>
        <v>0</v>
      </c>
      <c r="AF94" s="20" t="n">
        <f aca="false">IF(AE94&gt;PR_BalDone,AE94+AE94*(D_iC)-MIN(F_CardPayM,AE94+AE94*(D_iC)),AE94)</f>
        <v>0</v>
      </c>
      <c r="AG94" s="20" t="n">
        <f aca="false">IF(AF94&gt;PR_BalDone,AF94+AF94*(D_iC)-MIN(F_CardPayM,AF94+AF94*(D_iC)),AF94)</f>
        <v>0</v>
      </c>
      <c r="AH94" s="20" t="n">
        <f aca="false">IF(AG94&gt;PR_BalDone,AG94+AG94*(D_iC)-MIN(F_CardPayM,AG94+AG94*(D_iC)),AG94)</f>
        <v>0</v>
      </c>
      <c r="AI94" s="20" t="n">
        <f aca="false">IF(AH94&gt;PR_BalDone,AH94+AH94*(D_iC)-MIN(F_CardPayM,AH94+AH94*(D_iC)),AH94)</f>
        <v>0</v>
      </c>
      <c r="AJ94" s="20" t="n">
        <f aca="false">IF(AI94&gt;PR_BalDone,AI94+AI94*(D_iC)-MIN(F_CardPayM,AI94+AI94*(D_iC)),AI94)</f>
        <v>0</v>
      </c>
      <c r="AK94" s="20" t="n">
        <f aca="false">IF(AJ94&gt;PR_BalDone,AJ94+AJ94*(D_iC)-MIN(F_CardPayM,AJ94+AJ94*(D_iC)),AJ94)</f>
        <v>0</v>
      </c>
      <c r="AL94" s="20" t="n">
        <f aca="false">IF(AK94&gt;PR_BalDone,AK94+AK94*(D_iC)-MIN(F_CardPayM,AK94+AK94*(D_iC)),AK94)</f>
        <v>0</v>
      </c>
      <c r="AM94" s="20" t="n">
        <f aca="false">IF(AL94&gt;PR_BalDone,AL94+AL94*(D_iC)-MIN(F_CardPayM,AL94+AL94*(D_iC)),AL94)</f>
        <v>0</v>
      </c>
      <c r="AN94" s="20" t="n">
        <f aca="false">IF(AM94&gt;PR_BalDone,AM94+AM94*(D_iC)-MIN(F_CardPayM,AM94+AM94*(D_iC)),AM94)</f>
        <v>0</v>
      </c>
      <c r="AO94" s="20" t="n">
        <f aca="false">IF(AN94&gt;PR_BalDone,AN94+AN94*(D_iC)-MIN(F_CardPayM,AN94+AN94*(D_iC)),AN94)</f>
        <v>0</v>
      </c>
      <c r="AP94" s="20" t="n">
        <f aca="false">IF(AO94&gt;PR_BalDone,AO94+AO94*(D_iC)-MIN(F_CardPayM,AO94+AO94*(D_iC)),AO94)</f>
        <v>0</v>
      </c>
      <c r="AQ94" s="20" t="n">
        <f aca="false">IF(AD94&gt;PR_BalDone,MIN(F_CardPayM,AD94+AD94*(D_iC)),0)</f>
        <v>0</v>
      </c>
      <c r="AR94" s="20" t="n">
        <f aca="false">IF(AE94&gt;PR_BalDone,MIN(F_CardPayM,AE94+AE94*(D_iC)),0)</f>
        <v>0</v>
      </c>
      <c r="AS94" s="20" t="n">
        <f aca="false">IF(AF94&gt;PR_BalDone,MIN(F_CardPayM,AF94+AF94*(D_iC)),0)</f>
        <v>0</v>
      </c>
      <c r="AT94" s="20" t="n">
        <f aca="false">IF(AG94&gt;PR_BalDone,MIN(F_CardPayM,AG94+AG94*(D_iC)),0)</f>
        <v>0</v>
      </c>
      <c r="AU94" s="20" t="n">
        <f aca="false">IF(AH94&gt;PR_BalDone,MIN(F_CardPayM,AH94+AH94*(D_iC)),0)</f>
        <v>0</v>
      </c>
      <c r="AV94" s="20" t="n">
        <f aca="false">IF(AI94&gt;PR_BalDone,MIN(F_CardPayM,AI94+AI94*(D_iC)),0)</f>
        <v>0</v>
      </c>
      <c r="AW94" s="20" t="n">
        <f aca="false">IF(AJ94&gt;PR_BalDone,MIN(F_CardPayM,AJ94+AJ94*(D_iC)),0)</f>
        <v>0</v>
      </c>
      <c r="AX94" s="20" t="n">
        <f aca="false">IF(AK94&gt;PR_BalDone,MIN(F_CardPayM,AK94+AK94*(D_iC)),0)</f>
        <v>0</v>
      </c>
      <c r="AY94" s="20" t="n">
        <f aca="false">IF(AL94&gt;PR_BalDone,MIN(F_CardPayM,AL94+AL94*(D_iC)),0)</f>
        <v>0</v>
      </c>
      <c r="AZ94" s="20" t="n">
        <f aca="false">IF(AM94&gt;PR_BalDone,MIN(F_CardPayM,AM94+AM94*(D_iC)),0)</f>
        <v>0</v>
      </c>
      <c r="BA94" s="20" t="n">
        <f aca="false">IF(AN94&gt;PR_BalDone,MIN(F_CardPayM,AN94+AN94*(D_iC)),0)</f>
        <v>0</v>
      </c>
      <c r="BB94" s="20" t="n">
        <f aca="false">IF(AO94&gt;PR_BalDone,MIN(F_CardPayM,AO94+AO94*(D_iC)),0)</f>
        <v>0</v>
      </c>
      <c r="BC94" s="20" t="n">
        <f aca="false">MAX(0,AP94)</f>
        <v>0</v>
      </c>
      <c r="BD94" s="20" t="n">
        <f aca="false">SUM(AQ94:BB94)</f>
        <v>0</v>
      </c>
      <c r="BE94" s="20" t="n">
        <f aca="false">'Plan cashflow'!P94</f>
        <v>0</v>
      </c>
      <c r="BF94" s="20" t="n">
        <f aca="false">IF(BE94&gt;PR_BalDone,BE94+BE94*(D_iL)-MIN(F_LoanPayM,BE94+BE94*(D_iL)),BE94)</f>
        <v>0</v>
      </c>
      <c r="BG94" s="20" t="n">
        <f aca="false">IF(BF94&gt;PR_BalDone,BF94+BF94*(D_iL)-MIN(F_LoanPayM,BF94+BF94*(D_iL)),BF94)</f>
        <v>0</v>
      </c>
      <c r="BH94" s="20" t="n">
        <f aca="false">IF(BG94&gt;PR_BalDone,BG94+BG94*(D_iL)-MIN(F_LoanPayM,BG94+BG94*(D_iL)),BG94)</f>
        <v>0</v>
      </c>
      <c r="BI94" s="20" t="n">
        <f aca="false">IF(BH94&gt;PR_BalDone,BH94+BH94*(D_iL)-MIN(F_LoanPayM,BH94+BH94*(D_iL)),BH94)</f>
        <v>0</v>
      </c>
      <c r="BJ94" s="20" t="n">
        <f aca="false">IF(BI94&gt;PR_BalDone,BI94+BI94*(D_iL)-MIN(F_LoanPayM,BI94+BI94*(D_iL)),BI94)</f>
        <v>0</v>
      </c>
      <c r="BK94" s="20" t="n">
        <f aca="false">IF(BJ94&gt;PR_BalDone,BJ94+BJ94*(D_iL)-MIN(F_LoanPayM,BJ94+BJ94*(D_iL)),BJ94)</f>
        <v>0</v>
      </c>
      <c r="BL94" s="20" t="n">
        <f aca="false">IF(BK94&gt;PR_BalDone,BK94+BK94*(D_iL)-MIN(F_LoanPayM,BK94+BK94*(D_iL)),BK94)</f>
        <v>0</v>
      </c>
      <c r="BM94" s="20" t="n">
        <f aca="false">IF(BL94&gt;PR_BalDone,BL94+BL94*(D_iL)-MIN(F_LoanPayM,BL94+BL94*(D_iL)),BL94)</f>
        <v>0</v>
      </c>
      <c r="BN94" s="20" t="n">
        <f aca="false">IF(BM94&gt;PR_BalDone,BM94+BM94*(D_iL)-MIN(F_LoanPayM,BM94+BM94*(D_iL)),BM94)</f>
        <v>0</v>
      </c>
      <c r="BO94" s="20" t="n">
        <f aca="false">IF(BN94&gt;PR_BalDone,BN94+BN94*(D_iL)-MIN(F_LoanPayM,BN94+BN94*(D_iL)),BN94)</f>
        <v>0</v>
      </c>
      <c r="BP94" s="20" t="n">
        <f aca="false">IF(BO94&gt;PR_BalDone,BO94+BO94*(D_iL)-MIN(F_LoanPayM,BO94+BO94*(D_iL)),BO94)</f>
        <v>0</v>
      </c>
      <c r="BQ94" s="20" t="n">
        <f aca="false">IF(BP94&gt;PR_BalDone,BP94+BP94*(D_iL)-MIN(F_LoanPayM,BP94+BP94*(D_iL)),BP94)</f>
        <v>0</v>
      </c>
      <c r="BR94" s="20" t="n">
        <f aca="false">IF(BE94&gt;PR_BalDone,MIN(F_LoanPayM,BE94+BE94*(D_iL)),0)</f>
        <v>0</v>
      </c>
      <c r="BS94" s="20" t="n">
        <f aca="false">IF(BF94&gt;PR_BalDone,MIN(F_LoanPayM,BF94+BF94*(D_iL)),0)</f>
        <v>0</v>
      </c>
      <c r="BT94" s="20" t="n">
        <f aca="false">IF(BG94&gt;PR_BalDone,MIN(F_LoanPayM,BG94+BG94*(D_iL)),0)</f>
        <v>0</v>
      </c>
      <c r="BU94" s="20" t="n">
        <f aca="false">IF(BH94&gt;PR_BalDone,MIN(F_LoanPayM,BH94+BH94*(D_iL)),0)</f>
        <v>0</v>
      </c>
      <c r="BV94" s="20" t="n">
        <f aca="false">IF(BI94&gt;PR_BalDone,MIN(F_LoanPayM,BI94+BI94*(D_iL)),0)</f>
        <v>0</v>
      </c>
      <c r="BW94" s="20" t="n">
        <f aca="false">IF(BJ94&gt;PR_BalDone,MIN(F_LoanPayM,BJ94+BJ94*(D_iL)),0)</f>
        <v>0</v>
      </c>
      <c r="BX94" s="20" t="n">
        <f aca="false">IF(BK94&gt;PR_BalDone,MIN(F_LoanPayM,BK94+BK94*(D_iL)),0)</f>
        <v>0</v>
      </c>
      <c r="BY94" s="20" t="n">
        <f aca="false">IF(BL94&gt;PR_BalDone,MIN(F_LoanPayM,BL94+BL94*(D_iL)),0)</f>
        <v>0</v>
      </c>
      <c r="BZ94" s="20" t="n">
        <f aca="false">IF(BM94&gt;PR_BalDone,MIN(F_LoanPayM,BM94+BM94*(D_iL)),0)</f>
        <v>0</v>
      </c>
      <c r="CA94" s="20" t="n">
        <f aca="false">IF(BN94&gt;PR_BalDone,MIN(F_LoanPayM,BN94+BN94*(D_iL)),0)</f>
        <v>0</v>
      </c>
      <c r="CB94" s="20" t="n">
        <f aca="false">IF(BO94&gt;PR_BalDone,MIN(F_LoanPayM,BO94+BO94*(D_iL)),0)</f>
        <v>0</v>
      </c>
      <c r="CC94" s="20" t="n">
        <f aca="false">IF(BP94&gt;PR_BalDone,MIN(F_LoanPayM,BP94+BP94*(D_iL)),0)</f>
        <v>0</v>
      </c>
      <c r="CD94" s="20" t="n">
        <f aca="false">MAX(0,BQ94)</f>
        <v>0</v>
      </c>
      <c r="CE94" s="20" t="n">
        <f aca="false">SUM(BR94:CC94)</f>
        <v>0</v>
      </c>
      <c r="CF94" s="20" t="n">
        <f aca="false">IF(CF93&gt;1,DE93,CF93)</f>
        <v>0</v>
      </c>
      <c r="CG94" s="20" t="n">
        <f aca="false">IF(CF94&gt;PR_BalDone,CF94+CF94*(F_MR/12)-MIN(F_MortPayM,CF94+CF94*(F_MR/12)),CF94)</f>
        <v>0</v>
      </c>
      <c r="CH94" s="20" t="n">
        <f aca="false">IF(CG94&gt;PR_BalDone,CG94+CG94*(F_MR/12)-MIN(F_MortPayM,CG94+CG94*(F_MR/12)),CG94)</f>
        <v>0</v>
      </c>
      <c r="CI94" s="20" t="n">
        <f aca="false">IF(CH94&gt;PR_BalDone,CH94+CH94*(F_MR/12)-MIN(F_MortPayM,CH94+CH94*(F_MR/12)),CH94)</f>
        <v>0</v>
      </c>
      <c r="CJ94" s="20" t="n">
        <f aca="false">IF(CI94&gt;PR_BalDone,CI94+CI94*(F_MR/12)-MIN(F_MortPayM,CI94+CI94*(F_MR/12)),CI94)</f>
        <v>0</v>
      </c>
      <c r="CK94" s="20" t="n">
        <f aca="false">IF(CJ94&gt;PR_BalDone,CJ94+CJ94*(F_MR/12)-MIN(F_MortPayM,CJ94+CJ94*(F_MR/12)),CJ94)</f>
        <v>0</v>
      </c>
      <c r="CL94" s="20" t="n">
        <f aca="false">IF(CK94&gt;PR_BalDone,CK94+CK94*(F_MR/12)-MIN(F_MortPayM,CK94+CK94*(F_MR/12)),CK94)</f>
        <v>0</v>
      </c>
      <c r="CM94" s="20" t="n">
        <f aca="false">IF(CL94&gt;PR_BalDone,CL94+CL94*(F_MR/12)-MIN(F_MortPayM,CL94+CL94*(F_MR/12)),CL94)</f>
        <v>0</v>
      </c>
      <c r="CN94" s="20" t="n">
        <f aca="false">IF(CM94&gt;PR_BalDone,CM94+CM94*(F_MR/12)-MIN(F_MortPayM,CM94+CM94*(F_MR/12)),CM94)</f>
        <v>0</v>
      </c>
      <c r="CO94" s="20" t="n">
        <f aca="false">IF(CN94&gt;PR_BalDone,CN94+CN94*(F_MR/12)-MIN(F_MortPayM,CN94+CN94*(F_MR/12)),CN94)</f>
        <v>0</v>
      </c>
      <c r="CP94" s="20" t="n">
        <f aca="false">IF(CO94&gt;PR_BalDone,CO94+CO94*(F_MR/12)-MIN(F_MortPayM,CO94+CO94*(F_MR/12)),CO94)</f>
        <v>0</v>
      </c>
      <c r="CQ94" s="20" t="n">
        <f aca="false">IF(CP94&gt;PR_BalDone,CP94+CP94*(F_MR/12)-MIN(F_MortPayM,CP94+CP94*(F_MR/12)),CP94)</f>
        <v>0</v>
      </c>
      <c r="CR94" s="20" t="n">
        <f aca="false">IF(CQ94&gt;PR_BalDone,CQ94+CQ94*(F_MR/12)-MIN(F_MortPayM,CQ94+CQ94*(F_MR/12)),CQ94)</f>
        <v>0</v>
      </c>
      <c r="CS94" s="20" t="n">
        <f aca="false">IF(CF94&gt;PR_BalDone,MIN(F_MortPayM,CF94+CF94*(F_MR/12)),0)</f>
        <v>0</v>
      </c>
      <c r="CT94" s="20" t="n">
        <f aca="false">IF(CG94&gt;PR_BalDone,MIN(F_MortPayM,CG94+CG94*(F_MR/12)),0)</f>
        <v>0</v>
      </c>
      <c r="CU94" s="20" t="n">
        <f aca="false">IF(CH94&gt;PR_BalDone,MIN(F_MortPayM,CH94+CH94*(F_MR/12)),0)</f>
        <v>0</v>
      </c>
      <c r="CV94" s="20" t="n">
        <f aca="false">IF(CI94&gt;PR_BalDone,MIN(F_MortPayM,CI94+CI94*(F_MR/12)),0)</f>
        <v>0</v>
      </c>
      <c r="CW94" s="20" t="n">
        <f aca="false">IF(CJ94&gt;PR_BalDone,MIN(F_MortPayM,CJ94+CJ94*(F_MR/12)),0)</f>
        <v>0</v>
      </c>
      <c r="CX94" s="20" t="n">
        <f aca="false">IF(CK94&gt;PR_BalDone,MIN(F_MortPayM,CK94+CK94*(F_MR/12)),0)</f>
        <v>0</v>
      </c>
      <c r="CY94" s="20" t="n">
        <f aca="false">IF(CL94&gt;PR_BalDone,MIN(F_MortPayM,CL94+CL94*(F_MR/12)),0)</f>
        <v>0</v>
      </c>
      <c r="CZ94" s="20" t="n">
        <f aca="false">IF(CM94&gt;PR_BalDone,MIN(F_MortPayM,CM94+CM94*(F_MR/12)),0)</f>
        <v>0</v>
      </c>
      <c r="DA94" s="20" t="n">
        <f aca="false">IF(CN94&gt;PR_BalDone,MIN(F_MortPayM,CN94+CN94*(F_MR/12)),0)</f>
        <v>0</v>
      </c>
      <c r="DB94" s="20" t="n">
        <f aca="false">IF(CO94&gt;PR_BalDone,MIN(F_MortPayM,CO94+CO94*(F_MR/12)),0)</f>
        <v>0</v>
      </c>
      <c r="DC94" s="20" t="n">
        <f aca="false">IF(CP94&gt;PR_BalDone,MIN(F_MortPayM,CP94+CP94*(F_MR/12)),0)</f>
        <v>0</v>
      </c>
      <c r="DD94" s="20" t="n">
        <f aca="false">IF(CQ94&gt;PR_BalDone,MIN(F_MortPayM,CQ94+CQ94*(F_MR/12)),0)</f>
        <v>0</v>
      </c>
      <c r="DE94" s="20" t="n">
        <f aca="false">MAX(0,CR94)</f>
        <v>0</v>
      </c>
      <c r="DF94" s="20" t="n">
        <f aca="false">SUM(CS94:DD94)</f>
        <v>0</v>
      </c>
      <c r="DG94" s="20" t="n">
        <f aca="false">MAX(0,CF94)</f>
        <v>0</v>
      </c>
    </row>
    <row r="95" customFormat="false" ht="15" hidden="false" customHeight="true" outlineLevel="0" collapsed="false">
      <c r="B95" s="20" t="n">
        <v>87</v>
      </c>
      <c r="C95" s="20" t="n">
        <f aca="false">'Plan cashflow'!J95</f>
        <v>0</v>
      </c>
      <c r="D95" s="20" t="n">
        <f aca="false">IF(C95&gt;PR_BalDone,C95+C95*(F_MR/12)-MIN(F_MortPayM,C95+C95*(F_MR/12)),C95)</f>
        <v>0</v>
      </c>
      <c r="E95" s="20" t="n">
        <f aca="false">IF(D95&gt;PR_BalDone,D95+D95*(F_MR/12)-MIN(F_MortPayM,D95+D95*(F_MR/12)),D95)</f>
        <v>0</v>
      </c>
      <c r="F95" s="20" t="n">
        <f aca="false">IF(E95&gt;PR_BalDone,E95+E95*(F_MR/12)-MIN(F_MortPayM,E95+E95*(F_MR/12)),E95)</f>
        <v>0</v>
      </c>
      <c r="G95" s="20" t="n">
        <f aca="false">IF(F95&gt;PR_BalDone,F95+F95*(F_MR/12)-MIN(F_MortPayM,F95+F95*(F_MR/12)),F95)</f>
        <v>0</v>
      </c>
      <c r="H95" s="20" t="n">
        <f aca="false">IF(G95&gt;PR_BalDone,G95+G95*(F_MR/12)-MIN(F_MortPayM,G95+G95*(F_MR/12)),G95)</f>
        <v>0</v>
      </c>
      <c r="I95" s="20" t="n">
        <f aca="false">IF(H95&gt;PR_BalDone,H95+H95*(F_MR/12)-MIN(F_MortPayM,H95+H95*(F_MR/12)),H95)</f>
        <v>0</v>
      </c>
      <c r="J95" s="20" t="n">
        <f aca="false">IF(I95&gt;PR_BalDone,I95+I95*(F_MR/12)-MIN(F_MortPayM,I95+I95*(F_MR/12)),I95)</f>
        <v>0</v>
      </c>
      <c r="K95" s="20" t="n">
        <f aca="false">IF(J95&gt;PR_BalDone,J95+J95*(F_MR/12)-MIN(F_MortPayM,J95+J95*(F_MR/12)),J95)</f>
        <v>0</v>
      </c>
      <c r="L95" s="20" t="n">
        <f aca="false">IF(K95&gt;PR_BalDone,K95+K95*(F_MR/12)-MIN(F_MortPayM,K95+K95*(F_MR/12)),K95)</f>
        <v>0</v>
      </c>
      <c r="M95" s="20" t="n">
        <f aca="false">IF(L95&gt;PR_BalDone,L95+L95*(F_MR/12)-MIN(F_MortPayM,L95+L95*(F_MR/12)),L95)</f>
        <v>0</v>
      </c>
      <c r="N95" s="20" t="n">
        <f aca="false">IF(M95&gt;PR_BalDone,M95+M95*(F_MR/12)-MIN(F_MortPayM,M95+M95*(F_MR/12)),M95)</f>
        <v>0</v>
      </c>
      <c r="O95" s="20" t="n">
        <f aca="false">IF(N95&gt;PR_BalDone,N95+N95*(F_MR/12)-MIN(F_MortPayM,N95+N95*(F_MR/12)),N95)</f>
        <v>0</v>
      </c>
      <c r="P95" s="20" t="n">
        <f aca="false">IF(C95&gt;PR_BalDone,MIN(F_MortPayM,C95+C95*(F_MR/12)),0)</f>
        <v>0</v>
      </c>
      <c r="Q95" s="20" t="n">
        <f aca="false">IF(D95&gt;PR_BalDone,MIN(F_MortPayM,D95+D95*(F_MR/12)),0)</f>
        <v>0</v>
      </c>
      <c r="R95" s="20" t="n">
        <f aca="false">IF(E95&gt;PR_BalDone,MIN(F_MortPayM,E95+E95*(F_MR/12)),0)</f>
        <v>0</v>
      </c>
      <c r="S95" s="20" t="n">
        <f aca="false">IF(F95&gt;PR_BalDone,MIN(F_MortPayM,F95+F95*(F_MR/12)),0)</f>
        <v>0</v>
      </c>
      <c r="T95" s="20" t="n">
        <f aca="false">IF(G95&gt;PR_BalDone,MIN(F_MortPayM,G95+G95*(F_MR/12)),0)</f>
        <v>0</v>
      </c>
      <c r="U95" s="20" t="n">
        <f aca="false">IF(H95&gt;PR_BalDone,MIN(F_MortPayM,H95+H95*(F_MR/12)),0)</f>
        <v>0</v>
      </c>
      <c r="V95" s="20" t="n">
        <f aca="false">IF(I95&gt;PR_BalDone,MIN(F_MortPayM,I95+I95*(F_MR/12)),0)</f>
        <v>0</v>
      </c>
      <c r="W95" s="20" t="n">
        <f aca="false">IF(J95&gt;PR_BalDone,MIN(F_MortPayM,J95+J95*(F_MR/12)),0)</f>
        <v>0</v>
      </c>
      <c r="X95" s="20" t="n">
        <f aca="false">IF(K95&gt;PR_BalDone,MIN(F_MortPayM,K95+K95*(F_MR/12)),0)</f>
        <v>0</v>
      </c>
      <c r="Y95" s="20" t="n">
        <f aca="false">IF(L95&gt;PR_BalDone,MIN(F_MortPayM,L95+L95*(F_MR/12)),0)</f>
        <v>0</v>
      </c>
      <c r="Z95" s="20" t="n">
        <f aca="false">IF(M95&gt;PR_BalDone,MIN(F_MortPayM,M95+M95*(F_MR/12)),0)</f>
        <v>0</v>
      </c>
      <c r="AA95" s="20" t="n">
        <f aca="false">IF(N95&gt;PR_BalDone,MIN(F_MortPayM,N95+N95*(F_MR/12)),0)</f>
        <v>0</v>
      </c>
      <c r="AB95" s="20" t="n">
        <f aca="false">MAX(0,O95)</f>
        <v>0</v>
      </c>
      <c r="AC95" s="20" t="n">
        <f aca="false">SUM(P95:AA95)</f>
        <v>0</v>
      </c>
      <c r="AD95" s="20" t="n">
        <f aca="false">'Plan cashflow'!M95</f>
        <v>0</v>
      </c>
      <c r="AE95" s="20" t="n">
        <f aca="false">IF(AD95&gt;PR_BalDone,AD95+AD95*(D_iC)-MIN(F_CardPayM,AD95+AD95*(D_iC)),AD95)</f>
        <v>0</v>
      </c>
      <c r="AF95" s="20" t="n">
        <f aca="false">IF(AE95&gt;PR_BalDone,AE95+AE95*(D_iC)-MIN(F_CardPayM,AE95+AE95*(D_iC)),AE95)</f>
        <v>0</v>
      </c>
      <c r="AG95" s="20" t="n">
        <f aca="false">IF(AF95&gt;PR_BalDone,AF95+AF95*(D_iC)-MIN(F_CardPayM,AF95+AF95*(D_iC)),AF95)</f>
        <v>0</v>
      </c>
      <c r="AH95" s="20" t="n">
        <f aca="false">IF(AG95&gt;PR_BalDone,AG95+AG95*(D_iC)-MIN(F_CardPayM,AG95+AG95*(D_iC)),AG95)</f>
        <v>0</v>
      </c>
      <c r="AI95" s="20" t="n">
        <f aca="false">IF(AH95&gt;PR_BalDone,AH95+AH95*(D_iC)-MIN(F_CardPayM,AH95+AH95*(D_iC)),AH95)</f>
        <v>0</v>
      </c>
      <c r="AJ95" s="20" t="n">
        <f aca="false">IF(AI95&gt;PR_BalDone,AI95+AI95*(D_iC)-MIN(F_CardPayM,AI95+AI95*(D_iC)),AI95)</f>
        <v>0</v>
      </c>
      <c r="AK95" s="20" t="n">
        <f aca="false">IF(AJ95&gt;PR_BalDone,AJ95+AJ95*(D_iC)-MIN(F_CardPayM,AJ95+AJ95*(D_iC)),AJ95)</f>
        <v>0</v>
      </c>
      <c r="AL95" s="20" t="n">
        <f aca="false">IF(AK95&gt;PR_BalDone,AK95+AK95*(D_iC)-MIN(F_CardPayM,AK95+AK95*(D_iC)),AK95)</f>
        <v>0</v>
      </c>
      <c r="AM95" s="20" t="n">
        <f aca="false">IF(AL95&gt;PR_BalDone,AL95+AL95*(D_iC)-MIN(F_CardPayM,AL95+AL95*(D_iC)),AL95)</f>
        <v>0</v>
      </c>
      <c r="AN95" s="20" t="n">
        <f aca="false">IF(AM95&gt;PR_BalDone,AM95+AM95*(D_iC)-MIN(F_CardPayM,AM95+AM95*(D_iC)),AM95)</f>
        <v>0</v>
      </c>
      <c r="AO95" s="20" t="n">
        <f aca="false">IF(AN95&gt;PR_BalDone,AN95+AN95*(D_iC)-MIN(F_CardPayM,AN95+AN95*(D_iC)),AN95)</f>
        <v>0</v>
      </c>
      <c r="AP95" s="20" t="n">
        <f aca="false">IF(AO95&gt;PR_BalDone,AO95+AO95*(D_iC)-MIN(F_CardPayM,AO95+AO95*(D_iC)),AO95)</f>
        <v>0</v>
      </c>
      <c r="AQ95" s="20" t="n">
        <f aca="false">IF(AD95&gt;PR_BalDone,MIN(F_CardPayM,AD95+AD95*(D_iC)),0)</f>
        <v>0</v>
      </c>
      <c r="AR95" s="20" t="n">
        <f aca="false">IF(AE95&gt;PR_BalDone,MIN(F_CardPayM,AE95+AE95*(D_iC)),0)</f>
        <v>0</v>
      </c>
      <c r="AS95" s="20" t="n">
        <f aca="false">IF(AF95&gt;PR_BalDone,MIN(F_CardPayM,AF95+AF95*(D_iC)),0)</f>
        <v>0</v>
      </c>
      <c r="AT95" s="20" t="n">
        <f aca="false">IF(AG95&gt;PR_BalDone,MIN(F_CardPayM,AG95+AG95*(D_iC)),0)</f>
        <v>0</v>
      </c>
      <c r="AU95" s="20" t="n">
        <f aca="false">IF(AH95&gt;PR_BalDone,MIN(F_CardPayM,AH95+AH95*(D_iC)),0)</f>
        <v>0</v>
      </c>
      <c r="AV95" s="20" t="n">
        <f aca="false">IF(AI95&gt;PR_BalDone,MIN(F_CardPayM,AI95+AI95*(D_iC)),0)</f>
        <v>0</v>
      </c>
      <c r="AW95" s="20" t="n">
        <f aca="false">IF(AJ95&gt;PR_BalDone,MIN(F_CardPayM,AJ95+AJ95*(D_iC)),0)</f>
        <v>0</v>
      </c>
      <c r="AX95" s="20" t="n">
        <f aca="false">IF(AK95&gt;PR_BalDone,MIN(F_CardPayM,AK95+AK95*(D_iC)),0)</f>
        <v>0</v>
      </c>
      <c r="AY95" s="20" t="n">
        <f aca="false">IF(AL95&gt;PR_BalDone,MIN(F_CardPayM,AL95+AL95*(D_iC)),0)</f>
        <v>0</v>
      </c>
      <c r="AZ95" s="20" t="n">
        <f aca="false">IF(AM95&gt;PR_BalDone,MIN(F_CardPayM,AM95+AM95*(D_iC)),0)</f>
        <v>0</v>
      </c>
      <c r="BA95" s="20" t="n">
        <f aca="false">IF(AN95&gt;PR_BalDone,MIN(F_CardPayM,AN95+AN95*(D_iC)),0)</f>
        <v>0</v>
      </c>
      <c r="BB95" s="20" t="n">
        <f aca="false">IF(AO95&gt;PR_BalDone,MIN(F_CardPayM,AO95+AO95*(D_iC)),0)</f>
        <v>0</v>
      </c>
      <c r="BC95" s="20" t="n">
        <f aca="false">MAX(0,AP95)</f>
        <v>0</v>
      </c>
      <c r="BD95" s="20" t="n">
        <f aca="false">SUM(AQ95:BB95)</f>
        <v>0</v>
      </c>
      <c r="BE95" s="20" t="n">
        <f aca="false">'Plan cashflow'!P95</f>
        <v>0</v>
      </c>
      <c r="BF95" s="20" t="n">
        <f aca="false">IF(BE95&gt;PR_BalDone,BE95+BE95*(D_iL)-MIN(F_LoanPayM,BE95+BE95*(D_iL)),BE95)</f>
        <v>0</v>
      </c>
      <c r="BG95" s="20" t="n">
        <f aca="false">IF(BF95&gt;PR_BalDone,BF95+BF95*(D_iL)-MIN(F_LoanPayM,BF95+BF95*(D_iL)),BF95)</f>
        <v>0</v>
      </c>
      <c r="BH95" s="20" t="n">
        <f aca="false">IF(BG95&gt;PR_BalDone,BG95+BG95*(D_iL)-MIN(F_LoanPayM,BG95+BG95*(D_iL)),BG95)</f>
        <v>0</v>
      </c>
      <c r="BI95" s="20" t="n">
        <f aca="false">IF(BH95&gt;PR_BalDone,BH95+BH95*(D_iL)-MIN(F_LoanPayM,BH95+BH95*(D_iL)),BH95)</f>
        <v>0</v>
      </c>
      <c r="BJ95" s="20" t="n">
        <f aca="false">IF(BI95&gt;PR_BalDone,BI95+BI95*(D_iL)-MIN(F_LoanPayM,BI95+BI95*(D_iL)),BI95)</f>
        <v>0</v>
      </c>
      <c r="BK95" s="20" t="n">
        <f aca="false">IF(BJ95&gt;PR_BalDone,BJ95+BJ95*(D_iL)-MIN(F_LoanPayM,BJ95+BJ95*(D_iL)),BJ95)</f>
        <v>0</v>
      </c>
      <c r="BL95" s="20" t="n">
        <f aca="false">IF(BK95&gt;PR_BalDone,BK95+BK95*(D_iL)-MIN(F_LoanPayM,BK95+BK95*(D_iL)),BK95)</f>
        <v>0</v>
      </c>
      <c r="BM95" s="20" t="n">
        <f aca="false">IF(BL95&gt;PR_BalDone,BL95+BL95*(D_iL)-MIN(F_LoanPayM,BL95+BL95*(D_iL)),BL95)</f>
        <v>0</v>
      </c>
      <c r="BN95" s="20" t="n">
        <f aca="false">IF(BM95&gt;PR_BalDone,BM95+BM95*(D_iL)-MIN(F_LoanPayM,BM95+BM95*(D_iL)),BM95)</f>
        <v>0</v>
      </c>
      <c r="BO95" s="20" t="n">
        <f aca="false">IF(BN95&gt;PR_BalDone,BN95+BN95*(D_iL)-MIN(F_LoanPayM,BN95+BN95*(D_iL)),BN95)</f>
        <v>0</v>
      </c>
      <c r="BP95" s="20" t="n">
        <f aca="false">IF(BO95&gt;PR_BalDone,BO95+BO95*(D_iL)-MIN(F_LoanPayM,BO95+BO95*(D_iL)),BO95)</f>
        <v>0</v>
      </c>
      <c r="BQ95" s="20" t="n">
        <f aca="false">IF(BP95&gt;PR_BalDone,BP95+BP95*(D_iL)-MIN(F_LoanPayM,BP95+BP95*(D_iL)),BP95)</f>
        <v>0</v>
      </c>
      <c r="BR95" s="20" t="n">
        <f aca="false">IF(BE95&gt;PR_BalDone,MIN(F_LoanPayM,BE95+BE95*(D_iL)),0)</f>
        <v>0</v>
      </c>
      <c r="BS95" s="20" t="n">
        <f aca="false">IF(BF95&gt;PR_BalDone,MIN(F_LoanPayM,BF95+BF95*(D_iL)),0)</f>
        <v>0</v>
      </c>
      <c r="BT95" s="20" t="n">
        <f aca="false">IF(BG95&gt;PR_BalDone,MIN(F_LoanPayM,BG95+BG95*(D_iL)),0)</f>
        <v>0</v>
      </c>
      <c r="BU95" s="20" t="n">
        <f aca="false">IF(BH95&gt;PR_BalDone,MIN(F_LoanPayM,BH95+BH95*(D_iL)),0)</f>
        <v>0</v>
      </c>
      <c r="BV95" s="20" t="n">
        <f aca="false">IF(BI95&gt;PR_BalDone,MIN(F_LoanPayM,BI95+BI95*(D_iL)),0)</f>
        <v>0</v>
      </c>
      <c r="BW95" s="20" t="n">
        <f aca="false">IF(BJ95&gt;PR_BalDone,MIN(F_LoanPayM,BJ95+BJ95*(D_iL)),0)</f>
        <v>0</v>
      </c>
      <c r="BX95" s="20" t="n">
        <f aca="false">IF(BK95&gt;PR_BalDone,MIN(F_LoanPayM,BK95+BK95*(D_iL)),0)</f>
        <v>0</v>
      </c>
      <c r="BY95" s="20" t="n">
        <f aca="false">IF(BL95&gt;PR_BalDone,MIN(F_LoanPayM,BL95+BL95*(D_iL)),0)</f>
        <v>0</v>
      </c>
      <c r="BZ95" s="20" t="n">
        <f aca="false">IF(BM95&gt;PR_BalDone,MIN(F_LoanPayM,BM95+BM95*(D_iL)),0)</f>
        <v>0</v>
      </c>
      <c r="CA95" s="20" t="n">
        <f aca="false">IF(BN95&gt;PR_BalDone,MIN(F_LoanPayM,BN95+BN95*(D_iL)),0)</f>
        <v>0</v>
      </c>
      <c r="CB95" s="20" t="n">
        <f aca="false">IF(BO95&gt;PR_BalDone,MIN(F_LoanPayM,BO95+BO95*(D_iL)),0)</f>
        <v>0</v>
      </c>
      <c r="CC95" s="20" t="n">
        <f aca="false">IF(BP95&gt;PR_BalDone,MIN(F_LoanPayM,BP95+BP95*(D_iL)),0)</f>
        <v>0</v>
      </c>
      <c r="CD95" s="20" t="n">
        <f aca="false">MAX(0,BQ95)</f>
        <v>0</v>
      </c>
      <c r="CE95" s="20" t="n">
        <f aca="false">SUM(BR95:CC95)</f>
        <v>0</v>
      </c>
      <c r="CF95" s="20" t="n">
        <f aca="false">IF(CF94&gt;1,DE94,CF94)</f>
        <v>0</v>
      </c>
      <c r="CG95" s="20" t="n">
        <f aca="false">IF(CF95&gt;PR_BalDone,CF95+CF95*(F_MR/12)-MIN(F_MortPayM,CF95+CF95*(F_MR/12)),CF95)</f>
        <v>0</v>
      </c>
      <c r="CH95" s="20" t="n">
        <f aca="false">IF(CG95&gt;PR_BalDone,CG95+CG95*(F_MR/12)-MIN(F_MortPayM,CG95+CG95*(F_MR/12)),CG95)</f>
        <v>0</v>
      </c>
      <c r="CI95" s="20" t="n">
        <f aca="false">IF(CH95&gt;PR_BalDone,CH95+CH95*(F_MR/12)-MIN(F_MortPayM,CH95+CH95*(F_MR/12)),CH95)</f>
        <v>0</v>
      </c>
      <c r="CJ95" s="20" t="n">
        <f aca="false">IF(CI95&gt;PR_BalDone,CI95+CI95*(F_MR/12)-MIN(F_MortPayM,CI95+CI95*(F_MR/12)),CI95)</f>
        <v>0</v>
      </c>
      <c r="CK95" s="20" t="n">
        <f aca="false">IF(CJ95&gt;PR_BalDone,CJ95+CJ95*(F_MR/12)-MIN(F_MortPayM,CJ95+CJ95*(F_MR/12)),CJ95)</f>
        <v>0</v>
      </c>
      <c r="CL95" s="20" t="n">
        <f aca="false">IF(CK95&gt;PR_BalDone,CK95+CK95*(F_MR/12)-MIN(F_MortPayM,CK95+CK95*(F_MR/12)),CK95)</f>
        <v>0</v>
      </c>
      <c r="CM95" s="20" t="n">
        <f aca="false">IF(CL95&gt;PR_BalDone,CL95+CL95*(F_MR/12)-MIN(F_MortPayM,CL95+CL95*(F_MR/12)),CL95)</f>
        <v>0</v>
      </c>
      <c r="CN95" s="20" t="n">
        <f aca="false">IF(CM95&gt;PR_BalDone,CM95+CM95*(F_MR/12)-MIN(F_MortPayM,CM95+CM95*(F_MR/12)),CM95)</f>
        <v>0</v>
      </c>
      <c r="CO95" s="20" t="n">
        <f aca="false">IF(CN95&gt;PR_BalDone,CN95+CN95*(F_MR/12)-MIN(F_MortPayM,CN95+CN95*(F_MR/12)),CN95)</f>
        <v>0</v>
      </c>
      <c r="CP95" s="20" t="n">
        <f aca="false">IF(CO95&gt;PR_BalDone,CO95+CO95*(F_MR/12)-MIN(F_MortPayM,CO95+CO95*(F_MR/12)),CO95)</f>
        <v>0</v>
      </c>
      <c r="CQ95" s="20" t="n">
        <f aca="false">IF(CP95&gt;PR_BalDone,CP95+CP95*(F_MR/12)-MIN(F_MortPayM,CP95+CP95*(F_MR/12)),CP95)</f>
        <v>0</v>
      </c>
      <c r="CR95" s="20" t="n">
        <f aca="false">IF(CQ95&gt;PR_BalDone,CQ95+CQ95*(F_MR/12)-MIN(F_MortPayM,CQ95+CQ95*(F_MR/12)),CQ95)</f>
        <v>0</v>
      </c>
      <c r="CS95" s="20" t="n">
        <f aca="false">IF(CF95&gt;PR_BalDone,MIN(F_MortPayM,CF95+CF95*(F_MR/12)),0)</f>
        <v>0</v>
      </c>
      <c r="CT95" s="20" t="n">
        <f aca="false">IF(CG95&gt;PR_BalDone,MIN(F_MortPayM,CG95+CG95*(F_MR/12)),0)</f>
        <v>0</v>
      </c>
      <c r="CU95" s="20" t="n">
        <f aca="false">IF(CH95&gt;PR_BalDone,MIN(F_MortPayM,CH95+CH95*(F_MR/12)),0)</f>
        <v>0</v>
      </c>
      <c r="CV95" s="20" t="n">
        <f aca="false">IF(CI95&gt;PR_BalDone,MIN(F_MortPayM,CI95+CI95*(F_MR/12)),0)</f>
        <v>0</v>
      </c>
      <c r="CW95" s="20" t="n">
        <f aca="false">IF(CJ95&gt;PR_BalDone,MIN(F_MortPayM,CJ95+CJ95*(F_MR/12)),0)</f>
        <v>0</v>
      </c>
      <c r="CX95" s="20" t="n">
        <f aca="false">IF(CK95&gt;PR_BalDone,MIN(F_MortPayM,CK95+CK95*(F_MR/12)),0)</f>
        <v>0</v>
      </c>
      <c r="CY95" s="20" t="n">
        <f aca="false">IF(CL95&gt;PR_BalDone,MIN(F_MortPayM,CL95+CL95*(F_MR/12)),0)</f>
        <v>0</v>
      </c>
      <c r="CZ95" s="20" t="n">
        <f aca="false">IF(CM95&gt;PR_BalDone,MIN(F_MortPayM,CM95+CM95*(F_MR/12)),0)</f>
        <v>0</v>
      </c>
      <c r="DA95" s="20" t="n">
        <f aca="false">IF(CN95&gt;PR_BalDone,MIN(F_MortPayM,CN95+CN95*(F_MR/12)),0)</f>
        <v>0</v>
      </c>
      <c r="DB95" s="20" t="n">
        <f aca="false">IF(CO95&gt;PR_BalDone,MIN(F_MortPayM,CO95+CO95*(F_MR/12)),0)</f>
        <v>0</v>
      </c>
      <c r="DC95" s="20" t="n">
        <f aca="false">IF(CP95&gt;PR_BalDone,MIN(F_MortPayM,CP95+CP95*(F_MR/12)),0)</f>
        <v>0</v>
      </c>
      <c r="DD95" s="20" t="n">
        <f aca="false">IF(CQ95&gt;PR_BalDone,MIN(F_MortPayM,CQ95+CQ95*(F_MR/12)),0)</f>
        <v>0</v>
      </c>
      <c r="DE95" s="20" t="n">
        <f aca="false">MAX(0,CR95)</f>
        <v>0</v>
      </c>
      <c r="DF95" s="20" t="n">
        <f aca="false">SUM(CS95:DD95)</f>
        <v>0</v>
      </c>
      <c r="DG95" s="20" t="n">
        <f aca="false">MAX(0,CF95)</f>
        <v>0</v>
      </c>
    </row>
    <row r="96" customFormat="false" ht="15" hidden="false" customHeight="true" outlineLevel="0" collapsed="false">
      <c r="B96" s="20" t="n">
        <v>88</v>
      </c>
      <c r="C96" s="20" t="n">
        <f aca="false">'Plan cashflow'!J96</f>
        <v>0</v>
      </c>
      <c r="D96" s="20" t="n">
        <f aca="false">IF(C96&gt;PR_BalDone,C96+C96*(F_MR/12)-MIN(F_MortPayM,C96+C96*(F_MR/12)),C96)</f>
        <v>0</v>
      </c>
      <c r="E96" s="20" t="n">
        <f aca="false">IF(D96&gt;PR_BalDone,D96+D96*(F_MR/12)-MIN(F_MortPayM,D96+D96*(F_MR/12)),D96)</f>
        <v>0</v>
      </c>
      <c r="F96" s="20" t="n">
        <f aca="false">IF(E96&gt;PR_BalDone,E96+E96*(F_MR/12)-MIN(F_MortPayM,E96+E96*(F_MR/12)),E96)</f>
        <v>0</v>
      </c>
      <c r="G96" s="20" t="n">
        <f aca="false">IF(F96&gt;PR_BalDone,F96+F96*(F_MR/12)-MIN(F_MortPayM,F96+F96*(F_MR/12)),F96)</f>
        <v>0</v>
      </c>
      <c r="H96" s="20" t="n">
        <f aca="false">IF(G96&gt;PR_BalDone,G96+G96*(F_MR/12)-MIN(F_MortPayM,G96+G96*(F_MR/12)),G96)</f>
        <v>0</v>
      </c>
      <c r="I96" s="20" t="n">
        <f aca="false">IF(H96&gt;PR_BalDone,H96+H96*(F_MR/12)-MIN(F_MortPayM,H96+H96*(F_MR/12)),H96)</f>
        <v>0</v>
      </c>
      <c r="J96" s="20" t="n">
        <f aca="false">IF(I96&gt;PR_BalDone,I96+I96*(F_MR/12)-MIN(F_MortPayM,I96+I96*(F_MR/12)),I96)</f>
        <v>0</v>
      </c>
      <c r="K96" s="20" t="n">
        <f aca="false">IF(J96&gt;PR_BalDone,J96+J96*(F_MR/12)-MIN(F_MortPayM,J96+J96*(F_MR/12)),J96)</f>
        <v>0</v>
      </c>
      <c r="L96" s="20" t="n">
        <f aca="false">IF(K96&gt;PR_BalDone,K96+K96*(F_MR/12)-MIN(F_MortPayM,K96+K96*(F_MR/12)),K96)</f>
        <v>0</v>
      </c>
      <c r="M96" s="20" t="n">
        <f aca="false">IF(L96&gt;PR_BalDone,L96+L96*(F_MR/12)-MIN(F_MortPayM,L96+L96*(F_MR/12)),L96)</f>
        <v>0</v>
      </c>
      <c r="N96" s="20" t="n">
        <f aca="false">IF(M96&gt;PR_BalDone,M96+M96*(F_MR/12)-MIN(F_MortPayM,M96+M96*(F_MR/12)),M96)</f>
        <v>0</v>
      </c>
      <c r="O96" s="20" t="n">
        <f aca="false">IF(N96&gt;PR_BalDone,N96+N96*(F_MR/12)-MIN(F_MortPayM,N96+N96*(F_MR/12)),N96)</f>
        <v>0</v>
      </c>
      <c r="P96" s="20" t="n">
        <f aca="false">IF(C96&gt;PR_BalDone,MIN(F_MortPayM,C96+C96*(F_MR/12)),0)</f>
        <v>0</v>
      </c>
      <c r="Q96" s="20" t="n">
        <f aca="false">IF(D96&gt;PR_BalDone,MIN(F_MortPayM,D96+D96*(F_MR/12)),0)</f>
        <v>0</v>
      </c>
      <c r="R96" s="20" t="n">
        <f aca="false">IF(E96&gt;PR_BalDone,MIN(F_MortPayM,E96+E96*(F_MR/12)),0)</f>
        <v>0</v>
      </c>
      <c r="S96" s="20" t="n">
        <f aca="false">IF(F96&gt;PR_BalDone,MIN(F_MortPayM,F96+F96*(F_MR/12)),0)</f>
        <v>0</v>
      </c>
      <c r="T96" s="20" t="n">
        <f aca="false">IF(G96&gt;PR_BalDone,MIN(F_MortPayM,G96+G96*(F_MR/12)),0)</f>
        <v>0</v>
      </c>
      <c r="U96" s="20" t="n">
        <f aca="false">IF(H96&gt;PR_BalDone,MIN(F_MortPayM,H96+H96*(F_MR/12)),0)</f>
        <v>0</v>
      </c>
      <c r="V96" s="20" t="n">
        <f aca="false">IF(I96&gt;PR_BalDone,MIN(F_MortPayM,I96+I96*(F_MR/12)),0)</f>
        <v>0</v>
      </c>
      <c r="W96" s="20" t="n">
        <f aca="false">IF(J96&gt;PR_BalDone,MIN(F_MortPayM,J96+J96*(F_MR/12)),0)</f>
        <v>0</v>
      </c>
      <c r="X96" s="20" t="n">
        <f aca="false">IF(K96&gt;PR_BalDone,MIN(F_MortPayM,K96+K96*(F_MR/12)),0)</f>
        <v>0</v>
      </c>
      <c r="Y96" s="20" t="n">
        <f aca="false">IF(L96&gt;PR_BalDone,MIN(F_MortPayM,L96+L96*(F_MR/12)),0)</f>
        <v>0</v>
      </c>
      <c r="Z96" s="20" t="n">
        <f aca="false">IF(M96&gt;PR_BalDone,MIN(F_MortPayM,M96+M96*(F_MR/12)),0)</f>
        <v>0</v>
      </c>
      <c r="AA96" s="20" t="n">
        <f aca="false">IF(N96&gt;PR_BalDone,MIN(F_MortPayM,N96+N96*(F_MR/12)),0)</f>
        <v>0</v>
      </c>
      <c r="AB96" s="20" t="n">
        <f aca="false">MAX(0,O96)</f>
        <v>0</v>
      </c>
      <c r="AC96" s="20" t="n">
        <f aca="false">SUM(P96:AA96)</f>
        <v>0</v>
      </c>
      <c r="AD96" s="20" t="n">
        <f aca="false">'Plan cashflow'!M96</f>
        <v>0</v>
      </c>
      <c r="AE96" s="20" t="n">
        <f aca="false">IF(AD96&gt;PR_BalDone,AD96+AD96*(D_iC)-MIN(F_CardPayM,AD96+AD96*(D_iC)),AD96)</f>
        <v>0</v>
      </c>
      <c r="AF96" s="20" t="n">
        <f aca="false">IF(AE96&gt;PR_BalDone,AE96+AE96*(D_iC)-MIN(F_CardPayM,AE96+AE96*(D_iC)),AE96)</f>
        <v>0</v>
      </c>
      <c r="AG96" s="20" t="n">
        <f aca="false">IF(AF96&gt;PR_BalDone,AF96+AF96*(D_iC)-MIN(F_CardPayM,AF96+AF96*(D_iC)),AF96)</f>
        <v>0</v>
      </c>
      <c r="AH96" s="20" t="n">
        <f aca="false">IF(AG96&gt;PR_BalDone,AG96+AG96*(D_iC)-MIN(F_CardPayM,AG96+AG96*(D_iC)),AG96)</f>
        <v>0</v>
      </c>
      <c r="AI96" s="20" t="n">
        <f aca="false">IF(AH96&gt;PR_BalDone,AH96+AH96*(D_iC)-MIN(F_CardPayM,AH96+AH96*(D_iC)),AH96)</f>
        <v>0</v>
      </c>
      <c r="AJ96" s="20" t="n">
        <f aca="false">IF(AI96&gt;PR_BalDone,AI96+AI96*(D_iC)-MIN(F_CardPayM,AI96+AI96*(D_iC)),AI96)</f>
        <v>0</v>
      </c>
      <c r="AK96" s="20" t="n">
        <f aca="false">IF(AJ96&gt;PR_BalDone,AJ96+AJ96*(D_iC)-MIN(F_CardPayM,AJ96+AJ96*(D_iC)),AJ96)</f>
        <v>0</v>
      </c>
      <c r="AL96" s="20" t="n">
        <f aca="false">IF(AK96&gt;PR_BalDone,AK96+AK96*(D_iC)-MIN(F_CardPayM,AK96+AK96*(D_iC)),AK96)</f>
        <v>0</v>
      </c>
      <c r="AM96" s="20" t="n">
        <f aca="false">IF(AL96&gt;PR_BalDone,AL96+AL96*(D_iC)-MIN(F_CardPayM,AL96+AL96*(D_iC)),AL96)</f>
        <v>0</v>
      </c>
      <c r="AN96" s="20" t="n">
        <f aca="false">IF(AM96&gt;PR_BalDone,AM96+AM96*(D_iC)-MIN(F_CardPayM,AM96+AM96*(D_iC)),AM96)</f>
        <v>0</v>
      </c>
      <c r="AO96" s="20" t="n">
        <f aca="false">IF(AN96&gt;PR_BalDone,AN96+AN96*(D_iC)-MIN(F_CardPayM,AN96+AN96*(D_iC)),AN96)</f>
        <v>0</v>
      </c>
      <c r="AP96" s="20" t="n">
        <f aca="false">IF(AO96&gt;PR_BalDone,AO96+AO96*(D_iC)-MIN(F_CardPayM,AO96+AO96*(D_iC)),AO96)</f>
        <v>0</v>
      </c>
      <c r="AQ96" s="20" t="n">
        <f aca="false">IF(AD96&gt;PR_BalDone,MIN(F_CardPayM,AD96+AD96*(D_iC)),0)</f>
        <v>0</v>
      </c>
      <c r="AR96" s="20" t="n">
        <f aca="false">IF(AE96&gt;PR_BalDone,MIN(F_CardPayM,AE96+AE96*(D_iC)),0)</f>
        <v>0</v>
      </c>
      <c r="AS96" s="20" t="n">
        <f aca="false">IF(AF96&gt;PR_BalDone,MIN(F_CardPayM,AF96+AF96*(D_iC)),0)</f>
        <v>0</v>
      </c>
      <c r="AT96" s="20" t="n">
        <f aca="false">IF(AG96&gt;PR_BalDone,MIN(F_CardPayM,AG96+AG96*(D_iC)),0)</f>
        <v>0</v>
      </c>
      <c r="AU96" s="20" t="n">
        <f aca="false">IF(AH96&gt;PR_BalDone,MIN(F_CardPayM,AH96+AH96*(D_iC)),0)</f>
        <v>0</v>
      </c>
      <c r="AV96" s="20" t="n">
        <f aca="false">IF(AI96&gt;PR_BalDone,MIN(F_CardPayM,AI96+AI96*(D_iC)),0)</f>
        <v>0</v>
      </c>
      <c r="AW96" s="20" t="n">
        <f aca="false">IF(AJ96&gt;PR_BalDone,MIN(F_CardPayM,AJ96+AJ96*(D_iC)),0)</f>
        <v>0</v>
      </c>
      <c r="AX96" s="20" t="n">
        <f aca="false">IF(AK96&gt;PR_BalDone,MIN(F_CardPayM,AK96+AK96*(D_iC)),0)</f>
        <v>0</v>
      </c>
      <c r="AY96" s="20" t="n">
        <f aca="false">IF(AL96&gt;PR_BalDone,MIN(F_CardPayM,AL96+AL96*(D_iC)),0)</f>
        <v>0</v>
      </c>
      <c r="AZ96" s="20" t="n">
        <f aca="false">IF(AM96&gt;PR_BalDone,MIN(F_CardPayM,AM96+AM96*(D_iC)),0)</f>
        <v>0</v>
      </c>
      <c r="BA96" s="20" t="n">
        <f aca="false">IF(AN96&gt;PR_BalDone,MIN(F_CardPayM,AN96+AN96*(D_iC)),0)</f>
        <v>0</v>
      </c>
      <c r="BB96" s="20" t="n">
        <f aca="false">IF(AO96&gt;PR_BalDone,MIN(F_CardPayM,AO96+AO96*(D_iC)),0)</f>
        <v>0</v>
      </c>
      <c r="BC96" s="20" t="n">
        <f aca="false">MAX(0,AP96)</f>
        <v>0</v>
      </c>
      <c r="BD96" s="20" t="n">
        <f aca="false">SUM(AQ96:BB96)</f>
        <v>0</v>
      </c>
      <c r="BE96" s="20" t="n">
        <f aca="false">'Plan cashflow'!P96</f>
        <v>0</v>
      </c>
      <c r="BF96" s="20" t="n">
        <f aca="false">IF(BE96&gt;PR_BalDone,BE96+BE96*(D_iL)-MIN(F_LoanPayM,BE96+BE96*(D_iL)),BE96)</f>
        <v>0</v>
      </c>
      <c r="BG96" s="20" t="n">
        <f aca="false">IF(BF96&gt;PR_BalDone,BF96+BF96*(D_iL)-MIN(F_LoanPayM,BF96+BF96*(D_iL)),BF96)</f>
        <v>0</v>
      </c>
      <c r="BH96" s="20" t="n">
        <f aca="false">IF(BG96&gt;PR_BalDone,BG96+BG96*(D_iL)-MIN(F_LoanPayM,BG96+BG96*(D_iL)),BG96)</f>
        <v>0</v>
      </c>
      <c r="BI96" s="20" t="n">
        <f aca="false">IF(BH96&gt;PR_BalDone,BH96+BH96*(D_iL)-MIN(F_LoanPayM,BH96+BH96*(D_iL)),BH96)</f>
        <v>0</v>
      </c>
      <c r="BJ96" s="20" t="n">
        <f aca="false">IF(BI96&gt;PR_BalDone,BI96+BI96*(D_iL)-MIN(F_LoanPayM,BI96+BI96*(D_iL)),BI96)</f>
        <v>0</v>
      </c>
      <c r="BK96" s="20" t="n">
        <f aca="false">IF(BJ96&gt;PR_BalDone,BJ96+BJ96*(D_iL)-MIN(F_LoanPayM,BJ96+BJ96*(D_iL)),BJ96)</f>
        <v>0</v>
      </c>
      <c r="BL96" s="20" t="n">
        <f aca="false">IF(BK96&gt;PR_BalDone,BK96+BK96*(D_iL)-MIN(F_LoanPayM,BK96+BK96*(D_iL)),BK96)</f>
        <v>0</v>
      </c>
      <c r="BM96" s="20" t="n">
        <f aca="false">IF(BL96&gt;PR_BalDone,BL96+BL96*(D_iL)-MIN(F_LoanPayM,BL96+BL96*(D_iL)),BL96)</f>
        <v>0</v>
      </c>
      <c r="BN96" s="20" t="n">
        <f aca="false">IF(BM96&gt;PR_BalDone,BM96+BM96*(D_iL)-MIN(F_LoanPayM,BM96+BM96*(D_iL)),BM96)</f>
        <v>0</v>
      </c>
      <c r="BO96" s="20" t="n">
        <f aca="false">IF(BN96&gt;PR_BalDone,BN96+BN96*(D_iL)-MIN(F_LoanPayM,BN96+BN96*(D_iL)),BN96)</f>
        <v>0</v>
      </c>
      <c r="BP96" s="20" t="n">
        <f aca="false">IF(BO96&gt;PR_BalDone,BO96+BO96*(D_iL)-MIN(F_LoanPayM,BO96+BO96*(D_iL)),BO96)</f>
        <v>0</v>
      </c>
      <c r="BQ96" s="20" t="n">
        <f aca="false">IF(BP96&gt;PR_BalDone,BP96+BP96*(D_iL)-MIN(F_LoanPayM,BP96+BP96*(D_iL)),BP96)</f>
        <v>0</v>
      </c>
      <c r="BR96" s="20" t="n">
        <f aca="false">IF(BE96&gt;PR_BalDone,MIN(F_LoanPayM,BE96+BE96*(D_iL)),0)</f>
        <v>0</v>
      </c>
      <c r="BS96" s="20" t="n">
        <f aca="false">IF(BF96&gt;PR_BalDone,MIN(F_LoanPayM,BF96+BF96*(D_iL)),0)</f>
        <v>0</v>
      </c>
      <c r="BT96" s="20" t="n">
        <f aca="false">IF(BG96&gt;PR_BalDone,MIN(F_LoanPayM,BG96+BG96*(D_iL)),0)</f>
        <v>0</v>
      </c>
      <c r="BU96" s="20" t="n">
        <f aca="false">IF(BH96&gt;PR_BalDone,MIN(F_LoanPayM,BH96+BH96*(D_iL)),0)</f>
        <v>0</v>
      </c>
      <c r="BV96" s="20" t="n">
        <f aca="false">IF(BI96&gt;PR_BalDone,MIN(F_LoanPayM,BI96+BI96*(D_iL)),0)</f>
        <v>0</v>
      </c>
      <c r="BW96" s="20" t="n">
        <f aca="false">IF(BJ96&gt;PR_BalDone,MIN(F_LoanPayM,BJ96+BJ96*(D_iL)),0)</f>
        <v>0</v>
      </c>
      <c r="BX96" s="20" t="n">
        <f aca="false">IF(BK96&gt;PR_BalDone,MIN(F_LoanPayM,BK96+BK96*(D_iL)),0)</f>
        <v>0</v>
      </c>
      <c r="BY96" s="20" t="n">
        <f aca="false">IF(BL96&gt;PR_BalDone,MIN(F_LoanPayM,BL96+BL96*(D_iL)),0)</f>
        <v>0</v>
      </c>
      <c r="BZ96" s="20" t="n">
        <f aca="false">IF(BM96&gt;PR_BalDone,MIN(F_LoanPayM,BM96+BM96*(D_iL)),0)</f>
        <v>0</v>
      </c>
      <c r="CA96" s="20" t="n">
        <f aca="false">IF(BN96&gt;PR_BalDone,MIN(F_LoanPayM,BN96+BN96*(D_iL)),0)</f>
        <v>0</v>
      </c>
      <c r="CB96" s="20" t="n">
        <f aca="false">IF(BO96&gt;PR_BalDone,MIN(F_LoanPayM,BO96+BO96*(D_iL)),0)</f>
        <v>0</v>
      </c>
      <c r="CC96" s="20" t="n">
        <f aca="false">IF(BP96&gt;PR_BalDone,MIN(F_LoanPayM,BP96+BP96*(D_iL)),0)</f>
        <v>0</v>
      </c>
      <c r="CD96" s="20" t="n">
        <f aca="false">MAX(0,BQ96)</f>
        <v>0</v>
      </c>
      <c r="CE96" s="20" t="n">
        <f aca="false">SUM(BR96:CC96)</f>
        <v>0</v>
      </c>
      <c r="CF96" s="20" t="n">
        <f aca="false">IF(CF95&gt;1,DE95,CF95)</f>
        <v>0</v>
      </c>
      <c r="CG96" s="20" t="n">
        <f aca="false">IF(CF96&gt;PR_BalDone,CF96+CF96*(F_MR/12)-MIN(F_MortPayM,CF96+CF96*(F_MR/12)),CF96)</f>
        <v>0</v>
      </c>
      <c r="CH96" s="20" t="n">
        <f aca="false">IF(CG96&gt;PR_BalDone,CG96+CG96*(F_MR/12)-MIN(F_MortPayM,CG96+CG96*(F_MR/12)),CG96)</f>
        <v>0</v>
      </c>
      <c r="CI96" s="20" t="n">
        <f aca="false">IF(CH96&gt;PR_BalDone,CH96+CH96*(F_MR/12)-MIN(F_MortPayM,CH96+CH96*(F_MR/12)),CH96)</f>
        <v>0</v>
      </c>
      <c r="CJ96" s="20" t="n">
        <f aca="false">IF(CI96&gt;PR_BalDone,CI96+CI96*(F_MR/12)-MIN(F_MortPayM,CI96+CI96*(F_MR/12)),CI96)</f>
        <v>0</v>
      </c>
      <c r="CK96" s="20" t="n">
        <f aca="false">IF(CJ96&gt;PR_BalDone,CJ96+CJ96*(F_MR/12)-MIN(F_MortPayM,CJ96+CJ96*(F_MR/12)),CJ96)</f>
        <v>0</v>
      </c>
      <c r="CL96" s="20" t="n">
        <f aca="false">IF(CK96&gt;PR_BalDone,CK96+CK96*(F_MR/12)-MIN(F_MortPayM,CK96+CK96*(F_MR/12)),CK96)</f>
        <v>0</v>
      </c>
      <c r="CM96" s="20" t="n">
        <f aca="false">IF(CL96&gt;PR_BalDone,CL96+CL96*(F_MR/12)-MIN(F_MortPayM,CL96+CL96*(F_MR/12)),CL96)</f>
        <v>0</v>
      </c>
      <c r="CN96" s="20" t="n">
        <f aca="false">IF(CM96&gt;PR_BalDone,CM96+CM96*(F_MR/12)-MIN(F_MortPayM,CM96+CM96*(F_MR/12)),CM96)</f>
        <v>0</v>
      </c>
      <c r="CO96" s="20" t="n">
        <f aca="false">IF(CN96&gt;PR_BalDone,CN96+CN96*(F_MR/12)-MIN(F_MortPayM,CN96+CN96*(F_MR/12)),CN96)</f>
        <v>0</v>
      </c>
      <c r="CP96" s="20" t="n">
        <f aca="false">IF(CO96&gt;PR_BalDone,CO96+CO96*(F_MR/12)-MIN(F_MortPayM,CO96+CO96*(F_MR/12)),CO96)</f>
        <v>0</v>
      </c>
      <c r="CQ96" s="20" t="n">
        <f aca="false">IF(CP96&gt;PR_BalDone,CP96+CP96*(F_MR/12)-MIN(F_MortPayM,CP96+CP96*(F_MR/12)),CP96)</f>
        <v>0</v>
      </c>
      <c r="CR96" s="20" t="n">
        <f aca="false">IF(CQ96&gt;PR_BalDone,CQ96+CQ96*(F_MR/12)-MIN(F_MortPayM,CQ96+CQ96*(F_MR/12)),CQ96)</f>
        <v>0</v>
      </c>
      <c r="CS96" s="20" t="n">
        <f aca="false">IF(CF96&gt;PR_BalDone,MIN(F_MortPayM,CF96+CF96*(F_MR/12)),0)</f>
        <v>0</v>
      </c>
      <c r="CT96" s="20" t="n">
        <f aca="false">IF(CG96&gt;PR_BalDone,MIN(F_MortPayM,CG96+CG96*(F_MR/12)),0)</f>
        <v>0</v>
      </c>
      <c r="CU96" s="20" t="n">
        <f aca="false">IF(CH96&gt;PR_BalDone,MIN(F_MortPayM,CH96+CH96*(F_MR/12)),0)</f>
        <v>0</v>
      </c>
      <c r="CV96" s="20" t="n">
        <f aca="false">IF(CI96&gt;PR_BalDone,MIN(F_MortPayM,CI96+CI96*(F_MR/12)),0)</f>
        <v>0</v>
      </c>
      <c r="CW96" s="20" t="n">
        <f aca="false">IF(CJ96&gt;PR_BalDone,MIN(F_MortPayM,CJ96+CJ96*(F_MR/12)),0)</f>
        <v>0</v>
      </c>
      <c r="CX96" s="20" t="n">
        <f aca="false">IF(CK96&gt;PR_BalDone,MIN(F_MortPayM,CK96+CK96*(F_MR/12)),0)</f>
        <v>0</v>
      </c>
      <c r="CY96" s="20" t="n">
        <f aca="false">IF(CL96&gt;PR_BalDone,MIN(F_MortPayM,CL96+CL96*(F_MR/12)),0)</f>
        <v>0</v>
      </c>
      <c r="CZ96" s="20" t="n">
        <f aca="false">IF(CM96&gt;PR_BalDone,MIN(F_MortPayM,CM96+CM96*(F_MR/12)),0)</f>
        <v>0</v>
      </c>
      <c r="DA96" s="20" t="n">
        <f aca="false">IF(CN96&gt;PR_BalDone,MIN(F_MortPayM,CN96+CN96*(F_MR/12)),0)</f>
        <v>0</v>
      </c>
      <c r="DB96" s="20" t="n">
        <f aca="false">IF(CO96&gt;PR_BalDone,MIN(F_MortPayM,CO96+CO96*(F_MR/12)),0)</f>
        <v>0</v>
      </c>
      <c r="DC96" s="20" t="n">
        <f aca="false">IF(CP96&gt;PR_BalDone,MIN(F_MortPayM,CP96+CP96*(F_MR/12)),0)</f>
        <v>0</v>
      </c>
      <c r="DD96" s="20" t="n">
        <f aca="false">IF(CQ96&gt;PR_BalDone,MIN(F_MortPayM,CQ96+CQ96*(F_MR/12)),0)</f>
        <v>0</v>
      </c>
      <c r="DE96" s="20" t="n">
        <f aca="false">MAX(0,CR96)</f>
        <v>0</v>
      </c>
      <c r="DF96" s="20" t="n">
        <f aca="false">SUM(CS96:DD96)</f>
        <v>0</v>
      </c>
      <c r="DG96" s="20" t="n">
        <f aca="false">MAX(0,CF96)</f>
        <v>0</v>
      </c>
    </row>
    <row r="97" customFormat="false" ht="15" hidden="false" customHeight="true" outlineLevel="0" collapsed="false">
      <c r="B97" s="20" t="n">
        <v>89</v>
      </c>
      <c r="C97" s="20" t="n">
        <f aca="false">'Plan cashflow'!J97</f>
        <v>0</v>
      </c>
      <c r="D97" s="20" t="n">
        <f aca="false">IF(C97&gt;PR_BalDone,C97+C97*(F_MR/12)-MIN(F_MortPayM,C97+C97*(F_MR/12)),C97)</f>
        <v>0</v>
      </c>
      <c r="E97" s="20" t="n">
        <f aca="false">IF(D97&gt;PR_BalDone,D97+D97*(F_MR/12)-MIN(F_MortPayM,D97+D97*(F_MR/12)),D97)</f>
        <v>0</v>
      </c>
      <c r="F97" s="20" t="n">
        <f aca="false">IF(E97&gt;PR_BalDone,E97+E97*(F_MR/12)-MIN(F_MortPayM,E97+E97*(F_MR/12)),E97)</f>
        <v>0</v>
      </c>
      <c r="G97" s="20" t="n">
        <f aca="false">IF(F97&gt;PR_BalDone,F97+F97*(F_MR/12)-MIN(F_MortPayM,F97+F97*(F_MR/12)),F97)</f>
        <v>0</v>
      </c>
      <c r="H97" s="20" t="n">
        <f aca="false">IF(G97&gt;PR_BalDone,G97+G97*(F_MR/12)-MIN(F_MortPayM,G97+G97*(F_MR/12)),G97)</f>
        <v>0</v>
      </c>
      <c r="I97" s="20" t="n">
        <f aca="false">IF(H97&gt;PR_BalDone,H97+H97*(F_MR/12)-MIN(F_MortPayM,H97+H97*(F_MR/12)),H97)</f>
        <v>0</v>
      </c>
      <c r="J97" s="20" t="n">
        <f aca="false">IF(I97&gt;PR_BalDone,I97+I97*(F_MR/12)-MIN(F_MortPayM,I97+I97*(F_MR/12)),I97)</f>
        <v>0</v>
      </c>
      <c r="K97" s="20" t="n">
        <f aca="false">IF(J97&gt;PR_BalDone,J97+J97*(F_MR/12)-MIN(F_MortPayM,J97+J97*(F_MR/12)),J97)</f>
        <v>0</v>
      </c>
      <c r="L97" s="20" t="n">
        <f aca="false">IF(K97&gt;PR_BalDone,K97+K97*(F_MR/12)-MIN(F_MortPayM,K97+K97*(F_MR/12)),K97)</f>
        <v>0</v>
      </c>
      <c r="M97" s="20" t="n">
        <f aca="false">IF(L97&gt;PR_BalDone,L97+L97*(F_MR/12)-MIN(F_MortPayM,L97+L97*(F_MR/12)),L97)</f>
        <v>0</v>
      </c>
      <c r="N97" s="20" t="n">
        <f aca="false">IF(M97&gt;PR_BalDone,M97+M97*(F_MR/12)-MIN(F_MortPayM,M97+M97*(F_MR/12)),M97)</f>
        <v>0</v>
      </c>
      <c r="O97" s="20" t="n">
        <f aca="false">IF(N97&gt;PR_BalDone,N97+N97*(F_MR/12)-MIN(F_MortPayM,N97+N97*(F_MR/12)),N97)</f>
        <v>0</v>
      </c>
      <c r="P97" s="20" t="n">
        <f aca="false">IF(C97&gt;PR_BalDone,MIN(F_MortPayM,C97+C97*(F_MR/12)),0)</f>
        <v>0</v>
      </c>
      <c r="Q97" s="20" t="n">
        <f aca="false">IF(D97&gt;PR_BalDone,MIN(F_MortPayM,D97+D97*(F_MR/12)),0)</f>
        <v>0</v>
      </c>
      <c r="R97" s="20" t="n">
        <f aca="false">IF(E97&gt;PR_BalDone,MIN(F_MortPayM,E97+E97*(F_MR/12)),0)</f>
        <v>0</v>
      </c>
      <c r="S97" s="20" t="n">
        <f aca="false">IF(F97&gt;PR_BalDone,MIN(F_MortPayM,F97+F97*(F_MR/12)),0)</f>
        <v>0</v>
      </c>
      <c r="T97" s="20" t="n">
        <f aca="false">IF(G97&gt;PR_BalDone,MIN(F_MortPayM,G97+G97*(F_MR/12)),0)</f>
        <v>0</v>
      </c>
      <c r="U97" s="20" t="n">
        <f aca="false">IF(H97&gt;PR_BalDone,MIN(F_MortPayM,H97+H97*(F_MR/12)),0)</f>
        <v>0</v>
      </c>
      <c r="V97" s="20" t="n">
        <f aca="false">IF(I97&gt;PR_BalDone,MIN(F_MortPayM,I97+I97*(F_MR/12)),0)</f>
        <v>0</v>
      </c>
      <c r="W97" s="20" t="n">
        <f aca="false">IF(J97&gt;PR_BalDone,MIN(F_MortPayM,J97+J97*(F_MR/12)),0)</f>
        <v>0</v>
      </c>
      <c r="X97" s="20" t="n">
        <f aca="false">IF(K97&gt;PR_BalDone,MIN(F_MortPayM,K97+K97*(F_MR/12)),0)</f>
        <v>0</v>
      </c>
      <c r="Y97" s="20" t="n">
        <f aca="false">IF(L97&gt;PR_BalDone,MIN(F_MortPayM,L97+L97*(F_MR/12)),0)</f>
        <v>0</v>
      </c>
      <c r="Z97" s="20" t="n">
        <f aca="false">IF(M97&gt;PR_BalDone,MIN(F_MortPayM,M97+M97*(F_MR/12)),0)</f>
        <v>0</v>
      </c>
      <c r="AA97" s="20" t="n">
        <f aca="false">IF(N97&gt;PR_BalDone,MIN(F_MortPayM,N97+N97*(F_MR/12)),0)</f>
        <v>0</v>
      </c>
      <c r="AB97" s="20" t="n">
        <f aca="false">MAX(0,O97)</f>
        <v>0</v>
      </c>
      <c r="AC97" s="20" t="n">
        <f aca="false">SUM(P97:AA97)</f>
        <v>0</v>
      </c>
      <c r="AD97" s="20" t="n">
        <f aca="false">'Plan cashflow'!M97</f>
        <v>0</v>
      </c>
      <c r="AE97" s="20" t="n">
        <f aca="false">IF(AD97&gt;PR_BalDone,AD97+AD97*(D_iC)-MIN(F_CardPayM,AD97+AD97*(D_iC)),AD97)</f>
        <v>0</v>
      </c>
      <c r="AF97" s="20" t="n">
        <f aca="false">IF(AE97&gt;PR_BalDone,AE97+AE97*(D_iC)-MIN(F_CardPayM,AE97+AE97*(D_iC)),AE97)</f>
        <v>0</v>
      </c>
      <c r="AG97" s="20" t="n">
        <f aca="false">IF(AF97&gt;PR_BalDone,AF97+AF97*(D_iC)-MIN(F_CardPayM,AF97+AF97*(D_iC)),AF97)</f>
        <v>0</v>
      </c>
      <c r="AH97" s="20" t="n">
        <f aca="false">IF(AG97&gt;PR_BalDone,AG97+AG97*(D_iC)-MIN(F_CardPayM,AG97+AG97*(D_iC)),AG97)</f>
        <v>0</v>
      </c>
      <c r="AI97" s="20" t="n">
        <f aca="false">IF(AH97&gt;PR_BalDone,AH97+AH97*(D_iC)-MIN(F_CardPayM,AH97+AH97*(D_iC)),AH97)</f>
        <v>0</v>
      </c>
      <c r="AJ97" s="20" t="n">
        <f aca="false">IF(AI97&gt;PR_BalDone,AI97+AI97*(D_iC)-MIN(F_CardPayM,AI97+AI97*(D_iC)),AI97)</f>
        <v>0</v>
      </c>
      <c r="AK97" s="20" t="n">
        <f aca="false">IF(AJ97&gt;PR_BalDone,AJ97+AJ97*(D_iC)-MIN(F_CardPayM,AJ97+AJ97*(D_iC)),AJ97)</f>
        <v>0</v>
      </c>
      <c r="AL97" s="20" t="n">
        <f aca="false">IF(AK97&gt;PR_BalDone,AK97+AK97*(D_iC)-MIN(F_CardPayM,AK97+AK97*(D_iC)),AK97)</f>
        <v>0</v>
      </c>
      <c r="AM97" s="20" t="n">
        <f aca="false">IF(AL97&gt;PR_BalDone,AL97+AL97*(D_iC)-MIN(F_CardPayM,AL97+AL97*(D_iC)),AL97)</f>
        <v>0</v>
      </c>
      <c r="AN97" s="20" t="n">
        <f aca="false">IF(AM97&gt;PR_BalDone,AM97+AM97*(D_iC)-MIN(F_CardPayM,AM97+AM97*(D_iC)),AM97)</f>
        <v>0</v>
      </c>
      <c r="AO97" s="20" t="n">
        <f aca="false">IF(AN97&gt;PR_BalDone,AN97+AN97*(D_iC)-MIN(F_CardPayM,AN97+AN97*(D_iC)),AN97)</f>
        <v>0</v>
      </c>
      <c r="AP97" s="20" t="n">
        <f aca="false">IF(AO97&gt;PR_BalDone,AO97+AO97*(D_iC)-MIN(F_CardPayM,AO97+AO97*(D_iC)),AO97)</f>
        <v>0</v>
      </c>
      <c r="AQ97" s="20" t="n">
        <f aca="false">IF(AD97&gt;PR_BalDone,MIN(F_CardPayM,AD97+AD97*(D_iC)),0)</f>
        <v>0</v>
      </c>
      <c r="AR97" s="20" t="n">
        <f aca="false">IF(AE97&gt;PR_BalDone,MIN(F_CardPayM,AE97+AE97*(D_iC)),0)</f>
        <v>0</v>
      </c>
      <c r="AS97" s="20" t="n">
        <f aca="false">IF(AF97&gt;PR_BalDone,MIN(F_CardPayM,AF97+AF97*(D_iC)),0)</f>
        <v>0</v>
      </c>
      <c r="AT97" s="20" t="n">
        <f aca="false">IF(AG97&gt;PR_BalDone,MIN(F_CardPayM,AG97+AG97*(D_iC)),0)</f>
        <v>0</v>
      </c>
      <c r="AU97" s="20" t="n">
        <f aca="false">IF(AH97&gt;PR_BalDone,MIN(F_CardPayM,AH97+AH97*(D_iC)),0)</f>
        <v>0</v>
      </c>
      <c r="AV97" s="20" t="n">
        <f aca="false">IF(AI97&gt;PR_BalDone,MIN(F_CardPayM,AI97+AI97*(D_iC)),0)</f>
        <v>0</v>
      </c>
      <c r="AW97" s="20" t="n">
        <f aca="false">IF(AJ97&gt;PR_BalDone,MIN(F_CardPayM,AJ97+AJ97*(D_iC)),0)</f>
        <v>0</v>
      </c>
      <c r="AX97" s="20" t="n">
        <f aca="false">IF(AK97&gt;PR_BalDone,MIN(F_CardPayM,AK97+AK97*(D_iC)),0)</f>
        <v>0</v>
      </c>
      <c r="AY97" s="20" t="n">
        <f aca="false">IF(AL97&gt;PR_BalDone,MIN(F_CardPayM,AL97+AL97*(D_iC)),0)</f>
        <v>0</v>
      </c>
      <c r="AZ97" s="20" t="n">
        <f aca="false">IF(AM97&gt;PR_BalDone,MIN(F_CardPayM,AM97+AM97*(D_iC)),0)</f>
        <v>0</v>
      </c>
      <c r="BA97" s="20" t="n">
        <f aca="false">IF(AN97&gt;PR_BalDone,MIN(F_CardPayM,AN97+AN97*(D_iC)),0)</f>
        <v>0</v>
      </c>
      <c r="BB97" s="20" t="n">
        <f aca="false">IF(AO97&gt;PR_BalDone,MIN(F_CardPayM,AO97+AO97*(D_iC)),0)</f>
        <v>0</v>
      </c>
      <c r="BC97" s="20" t="n">
        <f aca="false">MAX(0,AP97)</f>
        <v>0</v>
      </c>
      <c r="BD97" s="20" t="n">
        <f aca="false">SUM(AQ97:BB97)</f>
        <v>0</v>
      </c>
      <c r="BE97" s="20" t="n">
        <f aca="false">'Plan cashflow'!P97</f>
        <v>0</v>
      </c>
      <c r="BF97" s="20" t="n">
        <f aca="false">IF(BE97&gt;PR_BalDone,BE97+BE97*(D_iL)-MIN(F_LoanPayM,BE97+BE97*(D_iL)),BE97)</f>
        <v>0</v>
      </c>
      <c r="BG97" s="20" t="n">
        <f aca="false">IF(BF97&gt;PR_BalDone,BF97+BF97*(D_iL)-MIN(F_LoanPayM,BF97+BF97*(D_iL)),BF97)</f>
        <v>0</v>
      </c>
      <c r="BH97" s="20" t="n">
        <f aca="false">IF(BG97&gt;PR_BalDone,BG97+BG97*(D_iL)-MIN(F_LoanPayM,BG97+BG97*(D_iL)),BG97)</f>
        <v>0</v>
      </c>
      <c r="BI97" s="20" t="n">
        <f aca="false">IF(BH97&gt;PR_BalDone,BH97+BH97*(D_iL)-MIN(F_LoanPayM,BH97+BH97*(D_iL)),BH97)</f>
        <v>0</v>
      </c>
      <c r="BJ97" s="20" t="n">
        <f aca="false">IF(BI97&gt;PR_BalDone,BI97+BI97*(D_iL)-MIN(F_LoanPayM,BI97+BI97*(D_iL)),BI97)</f>
        <v>0</v>
      </c>
      <c r="BK97" s="20" t="n">
        <f aca="false">IF(BJ97&gt;PR_BalDone,BJ97+BJ97*(D_iL)-MIN(F_LoanPayM,BJ97+BJ97*(D_iL)),BJ97)</f>
        <v>0</v>
      </c>
      <c r="BL97" s="20" t="n">
        <f aca="false">IF(BK97&gt;PR_BalDone,BK97+BK97*(D_iL)-MIN(F_LoanPayM,BK97+BK97*(D_iL)),BK97)</f>
        <v>0</v>
      </c>
      <c r="BM97" s="20" t="n">
        <f aca="false">IF(BL97&gt;PR_BalDone,BL97+BL97*(D_iL)-MIN(F_LoanPayM,BL97+BL97*(D_iL)),BL97)</f>
        <v>0</v>
      </c>
      <c r="BN97" s="20" t="n">
        <f aca="false">IF(BM97&gt;PR_BalDone,BM97+BM97*(D_iL)-MIN(F_LoanPayM,BM97+BM97*(D_iL)),BM97)</f>
        <v>0</v>
      </c>
      <c r="BO97" s="20" t="n">
        <f aca="false">IF(BN97&gt;PR_BalDone,BN97+BN97*(D_iL)-MIN(F_LoanPayM,BN97+BN97*(D_iL)),BN97)</f>
        <v>0</v>
      </c>
      <c r="BP97" s="20" t="n">
        <f aca="false">IF(BO97&gt;PR_BalDone,BO97+BO97*(D_iL)-MIN(F_LoanPayM,BO97+BO97*(D_iL)),BO97)</f>
        <v>0</v>
      </c>
      <c r="BQ97" s="20" t="n">
        <f aca="false">IF(BP97&gt;PR_BalDone,BP97+BP97*(D_iL)-MIN(F_LoanPayM,BP97+BP97*(D_iL)),BP97)</f>
        <v>0</v>
      </c>
      <c r="BR97" s="20" t="n">
        <f aca="false">IF(BE97&gt;PR_BalDone,MIN(F_LoanPayM,BE97+BE97*(D_iL)),0)</f>
        <v>0</v>
      </c>
      <c r="BS97" s="20" t="n">
        <f aca="false">IF(BF97&gt;PR_BalDone,MIN(F_LoanPayM,BF97+BF97*(D_iL)),0)</f>
        <v>0</v>
      </c>
      <c r="BT97" s="20" t="n">
        <f aca="false">IF(BG97&gt;PR_BalDone,MIN(F_LoanPayM,BG97+BG97*(D_iL)),0)</f>
        <v>0</v>
      </c>
      <c r="BU97" s="20" t="n">
        <f aca="false">IF(BH97&gt;PR_BalDone,MIN(F_LoanPayM,BH97+BH97*(D_iL)),0)</f>
        <v>0</v>
      </c>
      <c r="BV97" s="20" t="n">
        <f aca="false">IF(BI97&gt;PR_BalDone,MIN(F_LoanPayM,BI97+BI97*(D_iL)),0)</f>
        <v>0</v>
      </c>
      <c r="BW97" s="20" t="n">
        <f aca="false">IF(BJ97&gt;PR_BalDone,MIN(F_LoanPayM,BJ97+BJ97*(D_iL)),0)</f>
        <v>0</v>
      </c>
      <c r="BX97" s="20" t="n">
        <f aca="false">IF(BK97&gt;PR_BalDone,MIN(F_LoanPayM,BK97+BK97*(D_iL)),0)</f>
        <v>0</v>
      </c>
      <c r="BY97" s="20" t="n">
        <f aca="false">IF(BL97&gt;PR_BalDone,MIN(F_LoanPayM,BL97+BL97*(D_iL)),0)</f>
        <v>0</v>
      </c>
      <c r="BZ97" s="20" t="n">
        <f aca="false">IF(BM97&gt;PR_BalDone,MIN(F_LoanPayM,BM97+BM97*(D_iL)),0)</f>
        <v>0</v>
      </c>
      <c r="CA97" s="20" t="n">
        <f aca="false">IF(BN97&gt;PR_BalDone,MIN(F_LoanPayM,BN97+BN97*(D_iL)),0)</f>
        <v>0</v>
      </c>
      <c r="CB97" s="20" t="n">
        <f aca="false">IF(BO97&gt;PR_BalDone,MIN(F_LoanPayM,BO97+BO97*(D_iL)),0)</f>
        <v>0</v>
      </c>
      <c r="CC97" s="20" t="n">
        <f aca="false">IF(BP97&gt;PR_BalDone,MIN(F_LoanPayM,BP97+BP97*(D_iL)),0)</f>
        <v>0</v>
      </c>
      <c r="CD97" s="20" t="n">
        <f aca="false">MAX(0,BQ97)</f>
        <v>0</v>
      </c>
      <c r="CE97" s="20" t="n">
        <f aca="false">SUM(BR97:CC97)</f>
        <v>0</v>
      </c>
      <c r="CF97" s="20" t="n">
        <f aca="false">IF(CF96&gt;1,DE96,CF96)</f>
        <v>0</v>
      </c>
      <c r="CG97" s="20" t="n">
        <f aca="false">IF(CF97&gt;PR_BalDone,CF97+CF97*(F_MR/12)-MIN(F_MortPayM,CF97+CF97*(F_MR/12)),CF97)</f>
        <v>0</v>
      </c>
      <c r="CH97" s="20" t="n">
        <f aca="false">IF(CG97&gt;PR_BalDone,CG97+CG97*(F_MR/12)-MIN(F_MortPayM,CG97+CG97*(F_MR/12)),CG97)</f>
        <v>0</v>
      </c>
      <c r="CI97" s="20" t="n">
        <f aca="false">IF(CH97&gt;PR_BalDone,CH97+CH97*(F_MR/12)-MIN(F_MortPayM,CH97+CH97*(F_MR/12)),CH97)</f>
        <v>0</v>
      </c>
      <c r="CJ97" s="20" t="n">
        <f aca="false">IF(CI97&gt;PR_BalDone,CI97+CI97*(F_MR/12)-MIN(F_MortPayM,CI97+CI97*(F_MR/12)),CI97)</f>
        <v>0</v>
      </c>
      <c r="CK97" s="20" t="n">
        <f aca="false">IF(CJ97&gt;PR_BalDone,CJ97+CJ97*(F_MR/12)-MIN(F_MortPayM,CJ97+CJ97*(F_MR/12)),CJ97)</f>
        <v>0</v>
      </c>
      <c r="CL97" s="20" t="n">
        <f aca="false">IF(CK97&gt;PR_BalDone,CK97+CK97*(F_MR/12)-MIN(F_MortPayM,CK97+CK97*(F_MR/12)),CK97)</f>
        <v>0</v>
      </c>
      <c r="CM97" s="20" t="n">
        <f aca="false">IF(CL97&gt;PR_BalDone,CL97+CL97*(F_MR/12)-MIN(F_MortPayM,CL97+CL97*(F_MR/12)),CL97)</f>
        <v>0</v>
      </c>
      <c r="CN97" s="20" t="n">
        <f aca="false">IF(CM97&gt;PR_BalDone,CM97+CM97*(F_MR/12)-MIN(F_MortPayM,CM97+CM97*(F_MR/12)),CM97)</f>
        <v>0</v>
      </c>
      <c r="CO97" s="20" t="n">
        <f aca="false">IF(CN97&gt;PR_BalDone,CN97+CN97*(F_MR/12)-MIN(F_MortPayM,CN97+CN97*(F_MR/12)),CN97)</f>
        <v>0</v>
      </c>
      <c r="CP97" s="20" t="n">
        <f aca="false">IF(CO97&gt;PR_BalDone,CO97+CO97*(F_MR/12)-MIN(F_MortPayM,CO97+CO97*(F_MR/12)),CO97)</f>
        <v>0</v>
      </c>
      <c r="CQ97" s="20" t="n">
        <f aca="false">IF(CP97&gt;PR_BalDone,CP97+CP97*(F_MR/12)-MIN(F_MortPayM,CP97+CP97*(F_MR/12)),CP97)</f>
        <v>0</v>
      </c>
      <c r="CR97" s="20" t="n">
        <f aca="false">IF(CQ97&gt;PR_BalDone,CQ97+CQ97*(F_MR/12)-MIN(F_MortPayM,CQ97+CQ97*(F_MR/12)),CQ97)</f>
        <v>0</v>
      </c>
      <c r="CS97" s="20" t="n">
        <f aca="false">IF(CF97&gt;PR_BalDone,MIN(F_MortPayM,CF97+CF97*(F_MR/12)),0)</f>
        <v>0</v>
      </c>
      <c r="CT97" s="20" t="n">
        <f aca="false">IF(CG97&gt;PR_BalDone,MIN(F_MortPayM,CG97+CG97*(F_MR/12)),0)</f>
        <v>0</v>
      </c>
      <c r="CU97" s="20" t="n">
        <f aca="false">IF(CH97&gt;PR_BalDone,MIN(F_MortPayM,CH97+CH97*(F_MR/12)),0)</f>
        <v>0</v>
      </c>
      <c r="CV97" s="20" t="n">
        <f aca="false">IF(CI97&gt;PR_BalDone,MIN(F_MortPayM,CI97+CI97*(F_MR/12)),0)</f>
        <v>0</v>
      </c>
      <c r="CW97" s="20" t="n">
        <f aca="false">IF(CJ97&gt;PR_BalDone,MIN(F_MortPayM,CJ97+CJ97*(F_MR/12)),0)</f>
        <v>0</v>
      </c>
      <c r="CX97" s="20" t="n">
        <f aca="false">IF(CK97&gt;PR_BalDone,MIN(F_MortPayM,CK97+CK97*(F_MR/12)),0)</f>
        <v>0</v>
      </c>
      <c r="CY97" s="20" t="n">
        <f aca="false">IF(CL97&gt;PR_BalDone,MIN(F_MortPayM,CL97+CL97*(F_MR/12)),0)</f>
        <v>0</v>
      </c>
      <c r="CZ97" s="20" t="n">
        <f aca="false">IF(CM97&gt;PR_BalDone,MIN(F_MortPayM,CM97+CM97*(F_MR/12)),0)</f>
        <v>0</v>
      </c>
      <c r="DA97" s="20" t="n">
        <f aca="false">IF(CN97&gt;PR_BalDone,MIN(F_MortPayM,CN97+CN97*(F_MR/12)),0)</f>
        <v>0</v>
      </c>
      <c r="DB97" s="20" t="n">
        <f aca="false">IF(CO97&gt;PR_BalDone,MIN(F_MortPayM,CO97+CO97*(F_MR/12)),0)</f>
        <v>0</v>
      </c>
      <c r="DC97" s="20" t="n">
        <f aca="false">IF(CP97&gt;PR_BalDone,MIN(F_MortPayM,CP97+CP97*(F_MR/12)),0)</f>
        <v>0</v>
      </c>
      <c r="DD97" s="20" t="n">
        <f aca="false">IF(CQ97&gt;PR_BalDone,MIN(F_MortPayM,CQ97+CQ97*(F_MR/12)),0)</f>
        <v>0</v>
      </c>
      <c r="DE97" s="20" t="n">
        <f aca="false">MAX(0,CR97)</f>
        <v>0</v>
      </c>
      <c r="DF97" s="20" t="n">
        <f aca="false">SUM(CS97:DD97)</f>
        <v>0</v>
      </c>
      <c r="DG97" s="20" t="n">
        <f aca="false">MAX(0,CF97)</f>
        <v>0</v>
      </c>
    </row>
  </sheetData>
  <mergeCells count="1">
    <mergeCell ref="B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2B134"/>
    <pageSetUpPr fitToPage="false"/>
  </sheetPr>
  <dimension ref="B1:G5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20" width="2"/>
    <col collapsed="false" customWidth="true" hidden="false" outlineLevel="0" max="2" min="2" style="20" width="50"/>
    <col collapsed="false" customWidth="true" hidden="false" outlineLevel="0" max="3" min="3" style="20" width="26"/>
    <col collapsed="false" customWidth="true" hidden="false" outlineLevel="0" max="4" min="4" style="20" width="24"/>
    <col collapsed="false" customWidth="true" hidden="false" outlineLevel="0" max="5" min="5" style="20" width="78"/>
    <col collapsed="false" customWidth="true" hidden="false" outlineLevel="0" max="6" min="6" style="20" width="14"/>
    <col collapsed="false" customWidth="true" hidden="false" outlineLevel="0" max="7" min="7" style="20" width="16"/>
  </cols>
  <sheetData>
    <row r="1" customFormat="false" ht="19.5" hidden="false" customHeight="true" outlineLevel="0" collapsed="false">
      <c r="B1" s="50" t="s">
        <v>2800</v>
      </c>
      <c r="E1" s="51" t="s">
        <v>2801</v>
      </c>
    </row>
    <row r="2" customFormat="false" ht="15" hidden="false" customHeight="true" outlineLevel="0" collapsed="false">
      <c r="B2" s="52" t="s">
        <v>2802</v>
      </c>
      <c r="E2" s="53" t="str">
        <f aca="false">IF(Fill_Example="Yes","Example values are ON (README): grey Example only figures fill blank inputs.","Blank template: fill the yellow inputs (or switch on example values on the README).")</f>
        <v>Example values are ON (README): grey Example only figures fill blank inputs.</v>
      </c>
    </row>
    <row r="3" customFormat="false" ht="15" hidden="false" customHeight="true" outlineLevel="0" collapsed="false">
      <c r="B3" s="54" t="str">
        <f aca="false">"Applies the Central Bank limits ("&amp;LTI_FTB&amp;"× or "&amp;LTI_SSB&amp;"×"&amp;" income, "&amp;TEXT(LTV_Max,"0%")&amp;" loan-to-value) to show the most you could borrow and the home price that gives, after stamp duty and fees."</f>
        <v>Applies the Central Bank limits (4× or 3.5× income, 90% loan-to-value) to show the most you could borrow and the home price that gives, after stamp duty and fees.</v>
      </c>
    </row>
    <row r="5" customFormat="false" ht="15" hidden="false" customHeight="true" outlineLevel="0" collapsed="false">
      <c r="B5" s="55" t="s">
        <v>2803</v>
      </c>
      <c r="C5" s="56" t="s">
        <v>912</v>
      </c>
      <c r="D5" s="56" t="s">
        <v>913</v>
      </c>
      <c r="E5" s="56" t="s">
        <v>2804</v>
      </c>
      <c r="F5" s="57" t="s">
        <v>2805</v>
      </c>
      <c r="G5" s="58"/>
    </row>
    <row r="6" customFormat="false" ht="21.75" hidden="false" customHeight="true" outlineLevel="0" collapsed="false">
      <c r="B6" s="59" t="s">
        <v>970</v>
      </c>
      <c r="C6" s="60"/>
      <c r="D6" s="61" t="s">
        <v>964</v>
      </c>
      <c r="E6" s="62" t="s">
        <v>2806</v>
      </c>
      <c r="F6" s="63" t="n">
        <v>60000</v>
      </c>
      <c r="G6" s="64" t="n">
        <f aca="false">IF(ISBLANK(C6),IF(Fill_Example="Yes",F6,""),C6)</f>
        <v>60000</v>
      </c>
    </row>
    <row r="7" customFormat="false" ht="21.75" hidden="false" customHeight="true" outlineLevel="0" collapsed="false">
      <c r="B7" s="59" t="s">
        <v>972</v>
      </c>
      <c r="C7" s="60"/>
      <c r="D7" s="61" t="s">
        <v>964</v>
      </c>
      <c r="E7" s="62" t="s">
        <v>2807</v>
      </c>
      <c r="F7" s="63" t="n">
        <v>0</v>
      </c>
      <c r="G7" s="64" t="n">
        <f aca="false">IF(ISBLANK(C7),IF(Fill_Example="Yes",F7,""),C7)</f>
        <v>0</v>
      </c>
    </row>
    <row r="8" customFormat="false" ht="21.75" hidden="false" customHeight="true" outlineLevel="0" collapsed="false">
      <c r="B8" s="59" t="s">
        <v>2808</v>
      </c>
      <c r="C8" s="60"/>
      <c r="D8" s="61" t="s">
        <v>964</v>
      </c>
      <c r="E8" s="62" t="s">
        <v>2809</v>
      </c>
      <c r="F8" s="63" t="n">
        <v>25000</v>
      </c>
      <c r="G8" s="64" t="n">
        <f aca="false">IF(ISBLANK(C8),IF(Fill_Example="Yes",F8,""),C8)</f>
        <v>25000</v>
      </c>
    </row>
    <row r="9" customFormat="false" ht="21.75" hidden="false" customHeight="true" outlineLevel="0" collapsed="false">
      <c r="B9" s="59" t="s">
        <v>2810</v>
      </c>
      <c r="C9" s="65"/>
      <c r="D9" s="61" t="s">
        <v>2811</v>
      </c>
      <c r="E9" s="62" t="s">
        <v>2812</v>
      </c>
      <c r="F9" s="66" t="s">
        <v>3</v>
      </c>
      <c r="G9" s="67" t="str">
        <f aca="false">IF(ISBLANK(C9),IF(Fill_Example="Yes",F9,""),C9)</f>
        <v>Yes</v>
      </c>
    </row>
    <row r="10" customFormat="false" ht="21.75" hidden="false" customHeight="true" outlineLevel="0" collapsed="false">
      <c r="B10" s="59" t="s">
        <v>2813</v>
      </c>
      <c r="C10" s="68"/>
      <c r="D10" s="61" t="s">
        <v>2814</v>
      </c>
      <c r="E10" s="69" t="str">
        <f aca="false">"Type 2 · your figure · Your own rate (your statement shows it; typing it is fine, no upload needed). "&amp;IF(ISNUMBER(Suggest_Mortgage_Rate),"Suggested: "&amp;TEXT(Suggest_Mortgage_Rate,"0.00%")&amp;" · "&amp;Suggest_Mortgage_Rate_Label&amp;". ","No suggestion. ")&amp;"Enter your own figure."&amp;" Allowed: 1% to 8% · steps of 0.05%"</f>
        <v>Type 2 · your figure · Your own rate (your statement shows it; typing it is fine, no upload needed). Suggested: 3.48% · Central Bank of Ireland: average rate on new mortgages, Jul 2026. Enter your own figure. Allowed: 1% to 8% · steps of 0.05%</v>
      </c>
      <c r="F10" s="70" t="n">
        <f aca="false">IF(ISNUMBER(Suggest_Mortgage_Rate),Suggest_Mortgage_Rate,"")</f>
        <v>0.0348</v>
      </c>
      <c r="G10" s="71" t="n">
        <f aca="false">IF(ISBLANK(C10),IF(Fill_Example="Yes",F10,""),C10)</f>
        <v>0.0348</v>
      </c>
    </row>
    <row r="11" customFormat="false" ht="15" hidden="false" customHeight="true" outlineLevel="0" collapsed="false">
      <c r="B11" s="59" t="s">
        <v>2815</v>
      </c>
      <c r="C11" s="72"/>
      <c r="D11" s="61" t="s">
        <v>1002</v>
      </c>
      <c r="E11" s="62" t="s">
        <v>2816</v>
      </c>
      <c r="F11" s="73" t="n">
        <v>30</v>
      </c>
      <c r="G11" s="74" t="n">
        <f aca="false">IF(AND(ISNUMBER(C11),N(C11)&lt;10),"",IF(ISBLANK(C11),IF(Fill_Example="Yes",F11,""),C11))</f>
        <v>30</v>
      </c>
    </row>
    <row r="12" customFormat="false" ht="21.75" hidden="false" customHeight="true" outlineLevel="0" collapsed="false">
      <c r="B12" s="59" t="s">
        <v>2817</v>
      </c>
      <c r="C12" s="60"/>
      <c r="D12" s="61" t="s">
        <v>964</v>
      </c>
      <c r="E12" s="69" t="str">
        <f aca="false">"Type 2 · optional · Legal and survey fees (stamp duty is added for you). "&amp;IF(ISNUMBER(Suggest_Buying_Fees),"Suggested: "&amp;TEXT(Suggest_Buying_Fees,"€#,##0")&amp;" · "&amp;Suggest_Buying_Fees_Label&amp;". ","No suggestion. ")&amp;"Leave blank to count €0."&amp;" Allowed: €0 to €10,000 · steps of €100"</f>
        <v>Type 2 · optional · Legal and survey fees (stamp duty is added for you). No suggestion. Leave blank to count €0. Allowed: €0 to €10,000 · steps of €100</v>
      </c>
      <c r="F12" s="63" t="str">
        <f aca="false">IF(ISNUMBER(Suggest_Buying_Fees),Suggest_Buying_Fees,"")</f>
        <v/>
      </c>
      <c r="G12" s="64" t="n">
        <f aca="false">IF(ISBLANK(C12),IF(AND(Fill_Example="Yes",ISNUMBER(F12)),F12,0),C12)</f>
        <v>0</v>
      </c>
    </row>
    <row r="13" customFormat="false" ht="15" hidden="false" customHeight="true" outlineLevel="0" collapsed="false">
      <c r="B13" s="59" t="s">
        <v>2818</v>
      </c>
      <c r="C13" s="72"/>
      <c r="D13" s="61" t="s">
        <v>1002</v>
      </c>
      <c r="E13" s="62" t="s">
        <v>2819</v>
      </c>
      <c r="F13" s="73" t="n">
        <v>3</v>
      </c>
      <c r="G13" s="74" t="n">
        <f aca="false">IF(ISBLANK(C13),IF(Fill_Example="Yes",F13,""),C13)</f>
        <v>3</v>
      </c>
    </row>
    <row r="14" customFormat="false" ht="15" hidden="false" customHeight="true" outlineLevel="0" collapsed="false">
      <c r="B14" s="59" t="s">
        <v>2820</v>
      </c>
      <c r="C14" s="60"/>
      <c r="D14" s="61" t="s">
        <v>964</v>
      </c>
      <c r="E14" s="62" t="s">
        <v>2821</v>
      </c>
      <c r="F14" s="63" t="n">
        <v>0</v>
      </c>
      <c r="G14" s="64" t="n">
        <f aca="false">IF(ISBLANK(C14),F14,C14)</f>
        <v>0</v>
      </c>
    </row>
    <row r="16" customFormat="false" ht="15" hidden="false" customHeight="true" outlineLevel="0" collapsed="false">
      <c r="B16" s="55" t="s">
        <v>2630</v>
      </c>
      <c r="C16" s="56" t="s">
        <v>327</v>
      </c>
      <c r="D16" s="56" t="s">
        <v>2822</v>
      </c>
      <c r="E16" s="56" t="s">
        <v>2823</v>
      </c>
      <c r="F16" s="58"/>
      <c r="G16" s="58"/>
    </row>
    <row r="17" customFormat="false" ht="17.25" hidden="false" customHeight="true" outlineLevel="0" collapsed="false">
      <c r="B17" s="52" t="s">
        <v>2824</v>
      </c>
      <c r="C17" s="75" t="n">
        <f aca="false">IF(Need_1&lt;&gt;"",Need_1,MIN(Price_By_Deposit,Price_By_Income))</f>
        <v>227272.727272727</v>
      </c>
      <c r="D17" s="61" t="s">
        <v>964</v>
      </c>
      <c r="E17" s="76" t="s">
        <v>2825</v>
      </c>
    </row>
    <row r="18" customFormat="false" ht="17.25" hidden="false" customHeight="true" outlineLevel="0" collapsed="false">
      <c r="B18" s="52" t="s">
        <v>2826</v>
      </c>
      <c r="C18" s="75" t="n">
        <f aca="false">IF(Need_1&lt;&gt;"",Need_1,MIN(Borrow_By_Income,LTV_Max*Home_Price))</f>
        <v>204545.454545455</v>
      </c>
      <c r="D18" s="61" t="s">
        <v>964</v>
      </c>
      <c r="E18" s="76" t="s">
        <v>2827</v>
      </c>
    </row>
    <row r="19" customFormat="false" ht="17.25" hidden="false" customHeight="true" outlineLevel="0" collapsed="false">
      <c r="B19" s="52" t="s">
        <v>2828</v>
      </c>
      <c r="C19" s="75" t="n">
        <f aca="false">IF(Need_2&lt;&gt;"",Need_2,PMT(Interest_Rate/12,Term_Years*12,-Max_Loan))</f>
        <v>916.218435256497</v>
      </c>
      <c r="D19" s="61" t="s">
        <v>964</v>
      </c>
      <c r="E19" s="76" t="s">
        <v>2829</v>
      </c>
    </row>
    <row r="20" customFormat="false" ht="21.75" hidden="false" customHeight="true" outlineLevel="0" collapsed="false">
      <c r="B20" s="52" t="s">
        <v>2830</v>
      </c>
      <c r="C20" s="75" t="n">
        <f aca="false">IF(Need_1&lt;&gt;"",Need_1,SD_Rate_1*MIN(Home_Price,SD_Band_1)+SD_Rate_2*MAX(0,MIN(Home_Price,SD_Band_2)-SD_Band_1)+SD_Rate_3*MAX(0,Home_Price-SD_Band_2))</f>
        <v>2272.72727272727</v>
      </c>
      <c r="D20" s="61" t="s">
        <v>964</v>
      </c>
      <c r="E20" s="76" t="s">
        <v>2831</v>
      </c>
    </row>
    <row r="21" customFormat="false" ht="15" hidden="false" customHeight="true" outlineLevel="0" collapsed="false">
      <c r="B21" s="59" t="s">
        <v>2832</v>
      </c>
      <c r="C21" s="77" t="n">
        <f aca="false">IF(Need_3&lt;&gt;"",Need_3,(Income+Partner_Income)*Income_Multiple)</f>
        <v>240000</v>
      </c>
      <c r="D21" s="61" t="s">
        <v>964</v>
      </c>
      <c r="E21" s="76" t="s">
        <v>2833</v>
      </c>
    </row>
    <row r="22" customFormat="false" ht="15" hidden="false" customHeight="true" outlineLevel="0" collapsed="false">
      <c r="B22" s="59" t="s">
        <v>2834</v>
      </c>
      <c r="C22" s="78" t="n">
        <f aca="false">IF(Need_4&lt;&gt;"",Need_4,IF(First_Time_Buyer="Yes",LTI_FTB,LTI_SSB))</f>
        <v>4</v>
      </c>
      <c r="D22" s="61" t="s">
        <v>2835</v>
      </c>
      <c r="E22" s="76" t="s">
        <v>2836</v>
      </c>
    </row>
    <row r="23" customFormat="false" ht="15" hidden="false" customHeight="true" outlineLevel="0" collapsed="false">
      <c r="B23" s="59" t="s">
        <v>2837</v>
      </c>
      <c r="C23" s="77" t="n">
        <f aca="false">IF(Need_5&lt;&gt;"",Need_5,Deposit+Extra_Deposit)</f>
        <v>25000</v>
      </c>
      <c r="D23" s="61" t="s">
        <v>964</v>
      </c>
      <c r="E23" s="76" t="s">
        <v>2838</v>
      </c>
    </row>
    <row r="24" customFormat="false" ht="15" hidden="false" customHeight="true" outlineLevel="0" collapsed="false">
      <c r="B24" s="59" t="s">
        <v>2839</v>
      </c>
      <c r="C24" s="77" t="n">
        <f aca="false">IF(Need_6&lt;&gt;"",Need_6,MAX(0,Total_Deposit-Buying_Fees))</f>
        <v>25000</v>
      </c>
      <c r="D24" s="61" t="s">
        <v>964</v>
      </c>
      <c r="E24" s="76" t="s">
        <v>2840</v>
      </c>
    </row>
    <row r="25" customFormat="false" ht="15" hidden="false" customHeight="true" outlineLevel="0" collapsed="false">
      <c r="B25" s="59" t="s">
        <v>2841</v>
      </c>
      <c r="C25" s="77" t="n">
        <f aca="false">(1-LTV_Max+SD_Rate_1)*SD_Band_1</f>
        <v>110000</v>
      </c>
      <c r="D25" s="61" t="s">
        <v>964</v>
      </c>
      <c r="E25" s="76" t="s">
        <v>2842</v>
      </c>
    </row>
    <row r="26" customFormat="false" ht="15" hidden="false" customHeight="true" outlineLevel="0" collapsed="false">
      <c r="B26" s="59" t="s">
        <v>2843</v>
      </c>
      <c r="C26" s="77" t="n">
        <f aca="false">Cash_At_Band_1+(1-LTV_Max+SD_Rate_2)*(SD_Band_2-SD_Band_1)</f>
        <v>170000</v>
      </c>
      <c r="D26" s="61" t="s">
        <v>964</v>
      </c>
      <c r="E26" s="76" t="s">
        <v>2844</v>
      </c>
    </row>
    <row r="27" customFormat="false" ht="32.25" hidden="false" customHeight="true" outlineLevel="0" collapsed="false">
      <c r="B27" s="59" t="s">
        <v>2845</v>
      </c>
      <c r="C27" s="77" t="n">
        <f aca="false">IF(Need_6&lt;&gt;"",Need_6,IF(Cash_For_Price&lt;=Cash_At_Band_1,Cash_For_Price/(1-LTV_Max+SD_Rate_1),IF(Cash_For_Price&lt;=Cash_At_Band_2,SD_Band_1+(Cash_For_Price-Cash_At_Band_1)/(1-LTV_Max+SD_Rate_2),SD_Band_2+(Cash_For_Price-Cash_At_Band_2)/(1-LTV_Max+SD_Rate_3))))</f>
        <v>227272.727272727</v>
      </c>
      <c r="D27" s="61" t="s">
        <v>964</v>
      </c>
      <c r="E27" s="76" t="s">
        <v>2846</v>
      </c>
    </row>
    <row r="28" customFormat="false" ht="15" hidden="false" customHeight="true" outlineLevel="0" collapsed="false">
      <c r="B28" s="59" t="s">
        <v>2847</v>
      </c>
      <c r="C28" s="77" t="n">
        <f aca="false">IF(Need_1&lt;&gt;"",Need_1,Borrow_By_Income+Cash_For_Price)</f>
        <v>265000</v>
      </c>
      <c r="D28" s="61" t="s">
        <v>964</v>
      </c>
      <c r="E28" s="76" t="s">
        <v>2848</v>
      </c>
    </row>
    <row r="29" customFormat="false" ht="42.75" hidden="false" customHeight="true" outlineLevel="0" collapsed="false">
      <c r="B29" s="59" t="s">
        <v>2849</v>
      </c>
      <c r="C29" s="77" t="n">
        <f aca="false">IF(Need_1&lt;&gt;"",Need_1,IF(Income_Cash&lt;=(1+SD_Rate_1)*SD_Band_1,Income_Cash/(1+SD_Rate_1),IF(Income_Cash&lt;=(1+SD_Rate_1)*SD_Band_1+(1+SD_Rate_2)*(SD_Band_2-SD_Band_1),SD_Band_1+(Income_Cash-(1+SD_Rate_1)*SD_Band_1)/(1+SD_Rate_2),SD_Band_2+(Income_Cash-(1+SD_Rate_1)*SD_Band_1-(1+SD_Rate_2)*(SD_Band_2-SD_Band_1))/(1+SD_Rate_3))))</f>
        <v>262376.237623762</v>
      </c>
      <c r="D29" s="61" t="s">
        <v>964</v>
      </c>
      <c r="E29" s="76" t="s">
        <v>2850</v>
      </c>
    </row>
    <row r="30" customFormat="false" ht="15" hidden="false" customHeight="true" outlineLevel="0" collapsed="false">
      <c r="B30" s="59" t="s">
        <v>2851</v>
      </c>
      <c r="C30" s="79" t="str">
        <f aca="false">IF(Need_1&lt;&gt;"",Need_1,IF(Price_By_Deposit&lt;Price_By_Income,"Your deposit","Your income"))</f>
        <v>Your deposit</v>
      </c>
      <c r="D30" s="61"/>
      <c r="E30" s="76" t="s">
        <v>2852</v>
      </c>
    </row>
    <row r="32" customFormat="false" ht="15" hidden="false" customHeight="true" outlineLevel="0" collapsed="false">
      <c r="B32" s="55" t="s">
        <v>2853</v>
      </c>
      <c r="C32" s="58"/>
      <c r="D32" s="58"/>
      <c r="E32" s="58"/>
      <c r="F32" s="58"/>
      <c r="G32" s="58"/>
    </row>
    <row r="33" customFormat="false" ht="13.5" hidden="false" customHeight="true" outlineLevel="0" collapsed="false">
      <c r="B33" s="80" t="str">
        <f aca="false">"• Income limit = combined gross income "&amp;"× "&amp;LTI_FTB&amp;" (first-time buyer)"&amp;" or "&amp;"× "&amp;LTI_SSB&amp;" (everyone else)"&amp;". The loan can also be at most "&amp;TEXT(LTV_Max,"0%")&amp;" of the price."</f>
        <v>• Income limit = combined gross income × 4 (first-time buyer) or × 3.5 (everyone else). The loan can also be at most 90% of the price.</v>
      </c>
      <c r="C33" s="80"/>
      <c r="D33" s="80"/>
      <c r="E33" s="80"/>
    </row>
    <row r="34" customFormat="false" ht="27.75" hidden="false" customHeight="true" outlineLevel="0" collapsed="false">
      <c r="B34" s="80" t="s">
        <v>2854</v>
      </c>
      <c r="C34" s="80"/>
      <c r="D34" s="80"/>
      <c r="E34" s="80"/>
    </row>
    <row r="35" customFormat="false" ht="13.5" hidden="false" customHeight="true" outlineLevel="0" collapsed="false">
      <c r="B35" s="80" t="s">
        <v>2855</v>
      </c>
      <c r="C35" s="80"/>
      <c r="D35" s="80"/>
      <c r="E35" s="80"/>
    </row>
    <row r="36" customFormat="false" ht="13.5" hidden="false" customHeight="true" outlineLevel="0" collapsed="false">
      <c r="B36" s="81" t="s">
        <v>2856</v>
      </c>
      <c r="C36" s="81"/>
      <c r="D36" s="81"/>
      <c r="E36" s="81"/>
    </row>
    <row r="37" customFormat="false" ht="13.5" hidden="false" customHeight="true" outlineLevel="0" collapsed="false">
      <c r="B37" s="80" t="s">
        <v>2857</v>
      </c>
      <c r="C37" s="80"/>
      <c r="D37" s="80"/>
      <c r="E37" s="80"/>
    </row>
    <row r="38" customFormat="false" ht="13.5" hidden="false" customHeight="true" outlineLevel="0" collapsed="false">
      <c r="B38" s="80" t="s">
        <v>2858</v>
      </c>
      <c r="C38" s="80"/>
      <c r="D38" s="80"/>
      <c r="E38" s="80"/>
    </row>
    <row r="39" customFormat="false" ht="13.5" hidden="false" customHeight="true" outlineLevel="0" collapsed="false">
      <c r="B39" s="80" t="s">
        <v>2859</v>
      </c>
      <c r="C39" s="80"/>
      <c r="D39" s="80"/>
      <c r="E39" s="80"/>
    </row>
    <row r="40" customFormat="false" ht="13.5" hidden="false" customHeight="true" outlineLevel="0" collapsed="false">
      <c r="B40" s="80" t="s">
        <v>2860</v>
      </c>
      <c r="C40" s="80"/>
      <c r="D40" s="80"/>
      <c r="E40" s="80"/>
    </row>
    <row r="42" customFormat="false" ht="15" hidden="false" customHeight="true" outlineLevel="0" collapsed="false">
      <c r="B42" s="55" t="s">
        <v>2861</v>
      </c>
      <c r="C42" s="58"/>
      <c r="D42" s="58"/>
      <c r="E42" s="58"/>
      <c r="F42" s="58"/>
      <c r="G42" s="58"/>
    </row>
    <row r="43" customFormat="false" ht="15" hidden="false" customHeight="true" outlineLevel="0" collapsed="false">
      <c r="B43" s="59" t="s">
        <v>1620</v>
      </c>
      <c r="C43" s="82" t="str">
        <f aca="false">"Buy a home (deposit goal)"</f>
        <v>Buy a home (deposit goal)</v>
      </c>
      <c r="E43" s="83" t="s">
        <v>2862</v>
      </c>
    </row>
    <row r="44" customFormat="false" ht="15" hidden="false" customHeight="true" outlineLevel="0" collapsed="false">
      <c r="B44" s="59" t="s">
        <v>2863</v>
      </c>
      <c r="C44" s="84" t="n">
        <f aca="false">IF(Need_1&lt;&gt;"",Need_1,ROUND(Home_Price*Min_Deposit_Pct+Stamp_Duty+Buying_Fees,0))</f>
        <v>25000</v>
      </c>
      <c r="E44" s="83" t="s">
        <v>2864</v>
      </c>
    </row>
    <row r="45" customFormat="false" ht="15" hidden="false" customHeight="true" outlineLevel="0" collapsed="false">
      <c r="B45" s="59" t="s">
        <v>2865</v>
      </c>
      <c r="C45" s="84" t="n">
        <f aca="false">IF(Need_5&lt;&gt;"",Need_5,Total_Deposit)</f>
        <v>25000</v>
      </c>
      <c r="E45" s="83" t="s">
        <v>2866</v>
      </c>
    </row>
    <row r="46" customFormat="false" ht="15" hidden="false" customHeight="true" outlineLevel="0" collapsed="false">
      <c r="B46" s="59" t="s">
        <v>2867</v>
      </c>
      <c r="C46" s="85" t="n">
        <f aca="false">IF(Need_7&lt;&gt;"",Need_7,Home_Goal_Years)</f>
        <v>3</v>
      </c>
      <c r="E46" s="83" t="s">
        <v>2868</v>
      </c>
    </row>
    <row r="48" customFormat="false" ht="15" hidden="false" customHeight="true" outlineLevel="0" collapsed="false">
      <c r="B48" s="55" t="s">
        <v>2869</v>
      </c>
      <c r="C48" s="58"/>
      <c r="D48" s="58"/>
      <c r="E48" s="58"/>
      <c r="F48" s="58"/>
      <c r="G48" s="58"/>
    </row>
    <row r="49" customFormat="false" ht="15" hidden="false" customHeight="true" outlineLevel="0" collapsed="false">
      <c r="B49" s="86" t="s">
        <v>2870</v>
      </c>
      <c r="C49" s="86" t="str">
        <f aca="false">IF(Income="","Choose your gross yearly income to see this",IF(Partner_Income="","Choose your partner's gross yearly income to see this",IF(Deposit="","Choose your deposit saved to see this",IF(First_Time_Buyer="","Choose your first-time buyer answer to see this",IF(Buying_Fees="","Choose your buying fees to see this",IF(Interest_Rate="","Choose your mortgage rate to see this",""))))))</f>
        <v/>
      </c>
    </row>
    <row r="50" customFormat="false" ht="15" hidden="false" customHeight="true" outlineLevel="0" collapsed="false">
      <c r="B50" s="86" t="s">
        <v>2871</v>
      </c>
      <c r="C50" s="86" t="str">
        <f aca="false">IF(Income="","Choose your gross yearly income to see this",IF(Partner_Income="","Choose your partner's gross yearly income to see this",IF(Deposit="","Choose your deposit saved to see this",IF(First_Time_Buyer="","Choose your first-time buyer answer to see this",IF(Term_Years="","Choose your mortgage term to see this",IF(Buying_Fees="","Choose your buying fees to see this",IF(Interest_Rate="","Choose your mortgage rate to see this","")))))))</f>
        <v/>
      </c>
    </row>
    <row r="51" customFormat="false" ht="15" hidden="false" customHeight="true" outlineLevel="0" collapsed="false">
      <c r="B51" s="86" t="s">
        <v>2872</v>
      </c>
      <c r="C51" s="86" t="str">
        <f aca="false">IF(Income="","Choose your gross yearly income to see this",IF(Partner_Income="","Choose your partner's gross yearly income to see this",IF(First_Time_Buyer="","Choose your first-time buyer answer to see this",IF(Interest_Rate="","Choose your mortgage rate to see this",""))))</f>
        <v/>
      </c>
    </row>
    <row r="52" customFormat="false" ht="15" hidden="false" customHeight="true" outlineLevel="0" collapsed="false">
      <c r="B52" s="86" t="s">
        <v>2873</v>
      </c>
      <c r="C52" s="86" t="str">
        <f aca="false">IF(First_Time_Buyer="","Choose your first-time buyer answer to see this",IF(Interest_Rate="","Choose your mortgage rate to see this",""))</f>
        <v/>
      </c>
    </row>
    <row r="53" customFormat="false" ht="15" hidden="false" customHeight="true" outlineLevel="0" collapsed="false">
      <c r="B53" s="86" t="s">
        <v>2874</v>
      </c>
      <c r="C53" s="86" t="str">
        <f aca="false">IF(Deposit="","Choose your deposit saved to see this",IF(Interest_Rate="","Choose your mortgage rate to see this",""))</f>
        <v/>
      </c>
    </row>
    <row r="54" customFormat="false" ht="15" hidden="false" customHeight="true" outlineLevel="0" collapsed="false">
      <c r="B54" s="86" t="s">
        <v>2875</v>
      </c>
      <c r="C54" s="86" t="str">
        <f aca="false">IF(Deposit="","Choose your deposit saved to see this",IF(Buying_Fees="","Choose your buying fees to see this",IF(Interest_Rate="","Choose your mortgage rate to see this","")))</f>
        <v/>
      </c>
    </row>
    <row r="55" customFormat="false" ht="15" hidden="false" customHeight="true" outlineLevel="0" collapsed="false">
      <c r="B55" s="86" t="s">
        <v>2876</v>
      </c>
      <c r="C55" s="86" t="str">
        <f aca="false">IF(Home_Goal_Years="","Choose your years until you buy to see this",IF(Interest_Rate="","Choose your mortgage rate to see this",""))</f>
        <v/>
      </c>
    </row>
    <row r="57" customFormat="false" ht="15" hidden="false" customHeight="true" outlineLevel="0" collapsed="false">
      <c r="B57" s="25" t="s">
        <v>2877</v>
      </c>
    </row>
  </sheetData>
  <mergeCells count="8">
    <mergeCell ref="B33:E33"/>
    <mergeCell ref="B34:E34"/>
    <mergeCell ref="B35:E35"/>
    <mergeCell ref="B36:E36"/>
    <mergeCell ref="B37:E37"/>
    <mergeCell ref="B38:E38"/>
    <mergeCell ref="B39:E39"/>
    <mergeCell ref="B40:E40"/>
  </mergeCells>
  <dataValidations count="9">
    <dataValidation allowBlank="true" error="Please enter €0 to €10,000 · steps of €100." errorStyle="stop" errorTitle="Outside the allowed range" operator="between" prompt="Optional: your own legal and survey fees. No published figure, so no suggestion unless a partner sets one. Leave blank to count €0. Allowed: €0 to €10,000 · steps of €100" promptTitle="Legal and other buying fees" showDropDown="false" showErrorMessage="true" showInputMessage="true" sqref="C12" type="decimal">
      <formula1>0</formula1>
      <formula2>10000</formula2>
    </dataValidation>
    <dataValidation allowBlank="true" error="Please enter 1 to 30 · steps of 1." errorStyle="stop" errorTitle="Outside the allowed range" operator="between" prompt="Your own figure.  Allowed: 1 to 30 · steps of 1." promptTitle="Years until you buy (for the pla" showDropDown="false" showErrorMessage="true" showInputMessage="true" sqref="C13" type="whole">
      <formula1>1</formula1>
      <formula2>30</formula2>
    </dataValidation>
    <dataValidation allowBlank="true" error="Please enter €15,000 to €2,500,000 · steps of €1,000." errorStyle="stop" errorTitle="Outside the allowed range" operator="between" prompt="Your own figure. In the app it is pre-filled from Your finances: income.  Allowed: €15,000 to €2,500,000 · steps of €1,000." promptTitle="Your gross yearly income" showDropDown="false" showErrorMessage="true" showInputMessage="true" sqref="C6" type="decimal">
      <formula1>15000</formula1>
      <formula2>2500000</formula2>
    </dataValidation>
    <dataValidation allowBlank="true" error="Please enter €0 to €2,500,000 · steps of €1,000." errorStyle="stop" errorTitle="Outside the allowed range" operator="between" prompt="Your own figure. In the app it is pre-filled from Your finances: partner's income.  Allowed: €0 to €2,500,000 · steps of €1,000." promptTitle="Partner's gross yearly income" showDropDown="false" showErrorMessage="true" showInputMessage="true" sqref="C7" type="decimal">
      <formula1>0</formula1>
      <formula2>2500000</formula2>
    </dataValidation>
    <dataValidation allowBlank="true" error="Please enter €0 to €2,000,000 · steps of €1,000." errorStyle="stop" errorTitle="Outside the allowed range" operator="between" prompt="Your own figure. In the app it is pre-filled from Plan: home goal's amount saved.  Allowed: €0 to €2,000,000 · steps of €1,000." promptTitle="Deposit saved" showDropDown="false" showErrorMessage="true" showInputMessage="true" sqref="C8" type="decimal">
      <formula1>0</formula1>
      <formula2>2000000</formula2>
    </dataValidation>
    <dataValidation allowBlank="true" error="Please enter Yes or No." errorStyle="stop" errorTitle="Outside the allowed range" operator="between" prompt="Your own figure. In the app it is pre-filled from Your finances: home status (owner = No).  Allowed: Yes or No." promptTitle="First-time buyer?" showDropDown="false" showErrorMessage="true" showInputMessage="true" sqref="C9" type="list">
      <formula1>"Yes,No"</formula1>
      <formula2>0</formula2>
    </dataValidation>
    <dataValidation allowBlank="true" error="Please enter 1% to 8% · steps of 0.05%." errorStyle="stop" errorTitle="Outside the allowed range" operator="between" prompt="Your own mortgage rate: your statement shows it. Typing it is fine; no upload needed. A suggested rate and its source are shown beside this cell (Partner rates, Assumptions sheet). Allowed: 1% to 8% · steps of 0.05%" promptTitle="Mortgage interest rate" showDropDown="false" showErrorMessage="true" showInputMessage="true" sqref="C10" type="decimal">
      <formula1>0.01</formula1>
      <formula2>0.08</formula2>
    </dataValidation>
    <dataValidation allowBlank="true" error="Please enter 10 to 35 · steps of 1." errorStyle="stop" errorTitle="Outside the allowed range" operator="between" prompt="Your own figure.  Allowed: 10 to 35 · steps of 1." promptTitle="Mortgage term" showDropDown="false" showErrorMessage="true" showInputMessage="true" sqref="C11" type="whole">
      <formula1>10</formula1>
      <formula2>35</formula2>
    </dataValidation>
    <dataValidation allowBlank="true" error="Please enter €0 to €500,000 · steps of €1,000." errorStyle="stop" errorTitle="Outside the allowed range" operator="between" prompt="Optional: leave blank for none.  Allowed: €0 to €500,000 · steps of €1,000." promptTitle="What if: save extra towards the " showDropDown="false" showErrorMessage="true" showInputMessage="true" sqref="C14" type="decimal">
      <formula1>0</formula1>
      <formula2>500000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2B134"/>
    <pageSetUpPr fitToPage="false"/>
  </sheetPr>
  <dimension ref="B1:G6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20" width="2"/>
    <col collapsed="false" customWidth="true" hidden="false" outlineLevel="0" max="2" min="2" style="20" width="50"/>
    <col collapsed="false" customWidth="true" hidden="false" outlineLevel="0" max="3" min="3" style="20" width="26"/>
    <col collapsed="false" customWidth="true" hidden="false" outlineLevel="0" max="4" min="4" style="20" width="24"/>
    <col collapsed="false" customWidth="true" hidden="false" outlineLevel="0" max="5" min="5" style="20" width="78"/>
    <col collapsed="false" customWidth="true" hidden="false" outlineLevel="0" max="6" min="6" style="20" width="14"/>
    <col collapsed="false" customWidth="true" hidden="false" outlineLevel="0" max="7" min="7" style="20" width="16"/>
  </cols>
  <sheetData>
    <row r="1" customFormat="false" ht="19.5" hidden="false" customHeight="true" outlineLevel="0" collapsed="false">
      <c r="B1" s="50" t="s">
        <v>2878</v>
      </c>
      <c r="E1" s="51" t="s">
        <v>2879</v>
      </c>
    </row>
    <row r="2" customFormat="false" ht="15" hidden="false" customHeight="true" outlineLevel="0" collapsed="false">
      <c r="B2" s="52" t="s">
        <v>2880</v>
      </c>
      <c r="E2" s="53" t="str">
        <f aca="false">IF(Fill_Example="Yes","Example values are ON (README): grey Example only figures fill blank inputs.","Blank template: fill the yellow inputs (or switch on example values on the README).")</f>
        <v>Example values are ON (README): grey Example only figures fill blank inputs.</v>
      </c>
    </row>
    <row r="3" customFormat="false" ht="15" hidden="false" customHeight="true" outlineLevel="0" collapsed="false">
      <c r="B3" s="54" t="s">
        <v>2881</v>
      </c>
    </row>
    <row r="5" customFormat="false" ht="15" hidden="false" customHeight="true" outlineLevel="0" collapsed="false">
      <c r="B5" s="55" t="s">
        <v>2882</v>
      </c>
      <c r="C5" s="58"/>
      <c r="D5" s="58"/>
      <c r="E5" s="58"/>
      <c r="F5" s="58"/>
      <c r="G5" s="58"/>
    </row>
    <row r="6" customFormat="false" ht="27.75" hidden="false" customHeight="true" outlineLevel="0" collapsed="false">
      <c r="B6" s="87" t="s">
        <v>2883</v>
      </c>
      <c r="C6" s="87"/>
      <c r="D6" s="87"/>
      <c r="E6" s="87"/>
    </row>
    <row r="7" customFormat="false" ht="15" hidden="false" customHeight="true" outlineLevel="0" collapsed="false">
      <c r="B7" s="59" t="s">
        <v>2884</v>
      </c>
      <c r="C7" s="88"/>
      <c r="D7" s="61" t="s">
        <v>964</v>
      </c>
      <c r="E7" s="62" t="s">
        <v>2885</v>
      </c>
      <c r="G7" s="86" t="s">
        <v>2886</v>
      </c>
    </row>
    <row r="8" customFormat="false" ht="15" hidden="false" customHeight="true" outlineLevel="0" collapsed="false">
      <c r="B8" s="59" t="s">
        <v>2392</v>
      </c>
      <c r="C8" s="89"/>
      <c r="D8" s="61" t="s">
        <v>2814</v>
      </c>
      <c r="E8" s="62" t="s">
        <v>2887</v>
      </c>
      <c r="G8" s="86" t="s">
        <v>2886</v>
      </c>
    </row>
    <row r="9" customFormat="false" ht="15" hidden="false" customHeight="true" outlineLevel="0" collapsed="false">
      <c r="B9" s="59" t="s">
        <v>2888</v>
      </c>
      <c r="C9" s="90"/>
      <c r="D9" s="61" t="s">
        <v>1002</v>
      </c>
      <c r="E9" s="62" t="s">
        <v>2889</v>
      </c>
      <c r="G9" s="86" t="s">
        <v>2886</v>
      </c>
    </row>
    <row r="10" customFormat="false" ht="15" hidden="false" customHeight="true" outlineLevel="0" collapsed="false">
      <c r="B10" s="59" t="s">
        <v>2388</v>
      </c>
      <c r="C10" s="88"/>
      <c r="D10" s="61" t="s">
        <v>964</v>
      </c>
      <c r="E10" s="62" t="s">
        <v>2890</v>
      </c>
      <c r="G10" s="86" t="s">
        <v>2886</v>
      </c>
    </row>
    <row r="11" customFormat="false" ht="15" hidden="false" customHeight="true" outlineLevel="0" collapsed="false">
      <c r="B11" s="59" t="s">
        <v>2891</v>
      </c>
      <c r="C11" s="91"/>
      <c r="D11" s="61" t="s">
        <v>922</v>
      </c>
      <c r="E11" s="62" t="s">
        <v>2892</v>
      </c>
      <c r="G11" s="86" t="s">
        <v>2886</v>
      </c>
    </row>
    <row r="13" customFormat="false" ht="15" hidden="false" customHeight="true" outlineLevel="0" collapsed="false">
      <c r="B13" s="55" t="s">
        <v>2893</v>
      </c>
      <c r="C13" s="56" t="s">
        <v>912</v>
      </c>
      <c r="D13" s="56" t="s">
        <v>913</v>
      </c>
      <c r="E13" s="56" t="s">
        <v>2804</v>
      </c>
      <c r="F13" s="57" t="s">
        <v>2805</v>
      </c>
      <c r="G13" s="58"/>
    </row>
    <row r="14" customFormat="false" ht="21.75" hidden="false" customHeight="true" outlineLevel="0" collapsed="false">
      <c r="B14" s="59" t="s">
        <v>2894</v>
      </c>
      <c r="C14" s="60"/>
      <c r="D14" s="61" t="s">
        <v>964</v>
      </c>
      <c r="E14" s="62" t="s">
        <v>2895</v>
      </c>
      <c r="F14" s="63" t="n">
        <v>300000</v>
      </c>
      <c r="G14" s="64" t="n">
        <f aca="false">IF(ISBLANK(C14),IF(Fill_Example="Yes",F14,""),C14)</f>
        <v>300000</v>
      </c>
    </row>
    <row r="15" customFormat="false" ht="33" hidden="false" customHeight="true" outlineLevel="0" collapsed="false">
      <c r="B15" s="59" t="s">
        <v>2392</v>
      </c>
      <c r="C15" s="68"/>
      <c r="D15" s="61" t="s">
        <v>2814</v>
      </c>
      <c r="E15" s="69" t="str">
        <f aca="false">"Type 2 · your figure · Your own rate (your statement shows it; typing it is fine, no upload needed). "&amp;IF(ISNUMBER(Suggest_Mortgage_Rate),"Suggested: "&amp;TEXT(Suggest_Mortgage_Rate,"0.00%")&amp;" · "&amp;Suggest_Mortgage_Rate_Label&amp;". ","No suggestion. ")&amp;"Enter your own figure."&amp;" In the app it is pre-filled from Your finances / mortgage statement: rate. Enter your own figure. Allowed: 1% to 8% · steps of 0.05%"</f>
        <v>Type 2 · your figure · Your own rate (your statement shows it; typing it is fine, no upload needed). Suggested: 3.48% · Central Bank of Ireland: average rate on new mortgages, Jul 2026. Enter your own figure. In the app it is pre-filled from Your finances / mortgage statement: rate. Enter your own figure. Allowed: 1% to 8% · steps of 0.05%</v>
      </c>
      <c r="F15" s="70" t="n">
        <f aca="false">IF(ISNUMBER(Suggest_Mortgage_Rate),Suggest_Mortgage_Rate,"")</f>
        <v>0.0348</v>
      </c>
      <c r="G15" s="71" t="n">
        <f aca="false">IF(ISBLANK(C15),IF(Fill_Example="Yes",F15,""),C15)</f>
        <v>0.0348</v>
      </c>
    </row>
    <row r="16" customFormat="false" ht="21.75" hidden="false" customHeight="true" outlineLevel="0" collapsed="false">
      <c r="B16" s="59" t="s">
        <v>2896</v>
      </c>
      <c r="C16" s="72"/>
      <c r="D16" s="61" t="s">
        <v>1002</v>
      </c>
      <c r="E16" s="62" t="s">
        <v>2897</v>
      </c>
      <c r="F16" s="73" t="n">
        <v>30</v>
      </c>
      <c r="G16" s="74" t="n">
        <f aca="false">IF(AND(ISNUMBER(C16),N(C16)&lt;5),"",IF(ISBLANK(C16),IF(Fill_Example="Yes",F16,""),C16))</f>
        <v>30</v>
      </c>
    </row>
    <row r="17" customFormat="false" ht="15" hidden="false" customHeight="true" outlineLevel="0" collapsed="false">
      <c r="B17" s="59" t="s">
        <v>2898</v>
      </c>
      <c r="C17" s="60"/>
      <c r="D17" s="61" t="s">
        <v>964</v>
      </c>
      <c r="E17" s="62" t="s">
        <v>2899</v>
      </c>
      <c r="F17" s="63" t="n">
        <v>0</v>
      </c>
      <c r="G17" s="64" t="n">
        <f aca="false">IF(ISBLANK(C17),F17,C17)</f>
        <v>0</v>
      </c>
    </row>
    <row r="18" customFormat="false" ht="15" hidden="false" customHeight="true" outlineLevel="0" collapsed="false">
      <c r="B18" s="59" t="s">
        <v>2818</v>
      </c>
      <c r="C18" s="72"/>
      <c r="D18" s="61" t="s">
        <v>1002</v>
      </c>
      <c r="E18" s="62" t="s">
        <v>2819</v>
      </c>
      <c r="F18" s="73" t="n">
        <v>3</v>
      </c>
      <c r="G18" s="74" t="n">
        <f aca="false">IF(ISBLANK(C18),IF(Fill_Example="Yes",F18,""),C18)</f>
        <v>3</v>
      </c>
    </row>
    <row r="19" customFormat="false" ht="15" hidden="false" customHeight="true" outlineLevel="0" collapsed="false">
      <c r="B19" s="59" t="s">
        <v>2900</v>
      </c>
      <c r="C19" s="68"/>
      <c r="D19" s="61" t="s">
        <v>2814</v>
      </c>
      <c r="E19" s="62" t="s">
        <v>2901</v>
      </c>
      <c r="F19" s="70" t="n">
        <v>0</v>
      </c>
      <c r="G19" s="71" t="n">
        <f aca="false">IF(ISBLANK(C19),F19,C19)</f>
        <v>0</v>
      </c>
    </row>
    <row r="21" customFormat="false" ht="15" hidden="false" customHeight="true" outlineLevel="0" collapsed="false">
      <c r="B21" s="55" t="s">
        <v>2902</v>
      </c>
      <c r="C21" s="58"/>
      <c r="D21" s="58"/>
      <c r="E21" s="58"/>
      <c r="F21" s="58"/>
      <c r="G21" s="58"/>
    </row>
    <row r="22" customFormat="false" ht="15" hidden="false" customHeight="true" outlineLevel="0" collapsed="false">
      <c r="B22" s="59" t="s">
        <v>2894</v>
      </c>
      <c r="C22" s="92" t="n">
        <f aca="false">IF(ISBLANK(Stmt_Balance),Loan_Amount,Stmt_Balance)</f>
        <v>300000</v>
      </c>
      <c r="D22" s="93" t="str">
        <f aca="false">IF(ISBLANK(Stmt_Balance),"Your figure","From your statement")</f>
        <v>Your figure</v>
      </c>
      <c r="E22" s="83" t="s">
        <v>2903</v>
      </c>
    </row>
    <row r="23" customFormat="false" ht="15" hidden="false" customHeight="true" outlineLevel="0" collapsed="false">
      <c r="B23" s="59" t="s">
        <v>2392</v>
      </c>
      <c r="C23" s="94" t="n">
        <f aca="false">IF(ISBLANK(Stmt_Rate),Interest_Rate,Stmt_Rate)</f>
        <v>0.0348</v>
      </c>
      <c r="D23" s="93" t="str">
        <f aca="false">IF(ISBLANK(Stmt_Rate),"Your figure","From your statement")</f>
        <v>Your figure</v>
      </c>
      <c r="E23" s="83" t="s">
        <v>2904</v>
      </c>
    </row>
    <row r="24" customFormat="false" ht="15" hidden="false" customHeight="true" outlineLevel="0" collapsed="false">
      <c r="B24" s="59" t="s">
        <v>2905</v>
      </c>
      <c r="C24" s="95" t="n">
        <f aca="false">IF(ISBLANK(Stmt_Term),Term_Years,Stmt_Term)</f>
        <v>30</v>
      </c>
      <c r="D24" s="93" t="str">
        <f aca="false">IF(ISBLANK(Stmt_Term),"Your figure","From your statement")</f>
        <v>Your figure</v>
      </c>
      <c r="E24" s="83" t="s">
        <v>2906</v>
      </c>
    </row>
    <row r="25" customFormat="false" ht="15" hidden="false" customHeight="true" outlineLevel="0" collapsed="false">
      <c r="B25" s="59" t="s">
        <v>2907</v>
      </c>
      <c r="C25" s="92" t="n">
        <f aca="false">IF(ISBLANK(Stmt_Repayment),Actual_Repayment,Stmt_Repayment)</f>
        <v>0</v>
      </c>
      <c r="D25" s="93" t="str">
        <f aca="false">IF(ISBLANK(Stmt_Repayment),"Your figure","From your statement")</f>
        <v>Your figure</v>
      </c>
      <c r="E25" s="83" t="s">
        <v>2908</v>
      </c>
    </row>
    <row r="26" customFormat="false" ht="21.75" hidden="false" customHeight="true" outlineLevel="0" collapsed="false">
      <c r="B26" s="59" t="s">
        <v>2909</v>
      </c>
      <c r="C26" s="79" t="str">
        <f aca="true">IF(ISBLANK(Stmt_Statement_Date),"",IF(TODAY()-Stmt_Statement_Date&gt;Statement_Max_Age_Days,"Needs a look: statement is more than 12 months old","Up to date"))</f>
        <v/>
      </c>
      <c r="D26" s="61"/>
      <c r="E26" s="76" t="s">
        <v>2910</v>
      </c>
    </row>
    <row r="28" customFormat="false" ht="15" hidden="false" customHeight="true" outlineLevel="0" collapsed="false">
      <c r="B28" s="55" t="s">
        <v>2630</v>
      </c>
      <c r="C28" s="56" t="s">
        <v>327</v>
      </c>
      <c r="D28" s="56" t="s">
        <v>2822</v>
      </c>
      <c r="E28" s="56" t="s">
        <v>2823</v>
      </c>
      <c r="F28" s="58"/>
      <c r="G28" s="58"/>
    </row>
    <row r="29" customFormat="false" ht="17.25" hidden="false" customHeight="true" outlineLevel="0" collapsed="false">
      <c r="B29" s="52" t="s">
        <v>2388</v>
      </c>
      <c r="C29" s="75" t="n">
        <f aca="false">IF(Need_1&lt;&gt;"",Need_1,IF(Used_Actual_Repayment&gt;0,Used_Actual_Repayment,Formula_Repayment))</f>
        <v>1343.7870383762</v>
      </c>
      <c r="D29" s="61" t="s">
        <v>964</v>
      </c>
      <c r="E29" s="76" t="s">
        <v>2911</v>
      </c>
    </row>
    <row r="30" customFormat="false" ht="23.25" hidden="false" customHeight="true" outlineLevel="0" collapsed="false">
      <c r="B30" s="52" t="s">
        <v>2912</v>
      </c>
      <c r="C30" s="96" t="n">
        <f aca="false">IF(Need_1&lt;&gt;"",Need_1,IF(Monthly_Repayment&lt;=Used_Loan_Amount*Monthly_Rate,"Never",ROUNDUP(ROUND(NPER(Monthly_Rate,-Monthly_Repayment,Used_Loan_Amount),6),0)))</f>
        <v>360</v>
      </c>
      <c r="D30" s="97" t="str">
        <f aca="false">IF(Need_1&lt;&gt;"",Need_1,IF(Months_To_Pay="Never","Never at this repayment",IF(Months_To_Pay&gt;Cap_Months,"Over 100 years",IF(INT(Months_To_Pay/12)=0,MOD(Months_To_Pay,12)&amp;IF(MOD(Months_To_Pay,12)=1," month"," months"),INT(Months_To_Pay/12)&amp;IF(INT(Months_To_Pay/12)=1," year"," years")&amp;IF(MOD(Months_To_Pay,12)=0,""," "&amp;MOD(Months_To_Pay,12)&amp;IF(MOD(Months_To_Pay,12)=1," month"," months"))))))</f>
        <v>30 years</v>
      </c>
      <c r="E30" s="76" t="s">
        <v>2913</v>
      </c>
    </row>
    <row r="31" customFormat="false" ht="17.25" hidden="false" customHeight="true" outlineLevel="0" collapsed="false">
      <c r="B31" s="52" t="s">
        <v>2914</v>
      </c>
      <c r="C31" s="75" t="n">
        <f aca="false">IF(Need_1&lt;&gt;"",Need_1,IF(Months_To_Pay="Never","—",Monthly_Repayment*(Months_To_Pay-1)+Final_Payment-Used_Loan_Amount))</f>
        <v>183763.333815447</v>
      </c>
      <c r="D31" s="61" t="s">
        <v>964</v>
      </c>
      <c r="E31" s="76" t="s">
        <v>2915</v>
      </c>
    </row>
    <row r="32" customFormat="false" ht="15" hidden="false" customHeight="true" outlineLevel="0" collapsed="false">
      <c r="B32" s="59" t="s">
        <v>2916</v>
      </c>
      <c r="C32" s="77" t="n">
        <f aca="false">IF(Need_1&lt;&gt;"",Need_1,IF(Months_To_Pay="Never","—",Used_Loan_Amount+Total_Interest))</f>
        <v>483763.333815447</v>
      </c>
      <c r="D32" s="61" t="s">
        <v>964</v>
      </c>
      <c r="E32" s="76" t="s">
        <v>2917</v>
      </c>
    </row>
    <row r="33" customFormat="false" ht="15" hidden="false" customHeight="true" outlineLevel="0" collapsed="false">
      <c r="B33" s="59" t="s">
        <v>2918</v>
      </c>
      <c r="C33" s="98" t="n">
        <f aca="false">IF(Need_2&lt;&gt;"",Need_2,Used_Interest_Rate/12)</f>
        <v>0.0029</v>
      </c>
      <c r="D33" s="61"/>
      <c r="E33" s="76" t="s">
        <v>2919</v>
      </c>
    </row>
    <row r="34" customFormat="false" ht="15" hidden="false" customHeight="true" outlineLevel="0" collapsed="false">
      <c r="B34" s="59" t="s">
        <v>2920</v>
      </c>
      <c r="C34" s="77" t="n">
        <f aca="false">IF(Need_3&lt;&gt;"",Need_3,PMT(Monthly_Rate,Used_Term_Years*12,-Used_Loan_Amount))</f>
        <v>1343.7870383762</v>
      </c>
      <c r="D34" s="61" t="s">
        <v>964</v>
      </c>
      <c r="E34" s="76" t="s">
        <v>2921</v>
      </c>
    </row>
    <row r="35" customFormat="false" ht="21.75" hidden="false" customHeight="true" outlineLevel="0" collapsed="false">
      <c r="B35" s="59" t="s">
        <v>2922</v>
      </c>
      <c r="C35" s="77" t="n">
        <f aca="false">IF(Need_1&lt;&gt;"",Need_1,IF(Months_To_Pay="Never","—",-FV(Monthly_Rate,Months_To_Pay-1,-Monthly_Repayment,Used_Loan_Amount)*(1+Monthly_Rate)))</f>
        <v>1343.78703839205</v>
      </c>
      <c r="D35" s="61" t="s">
        <v>964</v>
      </c>
      <c r="E35" s="76" t="s">
        <v>2923</v>
      </c>
    </row>
    <row r="36" customFormat="false" ht="15" hidden="false" customHeight="true" outlineLevel="0" collapsed="false">
      <c r="B36" s="59" t="s">
        <v>2924</v>
      </c>
      <c r="C36" s="99" t="n">
        <f aca="false">IF(Need_2&lt;&gt;"",Need_2,MAX(0,Used_Interest_Rate+Rate_Change))</f>
        <v>0.0348</v>
      </c>
      <c r="D36" s="61" t="s">
        <v>2814</v>
      </c>
      <c r="E36" s="76" t="s">
        <v>2925</v>
      </c>
    </row>
    <row r="37" customFormat="false" ht="17.25" hidden="false" customHeight="true" outlineLevel="0" collapsed="false">
      <c r="B37" s="52" t="s">
        <v>2926</v>
      </c>
      <c r="C37" s="75" t="n">
        <f aca="false">IF(Need_1&lt;&gt;"",Need_1,Monthly_Repayment+PMT(New_Rate/12,Used_Term_Years*12,-Used_Loan_Amount)-Formula_Repayment)</f>
        <v>1343.7870383762</v>
      </c>
      <c r="D37" s="61" t="s">
        <v>964</v>
      </c>
      <c r="E37" s="76" t="s">
        <v>2927</v>
      </c>
    </row>
    <row r="38" customFormat="false" ht="15" hidden="false" customHeight="true" outlineLevel="0" collapsed="false">
      <c r="B38" s="59" t="s">
        <v>2928</v>
      </c>
      <c r="C38" s="77" t="n">
        <f aca="false">IF(Need_1&lt;&gt;"",Need_1,(Repayment_If_Changed-Monthly_Repayment)*12)</f>
        <v>0</v>
      </c>
      <c r="D38" s="61" t="s">
        <v>964</v>
      </c>
      <c r="E38" s="76" t="s">
        <v>2929</v>
      </c>
    </row>
    <row r="40" customFormat="false" ht="15" hidden="false" customHeight="true" outlineLevel="0" collapsed="false">
      <c r="B40" s="55" t="s">
        <v>2853</v>
      </c>
      <c r="C40" s="58"/>
      <c r="D40" s="58"/>
      <c r="E40" s="58"/>
      <c r="F40" s="58"/>
      <c r="G40" s="58"/>
    </row>
    <row r="41" customFormat="false" ht="13.5" hidden="false" customHeight="true" outlineLevel="0" collapsed="false">
      <c r="B41" s="80" t="s">
        <v>2930</v>
      </c>
      <c r="C41" s="80"/>
      <c r="D41" s="80"/>
      <c r="E41" s="80"/>
    </row>
    <row r="42" customFormat="false" ht="27.75" hidden="false" customHeight="true" outlineLevel="0" collapsed="false">
      <c r="B42" s="80" t="s">
        <v>2931</v>
      </c>
      <c r="C42" s="80"/>
      <c r="D42" s="80"/>
      <c r="E42" s="80"/>
    </row>
    <row r="43" customFormat="false" ht="27.75" hidden="false" customHeight="true" outlineLevel="0" collapsed="false">
      <c r="B43" s="80" t="s">
        <v>2932</v>
      </c>
      <c r="C43" s="80"/>
      <c r="D43" s="80"/>
      <c r="E43" s="80"/>
    </row>
    <row r="44" customFormat="false" ht="13.5" hidden="false" customHeight="true" outlineLevel="0" collapsed="false">
      <c r="B44" s="81" t="s">
        <v>2856</v>
      </c>
      <c r="C44" s="81"/>
      <c r="D44" s="81"/>
      <c r="E44" s="81"/>
    </row>
    <row r="45" customFormat="false" ht="27.75" hidden="false" customHeight="true" outlineLevel="0" collapsed="false">
      <c r="B45" s="80" t="s">
        <v>2933</v>
      </c>
      <c r="C45" s="80"/>
      <c r="D45" s="80"/>
      <c r="E45" s="80"/>
    </row>
    <row r="46" customFormat="false" ht="13.5" hidden="false" customHeight="true" outlineLevel="0" collapsed="false">
      <c r="B46" s="80" t="s">
        <v>2934</v>
      </c>
      <c r="C46" s="80"/>
      <c r="D46" s="80"/>
      <c r="E46" s="80"/>
    </row>
    <row r="47" customFormat="false" ht="27.75" hidden="false" customHeight="true" outlineLevel="0" collapsed="false">
      <c r="B47" s="80" t="s">
        <v>2935</v>
      </c>
      <c r="C47" s="80"/>
      <c r="D47" s="80"/>
      <c r="E47" s="80"/>
    </row>
    <row r="48" customFormat="false" ht="13.5" hidden="false" customHeight="true" outlineLevel="0" collapsed="false">
      <c r="B48" s="80" t="s">
        <v>2860</v>
      </c>
      <c r="C48" s="80"/>
      <c r="D48" s="80"/>
      <c r="E48" s="80"/>
    </row>
    <row r="50" customFormat="false" ht="15" hidden="false" customHeight="true" outlineLevel="0" collapsed="false">
      <c r="B50" s="55" t="s">
        <v>2861</v>
      </c>
      <c r="C50" s="58"/>
      <c r="D50" s="58"/>
      <c r="E50" s="58"/>
      <c r="F50" s="58"/>
      <c r="G50" s="58"/>
    </row>
    <row r="51" customFormat="false" ht="15" hidden="false" customHeight="true" outlineLevel="0" collapsed="false">
      <c r="B51" s="59" t="s">
        <v>1620</v>
      </c>
      <c r="C51" s="82" t="str">
        <f aca="false">"Buy a home (deposit goal)"</f>
        <v>Buy a home (deposit goal)</v>
      </c>
      <c r="E51" s="83" t="s">
        <v>2862</v>
      </c>
    </row>
    <row r="52" customFormat="false" ht="15" hidden="false" customHeight="true" outlineLevel="0" collapsed="false">
      <c r="B52" s="59" t="s">
        <v>2936</v>
      </c>
      <c r="C52" s="84" t="n">
        <f aca="false">IF(Need_4&lt;&gt;"",Need_4,ROUND(Used_Loan_Amount*(1-LTV_Max)/LTV_Max,0))</f>
        <v>33333</v>
      </c>
      <c r="E52" s="83" t="s">
        <v>2937</v>
      </c>
    </row>
    <row r="53" customFormat="false" ht="15" hidden="false" customHeight="true" outlineLevel="0" collapsed="false">
      <c r="B53" s="59" t="s">
        <v>2867</v>
      </c>
      <c r="C53" s="85" t="n">
        <f aca="false">IF(Need_5&lt;&gt;"",Need_5,Home_Goal_Years)</f>
        <v>3</v>
      </c>
      <c r="E53" s="83" t="s">
        <v>2868</v>
      </c>
    </row>
    <row r="54" customFormat="false" ht="13.5" hidden="false" customHeight="true" outlineLevel="0" collapsed="false">
      <c r="B54" s="87" t="str">
        <f aca="false">"Audit fix: the mortgage amount itself is borrowing, not a savings goal, so only the deposit ("&amp;"loan × "&amp;TEXT(Min_Deposit_Pct,"0%")&amp;" ÷ "&amp;TEXT(LTV_Max,"0%")&amp;" at "&amp;TEXT(LTV_Max,"0%")&amp;" LTV"&amp;") is sent."</f>
        <v>Audit fix: the mortgage amount itself is borrowing, not a savings goal, so only the deposit (loan × 10% ÷ 90% at 90% LTV) is sent.</v>
      </c>
      <c r="C54" s="87"/>
      <c r="D54" s="87"/>
      <c r="E54" s="87"/>
    </row>
    <row r="56" customFormat="false" ht="15" hidden="false" customHeight="true" outlineLevel="0" collapsed="false">
      <c r="B56" s="55" t="s">
        <v>2869</v>
      </c>
      <c r="C56" s="58"/>
      <c r="D56" s="58"/>
      <c r="E56" s="58"/>
      <c r="F56" s="58"/>
      <c r="G56" s="58"/>
    </row>
    <row r="57" customFormat="false" ht="15" hidden="false" customHeight="true" outlineLevel="0" collapsed="false">
      <c r="B57" s="86" t="s">
        <v>2938</v>
      </c>
      <c r="C57" s="86" t="str">
        <f aca="false">IF(NOT(ISNUMBER(Used_Loan_Amount)),IF(Used_Loan_Amount="",IF(Loan_Amount="","Choose your mortgage amount to see this",""),Used_Loan_Amount),IF(NOT(ISNUMBER(Used_Term_Years)),IF(Used_Term_Years="",IF(Term_Years="","Choose your mortgage term to see this",""),Used_Term_Years),IF(NOT(ISNUMBER(Used_Actual_Repayment)),IF(Used_Actual_Repayment="","Choose your actual monthly repayment to see this",Used_Actual_Repayment),IF(NOT(ISNUMBER(Used_Interest_Rate)),IF(Used_Interest_Rate="",IF(Interest_Rate="","Choose your mortgage rate to see this",""),Used_Interest_Rate),""))))</f>
        <v/>
      </c>
    </row>
    <row r="58" customFormat="false" ht="15" hidden="false" customHeight="true" outlineLevel="0" collapsed="false">
      <c r="B58" s="86" t="s">
        <v>2939</v>
      </c>
      <c r="C58" s="86" t="str">
        <f aca="false">IF(NOT(ISNUMBER(Used_Interest_Rate)),IF(Used_Interest_Rate="",IF(Interest_Rate="","Choose your mortgage rate to see this",""),Used_Interest_Rate),"")</f>
        <v/>
      </c>
    </row>
    <row r="59" customFormat="false" ht="15" hidden="false" customHeight="true" outlineLevel="0" collapsed="false">
      <c r="B59" s="86" t="s">
        <v>2940</v>
      </c>
      <c r="C59" s="86" t="str">
        <f aca="false">IF(NOT(ISNUMBER(Used_Loan_Amount)),IF(Used_Loan_Amount="",IF(Loan_Amount="","Choose your mortgage amount to see this",""),Used_Loan_Amount),IF(NOT(ISNUMBER(Used_Term_Years)),IF(Used_Term_Years="",IF(Term_Years="","Choose your mortgage term to see this",""),Used_Term_Years),IF(NOT(ISNUMBER(Used_Interest_Rate)),IF(Used_Interest_Rate="",IF(Interest_Rate="","Choose your mortgage rate to see this",""),Used_Interest_Rate),"")))</f>
        <v/>
      </c>
    </row>
    <row r="60" customFormat="false" ht="15" hidden="false" customHeight="true" outlineLevel="0" collapsed="false">
      <c r="B60" s="86" t="s">
        <v>2941</v>
      </c>
      <c r="C60" s="86" t="str">
        <f aca="false">IF(NOT(ISNUMBER(Used_Loan_Amount)),IF(Used_Loan_Amount="",IF(Loan_Amount="","Choose your mortgage amount to see this",""),Used_Loan_Amount),IF(NOT(ISNUMBER(Used_Interest_Rate)),IF(Used_Interest_Rate="",IF(Interest_Rate="","Choose your mortgage rate to see this",""),Used_Interest_Rate),""))</f>
        <v/>
      </c>
    </row>
    <row r="61" customFormat="false" ht="15" hidden="false" customHeight="true" outlineLevel="0" collapsed="false">
      <c r="B61" s="86" t="s">
        <v>2876</v>
      </c>
      <c r="C61" s="86" t="str">
        <f aca="false">IF(Home_Goal_Years="","Choose your years until you buy to see this",IF(NOT(ISNUMBER(Used_Interest_Rate)),IF(Used_Interest_Rate="",IF(Interest_Rate="","Choose your mortgage rate to see this",""),Used_Interest_Rate),""))</f>
        <v/>
      </c>
    </row>
    <row r="63" customFormat="false" ht="15" hidden="false" customHeight="true" outlineLevel="0" collapsed="false">
      <c r="B63" s="25" t="s">
        <v>2942</v>
      </c>
    </row>
  </sheetData>
  <mergeCells count="10">
    <mergeCell ref="B6:E6"/>
    <mergeCell ref="B41:E41"/>
    <mergeCell ref="B42:E42"/>
    <mergeCell ref="B43:E43"/>
    <mergeCell ref="B44:E44"/>
    <mergeCell ref="B45:E45"/>
    <mergeCell ref="B46:E46"/>
    <mergeCell ref="B47:E47"/>
    <mergeCell ref="B48:E48"/>
    <mergeCell ref="B54:E54"/>
  </mergeCells>
  <dataValidations count="11">
    <dataValidation allowBlank="true" error="Please enter 1 to 30 · steps of 1." errorStyle="stop" errorTitle="Outside the allowed range" operator="between" prompt="Your own figure.  Allowed: 1 to 30 · steps of 1." promptTitle="Years until you buy (for the pla" showDropDown="false" showErrorMessage="true" showInputMessage="true" sqref="C18" type="whole">
      <formula1>1</formula1>
      <formula2>30</formula2>
    </dataValidation>
    <dataValidation allowBlank="true" error="Please enter €0 to €10,000,000." errorStyle="stop" errorTitle="Outside the allowed range" operator="between" prompt="Unit: €. Allowed: €0 to €10,000,000." promptTitle="Outstanding balance" showDropDown="false" showErrorMessage="true" showInputMessage="true" sqref="C7" type="decimal">
      <formula1>0</formula1>
      <formula2>10000000</formula2>
    </dataValidation>
    <dataValidation allowBlank="true" error="Please enter 0% to 15%." errorStyle="stop" errorTitle="Outside the allowed range" operator="between" prompt="Unit: %. Allowed: 0% to 15%." promptTitle="Interest rate" showDropDown="false" showErrorMessage="true" showInputMessage="true" sqref="C8" type="decimal">
      <formula1>0</formula1>
      <formula2>0.15</formula2>
    </dataValidation>
    <dataValidation allowBlank="true" error="Please enter 0 to 40." errorStyle="stop" errorTitle="Outside the allowed range" operator="between" prompt="Unit: years. Allowed: 0 to 40." promptTitle="Term remaining" showDropDown="false" showErrorMessage="true" showInputMessage="true" sqref="C9" type="whole">
      <formula1>0</formula1>
      <formula2>40</formula2>
    </dataValidation>
    <dataValidation allowBlank="true" error="Please enter €0 to €100,000." errorStyle="stop" errorTitle="Outside the allowed range" operator="between" prompt="Unit: €. Allowed: €0 to €100,000." promptTitle="Monthly repayment" showDropDown="false" showErrorMessage="true" showInputMessage="true" sqref="C10" type="decimal">
      <formula1>0</formula1>
      <formula2>100000</formula2>
    </dataValidation>
    <dataValidation allowBlank="true" error="Please enter a date (dd/mm/yyyy)." errorStyle="stop" errorTitle="Outside the allowed range" operator="greaterThan" prompt="Unit: date. Allowed: a date (dd/mm/yyyy)." promptTitle="Statement date" showDropDown="false" showErrorMessage="true" showInputMessage="true" sqref="C11" type="date">
      <formula1>36526</formula1>
      <formula2>0</formula2>
    </dataValidation>
    <dataValidation allowBlank="true" error="Please enter 1% to 8% · steps of 0.05%." errorStyle="stop" errorTitle="Outside the allowed range" operator="between" prompt="Your own mortgage rate: your statement shows it. Typing it is fine; no upload needed. A suggested rate and its source are shown beside this cell (Partner rates, Assumptions sheet). Allowed: 1% to 8% · steps of 0.05%" promptTitle="Interest rate" showDropDown="false" showErrorMessage="true" showInputMessage="true" sqref="C15" type="decimal">
      <formula1>0.01</formula1>
      <formula2>0.08</formula2>
    </dataValidation>
    <dataValidation allowBlank="true" error="Please enter €0 to €100,000 · steps of €1." errorStyle="stop" errorTitle="Outside the allowed range" operator="between" prompt="Optional: leave blank for none.  Allowed: €0 to €100,000 · steps of €1." promptTitle="Your actual monthly repayment (o" showDropDown="false" showErrorMessage="true" showInputMessage="true" sqref="C17" type="decimal">
      <formula1>0</formula1>
      <formula2>100000</formula2>
    </dataValidation>
    <dataValidation allowBlank="true" error="Please enter €50,000 to €10,000,000 · steps of €1,000." errorStyle="stop" errorTitle="Outside the allowed range" operator="between" prompt="Your own figure. In the app it is pre-filled from Your finances / mortgage statement: balance.  Allowed: €50,000 to €10,000,000 · steps of €1,000." promptTitle="Mortgage amount" showDropDown="false" showErrorMessage="true" showInputMessage="true" sqref="C14" type="decimal">
      <formula1>50000</formula1>
      <formula2>10000000</formula2>
    </dataValidation>
    <dataValidation allowBlank="true" error="Please enter 5 to 35 · steps of 1." errorStyle="stop" errorTitle="Outside the allowed range" operator="between" prompt="Your own figure. In the app it is pre-filled from Years left (25 if not given).  Allowed: 5 to 35 · steps of 1." promptTitle="Term" showDropDown="false" showErrorMessage="true" showInputMessage="true" sqref="C16" type="whole">
      <formula1>5</formula1>
      <formula2>35</formula2>
    </dataValidation>
    <dataValidation allowBlank="true" error="Please enter -2% to 3% · steps of 0.25%." errorStyle="stop" errorTitle="Outside the allowed range" operator="between" prompt="Optional: leave blank for none.  Allowed: -2% to 3% · steps of 0.25%." promptTitle="What if: rates change by" showDropDown="false" showErrorMessage="true" showInputMessage="true" sqref="C19" type="decimal">
      <formula1>-0.02</formula1>
      <formula2>0.03</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2B134"/>
    <pageSetUpPr fitToPage="false"/>
  </sheetPr>
  <dimension ref="B1:G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20" width="2"/>
    <col collapsed="false" customWidth="true" hidden="false" outlineLevel="0" max="2" min="2" style="20" width="50"/>
    <col collapsed="false" customWidth="true" hidden="false" outlineLevel="0" max="3" min="3" style="20" width="26"/>
    <col collapsed="false" customWidth="true" hidden="false" outlineLevel="0" max="4" min="4" style="20" width="24"/>
    <col collapsed="false" customWidth="true" hidden="false" outlineLevel="0" max="5" min="5" style="20" width="78"/>
    <col collapsed="false" customWidth="true" hidden="false" outlineLevel="0" max="6" min="6" style="20" width="14"/>
    <col collapsed="false" customWidth="true" hidden="false" outlineLevel="0" max="7" min="7" style="20" width="16"/>
  </cols>
  <sheetData>
    <row r="1" customFormat="false" ht="19.5" hidden="false" customHeight="true" outlineLevel="0" collapsed="false">
      <c r="B1" s="50" t="s">
        <v>2943</v>
      </c>
      <c r="E1" s="51" t="s">
        <v>2944</v>
      </c>
    </row>
    <row r="2" customFormat="false" ht="15" hidden="false" customHeight="true" outlineLevel="0" collapsed="false">
      <c r="B2" s="52" t="s">
        <v>2945</v>
      </c>
      <c r="E2" s="53" t="str">
        <f aca="false">IF(Fill_Example="Yes","Example values are ON (README): grey Example only figures fill blank inputs.","Blank template: fill the yellow inputs (or switch on example values on the README).")</f>
        <v>Example values are ON (README): grey Example only figures fill blank inputs.</v>
      </c>
    </row>
    <row r="3" customFormat="false" ht="15" hidden="false" customHeight="true" outlineLevel="0" collapsed="false">
      <c r="B3" s="54" t="s">
        <v>2946</v>
      </c>
    </row>
    <row r="5" customFormat="false" ht="15" hidden="false" customHeight="true" outlineLevel="0" collapsed="false">
      <c r="B5" s="55" t="s">
        <v>2803</v>
      </c>
      <c r="C5" s="56" t="s">
        <v>912</v>
      </c>
      <c r="D5" s="56" t="s">
        <v>913</v>
      </c>
      <c r="E5" s="56" t="s">
        <v>2804</v>
      </c>
      <c r="F5" s="57" t="s">
        <v>2805</v>
      </c>
      <c r="G5" s="58"/>
    </row>
    <row r="6" customFormat="false" ht="15" hidden="false" customHeight="true" outlineLevel="0" collapsed="false">
      <c r="B6" s="59" t="s">
        <v>2947</v>
      </c>
      <c r="C6" s="60"/>
      <c r="D6" s="61" t="s">
        <v>964</v>
      </c>
      <c r="E6" s="62" t="s">
        <v>2948</v>
      </c>
      <c r="F6" s="63" t="n">
        <v>350000</v>
      </c>
      <c r="G6" s="64" t="n">
        <f aca="false">IF(ISBLANK(C6),IF(Fill_Example="Yes",F6,""),C6)</f>
        <v>350000</v>
      </c>
    </row>
    <row r="7" customFormat="false" ht="21.75" hidden="false" customHeight="true" outlineLevel="0" collapsed="false">
      <c r="B7" s="59" t="s">
        <v>2949</v>
      </c>
      <c r="C7" s="68"/>
      <c r="D7" s="61" t="s">
        <v>2814</v>
      </c>
      <c r="E7" s="62" t="str">
        <f aca="false">"Type 3 · your figure · Your own figure. Allowed: 10% to 30% · steps of 1% · the Central Bank "&amp;"minimum is "&amp;TEXT(Min_Deposit_Pct,"0%")&amp;" ("&amp;TEXT(LTV_Max,"0%")&amp;" LTV)"</f>
        <v>Type 3 · your figure · Your own figure. Allowed: 10% to 30% · steps of 1% · the Central Bank minimum is 10% (90% LTV)</v>
      </c>
      <c r="F7" s="70" t="n">
        <v>0.1</v>
      </c>
      <c r="G7" s="71" t="n">
        <f aca="false">IF(ISBLANK(C7),IF(Fill_Example="Yes",F7,""),C7)</f>
        <v>0.1</v>
      </c>
    </row>
    <row r="8" customFormat="false" ht="21.75" hidden="false" customHeight="true" outlineLevel="0" collapsed="false">
      <c r="B8" s="59" t="s">
        <v>2817</v>
      </c>
      <c r="C8" s="60"/>
      <c r="D8" s="61" t="s">
        <v>964</v>
      </c>
      <c r="E8" s="69" t="str">
        <f aca="false">"Type 2 · optional · Legal and survey fees (stamp duty is added for you). "&amp;IF(ISNUMBER(Suggest_Buying_Fees),"Suggested: "&amp;TEXT(Suggest_Buying_Fees,"€#,##0")&amp;" · "&amp;Suggest_Buying_Fees_Label&amp;". ","No suggestion. ")&amp;"Leave blank to count €0."&amp;" Allowed: €0 to €10,000 · steps of €100"</f>
        <v>Type 2 · optional · Legal and survey fees (stamp duty is added for you). No suggestion. Leave blank to count €0. Allowed: €0 to €10,000 · steps of €100</v>
      </c>
      <c r="F8" s="63" t="str">
        <f aca="false">IF(ISNUMBER(Suggest_Buying_Fees),Suggest_Buying_Fees,"")</f>
        <v/>
      </c>
      <c r="G8" s="64" t="n">
        <f aca="false">IF(ISBLANK(C8),IF(AND(Fill_Example="Yes",ISNUMBER(F8)),F8,0),C8)</f>
        <v>0</v>
      </c>
    </row>
    <row r="9" customFormat="false" ht="21.75" hidden="false" customHeight="true" outlineLevel="0" collapsed="false">
      <c r="B9" s="59" t="s">
        <v>1137</v>
      </c>
      <c r="C9" s="60"/>
      <c r="D9" s="61" t="s">
        <v>964</v>
      </c>
      <c r="E9" s="62" t="s">
        <v>2950</v>
      </c>
      <c r="F9" s="63" t="n">
        <v>12000</v>
      </c>
      <c r="G9" s="64" t="n">
        <f aca="false">IF(ISBLANK(C9),IF(Fill_Example="Yes",F9,""),C9)</f>
        <v>12000</v>
      </c>
    </row>
    <row r="10" customFormat="false" ht="15" hidden="false" customHeight="true" outlineLevel="0" collapsed="false">
      <c r="B10" s="59" t="s">
        <v>2951</v>
      </c>
      <c r="C10" s="60"/>
      <c r="D10" s="61" t="s">
        <v>964</v>
      </c>
      <c r="E10" s="62" t="s">
        <v>2952</v>
      </c>
      <c r="F10" s="63" t="n">
        <v>800</v>
      </c>
      <c r="G10" s="64" t="n">
        <f aca="false">IF(AND(ISNUMBER(C10),N(C10)&lt;50),"",IF(ISBLANK(C10),IF(Fill_Example="Yes",F10,""),C10))</f>
        <v>800</v>
      </c>
    </row>
    <row r="11" customFormat="false" ht="15" hidden="false" customHeight="true" outlineLevel="0" collapsed="false">
      <c r="B11" s="59" t="s">
        <v>2953</v>
      </c>
      <c r="C11" s="60"/>
      <c r="D11" s="61" t="s">
        <v>964</v>
      </c>
      <c r="E11" s="62" t="s">
        <v>2954</v>
      </c>
      <c r="F11" s="63" t="n">
        <v>0</v>
      </c>
      <c r="G11" s="64" t="n">
        <f aca="false">IF(ISBLANK(C11),F11,C11)</f>
        <v>0</v>
      </c>
    </row>
    <row r="13" customFormat="false" ht="15" hidden="false" customHeight="true" outlineLevel="0" collapsed="false">
      <c r="B13" s="55" t="s">
        <v>2630</v>
      </c>
      <c r="C13" s="56" t="s">
        <v>327</v>
      </c>
      <c r="D13" s="56" t="s">
        <v>2822</v>
      </c>
      <c r="E13" s="56" t="s">
        <v>2823</v>
      </c>
      <c r="F13" s="58"/>
      <c r="G13" s="58"/>
    </row>
    <row r="14" customFormat="false" ht="23.25" hidden="false" customHeight="true" outlineLevel="0" collapsed="false">
      <c r="B14" s="52" t="s">
        <v>2955</v>
      </c>
      <c r="C14" s="96" t="n">
        <f aca="false">IF(Need_1&lt;&gt;"",Need_1,IF(Still_To_Save=0,0,ROUNDUP(Still_To_Save/(Monthly_Saving+Extra_Saving),0)))</f>
        <v>34</v>
      </c>
      <c r="D14" s="97" t="str">
        <f aca="false">IF(Need_1&lt;&gt;"",Need_1,IF(Months_To_Deposit=0,"You have your deposit",IF(INT(Months_To_Deposit/12)=0,MOD(Months_To_Deposit,12)&amp;IF(MOD(Months_To_Deposit,12)=1," month"," months"),INT(Months_To_Deposit/12)&amp;IF(INT(Months_To_Deposit/12)=1," year"," years")&amp;IF(MOD(Months_To_Deposit,12)=0,""," "&amp;MOD(Months_To_Deposit,12)&amp;IF(MOD(Months_To_Deposit,12)=1," month"," months")))))</f>
        <v>2 years 10 months</v>
      </c>
      <c r="E14" s="76" t="s">
        <v>2956</v>
      </c>
    </row>
    <row r="15" customFormat="false" ht="17.25" hidden="false" customHeight="true" outlineLevel="0" collapsed="false">
      <c r="B15" s="52" t="s">
        <v>2957</v>
      </c>
      <c r="C15" s="75" t="n">
        <f aca="false">IF(Need_2&lt;&gt;"",Need_2,Deposit_Needed+Stamp_Duty+Buying_Fees)</f>
        <v>38500</v>
      </c>
      <c r="D15" s="61" t="s">
        <v>964</v>
      </c>
      <c r="E15" s="76" t="s">
        <v>2958</v>
      </c>
    </row>
    <row r="16" customFormat="false" ht="17.25" hidden="false" customHeight="true" outlineLevel="0" collapsed="false">
      <c r="B16" s="52" t="s">
        <v>2959</v>
      </c>
      <c r="C16" s="75" t="n">
        <f aca="false">IF(Need_3&lt;&gt;"",Need_3,MAX(0,Total_Needed-Saved))</f>
        <v>26500</v>
      </c>
      <c r="D16" s="61" t="s">
        <v>964</v>
      </c>
      <c r="E16" s="76" t="s">
        <v>2960</v>
      </c>
    </row>
    <row r="17" customFormat="false" ht="15" hidden="false" customHeight="true" outlineLevel="0" collapsed="false">
      <c r="B17" s="59" t="s">
        <v>2961</v>
      </c>
      <c r="C17" s="77" t="n">
        <f aca="false">IF(Need_4&lt;&gt;"",Need_4,Home_Price*Deposit_Pct)</f>
        <v>35000</v>
      </c>
      <c r="D17" s="61" t="s">
        <v>964</v>
      </c>
      <c r="E17" s="76" t="s">
        <v>2962</v>
      </c>
    </row>
    <row r="18" customFormat="false" ht="21.75" hidden="false" customHeight="true" outlineLevel="0" collapsed="false">
      <c r="B18" s="59" t="s">
        <v>82</v>
      </c>
      <c r="C18" s="77" t="n">
        <f aca="false">IF(Need_5&lt;&gt;"",Need_5,SD_Rate_1*MIN(Home_Price,SD_Band_1)+SD_Rate_2*MAX(0,MIN(Home_Price,SD_Band_2)-SD_Band_1)+SD_Rate_3*MAX(0,Home_Price-SD_Band_2))</f>
        <v>3500</v>
      </c>
      <c r="D18" s="61" t="s">
        <v>964</v>
      </c>
      <c r="E18" s="76" t="s">
        <v>2831</v>
      </c>
    </row>
    <row r="20" customFormat="false" ht="15" hidden="false" customHeight="true" outlineLevel="0" collapsed="false">
      <c r="B20" s="55" t="s">
        <v>2853</v>
      </c>
      <c r="C20" s="58"/>
      <c r="D20" s="58"/>
      <c r="E20" s="58"/>
      <c r="F20" s="58"/>
      <c r="G20" s="58"/>
    </row>
    <row r="21" customFormat="false" ht="13.5" hidden="false" customHeight="true" outlineLevel="0" collapsed="false">
      <c r="B21" s="80" t="s">
        <v>2963</v>
      </c>
      <c r="C21" s="80"/>
      <c r="D21" s="80"/>
      <c r="E21" s="80"/>
    </row>
    <row r="22" customFormat="false" ht="13.5" hidden="false" customHeight="true" outlineLevel="0" collapsed="false">
      <c r="B22" s="80" t="s">
        <v>2964</v>
      </c>
      <c r="C22" s="80"/>
      <c r="D22" s="80"/>
      <c r="E22" s="80"/>
    </row>
    <row r="23" customFormat="false" ht="13.5" hidden="false" customHeight="true" outlineLevel="0" collapsed="false">
      <c r="B23" s="81" t="s">
        <v>2856</v>
      </c>
      <c r="C23" s="81"/>
      <c r="D23" s="81"/>
      <c r="E23" s="81"/>
    </row>
    <row r="24" customFormat="false" ht="13.5" hidden="false" customHeight="true" outlineLevel="0" collapsed="false">
      <c r="B24" s="80" t="str">
        <f aca="false">"• Deposit % "&amp;"starts at "&amp;TEXT(Min_Deposit_Pct,"0%")&amp;", the Central Bank minimum ("&amp;TEXT(LTV_Max,"0%")&amp;" loan-to-value)."</f>
        <v>• Deposit % starts at 10%, the Central Bank minimum (90% loan-to-value).</v>
      </c>
      <c r="C24" s="80"/>
      <c r="D24" s="80"/>
      <c r="E24" s="80"/>
    </row>
    <row r="25" customFormat="false" ht="13.5" hidden="false" customHeight="true" outlineLevel="0" collapsed="false">
      <c r="B25" s="80" t="s">
        <v>2965</v>
      </c>
      <c r="C25" s="80"/>
      <c r="D25" s="80"/>
      <c r="E25" s="80"/>
    </row>
    <row r="26" customFormat="false" ht="13.5" hidden="false" customHeight="true" outlineLevel="0" collapsed="false">
      <c r="B26" s="80" t="s">
        <v>2966</v>
      </c>
      <c r="C26" s="80"/>
      <c r="D26" s="80"/>
      <c r="E26" s="80"/>
    </row>
    <row r="28" customFormat="false" ht="15" hidden="false" customHeight="true" outlineLevel="0" collapsed="false">
      <c r="B28" s="55" t="s">
        <v>2861</v>
      </c>
      <c r="C28" s="58"/>
      <c r="D28" s="58"/>
      <c r="E28" s="58"/>
      <c r="F28" s="58"/>
      <c r="G28" s="58"/>
    </row>
    <row r="29" customFormat="false" ht="15" hidden="false" customHeight="true" outlineLevel="0" collapsed="false">
      <c r="B29" s="59" t="s">
        <v>1620</v>
      </c>
      <c r="C29" s="82" t="str">
        <f aca="false">"Home deposit"</f>
        <v>Home deposit</v>
      </c>
      <c r="E29" s="83" t="s">
        <v>2967</v>
      </c>
    </row>
    <row r="30" customFormat="false" ht="15" hidden="false" customHeight="true" outlineLevel="0" collapsed="false">
      <c r="B30" s="59" t="s">
        <v>2968</v>
      </c>
      <c r="C30" s="84" t="n">
        <f aca="false">IF(Need_2&lt;&gt;"",Need_2,ROUND(Total_Needed,0))</f>
        <v>38500</v>
      </c>
      <c r="E30" s="83" t="s">
        <v>2969</v>
      </c>
    </row>
    <row r="31" customFormat="false" ht="15" hidden="false" customHeight="true" outlineLevel="0" collapsed="false">
      <c r="B31" s="59" t="s">
        <v>2865</v>
      </c>
      <c r="C31" s="84" t="n">
        <f aca="false">IF(Need_6&lt;&gt;"",Need_6,Saved)</f>
        <v>12000</v>
      </c>
      <c r="E31" s="83" t="s">
        <v>2970</v>
      </c>
    </row>
    <row r="32" customFormat="false" ht="15" hidden="false" customHeight="true" outlineLevel="0" collapsed="false">
      <c r="B32" s="59" t="s">
        <v>2867</v>
      </c>
      <c r="C32" s="85" t="n">
        <f aca="false">IF(Need_1&lt;&gt;"",Need_1,MAX(1,ROUNDUP(Months_To_Deposit/12,0)))</f>
        <v>3</v>
      </c>
      <c r="E32" s="83" t="s">
        <v>2971</v>
      </c>
    </row>
    <row r="34" customFormat="false" ht="15" hidden="false" customHeight="true" outlineLevel="0" collapsed="false">
      <c r="B34" s="55" t="s">
        <v>2869</v>
      </c>
      <c r="C34" s="58"/>
      <c r="D34" s="58"/>
      <c r="E34" s="58"/>
      <c r="F34" s="58"/>
      <c r="G34" s="58"/>
    </row>
    <row r="35" customFormat="false" ht="15" hidden="false" customHeight="true" outlineLevel="0" collapsed="false">
      <c r="B35" s="86" t="s">
        <v>2972</v>
      </c>
      <c r="C35" s="86" t="str">
        <f aca="false">IF(Home_Price="","Choose your home price to see this",IF(Deposit_Pct="","Choose your deposit % to see this",IF(Buying_Fees="","Choose your buying fees to see this",IF(Saved="","Choose your saved so far to see this",IF(Monthly_Saving="","Choose your monthly saving to see this","")))))</f>
        <v/>
      </c>
    </row>
    <row r="36" customFormat="false" ht="15" hidden="false" customHeight="true" outlineLevel="0" collapsed="false">
      <c r="B36" s="86" t="s">
        <v>2973</v>
      </c>
      <c r="C36" s="86" t="str">
        <f aca="false">IF(Home_Price="","Choose your home price to see this",IF(Deposit_Pct="","Choose your deposit % to see this",IF(Buying_Fees="","Choose your buying fees to see this","")))</f>
        <v/>
      </c>
    </row>
    <row r="37" customFormat="false" ht="15" hidden="false" customHeight="true" outlineLevel="0" collapsed="false">
      <c r="B37" s="86" t="s">
        <v>2974</v>
      </c>
      <c r="C37" s="86" t="str">
        <f aca="false">IF(Home_Price="","Choose your home price to see this",IF(Deposit_Pct="","Choose your deposit % to see this",IF(Buying_Fees="","Choose your buying fees to see this",IF(Saved="","Choose your saved so far to see this",""))))</f>
        <v/>
      </c>
    </row>
    <row r="38" customFormat="false" ht="15" hidden="false" customHeight="true" outlineLevel="0" collapsed="false">
      <c r="B38" s="86" t="s">
        <v>2975</v>
      </c>
      <c r="C38" s="86" t="str">
        <f aca="false">IF(Home_Price="","Choose your home price to see this",IF(Deposit_Pct="","Choose your deposit % to see this",""))</f>
        <v/>
      </c>
    </row>
    <row r="39" customFormat="false" ht="15" hidden="false" customHeight="true" outlineLevel="0" collapsed="false">
      <c r="B39" s="86" t="s">
        <v>2976</v>
      </c>
      <c r="C39" s="86" t="str">
        <f aca="false">IF(Home_Price="","Choose your home price to see this","")</f>
        <v/>
      </c>
    </row>
    <row r="40" customFormat="false" ht="15" hidden="false" customHeight="true" outlineLevel="0" collapsed="false">
      <c r="B40" s="86" t="s">
        <v>2977</v>
      </c>
      <c r="C40" s="86" t="str">
        <f aca="false">IF(Saved="","Choose your saved so far to see this","")</f>
        <v/>
      </c>
    </row>
    <row r="42" customFormat="false" ht="15" hidden="false" customHeight="true" outlineLevel="0" collapsed="false">
      <c r="B42" s="25" t="s">
        <v>2877</v>
      </c>
    </row>
  </sheetData>
  <mergeCells count="6">
    <mergeCell ref="B21:E21"/>
    <mergeCell ref="B22:E22"/>
    <mergeCell ref="B23:E23"/>
    <mergeCell ref="B24:E24"/>
    <mergeCell ref="B25:E25"/>
    <mergeCell ref="B26:E26"/>
  </mergeCells>
  <dataValidations count="6">
    <dataValidation allowBlank="true" error="Please enter €0 to €10,000 · steps of €100." errorStyle="stop" errorTitle="Outside the allowed range" operator="between" prompt="Optional: your own legal and survey fees. No published figure, so no suggestion unless a partner sets one. Leave blank to count €0. Allowed: €0 to €10,000 · steps of €100" promptTitle="Legal and other buying fees" showDropDown="false" showErrorMessage="true" showInputMessage="true" sqref="C8" type="decimal">
      <formula1>0</formula1>
      <formula2>10000</formula2>
    </dataValidation>
    <dataValidation allowBlank="true" error="Please enter €100,000 to €10,000,000 · steps of €5,000." errorStyle="stop" errorTitle="Outside the allowed range" operator="between" prompt="Your own figure.  Allowed: €100,000 to €10,000,000 · steps of €5,000." promptTitle="Home price" showDropDown="false" showErrorMessage="true" showInputMessage="true" sqref="C6" type="decimal">
      <formula1>100000</formula1>
      <formula2>10000000</formula2>
    </dataValidation>
    <dataValidation allowBlank="true" error="Please enter 10% to 30% · steps of 1%." errorStyle="stop" errorTitle="Outside the allowed range" operator="between" prompt="Your own figure.  Allowed: 10% to 30% · steps of 1%." promptTitle="Deposit needed" showDropDown="false" showErrorMessage="true" showInputMessage="true" sqref="C7" type="decimal">
      <formula1>0.1</formula1>
      <formula2>0.3</formula2>
    </dataValidation>
    <dataValidation allowBlank="true" error="Please enter €0 to €2,000,000 · steps of €500." errorStyle="stop" errorTitle="Outside the allowed range" operator="between" prompt="Your own figure. In the app it is pre-filled from Plan: home goal's amount saved.  Allowed: €0 to €2,000,000 · steps of €500." promptTitle="Saved so far" showDropDown="false" showErrorMessage="true" showInputMessage="true" sqref="C9" type="decimal">
      <formula1>0</formula1>
      <formula2>2000000</formula2>
    </dataValidation>
    <dataValidation allowBlank="true" error="Please enter €50 to €50,000 · steps of €50." errorStyle="stop" errorTitle="Outside the allowed range" operator="between" prompt="Your own figure.  Allowed: €50 to €50,000 · steps of €50." promptTitle="Monthly saving" showDropDown="false" showErrorMessage="true" showInputMessage="true" sqref="C10" type="decimal">
      <formula1>50</formula1>
      <formula2>50000</formula2>
    </dataValidation>
    <dataValidation allowBlank="true" error="Please enter €0 to €15,000 · steps of €50." errorStyle="stop" errorTitle="Outside the allowed range" operator="between" prompt="Optional: leave blank for none.  Allowed: €0 to €15,000 · steps of €50." promptTitle="What if: save extra each month" showDropDown="false" showErrorMessage="true" showInputMessage="true" sqref="C11" type="decimal">
      <formula1>0</formula1>
      <formula2>15000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2B134"/>
    <pageSetUpPr fitToPage="false"/>
  </sheetPr>
  <dimension ref="B1:G5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20" width="2"/>
    <col collapsed="false" customWidth="true" hidden="false" outlineLevel="0" max="2" min="2" style="20" width="50"/>
    <col collapsed="false" customWidth="true" hidden="false" outlineLevel="0" max="3" min="3" style="20" width="26"/>
    <col collapsed="false" customWidth="true" hidden="false" outlineLevel="0" max="4" min="4" style="20" width="24"/>
    <col collapsed="false" customWidth="true" hidden="false" outlineLevel="0" max="5" min="5" style="20" width="78"/>
    <col collapsed="false" customWidth="true" hidden="false" outlineLevel="0" max="6" min="6" style="20" width="14"/>
    <col collapsed="false" customWidth="true" hidden="false" outlineLevel="0" max="7" min="7" style="20" width="16"/>
  </cols>
  <sheetData>
    <row r="1" customFormat="false" ht="19.5" hidden="false" customHeight="true" outlineLevel="0" collapsed="false">
      <c r="B1" s="50" t="s">
        <v>2978</v>
      </c>
      <c r="E1" s="51" t="s">
        <v>2979</v>
      </c>
    </row>
    <row r="2" customFormat="false" ht="15" hidden="false" customHeight="true" outlineLevel="0" collapsed="false">
      <c r="B2" s="52" t="s">
        <v>2980</v>
      </c>
      <c r="E2" s="53" t="str">
        <f aca="false">IF(Fill_Example="Yes","Example values are ON (README): grey Example only figures fill blank inputs.","Blank template: fill the yellow inputs (or switch on example values on the README).")</f>
        <v>Example values are ON (README): grey Example only figures fill blank inputs.</v>
      </c>
    </row>
    <row r="3" customFormat="false" ht="15" hidden="false" customHeight="true" outlineLevel="0" collapsed="false">
      <c r="B3" s="54" t="s">
        <v>2981</v>
      </c>
    </row>
    <row r="5" customFormat="false" ht="15" hidden="false" customHeight="true" outlineLevel="0" collapsed="false">
      <c r="B5" s="55" t="s">
        <v>2882</v>
      </c>
      <c r="C5" s="58"/>
      <c r="D5" s="58"/>
      <c r="E5" s="58"/>
      <c r="F5" s="58"/>
      <c r="G5" s="58"/>
    </row>
    <row r="6" customFormat="false" ht="27.75" hidden="false" customHeight="true" outlineLevel="0" collapsed="false">
      <c r="B6" s="87" t="s">
        <v>2883</v>
      </c>
      <c r="C6" s="87"/>
      <c r="D6" s="87"/>
      <c r="E6" s="87"/>
    </row>
    <row r="7" customFormat="false" ht="15" hidden="false" customHeight="true" outlineLevel="0" collapsed="false">
      <c r="B7" s="59" t="s">
        <v>2884</v>
      </c>
      <c r="C7" s="88"/>
      <c r="D7" s="61" t="s">
        <v>964</v>
      </c>
      <c r="E7" s="62" t="s">
        <v>2885</v>
      </c>
      <c r="G7" s="86" t="s">
        <v>2886</v>
      </c>
    </row>
    <row r="8" customFormat="false" ht="15" hidden="false" customHeight="true" outlineLevel="0" collapsed="false">
      <c r="B8" s="59" t="s">
        <v>2392</v>
      </c>
      <c r="C8" s="89"/>
      <c r="D8" s="61" t="s">
        <v>2814</v>
      </c>
      <c r="E8" s="62" t="s">
        <v>2887</v>
      </c>
      <c r="G8" s="86" t="s">
        <v>2886</v>
      </c>
    </row>
    <row r="9" customFormat="false" ht="15" hidden="false" customHeight="true" outlineLevel="0" collapsed="false">
      <c r="B9" s="59" t="s">
        <v>2888</v>
      </c>
      <c r="C9" s="90"/>
      <c r="D9" s="61" t="s">
        <v>1002</v>
      </c>
      <c r="E9" s="62" t="s">
        <v>2889</v>
      </c>
      <c r="G9" s="86" t="s">
        <v>2886</v>
      </c>
    </row>
    <row r="10" customFormat="false" ht="15" hidden="false" customHeight="true" outlineLevel="0" collapsed="false">
      <c r="B10" s="59" t="s">
        <v>2388</v>
      </c>
      <c r="C10" s="88"/>
      <c r="D10" s="61" t="s">
        <v>964</v>
      </c>
      <c r="E10" s="62" t="s">
        <v>2890</v>
      </c>
      <c r="G10" s="86" t="s">
        <v>2886</v>
      </c>
    </row>
    <row r="11" customFormat="false" ht="15" hidden="false" customHeight="true" outlineLevel="0" collapsed="false">
      <c r="B11" s="59" t="s">
        <v>2891</v>
      </c>
      <c r="C11" s="91"/>
      <c r="D11" s="61" t="s">
        <v>922</v>
      </c>
      <c r="E11" s="62" t="s">
        <v>2892</v>
      </c>
      <c r="G11" s="86" t="s">
        <v>2886</v>
      </c>
    </row>
    <row r="13" customFormat="false" ht="15" hidden="false" customHeight="true" outlineLevel="0" collapsed="false">
      <c r="B13" s="55" t="s">
        <v>2893</v>
      </c>
      <c r="C13" s="56" t="s">
        <v>912</v>
      </c>
      <c r="D13" s="56" t="s">
        <v>913</v>
      </c>
      <c r="E13" s="56" t="s">
        <v>2804</v>
      </c>
      <c r="F13" s="57" t="s">
        <v>2805</v>
      </c>
      <c r="G13" s="58"/>
    </row>
    <row r="14" customFormat="false" ht="21.75" hidden="false" customHeight="true" outlineLevel="0" collapsed="false">
      <c r="B14" s="59" t="s">
        <v>2982</v>
      </c>
      <c r="C14" s="60"/>
      <c r="D14" s="61" t="s">
        <v>964</v>
      </c>
      <c r="E14" s="62" t="s">
        <v>2983</v>
      </c>
      <c r="F14" s="63" t="n">
        <v>250000</v>
      </c>
      <c r="G14" s="64" t="n">
        <f aca="false">IF(ISBLANK(C14),IF(Fill_Example="Yes",F14,""),C14)</f>
        <v>250000</v>
      </c>
    </row>
    <row r="15" customFormat="false" ht="33" hidden="false" customHeight="true" outlineLevel="0" collapsed="false">
      <c r="B15" s="59" t="s">
        <v>2392</v>
      </c>
      <c r="C15" s="68"/>
      <c r="D15" s="61" t="s">
        <v>2814</v>
      </c>
      <c r="E15" s="69" t="str">
        <f aca="false">"Type 2 · your figure · Your own rate (your statement shows it; typing it is fine, no upload needed). "&amp;IF(ISNUMBER(Suggest_Mortgage_Rate),"Suggested: "&amp;TEXT(Suggest_Mortgage_Rate,"0.00%")&amp;" · "&amp;Suggest_Mortgage_Rate_Label&amp;". ","No suggestion. ")&amp;"Enter your own figure."&amp;" In the app it is pre-filled from Your finances / statement: rate. Enter your own figure. Allowed: 1% to 8% · steps of 0.05%"</f>
        <v>Type 2 · your figure · Your own rate (your statement shows it; typing it is fine, no upload needed). Suggested: 3.48% · Central Bank of Ireland: average rate on new mortgages, Jul 2026. Enter your own figure. In the app it is pre-filled from Your finances / statement: rate. Enter your own figure. Allowed: 1% to 8% · steps of 0.05%</v>
      </c>
      <c r="F15" s="70" t="n">
        <f aca="false">IF(ISNUMBER(Suggest_Mortgage_Rate),Suggest_Mortgage_Rate,"")</f>
        <v>0.0348</v>
      </c>
      <c r="G15" s="71" t="n">
        <f aca="false">IF(ISBLANK(C15),IF(Fill_Example="Yes",F15,""),C15)</f>
        <v>0.0348</v>
      </c>
    </row>
    <row r="16" customFormat="false" ht="21.75" hidden="false" customHeight="true" outlineLevel="0" collapsed="false">
      <c r="B16" s="59" t="s">
        <v>2390</v>
      </c>
      <c r="C16" s="72"/>
      <c r="D16" s="61" t="s">
        <v>1002</v>
      </c>
      <c r="E16" s="62" t="s">
        <v>2984</v>
      </c>
      <c r="F16" s="73" t="n">
        <v>25</v>
      </c>
      <c r="G16" s="74" t="n">
        <f aca="false">IF(AND(ISNUMBER(C16),N(C16)&lt;3),"",IF(ISBLANK(C16),IF(Fill_Example="Yes",F16,""),C16))</f>
        <v>25</v>
      </c>
    </row>
    <row r="17" customFormat="false" ht="15" hidden="false" customHeight="true" outlineLevel="0" collapsed="false">
      <c r="B17" s="59" t="s">
        <v>2985</v>
      </c>
      <c r="C17" s="60"/>
      <c r="D17" s="61" t="s">
        <v>964</v>
      </c>
      <c r="E17" s="62" t="s">
        <v>2986</v>
      </c>
      <c r="F17" s="63" t="n">
        <v>200</v>
      </c>
      <c r="G17" s="64" t="n">
        <f aca="false">IF(ISBLANK(C17),IF(Fill_Example="Yes",F17,""),C17)</f>
        <v>200</v>
      </c>
    </row>
    <row r="18" customFormat="false" ht="15" hidden="false" customHeight="true" outlineLevel="0" collapsed="false">
      <c r="B18" s="59" t="s">
        <v>2898</v>
      </c>
      <c r="C18" s="60"/>
      <c r="D18" s="61" t="s">
        <v>964</v>
      </c>
      <c r="E18" s="62" t="s">
        <v>2899</v>
      </c>
      <c r="F18" s="63" t="n">
        <v>0</v>
      </c>
      <c r="G18" s="64" t="n">
        <f aca="false">IF(ISBLANK(C18),F18,C18)</f>
        <v>0</v>
      </c>
    </row>
    <row r="20" customFormat="false" ht="15" hidden="false" customHeight="true" outlineLevel="0" collapsed="false">
      <c r="B20" s="55" t="s">
        <v>2902</v>
      </c>
      <c r="C20" s="58"/>
      <c r="D20" s="58"/>
      <c r="E20" s="58"/>
      <c r="F20" s="58"/>
      <c r="G20" s="58"/>
    </row>
    <row r="21" customFormat="false" ht="15" hidden="false" customHeight="true" outlineLevel="0" collapsed="false">
      <c r="B21" s="59" t="s">
        <v>2982</v>
      </c>
      <c r="C21" s="92" t="n">
        <f aca="false">IF(ISBLANK(Stmt_Balance),Mortgage_Balance,Stmt_Balance)</f>
        <v>250000</v>
      </c>
      <c r="D21" s="93" t="str">
        <f aca="false">IF(ISBLANK(Stmt_Balance),"Your figure","From your statement")</f>
        <v>Your figure</v>
      </c>
      <c r="E21" s="83" t="s">
        <v>2987</v>
      </c>
    </row>
    <row r="22" customFormat="false" ht="15" hidden="false" customHeight="true" outlineLevel="0" collapsed="false">
      <c r="B22" s="59" t="s">
        <v>2392</v>
      </c>
      <c r="C22" s="94" t="n">
        <f aca="false">IF(ISBLANK(Stmt_Rate),Interest_Rate,Stmt_Rate)</f>
        <v>0.0348</v>
      </c>
      <c r="D22" s="93" t="str">
        <f aca="false">IF(ISBLANK(Stmt_Rate),"Your figure","From your statement")</f>
        <v>Your figure</v>
      </c>
      <c r="E22" s="83" t="s">
        <v>2904</v>
      </c>
    </row>
    <row r="23" customFormat="false" ht="15" hidden="false" customHeight="true" outlineLevel="0" collapsed="false">
      <c r="B23" s="59" t="s">
        <v>2390</v>
      </c>
      <c r="C23" s="95" t="n">
        <f aca="false">IF(ISBLANK(Stmt_Term),Years_Left,Stmt_Term)</f>
        <v>25</v>
      </c>
      <c r="D23" s="93" t="str">
        <f aca="false">IF(ISBLANK(Stmt_Term),"Your figure","From your statement")</f>
        <v>Your figure</v>
      </c>
      <c r="E23" s="83" t="s">
        <v>2988</v>
      </c>
    </row>
    <row r="24" customFormat="false" ht="15" hidden="false" customHeight="true" outlineLevel="0" collapsed="false">
      <c r="B24" s="59" t="s">
        <v>2907</v>
      </c>
      <c r="C24" s="92" t="n">
        <f aca="false">IF(ISBLANK(Stmt_Repayment),Actual_Repayment,Stmt_Repayment)</f>
        <v>0</v>
      </c>
      <c r="D24" s="93" t="str">
        <f aca="false">IF(ISBLANK(Stmt_Repayment),"Your figure","From your statement")</f>
        <v>Your figure</v>
      </c>
      <c r="E24" s="83" t="s">
        <v>2908</v>
      </c>
    </row>
    <row r="25" customFormat="false" ht="21.75" hidden="false" customHeight="true" outlineLevel="0" collapsed="false">
      <c r="B25" s="59" t="s">
        <v>2909</v>
      </c>
      <c r="C25" s="79" t="str">
        <f aca="true">IF(ISBLANK(Stmt_Statement_Date),"",IF(TODAY()-Stmt_Statement_Date&gt;Statement_Max_Age_Days,"Needs a look: statement is more than 12 months old","Up to date"))</f>
        <v/>
      </c>
      <c r="D25" s="61"/>
      <c r="E25" s="76" t="s">
        <v>2910</v>
      </c>
    </row>
    <row r="27" customFormat="false" ht="15" hidden="false" customHeight="true" outlineLevel="0" collapsed="false">
      <c r="B27" s="55" t="s">
        <v>2630</v>
      </c>
      <c r="C27" s="56" t="s">
        <v>327</v>
      </c>
      <c r="D27" s="56" t="s">
        <v>2822</v>
      </c>
      <c r="E27" s="56" t="s">
        <v>2823</v>
      </c>
      <c r="F27" s="58"/>
      <c r="G27" s="58"/>
    </row>
    <row r="28" customFormat="false" ht="23.25" hidden="false" customHeight="true" outlineLevel="0" collapsed="false">
      <c r="B28" s="52" t="s">
        <v>2989</v>
      </c>
      <c r="C28" s="96" t="n">
        <f aca="false">IF(Need_1&lt;&gt;"",Need_1,IF(OR(Months_Now="Never",Months_With_Extra="Never"),"—",Months_Now-Months_With_Extra))</f>
        <v>60</v>
      </c>
      <c r="D28" s="97" t="str">
        <f aca="false">IF(Need_1&lt;&gt;"",Need_1,IF(Months_Sooner="—","—",IF(Months_Sooner=0,"No change",IF(INT(Months_Sooner/12)=0,MOD(Months_Sooner,12)&amp;IF(MOD(Months_Sooner,12)=1," month"," months"),INT(Months_Sooner/12)&amp;IF(INT(Months_Sooner/12)=1," year"," years")&amp;IF(MOD(Months_Sooner,12)=0,""," "&amp;MOD(Months_Sooner,12)&amp;IF(MOD(Months_Sooner,12)=1," month"," months"))))))</f>
        <v>5 years</v>
      </c>
      <c r="E28" s="76" t="s">
        <v>2990</v>
      </c>
    </row>
    <row r="29" customFormat="false" ht="17.25" hidden="false" customHeight="true" outlineLevel="0" collapsed="false">
      <c r="B29" s="52" t="s">
        <v>2991</v>
      </c>
      <c r="C29" s="75" t="n">
        <f aca="false">IF(Need_1&lt;&gt;"",Need_1,IF(OR(Months_Now="Never",Months_With_Extra="Never"),"—",Interest_Now-Interest_With_Extra))</f>
        <v>27468.3780254142</v>
      </c>
      <c r="D29" s="61" t="s">
        <v>964</v>
      </c>
      <c r="E29" s="76" t="s">
        <v>2992</v>
      </c>
    </row>
    <row r="30" customFormat="false" ht="23.25" hidden="false" customHeight="true" outlineLevel="0" collapsed="false">
      <c r="B30" s="59" t="s">
        <v>2993</v>
      </c>
      <c r="C30" s="100" t="n">
        <f aca="false">IF(Need_2&lt;&gt;"",Need_2,IF(Repayment_Now&lt;=Used_Mortgage_Balance*Monthly_Rate,"Never",ROUNDUP(ROUND(NPER(Monthly_Rate,-Repayment_Now,Used_Mortgage_Balance),6),0)))</f>
        <v>300</v>
      </c>
      <c r="D30" s="101" t="str">
        <f aca="false">IF(Need_2&lt;&gt;"",Need_2,IF(Months_Now="Never","Not at this repayment",IF(Months_Now&gt;Cap_Months,"Over 100 years",IF(INT(Months_Now/12)=0,MOD(Months_Now,12)&amp;IF(MOD(Months_Now,12)=1," month"," months"),INT(Months_Now/12)&amp;IF(INT(Months_Now/12)=1," year"," years")&amp;IF(MOD(Months_Now,12)=0,""," "&amp;MOD(Months_Now,12)&amp;IF(MOD(Months_Now,12)=1," month"," months"))))))</f>
        <v>25 years</v>
      </c>
      <c r="E30" s="76" t="s">
        <v>2994</v>
      </c>
    </row>
    <row r="31" customFormat="false" ht="23.25" hidden="false" customHeight="true" outlineLevel="0" collapsed="false">
      <c r="B31" s="59" t="s">
        <v>2995</v>
      </c>
      <c r="C31" s="100" t="n">
        <f aca="false">IF(Need_1&lt;&gt;"",Need_1,IF(Repayment_With_Extra&lt;=Used_Mortgage_Balance*Monthly_Rate,"Never",ROUNDUP(ROUND(NPER(Monthly_Rate,-Repayment_With_Extra,Used_Mortgage_Balance),6),0)))</f>
        <v>240</v>
      </c>
      <c r="D31" s="101" t="str">
        <f aca="false">IF(Need_1&lt;&gt;"",Need_1,IF(Months_With_Extra="Never","—",IF(Months_With_Extra&gt;Cap_Months,"Over 100 years",IF(INT(Months_With_Extra/12)=0,MOD(Months_With_Extra,12)&amp;IF(MOD(Months_With_Extra,12)=1," month"," months"),INT(Months_With_Extra/12)&amp;IF(INT(Months_With_Extra/12)=1," year"," years")&amp;IF(MOD(Months_With_Extra,12)=0,""," "&amp;MOD(Months_With_Extra,12)&amp;IF(MOD(Months_With_Extra,12)=1," month"," months"))))))</f>
        <v>20 years</v>
      </c>
      <c r="E31" s="76" t="s">
        <v>2996</v>
      </c>
    </row>
    <row r="32" customFormat="false" ht="15" hidden="false" customHeight="true" outlineLevel="0" collapsed="false">
      <c r="B32" s="59" t="s">
        <v>2918</v>
      </c>
      <c r="C32" s="98" t="n">
        <f aca="false">IF(Need_3&lt;&gt;"",Need_3,Used_Interest_Rate/12)</f>
        <v>0.0029</v>
      </c>
      <c r="D32" s="61"/>
      <c r="E32" s="76" t="s">
        <v>2919</v>
      </c>
    </row>
    <row r="33" customFormat="false" ht="15" hidden="false" customHeight="true" outlineLevel="0" collapsed="false">
      <c r="B33" s="59" t="s">
        <v>2997</v>
      </c>
      <c r="C33" s="77" t="n">
        <f aca="false">IF(Need_2&lt;&gt;"",Need_2,IF(Used_Actual_Repayment&gt;0,Used_Actual_Repayment,PMT(Monthly_Rate,Used_Years_Left*12,-Used_Mortgage_Balance)))</f>
        <v>1248.87895731299</v>
      </c>
      <c r="D33" s="61" t="s">
        <v>964</v>
      </c>
      <c r="E33" s="76" t="s">
        <v>2998</v>
      </c>
    </row>
    <row r="34" customFormat="false" ht="15" hidden="false" customHeight="true" outlineLevel="0" collapsed="false">
      <c r="B34" s="59" t="s">
        <v>2999</v>
      </c>
      <c r="C34" s="77" t="n">
        <f aca="false">IF(Need_1&lt;&gt;"",Need_1,Repayment_Now+Extra_Payment)</f>
        <v>1448.87895731299</v>
      </c>
      <c r="D34" s="61" t="s">
        <v>964</v>
      </c>
      <c r="E34" s="76" t="s">
        <v>3000</v>
      </c>
    </row>
    <row r="35" customFormat="false" ht="21.75" hidden="false" customHeight="true" outlineLevel="0" collapsed="false">
      <c r="B35" s="59" t="s">
        <v>3001</v>
      </c>
      <c r="C35" s="77" t="n">
        <f aca="false">IF(Need_2&lt;&gt;"",Need_2,IF(Months_Now="Never","—",-FV(Monthly_Rate,Months_Now-1,-Repayment_Now,Used_Mortgage_Balance)*(1+Monthly_Rate)))</f>
        <v>1248.87895732551</v>
      </c>
      <c r="D35" s="61" t="s">
        <v>964</v>
      </c>
      <c r="E35" s="76" t="s">
        <v>3002</v>
      </c>
    </row>
    <row r="36" customFormat="false" ht="21.75" hidden="false" customHeight="true" outlineLevel="0" collapsed="false">
      <c r="B36" s="59" t="s">
        <v>3003</v>
      </c>
      <c r="C36" s="77" t="n">
        <f aca="false">IF(Need_1&lt;&gt;"",Need_1,IF(Months_With_Extra="Never","—",-FV(Monthly_Rate,Months_With_Extra-1,-Repayment_With_Extra,Used_Mortgage_Balance)*(1+Monthly_Rate)))</f>
        <v>913.238370690638</v>
      </c>
      <c r="D36" s="61" t="s">
        <v>964</v>
      </c>
      <c r="E36" s="76" t="s">
        <v>3004</v>
      </c>
    </row>
    <row r="37" customFormat="false" ht="15" hidden="false" customHeight="true" outlineLevel="0" collapsed="false">
      <c r="B37" s="59" t="s">
        <v>3005</v>
      </c>
      <c r="C37" s="77" t="n">
        <f aca="false">IF(Need_2&lt;&gt;"",Need_2,IF(Months_Now="Never","—",Repayment_Now*(Months_Now-1)+Last_Payment_Now-Used_Mortgage_Balance))</f>
        <v>124663.687193909</v>
      </c>
      <c r="D37" s="61" t="s">
        <v>964</v>
      </c>
      <c r="E37" s="76" t="s">
        <v>3006</v>
      </c>
    </row>
    <row r="38" customFormat="false" ht="21.75" hidden="false" customHeight="true" outlineLevel="0" collapsed="false">
      <c r="B38" s="59" t="s">
        <v>3007</v>
      </c>
      <c r="C38" s="77" t="n">
        <f aca="false">IF(Need_1&lt;&gt;"",Need_1,IF(Months_With_Extra="Never","—",Repayment_With_Extra*(Months_With_Extra-1)+Last_Payment_With_Extra-Used_Mortgage_Balance))</f>
        <v>97195.309168495</v>
      </c>
      <c r="D38" s="61" t="s">
        <v>964</v>
      </c>
      <c r="E38" s="76" t="s">
        <v>3008</v>
      </c>
    </row>
    <row r="40" customFormat="false" ht="15" hidden="false" customHeight="true" outlineLevel="0" collapsed="false">
      <c r="B40" s="55" t="s">
        <v>2853</v>
      </c>
      <c r="C40" s="58"/>
      <c r="D40" s="58"/>
      <c r="E40" s="58"/>
      <c r="F40" s="58"/>
      <c r="G40" s="58"/>
    </row>
    <row r="41" customFormat="false" ht="13.5" hidden="false" customHeight="true" outlineLevel="0" collapsed="false">
      <c r="B41" s="80" t="s">
        <v>3009</v>
      </c>
      <c r="C41" s="80"/>
      <c r="D41" s="80"/>
      <c r="E41" s="80"/>
    </row>
    <row r="42" customFormat="false" ht="27.75" hidden="false" customHeight="true" outlineLevel="0" collapsed="false">
      <c r="B42" s="80" t="s">
        <v>3010</v>
      </c>
      <c r="C42" s="80"/>
      <c r="D42" s="80"/>
      <c r="E42" s="80"/>
    </row>
    <row r="43" customFormat="false" ht="13.5" hidden="false" customHeight="true" outlineLevel="0" collapsed="false">
      <c r="B43" s="81" t="s">
        <v>2856</v>
      </c>
      <c r="C43" s="81"/>
      <c r="D43" s="81"/>
      <c r="E43" s="81"/>
    </row>
    <row r="44" customFormat="false" ht="13.5" hidden="false" customHeight="true" outlineLevel="0" collapsed="false">
      <c r="B44" s="80" t="s">
        <v>3011</v>
      </c>
      <c r="C44" s="80"/>
      <c r="D44" s="80"/>
      <c r="E44" s="80"/>
    </row>
    <row r="45" customFormat="false" ht="13.5" hidden="false" customHeight="true" outlineLevel="0" collapsed="false">
      <c r="B45" s="80" t="s">
        <v>3012</v>
      </c>
      <c r="C45" s="80"/>
      <c r="D45" s="80"/>
      <c r="E45" s="80"/>
    </row>
    <row r="46" customFormat="false" ht="13.5" hidden="false" customHeight="true" outlineLevel="0" collapsed="false">
      <c r="B46" s="80" t="s">
        <v>2934</v>
      </c>
      <c r="C46" s="80"/>
      <c r="D46" s="80"/>
      <c r="E46" s="80"/>
    </row>
    <row r="47" customFormat="false" ht="27.75" hidden="false" customHeight="true" outlineLevel="0" collapsed="false">
      <c r="B47" s="80" t="s">
        <v>2935</v>
      </c>
      <c r="C47" s="80"/>
      <c r="D47" s="80"/>
      <c r="E47" s="80"/>
    </row>
    <row r="48" customFormat="false" ht="13.5" hidden="false" customHeight="true" outlineLevel="0" collapsed="false">
      <c r="B48" s="80" t="s">
        <v>3013</v>
      </c>
      <c r="C48" s="80"/>
      <c r="D48" s="80"/>
      <c r="E48" s="80"/>
    </row>
    <row r="50" customFormat="false" ht="15" hidden="false" customHeight="true" outlineLevel="0" collapsed="false">
      <c r="B50" s="55" t="s">
        <v>2861</v>
      </c>
      <c r="C50" s="58"/>
      <c r="D50" s="58"/>
      <c r="E50" s="58"/>
      <c r="F50" s="58"/>
      <c r="G50" s="58"/>
    </row>
    <row r="51" customFormat="false" ht="15" hidden="false" customHeight="true" outlineLevel="0" collapsed="false">
      <c r="B51" s="59" t="s">
        <v>1620</v>
      </c>
      <c r="C51" s="82" t="str">
        <f aca="false">IF(Need_1&lt;&gt;"",Need_1,IF(Months_With_Extra="Never","No goal","Mortgage free (plan kind mfree, priced from your mortgage; no cash amount)"))</f>
        <v>Mortgage free (plan kind mfree, priced from your mortgage; no cash amount)</v>
      </c>
      <c r="E51" s="83" t="s">
        <v>3014</v>
      </c>
    </row>
    <row r="52" customFormat="false" ht="15" hidden="false" customHeight="true" outlineLevel="0" collapsed="false">
      <c r="B52" s="59" t="s">
        <v>2867</v>
      </c>
      <c r="C52" s="85" t="n">
        <f aca="false">IF(Need_1&lt;&gt;"",Need_1,IF(Months_With_Extra="Never","—",ROUNDUP(Months_With_Extra/12,0)))</f>
        <v>20</v>
      </c>
      <c r="E52" s="83" t="s">
        <v>3015</v>
      </c>
    </row>
    <row r="53" customFormat="false" ht="27.75" hidden="false" customHeight="true" outlineLevel="0" collapsed="false">
      <c r="B53" s="87" t="s">
        <v>3016</v>
      </c>
      <c r="C53" s="87"/>
      <c r="D53" s="87"/>
      <c r="E53" s="87"/>
    </row>
    <row r="55" customFormat="false" ht="15" hidden="false" customHeight="true" outlineLevel="0" collapsed="false">
      <c r="B55" s="55" t="s">
        <v>2869</v>
      </c>
      <c r="C55" s="58"/>
      <c r="D55" s="58"/>
      <c r="E55" s="58"/>
      <c r="F55" s="58"/>
      <c r="G55" s="58"/>
    </row>
    <row r="56" customFormat="false" ht="15" hidden="false" customHeight="true" outlineLevel="0" collapsed="false">
      <c r="B56" s="86" t="s">
        <v>3017</v>
      </c>
      <c r="C56" s="86" t="str">
        <f aca="false">IF(Extra_Payment="","Choose your extra each month to see this",IF(NOT(ISNUMBER(Used_Mortgage_Balance)),IF(Used_Mortgage_Balance="",IF(Mortgage_Balance="","Choose your mortgage balance to see this",""),Used_Mortgage_Balance),IF(NOT(ISNUMBER(Used_Years_Left)),IF(Used_Years_Left="",IF(Years_Left="","Choose your years left to see this",""),Used_Years_Left),IF(NOT(ISNUMBER(Used_Actual_Repayment)),IF(Used_Actual_Repayment="","Choose your actual monthly repayment to see this",Used_Actual_Repayment),IF(NOT(ISNUMBER(Used_Interest_Rate)),IF(Used_Interest_Rate="",IF(Interest_Rate="","Choose your mortgage rate to see this",""),Used_Interest_Rate),"")))))</f>
        <v/>
      </c>
    </row>
    <row r="57" customFormat="false" ht="15" hidden="false" customHeight="true" outlineLevel="0" collapsed="false">
      <c r="B57" s="86" t="s">
        <v>3018</v>
      </c>
      <c r="C57" s="86" t="str">
        <f aca="false">IF(NOT(ISNUMBER(Used_Mortgage_Balance)),IF(Used_Mortgage_Balance="",IF(Mortgage_Balance="","Choose your mortgage balance to see this",""),Used_Mortgage_Balance),IF(NOT(ISNUMBER(Used_Years_Left)),IF(Used_Years_Left="",IF(Years_Left="","Choose your years left to see this",""),Used_Years_Left),IF(NOT(ISNUMBER(Used_Actual_Repayment)),IF(Used_Actual_Repayment="","Choose your actual monthly repayment to see this",Used_Actual_Repayment),IF(NOT(ISNUMBER(Used_Interest_Rate)),IF(Used_Interest_Rate="",IF(Interest_Rate="","Choose your mortgage rate to see this",""),Used_Interest_Rate),""))))</f>
        <v/>
      </c>
    </row>
    <row r="58" customFormat="false" ht="15" hidden="false" customHeight="true" outlineLevel="0" collapsed="false">
      <c r="B58" s="86" t="s">
        <v>2939</v>
      </c>
      <c r="C58" s="86" t="str">
        <f aca="false">IF(NOT(ISNUMBER(Used_Interest_Rate)),IF(Used_Interest_Rate="",IF(Interest_Rate="","Choose your mortgage rate to see this",""),Used_Interest_Rate),"")</f>
        <v/>
      </c>
    </row>
  </sheetData>
  <mergeCells count="10">
    <mergeCell ref="B6:E6"/>
    <mergeCell ref="B41:E41"/>
    <mergeCell ref="B42:E42"/>
    <mergeCell ref="B43:E43"/>
    <mergeCell ref="B44:E44"/>
    <mergeCell ref="B45:E45"/>
    <mergeCell ref="B46:E46"/>
    <mergeCell ref="B47:E47"/>
    <mergeCell ref="B48:E48"/>
    <mergeCell ref="B53:E53"/>
  </mergeCells>
  <dataValidations count="10">
    <dataValidation allowBlank="true" error="Please enter €0 to €10,000,000." errorStyle="stop" errorTitle="Outside the allowed range" operator="between" prompt="Unit: €. Allowed: €0 to €10,000,000." promptTitle="Outstanding balance" showDropDown="false" showErrorMessage="true" showInputMessage="true" sqref="C7" type="decimal">
      <formula1>0</formula1>
      <formula2>10000000</formula2>
    </dataValidation>
    <dataValidation allowBlank="true" error="Please enter 0% to 15%." errorStyle="stop" errorTitle="Outside the allowed range" operator="between" prompt="Unit: %. Allowed: 0% to 15%." promptTitle="Interest rate" showDropDown="false" showErrorMessage="true" showInputMessage="true" sqref="C8" type="decimal">
      <formula1>0</formula1>
      <formula2>0.15</formula2>
    </dataValidation>
    <dataValidation allowBlank="true" error="Please enter 0 to 40." errorStyle="stop" errorTitle="Outside the allowed range" operator="between" prompt="Unit: years. Allowed: 0 to 40." promptTitle="Term remaining" showDropDown="false" showErrorMessage="true" showInputMessage="true" sqref="C9" type="whole">
      <formula1>0</formula1>
      <formula2>40</formula2>
    </dataValidation>
    <dataValidation allowBlank="true" error="Please enter €0 to €100,000." errorStyle="stop" errorTitle="Outside the allowed range" operator="between" prompt="Unit: €. Allowed: €0 to €100,000." promptTitle="Monthly repayment" showDropDown="false" showErrorMessage="true" showInputMessage="true" sqref="C10" type="decimal">
      <formula1>0</formula1>
      <formula2>100000</formula2>
    </dataValidation>
    <dataValidation allowBlank="true" error="Please enter a date (dd/mm/yyyy)." errorStyle="stop" errorTitle="Outside the allowed range" operator="greaterThan" prompt="Unit: date. Allowed: a date (dd/mm/yyyy)." promptTitle="Statement date" showDropDown="false" showErrorMessage="true" showInputMessage="true" sqref="C11" type="date">
      <formula1>36526</formula1>
      <formula2>0</formula2>
    </dataValidation>
    <dataValidation allowBlank="true" error="Please enter 1% to 8% · steps of 0.05%." errorStyle="stop" errorTitle="Outside the allowed range" operator="between" prompt="Your own mortgage rate: your statement shows it. Typing it is fine; no upload needed. A suggested rate and its source are shown beside this cell (Partner rates, Assumptions sheet). Allowed: 1% to 8% · steps of 0.05%" promptTitle="Interest rate" showDropDown="false" showErrorMessage="true" showInputMessage="true" sqref="C15" type="decimal">
      <formula1>0.01</formula1>
      <formula2>0.08</formula2>
    </dataValidation>
    <dataValidation allowBlank="true" error="Please enter €0 to €100,000 · steps of €1." errorStyle="stop" errorTitle="Outside the allowed range" operator="between" prompt="Optional: leave blank for none.  Allowed: €0 to €100,000 · steps of €1." promptTitle="Your actual monthly repayment (o" showDropDown="false" showErrorMessage="true" showInputMessage="true" sqref="C18" type="decimal">
      <formula1>0</formula1>
      <formula2>100000</formula2>
    </dataValidation>
    <dataValidation allowBlank="true" error="Please enter €20,000 to €10,000,000 · steps of €1,000." errorStyle="stop" errorTitle="Outside the allowed range" operator="between" prompt="Your own figure. In the app it is pre-filled from Your finances / statement: balance.  Allowed: €20,000 to €10,000,000 · steps of €1,000." promptTitle="Mortgage balance" showDropDown="false" showErrorMessage="true" showInputMessage="true" sqref="C14" type="decimal">
      <formula1>20000</formula1>
      <formula2>10000000</formula2>
    </dataValidation>
    <dataValidation allowBlank="true" error="Please enter 3 to 35 · steps of 1." errorStyle="stop" errorTitle="Outside the allowed range" operator="between" prompt="Your own figure. In the app it is pre-filled from Years left (25 if not given).  Allowed: 3 to 35 · steps of 1." promptTitle="Years left" showDropDown="false" showErrorMessage="true" showInputMessage="true" sqref="C16" type="whole">
      <formula1>3</formula1>
      <formula2>35</formula2>
    </dataValidation>
    <dataValidation allowBlank="true" error="Please enter €0 to €20,000 · steps of €25." errorStyle="stop" errorTitle="Outside the allowed range" operator="between" prompt="Your own figure.  Allowed: €0 to €20,000 · steps of €25." promptTitle="Extra each month" showDropDown="false" showErrorMessage="true" showInputMessage="true" sqref="C17" type="decimal">
      <formula1>0</formula1>
      <formula2>20000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2B134"/>
    <pageSetUpPr fitToPage="false"/>
  </sheetPr>
  <dimension ref="B1:G4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20" width="2"/>
    <col collapsed="false" customWidth="true" hidden="false" outlineLevel="0" max="2" min="2" style="20" width="50"/>
    <col collapsed="false" customWidth="true" hidden="false" outlineLevel="0" max="3" min="3" style="20" width="26"/>
    <col collapsed="false" customWidth="true" hidden="false" outlineLevel="0" max="4" min="4" style="20" width="24"/>
    <col collapsed="false" customWidth="true" hidden="false" outlineLevel="0" max="5" min="5" style="20" width="78"/>
    <col collapsed="false" customWidth="true" hidden="false" outlineLevel="0" max="6" min="6" style="20" width="14"/>
    <col collapsed="false" customWidth="true" hidden="false" outlineLevel="0" max="7" min="7" style="20" width="16"/>
  </cols>
  <sheetData>
    <row r="1" customFormat="false" ht="19.5" hidden="false" customHeight="true" outlineLevel="0" collapsed="false">
      <c r="B1" s="50" t="s">
        <v>3019</v>
      </c>
      <c r="E1" s="51" t="s">
        <v>3020</v>
      </c>
    </row>
    <row r="2" customFormat="false" ht="15" hidden="false" customHeight="true" outlineLevel="0" collapsed="false">
      <c r="B2" s="52" t="s">
        <v>3021</v>
      </c>
      <c r="E2" s="53" t="str">
        <f aca="false">IF(Fill_Example="Yes","Example values are ON (README): grey Example only figures fill blank inputs.","Blank template: fill the yellow inputs (or switch on example values on the README).")</f>
        <v>Example values are ON (README): grey Example only figures fill blank inputs.</v>
      </c>
    </row>
    <row r="3" customFormat="false" ht="15" hidden="false" customHeight="true" outlineLevel="0" collapsed="false">
      <c r="B3" s="54" t="s">
        <v>3022</v>
      </c>
    </row>
    <row r="5" customFormat="false" ht="15" hidden="false" customHeight="true" outlineLevel="0" collapsed="false">
      <c r="B5" s="55" t="s">
        <v>2882</v>
      </c>
      <c r="C5" s="58"/>
      <c r="D5" s="58"/>
      <c r="E5" s="58"/>
      <c r="F5" s="58"/>
      <c r="G5" s="58"/>
    </row>
    <row r="6" customFormat="false" ht="27.75" hidden="false" customHeight="true" outlineLevel="0" collapsed="false">
      <c r="B6" s="87" t="s">
        <v>2883</v>
      </c>
      <c r="C6" s="87"/>
      <c r="D6" s="87"/>
      <c r="E6" s="87"/>
    </row>
    <row r="7" customFormat="false" ht="15" hidden="false" customHeight="true" outlineLevel="0" collapsed="false">
      <c r="B7" s="59" t="s">
        <v>2884</v>
      </c>
      <c r="C7" s="88"/>
      <c r="D7" s="61" t="s">
        <v>964</v>
      </c>
      <c r="E7" s="62" t="s">
        <v>2885</v>
      </c>
      <c r="G7" s="86" t="s">
        <v>2886</v>
      </c>
    </row>
    <row r="8" customFormat="false" ht="15" hidden="false" customHeight="true" outlineLevel="0" collapsed="false">
      <c r="B8" s="59" t="s">
        <v>2392</v>
      </c>
      <c r="C8" s="89"/>
      <c r="D8" s="61" t="s">
        <v>2814</v>
      </c>
      <c r="E8" s="62" t="s">
        <v>2887</v>
      </c>
      <c r="G8" s="86" t="s">
        <v>2886</v>
      </c>
    </row>
    <row r="9" customFormat="false" ht="15" hidden="false" customHeight="true" outlineLevel="0" collapsed="false">
      <c r="B9" s="59" t="s">
        <v>2888</v>
      </c>
      <c r="C9" s="90"/>
      <c r="D9" s="61" t="s">
        <v>1002</v>
      </c>
      <c r="E9" s="62" t="s">
        <v>2889</v>
      </c>
      <c r="G9" s="86" t="s">
        <v>2886</v>
      </c>
    </row>
    <row r="10" customFormat="false" ht="15" hidden="false" customHeight="true" outlineLevel="0" collapsed="false">
      <c r="B10" s="59" t="s">
        <v>2388</v>
      </c>
      <c r="C10" s="88"/>
      <c r="D10" s="61" t="s">
        <v>964</v>
      </c>
      <c r="E10" s="62" t="s">
        <v>2890</v>
      </c>
      <c r="G10" s="86" t="s">
        <v>2886</v>
      </c>
    </row>
    <row r="11" customFormat="false" ht="15" hidden="false" customHeight="true" outlineLevel="0" collapsed="false">
      <c r="B11" s="59" t="s">
        <v>2891</v>
      </c>
      <c r="C11" s="91"/>
      <c r="D11" s="61" t="s">
        <v>922</v>
      </c>
      <c r="E11" s="62" t="s">
        <v>2892</v>
      </c>
      <c r="G11" s="86" t="s">
        <v>2886</v>
      </c>
    </row>
    <row r="13" customFormat="false" ht="15" hidden="false" customHeight="true" outlineLevel="0" collapsed="false">
      <c r="B13" s="55" t="s">
        <v>2893</v>
      </c>
      <c r="C13" s="56" t="s">
        <v>912</v>
      </c>
      <c r="D13" s="56" t="s">
        <v>913</v>
      </c>
      <c r="E13" s="56" t="s">
        <v>2804</v>
      </c>
      <c r="F13" s="57" t="s">
        <v>2805</v>
      </c>
      <c r="G13" s="58"/>
    </row>
    <row r="14" customFormat="false" ht="21.75" hidden="false" customHeight="true" outlineLevel="0" collapsed="false">
      <c r="B14" s="59" t="s">
        <v>2982</v>
      </c>
      <c r="C14" s="60"/>
      <c r="D14" s="61" t="s">
        <v>964</v>
      </c>
      <c r="E14" s="62" t="s">
        <v>3023</v>
      </c>
      <c r="F14" s="63" t="n">
        <v>300000</v>
      </c>
      <c r="G14" s="64" t="n">
        <f aca="false">IF(ISBLANK(C14),IF(Fill_Example="Yes",F14,""),C14)</f>
        <v>300000</v>
      </c>
    </row>
    <row r="15" customFormat="false" ht="33" hidden="false" customHeight="true" outlineLevel="0" collapsed="false">
      <c r="B15" s="59" t="s">
        <v>3024</v>
      </c>
      <c r="C15" s="68"/>
      <c r="D15" s="61" t="s">
        <v>2814</v>
      </c>
      <c r="E15" s="69" t="str">
        <f aca="false">"Type 2 · your figure · Your own rate (your statement shows it; typing it is fine, no upload needed). "&amp;IF(ISNUMBER(Suggest_Mortgage_Rate),"Suggested: "&amp;TEXT(Suggest_Mortgage_Rate,"0.00%")&amp;" · "&amp;Suggest_Mortgage_Rate_Label&amp;". ","No suggestion. ")&amp;"Enter your own figure."&amp;" In the app it is pre-filled from Your finances / statement: rate. Enter your own figure. Allowed: 1% to 8% · steps of 0.05%"</f>
        <v>Type 2 · your figure · Your own rate (your statement shows it; typing it is fine, no upload needed). Suggested: 3.48% · Central Bank of Ireland: average rate on new mortgages, Jul 2026. Enter your own figure. In the app it is pre-filled from Your finances / statement: rate. Enter your own figure. Allowed: 1% to 8% · steps of 0.05%</v>
      </c>
      <c r="F15" s="70" t="n">
        <f aca="false">IF(ISNUMBER(Suggest_Mortgage_Rate),Suggest_Mortgage_Rate,"")</f>
        <v>0.0348</v>
      </c>
      <c r="G15" s="71" t="n">
        <f aca="false">IF(ISBLANK(C15),IF(Fill_Example="Yes",F15,""),C15)</f>
        <v>0.0348</v>
      </c>
    </row>
    <row r="16" customFormat="false" ht="21.75" hidden="false" customHeight="true" outlineLevel="0" collapsed="false">
      <c r="B16" s="59" t="s">
        <v>2390</v>
      </c>
      <c r="C16" s="72"/>
      <c r="D16" s="61" t="s">
        <v>1002</v>
      </c>
      <c r="E16" s="62" t="s">
        <v>2897</v>
      </c>
      <c r="F16" s="73" t="n">
        <v>25</v>
      </c>
      <c r="G16" s="74" t="n">
        <f aca="false">IF(AND(ISNUMBER(C16),N(C16)&lt;5),"",IF(ISBLANK(C16),IF(Fill_Example="Yes",F16,""),C16))</f>
        <v>25</v>
      </c>
    </row>
    <row r="17" customFormat="false" ht="15" hidden="false" customHeight="true" outlineLevel="0" collapsed="false">
      <c r="B17" s="59" t="s">
        <v>3025</v>
      </c>
      <c r="C17" s="68"/>
      <c r="D17" s="61" t="s">
        <v>2814</v>
      </c>
      <c r="E17" s="62" t="s">
        <v>3026</v>
      </c>
      <c r="F17" s="70" t="n">
        <v>0.01</v>
      </c>
      <c r="G17" s="71" t="n">
        <f aca="false">IF(ISBLANK(C17),IF(Fill_Example="Yes",F17,""),C17)</f>
        <v>0.01</v>
      </c>
    </row>
    <row r="18" customFormat="false" ht="15" hidden="false" customHeight="true" outlineLevel="0" collapsed="false">
      <c r="B18" s="59" t="s">
        <v>2898</v>
      </c>
      <c r="C18" s="60"/>
      <c r="D18" s="61" t="s">
        <v>964</v>
      </c>
      <c r="E18" s="62" t="s">
        <v>2899</v>
      </c>
      <c r="F18" s="63" t="n">
        <v>0</v>
      </c>
      <c r="G18" s="64" t="n">
        <f aca="false">IF(ISBLANK(C18),F18,C18)</f>
        <v>0</v>
      </c>
    </row>
    <row r="20" customFormat="false" ht="15" hidden="false" customHeight="true" outlineLevel="0" collapsed="false">
      <c r="B20" s="55" t="s">
        <v>2902</v>
      </c>
      <c r="C20" s="58"/>
      <c r="D20" s="58"/>
      <c r="E20" s="58"/>
      <c r="F20" s="58"/>
      <c r="G20" s="58"/>
    </row>
    <row r="21" customFormat="false" ht="15" hidden="false" customHeight="true" outlineLevel="0" collapsed="false">
      <c r="B21" s="59" t="s">
        <v>2982</v>
      </c>
      <c r="C21" s="92" t="n">
        <f aca="false">IF(ISBLANK(Stmt_Balance),Mortgage_Balance,Stmt_Balance)</f>
        <v>300000</v>
      </c>
      <c r="D21" s="93" t="str">
        <f aca="false">IF(ISBLANK(Stmt_Balance),"Your figure","From your statement")</f>
        <v>Your figure</v>
      </c>
      <c r="E21" s="83" t="s">
        <v>2987</v>
      </c>
    </row>
    <row r="22" customFormat="false" ht="15" hidden="false" customHeight="true" outlineLevel="0" collapsed="false">
      <c r="B22" s="59" t="s">
        <v>3024</v>
      </c>
      <c r="C22" s="94" t="n">
        <f aca="false">IF(ISBLANK(Stmt_Rate),Current_Rate,Stmt_Rate)</f>
        <v>0.0348</v>
      </c>
      <c r="D22" s="93" t="str">
        <f aca="false">IF(ISBLANK(Stmt_Rate),"Your figure","From your statement")</f>
        <v>Your figure</v>
      </c>
      <c r="E22" s="83" t="s">
        <v>3027</v>
      </c>
    </row>
    <row r="23" customFormat="false" ht="15" hidden="false" customHeight="true" outlineLevel="0" collapsed="false">
      <c r="B23" s="59" t="s">
        <v>2390</v>
      </c>
      <c r="C23" s="95" t="n">
        <f aca="false">IF(ISBLANK(Stmt_Term),Years_Left,Stmt_Term)</f>
        <v>25</v>
      </c>
      <c r="D23" s="93" t="str">
        <f aca="false">IF(ISBLANK(Stmt_Term),"Your figure","From your statement")</f>
        <v>Your figure</v>
      </c>
      <c r="E23" s="83" t="s">
        <v>2988</v>
      </c>
    </row>
    <row r="24" customFormat="false" ht="15" hidden="false" customHeight="true" outlineLevel="0" collapsed="false">
      <c r="B24" s="59" t="s">
        <v>2907</v>
      </c>
      <c r="C24" s="92" t="n">
        <f aca="false">IF(ISBLANK(Stmt_Repayment),Actual_Repayment,Stmt_Repayment)</f>
        <v>0</v>
      </c>
      <c r="D24" s="93" t="str">
        <f aca="false">IF(ISBLANK(Stmt_Repayment),"Your figure","From your statement")</f>
        <v>Your figure</v>
      </c>
      <c r="E24" s="83" t="s">
        <v>2908</v>
      </c>
    </row>
    <row r="25" customFormat="false" ht="21.75" hidden="false" customHeight="true" outlineLevel="0" collapsed="false">
      <c r="B25" s="59" t="s">
        <v>2909</v>
      </c>
      <c r="C25" s="79" t="str">
        <f aca="true">IF(ISBLANK(Stmt_Statement_Date),"",IF(TODAY()-Stmt_Statement_Date&gt;Statement_Max_Age_Days,"Needs a look: statement is more than 12 months old","Up to date"))</f>
        <v/>
      </c>
      <c r="D25" s="61"/>
      <c r="E25" s="76" t="s">
        <v>2910</v>
      </c>
    </row>
    <row r="27" customFormat="false" ht="15" hidden="false" customHeight="true" outlineLevel="0" collapsed="false">
      <c r="B27" s="55" t="s">
        <v>2630</v>
      </c>
      <c r="C27" s="56" t="s">
        <v>327</v>
      </c>
      <c r="D27" s="56" t="s">
        <v>2822</v>
      </c>
      <c r="E27" s="56" t="s">
        <v>2823</v>
      </c>
      <c r="F27" s="58"/>
      <c r="G27" s="58"/>
    </row>
    <row r="28" customFormat="false" ht="23.25" hidden="false" customHeight="true" outlineLevel="0" collapsed="false">
      <c r="B28" s="52" t="s">
        <v>3028</v>
      </c>
      <c r="C28" s="75" t="n">
        <f aca="false">IF(Need_1&lt;&gt;"",Need_1,Repayment_After-Repayment_Now)</f>
        <v>165.438897042041</v>
      </c>
      <c r="D28" s="97" t="str">
        <f aca="false">IF(Need_1&lt;&gt;"",Need_1,IF(Monthly_Change&gt;=0,"+","−")&amp;TEXT(ABS(Monthly_Change),"€#,##0"))</f>
        <v>+€165</v>
      </c>
      <c r="E28" s="76" t="s">
        <v>3029</v>
      </c>
    </row>
    <row r="29" customFormat="false" ht="17.25" hidden="false" customHeight="true" outlineLevel="0" collapsed="false">
      <c r="B29" s="52" t="s">
        <v>2997</v>
      </c>
      <c r="C29" s="75" t="n">
        <f aca="false">IF(Need_2&lt;&gt;"",Need_2,IF(Used_Actual_Repayment&gt;0,Used_Actual_Repayment,Formula_Now))</f>
        <v>1498.65474877559</v>
      </c>
      <c r="D29" s="61" t="s">
        <v>964</v>
      </c>
      <c r="E29" s="76" t="s">
        <v>3030</v>
      </c>
    </row>
    <row r="30" customFormat="false" ht="17.25" hidden="false" customHeight="true" outlineLevel="0" collapsed="false">
      <c r="B30" s="52" t="s">
        <v>3031</v>
      </c>
      <c r="C30" s="75" t="n">
        <f aca="false">IF(Need_1&lt;&gt;"",Need_1,Repayment_Now+PMT(New_Rate/12,Used_Years_Left*12,-Used_Mortgage_Balance)-Formula_Now)</f>
        <v>1664.09364581763</v>
      </c>
      <c r="D30" s="61" t="s">
        <v>964</v>
      </c>
      <c r="E30" s="76" t="s">
        <v>3032</v>
      </c>
    </row>
    <row r="31" customFormat="false" ht="15" hidden="false" customHeight="true" outlineLevel="0" collapsed="false">
      <c r="B31" s="59" t="s">
        <v>3033</v>
      </c>
      <c r="C31" s="77" t="n">
        <f aca="false">IF(Need_1&lt;&gt;"",Need_1,Monthly_Change*12)</f>
        <v>1985.2667645045</v>
      </c>
      <c r="D31" s="61" t="s">
        <v>964</v>
      </c>
      <c r="E31" s="76" t="s">
        <v>3034</v>
      </c>
    </row>
    <row r="32" customFormat="false" ht="15" hidden="false" customHeight="true" outlineLevel="0" collapsed="false">
      <c r="B32" s="59" t="s">
        <v>3035</v>
      </c>
      <c r="C32" s="77" t="n">
        <f aca="false">IF(Need_3&lt;&gt;"",Need_3,PMT(Used_Current_Rate/12,Used_Years_Left*12,-Used_Mortgage_Balance))</f>
        <v>1498.65474877559</v>
      </c>
      <c r="D32" s="61" t="s">
        <v>964</v>
      </c>
      <c r="E32" s="76" t="s">
        <v>3036</v>
      </c>
    </row>
    <row r="33" customFormat="false" ht="15" hidden="false" customHeight="true" outlineLevel="0" collapsed="false">
      <c r="B33" s="59" t="s">
        <v>3037</v>
      </c>
      <c r="C33" s="99" t="n">
        <f aca="false">IF(Need_4&lt;&gt;"",Need_4,MAX(0,Used_Current_Rate+Rate_Change))</f>
        <v>0.0448</v>
      </c>
      <c r="D33" s="61" t="s">
        <v>2814</v>
      </c>
      <c r="E33" s="76" t="s">
        <v>3038</v>
      </c>
    </row>
    <row r="35" customFormat="false" ht="15" hidden="false" customHeight="true" outlineLevel="0" collapsed="false">
      <c r="B35" s="55" t="s">
        <v>2853</v>
      </c>
      <c r="C35" s="58"/>
      <c r="D35" s="58"/>
      <c r="E35" s="58"/>
      <c r="F35" s="58"/>
      <c r="G35" s="58"/>
    </row>
    <row r="36" customFormat="false" ht="13.5" hidden="false" customHeight="true" outlineLevel="0" collapsed="false">
      <c r="B36" s="80" t="s">
        <v>3039</v>
      </c>
      <c r="C36" s="80"/>
      <c r="D36" s="80"/>
      <c r="E36" s="80"/>
    </row>
    <row r="37" customFormat="false" ht="13.5" hidden="false" customHeight="true" outlineLevel="0" collapsed="false">
      <c r="B37" s="80" t="s">
        <v>3040</v>
      </c>
      <c r="C37" s="80"/>
      <c r="D37" s="80"/>
      <c r="E37" s="80"/>
    </row>
    <row r="38" customFormat="false" ht="13.5" hidden="false" customHeight="true" outlineLevel="0" collapsed="false">
      <c r="B38" s="81" t="s">
        <v>2856</v>
      </c>
      <c r="C38" s="81"/>
      <c r="D38" s="81"/>
      <c r="E38" s="81"/>
    </row>
    <row r="39" customFormat="false" ht="13.5" hidden="false" customHeight="true" outlineLevel="0" collapsed="false">
      <c r="B39" s="80" t="s">
        <v>3041</v>
      </c>
      <c r="C39" s="80"/>
      <c r="D39" s="80"/>
      <c r="E39" s="80"/>
    </row>
    <row r="40" customFormat="false" ht="13.5" hidden="false" customHeight="true" outlineLevel="0" collapsed="false">
      <c r="B40" s="80" t="s">
        <v>2860</v>
      </c>
      <c r="C40" s="80"/>
      <c r="D40" s="80"/>
      <c r="E40" s="80"/>
    </row>
    <row r="42" customFormat="false" ht="15" hidden="false" customHeight="true" outlineLevel="0" collapsed="false">
      <c r="B42" s="55" t="s">
        <v>2861</v>
      </c>
      <c r="C42" s="58"/>
      <c r="D42" s="58"/>
      <c r="E42" s="58"/>
      <c r="F42" s="58"/>
      <c r="G42" s="58"/>
    </row>
    <row r="43" customFormat="false" ht="15" hidden="false" customHeight="true" outlineLevel="0" collapsed="false">
      <c r="B43" s="59" t="s">
        <v>1620</v>
      </c>
      <c r="C43" s="82" t="str">
        <f aca="false">"No goal"</f>
        <v>No goal</v>
      </c>
      <c r="E43" s="83" t="s">
        <v>3042</v>
      </c>
    </row>
    <row r="45" customFormat="false" ht="15" hidden="false" customHeight="true" outlineLevel="0" collapsed="false">
      <c r="B45" s="55" t="s">
        <v>2869</v>
      </c>
      <c r="C45" s="58"/>
      <c r="D45" s="58"/>
      <c r="E45" s="58"/>
      <c r="F45" s="58"/>
      <c r="G45" s="58"/>
    </row>
    <row r="46" customFormat="false" ht="15" hidden="false" customHeight="true" outlineLevel="0" collapsed="false">
      <c r="B46" s="86" t="s">
        <v>3043</v>
      </c>
      <c r="C46" s="86" t="str">
        <f aca="false">IF(Rate_Change="","Choose your rate change to see this",IF(NOT(ISNUMBER(Used_Mortgage_Balance)),IF(Used_Mortgage_Balance="",IF(Mortgage_Balance="","Choose your mortgage balance to see this",""),Used_Mortgage_Balance),IF(NOT(ISNUMBER(Used_Years_Left)),IF(Used_Years_Left="",IF(Years_Left="","Choose your years left to see this",""),Used_Years_Left),IF(NOT(ISNUMBER(Used_Actual_Repayment)),IF(Used_Actual_Repayment="","Choose your actual monthly repayment to see this",Used_Actual_Repayment),IF(NOT(ISNUMBER(Used_Current_Rate)),IF(Used_Current_Rate="",IF(Current_Rate="","Choose your mortgage rate to see this",""),Used_Current_Rate),"")))))</f>
        <v/>
      </c>
    </row>
    <row r="47" customFormat="false" ht="15" hidden="false" customHeight="true" outlineLevel="0" collapsed="false">
      <c r="B47" s="86" t="s">
        <v>3044</v>
      </c>
      <c r="C47" s="86" t="str">
        <f aca="false">IF(NOT(ISNUMBER(Used_Mortgage_Balance)),IF(Used_Mortgage_Balance="",IF(Mortgage_Balance="","Choose your mortgage balance to see this",""),Used_Mortgage_Balance),IF(NOT(ISNUMBER(Used_Years_Left)),IF(Used_Years_Left="",IF(Years_Left="","Choose your years left to see this",""),Used_Years_Left),IF(NOT(ISNUMBER(Used_Actual_Repayment)),IF(Used_Actual_Repayment="","Choose your actual monthly repayment to see this",Used_Actual_Repayment),IF(NOT(ISNUMBER(Used_Current_Rate)),IF(Used_Current_Rate="",IF(Current_Rate="","Choose your mortgage rate to see this",""),Used_Current_Rate),""))))</f>
        <v/>
      </c>
    </row>
    <row r="48" customFormat="false" ht="15" hidden="false" customHeight="true" outlineLevel="0" collapsed="false">
      <c r="B48" s="86" t="s">
        <v>3045</v>
      </c>
      <c r="C48" s="86" t="str">
        <f aca="false">IF(NOT(ISNUMBER(Used_Mortgage_Balance)),IF(Used_Mortgage_Balance="",IF(Mortgage_Balance="","Choose your mortgage balance to see this",""),Used_Mortgage_Balance),IF(NOT(ISNUMBER(Used_Years_Left)),IF(Used_Years_Left="",IF(Years_Left="","Choose your years left to see this",""),Used_Years_Left),IF(NOT(ISNUMBER(Used_Current_Rate)),IF(Used_Current_Rate="",IF(Current_Rate="","Choose your mortgage rate to see this",""),Used_Current_Rate),"")))</f>
        <v/>
      </c>
    </row>
    <row r="49" customFormat="false" ht="15" hidden="false" customHeight="true" outlineLevel="0" collapsed="false">
      <c r="B49" s="86" t="s">
        <v>3046</v>
      </c>
      <c r="C49" s="86" t="str">
        <f aca="false">IF(Rate_Change="","Choose your rate change to see this",IF(NOT(ISNUMBER(Used_Current_Rate)),IF(Used_Current_Rate="",IF(Current_Rate="","Choose your mortgage rate to see this",""),Used_Current_Rate),""))</f>
        <v/>
      </c>
    </row>
  </sheetData>
  <mergeCells count="6">
    <mergeCell ref="B6:E6"/>
    <mergeCell ref="B36:E36"/>
    <mergeCell ref="B37:E37"/>
    <mergeCell ref="B38:E38"/>
    <mergeCell ref="B39:E39"/>
    <mergeCell ref="B40:E40"/>
  </mergeCells>
  <dataValidations count="10">
    <dataValidation allowBlank="true" error="Please enter €0 to €10,000,000." errorStyle="stop" errorTitle="Outside the allowed range" operator="between" prompt="Unit: €. Allowed: €0 to €10,000,000." promptTitle="Outstanding balance" showDropDown="false" showErrorMessage="true" showInputMessage="true" sqref="C7" type="decimal">
      <formula1>0</formula1>
      <formula2>10000000</formula2>
    </dataValidation>
    <dataValidation allowBlank="true" error="Please enter 0% to 15%." errorStyle="stop" errorTitle="Outside the allowed range" operator="between" prompt="Unit: %. Allowed: 0% to 15%." promptTitle="Interest rate" showDropDown="false" showErrorMessage="true" showInputMessage="true" sqref="C8" type="decimal">
      <formula1>0</formula1>
      <formula2>0.15</formula2>
    </dataValidation>
    <dataValidation allowBlank="true" error="Please enter 0 to 40." errorStyle="stop" errorTitle="Outside the allowed range" operator="between" prompt="Unit: years. Allowed: 0 to 40." promptTitle="Term remaining" showDropDown="false" showErrorMessage="true" showInputMessage="true" sqref="C9" type="whole">
      <formula1>0</formula1>
      <formula2>40</formula2>
    </dataValidation>
    <dataValidation allowBlank="true" error="Please enter €0 to €100,000." errorStyle="stop" errorTitle="Outside the allowed range" operator="between" prompt="Unit: €. Allowed: €0 to €100,000." promptTitle="Monthly repayment" showDropDown="false" showErrorMessage="true" showInputMessage="true" sqref="C10" type="decimal">
      <formula1>0</formula1>
      <formula2>100000</formula2>
    </dataValidation>
    <dataValidation allowBlank="true" error="Please enter a date (dd/mm/yyyy)." errorStyle="stop" errorTitle="Outside the allowed range" operator="greaterThan" prompt="Unit: date. Allowed: a date (dd/mm/yyyy)." promptTitle="Statement date" showDropDown="false" showErrorMessage="true" showInputMessage="true" sqref="C11" type="date">
      <formula1>36526</formula1>
      <formula2>0</formula2>
    </dataValidation>
    <dataValidation allowBlank="true" error="Please enter €0 to €100,000 · steps of €1." errorStyle="stop" errorTitle="Outside the allowed range" operator="between" prompt="Optional: leave blank for none.  Allowed: €0 to €100,000 · steps of €1." promptTitle="Your actual monthly repayment (o" showDropDown="false" showErrorMessage="true" showInputMessage="true" sqref="C18" type="decimal">
      <formula1>0</formula1>
      <formula2>100000</formula2>
    </dataValidation>
    <dataValidation allowBlank="true" error="Please enter €50,000 to €10,000,000 · steps of €1,000." errorStyle="stop" errorTitle="Outside the allowed range" operator="between" prompt="Your own figure. In the app it is pre-filled from Your finances / statement: balance.  Allowed: €50,000 to €10,000,000 · steps of €1,000." promptTitle="Mortgage balance" showDropDown="false" showErrorMessage="true" showInputMessage="true" sqref="C14" type="decimal">
      <formula1>50000</formula1>
      <formula2>10000000</formula2>
    </dataValidation>
    <dataValidation allowBlank="true" error="Please enter 1% to 8% · steps of 0.05%." errorStyle="stop" errorTitle="Outside the allowed range" operator="between" prompt="Your own mortgage rate: your statement shows it. Typing it is fine; no upload needed. A suggested rate and its source are shown beside this cell (Partner rates, Assumptions sheet). Allowed: 1% to 8% · steps of 0.05%" promptTitle="Current rate" showDropDown="false" showErrorMessage="true" showInputMessage="true" sqref="C15" type="decimal">
      <formula1>0.01</formula1>
      <formula2>0.08</formula2>
    </dataValidation>
    <dataValidation allowBlank="true" error="Please enter 5 to 35 · steps of 1." errorStyle="stop" errorTitle="Outside the allowed range" operator="between" prompt="Your own figure. In the app it is pre-filled from Years left (25 if not given).  Allowed: 5 to 35 · steps of 1." promptTitle="Years left" showDropDown="false" showErrorMessage="true" showInputMessage="true" sqref="C16" type="whole">
      <formula1>5</formula1>
      <formula2>35</formula2>
    </dataValidation>
    <dataValidation allowBlank="true" error="Please enter -2% to 3% · steps of 0.25%." errorStyle="stop" errorTitle="Outside the allowed range" operator="between" prompt="Your own figure.  Allowed: -2% to 3% · steps of 0.25%." promptTitle="Rate change" showDropDown="false" showErrorMessage="true" showInputMessage="true" sqref="C17" type="decimal">
      <formula1>-0.02</formula1>
      <formula2>0.03</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2B134"/>
    <pageSetUpPr fitToPage="false"/>
  </sheetPr>
  <dimension ref="B1:G4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20" width="2"/>
    <col collapsed="false" customWidth="true" hidden="false" outlineLevel="0" max="2" min="2" style="20" width="50"/>
    <col collapsed="false" customWidth="true" hidden="false" outlineLevel="0" max="3" min="3" style="20" width="26"/>
    <col collapsed="false" customWidth="true" hidden="false" outlineLevel="0" max="4" min="4" style="20" width="24"/>
    <col collapsed="false" customWidth="true" hidden="false" outlineLevel="0" max="5" min="5" style="20" width="78"/>
    <col collapsed="false" customWidth="true" hidden="false" outlineLevel="0" max="6" min="6" style="20" width="14"/>
    <col collapsed="false" customWidth="true" hidden="false" outlineLevel="0" max="7" min="7" style="20" width="16"/>
  </cols>
  <sheetData>
    <row r="1" customFormat="false" ht="19.5" hidden="false" customHeight="true" outlineLevel="0" collapsed="false">
      <c r="B1" s="50" t="s">
        <v>3047</v>
      </c>
      <c r="E1" s="51" t="s">
        <v>3048</v>
      </c>
    </row>
    <row r="2" customFormat="false" ht="15" hidden="false" customHeight="true" outlineLevel="0" collapsed="false">
      <c r="B2" s="52" t="s">
        <v>3049</v>
      </c>
      <c r="E2" s="53" t="str">
        <f aca="false">IF(Fill_Example="Yes","Example values are ON (README): grey Example only figures fill blank inputs.","Blank template: fill the yellow inputs (or switch on example values on the README).")</f>
        <v>Example values are ON (README): grey Example only figures fill blank inputs.</v>
      </c>
    </row>
    <row r="3" customFormat="false" ht="15" hidden="false" customHeight="true" outlineLevel="0" collapsed="false">
      <c r="B3" s="54" t="s">
        <v>3050</v>
      </c>
    </row>
    <row r="5" customFormat="false" ht="15" hidden="false" customHeight="true" outlineLevel="0" collapsed="false">
      <c r="B5" s="55" t="s">
        <v>2882</v>
      </c>
      <c r="C5" s="58"/>
      <c r="D5" s="58"/>
      <c r="E5" s="58"/>
      <c r="F5" s="58"/>
      <c r="G5" s="58"/>
    </row>
    <row r="6" customFormat="false" ht="27.75" hidden="false" customHeight="true" outlineLevel="0" collapsed="false">
      <c r="B6" s="87" t="s">
        <v>2883</v>
      </c>
      <c r="C6" s="87"/>
      <c r="D6" s="87"/>
      <c r="E6" s="87"/>
    </row>
    <row r="7" customFormat="false" ht="15" hidden="false" customHeight="true" outlineLevel="0" collapsed="false">
      <c r="B7" s="59" t="s">
        <v>2884</v>
      </c>
      <c r="C7" s="88"/>
      <c r="D7" s="61" t="s">
        <v>964</v>
      </c>
      <c r="E7" s="62" t="s">
        <v>2885</v>
      </c>
      <c r="G7" s="86" t="s">
        <v>2886</v>
      </c>
    </row>
    <row r="8" customFormat="false" ht="15" hidden="false" customHeight="true" outlineLevel="0" collapsed="false">
      <c r="B8" s="59" t="s">
        <v>2392</v>
      </c>
      <c r="C8" s="89"/>
      <c r="D8" s="61" t="s">
        <v>2814</v>
      </c>
      <c r="E8" s="62" t="s">
        <v>2887</v>
      </c>
      <c r="G8" s="86" t="s">
        <v>2886</v>
      </c>
    </row>
    <row r="9" customFormat="false" ht="15" hidden="false" customHeight="true" outlineLevel="0" collapsed="false">
      <c r="B9" s="59" t="s">
        <v>2888</v>
      </c>
      <c r="C9" s="90"/>
      <c r="D9" s="61" t="s">
        <v>1002</v>
      </c>
      <c r="E9" s="62" t="s">
        <v>2889</v>
      </c>
      <c r="G9" s="86" t="s">
        <v>2886</v>
      </c>
    </row>
    <row r="10" customFormat="false" ht="15" hidden="false" customHeight="true" outlineLevel="0" collapsed="false">
      <c r="B10" s="59" t="s">
        <v>2891</v>
      </c>
      <c r="C10" s="91"/>
      <c r="D10" s="61" t="s">
        <v>922</v>
      </c>
      <c r="E10" s="62" t="s">
        <v>2892</v>
      </c>
      <c r="G10" s="86" t="s">
        <v>2886</v>
      </c>
    </row>
    <row r="12" customFormat="false" ht="15" hidden="false" customHeight="true" outlineLevel="0" collapsed="false">
      <c r="B12" s="55" t="s">
        <v>2893</v>
      </c>
      <c r="C12" s="56" t="s">
        <v>912</v>
      </c>
      <c r="D12" s="56" t="s">
        <v>913</v>
      </c>
      <c r="E12" s="56" t="s">
        <v>2804</v>
      </c>
      <c r="F12" s="57" t="s">
        <v>2805</v>
      </c>
      <c r="G12" s="58"/>
    </row>
    <row r="13" customFormat="false" ht="21.75" hidden="false" customHeight="true" outlineLevel="0" collapsed="false">
      <c r="B13" s="59" t="s">
        <v>2894</v>
      </c>
      <c r="C13" s="60"/>
      <c r="D13" s="61" t="s">
        <v>964</v>
      </c>
      <c r="E13" s="62" t="s">
        <v>3023</v>
      </c>
      <c r="F13" s="63" t="n">
        <v>300000</v>
      </c>
      <c r="G13" s="64" t="n">
        <f aca="false">IF(ISBLANK(C13),IF(Fill_Example="Yes",F13,""),C13)</f>
        <v>300000</v>
      </c>
    </row>
    <row r="14" customFormat="false" ht="33" hidden="false" customHeight="true" outlineLevel="0" collapsed="false">
      <c r="B14" s="59" t="s">
        <v>2392</v>
      </c>
      <c r="C14" s="68"/>
      <c r="D14" s="61" t="s">
        <v>2814</v>
      </c>
      <c r="E14" s="69" t="str">
        <f aca="false">"Type 2 · your figure · Your own rate (your statement shows it; typing it is fine, no upload needed). "&amp;IF(ISNUMBER(Suggest_Mortgage_Rate),"Suggested: "&amp;TEXT(Suggest_Mortgage_Rate,"0.00%")&amp;" · "&amp;Suggest_Mortgage_Rate_Label&amp;". ","No suggestion. ")&amp;"Enter your own figure."&amp;" In the app it is pre-filled from Your finances / statement: rate. Enter your own figure. Allowed: 1% to 8% · steps of 0.05%"</f>
        <v>Type 2 · your figure · Your own rate (your statement shows it; typing it is fine, no upload needed). Suggested: 3.48% · Central Bank of Ireland: average rate on new mortgages, Jul 2026. Enter your own figure. In the app it is pre-filled from Your finances / statement: rate. Enter your own figure. Allowed: 1% to 8% · steps of 0.05%</v>
      </c>
      <c r="F14" s="70" t="n">
        <f aca="false">IF(ISNUMBER(Suggest_Mortgage_Rate),Suggest_Mortgage_Rate,"")</f>
        <v>0.0348</v>
      </c>
      <c r="G14" s="71" t="n">
        <f aca="false">IF(ISBLANK(C14),IF(Fill_Example="Yes",F14,""),C14)</f>
        <v>0.0348</v>
      </c>
    </row>
    <row r="15" customFormat="false" ht="21.75" hidden="false" customHeight="true" outlineLevel="0" collapsed="false">
      <c r="B15" s="59" t="s">
        <v>3051</v>
      </c>
      <c r="C15" s="72"/>
      <c r="D15" s="61" t="s">
        <v>1002</v>
      </c>
      <c r="E15" s="62" t="s">
        <v>2897</v>
      </c>
      <c r="F15" s="73" t="n">
        <v>25</v>
      </c>
      <c r="G15" s="74" t="n">
        <f aca="false">IF(AND(ISNUMBER(C15),N(C15)&lt;5),"",IF(ISBLANK(C15),IF(Fill_Example="Yes",F15,""),C15))</f>
        <v>25</v>
      </c>
    </row>
    <row r="16" customFormat="false" ht="15" hidden="false" customHeight="true" outlineLevel="0" collapsed="false">
      <c r="B16" s="59" t="s">
        <v>3052</v>
      </c>
      <c r="C16" s="72"/>
      <c r="D16" s="61" t="s">
        <v>1002</v>
      </c>
      <c r="E16" s="62" t="s">
        <v>3053</v>
      </c>
      <c r="F16" s="73" t="n">
        <v>35</v>
      </c>
      <c r="G16" s="74" t="n">
        <f aca="false">IF(AND(ISNUMBER(C16),N(C16)&lt;5),"",IF(ISBLANK(C16),IF(Fill_Example="Yes",F16,""),C16))</f>
        <v>35</v>
      </c>
    </row>
    <row r="18" customFormat="false" ht="15" hidden="false" customHeight="true" outlineLevel="0" collapsed="false">
      <c r="B18" s="55" t="s">
        <v>2902</v>
      </c>
      <c r="C18" s="58"/>
      <c r="D18" s="58"/>
      <c r="E18" s="58"/>
      <c r="F18" s="58"/>
      <c r="G18" s="58"/>
    </row>
    <row r="19" customFormat="false" ht="15" hidden="false" customHeight="true" outlineLevel="0" collapsed="false">
      <c r="B19" s="59" t="s">
        <v>2894</v>
      </c>
      <c r="C19" s="92" t="n">
        <f aca="false">IF(ISBLANK(Stmt_Balance),Loan_Amount,Stmt_Balance)</f>
        <v>300000</v>
      </c>
      <c r="D19" s="93" t="str">
        <f aca="false">IF(ISBLANK(Stmt_Balance),"Your figure","From your statement")</f>
        <v>Your figure</v>
      </c>
      <c r="E19" s="83" t="s">
        <v>2903</v>
      </c>
    </row>
    <row r="20" customFormat="false" ht="15" hidden="false" customHeight="true" outlineLevel="0" collapsed="false">
      <c r="B20" s="59" t="s">
        <v>2392</v>
      </c>
      <c r="C20" s="94" t="n">
        <f aca="false">IF(ISBLANK(Stmt_Rate),Interest_Rate,Stmt_Rate)</f>
        <v>0.0348</v>
      </c>
      <c r="D20" s="93" t="str">
        <f aca="false">IF(ISBLANK(Stmt_Rate),"Your figure","From your statement")</f>
        <v>Your figure</v>
      </c>
      <c r="E20" s="83" t="s">
        <v>2904</v>
      </c>
    </row>
    <row r="21" customFormat="false" ht="15" hidden="false" customHeight="true" outlineLevel="0" collapsed="false">
      <c r="B21" s="59" t="s">
        <v>3051</v>
      </c>
      <c r="C21" s="95" t="n">
        <f aca="false">IF(ISBLANK(Stmt_Term),Term_A,Stmt_Term)</f>
        <v>25</v>
      </c>
      <c r="D21" s="93" t="str">
        <f aca="false">IF(ISBLANK(Stmt_Term),"Your figure","From your statement")</f>
        <v>Your figure</v>
      </c>
      <c r="E21" s="83" t="s">
        <v>3054</v>
      </c>
    </row>
    <row r="22" customFormat="false" ht="21.75" hidden="false" customHeight="true" outlineLevel="0" collapsed="false">
      <c r="B22" s="59" t="s">
        <v>2909</v>
      </c>
      <c r="C22" s="79" t="str">
        <f aca="true">IF(ISBLANK(Stmt_Statement_Date),"",IF(TODAY()-Stmt_Statement_Date&gt;Statement_Max_Age_Days,"Needs a look: statement is more than 12 months old","Up to date"))</f>
        <v/>
      </c>
      <c r="D22" s="61"/>
      <c r="E22" s="76" t="s">
        <v>2910</v>
      </c>
    </row>
    <row r="24" customFormat="false" ht="15" hidden="false" customHeight="true" outlineLevel="0" collapsed="false">
      <c r="B24" s="55" t="s">
        <v>2630</v>
      </c>
      <c r="C24" s="56" t="s">
        <v>327</v>
      </c>
      <c r="D24" s="56" t="s">
        <v>2822</v>
      </c>
      <c r="E24" s="56" t="s">
        <v>2823</v>
      </c>
      <c r="F24" s="58"/>
      <c r="G24" s="58"/>
    </row>
    <row r="25" customFormat="false" ht="17.25" hidden="false" customHeight="true" outlineLevel="0" collapsed="false">
      <c r="B25" s="52" t="s">
        <v>3055</v>
      </c>
      <c r="C25" s="75" t="n">
        <f aca="false">IF(Need_1&lt;&gt;"",Need_1,ABS(Interest_B-Interest_A))</f>
        <v>69690.7597162369</v>
      </c>
      <c r="D25" s="97" t="str">
        <f aca="false">IF(Need_1&lt;&gt;"",Need_1,IF(Used_Term_A=Term_B,"Both terms are the same.","The "&amp;MIN(Used_Term_A,Term_B)&amp;"-year term costs more each month but less interest overall."))</f>
        <v>The 25-year term costs more each month but less interest overall.</v>
      </c>
      <c r="E25" s="76" t="s">
        <v>3056</v>
      </c>
    </row>
    <row r="26" customFormat="false" ht="17.25" hidden="false" customHeight="true" outlineLevel="0" collapsed="false">
      <c r="B26" s="52" t="s">
        <v>3057</v>
      </c>
      <c r="C26" s="75" t="n">
        <f aca="false">IF(Need_2&lt;&gt;"",Need_2,PMT(Used_Interest_Rate/12,Used_Term_A*12,-Used_Loan_Amount))</f>
        <v>1498.65474877559</v>
      </c>
      <c r="D26" s="61" t="s">
        <v>964</v>
      </c>
      <c r="E26" s="76" t="s">
        <v>3058</v>
      </c>
    </row>
    <row r="27" customFormat="false" ht="17.25" hidden="false" customHeight="true" outlineLevel="0" collapsed="false">
      <c r="B27" s="52" t="s">
        <v>3059</v>
      </c>
      <c r="C27" s="75" t="n">
        <f aca="false">IF(Need_3&lt;&gt;"",Need_3,PMT(Used_Interest_Rate/12,Term_B*12,-Used_Loan_Amount))</f>
        <v>1236.3980579736</v>
      </c>
      <c r="D27" s="61" t="s">
        <v>964</v>
      </c>
      <c r="E27" s="76" t="s">
        <v>3060</v>
      </c>
    </row>
    <row r="28" customFormat="false" ht="15" hidden="false" customHeight="true" outlineLevel="0" collapsed="false">
      <c r="B28" s="59" t="s">
        <v>3061</v>
      </c>
      <c r="C28" s="77" t="n">
        <f aca="false">IF(Need_2&lt;&gt;"",Need_2,Monthly_A*Used_Term_A*12-Used_Loan_Amount)</f>
        <v>149596.424632676</v>
      </c>
      <c r="D28" s="61" t="s">
        <v>964</v>
      </c>
      <c r="E28" s="76" t="s">
        <v>3062</v>
      </c>
    </row>
    <row r="29" customFormat="false" ht="15" hidden="false" customHeight="true" outlineLevel="0" collapsed="false">
      <c r="B29" s="59" t="s">
        <v>3063</v>
      </c>
      <c r="C29" s="77" t="n">
        <f aca="false">IF(Need_3&lt;&gt;"",Need_3,Monthly_B*Term_B*12-Used_Loan_Amount)</f>
        <v>219287.184348913</v>
      </c>
      <c r="D29" s="61" t="s">
        <v>964</v>
      </c>
      <c r="E29" s="76" t="s">
        <v>3064</v>
      </c>
    </row>
    <row r="31" customFormat="false" ht="15" hidden="false" customHeight="true" outlineLevel="0" collapsed="false">
      <c r="B31" s="55" t="s">
        <v>2853</v>
      </c>
      <c r="C31" s="58"/>
      <c r="D31" s="58"/>
      <c r="E31" s="58"/>
      <c r="F31" s="58"/>
      <c r="G31" s="58"/>
    </row>
    <row r="32" customFormat="false" ht="13.5" hidden="false" customHeight="true" outlineLevel="0" collapsed="false">
      <c r="B32" s="80" t="s">
        <v>3065</v>
      </c>
      <c r="C32" s="80"/>
      <c r="D32" s="80"/>
      <c r="E32" s="80"/>
    </row>
    <row r="33" customFormat="false" ht="13.5" hidden="false" customHeight="true" outlineLevel="0" collapsed="false">
      <c r="B33" s="80" t="s">
        <v>3066</v>
      </c>
      <c r="C33" s="80"/>
      <c r="D33" s="80"/>
      <c r="E33" s="80"/>
    </row>
    <row r="34" customFormat="false" ht="13.5" hidden="false" customHeight="true" outlineLevel="0" collapsed="false">
      <c r="B34" s="81" t="s">
        <v>2856</v>
      </c>
      <c r="C34" s="81"/>
      <c r="D34" s="81"/>
      <c r="E34" s="81"/>
    </row>
    <row r="35" customFormat="false" ht="13.5" hidden="false" customHeight="true" outlineLevel="0" collapsed="false">
      <c r="B35" s="80" t="s">
        <v>3067</v>
      </c>
      <c r="C35" s="80"/>
      <c r="D35" s="80"/>
      <c r="E35" s="80"/>
    </row>
    <row r="36" customFormat="false" ht="13.5" hidden="false" customHeight="true" outlineLevel="0" collapsed="false">
      <c r="B36" s="80" t="s">
        <v>2860</v>
      </c>
      <c r="C36" s="80"/>
      <c r="D36" s="80"/>
      <c r="E36" s="80"/>
    </row>
    <row r="38" customFormat="false" ht="15" hidden="false" customHeight="true" outlineLevel="0" collapsed="false">
      <c r="B38" s="55" t="s">
        <v>2861</v>
      </c>
      <c r="C38" s="58"/>
      <c r="D38" s="58"/>
      <c r="E38" s="58"/>
      <c r="F38" s="58"/>
      <c r="G38" s="58"/>
    </row>
    <row r="39" customFormat="false" ht="15" hidden="false" customHeight="true" outlineLevel="0" collapsed="false">
      <c r="B39" s="59" t="s">
        <v>1620</v>
      </c>
      <c r="C39" s="82" t="str">
        <f aca="false">"No goal"</f>
        <v>No goal</v>
      </c>
      <c r="E39" s="83" t="s">
        <v>3042</v>
      </c>
    </row>
    <row r="41" customFormat="false" ht="15" hidden="false" customHeight="true" outlineLevel="0" collapsed="false">
      <c r="B41" s="55" t="s">
        <v>2869</v>
      </c>
      <c r="C41" s="58"/>
      <c r="D41" s="58"/>
      <c r="E41" s="58"/>
      <c r="F41" s="58"/>
      <c r="G41" s="58"/>
    </row>
    <row r="42" customFormat="false" ht="15" hidden="false" customHeight="true" outlineLevel="0" collapsed="false">
      <c r="B42" s="86" t="s">
        <v>3068</v>
      </c>
      <c r="C42" s="86" t="str">
        <f aca="false">IF(Term_B="","Choose your term B to see this",IF(NOT(ISNUMBER(Used_Loan_Amount)),IF(Used_Loan_Amount="",IF(Loan_Amount="","Choose your mortgage amount to see this",""),Used_Loan_Amount),IF(NOT(ISNUMBER(Used_Term_A)),IF(Used_Term_A="",IF(Term_A="","Choose your term A to see this",""),Used_Term_A),IF(NOT(ISNUMBER(Used_Interest_Rate)),IF(Used_Interest_Rate="",IF(Interest_Rate="","Choose your mortgage rate to see this",""),Used_Interest_Rate),""))))</f>
        <v/>
      </c>
    </row>
    <row r="43" customFormat="false" ht="15" hidden="false" customHeight="true" outlineLevel="0" collapsed="false">
      <c r="B43" s="86" t="s">
        <v>3069</v>
      </c>
      <c r="C43" s="86" t="str">
        <f aca="false">IF(NOT(ISNUMBER(Used_Loan_Amount)),IF(Used_Loan_Amount="",IF(Loan_Amount="","Choose your mortgage amount to see this",""),Used_Loan_Amount),IF(NOT(ISNUMBER(Used_Term_A)),IF(Used_Term_A="",IF(Term_A="","Choose your term A to see this",""),Used_Term_A),IF(NOT(ISNUMBER(Used_Interest_Rate)),IF(Used_Interest_Rate="",IF(Interest_Rate="","Choose your mortgage rate to see this",""),Used_Interest_Rate),"")))</f>
        <v/>
      </c>
    </row>
    <row r="44" customFormat="false" ht="15" hidden="false" customHeight="true" outlineLevel="0" collapsed="false">
      <c r="B44" s="86" t="s">
        <v>3070</v>
      </c>
      <c r="C44" s="86" t="str">
        <f aca="false">IF(Term_B="","Choose your term B to see this",IF(NOT(ISNUMBER(Used_Loan_Amount)),IF(Used_Loan_Amount="",IF(Loan_Amount="","Choose your mortgage amount to see this",""),Used_Loan_Amount),IF(NOT(ISNUMBER(Used_Interest_Rate)),IF(Used_Interest_Rate="",IF(Interest_Rate="","Choose your mortgage rate to see this",""),Used_Interest_Rate),"")))</f>
        <v/>
      </c>
    </row>
  </sheetData>
  <mergeCells count="6">
    <mergeCell ref="B6:E6"/>
    <mergeCell ref="B32:E32"/>
    <mergeCell ref="B33:E33"/>
    <mergeCell ref="B34:E34"/>
    <mergeCell ref="B35:E35"/>
    <mergeCell ref="B36:E36"/>
  </mergeCells>
  <dataValidations count="8">
    <dataValidation allowBlank="true" error="Please enter €0 to €10,000,000." errorStyle="stop" errorTitle="Outside the allowed range" operator="between" prompt="Unit: €. Allowed: €0 to €10,000,000." promptTitle="Outstanding balance" showDropDown="false" showErrorMessage="true" showInputMessage="true" sqref="C7" type="decimal">
      <formula1>0</formula1>
      <formula2>10000000</formula2>
    </dataValidation>
    <dataValidation allowBlank="true" error="Please enter 0% to 15%." errorStyle="stop" errorTitle="Outside the allowed range" operator="between" prompt="Unit: %. Allowed: 0% to 15%." promptTitle="Interest rate" showDropDown="false" showErrorMessage="true" showInputMessage="true" sqref="C8" type="decimal">
      <formula1>0</formula1>
      <formula2>0.15</formula2>
    </dataValidation>
    <dataValidation allowBlank="true" error="Please enter 0 to 40." errorStyle="stop" errorTitle="Outside the allowed range" operator="between" prompt="Unit: years. Allowed: 0 to 40." promptTitle="Term remaining" showDropDown="false" showErrorMessage="true" showInputMessage="true" sqref="C9" type="whole">
      <formula1>0</formula1>
      <formula2>40</formula2>
    </dataValidation>
    <dataValidation allowBlank="true" error="Please enter a date (dd/mm/yyyy)." errorStyle="stop" errorTitle="Outside the allowed range" operator="greaterThan" prompt="Unit: date. Allowed: a date (dd/mm/yyyy)." promptTitle="Statement date" showDropDown="false" showErrorMessage="true" showInputMessage="true" sqref="C10" type="date">
      <formula1>36526</formula1>
      <formula2>0</formula2>
    </dataValidation>
    <dataValidation allowBlank="true" error="Please enter 1% to 8% · steps of 0.05%." errorStyle="stop" errorTitle="Outside the allowed range" operator="between" prompt="Your own mortgage rate: your statement shows it. Typing it is fine; no upload needed. A suggested rate and its source are shown beside this cell (Partner rates, Assumptions sheet). Allowed: 1% to 8% · steps of 0.05%" promptTitle="Interest rate" showDropDown="false" showErrorMessage="true" showInputMessage="true" sqref="C14" type="decimal">
      <formula1>0.01</formula1>
      <formula2>0.08</formula2>
    </dataValidation>
    <dataValidation allowBlank="true" error="Please enter €50,000 to €10,000,000 · steps of €1,000." errorStyle="stop" errorTitle="Outside the allowed range" operator="between" prompt="Your own figure. In the app it is pre-filled from Your finances / statement: balance.  Allowed: €50,000 to €10,000,000 · steps of €1,000." promptTitle="Mortgage amount" showDropDown="false" showErrorMessage="true" showInputMessage="true" sqref="C13" type="decimal">
      <formula1>50000</formula1>
      <formula2>10000000</formula2>
    </dataValidation>
    <dataValidation allowBlank="true" error="Please enter 5 to 35 · steps of 1." errorStyle="stop" errorTitle="Outside the allowed range" operator="between" prompt="Your own figure. In the app it is pre-filled from Years left (25 if not given).  Allowed: 5 to 35 · steps of 1." promptTitle="Term A" showDropDown="false" showErrorMessage="true" showInputMessage="true" sqref="C15" type="whole">
      <formula1>5</formula1>
      <formula2>35</formula2>
    </dataValidation>
    <dataValidation allowBlank="true" error="Please enter 5 to 35 · steps of 1." errorStyle="stop" errorTitle="Outside the allowed range" operator="between" prompt="Your own figure.  Allowed: 5 to 35 · steps of 1." promptTitle="Term B" showDropDown="false" showErrorMessage="true" showInputMessage="true" sqref="C16" type="whole">
      <formula1>5</formula1>
      <formula2>35</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2B134"/>
    <pageSetUpPr fitToPage="false"/>
  </sheetPr>
  <dimension ref="B1:G5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20" width="2"/>
    <col collapsed="false" customWidth="true" hidden="false" outlineLevel="0" max="2" min="2" style="20" width="50"/>
    <col collapsed="false" customWidth="true" hidden="false" outlineLevel="0" max="3" min="3" style="20" width="26"/>
    <col collapsed="false" customWidth="true" hidden="false" outlineLevel="0" max="4" min="4" style="20" width="24"/>
    <col collapsed="false" customWidth="true" hidden="false" outlineLevel="0" max="5" min="5" style="20" width="78"/>
    <col collapsed="false" customWidth="true" hidden="false" outlineLevel="0" max="6" min="6" style="20" width="14"/>
    <col collapsed="false" customWidth="true" hidden="false" outlineLevel="0" max="7" min="7" style="20" width="16"/>
  </cols>
  <sheetData>
    <row r="1" customFormat="false" ht="19.5" hidden="false" customHeight="true" outlineLevel="0" collapsed="false">
      <c r="B1" s="50" t="s">
        <v>3071</v>
      </c>
      <c r="E1" s="51" t="s">
        <v>3072</v>
      </c>
    </row>
    <row r="2" customFormat="false" ht="15" hidden="false" customHeight="true" outlineLevel="0" collapsed="false">
      <c r="B2" s="52" t="s">
        <v>3073</v>
      </c>
      <c r="E2" s="53" t="str">
        <f aca="false">IF(Fill_Example="Yes","Example values are ON (README): grey Example only figures fill blank inputs.","Blank template: fill the yellow inputs (or switch on example values on the README).")</f>
        <v>Example values are ON (README): grey Example only figures fill blank inputs.</v>
      </c>
    </row>
    <row r="3" customFormat="false" ht="15" hidden="false" customHeight="true" outlineLevel="0" collapsed="false">
      <c r="B3" s="54" t="s">
        <v>3074</v>
      </c>
    </row>
    <row r="5" customFormat="false" ht="15" hidden="false" customHeight="true" outlineLevel="0" collapsed="false">
      <c r="B5" s="55" t="s">
        <v>2803</v>
      </c>
      <c r="C5" s="56" t="s">
        <v>912</v>
      </c>
      <c r="D5" s="56" t="s">
        <v>913</v>
      </c>
      <c r="E5" s="56" t="s">
        <v>2804</v>
      </c>
      <c r="F5" s="57" t="s">
        <v>2805</v>
      </c>
      <c r="G5" s="58"/>
    </row>
    <row r="6" customFormat="false" ht="15" hidden="false" customHeight="true" outlineLevel="0" collapsed="false">
      <c r="B6" s="59" t="s">
        <v>3075</v>
      </c>
      <c r="C6" s="60"/>
      <c r="D6" s="61" t="s">
        <v>964</v>
      </c>
      <c r="E6" s="62" t="s">
        <v>3076</v>
      </c>
      <c r="F6" s="63" t="n">
        <v>1800</v>
      </c>
      <c r="G6" s="64" t="n">
        <f aca="false">IF(ISBLANK(C6),IF(Fill_Example="Yes",F6,""),C6)</f>
        <v>1800</v>
      </c>
    </row>
    <row r="7" customFormat="false" ht="15" hidden="false" customHeight="true" outlineLevel="0" collapsed="false">
      <c r="B7" s="59" t="s">
        <v>2947</v>
      </c>
      <c r="C7" s="60"/>
      <c r="D7" s="61" t="s">
        <v>964</v>
      </c>
      <c r="E7" s="62" t="s">
        <v>2948</v>
      </c>
      <c r="F7" s="63" t="n">
        <v>350000</v>
      </c>
      <c r="G7" s="64" t="n">
        <f aca="false">IF(ISBLANK(C7),IF(Fill_Example="Yes",F7,""),C7)</f>
        <v>350000</v>
      </c>
    </row>
    <row r="8" customFormat="false" ht="15" hidden="false" customHeight="true" outlineLevel="0" collapsed="false">
      <c r="B8" s="59" t="s">
        <v>2961</v>
      </c>
      <c r="C8" s="60"/>
      <c r="D8" s="61" t="s">
        <v>964</v>
      </c>
      <c r="E8" s="62" t="s">
        <v>3077</v>
      </c>
      <c r="F8" s="63" t="n">
        <v>35000</v>
      </c>
      <c r="G8" s="64" t="n">
        <f aca="false">IF(ISBLANK(C8),IF(Fill_Example="Yes",F8,""),C8)</f>
        <v>35000</v>
      </c>
    </row>
    <row r="9" customFormat="false" ht="21.75" hidden="false" customHeight="true" outlineLevel="0" collapsed="false">
      <c r="B9" s="59" t="s">
        <v>130</v>
      </c>
      <c r="C9" s="68"/>
      <c r="D9" s="61" t="s">
        <v>2814</v>
      </c>
      <c r="E9" s="69" t="str">
        <f aca="false">"Type 2 · your figure · Your own rate (your statement shows it; typing it is fine, no upload needed). "&amp;IF(ISNUMBER(Suggest_Mortgage_Rate),"Suggested: "&amp;TEXT(Suggest_Mortgage_Rate,"0.00%")&amp;" · "&amp;Suggest_Mortgage_Rate_Label&amp;". ","No suggestion. ")&amp;"Enter your own figure."&amp;" Allowed: 1% to 8% · steps of 0.05%"</f>
        <v>Type 2 · your figure · Your own rate (your statement shows it; typing it is fine, no upload needed). Suggested: 3.48% · Central Bank of Ireland: average rate on new mortgages, Jul 2026. Enter your own figure. Allowed: 1% to 8% · steps of 0.05%</v>
      </c>
      <c r="F9" s="70" t="n">
        <f aca="false">IF(ISNUMBER(Suggest_Mortgage_Rate),Suggest_Mortgage_Rate,"")</f>
        <v>0.0348</v>
      </c>
      <c r="G9" s="71" t="n">
        <f aca="false">IF(ISBLANK(C9),IF(Fill_Example="Yes",F9,""),C9)</f>
        <v>0.0348</v>
      </c>
    </row>
    <row r="10" customFormat="false" ht="15" hidden="false" customHeight="true" outlineLevel="0" collapsed="false">
      <c r="B10" s="59" t="s">
        <v>3078</v>
      </c>
      <c r="C10" s="72"/>
      <c r="D10" s="61" t="s">
        <v>1002</v>
      </c>
      <c r="E10" s="62" t="s">
        <v>3053</v>
      </c>
      <c r="F10" s="73" t="n">
        <v>30</v>
      </c>
      <c r="G10" s="74" t="n">
        <f aca="false">IF(AND(ISNUMBER(C10),N(C10)&lt;5),"",IF(ISBLANK(C10),IF(Fill_Example="Yes",F10,""),C10))</f>
        <v>30</v>
      </c>
    </row>
    <row r="11" customFormat="false" ht="15" hidden="false" customHeight="true" outlineLevel="0" collapsed="false">
      <c r="B11" s="59" t="s">
        <v>3079</v>
      </c>
      <c r="C11" s="72"/>
      <c r="D11" s="61" t="s">
        <v>1002</v>
      </c>
      <c r="E11" s="62" t="s">
        <v>3080</v>
      </c>
      <c r="F11" s="73" t="n">
        <v>10</v>
      </c>
      <c r="G11" s="74" t="n">
        <f aca="false">IF(ISBLANK(C11),IF(Fill_Example="Yes",F11,""),C11)</f>
        <v>10</v>
      </c>
    </row>
    <row r="12" customFormat="false" ht="21.75" hidden="false" customHeight="true" outlineLevel="0" collapsed="false">
      <c r="B12" s="59" t="s">
        <v>3081</v>
      </c>
      <c r="C12" s="68"/>
      <c r="D12" s="61" t="s">
        <v>2814</v>
      </c>
      <c r="E12" s="69" t="s">
        <v>3082</v>
      </c>
      <c r="F12" s="70" t="n">
        <f aca="false">Set_houseGrow</f>
        <v>0.02</v>
      </c>
      <c r="G12" s="71" t="n">
        <f aca="false">IF(ISBLANK(C12),F12,C12)</f>
        <v>0.02</v>
      </c>
    </row>
    <row r="13" customFormat="false" ht="21.75" hidden="false" customHeight="true" outlineLevel="0" collapsed="false">
      <c r="B13" s="59" t="s">
        <v>3083</v>
      </c>
      <c r="C13" s="68"/>
      <c r="D13" s="61" t="s">
        <v>2814</v>
      </c>
      <c r="E13" s="69" t="s">
        <v>3084</v>
      </c>
      <c r="F13" s="70" t="n">
        <f aca="false">Set_rentRise</f>
        <v>0.03</v>
      </c>
      <c r="G13" s="71" t="n">
        <f aca="false">IF(ISBLANK(C13),F13,C13)</f>
        <v>0.03</v>
      </c>
    </row>
    <row r="14" customFormat="false" ht="21.75" hidden="false" customHeight="true" outlineLevel="0" collapsed="false">
      <c r="B14" s="59" t="s">
        <v>3085</v>
      </c>
      <c r="C14" s="68"/>
      <c r="D14" s="61" t="s">
        <v>2814</v>
      </c>
      <c r="E14" s="69" t="s">
        <v>3086</v>
      </c>
      <c r="F14" s="70" t="n">
        <f aca="false">Set_upkeep</f>
        <v>0.01</v>
      </c>
      <c r="G14" s="71" t="n">
        <f aca="false">IF(ISBLANK(C14),F14,C14)</f>
        <v>0.01</v>
      </c>
    </row>
    <row r="15" customFormat="false" ht="21.75" hidden="false" customHeight="true" outlineLevel="0" collapsed="false">
      <c r="B15" s="59" t="s">
        <v>2817</v>
      </c>
      <c r="C15" s="60"/>
      <c r="D15" s="61" t="s">
        <v>964</v>
      </c>
      <c r="E15" s="69" t="str">
        <f aca="false">"Type 2 · optional · Legal and survey fees (stamp duty is added for you). "&amp;IF(ISNUMBER(Suggest_Buying_Fees),"Suggested: "&amp;TEXT(Suggest_Buying_Fees,"€#,##0")&amp;" · "&amp;Suggest_Buying_Fees_Label&amp;". ","No suggestion. ")&amp;"Leave blank to count €0."&amp;" Allowed: €0 to €10,000 · steps of €100"</f>
        <v>Type 2 · optional · Legal and survey fees (stamp duty is added for you). No suggestion. Leave blank to count €0. Allowed: €0 to €10,000 · steps of €100</v>
      </c>
      <c r="F15" s="63" t="str">
        <f aca="false">IF(ISNUMBER(Suggest_Buying_Fees),Suggest_Buying_Fees,"")</f>
        <v/>
      </c>
      <c r="G15" s="64" t="n">
        <f aca="false">IF(ISBLANK(C15),IF(AND(Fill_Example="Yes",ISNUMBER(F15)),F15,0),C15)</f>
        <v>0</v>
      </c>
    </row>
    <row r="16" customFormat="false" ht="21.75" hidden="false" customHeight="true" outlineLevel="0" collapsed="false">
      <c r="B16" s="59" t="s">
        <v>3087</v>
      </c>
      <c r="C16" s="68"/>
      <c r="D16" s="61" t="s">
        <v>2814</v>
      </c>
      <c r="E16" s="69" t="str">
        <f aca="false">"Type 2 · optional · What your deposit could earn after 33% DIRT if you rent instead. "&amp;IF(ISNUMBER(Suggest_Deposit_Rate),"Suggested: "&amp;TEXT(ROUND(Suggest_Deposit_Rate*(1-DIRT),4),"0.00%")&amp;" after DIRT · "&amp;Suggest_Deposit_Rate_Label&amp;" ("&amp;TEXT(Suggest_Deposit_Rate,"0.00%")&amp;" before DIRT). ","No suggestion. ")&amp;"Leave blank and we use the suggested rate (Assumed: add yours)."&amp;" Allowed: 0% to 6% · steps of 0.5%"</f>
        <v>Type 2 · optional · What your deposit could earn after 33% DIRT if you rent instead. Suggested: 1.29% after DIRT · Central Bank of Ireland: average rate on new fixed-term household deposits, Jul 2026 (1.92% before DIRT). Leave blank and we use the suggested rate (Assumed: add yours). Allowed: 0% to 6% · steps of 0.5%</v>
      </c>
      <c r="F16" s="70" t="n">
        <f aca="false">IF(ISNUMBER(Suggest_Deposit_Rate),ROUND(Suggest_Deposit_Rate*(1-DIRT),4),"")</f>
        <v>0.0129</v>
      </c>
      <c r="G16" s="71" t="n">
        <f aca="false">IF(ISBLANK(C16),IF(ISNUMBER(F16),F16,0),C16)</f>
        <v>0.0129</v>
      </c>
    </row>
    <row r="17" customFormat="false" ht="15" hidden="false" customHeight="true" outlineLevel="0" collapsed="false">
      <c r="B17" s="59" t="s">
        <v>2818</v>
      </c>
      <c r="C17" s="72"/>
      <c r="D17" s="61" t="s">
        <v>1002</v>
      </c>
      <c r="E17" s="62" t="s">
        <v>2819</v>
      </c>
      <c r="F17" s="73" t="n">
        <v>3</v>
      </c>
      <c r="G17" s="74" t="n">
        <f aca="false">IF(ISBLANK(C17),IF(Fill_Example="Yes",F17,""),C17)</f>
        <v>3</v>
      </c>
    </row>
    <row r="18" customFormat="false" ht="15" hidden="false" customHeight="true" outlineLevel="0" collapsed="false">
      <c r="B18" s="20" t="s">
        <v>3088</v>
      </c>
      <c r="C18" s="20" t="n">
        <f aca="false">IF(OR(Home_Price="",Deposit=""),"",MIN(MAX(Deposit,Home_Price*(1-LTV_Max)),Home_Price))</f>
        <v>35000</v>
      </c>
      <c r="D18" s="20" t="s">
        <v>964</v>
      </c>
    </row>
    <row r="19" customFormat="false" ht="15" hidden="false" customHeight="true" outlineLevel="0" collapsed="false">
      <c r="B19" s="55" t="s">
        <v>2630</v>
      </c>
      <c r="C19" s="56" t="s">
        <v>327</v>
      </c>
      <c r="D19" s="56" t="s">
        <v>2822</v>
      </c>
      <c r="E19" s="56" t="s">
        <v>2823</v>
      </c>
      <c r="F19" s="58"/>
      <c r="G19" s="58"/>
    </row>
    <row r="20" customFormat="false" ht="17.25" hidden="false" customHeight="true" outlineLevel="0" collapsed="false">
      <c r="B20" s="52" t="s">
        <v>3089</v>
      </c>
      <c r="C20" s="75" t="n">
        <f aca="false">IF(Need_1&lt;&gt;"",Need_1,Home_Value-Balance_After)</f>
        <v>182927.695392711</v>
      </c>
      <c r="D20" s="61" t="s">
        <v>964</v>
      </c>
      <c r="E20" s="76" t="s">
        <v>3090</v>
      </c>
    </row>
    <row r="21" customFormat="false" ht="17.25" hidden="false" customHeight="true" outlineLevel="0" collapsed="false">
      <c r="B21" s="52" t="s">
        <v>3091</v>
      </c>
      <c r="C21" s="75" t="n">
        <f aca="false">IF(Need_2&lt;&gt;"",Need_2,IF(Rent_Growth=0,Monthly_Rent*12*Years,Monthly_Rent*12*((1+Rent_Growth)^Years-1)/Rent_Growth))</f>
        <v>247619.793127768</v>
      </c>
      <c r="D21" s="61" t="s">
        <v>964</v>
      </c>
      <c r="E21" s="76" t="s">
        <v>3092</v>
      </c>
    </row>
    <row r="22" customFormat="false" ht="17.25" hidden="false" customHeight="true" outlineLevel="0" collapsed="false">
      <c r="B22" s="52" t="s">
        <v>3093</v>
      </c>
      <c r="C22" s="75" t="n">
        <f aca="false">IF(Need_3&lt;&gt;"",Need_3,Interest_Paid+Upkeep+Stamp_Duty+Buying_Fees+Opportunity_Cost)</f>
        <v>144647.860506949</v>
      </c>
      <c r="D22" s="61" t="s">
        <v>964</v>
      </c>
      <c r="E22" s="76" t="s">
        <v>3094</v>
      </c>
    </row>
    <row r="23" customFormat="false" ht="15" hidden="false" customHeight="true" outlineLevel="0" collapsed="false">
      <c r="B23" s="59" t="s">
        <v>989</v>
      </c>
      <c r="C23" s="77" t="n">
        <f aca="false">IF(Need_4&lt;&gt;"",Need_4,Home_Price*(1+House_Growth)^Years)</f>
        <v>426648.046998165</v>
      </c>
      <c r="D23" s="61" t="s">
        <v>964</v>
      </c>
      <c r="E23" s="76" t="s">
        <v>3095</v>
      </c>
    </row>
    <row r="24" customFormat="false" ht="15" hidden="false" customHeight="true" outlineLevel="0" collapsed="false">
      <c r="B24" s="59" t="s">
        <v>3096</v>
      </c>
      <c r="C24" s="77" t="n">
        <f aca="false">IF(Need_5&lt;&gt;"",Need_5,MAX(0,Home_Price-Deposit_Used))</f>
        <v>315000</v>
      </c>
      <c r="D24" s="61" t="s">
        <v>964</v>
      </c>
      <c r="E24" s="76" t="s">
        <v>3097</v>
      </c>
    </row>
    <row r="25" customFormat="false" ht="15" hidden="false" customHeight="true" outlineLevel="0" collapsed="false">
      <c r="B25" s="59" t="s">
        <v>2388</v>
      </c>
      <c r="C25" s="77" t="n">
        <f aca="false">IF(Need_6&lt;&gt;"",Need_6,PMT(Mortgage_Rate/12,RentBuy_Term*12,-Loan))</f>
        <v>1410.97639029501</v>
      </c>
      <c r="D25" s="61" t="s">
        <v>964</v>
      </c>
      <c r="E25" s="76" t="s">
        <v>3098</v>
      </c>
    </row>
    <row r="26" customFormat="false" ht="15" hidden="false" customHeight="true" outlineLevel="0" collapsed="false">
      <c r="B26" s="59" t="s">
        <v>3099</v>
      </c>
      <c r="C26" s="77" t="n">
        <f aca="false">IF(Need_7&lt;&gt;"",Need_7,MAX(0,-FV(Mortgage_Rate/12,MIN(Years,RentBuy_Term)*12,-Monthly_Repayment,Loan)))</f>
        <v>243720.351605454</v>
      </c>
      <c r="D26" s="61" t="s">
        <v>964</v>
      </c>
      <c r="E26" s="76" t="s">
        <v>3100</v>
      </c>
    </row>
    <row r="27" customFormat="false" ht="15" hidden="false" customHeight="true" outlineLevel="0" collapsed="false">
      <c r="B27" s="59" t="s">
        <v>3101</v>
      </c>
      <c r="C27" s="77" t="n">
        <f aca="false">IF(Need_7&lt;&gt;"",Need_7,Monthly_Repayment*MIN(Years,RentBuy_Term)*12-(Loan-Balance_After))</f>
        <v>98037.5184408545</v>
      </c>
      <c r="D27" s="61" t="s">
        <v>964</v>
      </c>
      <c r="E27" s="76" t="s">
        <v>3102</v>
      </c>
    </row>
    <row r="28" customFormat="false" ht="21.75" hidden="false" customHeight="true" outlineLevel="0" collapsed="false">
      <c r="B28" s="59" t="s">
        <v>3103</v>
      </c>
      <c r="C28" s="77" t="n">
        <f aca="false">IF(Need_8&lt;&gt;"",Need_8,IF(House_Growth=0,Home_Price*Upkeep_Rate*Years,Home_Price*Upkeep_Rate*((1+House_Growth)^Years-1)/House_Growth))</f>
        <v>38324.0234990825</v>
      </c>
      <c r="D28" s="61" t="s">
        <v>964</v>
      </c>
      <c r="E28" s="76" t="s">
        <v>3104</v>
      </c>
    </row>
    <row r="29" customFormat="false" ht="21.75" hidden="false" customHeight="true" outlineLevel="0" collapsed="false">
      <c r="B29" s="59" t="s">
        <v>82</v>
      </c>
      <c r="C29" s="77" t="n">
        <f aca="false">IF(Need_9&lt;&gt;"",Need_9,SD_Rate_1*MIN(Home_Price,SD_Band_1)+SD_Rate_2*MAX(0,MIN(Home_Price,SD_Band_2)-SD_Band_1)+SD_Rate_3*MAX(0,Home_Price-SD_Band_2))</f>
        <v>3500</v>
      </c>
      <c r="D29" s="61" t="s">
        <v>964</v>
      </c>
      <c r="E29" s="76" t="s">
        <v>2831</v>
      </c>
    </row>
    <row r="30" customFormat="false" ht="15" hidden="false" customHeight="true" outlineLevel="0" collapsed="false">
      <c r="B30" s="59" t="s">
        <v>3105</v>
      </c>
      <c r="C30" s="77" t="n">
        <f aca="false">IF(Need_10&lt;&gt;"",Need_10,Deposit_Used*((1+Opp_Rate)^Years-1))</f>
        <v>4786.31856701236</v>
      </c>
      <c r="D30" s="61" t="s">
        <v>964</v>
      </c>
      <c r="E30" s="76" t="s">
        <v>3106</v>
      </c>
    </row>
    <row r="32" customFormat="false" ht="15" hidden="false" customHeight="true" outlineLevel="0" collapsed="false">
      <c r="B32" s="55" t="s">
        <v>2853</v>
      </c>
      <c r="C32" s="58"/>
      <c r="D32" s="58"/>
      <c r="E32" s="58"/>
      <c r="F32" s="58"/>
      <c r="G32" s="58"/>
    </row>
    <row r="33" customFormat="false" ht="27.75" hidden="false" customHeight="true" outlineLevel="0" collapsed="false">
      <c r="B33" s="80" t="s">
        <v>3107</v>
      </c>
      <c r="C33" s="80"/>
      <c r="D33" s="80"/>
      <c r="E33" s="80"/>
    </row>
    <row r="34" customFormat="false" ht="27.75" hidden="false" customHeight="true" outlineLevel="0" collapsed="false">
      <c r="B34" s="80" t="s">
        <v>3108</v>
      </c>
      <c r="C34" s="80"/>
      <c r="D34" s="80"/>
      <c r="E34" s="80"/>
    </row>
    <row r="35" customFormat="false" ht="27.75" hidden="false" customHeight="true" outlineLevel="0" collapsed="false">
      <c r="B35" s="80" t="s">
        <v>3109</v>
      </c>
      <c r="C35" s="80"/>
      <c r="D35" s="80"/>
      <c r="E35" s="80"/>
    </row>
    <row r="36" customFormat="false" ht="13.5" hidden="false" customHeight="true" outlineLevel="0" collapsed="false">
      <c r="B36" s="81" t="s">
        <v>2856</v>
      </c>
      <c r="C36" s="81"/>
      <c r="D36" s="81"/>
      <c r="E36" s="81"/>
    </row>
    <row r="37" customFormat="false" ht="13.5" hidden="false" customHeight="true" outlineLevel="0" collapsed="false">
      <c r="B37" s="80" t="s">
        <v>3110</v>
      </c>
      <c r="C37" s="80"/>
      <c r="D37" s="80"/>
      <c r="E37" s="80"/>
    </row>
    <row r="38" customFormat="false" ht="27.75" hidden="false" customHeight="true" outlineLevel="0" collapsed="false">
      <c r="B38" s="80" t="s">
        <v>3111</v>
      </c>
      <c r="C38" s="80"/>
      <c r="D38" s="80"/>
      <c r="E38" s="80"/>
    </row>
    <row r="40" customFormat="false" ht="15" hidden="false" customHeight="true" outlineLevel="0" collapsed="false">
      <c r="B40" s="55" t="s">
        <v>2861</v>
      </c>
      <c r="C40" s="58"/>
      <c r="D40" s="58"/>
      <c r="E40" s="58"/>
      <c r="F40" s="58"/>
      <c r="G40" s="58"/>
    </row>
    <row r="41" customFormat="false" ht="15" hidden="false" customHeight="true" outlineLevel="0" collapsed="false">
      <c r="B41" s="59" t="s">
        <v>1620</v>
      </c>
      <c r="C41" s="82" t="str">
        <f aca="false">"Buy a home (deposit goal)"</f>
        <v>Buy a home (deposit goal)</v>
      </c>
      <c r="E41" s="83" t="s">
        <v>2862</v>
      </c>
    </row>
    <row r="42" customFormat="false" ht="15" hidden="false" customHeight="true" outlineLevel="0" collapsed="false">
      <c r="B42" s="59" t="s">
        <v>2968</v>
      </c>
      <c r="C42" s="84" t="n">
        <f aca="false">IF(Need_11&lt;&gt;"",Need_11,ROUND(Deposit_Used+Stamp_Duty+Buying_Fees,0))</f>
        <v>38500</v>
      </c>
      <c r="E42" s="83" t="s">
        <v>3112</v>
      </c>
    </row>
    <row r="43" customFormat="false" ht="15" hidden="false" customHeight="true" outlineLevel="0" collapsed="false">
      <c r="B43" s="59" t="s">
        <v>2867</v>
      </c>
      <c r="C43" s="85" t="n">
        <f aca="false">IF(Need_12&lt;&gt;"",Need_12,Home_Goal_Years)</f>
        <v>3</v>
      </c>
      <c r="E43" s="83" t="s">
        <v>2868</v>
      </c>
    </row>
    <row r="45" customFormat="false" ht="15" hidden="false" customHeight="true" outlineLevel="0" collapsed="false">
      <c r="B45" s="55" t="s">
        <v>2869</v>
      </c>
      <c r="C45" s="58"/>
      <c r="D45" s="58"/>
      <c r="E45" s="58"/>
      <c r="F45" s="58"/>
      <c r="G45" s="58"/>
    </row>
    <row r="46" customFormat="false" ht="15" hidden="false" customHeight="true" outlineLevel="0" collapsed="false">
      <c r="B46" s="86" t="s">
        <v>3113</v>
      </c>
      <c r="C46" s="86" t="str">
        <f aca="false">IF(Home_Price="","Choose your home price to see this",IF(Deposit="","Choose your deposit to see this",IF(RentBuy_Term="","Choose your mortgage term to see this",IF(Years="","Choose your years to compare to see this",IF(Mortgage_Rate="","Choose your mortgage rate to see this","")))))</f>
        <v/>
      </c>
    </row>
    <row r="47" customFormat="false" ht="15" hidden="false" customHeight="true" outlineLevel="0" collapsed="false">
      <c r="B47" s="86" t="s">
        <v>3114</v>
      </c>
      <c r="C47" s="86" t="str">
        <f aca="false">IF(Monthly_Rent="","Choose your monthly rent to see this",IF(Years="","Choose your years to compare to see this",IF(Mortgage_Rate="","Choose your mortgage rate to see this","")))</f>
        <v/>
      </c>
    </row>
    <row r="48" customFormat="false" ht="15" hidden="false" customHeight="true" outlineLevel="0" collapsed="false">
      <c r="B48" s="86" t="s">
        <v>3115</v>
      </c>
      <c r="C48" s="86" t="str">
        <f aca="false">IF(Home_Price="","Choose your home price to see this",IF(Deposit="","Choose your deposit to see this",IF(RentBuy_Term="","Choose your mortgage term to see this",IF(Years="","Choose your years to compare to see this",IF(Buying_Fees="","Choose your buying fees to see this",IF(Opp_Rate="","Choose your deposit earnings rate to see this",IF(Mortgage_Rate="","Choose your mortgage rate to see this","")))))))</f>
        <v/>
      </c>
    </row>
    <row r="49" customFormat="false" ht="15" hidden="false" customHeight="true" outlineLevel="0" collapsed="false">
      <c r="B49" s="86" t="s">
        <v>3116</v>
      </c>
      <c r="C49" s="86" t="str">
        <f aca="false">IF(Home_Price="","Choose your home price to see this",IF(Years="","Choose your years to compare to see this",IF(Mortgage_Rate="","Choose your mortgage rate to see this","")))</f>
        <v/>
      </c>
    </row>
    <row r="50" customFormat="false" ht="15" hidden="false" customHeight="true" outlineLevel="0" collapsed="false">
      <c r="B50" s="86" t="s">
        <v>3117</v>
      </c>
      <c r="C50" s="86" t="str">
        <f aca="false">IF(Home_Price="","Choose your home price to see this",IF(Deposit="","Choose your deposit to see this",IF(Mortgage_Rate="","Choose your mortgage rate to see this","")))</f>
        <v/>
      </c>
    </row>
    <row r="51" customFormat="false" ht="15" hidden="false" customHeight="true" outlineLevel="0" collapsed="false">
      <c r="B51" s="86" t="s">
        <v>3118</v>
      </c>
      <c r="C51" s="86" t="str">
        <f aca="false">IF(Home_Price="","Choose your home price to see this",IF(Deposit="","Choose your deposit to see this",IF(RentBuy_Term="","Choose your mortgage term to see this",IF(Mortgage_Rate="","Choose your mortgage rate to see this",""))))</f>
        <v/>
      </c>
    </row>
    <row r="52" customFormat="false" ht="15" hidden="false" customHeight="true" outlineLevel="0" collapsed="false">
      <c r="B52" s="86" t="s">
        <v>3119</v>
      </c>
      <c r="C52" s="86" t="str">
        <f aca="false">IF(Home_Price="","Choose your home price to see this",IF(Deposit="","Choose your deposit to see this",IF(RentBuy_Term="","Choose your mortgage term to see this",IF(Years="","Choose your years to compare to see this",IF(Mortgage_Rate="","Choose your mortgage rate to see this","")))))</f>
        <v/>
      </c>
    </row>
    <row r="53" customFormat="false" ht="15" hidden="false" customHeight="true" outlineLevel="0" collapsed="false">
      <c r="B53" s="86" t="s">
        <v>3120</v>
      </c>
      <c r="C53" s="86" t="str">
        <f aca="false">IF(Home_Price="","Choose your home price to see this",IF(Years="","Choose your years to compare to see this",IF(Mortgage_Rate="","Choose your mortgage rate to see this","")))</f>
        <v/>
      </c>
    </row>
    <row r="54" customFormat="false" ht="15" hidden="false" customHeight="true" outlineLevel="0" collapsed="false">
      <c r="B54" s="86" t="s">
        <v>2976</v>
      </c>
      <c r="C54" s="86" t="str">
        <f aca="false">IF(Home_Price="","Choose your home price to see this",IF(Mortgage_Rate="","Choose your mortgage rate to see this",""))</f>
        <v/>
      </c>
    </row>
    <row r="55" customFormat="false" ht="15" hidden="false" customHeight="true" outlineLevel="0" collapsed="false">
      <c r="B55" s="86" t="s">
        <v>3121</v>
      </c>
      <c r="C55" s="86" t="str">
        <f aca="false">IF(Deposit="","Choose your deposit to see this",IF(Years="","Choose your years to compare to see this",IF(Opp_Rate="","Choose your deposit earnings rate to see this",IF(Mortgage_Rate="","Choose your mortgage rate to see this",""))))</f>
        <v/>
      </c>
    </row>
    <row r="56" customFormat="false" ht="15" hidden="false" customHeight="true" outlineLevel="0" collapsed="false">
      <c r="B56" s="86" t="s">
        <v>3122</v>
      </c>
      <c r="C56" s="86" t="str">
        <f aca="false">IF(Home_Price="","Choose your home price to see this",IF(Deposit="","Choose your deposit to see this",IF(Buying_Fees="","Choose your buying fees to see this",IF(Mortgage_Rate="","Choose your mortgage rate to see this",""))))</f>
        <v/>
      </c>
    </row>
    <row r="57" customFormat="false" ht="15" hidden="false" customHeight="true" outlineLevel="0" collapsed="false">
      <c r="B57" s="86" t="s">
        <v>2876</v>
      </c>
      <c r="C57" s="86" t="str">
        <f aca="false">IF(Home_Goal_Years="","Choose your years until you buy to see this",IF(Mortgage_Rate="","Choose your mortgage rate to see this",""))</f>
        <v/>
      </c>
    </row>
    <row r="59" customFormat="false" ht="15" hidden="false" customHeight="true" outlineLevel="0" collapsed="false">
      <c r="B59" s="25" t="s">
        <v>3123</v>
      </c>
    </row>
  </sheetData>
  <mergeCells count="6">
    <mergeCell ref="B33:E33"/>
    <mergeCell ref="B34:E34"/>
    <mergeCell ref="B35:E35"/>
    <mergeCell ref="B36:E36"/>
    <mergeCell ref="B37:E37"/>
    <mergeCell ref="B38:E38"/>
  </mergeCells>
  <dataValidations count="12">
    <dataValidation allowBlank="true" error="Please enter €0 to €10,000 · steps of €100." errorStyle="stop" errorTitle="Outside the allowed range" operator="between" prompt="Optional: your own legal and survey fees. No published figure, so no suggestion unless a partner sets one. Leave blank to count €0. Allowed: €0 to €10,000 · steps of €100" promptTitle="Legal and other buying fees" showDropDown="false" showErrorMessage="true" showInputMessage="true" sqref="C15" type="decimal">
      <formula1>0</formula1>
      <formula2>10000</formula2>
    </dataValidation>
    <dataValidation allowBlank="true" error="Please enter 1 to 30 · steps of 1." errorStyle="stop" errorTitle="Outside the allowed range" operator="between" prompt="Your own figure.  Allowed: 1 to 30 · steps of 1." promptTitle="Years until you buy (for the pla" showDropDown="false" showErrorMessage="true" showInputMessage="true" sqref="C17" type="whole">
      <formula1>1</formula1>
      <formula2>30</formula2>
    </dataValidation>
    <dataValidation allowBlank="true" error="Please enter €100,000 to €10,000,000 · steps of €5,000." errorStyle="stop" errorTitle="Outside the allowed range" operator="between" prompt="Your own figure.  Allowed: €100,000 to €10,000,000 · steps of €5,000." promptTitle="Home price" showDropDown="false" showErrorMessage="true" showInputMessage="true" sqref="C7" type="decimal">
      <formula1>100000</formula1>
      <formula2>10000000</formula2>
    </dataValidation>
    <dataValidation allowBlank="true" error="Please enter €500 to €50,000 · steps of €50." errorStyle="stop" errorTitle="Outside the allowed range" operator="between" prompt="Your own figure.  Allowed: €500 to €50,000 · steps of €50." promptTitle="Monthly rent" showDropDown="false" showErrorMessage="true" showInputMessage="true" sqref="C6" type="decimal">
      <formula1>500</formula1>
      <formula2>50000</formula2>
    </dataValidation>
    <dataValidation allowBlank="true" error="Please enter at least 10% of the price and no more than the price." errorStyle="stop" errorTitle="Outside the allowed range" operator="between" prompt="Your own figure.  Allowed: at least 10% of the price and no more than the price." promptTitle="Deposit" showDropDown="false" showErrorMessage="true" showInputMessage="true" sqref="C8" type="custom">
      <formula1>AND('C07 Rent vs buy'!Deposit&gt;=Min_Deposit_Pct*'C07 Rent vs buy'!Home_Price,'C07 Rent vs buy'!Deposit&lt;='C07 Rent vs buy'!Home_Price)</formula1>
      <formula2>0</formula2>
    </dataValidation>
    <dataValidation allowBlank="true" error="Please enter 1% to 8% · steps of 0.05%." errorStyle="stop" errorTitle="Outside the allowed range" operator="between" prompt="Your own mortgage rate: your statement shows it. Typing it is fine; no upload needed. A suggested rate and its source are shown beside this cell (Partner rates, Assumptions sheet). Allowed: 1% to 8% · steps of 0.05%" promptTitle="Mortgage rate" showDropDown="false" showErrorMessage="true" showInputMessage="true" sqref="C9" type="decimal">
      <formula1>0.01</formula1>
      <formula2>0.08</formula2>
    </dataValidation>
    <dataValidation allowBlank="true" error="Please enter 5 to 35 · steps of 1." errorStyle="stop" errorTitle="Outside the allowed range" operator="between" prompt="Your own figure.  Allowed: 5 to 35 · steps of 1." promptTitle="Mortgage term" showDropDown="false" showErrorMessage="true" showInputMessage="true" sqref="C10" type="whole">
      <formula1>5</formula1>
      <formula2>35</formula2>
    </dataValidation>
    <dataValidation allowBlank="true" error="Please enter 1 to 30 · steps of 1." errorStyle="stop" errorTitle="Outside the allowed range" operator="between" prompt="Your own figure.  Allowed: 1 to 30 · steps of 1." promptTitle="Years to compare" showDropDown="false" showErrorMessage="true" showInputMessage="true" sqref="C11" type="whole">
      <formula1>1</formula1>
      <formula2>30</formula2>
    </dataValidation>
    <dataValidation allowBlank="true" error="Please enter 0% to 6% · steps of 0.5%." errorStyle="stop" errorTitle="Outside the allowed range" operator="between" prompt="Generally the standard is 2% a year, in line with long-run inflation (house prices can fall as well as rise). Choose what you want to use.  Allowed: 0% to 6% · steps of 0.5%." promptTitle="House prices rise a year" showDropDown="false" showErrorMessage="true" showInputMessage="true" sqref="C12" type="decimal">
      <formula1>0</formula1>
      <formula2>0.06</formula2>
    </dataValidation>
    <dataValidation allowBlank="true" error="Please enter 0% to 8% · steps of 0.5%." errorStyle="stop" errorTitle="Outside the allowed range" operator="between" prompt="Generally the standard is 3% a year (Irish rents have risen faster than prices in recent years). Choose what you want to use.  Allowed: 0% to 8% · steps of 0.5%." promptTitle="Rent rises a year" showDropDown="false" showErrorMessage="true" showInputMessage="true" sqref="C13" type="decimal">
      <formula1>0</formula1>
      <formula2>0.08</formula2>
    </dataValidation>
    <dataValidation allowBlank="true" error="Please enter 0% to 3% · steps of 0.1%." errorStyle="stop" errorTitle="Outside the allowed range" operator="between" prompt="Generally the standard is 1% of the home's value a year for repairs, insurance and maintenance. Choose what you want to use.  Allowed: 0% to 3% · steps of 0.1%." promptTitle="Upkeep a year, % of the home's v" showDropDown="false" showErrorMessage="true" showInputMessage="true" sqref="C14" type="decimal">
      <formula1>0</formula1>
      <formula2>0.03</formula2>
    </dataValidation>
    <dataValidation allowBlank="true" error="Please enter 0% to 6% · steps of 0.5%." errorStyle="stop" errorTitle="Outside the allowed range" operator="between" prompt="Optional: what your deposit could earn after DIRT if you rent. A suggested rate and its source are shown beside this cell (Partner rates, Assumptions sheet). Leave blank for 0%. Allowed: 0% to 6% · steps of 0.5%" promptTitle="What the deposit could earn a ye" showDropDown="false" showErrorMessage="true" showInputMessage="true" sqref="C16" type="decimal">
      <formula1>0</formula1>
      <formula2>0.06</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2B134"/>
    <pageSetUpPr fitToPage="false"/>
  </sheetPr>
  <dimension ref="B1:G4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20" width="2"/>
    <col collapsed="false" customWidth="true" hidden="false" outlineLevel="0" max="2" min="2" style="20" width="50"/>
    <col collapsed="false" customWidth="true" hidden="false" outlineLevel="0" max="3" min="3" style="20" width="26"/>
    <col collapsed="false" customWidth="true" hidden="false" outlineLevel="0" max="4" min="4" style="20" width="24"/>
    <col collapsed="false" customWidth="true" hidden="false" outlineLevel="0" max="5" min="5" style="20" width="78"/>
    <col collapsed="false" customWidth="true" hidden="false" outlineLevel="0" max="6" min="6" style="20" width="14"/>
    <col collapsed="false" customWidth="true" hidden="false" outlineLevel="0" max="7" min="7" style="20" width="16"/>
  </cols>
  <sheetData>
    <row r="1" customFormat="false" ht="19.5" hidden="false" customHeight="true" outlineLevel="0" collapsed="false">
      <c r="B1" s="50" t="s">
        <v>3124</v>
      </c>
      <c r="E1" s="51" t="s">
        <v>3125</v>
      </c>
    </row>
    <row r="2" customFormat="false" ht="15" hidden="false" customHeight="true" outlineLevel="0" collapsed="false">
      <c r="B2" s="52" t="s">
        <v>3126</v>
      </c>
      <c r="E2" s="53" t="str">
        <f aca="false">IF(Fill_Example="Yes","Example values are ON (README): grey Example only figures fill blank inputs.","Blank template: fill the yellow inputs (or switch on example values on the README).")</f>
        <v>Example values are ON (README): grey Example only figures fill blank inputs.</v>
      </c>
    </row>
    <row r="3" customFormat="false" ht="15" hidden="false" customHeight="true" outlineLevel="0" collapsed="false">
      <c r="B3" s="54" t="s">
        <v>3127</v>
      </c>
    </row>
    <row r="5" customFormat="false" ht="15" hidden="false" customHeight="true" outlineLevel="0" collapsed="false">
      <c r="B5" s="55" t="s">
        <v>3128</v>
      </c>
      <c r="C5" s="56" t="s">
        <v>912</v>
      </c>
      <c r="D5" s="56" t="s">
        <v>913</v>
      </c>
      <c r="E5" s="56" t="s">
        <v>2804</v>
      </c>
      <c r="F5" s="57" t="s">
        <v>2805</v>
      </c>
      <c r="G5" s="58"/>
    </row>
    <row r="6" customFormat="false" ht="21.75" hidden="false" customHeight="true" outlineLevel="0" collapsed="false">
      <c r="B6" s="59" t="s">
        <v>3129</v>
      </c>
      <c r="C6" s="68"/>
      <c r="D6" s="61" t="s">
        <v>2814</v>
      </c>
      <c r="E6" s="69" t="str">
        <f aca="false">"Type 3 · your choice · Generally the standard is 2% a year (ECB target); Ireland's prices are rising "&amp;TEXT(Set_inflNow,"0.0%")&amp;" now (CSO HICP flash, Sep 2026). Choose what you want to use. Allowed: 0% to 10% · steps of 0.25%"</f>
        <v>Type 3 · your choice · Generally the standard is 2% a year (ECB target); Ireland's prices are rising 3.9% now (CSO HICP flash, Sep 2026). Choose what you want to use. Allowed: 0% to 10% · steps of 0.25%</v>
      </c>
      <c r="F6" s="70" t="n">
        <v>0.02</v>
      </c>
      <c r="G6" s="71" t="n">
        <f aca="false">IF(ISBLANK(C6),IF(Fill_Example="Yes",F6,""),C6)</f>
        <v>0.02</v>
      </c>
    </row>
    <row r="7" customFormat="false" ht="27.75" hidden="false" customHeight="true" outlineLevel="0" collapsed="false">
      <c r="B7" s="87" t="str">
        <f aca="false">"Everyone sees this differently. Ireland's prices are rising "&amp;TEXT(Set_inflNow,"0.0%")&amp;" now (CSO HICP flash, Sep 2026), mostly because of energy. Over decades, 2%–2.5% is the usual planning range (ECB target 2%). Enter 0% if you don't want to adjust for prices."</f>
        <v>Everyone sees this differently. Ireland's prices are rising 3.9% now (CSO HICP flash, Sep 2026), mostly because of energy. Over decades, 2%–2.5% is the usual planning range (ECB target 2%). Enter 0% if you don't want to adjust for prices.</v>
      </c>
      <c r="C7" s="87"/>
      <c r="D7" s="87"/>
      <c r="E7" s="87"/>
    </row>
    <row r="9" customFormat="false" ht="15" hidden="false" customHeight="true" outlineLevel="0" collapsed="false">
      <c r="B9" s="55" t="s">
        <v>2803</v>
      </c>
      <c r="C9" s="56" t="s">
        <v>912</v>
      </c>
      <c r="D9" s="56" t="s">
        <v>913</v>
      </c>
      <c r="E9" s="56" t="s">
        <v>2804</v>
      </c>
      <c r="F9" s="57" t="s">
        <v>2805</v>
      </c>
      <c r="G9" s="58"/>
    </row>
    <row r="10" customFormat="false" ht="15" hidden="false" customHeight="true" outlineLevel="0" collapsed="false">
      <c r="B10" s="59" t="s">
        <v>3130</v>
      </c>
      <c r="C10" s="60"/>
      <c r="D10" s="61" t="s">
        <v>964</v>
      </c>
      <c r="E10" s="62" t="s">
        <v>3131</v>
      </c>
      <c r="F10" s="63" t="n">
        <v>15000</v>
      </c>
      <c r="G10" s="64" t="n">
        <f aca="false">IF(ISBLANK(C10),IF(Fill_Example="Yes",F10,""),C10)</f>
        <v>15000</v>
      </c>
    </row>
    <row r="11" customFormat="false" ht="15" hidden="false" customHeight="true" outlineLevel="0" collapsed="false">
      <c r="B11" s="59" t="s">
        <v>3132</v>
      </c>
      <c r="C11" s="72"/>
      <c r="D11" s="61" t="s">
        <v>1002</v>
      </c>
      <c r="E11" s="62" t="s">
        <v>3080</v>
      </c>
      <c r="F11" s="73" t="n">
        <v>3</v>
      </c>
      <c r="G11" s="74" t="n">
        <f aca="false">IF(AND(ISNUMBER(C11),N(C11)&lt;1),"",IF(ISBLANK(C11),IF(Fill_Example="Yes",F11,""),C11))</f>
        <v>3</v>
      </c>
    </row>
    <row r="12" customFormat="false" ht="15" hidden="false" customHeight="true" outlineLevel="0" collapsed="false">
      <c r="B12" s="59" t="s">
        <v>2865</v>
      </c>
      <c r="C12" s="60"/>
      <c r="D12" s="61" t="s">
        <v>964</v>
      </c>
      <c r="E12" s="62" t="s">
        <v>3133</v>
      </c>
      <c r="F12" s="63" t="n">
        <v>2000</v>
      </c>
      <c r="G12" s="64" t="n">
        <f aca="false">IF(ISBLANK(C12),IF(Fill_Example="Yes",F12,""),C12)</f>
        <v>2000</v>
      </c>
    </row>
    <row r="13" customFormat="false" ht="21.75" hidden="false" customHeight="true" outlineLevel="0" collapsed="false">
      <c r="B13" s="59" t="s">
        <v>3134</v>
      </c>
      <c r="C13" s="68"/>
      <c r="D13" s="61" t="s">
        <v>2814</v>
      </c>
      <c r="E13" s="69" t="s">
        <v>3135</v>
      </c>
      <c r="F13" s="70" t="n">
        <f aca="false">AS_Cash</f>
        <v>0.01</v>
      </c>
      <c r="G13" s="71" t="n">
        <f aca="false">IF(ISBLANK(C13),F13,C13)</f>
        <v>0.01</v>
      </c>
    </row>
    <row r="15" customFormat="false" ht="15" hidden="false" customHeight="true" outlineLevel="0" collapsed="false">
      <c r="B15" s="55" t="s">
        <v>2630</v>
      </c>
      <c r="C15" s="56" t="s">
        <v>327</v>
      </c>
      <c r="D15" s="56" t="s">
        <v>2822</v>
      </c>
      <c r="E15" s="56" t="s">
        <v>2823</v>
      </c>
      <c r="F15" s="58"/>
      <c r="G15" s="58"/>
    </row>
    <row r="16" customFormat="false" ht="17.25" hidden="false" customHeight="true" outlineLevel="0" collapsed="false">
      <c r="B16" s="52" t="s">
        <v>3136</v>
      </c>
      <c r="C16" s="75" t="n">
        <f aca="false">IF(Need_1&lt;&gt;"",Need_1,IF(Inflation_Choice="","Choose your inflation rate to see this",PMT(Monthly_Growth,Years*12,0,-Still_Needed)))</f>
        <v>379.371616489193</v>
      </c>
      <c r="D16" s="61" t="s">
        <v>964</v>
      </c>
      <c r="E16" s="76" t="s">
        <v>3137</v>
      </c>
    </row>
    <row r="17" customFormat="false" ht="17.25" hidden="false" customHeight="true" outlineLevel="0" collapsed="false">
      <c r="B17" s="52" t="s">
        <v>3138</v>
      </c>
      <c r="C17" s="75" t="n">
        <f aca="false">IF(Need_2&lt;&gt;"",Need_2,IF(Inflation_Choice="","Choose your inflation rate to see this",Goal_Amount*(1+Inflation_Choice)^Years))</f>
        <v>15918.12</v>
      </c>
      <c r="D17" s="61" t="s">
        <v>964</v>
      </c>
      <c r="E17" s="76" t="s">
        <v>3139</v>
      </c>
    </row>
    <row r="18" customFormat="false" ht="15" hidden="false" customHeight="true" outlineLevel="0" collapsed="false">
      <c r="B18" s="59" t="s">
        <v>3140</v>
      </c>
      <c r="C18" s="77" t="n">
        <f aca="false">IF(Need_3&lt;&gt;"",Need_3,Saved*(1+Growth_Rate)^Years)</f>
        <v>2060.602</v>
      </c>
      <c r="D18" s="61" t="s">
        <v>964</v>
      </c>
      <c r="E18" s="76" t="s">
        <v>3141</v>
      </c>
    </row>
    <row r="19" customFormat="false" ht="15" hidden="false" customHeight="true" outlineLevel="0" collapsed="false">
      <c r="B19" s="59" t="s">
        <v>3142</v>
      </c>
      <c r="C19" s="77" t="n">
        <f aca="false">IF(Need_1&lt;&gt;"",Need_1,IF(Inflation_Choice="","Choose your inflation rate to see this",MAX(0,Future_Cost-Saved_Grows_To)))</f>
        <v>13857.518</v>
      </c>
      <c r="D19" s="61" t="s">
        <v>964</v>
      </c>
      <c r="E19" s="76" t="s">
        <v>3143</v>
      </c>
    </row>
    <row r="20" customFormat="false" ht="15" hidden="false" customHeight="true" outlineLevel="0" collapsed="false">
      <c r="B20" s="59" t="s">
        <v>3144</v>
      </c>
      <c r="C20" s="98" t="n">
        <f aca="false">IF(Need_4&lt;&gt;"",Need_4,(1+Growth_Rate)^(1/12)-1)</f>
        <v>0.000829538114346162</v>
      </c>
      <c r="D20" s="61"/>
      <c r="E20" s="76" t="s">
        <v>3145</v>
      </c>
    </row>
    <row r="21" customFormat="false" ht="15" hidden="false" customHeight="true" outlineLevel="0" collapsed="false">
      <c r="B21" s="102" t="str">
        <f aca="false">"Before tax: deposit interest is taxed at "&amp;TEXT(DIRT,"0%")&amp;" DIRT; investment funds and life policies pay "&amp;TEXT(Exit_Tax,"0%")&amp;" exit tax on gains, also charged every "&amp;Deemed_Disposal_Years&amp;" years (deemed disposal). Pension funds grow tax-free. No tax is taken off here."</f>
        <v>Before tax: deposit interest is taxed at 33% DIRT; investment funds and life policies pay 38% exit tax on gains, also charged every 8 years (deemed disposal). Pension funds grow tax-free. No tax is taken off here.</v>
      </c>
      <c r="C21" s="102"/>
      <c r="D21" s="102"/>
      <c r="E21" s="102"/>
    </row>
    <row r="23" customFormat="false" ht="15" hidden="false" customHeight="true" outlineLevel="0" collapsed="false">
      <c r="B23" s="55" t="s">
        <v>2853</v>
      </c>
      <c r="C23" s="58"/>
      <c r="D23" s="58"/>
      <c r="E23" s="58"/>
      <c r="F23" s="58"/>
      <c r="G23" s="58"/>
    </row>
    <row r="24" customFormat="false" ht="13.5" hidden="false" customHeight="true" outlineLevel="0" collapsed="false">
      <c r="B24" s="80" t="s">
        <v>3146</v>
      </c>
      <c r="C24" s="80"/>
      <c r="D24" s="80"/>
      <c r="E24" s="80"/>
    </row>
    <row r="25" customFormat="false" ht="13.5" hidden="false" customHeight="true" outlineLevel="0" collapsed="false">
      <c r="B25" s="80" t="s">
        <v>3147</v>
      </c>
      <c r="C25" s="80"/>
      <c r="D25" s="80"/>
      <c r="E25" s="80"/>
    </row>
    <row r="26" customFormat="false" ht="13.5" hidden="false" customHeight="true" outlineLevel="0" collapsed="false">
      <c r="B26" s="80" t="s">
        <v>3148</v>
      </c>
      <c r="C26" s="80"/>
      <c r="D26" s="80"/>
      <c r="E26" s="80"/>
    </row>
    <row r="27" customFormat="false" ht="13.5" hidden="false" customHeight="true" outlineLevel="0" collapsed="false">
      <c r="B27" s="81" t="s">
        <v>2856</v>
      </c>
      <c r="C27" s="81"/>
      <c r="D27" s="81"/>
      <c r="E27" s="81"/>
    </row>
    <row r="28" customFormat="false" ht="13.5" hidden="false" customHeight="true" outlineLevel="0" collapsed="false">
      <c r="B28" s="80" t="s">
        <v>3149</v>
      </c>
      <c r="C28" s="80"/>
      <c r="D28" s="80"/>
      <c r="E28" s="80"/>
    </row>
    <row r="29" customFormat="false" ht="13.5" hidden="false" customHeight="true" outlineLevel="0" collapsed="false">
      <c r="B29" s="80" t="s">
        <v>3150</v>
      </c>
      <c r="C29" s="80"/>
      <c r="D29" s="80"/>
      <c r="E29" s="80"/>
    </row>
    <row r="31" customFormat="false" ht="15" hidden="false" customHeight="true" outlineLevel="0" collapsed="false">
      <c r="B31" s="55" t="s">
        <v>2861</v>
      </c>
      <c r="C31" s="58"/>
      <c r="D31" s="58"/>
      <c r="E31" s="58"/>
      <c r="F31" s="58"/>
      <c r="G31" s="58"/>
    </row>
    <row r="32" customFormat="false" ht="15" hidden="false" customHeight="true" outlineLevel="0" collapsed="false">
      <c r="B32" s="59" t="s">
        <v>1620</v>
      </c>
      <c r="C32" s="82" t="str">
        <f aca="false">"My goal (spend goal)"</f>
        <v>My goal (spend goal)</v>
      </c>
      <c r="E32" s="83" t="s">
        <v>3151</v>
      </c>
    </row>
    <row r="33" customFormat="false" ht="15" hidden="false" customHeight="true" outlineLevel="0" collapsed="false">
      <c r="B33" s="59" t="s">
        <v>3152</v>
      </c>
      <c r="C33" s="84" t="n">
        <f aca="false">IF(Need_5&lt;&gt;"",Need_5,Goal_Amount)</f>
        <v>15000</v>
      </c>
      <c r="E33" s="83" t="s">
        <v>3153</v>
      </c>
    </row>
    <row r="34" customFormat="false" ht="15" hidden="false" customHeight="true" outlineLevel="0" collapsed="false">
      <c r="B34" s="59" t="s">
        <v>2865</v>
      </c>
      <c r="C34" s="84" t="n">
        <f aca="false">IF(Need_6&lt;&gt;"",Need_6,Saved)</f>
        <v>2000</v>
      </c>
      <c r="E34" s="83" t="s">
        <v>2970</v>
      </c>
    </row>
    <row r="35" customFormat="false" ht="15" hidden="false" customHeight="true" outlineLevel="0" collapsed="false">
      <c r="B35" s="59" t="s">
        <v>2867</v>
      </c>
      <c r="C35" s="85" t="n">
        <f aca="false">IF(Need_7&lt;&gt;"",Need_7,Years)</f>
        <v>3</v>
      </c>
      <c r="E35" s="83" t="s">
        <v>3154</v>
      </c>
    </row>
    <row r="36" customFormat="false" ht="15" hidden="false" customHeight="true" outlineLevel="0" collapsed="false">
      <c r="B36" s="59" t="s">
        <v>3155</v>
      </c>
      <c r="C36" s="103" t="n">
        <f aca="false">IF(Inflation_Choice="","Choose an inflation rate first",Inflation_Choice)</f>
        <v>0.02</v>
      </c>
      <c r="E36" s="83" t="s">
        <v>3156</v>
      </c>
    </row>
    <row r="38" customFormat="false" ht="15" hidden="false" customHeight="true" outlineLevel="0" collapsed="false">
      <c r="B38" s="55" t="s">
        <v>2869</v>
      </c>
      <c r="C38" s="58"/>
      <c r="D38" s="58"/>
      <c r="E38" s="58"/>
      <c r="F38" s="58"/>
      <c r="G38" s="58"/>
    </row>
    <row r="39" customFormat="false" ht="15" hidden="false" customHeight="true" outlineLevel="0" collapsed="false">
      <c r="B39" s="86" t="s">
        <v>3157</v>
      </c>
      <c r="C39" s="86" t="str">
        <f aca="false">IF(Goal_Amount="","Choose your goal amount to see this",IF(Years="","Choose your years until the goal to see this",IF(Saved="","Choose your already saved to see this",IF(Inflation_Choice="","Choose your inflation rate to see this",""))))</f>
        <v/>
      </c>
    </row>
    <row r="40" customFormat="false" ht="15" hidden="false" customHeight="true" outlineLevel="0" collapsed="false">
      <c r="B40" s="86" t="s">
        <v>3158</v>
      </c>
      <c r="C40" s="86" t="str">
        <f aca="false">IF(Goal_Amount="","Choose your goal amount to see this",IF(Years="","Choose your years until the goal to see this",IF(Inflation_Choice="","Choose your inflation rate to see this","")))</f>
        <v/>
      </c>
    </row>
    <row r="41" customFormat="false" ht="15" hidden="false" customHeight="true" outlineLevel="0" collapsed="false">
      <c r="B41" s="86" t="s">
        <v>3159</v>
      </c>
      <c r="C41" s="86" t="str">
        <f aca="false">IF(Years="","Choose your years until the goal to see this",IF(Saved="","Choose your already saved to see this",""))</f>
        <v/>
      </c>
    </row>
    <row r="42" customFormat="false" ht="15" hidden="false" customHeight="true" outlineLevel="0" collapsed="false">
      <c r="B42" s="86" t="s">
        <v>3160</v>
      </c>
      <c r="C42" s="86" t="str">
        <f aca="false">""</f>
        <v/>
      </c>
    </row>
    <row r="43" customFormat="false" ht="15" hidden="false" customHeight="true" outlineLevel="0" collapsed="false">
      <c r="B43" s="86" t="s">
        <v>3161</v>
      </c>
      <c r="C43" s="86" t="str">
        <f aca="false">IF(Goal_Amount="","Choose your goal amount to see this","")</f>
        <v/>
      </c>
    </row>
    <row r="44" customFormat="false" ht="15" hidden="false" customHeight="true" outlineLevel="0" collapsed="false">
      <c r="B44" s="86" t="s">
        <v>3162</v>
      </c>
      <c r="C44" s="86" t="str">
        <f aca="false">IF(Saved="","Choose your already saved to see this","")</f>
        <v/>
      </c>
    </row>
    <row r="45" customFormat="false" ht="15" hidden="false" customHeight="true" outlineLevel="0" collapsed="false">
      <c r="B45" s="86" t="s">
        <v>3163</v>
      </c>
      <c r="C45" s="86" t="str">
        <f aca="false">IF(Years="","Choose your years until the goal to see this","")</f>
        <v/>
      </c>
    </row>
  </sheetData>
  <mergeCells count="8">
    <mergeCell ref="B7:E7"/>
    <mergeCell ref="B21:E21"/>
    <mergeCell ref="B24:E24"/>
    <mergeCell ref="B25:E25"/>
    <mergeCell ref="B26:E26"/>
    <mergeCell ref="B27:E27"/>
    <mergeCell ref="B28:E28"/>
    <mergeCell ref="B29:E29"/>
  </mergeCells>
  <dataValidations count="5">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500 to €5,000,000 · steps of €500." errorStyle="stop" errorTitle="Outside the allowed range" operator="between" prompt="Your own figure.  Allowed: €500 to €5,000,000 · steps of €500." promptTitle="Goal amount (today's prices)" showDropDown="false" showErrorMessage="true" showInputMessage="true" sqref="C10" type="decimal">
      <formula1>500</formula1>
      <formula2>5000000</formula2>
    </dataValidation>
    <dataValidation allowBlank="true" error="Please enter 1 to 30 · steps of 1." errorStyle="stop" errorTitle="Outside the allowed range" operator="between" prompt="Your own figure.  Allowed: 1 to 30 · steps of 1." promptTitle="Years until the goal" showDropDown="false" showErrorMessage="true" showInputMessage="true" sqref="C11" type="whole">
      <formula1>1</formula1>
      <formula2>30</formula2>
    </dataValidation>
    <dataValidation allowBlank="true" error="Please enter €0 to €2,000,000 · steps of €500." errorStyle="stop" errorTitle="Outside the allowed range" operator="between" prompt="Your own figure.  Allowed: €0 to €2,000,000 · steps of €500." promptTitle="Already saved" showDropDown="false" showErrorMessage="true" showInputMessage="true" sqref="C12" type="decimal">
      <formula1>0</formula1>
      <formula2>2000000</formula2>
    </dataValidation>
    <dataValidation allowBlank="true" error="Please enter 0% to 7% · steps of 0.5%." errorStyle="stop" errorTitle="Outside the allowed range" operator="between" prompt="Generally the standard is 1% a year after DIRT for cash savings (Irish fixed-term deposits about 2% before tax in mid-2026). Choose what you want to use.  Allowed: 0% to 7% · steps of 0.5%." promptTitle="Growth / interest a year (after " showDropDown="false" showErrorMessage="true" showInputMessage="true" sqref="C13" type="decimal">
      <formula1>0</formula1>
      <formula2>0.07</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2B134"/>
    <pageSetUpPr fitToPage="false"/>
  </sheetPr>
  <dimension ref="B1:G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20" width="2"/>
    <col collapsed="false" customWidth="true" hidden="false" outlineLevel="0" max="2" min="2" style="20" width="50"/>
    <col collapsed="false" customWidth="true" hidden="false" outlineLevel="0" max="3" min="3" style="20" width="26"/>
    <col collapsed="false" customWidth="true" hidden="false" outlineLevel="0" max="4" min="4" style="20" width="24"/>
    <col collapsed="false" customWidth="true" hidden="false" outlineLevel="0" max="5" min="5" style="20" width="78"/>
    <col collapsed="false" customWidth="true" hidden="false" outlineLevel="0" max="6" min="6" style="20" width="14"/>
    <col collapsed="false" customWidth="true" hidden="false" outlineLevel="0" max="7" min="7" style="20" width="16"/>
  </cols>
  <sheetData>
    <row r="1" customFormat="false" ht="19.5" hidden="false" customHeight="true" outlineLevel="0" collapsed="false">
      <c r="B1" s="50" t="s">
        <v>3164</v>
      </c>
      <c r="E1" s="51" t="s">
        <v>3165</v>
      </c>
    </row>
    <row r="2" customFormat="false" ht="15" hidden="false" customHeight="true" outlineLevel="0" collapsed="false">
      <c r="B2" s="52" t="s">
        <v>3166</v>
      </c>
      <c r="E2" s="53" t="str">
        <f aca="false">IF(Fill_Example="Yes","Example values are ON (README): grey Example only figures fill blank inputs.","Blank template: fill the yellow inputs (or switch on example values on the README).")</f>
        <v>Example values are ON (README): grey Example only figures fill blank inputs.</v>
      </c>
    </row>
    <row r="3" customFormat="false" ht="15" hidden="false" customHeight="true" outlineLevel="0" collapsed="false">
      <c r="B3" s="54" t="s">
        <v>3167</v>
      </c>
    </row>
    <row r="5" customFormat="false" ht="15" hidden="false" customHeight="true" outlineLevel="0" collapsed="false">
      <c r="B5" s="55" t="s">
        <v>3128</v>
      </c>
      <c r="C5" s="56" t="s">
        <v>912</v>
      </c>
      <c r="D5" s="56" t="s">
        <v>913</v>
      </c>
      <c r="E5" s="56" t="s">
        <v>2804</v>
      </c>
      <c r="F5" s="57" t="s">
        <v>2805</v>
      </c>
      <c r="G5" s="58"/>
    </row>
    <row r="6" customFormat="false" ht="21.75" hidden="false" customHeight="true" outlineLevel="0" collapsed="false">
      <c r="B6" s="59" t="s">
        <v>3129</v>
      </c>
      <c r="C6" s="68"/>
      <c r="D6" s="61" t="s">
        <v>2814</v>
      </c>
      <c r="E6" s="69" t="str">
        <f aca="false">"Type 3 · your choice · Generally the standard is 2% a year (ECB target); Ireland's prices are rising "&amp;TEXT(Set_inflNow,"0.0%")&amp;" now (CSO HICP flash, Sep 2026). Choose what you want to use. Allowed: 0% to 10% · steps of 0.25%"</f>
        <v>Type 3 · your choice · Generally the standard is 2% a year (ECB target); Ireland's prices are rising 3.9% now (CSO HICP flash, Sep 2026). Choose what you want to use. Allowed: 0% to 10% · steps of 0.25%</v>
      </c>
      <c r="F6" s="70" t="n">
        <v>0.02</v>
      </c>
      <c r="G6" s="71" t="n">
        <f aca="false">IF(ISBLANK(C6),IF(Fill_Example="Yes",F6,""),C6)</f>
        <v>0.02</v>
      </c>
    </row>
    <row r="7" customFormat="false" ht="27.75" hidden="false" customHeight="true" outlineLevel="0" collapsed="false">
      <c r="B7" s="87" t="str">
        <f aca="false">"Everyone sees this differently. Ireland's prices are rising "&amp;TEXT(Set_inflNow,"0.0%")&amp;" now (CSO HICP flash, Sep 2026), mostly because of energy. Over decades, 2%–2.5% is the usual planning range (ECB target 2%). Enter 0% if you don't want to adjust for prices."</f>
        <v>Everyone sees this differently. Ireland's prices are rising 3.9% now (CSO HICP flash, Sep 2026), mostly because of energy. Over decades, 2%–2.5% is the usual planning range (ECB target 2%). Enter 0% if you don't want to adjust for prices.</v>
      </c>
      <c r="C7" s="87"/>
      <c r="D7" s="87"/>
      <c r="E7" s="87"/>
    </row>
    <row r="9" customFormat="false" ht="15" hidden="false" customHeight="true" outlineLevel="0" collapsed="false">
      <c r="B9" s="55" t="s">
        <v>2803</v>
      </c>
      <c r="C9" s="56" t="s">
        <v>912</v>
      </c>
      <c r="D9" s="56" t="s">
        <v>913</v>
      </c>
      <c r="E9" s="56" t="s">
        <v>2804</v>
      </c>
      <c r="F9" s="57" t="s">
        <v>2805</v>
      </c>
      <c r="G9" s="58"/>
    </row>
    <row r="10" customFormat="false" ht="15" hidden="false" customHeight="true" outlineLevel="0" collapsed="false">
      <c r="B10" s="59" t="s">
        <v>3168</v>
      </c>
      <c r="C10" s="60"/>
      <c r="D10" s="61" t="s">
        <v>964</v>
      </c>
      <c r="E10" s="62" t="s">
        <v>3133</v>
      </c>
      <c r="F10" s="63" t="n">
        <v>5000</v>
      </c>
      <c r="G10" s="64" t="n">
        <f aca="false">IF(ISBLANK(C10),IF(Fill_Example="Yes",F10,""),C10)</f>
        <v>5000</v>
      </c>
    </row>
    <row r="11" customFormat="false" ht="15" hidden="false" customHeight="true" outlineLevel="0" collapsed="false">
      <c r="B11" s="59" t="s">
        <v>3169</v>
      </c>
      <c r="C11" s="60"/>
      <c r="D11" s="61" t="s">
        <v>964</v>
      </c>
      <c r="E11" s="62" t="s">
        <v>3170</v>
      </c>
      <c r="F11" s="63" t="n">
        <v>200</v>
      </c>
      <c r="G11" s="64" t="n">
        <f aca="false">IF(ISBLANK(C11),IF(Fill_Example="Yes",F11,""),C11)</f>
        <v>200</v>
      </c>
    </row>
    <row r="12" customFormat="false" ht="21.75" hidden="false" customHeight="true" outlineLevel="0" collapsed="false">
      <c r="B12" s="59" t="s">
        <v>3171</v>
      </c>
      <c r="C12" s="68"/>
      <c r="D12" s="61" t="s">
        <v>2814</v>
      </c>
      <c r="E12" s="69" t="s">
        <v>3172</v>
      </c>
      <c r="F12" s="70" t="n">
        <f aca="false">Set_invGross</f>
        <v>0.05</v>
      </c>
      <c r="G12" s="71" t="n">
        <f aca="false">IF(ISBLANK(C12),F12,C12)</f>
        <v>0.05</v>
      </c>
    </row>
    <row r="13" customFormat="false" ht="15" hidden="false" customHeight="true" outlineLevel="0" collapsed="false">
      <c r="B13" s="59" t="s">
        <v>2487</v>
      </c>
      <c r="C13" s="72"/>
      <c r="D13" s="61" t="s">
        <v>1002</v>
      </c>
      <c r="E13" s="62" t="s">
        <v>3173</v>
      </c>
      <c r="F13" s="73" t="n">
        <v>20</v>
      </c>
      <c r="G13" s="74" t="n">
        <f aca="false">IF(ISBLANK(C13),IF(Fill_Example="Yes",F13,""),C13)</f>
        <v>20</v>
      </c>
    </row>
    <row r="15" customFormat="false" ht="15" hidden="false" customHeight="true" outlineLevel="0" collapsed="false">
      <c r="B15" s="55" t="s">
        <v>2630</v>
      </c>
      <c r="C15" s="56" t="s">
        <v>327</v>
      </c>
      <c r="D15" s="56" t="s">
        <v>2822</v>
      </c>
      <c r="E15" s="56" t="s">
        <v>2823</v>
      </c>
      <c r="F15" s="58"/>
      <c r="G15" s="58"/>
    </row>
    <row r="16" customFormat="false" ht="17.25" hidden="false" customHeight="true" outlineLevel="0" collapsed="false">
      <c r="B16" s="52" t="s">
        <v>3174</v>
      </c>
      <c r="C16" s="75" t="n">
        <f aca="false">IF(Need_1&lt;&gt;"",Need_1,FV(Monthly_Growth,Years*12,-Monthly_Addition,-Starting_Amount))</f>
        <v>94427.3855892835</v>
      </c>
      <c r="D16" s="61" t="s">
        <v>964</v>
      </c>
      <c r="E16" s="76" t="s">
        <v>3175</v>
      </c>
    </row>
    <row r="17" customFormat="false" ht="17.25" hidden="false" customHeight="true" outlineLevel="0" collapsed="false">
      <c r="B17" s="52" t="s">
        <v>3176</v>
      </c>
      <c r="C17" s="75" t="n">
        <f aca="false">IF(Need_2&lt;&gt;"",Need_2,IF(Inflation_Choice="","Choose your inflation rate to see this",Grows_To/(1+Inflation_Choice)^Years))</f>
        <v>63546.9235619287</v>
      </c>
      <c r="D17" s="61" t="s">
        <v>964</v>
      </c>
      <c r="E17" s="76" t="s">
        <v>3177</v>
      </c>
    </row>
    <row r="18" customFormat="false" ht="15" hidden="false" customHeight="true" outlineLevel="0" collapsed="false">
      <c r="B18" s="59" t="s">
        <v>3178</v>
      </c>
      <c r="C18" s="77" t="n">
        <f aca="false">IF(Need_3&lt;&gt;"",Need_3,Starting_Amount+Monthly_Addition*12*Years)</f>
        <v>53000</v>
      </c>
      <c r="D18" s="61" t="s">
        <v>964</v>
      </c>
      <c r="E18" s="76" t="s">
        <v>3179</v>
      </c>
    </row>
    <row r="19" customFormat="false" ht="15" hidden="false" customHeight="true" outlineLevel="0" collapsed="false">
      <c r="B19" s="59" t="s">
        <v>3180</v>
      </c>
      <c r="C19" s="77" t="n">
        <f aca="false">IF(Need_1&lt;&gt;"",Need_1,Grows_To-Paid_In)</f>
        <v>41427.3855892835</v>
      </c>
      <c r="D19" s="61" t="s">
        <v>964</v>
      </c>
      <c r="E19" s="76" t="s">
        <v>3181</v>
      </c>
    </row>
    <row r="20" customFormat="false" ht="15" hidden="false" customHeight="true" outlineLevel="0" collapsed="false">
      <c r="B20" s="59" t="s">
        <v>3144</v>
      </c>
      <c r="C20" s="98" t="n">
        <f aca="false">IF(Need_4&lt;&gt;"",Need_4,(1+Growth_Rate)^(1/12)-1)</f>
        <v>0.00407412378364835</v>
      </c>
      <c r="D20" s="61"/>
      <c r="E20" s="76" t="s">
        <v>3145</v>
      </c>
    </row>
    <row r="21" customFormat="false" ht="15" hidden="false" customHeight="true" outlineLevel="0" collapsed="false">
      <c r="B21" s="102" t="str">
        <f aca="false">"Before tax: deposit interest is taxed at "&amp;TEXT(DIRT,"0%")&amp;" DIRT; investment funds and life policies pay "&amp;TEXT(Exit_Tax,"0%")&amp;" exit tax on gains, also charged every "&amp;Deemed_Disposal_Years&amp;" years (deemed disposal). Pension funds grow tax-free. No tax is taken off here."</f>
        <v>Before tax: deposit interest is taxed at 33% DIRT; investment funds and life policies pay 38% exit tax on gains, also charged every 8 years (deemed disposal). Pension funds grow tax-free. No tax is taken off here.</v>
      </c>
      <c r="C21" s="102"/>
      <c r="D21" s="102"/>
      <c r="E21" s="102"/>
    </row>
    <row r="23" customFormat="false" ht="15" hidden="false" customHeight="true" outlineLevel="0" collapsed="false">
      <c r="B23" s="55" t="s">
        <v>2853</v>
      </c>
      <c r="C23" s="58"/>
      <c r="D23" s="58"/>
      <c r="E23" s="58"/>
      <c r="F23" s="58"/>
      <c r="G23" s="58"/>
    </row>
    <row r="24" customFormat="false" ht="27.75" hidden="false" customHeight="true" outlineLevel="0" collapsed="false">
      <c r="B24" s="80" t="s">
        <v>3182</v>
      </c>
      <c r="C24" s="80"/>
      <c r="D24" s="80"/>
      <c r="E24" s="80"/>
    </row>
    <row r="25" customFormat="false" ht="13.5" hidden="false" customHeight="true" outlineLevel="0" collapsed="false">
      <c r="B25" s="80" t="s">
        <v>3183</v>
      </c>
      <c r="C25" s="80"/>
      <c r="D25" s="80"/>
      <c r="E25" s="80"/>
    </row>
    <row r="26" customFormat="false" ht="13.5" hidden="false" customHeight="true" outlineLevel="0" collapsed="false">
      <c r="B26" s="81" t="s">
        <v>2856</v>
      </c>
      <c r="C26" s="81"/>
      <c r="D26" s="81"/>
      <c r="E26" s="81"/>
    </row>
    <row r="27" customFormat="false" ht="13.5" hidden="false" customHeight="true" outlineLevel="0" collapsed="false">
      <c r="B27" s="80" t="s">
        <v>3184</v>
      </c>
      <c r="C27" s="80"/>
      <c r="D27" s="80"/>
      <c r="E27" s="80"/>
    </row>
    <row r="28" customFormat="false" ht="13.5" hidden="false" customHeight="true" outlineLevel="0" collapsed="false">
      <c r="B28" s="80" t="s">
        <v>3185</v>
      </c>
      <c r="C28" s="80"/>
      <c r="D28" s="80"/>
      <c r="E28" s="80"/>
    </row>
    <row r="30" customFormat="false" ht="15" hidden="false" customHeight="true" outlineLevel="0" collapsed="false">
      <c r="B30" s="55" t="s">
        <v>2861</v>
      </c>
      <c r="C30" s="58"/>
      <c r="D30" s="58"/>
      <c r="E30" s="58"/>
      <c r="F30" s="58"/>
      <c r="G30" s="58"/>
    </row>
    <row r="31" customFormat="false" ht="15" hidden="false" customHeight="true" outlineLevel="0" collapsed="false">
      <c r="B31" s="59" t="s">
        <v>1620</v>
      </c>
      <c r="C31" s="82" t="str">
        <f aca="false">"Grow my wealth (plan kind pot)"</f>
        <v>Grow my wealth (plan kind pot)</v>
      </c>
      <c r="E31" s="83" t="s">
        <v>3186</v>
      </c>
    </row>
    <row r="32" customFormat="false" ht="15" hidden="false" customHeight="true" outlineLevel="0" collapsed="false">
      <c r="B32" s="59" t="s">
        <v>3187</v>
      </c>
      <c r="C32" s="84" t="n">
        <f aca="false">IF(Need_1&lt;&gt;"",Need_1,IF(Inflation_Choice="","Choose an inflation rate first",ROUND(Value_Today,0)))</f>
        <v>63547</v>
      </c>
      <c r="E32" s="83" t="s">
        <v>3188</v>
      </c>
    </row>
    <row r="33" customFormat="false" ht="15" hidden="false" customHeight="true" outlineLevel="0" collapsed="false">
      <c r="B33" s="59" t="s">
        <v>2867</v>
      </c>
      <c r="C33" s="85" t="n">
        <f aca="false">IF(Need_5&lt;&gt;"",Need_5,Years)</f>
        <v>20</v>
      </c>
      <c r="E33" s="83" t="s">
        <v>3154</v>
      </c>
    </row>
    <row r="34" customFormat="false" ht="15" hidden="false" customHeight="true" outlineLevel="0" collapsed="false">
      <c r="B34" s="59" t="s">
        <v>3155</v>
      </c>
      <c r="C34" s="103" t="n">
        <f aca="false">IF(Inflation_Choice="","Choose an inflation rate first",Inflation_Choice)</f>
        <v>0.02</v>
      </c>
      <c r="E34" s="83" t="s">
        <v>3156</v>
      </c>
    </row>
    <row r="35" customFormat="false" ht="13.5" hidden="false" customHeight="true" outlineLevel="0" collapsed="false">
      <c r="B35" s="87" t="s">
        <v>3189</v>
      </c>
      <c r="C35" s="87"/>
      <c r="D35" s="87"/>
      <c r="E35" s="87"/>
    </row>
    <row r="37" customFormat="false" ht="15" hidden="false" customHeight="true" outlineLevel="0" collapsed="false">
      <c r="B37" s="55" t="s">
        <v>2869</v>
      </c>
      <c r="C37" s="58"/>
      <c r="D37" s="58"/>
      <c r="E37" s="58"/>
      <c r="F37" s="58"/>
      <c r="G37" s="58"/>
    </row>
    <row r="38" customFormat="false" ht="15" hidden="false" customHeight="true" outlineLevel="0" collapsed="false">
      <c r="B38" s="86" t="s">
        <v>3190</v>
      </c>
      <c r="C38" s="86" t="str">
        <f aca="false">IF(Starting_Amount="","Choose your starting amount to see this",IF(Monthly_Addition="","Choose your monthly addition to see this",IF(Years="","Choose your years to see this","")))</f>
        <v/>
      </c>
    </row>
    <row r="39" customFormat="false" ht="15" hidden="false" customHeight="true" outlineLevel="0" collapsed="false">
      <c r="B39" s="86" t="s">
        <v>3191</v>
      </c>
      <c r="C39" s="86" t="str">
        <f aca="false">IF(Starting_Amount="","Choose your starting amount to see this",IF(Monthly_Addition="","Choose your monthly addition to see this",IF(Years="","Choose your years to see this",IF(Inflation_Choice="","Choose your inflation rate to see this",""))))</f>
        <v/>
      </c>
    </row>
    <row r="40" customFormat="false" ht="15" hidden="false" customHeight="true" outlineLevel="0" collapsed="false">
      <c r="B40" s="86" t="s">
        <v>3192</v>
      </c>
      <c r="C40" s="86" t="str">
        <f aca="false">IF(Starting_Amount="","Choose your starting amount to see this",IF(Monthly_Addition="","Choose your monthly addition to see this",IF(Years="","Choose your years to see this","")))</f>
        <v/>
      </c>
    </row>
    <row r="41" customFormat="false" ht="15" hidden="false" customHeight="true" outlineLevel="0" collapsed="false">
      <c r="B41" s="86" t="s">
        <v>3160</v>
      </c>
      <c r="C41" s="86" t="str">
        <f aca="false">""</f>
        <v/>
      </c>
    </row>
    <row r="42" customFormat="false" ht="15" hidden="false" customHeight="true" outlineLevel="0" collapsed="false">
      <c r="B42" s="86" t="s">
        <v>3193</v>
      </c>
      <c r="C42" s="86" t="str">
        <f aca="false">IF(Years="","Choose your years to see this","")</f>
        <v/>
      </c>
    </row>
  </sheetData>
  <mergeCells count="8">
    <mergeCell ref="B7:E7"/>
    <mergeCell ref="B21:E21"/>
    <mergeCell ref="B24:E24"/>
    <mergeCell ref="B25:E25"/>
    <mergeCell ref="B26:E26"/>
    <mergeCell ref="B27:E27"/>
    <mergeCell ref="B28:E28"/>
    <mergeCell ref="B35:E35"/>
  </mergeCells>
  <dataValidations count="5">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1 to 40 · steps of 1." errorStyle="stop" errorTitle="Outside the allowed range" operator="between" prompt="Your own figure.  Allowed: 1 to 40 · steps of 1." promptTitle="Years" showDropDown="false" showErrorMessage="true" showInputMessage="true" sqref="C13" type="whole">
      <formula1>1</formula1>
      <formula2>40</formula2>
    </dataValidation>
    <dataValidation allowBlank="true" error="Please enter €0 to €2,000,000 · steps of €500." errorStyle="stop" errorTitle="Outside the allowed range" operator="between" prompt="Your own figure.  Allowed: €0 to €2,000,000 · steps of €500." promptTitle="Starting amount" showDropDown="false" showErrorMessage="true" showInputMessage="true" sqref="C10" type="decimal">
      <formula1>0</formula1>
      <formula2>2000000</formula2>
    </dataValidation>
    <dataValidation allowBlank="true" error="Please enter €0 to €30,000 · steps of €25." errorStyle="stop" errorTitle="Outside the allowed range" operator="between" prompt="Your own figure.  Allowed: €0 to €30,000 · steps of €25." promptTitle="Monthly addition" showDropDown="false" showErrorMessage="true" showInputMessage="true" sqref="C11" type="decimal">
      <formula1>0</formula1>
      <formula2>30000</formula2>
    </dataValidation>
    <dataValidation allowBlank="true" error="Please enter 0% to 8% · steps of 0.5%." errorStyle="stop" errorTitle="Outside the allowed range" operator="between" prompt="Generally the standard is 5% a year before charges and tax for a mixed fund (LifeMap standard, not a forecast). Choose what you want to use.  Allowed: 0% to 8% · steps of 0.5%." promptTitle="Growth rate a year" showDropDown="false" showErrorMessage="true" showInputMessage="true" sqref="C12" type="decimal">
      <formula1>0</formula1>
      <formula2>0.08</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2B134"/>
    <pageSetUpPr fitToPage="false"/>
  </sheetPr>
  <dimension ref="B1:G6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20" width="2"/>
    <col collapsed="false" customWidth="true" hidden="false" outlineLevel="0" max="2" min="2" style="20" width="50"/>
    <col collapsed="false" customWidth="true" hidden="false" outlineLevel="0" max="3" min="3" style="20" width="26"/>
    <col collapsed="false" customWidth="true" hidden="false" outlineLevel="0" max="4" min="4" style="20" width="24"/>
    <col collapsed="false" customWidth="true" hidden="false" outlineLevel="0" max="5" min="5" style="20" width="78"/>
    <col collapsed="false" customWidth="true" hidden="false" outlineLevel="0" max="6" min="6" style="20" width="14"/>
    <col collapsed="false" customWidth="true" hidden="false" outlineLevel="0" max="7" min="7" style="20" width="16"/>
  </cols>
  <sheetData>
    <row r="1" customFormat="false" ht="19.5" hidden="false" customHeight="true" outlineLevel="0" collapsed="false">
      <c r="B1" s="50" t="s">
        <v>3194</v>
      </c>
      <c r="E1" s="51" t="s">
        <v>3195</v>
      </c>
    </row>
    <row r="2" customFormat="false" ht="15" hidden="false" customHeight="true" outlineLevel="0" collapsed="false">
      <c r="B2" s="52" t="s">
        <v>3196</v>
      </c>
      <c r="E2" s="53" t="str">
        <f aca="false">IF(Fill_Example="Yes","Example values are ON (README): grey Example only figures fill blank inputs.","Blank template: fill the yellow inputs (or switch on example values on the README).")</f>
        <v>Example values are ON (README): grey Example only figures fill blank inputs.</v>
      </c>
    </row>
    <row r="3" customFormat="false" ht="15" hidden="false" customHeight="true" outlineLevel="0" collapsed="false">
      <c r="B3" s="54" t="s">
        <v>3197</v>
      </c>
    </row>
    <row r="5" customFormat="false" ht="15" hidden="false" customHeight="true" outlineLevel="0" collapsed="false">
      <c r="B5" s="55" t="s">
        <v>3128</v>
      </c>
      <c r="C5" s="56" t="s">
        <v>912</v>
      </c>
      <c r="D5" s="56" t="s">
        <v>913</v>
      </c>
      <c r="E5" s="56" t="s">
        <v>2804</v>
      </c>
      <c r="F5" s="57" t="s">
        <v>2805</v>
      </c>
      <c r="G5" s="58"/>
    </row>
    <row r="6" customFormat="false" ht="21.75" hidden="false" customHeight="true" outlineLevel="0" collapsed="false">
      <c r="B6" s="59" t="s">
        <v>3129</v>
      </c>
      <c r="C6" s="68"/>
      <c r="D6" s="61" t="s">
        <v>2814</v>
      </c>
      <c r="E6" s="69" t="str">
        <f aca="false">"Type 3 · your choice · Generally the standard is 2% a year (ECB target); Ireland's prices are rising "&amp;TEXT(Set_inflNow,"0.0%")&amp;" now (CSO HICP flash, Sep 2026). Choose what you want to use. Allowed: 0% to 10% · steps of 0.25%"</f>
        <v>Type 3 · your choice · Generally the standard is 2% a year (ECB target); Ireland's prices are rising 3.9% now (CSO HICP flash, Sep 2026). Choose what you want to use. Allowed: 0% to 10% · steps of 0.25%</v>
      </c>
      <c r="F6" s="70" t="n">
        <v>0.02</v>
      </c>
      <c r="G6" s="71" t="n">
        <f aca="false">IF(ISBLANK(C6),IF(Fill_Example="Yes",F6,""),C6)</f>
        <v>0.02</v>
      </c>
    </row>
    <row r="7" customFormat="false" ht="27.75" hidden="false" customHeight="true" outlineLevel="0" collapsed="false">
      <c r="B7" s="87" t="str">
        <f aca="false">"Everyone sees this differently. Ireland's prices are rising "&amp;TEXT(Set_inflNow,"0.0%")&amp;" now (CSO HICP flash, Sep 2026), mostly because of energy. Over decades, 2%–2.5% is the usual planning range (ECB target 2%). Enter 0% if you don't want to adjust for prices."</f>
        <v>Everyone sees this differently. Ireland's prices are rising 3.9% now (CSO HICP flash, Sep 2026), mostly because of energy. Over decades, 2%–2.5% is the usual planning range (ECB target 2%). Enter 0% if you don't want to adjust for prices.</v>
      </c>
      <c r="C7" s="87"/>
      <c r="D7" s="87"/>
      <c r="E7" s="87"/>
    </row>
    <row r="9" customFormat="false" ht="15" hidden="false" customHeight="true" outlineLevel="0" collapsed="false">
      <c r="B9" s="55" t="s">
        <v>2882</v>
      </c>
      <c r="C9" s="58"/>
      <c r="D9" s="58"/>
      <c r="E9" s="58"/>
      <c r="F9" s="58"/>
      <c r="G9" s="58"/>
    </row>
    <row r="10" customFormat="false" ht="27.75" hidden="false" customHeight="true" outlineLevel="0" collapsed="false">
      <c r="B10" s="87" t="s">
        <v>3198</v>
      </c>
      <c r="C10" s="87"/>
      <c r="D10" s="87"/>
      <c r="E10" s="87"/>
    </row>
    <row r="11" customFormat="false" ht="15" hidden="false" customHeight="true" outlineLevel="0" collapsed="false">
      <c r="B11" s="59" t="s">
        <v>3199</v>
      </c>
      <c r="C11" s="88"/>
      <c r="D11" s="61" t="s">
        <v>964</v>
      </c>
      <c r="E11" s="62" t="s">
        <v>3200</v>
      </c>
      <c r="G11" s="86" t="s">
        <v>2886</v>
      </c>
    </row>
    <row r="12" customFormat="false" ht="15" hidden="false" customHeight="true" outlineLevel="0" collapsed="false">
      <c r="B12" s="59" t="s">
        <v>3201</v>
      </c>
      <c r="C12" s="89"/>
      <c r="D12" s="61" t="s">
        <v>2814</v>
      </c>
      <c r="E12" s="62" t="s">
        <v>3202</v>
      </c>
      <c r="G12" s="86" t="s">
        <v>2886</v>
      </c>
    </row>
    <row r="13" customFormat="false" ht="15" hidden="false" customHeight="true" outlineLevel="0" collapsed="false">
      <c r="B13" s="59" t="s">
        <v>2891</v>
      </c>
      <c r="C13" s="91"/>
      <c r="D13" s="61" t="s">
        <v>922</v>
      </c>
      <c r="E13" s="62" t="s">
        <v>2892</v>
      </c>
      <c r="G13" s="86" t="s">
        <v>2886</v>
      </c>
    </row>
    <row r="15" customFormat="false" ht="15" hidden="false" customHeight="true" outlineLevel="0" collapsed="false">
      <c r="B15" s="55" t="s">
        <v>2893</v>
      </c>
      <c r="C15" s="56" t="s">
        <v>912</v>
      </c>
      <c r="D15" s="56" t="s">
        <v>913</v>
      </c>
      <c r="E15" s="56" t="s">
        <v>2804</v>
      </c>
      <c r="F15" s="57" t="s">
        <v>2805</v>
      </c>
      <c r="G15" s="58"/>
    </row>
    <row r="16" customFormat="false" ht="21.75" hidden="false" customHeight="true" outlineLevel="0" collapsed="false">
      <c r="B16" s="59" t="s">
        <v>3203</v>
      </c>
      <c r="C16" s="60"/>
      <c r="D16" s="61" t="s">
        <v>964</v>
      </c>
      <c r="E16" s="62" t="s">
        <v>3204</v>
      </c>
      <c r="F16" s="63" t="n">
        <v>10000</v>
      </c>
      <c r="G16" s="64" t="n">
        <f aca="false">IF(ISBLANK(C16),IF(Fill_Example="Yes",F16,""),C16)</f>
        <v>10000</v>
      </c>
    </row>
    <row r="17" customFormat="false" ht="21.75" hidden="false" customHeight="true" outlineLevel="0" collapsed="false">
      <c r="B17" s="59" t="s">
        <v>3205</v>
      </c>
      <c r="C17" s="68"/>
      <c r="D17" s="61" t="s">
        <v>2814</v>
      </c>
      <c r="E17" s="69" t="s">
        <v>3172</v>
      </c>
      <c r="F17" s="70" t="n">
        <f aca="false">Set_invGross</f>
        <v>0.05</v>
      </c>
      <c r="G17" s="71" t="n">
        <f aca="false">IF(ISBLANK(C17),F17,C17)</f>
        <v>0.05</v>
      </c>
    </row>
    <row r="18" customFormat="false" ht="15" hidden="false" customHeight="true" outlineLevel="0" collapsed="false">
      <c r="B18" s="59" t="s">
        <v>2487</v>
      </c>
      <c r="C18" s="72"/>
      <c r="D18" s="61" t="s">
        <v>1002</v>
      </c>
      <c r="E18" s="62" t="s">
        <v>3173</v>
      </c>
      <c r="F18" s="73" t="n">
        <v>15</v>
      </c>
      <c r="G18" s="74" t="n">
        <f aca="false">IF(ISBLANK(C18),IF(Fill_Example="Yes",F18,""),C18)</f>
        <v>15</v>
      </c>
    </row>
    <row r="19" customFormat="false" ht="21.75" hidden="false" customHeight="true" outlineLevel="0" collapsed="false">
      <c r="B19" s="59" t="s">
        <v>3206</v>
      </c>
      <c r="C19" s="68"/>
      <c r="D19" s="61" t="s">
        <v>2814</v>
      </c>
      <c r="E19" s="69" t="str">
        <f aca="false">"Type 2 · your figure · Fund charges a year (your statement shows yours). "&amp;IF(ISNUMBER(Suggest_Fund_Charges),"Suggested: "&amp;TEXT(Suggest_Fund_Charges,"0.00%")&amp;" · "&amp;Suggest_Fund_Charges_Label&amp;". ","No suggestion. ")&amp;"Enter your own figure."&amp;" Allowed: 0% to 3% · steps of 0.05%"</f>
        <v>Type 2 · your figure · Fund charges a year (your statement shows yours). Suggested: 1.00% · Pensions Authority pension calculator assumption. Enter your own figure. Allowed: 0% to 3% · steps of 0.05%</v>
      </c>
      <c r="F19" s="70" t="n">
        <f aca="false">IF(ISNUMBER(Suggest_Fund_Charges),Suggest_Fund_Charges,"")</f>
        <v>0.01</v>
      </c>
      <c r="G19" s="71" t="n">
        <f aca="false">IF(ISBLANK(C19),IF(Fill_Example="Yes",F19,""),C19)</f>
        <v>0.01</v>
      </c>
    </row>
    <row r="20" customFormat="false" ht="21.75" hidden="false" customHeight="true" outlineLevel="0" collapsed="false">
      <c r="B20" s="59" t="s">
        <v>3207</v>
      </c>
      <c r="C20" s="72"/>
      <c r="D20" s="61" t="s">
        <v>1002</v>
      </c>
      <c r="E20" s="69" t="s">
        <v>3208</v>
      </c>
      <c r="F20" s="73" t="n">
        <f aca="false">Set_waitYears</f>
        <v>5</v>
      </c>
      <c r="G20" s="74" t="n">
        <f aca="false">IF(ISBLANK(C20),F20,C20)</f>
        <v>5</v>
      </c>
    </row>
    <row r="21" customFormat="false" ht="15" hidden="false" customHeight="true" outlineLevel="0" collapsed="false">
      <c r="B21" s="59" t="s">
        <v>3209</v>
      </c>
      <c r="C21" s="65"/>
      <c r="D21" s="61" t="s">
        <v>2811</v>
      </c>
      <c r="E21" s="62" t="s">
        <v>3210</v>
      </c>
      <c r="F21" s="66" t="s">
        <v>450</v>
      </c>
      <c r="G21" s="67" t="str">
        <f aca="false">IF(ISBLANK(C21),F21,C21)</f>
        <v>No</v>
      </c>
    </row>
    <row r="23" customFormat="false" ht="15" hidden="false" customHeight="true" outlineLevel="0" collapsed="false">
      <c r="B23" s="55" t="s">
        <v>2902</v>
      </c>
      <c r="C23" s="58"/>
      <c r="D23" s="58"/>
      <c r="E23" s="58"/>
      <c r="F23" s="58"/>
      <c r="G23" s="58"/>
    </row>
    <row r="24" customFormat="false" ht="15" hidden="false" customHeight="true" outlineLevel="0" collapsed="false">
      <c r="B24" s="59" t="s">
        <v>3211</v>
      </c>
      <c r="C24" s="79" t="str">
        <f aca="false">IF(COUNTA(Stmt_Total_Value,Stmt_Charges,Stmt_Statement_Date)&gt;0,"Yes","No")</f>
        <v>No</v>
      </c>
      <c r="D24" s="61"/>
      <c r="E24" s="76" t="s">
        <v>3212</v>
      </c>
    </row>
    <row r="25" customFormat="false" ht="15" hidden="false" customHeight="true" outlineLevel="0" collapsed="false">
      <c r="B25" s="59" t="s">
        <v>3203</v>
      </c>
      <c r="C25" s="92" t="n">
        <f aca="false">IF(ISBLANK(Stmt_Total_Value),Amount,Stmt_Total_Value)</f>
        <v>10000</v>
      </c>
      <c r="D25" s="93" t="str">
        <f aca="false">IF(ISBLANK(Stmt_Total_Value),"Your figure","From your statement")</f>
        <v>Your figure</v>
      </c>
      <c r="E25" s="83" t="s">
        <v>3213</v>
      </c>
    </row>
    <row r="26" customFormat="false" ht="15" hidden="false" customHeight="true" outlineLevel="0" collapsed="false">
      <c r="B26" s="59" t="s">
        <v>3206</v>
      </c>
      <c r="C26" s="94" t="n">
        <f aca="false">IF(NOT(ISBLANK(Stmt_Charges)),Stmt_Charges,IF(Statement_Uploaded="Yes",0,Yearly_Fees))</f>
        <v>0.01</v>
      </c>
      <c r="D26" s="93" t="str">
        <f aca="false">IF(NOT(ISBLANK(Stmt_Charges)),"From your statement",IF(Statement_Uploaded="Yes","None shown on your statement","Your figure"))</f>
        <v>Your figure</v>
      </c>
      <c r="E26" s="83" t="s">
        <v>3214</v>
      </c>
    </row>
    <row r="27" customFormat="false" ht="21.75" hidden="false" customHeight="true" outlineLevel="0" collapsed="false">
      <c r="B27" s="59" t="s">
        <v>2909</v>
      </c>
      <c r="C27" s="79" t="str">
        <f aca="true">IF(ISBLANK(Stmt_Statement_Date),"",IF(TODAY()-Stmt_Statement_Date&gt;Statement_Max_Age_Days,"Needs a look: statement is more than 12 months old","Up to date"))</f>
        <v/>
      </c>
      <c r="D27" s="61"/>
      <c r="E27" s="76" t="s">
        <v>2910</v>
      </c>
    </row>
    <row r="29" customFormat="false" ht="15" hidden="false" customHeight="true" outlineLevel="0" collapsed="false">
      <c r="B29" s="55" t="s">
        <v>2630</v>
      </c>
      <c r="C29" s="56" t="s">
        <v>327</v>
      </c>
      <c r="D29" s="56" t="s">
        <v>2822</v>
      </c>
      <c r="E29" s="56" t="s">
        <v>2823</v>
      </c>
      <c r="F29" s="58"/>
      <c r="G29" s="58"/>
    </row>
    <row r="30" customFormat="false" ht="17.25" hidden="false" customHeight="true" outlineLevel="0" collapsed="false">
      <c r="B30" s="52" t="s">
        <v>3215</v>
      </c>
      <c r="C30" s="75" t="n">
        <f aca="false">IF(Need_1&lt;&gt;"",Need_1,IF(Adjust_For_Inflation="Yes",Value_Today,Grows_To))</f>
        <v>17879.9954940195</v>
      </c>
      <c r="D30" s="61" t="s">
        <v>964</v>
      </c>
      <c r="E30" s="76" t="s">
        <v>3216</v>
      </c>
    </row>
    <row r="31" customFormat="false" ht="15" hidden="false" customHeight="true" outlineLevel="0" collapsed="false">
      <c r="B31" s="59" t="s">
        <v>3217</v>
      </c>
      <c r="C31" s="77" t="n">
        <f aca="false">IF(Need_1&lt;&gt;"",Need_1,Used_Amount*(1+Growth_After_Fees)^Years)</f>
        <v>17879.9954940195</v>
      </c>
      <c r="D31" s="61" t="s">
        <v>964</v>
      </c>
      <c r="E31" s="76" t="s">
        <v>3218</v>
      </c>
    </row>
    <row r="32" customFormat="false" ht="15" hidden="false" customHeight="true" outlineLevel="0" collapsed="false">
      <c r="B32" s="59" t="s">
        <v>3176</v>
      </c>
      <c r="C32" s="77" t="n">
        <f aca="false">IF(Need_2&lt;&gt;"",Need_2,IF(Inflation_Choice="","Choose your inflation rate to see this",Grows_To/(1+Inflation_Choice)^Years))</f>
        <v>13285.1000241849</v>
      </c>
      <c r="D32" s="61" t="s">
        <v>964</v>
      </c>
      <c r="E32" s="76" t="s">
        <v>3177</v>
      </c>
    </row>
    <row r="33" customFormat="false" ht="15" hidden="false" customHeight="true" outlineLevel="0" collapsed="false">
      <c r="B33" s="59" t="s">
        <v>3219</v>
      </c>
      <c r="C33" s="77" t="n">
        <f aca="false">IF(Need_3&lt;&gt;"",Need_3,Used_Amount*(1+Growth_After_Fees)^MAX(0,Years-Wait_Years))</f>
        <v>14731.4310253568</v>
      </c>
      <c r="D33" s="61" t="s">
        <v>964</v>
      </c>
      <c r="E33" s="76" t="s">
        <v>3220</v>
      </c>
    </row>
    <row r="34" customFormat="false" ht="21.75" hidden="false" customHeight="true" outlineLevel="0" collapsed="false">
      <c r="B34" s="52" t="s">
        <v>3221</v>
      </c>
      <c r="C34" s="75" t="n">
        <f aca="false">IF(Need_3&lt;&gt;"",Need_3,IF(Adjust_For_Inflation="Yes",IF(Inflation_Choice="","Choose your inflation rate to see this",(Grows_To-Value_Start_Later)/(1+Inflation_Choice)^Years),Grows_To-Value_Start_Later))</f>
        <v>3148.56446866277</v>
      </c>
      <c r="D34" s="61" t="s">
        <v>964</v>
      </c>
      <c r="E34" s="76" t="s">
        <v>3222</v>
      </c>
    </row>
    <row r="35" customFormat="false" ht="15" hidden="false" customHeight="true" outlineLevel="0" collapsed="false">
      <c r="B35" s="59" t="s">
        <v>3223</v>
      </c>
      <c r="C35" s="77" t="n">
        <f aca="false">IF(Need_1&lt;&gt;"",Need_1,Used_Amount*(1+Growth_Rate)^Years-Grows_To)</f>
        <v>2909.28630009417</v>
      </c>
      <c r="D35" s="61" t="s">
        <v>964</v>
      </c>
      <c r="E35" s="76" t="s">
        <v>3224</v>
      </c>
    </row>
    <row r="36" customFormat="false" ht="15" hidden="false" customHeight="true" outlineLevel="0" collapsed="false">
      <c r="B36" s="59" t="s">
        <v>3225</v>
      </c>
      <c r="C36" s="98" t="n">
        <f aca="false">IF(Need_4&lt;&gt;"",Need_4,(1+Growth_Rate)*(1-Used_Yearly_Fees)-1)</f>
        <v>0.0395000000000001</v>
      </c>
      <c r="D36" s="61"/>
      <c r="E36" s="76" t="s">
        <v>3226</v>
      </c>
    </row>
    <row r="37" customFormat="false" ht="15" hidden="false" customHeight="true" outlineLevel="0" collapsed="false">
      <c r="B37" s="59" t="s">
        <v>3227</v>
      </c>
      <c r="C37" s="98" t="n">
        <f aca="false">IF(Need_5&lt;&gt;"",Need_5,IF(Inflation_Choice="","Choose your inflation rate to see this",(1+Growth_After_Fees)/(1+Inflation_Choice)-1))</f>
        <v>0.0191176470588237</v>
      </c>
      <c r="D37" s="61"/>
      <c r="E37" s="76" t="s">
        <v>3228</v>
      </c>
    </row>
    <row r="38" customFormat="false" ht="15" hidden="false" customHeight="true" outlineLevel="0" collapsed="false">
      <c r="B38" s="102" t="str">
        <f aca="false">"Before tax: deposit interest is taxed at "&amp;TEXT(DIRT,"0%")&amp;" DIRT; investment funds and life policies pay "&amp;TEXT(Exit_Tax,"0%")&amp;" exit tax on gains, also charged every "&amp;Deemed_Disposal_Years&amp;" years (deemed disposal). Pension funds grow tax-free. No tax is taken off here."</f>
        <v>Before tax: deposit interest is taxed at 33% DIRT; investment funds and life policies pay 38% exit tax on gains, also charged every 8 years (deemed disposal). Pension funds grow tax-free. No tax is taken off here.</v>
      </c>
      <c r="C38" s="102"/>
      <c r="D38" s="102"/>
      <c r="E38" s="102"/>
    </row>
    <row r="40" customFormat="false" ht="15" hidden="false" customHeight="true" outlineLevel="0" collapsed="false">
      <c r="B40" s="55" t="s">
        <v>2853</v>
      </c>
      <c r="C40" s="58"/>
      <c r="D40" s="58"/>
      <c r="E40" s="58"/>
      <c r="F40" s="58"/>
      <c r="G40" s="58"/>
    </row>
    <row r="41" customFormat="false" ht="13.5" hidden="false" customHeight="true" outlineLevel="0" collapsed="false">
      <c r="B41" s="80" t="s">
        <v>3229</v>
      </c>
      <c r="C41" s="80"/>
      <c r="D41" s="80"/>
      <c r="E41" s="80"/>
    </row>
    <row r="42" customFormat="false" ht="13.5" hidden="false" customHeight="true" outlineLevel="0" collapsed="false">
      <c r="B42" s="80" t="s">
        <v>3230</v>
      </c>
      <c r="C42" s="80"/>
      <c r="D42" s="80"/>
      <c r="E42" s="80"/>
    </row>
    <row r="43" customFormat="false" ht="13.5" hidden="false" customHeight="true" outlineLevel="0" collapsed="false">
      <c r="B43" s="80" t="s">
        <v>3231</v>
      </c>
      <c r="C43" s="80"/>
      <c r="D43" s="80"/>
      <c r="E43" s="80"/>
    </row>
    <row r="44" customFormat="false" ht="13.5" hidden="false" customHeight="true" outlineLevel="0" collapsed="false">
      <c r="B44" s="81" t="s">
        <v>2856</v>
      </c>
      <c r="C44" s="81"/>
      <c r="D44" s="81"/>
      <c r="E44" s="81"/>
    </row>
    <row r="45" customFormat="false" ht="13.5" hidden="false" customHeight="true" outlineLevel="0" collapsed="false">
      <c r="B45" s="80" t="s">
        <v>3232</v>
      </c>
      <c r="C45" s="80"/>
      <c r="D45" s="80"/>
      <c r="E45" s="80"/>
    </row>
    <row r="46" customFormat="false" ht="13.5" hidden="false" customHeight="true" outlineLevel="0" collapsed="false">
      <c r="B46" s="80" t="s">
        <v>3233</v>
      </c>
      <c r="C46" s="80"/>
      <c r="D46" s="80"/>
      <c r="E46" s="80"/>
    </row>
    <row r="48" customFormat="false" ht="15" hidden="false" customHeight="true" outlineLevel="0" collapsed="false">
      <c r="B48" s="55" t="s">
        <v>2861</v>
      </c>
      <c r="C48" s="58"/>
      <c r="D48" s="58"/>
      <c r="E48" s="58"/>
      <c r="F48" s="58"/>
      <c r="G48" s="58"/>
    </row>
    <row r="49" customFormat="false" ht="15" hidden="false" customHeight="true" outlineLevel="0" collapsed="false">
      <c r="B49" s="59" t="s">
        <v>1620</v>
      </c>
      <c r="C49" s="82" t="str">
        <f aca="false">"Grow my wealth (plan kind pot)"</f>
        <v>Grow my wealth (plan kind pot)</v>
      </c>
      <c r="E49" s="83" t="s">
        <v>3186</v>
      </c>
    </row>
    <row r="50" customFormat="false" ht="15" hidden="false" customHeight="true" outlineLevel="0" collapsed="false">
      <c r="B50" s="59" t="s">
        <v>3187</v>
      </c>
      <c r="C50" s="84" t="n">
        <f aca="false">IF(Need_1&lt;&gt;"",Need_1,IF(Inflation_Choice="","Choose an inflation rate first",ROUND(Value_Today,0)))</f>
        <v>13285</v>
      </c>
      <c r="E50" s="83" t="s">
        <v>3188</v>
      </c>
    </row>
    <row r="51" customFormat="false" ht="15" hidden="false" customHeight="true" outlineLevel="0" collapsed="false">
      <c r="B51" s="59" t="s">
        <v>2867</v>
      </c>
      <c r="C51" s="85" t="n">
        <f aca="false">IF(Need_6&lt;&gt;"",Need_6,Years)</f>
        <v>15</v>
      </c>
      <c r="E51" s="83" t="s">
        <v>3154</v>
      </c>
    </row>
    <row r="52" customFormat="false" ht="15" hidden="false" customHeight="true" outlineLevel="0" collapsed="false">
      <c r="B52" s="59" t="s">
        <v>3155</v>
      </c>
      <c r="C52" s="103" t="n">
        <f aca="false">IF(Inflation_Choice="","Choose an inflation rate first",Inflation_Choice)</f>
        <v>0.02</v>
      </c>
      <c r="E52" s="83" t="s">
        <v>3156</v>
      </c>
    </row>
    <row r="53" customFormat="false" ht="13.5" hidden="false" customHeight="true" outlineLevel="0" collapsed="false">
      <c r="B53" s="87" t="s">
        <v>3234</v>
      </c>
      <c r="C53" s="87"/>
      <c r="D53" s="87"/>
      <c r="E53" s="87"/>
    </row>
    <row r="55" customFormat="false" ht="15" hidden="false" customHeight="true" outlineLevel="0" collapsed="false">
      <c r="B55" s="55" t="s">
        <v>2869</v>
      </c>
      <c r="C55" s="58"/>
      <c r="D55" s="58"/>
      <c r="E55" s="58"/>
      <c r="F55" s="58"/>
      <c r="G55" s="58"/>
    </row>
    <row r="56" customFormat="false" ht="15" hidden="false" customHeight="true" outlineLevel="0" collapsed="false">
      <c r="B56" s="86" t="s">
        <v>3235</v>
      </c>
      <c r="C56" s="86" t="str">
        <f aca="false">IF(Years="","Choose your years to see this",IF(NOT(ISNUMBER(Used_Amount)),IF(Used_Amount="",IF(Amount="","Choose your amount to see this",""),Used_Amount),IF(NOT(ISNUMBER(Used_Yearly_Fees)),IF(Used_Yearly_Fees="",IF(Yearly_Fees="","Choose your yearly fees to see this",""),Used_Yearly_Fees),"")))</f>
        <v/>
      </c>
    </row>
    <row r="57" customFormat="false" ht="15" hidden="false" customHeight="true" outlineLevel="0" collapsed="false">
      <c r="B57" s="86" t="s">
        <v>3236</v>
      </c>
      <c r="C57" s="86" t="str">
        <f aca="false">IF(Years="","Choose your years to see this",IF(NOT(ISNUMBER(Used_Amount)),IF(Used_Amount="",IF(Amount="","Choose your amount to see this",""),Used_Amount),IF(NOT(ISNUMBER(Used_Yearly_Fees)),IF(Used_Yearly_Fees="",IF(Yearly_Fees="","Choose your yearly fees to see this",""),Used_Yearly_Fees),IF(Inflation_Choice="","Choose your inflation rate to see this",""))))</f>
        <v/>
      </c>
    </row>
    <row r="58" customFormat="false" ht="15" hidden="false" customHeight="true" outlineLevel="0" collapsed="false">
      <c r="B58" s="86" t="s">
        <v>3237</v>
      </c>
      <c r="C58" s="86" t="str">
        <f aca="false">IF(Years="","Choose your years to see this",IF(NOT(ISNUMBER(Used_Amount)),IF(Used_Amount="",IF(Amount="","Choose your amount to see this",""),Used_Amount),IF(NOT(ISNUMBER(Used_Yearly_Fees)),IF(Used_Yearly_Fees="",IF(Yearly_Fees="","Choose your yearly fees to see this",""),Used_Yearly_Fees),"")))</f>
        <v/>
      </c>
    </row>
    <row r="59" customFormat="false" ht="15" hidden="false" customHeight="true" outlineLevel="0" collapsed="false">
      <c r="B59" s="86" t="s">
        <v>3238</v>
      </c>
      <c r="C59" s="86" t="str">
        <f aca="false">IF(NOT(ISNUMBER(Used_Yearly_Fees)),IF(Used_Yearly_Fees="",IF(Yearly_Fees="","Choose your yearly fees to see this",""),Used_Yearly_Fees),"")</f>
        <v/>
      </c>
    </row>
    <row r="60" customFormat="false" ht="15" hidden="false" customHeight="true" outlineLevel="0" collapsed="false">
      <c r="B60" s="86" t="s">
        <v>3239</v>
      </c>
      <c r="C60" s="86" t="str">
        <f aca="false">IF(NOT(ISNUMBER(Used_Yearly_Fees)),IF(Used_Yearly_Fees="",IF(Yearly_Fees="","Choose your yearly fees to see this",""),Used_Yearly_Fees),IF(Inflation_Choice="","Choose your inflation rate to see this",""))</f>
        <v/>
      </c>
    </row>
    <row r="61" customFormat="false" ht="15" hidden="false" customHeight="true" outlineLevel="0" collapsed="false">
      <c r="B61" s="86" t="s">
        <v>3193</v>
      </c>
      <c r="C61" s="86" t="str">
        <f aca="false">IF(Years="","Choose your years to see this",IF(NOT(ISNUMBER(Used_Yearly_Fees)),IF(Used_Yearly_Fees="",IF(Yearly_Fees="","Choose your yearly fees to see this",""),Used_Yearly_Fees),""))</f>
        <v/>
      </c>
    </row>
    <row r="63" customFormat="false" ht="15" hidden="false" customHeight="true" outlineLevel="0" collapsed="false">
      <c r="B63" s="25" t="s">
        <v>3240</v>
      </c>
    </row>
  </sheetData>
  <mergeCells count="10">
    <mergeCell ref="B7:E7"/>
    <mergeCell ref="B10:E10"/>
    <mergeCell ref="B38:E38"/>
    <mergeCell ref="B41:E41"/>
    <mergeCell ref="B42:E42"/>
    <mergeCell ref="B43:E43"/>
    <mergeCell ref="B44:E44"/>
    <mergeCell ref="B45:E45"/>
    <mergeCell ref="B46:E46"/>
    <mergeCell ref="B53:E53"/>
  </mergeCells>
  <dataValidations count="10">
    <dataValidation allowBlank="true" error="Please enter a date (dd/mm/yyyy)." errorStyle="stop" errorTitle="Outside the allowed range" operator="greaterThan" prompt="Unit: date. Allowed: a date (dd/mm/yyyy)." promptTitle="Statement date" showDropDown="false" showErrorMessage="true" showInputMessage="true" sqref="C13" type="date">
      <formula1>36526</formula1>
      <formula2>0</formula2>
    </dataValidation>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1 to 40 · steps of 1." errorStyle="stop" errorTitle="Outside the allowed range" operator="between" prompt="Your own figure.  Allowed: 1 to 40 · steps of 1." promptTitle="Years" showDropDown="false" showErrorMessage="true" showInputMessage="true" sqref="C18" type="whole">
      <formula1>1</formula1>
      <formula2>40</formula2>
    </dataValidation>
    <dataValidation allowBlank="true" error="Please enter 0% to 5%." errorStyle="stop" errorTitle="Outside the allowed range" operator="between" prompt="Unit: %. Allowed: 0% to 5%." promptTitle="Annual charges % (if shown)" showDropDown="false" showErrorMessage="true" showInputMessage="true" sqref="C12" type="decimal">
      <formula1>0</formula1>
      <formula2>0.05</formula2>
    </dataValidation>
    <dataValidation allowBlank="true" error="Please enter €0 to €100,000,000." errorStyle="stop" errorTitle="Outside the allowed range" operator="between" prompt="Unit: €. Allowed: €0 to €100,000,000." promptTitle="Total value" showDropDown="false" showErrorMessage="true" showInputMessage="true" sqref="C11" type="decimal">
      <formula1>0</formula1>
      <formula2>100000000</formula2>
    </dataValidation>
    <dataValidation allowBlank="true" error="Please enter €500 to €5,000,000 · steps of €100." errorStyle="stop" errorTitle="Outside the allowed range" operator="between" prompt="Your own figure. In the app it is pre-filled from Your finances / statement: investments.  Allowed: €500 to €5,000,000 · steps of €100." promptTitle="Amount" showDropDown="false" showErrorMessage="true" showInputMessage="true" sqref="C16" type="decimal">
      <formula1>500</formula1>
      <formula2>5000000</formula2>
    </dataValidation>
    <dataValidation allowBlank="true" error="Please enter 0% to 8% · steps of 0.5%." errorStyle="stop" errorTitle="Outside the allowed range" operator="between" prompt="Generally the standard is 5% a year before charges and tax for a mixed fund (LifeMap standard, not a forecast). Choose what you want to use.  Allowed: 0% to 8% · steps of 0.5%." promptTitle="Growth rate a year (before fees)" showDropDown="false" showErrorMessage="true" showInputMessage="true" sqref="C17" type="decimal">
      <formula1>0</formula1>
      <formula2>0.08</formula2>
    </dataValidation>
    <dataValidation allowBlank="true" error="Please enter 0% to 3% · steps of 0.05%." errorStyle="stop" errorTitle="Outside the allowed range" operator="between" prompt="Your own fund charges (your statement shows them). A suggested figure and its source are shown beside this cell (Partner rates, Assumptions sheet). CCPC: usually 0.5%–2% a year. Allowed: 0% to 3% · steps of 0.05%" promptTitle="Yearly fees" showDropDown="false" showErrorMessage="true" showInputMessage="true" sqref="C19" type="decimal">
      <formula1>0</formula1>
      <formula2>0.03</formula2>
    </dataValidation>
    <dataValidation allowBlank="true" error="Please enter 1 to 20 · steps of 1." errorStyle="stop" errorTitle="Outside the allowed range" operator="between" prompt="Generally the standard is 5 years (an illustration of the cost of waiting). Choose what you want to use.  Allowed: 1 to 10 · steps of 1." promptTitle="Years you might wait before inve" showDropDown="false" showErrorMessage="true" showInputMessage="true" sqref="C20" type="whole">
      <formula1>1</formula1>
      <formula2>20</formula2>
    </dataValidation>
    <dataValidation allowBlank="true" error="Please enter Yes or No." errorStyle="stop" errorTitle="Outside the allowed range" operator="between" prompt="Optional: leave blank for none.  Allowed: Yes or No." promptTitle="Show in today's money?" showDropDown="false" showErrorMessage="true" showInputMessage="true" sqref="C21"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2B134"/>
    <pageSetUpPr fitToPage="false"/>
  </sheetPr>
  <dimension ref="B1:G3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20" width="2"/>
    <col collapsed="false" customWidth="true" hidden="false" outlineLevel="0" max="2" min="2" style="20" width="50"/>
    <col collapsed="false" customWidth="true" hidden="false" outlineLevel="0" max="3" min="3" style="20" width="26"/>
    <col collapsed="false" customWidth="true" hidden="false" outlineLevel="0" max="4" min="4" style="20" width="24"/>
    <col collapsed="false" customWidth="true" hidden="false" outlineLevel="0" max="5" min="5" style="20" width="78"/>
    <col collapsed="false" customWidth="true" hidden="false" outlineLevel="0" max="6" min="6" style="20" width="14"/>
    <col collapsed="false" customWidth="true" hidden="false" outlineLevel="0" max="7" min="7" style="20" width="16"/>
  </cols>
  <sheetData>
    <row r="1" customFormat="false" ht="19.5" hidden="false" customHeight="true" outlineLevel="0" collapsed="false">
      <c r="B1" s="50" t="s">
        <v>3241</v>
      </c>
      <c r="E1" s="51" t="s">
        <v>3242</v>
      </c>
    </row>
    <row r="2" customFormat="false" ht="15" hidden="false" customHeight="true" outlineLevel="0" collapsed="false">
      <c r="B2" s="52" t="s">
        <v>3243</v>
      </c>
      <c r="E2" s="53" t="str">
        <f aca="false">IF(Fill_Example="Yes","Example values are ON (README): grey Example only figures fill blank inputs.","Blank template: fill the yellow inputs (or switch on example values on the README).")</f>
        <v>Example values are ON (README): grey Example only figures fill blank inputs.</v>
      </c>
    </row>
    <row r="3" customFormat="false" ht="15" hidden="false" customHeight="true" outlineLevel="0" collapsed="false">
      <c r="B3" s="54" t="s">
        <v>3244</v>
      </c>
    </row>
    <row r="5" customFormat="false" ht="15" hidden="false" customHeight="true" outlineLevel="0" collapsed="false">
      <c r="B5" s="55" t="s">
        <v>2803</v>
      </c>
      <c r="C5" s="56" t="s">
        <v>912</v>
      </c>
      <c r="D5" s="56" t="s">
        <v>913</v>
      </c>
      <c r="E5" s="56" t="s">
        <v>2804</v>
      </c>
      <c r="F5" s="57" t="s">
        <v>2805</v>
      </c>
      <c r="G5" s="58"/>
    </row>
    <row r="6" customFormat="false" ht="21.75" hidden="false" customHeight="true" outlineLevel="0" collapsed="false">
      <c r="B6" s="59" t="s">
        <v>3245</v>
      </c>
      <c r="C6" s="60"/>
      <c r="D6" s="61" t="s">
        <v>964</v>
      </c>
      <c r="E6" s="62" t="s">
        <v>3246</v>
      </c>
      <c r="F6" s="63" t="n">
        <v>2500</v>
      </c>
      <c r="G6" s="64" t="n">
        <f aca="false">IF(AND(ISNUMBER(C6),N(C6)&lt;500),"",IF(ISBLANK(C6),IF(Fill_Example="Yes",F6,""),C6))</f>
        <v>2500</v>
      </c>
    </row>
    <row r="7" customFormat="false" ht="21.75" hidden="false" customHeight="true" outlineLevel="0" collapsed="false">
      <c r="B7" s="59" t="s">
        <v>3247</v>
      </c>
      <c r="C7" s="72"/>
      <c r="D7" s="61" t="s">
        <v>1102</v>
      </c>
      <c r="E7" s="69" t="s">
        <v>3248</v>
      </c>
      <c r="F7" s="73" t="n">
        <f aca="false">AS_Months</f>
        <v>3</v>
      </c>
      <c r="G7" s="74" t="n">
        <f aca="false">IF(ISBLANK(C7),F7,C7)</f>
        <v>3</v>
      </c>
    </row>
    <row r="8" customFormat="false" ht="15" hidden="false" customHeight="true" outlineLevel="0" collapsed="false">
      <c r="B8" s="59" t="s">
        <v>3249</v>
      </c>
      <c r="C8" s="72"/>
      <c r="D8" s="61" t="s">
        <v>1002</v>
      </c>
      <c r="E8" s="62" t="s">
        <v>3250</v>
      </c>
      <c r="F8" s="73" t="n">
        <v>2</v>
      </c>
      <c r="G8" s="74" t="n">
        <f aca="false">IF(ISBLANK(C8),IF(Fill_Example="Yes",F8,""),C8)</f>
        <v>2</v>
      </c>
    </row>
    <row r="9" customFormat="false" ht="21.75" hidden="false" customHeight="true" outlineLevel="0" collapsed="false">
      <c r="B9" s="59" t="s">
        <v>3251</v>
      </c>
      <c r="C9" s="60"/>
      <c r="D9" s="61" t="s">
        <v>964</v>
      </c>
      <c r="E9" s="62" t="s">
        <v>3252</v>
      </c>
      <c r="F9" s="63" t="n">
        <v>6250</v>
      </c>
      <c r="G9" s="64" t="n">
        <f aca="false">IF(ISBLANK(C9),IF(Fill_Example="Yes",F9,""),C9)</f>
        <v>6250</v>
      </c>
    </row>
    <row r="11" customFormat="false" ht="15" hidden="false" customHeight="true" outlineLevel="0" collapsed="false">
      <c r="B11" s="55" t="s">
        <v>2630</v>
      </c>
      <c r="C11" s="56" t="s">
        <v>327</v>
      </c>
      <c r="D11" s="56" t="s">
        <v>2822</v>
      </c>
      <c r="E11" s="56" t="s">
        <v>2823</v>
      </c>
      <c r="F11" s="58"/>
      <c r="G11" s="58"/>
    </row>
    <row r="12" customFormat="false" ht="23.25" hidden="false" customHeight="true" outlineLevel="0" collapsed="false">
      <c r="B12" s="52" t="s">
        <v>3253</v>
      </c>
      <c r="C12" s="104" t="n">
        <f aca="false">IF(Need_1&lt;&gt;"",Need_1,Savings/Essential_Spending)</f>
        <v>2.5</v>
      </c>
      <c r="D12" s="97" t="str">
        <f aca="false">IF(Need_1&lt;&gt;"",Need_1,IF(ROUND(Months_Covered,1)=1,"1 month",FIXED(Months_Covered,1)&amp;" months"))</f>
        <v>2.5 months</v>
      </c>
      <c r="E12" s="76" t="s">
        <v>3254</v>
      </c>
    </row>
    <row r="13" customFormat="false" ht="17.25" hidden="false" customHeight="true" outlineLevel="0" collapsed="false">
      <c r="B13" s="52" t="s">
        <v>3255</v>
      </c>
      <c r="C13" s="75" t="n">
        <f aca="false">IF(Need_2&lt;&gt;"",Need_2,Essential_Spending*Months_Wanted)</f>
        <v>7500</v>
      </c>
      <c r="D13" s="61" t="s">
        <v>964</v>
      </c>
      <c r="E13" s="76" t="s">
        <v>3256</v>
      </c>
    </row>
    <row r="14" customFormat="false" ht="17.25" hidden="false" customHeight="true" outlineLevel="0" collapsed="false">
      <c r="B14" s="52" t="s">
        <v>3257</v>
      </c>
      <c r="C14" s="75" t="n">
        <f aca="false">IF(Need_3&lt;&gt;"",Need_3,MAX(0,Target-Savings))</f>
        <v>1250</v>
      </c>
      <c r="D14" s="61" t="s">
        <v>964</v>
      </c>
      <c r="E14" s="76" t="s">
        <v>3258</v>
      </c>
    </row>
    <row r="16" customFormat="false" ht="15" hidden="false" customHeight="true" outlineLevel="0" collapsed="false">
      <c r="B16" s="55" t="s">
        <v>2853</v>
      </c>
      <c r="C16" s="58"/>
      <c r="D16" s="58"/>
      <c r="E16" s="58"/>
      <c r="F16" s="58"/>
      <c r="G16" s="58"/>
    </row>
    <row r="17" customFormat="false" ht="13.5" hidden="false" customHeight="true" outlineLevel="0" collapsed="false">
      <c r="B17" s="80" t="s">
        <v>3259</v>
      </c>
      <c r="C17" s="80"/>
      <c r="D17" s="80"/>
      <c r="E17" s="80"/>
    </row>
    <row r="18" customFormat="false" ht="13.5" hidden="false" customHeight="true" outlineLevel="0" collapsed="false">
      <c r="B18" s="81" t="s">
        <v>2856</v>
      </c>
      <c r="C18" s="81"/>
      <c r="D18" s="81"/>
      <c r="E18" s="81"/>
    </row>
    <row r="19" customFormat="false" ht="13.5" hidden="false" customHeight="true" outlineLevel="0" collapsed="false">
      <c r="B19" s="80" t="s">
        <v>3260</v>
      </c>
      <c r="C19" s="80"/>
      <c r="D19" s="80"/>
      <c r="E19" s="80"/>
    </row>
    <row r="21" customFormat="false" ht="15" hidden="false" customHeight="true" outlineLevel="0" collapsed="false">
      <c r="B21" s="55" t="s">
        <v>2861</v>
      </c>
      <c r="C21" s="58"/>
      <c r="D21" s="58"/>
      <c r="E21" s="58"/>
      <c r="F21" s="58"/>
      <c r="G21" s="58"/>
    </row>
    <row r="22" customFormat="false" ht="15" hidden="false" customHeight="true" outlineLevel="0" collapsed="false">
      <c r="B22" s="59" t="s">
        <v>1620</v>
      </c>
      <c r="C22" s="82" t="str">
        <f aca="false">IF(Need_3&lt;&gt;"",Need_3,IF(Still_To_Build&gt;0,"Emergency fund (plan kind safety: a reserve, not a spend)","No goal (emergency fund already in place)"))</f>
        <v>Emergency fund (plan kind safety: a reserve, not a spend)</v>
      </c>
      <c r="E22" s="83" t="s">
        <v>3261</v>
      </c>
    </row>
    <row r="23" customFormat="false" ht="15" hidden="false" customHeight="true" outlineLevel="0" collapsed="false">
      <c r="B23" s="59" t="s">
        <v>3187</v>
      </c>
      <c r="C23" s="84" t="n">
        <f aca="false">IF(Need_3&lt;&gt;"",Need_3,IF(Still_To_Build&gt;0,ROUND(Target,0),"—"))</f>
        <v>7500</v>
      </c>
      <c r="E23" s="83" t="s">
        <v>3262</v>
      </c>
    </row>
    <row r="24" customFormat="false" ht="15" hidden="false" customHeight="true" outlineLevel="0" collapsed="false">
      <c r="B24" s="59" t="s">
        <v>2865</v>
      </c>
      <c r="C24" s="84" t="n">
        <f aca="false">IF(Need_4&lt;&gt;"",Need_4,Savings)</f>
        <v>6250</v>
      </c>
      <c r="E24" s="83" t="s">
        <v>3263</v>
      </c>
    </row>
    <row r="25" customFormat="false" ht="15" hidden="false" customHeight="true" outlineLevel="0" collapsed="false">
      <c r="B25" s="59" t="s">
        <v>2867</v>
      </c>
      <c r="C25" s="85" t="n">
        <f aca="false">IF(Need_5&lt;&gt;"",Need_5,Safety_Goal_Years)</f>
        <v>2</v>
      </c>
      <c r="E25" s="83" t="s">
        <v>3264</v>
      </c>
    </row>
    <row r="27" customFormat="false" ht="15" hidden="false" customHeight="true" outlineLevel="0" collapsed="false">
      <c r="B27" s="55" t="s">
        <v>2869</v>
      </c>
      <c r="C27" s="58"/>
      <c r="D27" s="58"/>
      <c r="E27" s="58"/>
      <c r="F27" s="58"/>
      <c r="G27" s="58"/>
    </row>
    <row r="28" customFormat="false" ht="15" hidden="false" customHeight="true" outlineLevel="0" collapsed="false">
      <c r="B28" s="86" t="s">
        <v>3265</v>
      </c>
      <c r="C28" s="86" t="str">
        <f aca="false">IF(Essential_Spending="","Choose your essential monthly spending to see this",IF(Savings="","Choose your easy-access savings to see this",""))</f>
        <v/>
      </c>
    </row>
    <row r="29" customFormat="false" ht="15" hidden="false" customHeight="true" outlineLevel="0" collapsed="false">
      <c r="B29" s="86" t="s">
        <v>3266</v>
      </c>
      <c r="C29" s="86" t="str">
        <f aca="false">IF(Essential_Spending="","Choose your essential monthly spending to see this","")</f>
        <v/>
      </c>
    </row>
    <row r="30" customFormat="false" ht="15" hidden="false" customHeight="true" outlineLevel="0" collapsed="false">
      <c r="B30" s="86" t="s">
        <v>3267</v>
      </c>
      <c r="C30" s="86" t="str">
        <f aca="false">IF(Essential_Spending="","Choose your essential monthly spending to see this",IF(Savings="","Choose your easy-access savings to see this",""))</f>
        <v/>
      </c>
    </row>
    <row r="31" customFormat="false" ht="15" hidden="false" customHeight="true" outlineLevel="0" collapsed="false">
      <c r="B31" s="86" t="s">
        <v>3268</v>
      </c>
      <c r="C31" s="86" t="str">
        <f aca="false">IF(Savings="","Choose your easy-access savings to see this","")</f>
        <v/>
      </c>
    </row>
    <row r="32" customFormat="false" ht="15" hidden="false" customHeight="true" outlineLevel="0" collapsed="false">
      <c r="B32" s="86" t="s">
        <v>3269</v>
      </c>
      <c r="C32" s="86" t="str">
        <f aca="false">IF(Safety_Goal_Years="","Choose your years to build the emergency fund to see this","")</f>
        <v/>
      </c>
    </row>
  </sheetData>
  <mergeCells count="3">
    <mergeCell ref="B17:E17"/>
    <mergeCell ref="B18:E18"/>
    <mergeCell ref="B19:E19"/>
  </mergeCells>
  <dataValidations count="4">
    <dataValidation allowBlank="true" error="Please enter €500 to €100,000 · steps of €100." errorStyle="stop" errorTitle="Outside the allowed range" operator="between" prompt="Your own figure. In the app it is pre-filled from Your finances: costs + mortgage + debt repayments.  Allowed: €500 to €100,000 · steps of €100." promptTitle="Essential monthly spending" showDropDown="false" showErrorMessage="true" showInputMessage="true" sqref="C6" type="decimal">
      <formula1>500</formula1>
      <formula2>100000</formula2>
    </dataValidation>
    <dataValidation allowBlank="true" error="Please enter 1 to 12 · steps of 1." errorStyle="stop" errorTitle="Outside the allowed range" operator="between" prompt="Generally the standard is 6 months of essential spending (3 if you have two secure incomes). Choose what you want to use.  Allowed: 3 to 12 · steps of 1." promptTitle="Emergency fund: months" showDropDown="false" showErrorMessage="true" showInputMessage="true" sqref="C7" type="whole">
      <formula1>1</formula1>
      <formula2>12</formula2>
    </dataValidation>
    <dataValidation allowBlank="true" error="Please enter 1 to 10 · steps of 1." errorStyle="stop" errorTitle="Outside the allowed range" operator="between" prompt="Your own figure.  Allowed: 1 to 10 · steps of 1." promptTitle="Build the emergency fund within" showDropDown="false" showErrorMessage="true" showInputMessage="true" sqref="C8" type="whole">
      <formula1>1</formula1>
      <formula2>10</formula2>
    </dataValidation>
    <dataValidation allowBlank="true" error="Please enter €0 to €1,000,000 · steps of €250." errorStyle="stop" errorTitle="Outside the allowed range" operator="between" prompt="Your own figure. In the app it is pre-filled from Your finances: cash.  Allowed: €0 to €1,000,000 · steps of €250." promptTitle="Easy-access savings" showDropDown="false" showErrorMessage="true" showInputMessage="true" sqref="C9" type="decimal">
      <formula1>0</formula1>
      <formula2>1000000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2B134"/>
    <pageSetUpPr fitToPage="false"/>
  </sheetPr>
  <dimension ref="B1:G8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20" width="2"/>
    <col collapsed="false" customWidth="true" hidden="false" outlineLevel="0" max="2" min="2" style="20" width="50"/>
    <col collapsed="false" customWidth="true" hidden="false" outlineLevel="0" max="3" min="3" style="20" width="26"/>
    <col collapsed="false" customWidth="true" hidden="false" outlineLevel="0" max="4" min="4" style="20" width="24"/>
    <col collapsed="false" customWidth="true" hidden="false" outlineLevel="0" max="5" min="5" style="20" width="78"/>
    <col collapsed="false" customWidth="true" hidden="false" outlineLevel="0" max="6" min="6" style="20" width="14"/>
    <col collapsed="false" customWidth="true" hidden="false" outlineLevel="0" max="7" min="7" style="20" width="16"/>
  </cols>
  <sheetData>
    <row r="1" customFormat="false" ht="19.5" hidden="false" customHeight="true" outlineLevel="0" collapsed="false">
      <c r="B1" s="50" t="s">
        <v>3270</v>
      </c>
      <c r="E1" s="51" t="s">
        <v>3271</v>
      </c>
    </row>
    <row r="2" customFormat="false" ht="15" hidden="false" customHeight="true" outlineLevel="0" collapsed="false">
      <c r="B2" s="52" t="s">
        <v>3272</v>
      </c>
      <c r="E2" s="53" t="str">
        <f aca="false">IF(Fill_Example="Yes","Example values are ON (README): grey Example only figures fill blank inputs.","Blank template: fill the yellow inputs (or switch on example values on the README).")</f>
        <v>Example values are ON (README): grey Example only figures fill blank inputs.</v>
      </c>
    </row>
    <row r="3" customFormat="false" ht="15" hidden="false" customHeight="true" outlineLevel="0" collapsed="false">
      <c r="B3" s="54" t="s">
        <v>3273</v>
      </c>
    </row>
    <row r="5" customFormat="false" ht="15" hidden="false" customHeight="true" outlineLevel="0" collapsed="false">
      <c r="B5" s="55" t="s">
        <v>3128</v>
      </c>
      <c r="C5" s="56" t="s">
        <v>912</v>
      </c>
      <c r="D5" s="56" t="s">
        <v>913</v>
      </c>
      <c r="E5" s="56" t="s">
        <v>2804</v>
      </c>
      <c r="F5" s="57" t="s">
        <v>2805</v>
      </c>
      <c r="G5" s="58"/>
    </row>
    <row r="6" customFormat="false" ht="21.75" hidden="false" customHeight="true" outlineLevel="0" collapsed="false">
      <c r="B6" s="59" t="s">
        <v>3129</v>
      </c>
      <c r="C6" s="68"/>
      <c r="D6" s="61" t="s">
        <v>2814</v>
      </c>
      <c r="E6" s="69" t="str">
        <f aca="false">"Type 3 · your choice · Generally the standard is 2% a year (ECB target); Ireland's prices are rising "&amp;TEXT(Set_inflNow,"0.0%")&amp;" now (CSO HICP flash, Sep 2026). Choose what you want to use. Allowed: 0% to 10% · steps of 0.25%"</f>
        <v>Type 3 · your choice · Generally the standard is 2% a year (ECB target); Ireland's prices are rising 3.9% now (CSO HICP flash, Sep 2026). Choose what you want to use. Allowed: 0% to 10% · steps of 0.25%</v>
      </c>
      <c r="F6" s="70" t="n">
        <v>0.02</v>
      </c>
      <c r="G6" s="71" t="n">
        <f aca="false">IF(ISBLANK(C6),IF(Fill_Example="Yes",F6,""),C6)</f>
        <v>0.02</v>
      </c>
    </row>
    <row r="7" customFormat="false" ht="27.75" hidden="false" customHeight="true" outlineLevel="0" collapsed="false">
      <c r="B7" s="87" t="str">
        <f aca="false">"Everyone sees this differently. Ireland's prices are rising "&amp;TEXT(Set_inflNow,"0.0%")&amp;" now (CSO HICP flash, Sep 2026), mostly because of energy. Over decades, 2%–2.5% is the usual planning range (ECB target 2%). Enter 0% if you don't want to adjust for prices."</f>
        <v>Everyone sees this differently. Ireland's prices are rising 3.9% now (CSO HICP flash, Sep 2026), mostly because of energy. Over decades, 2%–2.5% is the usual planning range (ECB target 2%). Enter 0% if you don't want to adjust for prices.</v>
      </c>
      <c r="C7" s="87"/>
      <c r="D7" s="87"/>
      <c r="E7" s="87"/>
    </row>
    <row r="9" customFormat="false" ht="15" hidden="false" customHeight="true" outlineLevel="0" collapsed="false">
      <c r="B9" s="55" t="s">
        <v>2882</v>
      </c>
      <c r="C9" s="58"/>
      <c r="D9" s="58"/>
      <c r="E9" s="58"/>
      <c r="F9" s="58"/>
      <c r="G9" s="58"/>
    </row>
    <row r="10" customFormat="false" ht="27.75" hidden="false" customHeight="true" outlineLevel="0" collapsed="false">
      <c r="B10" s="87" t="s">
        <v>3274</v>
      </c>
      <c r="C10" s="87"/>
      <c r="D10" s="87"/>
      <c r="E10" s="87"/>
    </row>
    <row r="11" customFormat="false" ht="15" hidden="false" customHeight="true" outlineLevel="0" collapsed="false">
      <c r="B11" s="59" t="s">
        <v>3275</v>
      </c>
      <c r="C11" s="88"/>
      <c r="D11" s="61" t="s">
        <v>964</v>
      </c>
      <c r="E11" s="62" t="s">
        <v>3276</v>
      </c>
      <c r="G11" s="86" t="s">
        <v>2886</v>
      </c>
    </row>
    <row r="12" customFormat="false" ht="15" hidden="false" customHeight="true" outlineLevel="0" collapsed="false">
      <c r="B12" s="59" t="s">
        <v>3277</v>
      </c>
      <c r="C12" s="88"/>
      <c r="D12" s="61" t="s">
        <v>964</v>
      </c>
      <c r="E12" s="62" t="s">
        <v>2890</v>
      </c>
      <c r="G12" s="86" t="s">
        <v>2886</v>
      </c>
    </row>
    <row r="13" customFormat="false" ht="15" hidden="false" customHeight="true" outlineLevel="0" collapsed="false">
      <c r="B13" s="59" t="s">
        <v>3278</v>
      </c>
      <c r="C13" s="88"/>
      <c r="D13" s="61" t="s">
        <v>964</v>
      </c>
      <c r="E13" s="62" t="s">
        <v>2890</v>
      </c>
      <c r="G13" s="86" t="s">
        <v>2886</v>
      </c>
    </row>
    <row r="14" customFormat="false" ht="15" hidden="false" customHeight="true" outlineLevel="0" collapsed="false">
      <c r="B14" s="59" t="s">
        <v>3279</v>
      </c>
      <c r="C14" s="90"/>
      <c r="D14" s="61" t="s">
        <v>932</v>
      </c>
      <c r="E14" s="62" t="s">
        <v>3280</v>
      </c>
      <c r="G14" s="86" t="s">
        <v>2886</v>
      </c>
    </row>
    <row r="15" customFormat="false" ht="15" hidden="false" customHeight="true" outlineLevel="0" collapsed="false">
      <c r="B15" s="59" t="s">
        <v>3281</v>
      </c>
      <c r="C15" s="88"/>
      <c r="D15" s="61" t="s">
        <v>964</v>
      </c>
      <c r="E15" s="62" t="s">
        <v>3200</v>
      </c>
      <c r="G15" s="86" t="s">
        <v>2886</v>
      </c>
    </row>
    <row r="16" customFormat="false" ht="15" hidden="false" customHeight="true" outlineLevel="0" collapsed="false">
      <c r="B16" s="59" t="s">
        <v>3282</v>
      </c>
      <c r="C16" s="105"/>
      <c r="D16" s="61" t="s">
        <v>2811</v>
      </c>
      <c r="E16" s="62" t="s">
        <v>3283</v>
      </c>
      <c r="G16" s="86" t="s">
        <v>2886</v>
      </c>
    </row>
    <row r="17" customFormat="false" ht="15" hidden="false" customHeight="true" outlineLevel="0" collapsed="false">
      <c r="B17" s="59" t="s">
        <v>3201</v>
      </c>
      <c r="C17" s="89"/>
      <c r="D17" s="61" t="s">
        <v>2814</v>
      </c>
      <c r="E17" s="62" t="s">
        <v>3202</v>
      </c>
      <c r="G17" s="86" t="s">
        <v>2886</v>
      </c>
    </row>
    <row r="18" customFormat="false" ht="15" hidden="false" customHeight="true" outlineLevel="0" collapsed="false">
      <c r="B18" s="59" t="s">
        <v>2891</v>
      </c>
      <c r="C18" s="91"/>
      <c r="D18" s="61" t="s">
        <v>922</v>
      </c>
      <c r="E18" s="62" t="s">
        <v>2892</v>
      </c>
      <c r="G18" s="86" t="s">
        <v>2886</v>
      </c>
    </row>
    <row r="20" customFormat="false" ht="15" hidden="false" customHeight="true" outlineLevel="0" collapsed="false">
      <c r="B20" s="55" t="s">
        <v>2893</v>
      </c>
      <c r="C20" s="56" t="s">
        <v>912</v>
      </c>
      <c r="D20" s="56" t="s">
        <v>913</v>
      </c>
      <c r="E20" s="56" t="s">
        <v>2804</v>
      </c>
      <c r="F20" s="57" t="s">
        <v>2805</v>
      </c>
      <c r="G20" s="58"/>
    </row>
    <row r="21" customFormat="false" ht="21.75" hidden="false" customHeight="true" outlineLevel="0" collapsed="false">
      <c r="B21" s="59" t="s">
        <v>1446</v>
      </c>
      <c r="C21" s="72"/>
      <c r="D21" s="61" t="s">
        <v>932</v>
      </c>
      <c r="E21" s="62" t="s">
        <v>3284</v>
      </c>
      <c r="F21" s="73" t="n">
        <v>40</v>
      </c>
      <c r="G21" s="74" t="n">
        <f aca="false">IF(ISBLANK(C21),IF(Fill_Example="Yes",F21,""),C21)</f>
        <v>40</v>
      </c>
    </row>
    <row r="22" customFormat="false" ht="21.75" hidden="false" customHeight="true" outlineLevel="0" collapsed="false">
      <c r="B22" s="59" t="s">
        <v>3285</v>
      </c>
      <c r="C22" s="72"/>
      <c r="D22" s="61" t="s">
        <v>932</v>
      </c>
      <c r="E22" s="69" t="s">
        <v>3286</v>
      </c>
      <c r="F22" s="73" t="n">
        <v>65</v>
      </c>
      <c r="G22" s="74" t="n">
        <f aca="false">IF(ISBLANK(C22),IF(Fill_Example="Yes",F22,""),C22)</f>
        <v>65</v>
      </c>
    </row>
    <row r="23" customFormat="false" ht="21.75" hidden="false" customHeight="true" outlineLevel="0" collapsed="false">
      <c r="B23" s="59" t="s">
        <v>2414</v>
      </c>
      <c r="C23" s="60"/>
      <c r="D23" s="61" t="s">
        <v>964</v>
      </c>
      <c r="E23" s="62" t="s">
        <v>3287</v>
      </c>
      <c r="F23" s="63" t="n">
        <v>60000</v>
      </c>
      <c r="G23" s="64" t="n">
        <f aca="false">IF(ISBLANK(C23),IF(Pens_Value_Total&gt;0,Pens_Value_Total,IF(Fill_Example="Yes",F23,"")),C23)</f>
        <v>60000</v>
      </c>
    </row>
    <row r="24" customFormat="false" ht="21.75" hidden="false" customHeight="true" outlineLevel="0" collapsed="false">
      <c r="B24" s="59" t="s">
        <v>3288</v>
      </c>
      <c r="C24" s="60"/>
      <c r="D24" s="61" t="s">
        <v>964</v>
      </c>
      <c r="E24" s="62" t="s">
        <v>3289</v>
      </c>
      <c r="F24" s="63" t="n">
        <v>500</v>
      </c>
      <c r="G24" s="64" t="n">
        <f aca="false">IF(ISBLANK(C24),IF(Pens_Monthly_Total&gt;0,Pens_Monthly_Total,IF(Fill_Example="Yes",F24,"")),C24)</f>
        <v>500</v>
      </c>
    </row>
    <row r="25" customFormat="false" ht="21.75" hidden="false" customHeight="true" outlineLevel="0" collapsed="false">
      <c r="B25" s="59" t="s">
        <v>3290</v>
      </c>
      <c r="C25" s="60"/>
      <c r="D25" s="61" t="s">
        <v>964</v>
      </c>
      <c r="E25" s="62" t="s">
        <v>3291</v>
      </c>
      <c r="F25" s="63" t="n">
        <v>40000</v>
      </c>
      <c r="G25" s="64" t="n">
        <f aca="false">IF(ISBLANK(C25),IF(Fill_Example="Yes",F25,""),C25)</f>
        <v>40000</v>
      </c>
    </row>
    <row r="26" customFormat="false" ht="43.5" hidden="false" customHeight="true" outlineLevel="0" collapsed="false">
      <c r="B26" s="59" t="s">
        <v>3292</v>
      </c>
      <c r="C26" s="60"/>
      <c r="D26" s="61" t="s">
        <v>964</v>
      </c>
      <c r="E26" s="69" t="str">
        <f aca="false">"Type 2 · range · Usually between €0 and €15,564 a year: the full State Pension is "&amp;"€"&amp;TEXT(State_Pension_Week,"0.00")&amp;" a week (DSP 2026), partial rates are lower and depend on your PRSI record. In the app it is pre-filled from State Pension €15,563.60 × your entitlement (full 1, partly 0.6, not sure 0.8). Enter your own figure. Allowed: €0 to €500,000 · st"&amp;"eps of €500"</f>
        <v>Type 2 · range · Usually between €0 and €15,564 a year: the full State Pension is €299.30 a week (DSP 2026), partial rates are lower and depend on your PRSI record. In the app it is pre-filled from State Pension €15,563.60 × your entitlement (full 1, partly 0.6, not sure 0.8). Enter your own figure. Allowed: €0 to €500,000 · steps of €500</v>
      </c>
      <c r="F26" s="63" t="n">
        <f aca="false">ROUND(State_Pension_Year,0)</f>
        <v>15564</v>
      </c>
      <c r="G26" s="64" t="n">
        <f aca="false">IF(ISBLANK(C26),IF(Fill_Example="Yes",F26,""),C26)</f>
        <v>15564</v>
      </c>
    </row>
    <row r="27" customFormat="false" ht="21.75" hidden="false" customHeight="true" outlineLevel="0" collapsed="false">
      <c r="B27" s="59" t="s">
        <v>3293</v>
      </c>
      <c r="C27" s="68"/>
      <c r="D27" s="61" t="s">
        <v>2814</v>
      </c>
      <c r="E27" s="69" t="s">
        <v>3294</v>
      </c>
      <c r="F27" s="70" t="n">
        <f aca="false">AS_Pen</f>
        <v>0.045</v>
      </c>
      <c r="G27" s="71" t="n">
        <f aca="false">IF(ISBLANK(C27),F27,C27)</f>
        <v>0.045</v>
      </c>
    </row>
    <row r="28" customFormat="false" ht="21.75" hidden="false" customHeight="true" outlineLevel="0" collapsed="false">
      <c r="B28" s="59" t="s">
        <v>3295</v>
      </c>
      <c r="C28" s="68"/>
      <c r="D28" s="61" t="s">
        <v>2814</v>
      </c>
      <c r="E28" s="69" t="s">
        <v>3296</v>
      </c>
      <c r="F28" s="70" t="n">
        <f aca="false">AS_Wage</f>
        <v>0.03</v>
      </c>
      <c r="G28" s="71" t="n">
        <f aca="false">IF(ISBLANK(C28),F28,C28)</f>
        <v>0.03</v>
      </c>
    </row>
    <row r="29" customFormat="false" ht="21.75" hidden="false" customHeight="true" outlineLevel="0" collapsed="false">
      <c r="B29" s="59" t="s">
        <v>3297</v>
      </c>
      <c r="C29" s="72"/>
      <c r="D29" s="61"/>
      <c r="E29" s="69" t="s">
        <v>3298</v>
      </c>
      <c r="F29" s="73" t="n">
        <f aca="false">Set_retireMult</f>
        <v>25</v>
      </c>
      <c r="G29" s="74" t="n">
        <f aca="false">IF(ISBLANK(C29),F29,C29)</f>
        <v>25</v>
      </c>
    </row>
    <row r="30" customFormat="false" ht="21.75" hidden="false" customHeight="true" outlineLevel="0" collapsed="false">
      <c r="B30" s="59" t="s">
        <v>3299</v>
      </c>
      <c r="C30" s="68"/>
      <c r="D30" s="61" t="s">
        <v>2814</v>
      </c>
      <c r="E30" s="69" t="str">
        <f aca="false">"Type 2 · your figure · Typical pension charges a year (your statement shows yours). "&amp;IF(ISNUMBER(Suggest_Fund_Charges),"Suggested: "&amp;TEXT(Suggest_Fund_Charges,"0.00%")&amp;" · "&amp;Suggest_Fund_Charges_Label&amp;". ","No suggestion. ")&amp;"Enter your own figure."&amp;" Allowed: 0% to 2.5% · steps of 0.05%"</f>
        <v>Type 2 · your figure · Typical pension charges a year (your statement shows yours). Suggested: 1.00% · Pensions Authority pension calculator assumption. Enter your own figure. Allowed: 0% to 2.5% · steps of 0.05%</v>
      </c>
      <c r="F30" s="70" t="n">
        <f aca="false">IF(ISNUMBER(Suggest_Fund_Charges),Suggest_Fund_Charges,"")</f>
        <v>0.01</v>
      </c>
      <c r="G30" s="71" t="n">
        <f aca="false">IF(ISBLANK(C30),IF(Fill_Example="Yes",F30,""),C30)</f>
        <v>0.01</v>
      </c>
    </row>
    <row r="31" customFormat="false" ht="21.75" hidden="false" customHeight="true" outlineLevel="0" collapsed="false">
      <c r="B31" s="59" t="s">
        <v>3300</v>
      </c>
      <c r="C31" s="68"/>
      <c r="D31" s="61" t="s">
        <v>2814</v>
      </c>
      <c r="E31" s="69" t="str">
        <f aca="false">"Type 3 · LifeMap standard · LifeMap uses 25% of the fund, the most allowed (first "&amp;"€"&amp;TEXT(Lump_Sum_Tax_Free,"#,##0")&amp;" tax-free, next €"&amp;TEXT(Lump_Sum_Cap-Lump_Sum_Tax_Free,"#,##0")&amp;" at "&amp;TEXT(Lump_Sum_Rate,"0%")&amp;"). Change it if you want to use your own. Allowed: 0% to 25% · steps of 1%"</f>
        <v>Type 3 · LifeMap standard · LifeMap uses 25% of the fund, the most allowed (first €200,000 tax-free, next €300,000 at 20%). Change it if you want to use your own. Allowed: 0% to 25% · steps of 1%</v>
      </c>
      <c r="F31" s="70" t="n">
        <f aca="false">AS_LumpPct</f>
        <v>0.25</v>
      </c>
      <c r="G31" s="71" t="n">
        <f aca="false">IF(ISBLANK(C31),F31,C31)</f>
        <v>0.25</v>
      </c>
    </row>
    <row r="32" customFormat="false" ht="15" hidden="false" customHeight="true" outlineLevel="0" collapsed="false">
      <c r="B32" s="59" t="s">
        <v>3301</v>
      </c>
      <c r="C32" s="72"/>
      <c r="D32" s="61" t="s">
        <v>1002</v>
      </c>
      <c r="E32" s="62" t="s">
        <v>3302</v>
      </c>
      <c r="F32" s="73" t="n">
        <v>0</v>
      </c>
      <c r="G32" s="74" t="n">
        <f aca="false">IF(ISBLANK(C32),F32,C32)</f>
        <v>0</v>
      </c>
    </row>
    <row r="33" customFormat="false" ht="15" hidden="false" customHeight="true" outlineLevel="0" collapsed="false">
      <c r="B33" s="59" t="s">
        <v>3303</v>
      </c>
      <c r="C33" s="60"/>
      <c r="D33" s="61" t="s">
        <v>964</v>
      </c>
      <c r="E33" s="62" t="s">
        <v>2954</v>
      </c>
      <c r="F33" s="63" t="n">
        <v>0</v>
      </c>
      <c r="G33" s="64" t="n">
        <f aca="false">IF(ISBLANK(C33),F33,C33)</f>
        <v>0</v>
      </c>
    </row>
    <row r="34" customFormat="false" ht="15" hidden="false" customHeight="true" outlineLevel="0" collapsed="false">
      <c r="B34" s="59" t="s">
        <v>3304</v>
      </c>
      <c r="C34" s="60"/>
      <c r="D34" s="61" t="s">
        <v>964</v>
      </c>
      <c r="E34" s="62" t="str">
        <f aca="false">"Type 3 · optional · Optional: leave blank for none. Allowed: €0 to "&amp;TEXT(Max_Money_Input,"€#,##0")&amp;" · steps of €500"</f>
        <v>Type 3 · optional · Optional: leave blank for none. Allowed: €0 to €200,000 · steps of €500</v>
      </c>
      <c r="F34" s="63" t="n">
        <v>0</v>
      </c>
      <c r="G34" s="64" t="n">
        <f aca="false">IF(ISBLANK(C34),F34,C34)</f>
        <v>0</v>
      </c>
    </row>
    <row r="35" customFormat="false" ht="18.75" hidden="false" customHeight="true" outlineLevel="0" collapsed="false">
      <c r="B35" s="59" t="s">
        <v>3305</v>
      </c>
      <c r="C35" s="72"/>
      <c r="D35" s="61" t="s">
        <v>932</v>
      </c>
      <c r="E35" s="69" t="s">
        <v>3306</v>
      </c>
      <c r="F35" s="73" t="n">
        <f aca="false">AS_AccessAge</f>
        <v>60</v>
      </c>
      <c r="G35" s="74" t="n">
        <f aca="false">IF(ISBLANK(C35),F35,C35)</f>
        <v>60</v>
      </c>
    </row>
    <row r="36" customFormat="false" ht="15" hidden="false" customHeight="true" outlineLevel="0" collapsed="false">
      <c r="B36" s="55" t="s">
        <v>2902</v>
      </c>
      <c r="C36" s="58"/>
      <c r="D36" s="58"/>
      <c r="E36" s="58"/>
      <c r="F36" s="58"/>
      <c r="G36" s="58"/>
    </row>
    <row r="37" customFormat="false" ht="15" hidden="false" customHeight="true" outlineLevel="0" collapsed="false">
      <c r="B37" s="59" t="s">
        <v>2414</v>
      </c>
      <c r="C37" s="92" t="n">
        <f aca="false">IF(ISBLANK(Stmt_Fund_Value),Pension_Today,Stmt_Fund_Value)</f>
        <v>60000</v>
      </c>
      <c r="D37" s="93" t="str">
        <f aca="false">IF(ISBLANK(Stmt_Fund_Value),"Your figure","From your statement")</f>
        <v>Your figure</v>
      </c>
      <c r="E37" s="83" t="s">
        <v>3307</v>
      </c>
    </row>
    <row r="38" customFormat="false" ht="15" hidden="false" customHeight="true" outlineLevel="0" collapsed="false">
      <c r="B38" s="59" t="s">
        <v>3288</v>
      </c>
      <c r="C38" s="92" t="n">
        <f aca="false">IF(COUNT(Stmt_You_Monthly,Stmt_Employer_Monthly)=0,Monthly_Contribution,SUM(Stmt_You_Monthly,Stmt_Employer_Monthly))</f>
        <v>500</v>
      </c>
      <c r="D38" s="93" t="str">
        <f aca="false">IF(COUNT(Stmt_You_Monthly,Stmt_Employer_Monthly)=0,"Your figure","From your statement")</f>
        <v>Your figure</v>
      </c>
      <c r="E38" s="83" t="s">
        <v>3308</v>
      </c>
    </row>
    <row r="39" customFormat="false" ht="15" hidden="false" customHeight="true" outlineLevel="0" collapsed="false">
      <c r="B39" s="59" t="s">
        <v>3309</v>
      </c>
      <c r="C39" s="94" t="n">
        <f aca="false">IF(ISBLANK(Stmt_Charges),Growth_Rate,IF(OR(Growth_Rate="",Typical_Pension_Charges=""),"",Growth_Rate+Typical_Pension_Charges-Stmt_Charges))</f>
        <v>0.045</v>
      </c>
      <c r="D39" s="93" t="str">
        <f aca="false">IF(ISBLANK(Stmt_Charges),"Your figure","Adjusted for your statement's charges")</f>
        <v>Your figure</v>
      </c>
      <c r="E39" s="83" t="s">
        <v>3310</v>
      </c>
    </row>
    <row r="40" customFormat="false" ht="21.75" hidden="false" customHeight="true" outlineLevel="0" collapsed="false">
      <c r="B40" s="59" t="s">
        <v>3311</v>
      </c>
      <c r="C40" s="79" t="str">
        <f aca="false">IF(Need_1&lt;&gt;"",Need_1,IF(AND(NOT(ISBLANK(Stmt_Projected_Fund)),Stmt_NRA=Retirement_Age+Retire_Later,Save_More=0),"Yes","No"))</f>
        <v>No</v>
      </c>
      <c r="D40" s="61"/>
      <c r="E40" s="76" t="s">
        <v>3312</v>
      </c>
    </row>
    <row r="41" customFormat="false" ht="21.75" hidden="false" customHeight="true" outlineLevel="0" collapsed="false">
      <c r="B41" s="59" t="s">
        <v>2909</v>
      </c>
      <c r="C41" s="79" t="str">
        <f aca="true">IF(ISBLANK(Stmt_Statement_Date),"",IF(TODAY()-Stmt_Statement_Date&gt;Statement_Max_Age_Days,"Needs a look: statement is more than 12 months old","Up to date"))</f>
        <v/>
      </c>
      <c r="D41" s="61"/>
      <c r="E41" s="76" t="s">
        <v>2910</v>
      </c>
    </row>
    <row r="43" customFormat="false" ht="15" hidden="false" customHeight="true" outlineLevel="0" collapsed="false">
      <c r="B43" s="55" t="s">
        <v>2630</v>
      </c>
      <c r="C43" s="56" t="s">
        <v>327</v>
      </c>
      <c r="D43" s="56" t="s">
        <v>2822</v>
      </c>
      <c r="E43" s="56" t="s">
        <v>2823</v>
      </c>
      <c r="F43" s="58"/>
      <c r="G43" s="58"/>
    </row>
    <row r="44" customFormat="false" ht="17.25" hidden="false" customHeight="true" outlineLevel="0" collapsed="false">
      <c r="B44" s="52" t="s">
        <v>3313</v>
      </c>
      <c r="C44" s="75" t="n">
        <f aca="false">IF(Need_2&lt;&gt;"",Need_2,IF(ISNUMBER(Fund_Today),Target_Today-Fund_Today,Fund_Today))</f>
        <v>294276.576581992</v>
      </c>
      <c r="D44" s="97" t="str">
        <f aca="false">IF(Need_2&lt;&gt;"",Need_2,IF(ISNUMBER(Gap_Today),IF(Gap_Today&gt;0,"Gap of "&amp;TEXT(Gap_Today,"€#,##0")&amp;" in today's money","On track: no gap"),Gap_Today))</f>
        <v>Gap of €294,277 in today's money</v>
      </c>
      <c r="E44" s="76" t="s">
        <v>3314</v>
      </c>
    </row>
    <row r="45" customFormat="false" ht="17.25" hidden="false" customHeight="true" outlineLevel="0" collapsed="false">
      <c r="B45" s="52" t="s">
        <v>3315</v>
      </c>
      <c r="C45" s="75" t="n">
        <f aca="false">IF(Need_3&lt;&gt;"",Need_3,IF(Use_Statement_Projection="Yes",Stmt_Projected_Fund,Calculated_Fund))</f>
        <v>544988.678145377</v>
      </c>
      <c r="D45" s="97" t="str">
        <f aca="false">IF(Need_3&lt;&gt;"",Need_3,IF(Use_Statement_Projection="Yes","From your statement","Calculated"))</f>
        <v>Calculated</v>
      </c>
      <c r="E45" s="76" t="s">
        <v>3316</v>
      </c>
    </row>
    <row r="46" customFormat="false" ht="42.75" hidden="false" customHeight="true" outlineLevel="0" collapsed="false">
      <c r="B46" s="52" t="s">
        <v>3317</v>
      </c>
      <c r="C46" s="75" t="n">
        <f aca="false">IF(Need_3&lt;&gt;"",Need_3,IF(AND(Use_Statement_Projection="Yes",Stmt_Projection_Today&lt;&gt;"No"),Stmt_Projected_Fund,IF(Inflation_Choice="","Choose your inflation rate to see this",Projected_Fund/(1+Inflation_Choice)^Years_To_Retirement)))</f>
        <v>332187.423418008</v>
      </c>
      <c r="D46" s="61" t="s">
        <v>964</v>
      </c>
      <c r="E46" s="76" t="s">
        <v>3318</v>
      </c>
    </row>
    <row r="47" customFormat="false" ht="15" hidden="false" customHeight="true" outlineLevel="0" collapsed="false">
      <c r="B47" s="59" t="s">
        <v>3319</v>
      </c>
      <c r="C47" s="77" t="n">
        <f aca="false">IF(Need_3&lt;&gt;"",Need_3,Used_Pension_Today*(1+Used_Growth_Rate)^Years_To_Retirement+Contributions_Grow_To)</f>
        <v>544988.678145377</v>
      </c>
      <c r="D47" s="61" t="s">
        <v>964</v>
      </c>
      <c r="E47" s="76" t="s">
        <v>3320</v>
      </c>
    </row>
    <row r="48" customFormat="false" ht="17.25" hidden="false" customHeight="true" outlineLevel="0" collapsed="false">
      <c r="B48" s="52" t="s">
        <v>3321</v>
      </c>
      <c r="C48" s="75" t="n">
        <f aca="false">IF(Need_4&lt;&gt;"",Need_4,MAX(0,Desired_Income-Spend_Less-Other_Income)*Retire_Multiple+Bridge_Years*MIN(Other_Income,MAX(0,Desired_Income-Spend_Less)))</f>
        <v>626464</v>
      </c>
      <c r="D48" s="61" t="s">
        <v>964</v>
      </c>
      <c r="E48" s="76" t="s">
        <v>3322</v>
      </c>
    </row>
    <row r="49" customFormat="false" ht="15" hidden="false" customHeight="true" outlineLevel="0" collapsed="false">
      <c r="B49" s="59" t="s">
        <v>3323</v>
      </c>
      <c r="C49" s="100" t="n">
        <f aca="false">IF(Need_1&lt;&gt;"",Need_1,MAX(0,State_Pension_Age-(Retirement_Age+Retire_Later)))</f>
        <v>1</v>
      </c>
      <c r="D49" s="61" t="s">
        <v>1002</v>
      </c>
      <c r="E49" s="76" t="s">
        <v>3324</v>
      </c>
    </row>
    <row r="50" customFormat="false" ht="15" hidden="false" customHeight="true" outlineLevel="0" collapsed="false">
      <c r="B50" s="59" t="s">
        <v>3325</v>
      </c>
      <c r="C50" s="77" t="n">
        <f aca="false">IF(Need_5&lt;&gt;"",Need_5,Projected_Fund*MIN(Lump_Sum_Pct,Lump_Sum_Max_Pct))</f>
        <v>136247.169536344</v>
      </c>
      <c r="D50" s="61" t="s">
        <v>964</v>
      </c>
      <c r="E50" s="76" t="str">
        <f aca="false">"ƒx  =Projected_Fund*MIN(Lump_Sum_Pct,Lump_Sum_Max_Pct)      (25% at most of the fund: no cap; first "&amp;"€"&amp;TEXT(Lump_Sum_Tax_Free,"#,##0")&amp;" tax-free, next €"&amp;TEXT(Lump_Sum_Cap-Lump_Sum_Tax_Free,"#,##0")&amp;" at "&amp;TEXT(Lump_Sum_Rate,"0%")&amp;", the excess at the higher rate)"</f>
        <v>ƒx  =Projected_Fund*MIN(Lump_Sum_Pct,Lump_Sum_Max_Pct)      (25% at most of the fund: no cap; first €200,000 tax-free, next €300,000 at 20%, the excess at the higher rate)</v>
      </c>
    </row>
    <row r="51" customFormat="false" ht="15" hidden="false" customHeight="true" outlineLevel="0" collapsed="false">
      <c r="B51" s="59" t="s">
        <v>3326</v>
      </c>
      <c r="C51" s="77" t="n">
        <f aca="false">IF(Need_5&lt;&gt;"",Need_5,Lump_Sum_Rate*MAX(0,MIN(Lump_Sum,Lump_Sum_Cap)-Lump_Sum_Tax_Free)+Rate_Higher*MAX(0,Lump_Sum-Lump_Sum_Cap))</f>
        <v>0</v>
      </c>
      <c r="D51" s="61" t="s">
        <v>964</v>
      </c>
      <c r="E51" s="76" t="s">
        <v>3327</v>
      </c>
    </row>
    <row r="52" customFormat="false" ht="15" hidden="false" customHeight="true" outlineLevel="0" collapsed="false">
      <c r="B52" s="59" t="s">
        <v>3328</v>
      </c>
      <c r="C52" s="77" t="n">
        <f aca="false">IF(Need_5&lt;&gt;"",Need_5,Lump_Sum-Lump_Sum_Tax)</f>
        <v>136247.169536344</v>
      </c>
      <c r="D52" s="61" t="s">
        <v>964</v>
      </c>
      <c r="E52" s="76" t="s">
        <v>3329</v>
      </c>
    </row>
    <row r="53" customFormat="false" ht="15" hidden="false" customHeight="true" outlineLevel="0" collapsed="false">
      <c r="B53" s="106" t="s">
        <v>3330</v>
      </c>
      <c r="C53" s="107" t="str">
        <f aca="false">IF(Need_1&lt;&gt;"","",IF(Retirement_Age+Retire_Later&lt;Access_Age,"Most pensions can't be taken before 60 (PRSA and personal pensions; some occupational schemes allow it from 50). Until then you would live on savings and other income.",""))</f>
        <v/>
      </c>
      <c r="D53" s="107"/>
      <c r="E53" s="107"/>
    </row>
    <row r="54" customFormat="false" ht="15" hidden="false" customHeight="true" outlineLevel="0" collapsed="false">
      <c r="B54" s="106" t="s">
        <v>3330</v>
      </c>
      <c r="C54" s="107" t="str">
        <f aca="false">IF(Need_3&lt;&gt;"","",IF(AND(ISNUMBER(Fund_Today),IF(ISNUMBER(Fund_Today),Fund_Today,0)&gt;SFT_2026),"Your fund in today's money is above the Standard Fund Threshold (€2.2m in 2026, rising to €2.8m by 2029; later years are not set yet): the excess is taxed at "&amp;TEXT(SFT_Tax,"0%")&amp;".",""))</f>
        <v/>
      </c>
      <c r="D54" s="107"/>
      <c r="E54" s="107"/>
    </row>
    <row r="55" customFormat="false" ht="15" hidden="false" customHeight="true" outlineLevel="0" collapsed="false">
      <c r="B55" s="59" t="s">
        <v>3331</v>
      </c>
      <c r="C55" s="100" t="n">
        <f aca="false">IF(Need_6&lt;&gt;"",Need_6,MAX(1,Retirement_Age+Retire_Later-Age))</f>
        <v>25</v>
      </c>
      <c r="D55" s="61" t="s">
        <v>1002</v>
      </c>
      <c r="E55" s="76" t="s">
        <v>3332</v>
      </c>
    </row>
    <row r="56" customFormat="false" ht="15" hidden="false" customHeight="true" outlineLevel="0" collapsed="false">
      <c r="B56" s="59" t="s">
        <v>3333</v>
      </c>
      <c r="C56" s="77" t="n">
        <f aca="false">IF(Need_7&lt;&gt;"",Need_7,Used_Monthly_Contribution+Save_More)</f>
        <v>500</v>
      </c>
      <c r="D56" s="61" t="s">
        <v>964</v>
      </c>
      <c r="E56" s="76" t="s">
        <v>3334</v>
      </c>
    </row>
    <row r="57" customFormat="false" ht="21.75" hidden="false" customHeight="true" outlineLevel="0" collapsed="false">
      <c r="B57" s="59" t="s">
        <v>3335</v>
      </c>
      <c r="C57" s="77" t="n">
        <f aca="false">IF(Need_8&lt;&gt;"",Need_8,IF(Used_Growth_Rate=Wage,12*Contribution*Years_To_Retirement*(1+Used_Growth_Rate)^(Years_To_Retirement-1),12*Contribution*((1+Used_Growth_Rate)^Years_To_Retirement-(1+Wage)^Years_To_Retirement)/(Used_Growth_Rate-Wage)))</f>
        <v>364662.610753151</v>
      </c>
      <c r="D57" s="61" t="s">
        <v>964</v>
      </c>
      <c r="E57" s="76" t="s">
        <v>3336</v>
      </c>
    </row>
    <row r="59" customFormat="false" ht="15" hidden="false" customHeight="true" outlineLevel="0" collapsed="false">
      <c r="B59" s="55" t="s">
        <v>2853</v>
      </c>
      <c r="C59" s="58"/>
      <c r="D59" s="58"/>
      <c r="E59" s="58"/>
      <c r="F59" s="58"/>
      <c r="G59" s="58"/>
    </row>
    <row r="60" customFormat="false" ht="27.75" hidden="false" customHeight="true" outlineLevel="0" collapsed="false">
      <c r="B60" s="80" t="s">
        <v>3337</v>
      </c>
      <c r="C60" s="80"/>
      <c r="D60" s="80"/>
      <c r="E60" s="80"/>
    </row>
    <row r="61" customFormat="false" ht="27.75" hidden="false" customHeight="true" outlineLevel="0" collapsed="false">
      <c r="B61" s="80" t="s">
        <v>3338</v>
      </c>
      <c r="C61" s="80"/>
      <c r="D61" s="80"/>
      <c r="E61" s="80"/>
    </row>
    <row r="62" customFormat="false" ht="27.75" hidden="false" customHeight="true" outlineLevel="0" collapsed="false">
      <c r="B62" s="80" t="s">
        <v>3339</v>
      </c>
      <c r="C62" s="80"/>
      <c r="D62" s="80"/>
      <c r="E62" s="80"/>
    </row>
    <row r="63" customFormat="false" ht="27.75" hidden="false" customHeight="true" outlineLevel="0" collapsed="false">
      <c r="B63" s="80" t="str">
        <f aca="false">"• Desired income and the State Pension are before tax: the State Pension is taxable (USC-exempt) and drawdown pays income tax and USC. The lump sum is the share you chose "&amp;"("&amp;TEXT(Lump_Sum_Max_Pct,"0%")&amp;" at most)"&amp;": the "&amp;"first "&amp;TEXT(Lump_Sum_Tax_Free,"€#,##0")&amp;" tax-free, the "&amp;"next "&amp;TEXT(Lump_Sum_Cap-Lump_Sum_Tax_Free,"€#,##0")&amp;" at "&amp;TEXT(Lump_Sum_Rate,"0%")&amp;", anything "&amp;"above "&amp;TEXT(Lump_Sum_Cap,"€#,##0")&amp;" at the higher rate. Contributions are counted as paid at the end of each year."</f>
        <v>• Desired income and the State Pension are before tax: the State Pension is taxable (USC-exempt) and drawdown pays income tax and USC. The lump sum is the share you chose (25% at most): the first €200,000 tax-free, the next €300,000 at 20%, anything above €500,000 at the higher rate. Contributions are counted as paid at the end of each year.</v>
      </c>
      <c r="C63" s="80"/>
      <c r="D63" s="80"/>
      <c r="E63" s="80"/>
    </row>
    <row r="64" customFormat="false" ht="13.5" hidden="false" customHeight="true" outlineLevel="0" collapsed="false">
      <c r="B64" s="81" t="s">
        <v>2856</v>
      </c>
      <c r="C64" s="81"/>
      <c r="D64" s="81"/>
      <c r="E64" s="81"/>
    </row>
    <row r="65" customFormat="false" ht="13.5" hidden="false" customHeight="true" outlineLevel="0" collapsed="false">
      <c r="B65" s="80" t="s">
        <v>3340</v>
      </c>
      <c r="C65" s="80"/>
      <c r="D65" s="80"/>
      <c r="E65" s="80"/>
    </row>
    <row r="66" customFormat="false" ht="27.75" hidden="false" customHeight="true" outlineLevel="0" collapsed="false">
      <c r="B66" s="80" t="s">
        <v>3341</v>
      </c>
      <c r="C66" s="80"/>
      <c r="D66" s="80"/>
      <c r="E66" s="80"/>
    </row>
    <row r="67" customFormat="false" ht="13.5" hidden="false" customHeight="true" outlineLevel="0" collapsed="false">
      <c r="B67" s="80" t="s">
        <v>3342</v>
      </c>
      <c r="C67" s="80"/>
      <c r="D67" s="80"/>
      <c r="E67" s="80"/>
    </row>
    <row r="69" customFormat="false" ht="15" hidden="false" customHeight="true" outlineLevel="0" collapsed="false">
      <c r="B69" s="55" t="s">
        <v>2861</v>
      </c>
      <c r="C69" s="58"/>
      <c r="D69" s="58"/>
      <c r="E69" s="58"/>
      <c r="F69" s="58"/>
      <c r="G69" s="58"/>
    </row>
    <row r="70" customFormat="false" ht="15" hidden="false" customHeight="true" outlineLevel="0" collapsed="false">
      <c r="B70" s="59" t="s">
        <v>1620</v>
      </c>
      <c r="C70" s="82" t="str">
        <f aca="false">"Update your retirement goal (no new goal)"</f>
        <v>Update your retirement goal (no new goal)</v>
      </c>
      <c r="E70" s="83" t="s">
        <v>3343</v>
      </c>
    </row>
    <row r="71" customFormat="false" ht="15" hidden="false" customHeight="true" outlineLevel="0" collapsed="false">
      <c r="B71" s="59" t="s">
        <v>3344</v>
      </c>
      <c r="C71" s="84" t="n">
        <f aca="false">IF(Need_9&lt;&gt;"",Need_9,Desired_Income-Spend_Less)</f>
        <v>40000</v>
      </c>
      <c r="E71" s="83" t="s">
        <v>3345</v>
      </c>
    </row>
    <row r="72" customFormat="false" ht="15" hidden="false" customHeight="true" outlineLevel="0" collapsed="false">
      <c r="B72" s="59" t="s">
        <v>114</v>
      </c>
      <c r="C72" s="85" t="n">
        <f aca="false">IF(Need_1&lt;&gt;"",Need_1,Retirement_Age+Retire_Later)</f>
        <v>65</v>
      </c>
      <c r="E72" s="83" t="s">
        <v>3346</v>
      </c>
    </row>
    <row r="73" customFormat="false" ht="15" hidden="false" customHeight="true" outlineLevel="0" collapsed="false">
      <c r="B73" s="59" t="s">
        <v>3155</v>
      </c>
      <c r="C73" s="103" t="n">
        <f aca="false">IF(Inflation_Choice="","Choose an inflation rate first",Inflation_Choice)</f>
        <v>0.02</v>
      </c>
      <c r="E73" s="83" t="s">
        <v>3156</v>
      </c>
    </row>
    <row r="74" customFormat="false" ht="13.5" hidden="false" customHeight="true" outlineLevel="0" collapsed="false">
      <c r="B74" s="87" t="s">
        <v>3347</v>
      </c>
      <c r="C74" s="87"/>
      <c r="D74" s="87"/>
      <c r="E74" s="87"/>
    </row>
    <row r="76" customFormat="false" ht="15" hidden="false" customHeight="true" outlineLevel="0" collapsed="false">
      <c r="B76" s="55" t="s">
        <v>2869</v>
      </c>
      <c r="C76" s="58"/>
      <c r="D76" s="58"/>
      <c r="E76" s="58"/>
      <c r="F76" s="58"/>
      <c r="G76" s="58"/>
    </row>
    <row r="77" customFormat="false" ht="15" hidden="false" customHeight="true" outlineLevel="0" collapsed="false">
      <c r="B77" s="86" t="s">
        <v>3348</v>
      </c>
      <c r="C77" s="86" t="str">
        <f aca="false">IF(AND(ISNUMBER(Age),ISNUMBER(Retirement_Age),N(Retirement_Age)+N(Retire_Later)&lt;=N(Age)),"Choose a retirement age after your age to see this",IF(Retirement_Age="","Choose your retirement age to see this",IF(Other_Income="","Choose your State Pension (other yearly income) to see this","")))</f>
        <v/>
      </c>
    </row>
    <row r="78" customFormat="false" ht="15" hidden="false" customHeight="true" outlineLevel="0" collapsed="false">
      <c r="B78" s="86" t="s">
        <v>3349</v>
      </c>
      <c r="C78" s="86" t="str">
        <f aca="false">IF(Age="","Choose your age to see this",IF(Desired_Income="","Choose your desired retirement income to see this",IF(NOT(ISNUMBER(Used_Pension_Today)),IF(Used_Pension_Today="",IF(Pension_Today="","Choose your pension value to see this",""),Used_Pension_Today),IF(NOT(ISNUMBER(Used_Monthly_Contribution)),IF(Used_Monthly_Contribution="",IF(Monthly_Contribution="","Choose your monthly contributions to see this",""),Used_Monthly_Contribution),IF(NOT(ISNUMBER(Used_Growth_Rate)),IF(Used_Growth_Rate="",IF(Growth_Rate="","Choose your growth rate to see this",IF(Growth_Rate="","Choose your growth rate to see this",IF(Growth_Rate="","Choose your growth rate to see this",IF(Typical_Pension_Charges="","Choose your typical pension charges to see this",IF(Typical_Pension_Charges="","Choose your typical pension charges to see this",""))))),Used_Growth_Rate),IF(AND(ISNUMBER(Age),ISNUMBER(Retirement_Age),N(Retirement_Age)+N(Retire_Later)&lt;=N(Age)),"Choose a retirement age after your age to see this",IF(Retirement_Age="","Choose your retirement age to see this",IF(Other_Income="","Choose your State Pension (other yearly income) to see this",""))))))))</f>
        <v/>
      </c>
    </row>
    <row r="79" customFormat="false" ht="15" hidden="false" customHeight="true" outlineLevel="0" collapsed="false">
      <c r="B79" s="86" t="s">
        <v>3350</v>
      </c>
      <c r="C79" s="86" t="str">
        <f aca="false">IF(Age="","Choose your age to see this",IF(NOT(ISNUMBER(Used_Pension_Today)),IF(Used_Pension_Today="",IF(Pension_Today="","Choose your pension value to see this",""),Used_Pension_Today),IF(NOT(ISNUMBER(Used_Monthly_Contribution)),IF(Used_Monthly_Contribution="",IF(Monthly_Contribution="","Choose your monthly contributions to see this",""),Used_Monthly_Contribution),IF(NOT(ISNUMBER(Used_Growth_Rate)),IF(Used_Growth_Rate="",IF(Growth_Rate="","Choose your growth rate to see this",IF(Growth_Rate="","Choose your growth rate to see this",IF(Growth_Rate="","Choose your growth rate to see this",IF(Typical_Pension_Charges="","Choose your typical pension charges to see this",IF(Typical_Pension_Charges="","Choose your typical pension charges to see this",""))))),Used_Growth_Rate),IF(AND(ISNUMBER(Age),ISNUMBER(Retirement_Age),N(Retirement_Age)+N(Retire_Later)&lt;=N(Age)),"Choose a retirement age after your age to see this",IF(Retirement_Age="","Choose your retirement age to see this",IF(Other_Income="","Choose your State Pension (other yearly income) to see this","")))))))</f>
        <v/>
      </c>
    </row>
    <row r="80" customFormat="false" ht="15" hidden="false" customHeight="true" outlineLevel="0" collapsed="false">
      <c r="B80" s="86" t="s">
        <v>3351</v>
      </c>
      <c r="C80" s="86" t="str">
        <f aca="false">IF(Desired_Income="","Choose your desired retirement income to see this",IF(AND(ISNUMBER(Age),ISNUMBER(Retirement_Age),N(Retirement_Age)+N(Retire_Later)&lt;=N(Age)),"Choose a retirement age after your age to see this",IF(Retirement_Age="","Choose your retirement age to see this",IF(Other_Income="","Choose your State Pension (other yearly income) to see this",""))))</f>
        <v/>
      </c>
    </row>
    <row r="81" customFormat="false" ht="15" hidden="false" customHeight="true" outlineLevel="0" collapsed="false">
      <c r="B81" s="86" t="s">
        <v>3352</v>
      </c>
      <c r="C81" s="86" t="str">
        <f aca="false">IF(Age="","Choose your age to see this",IF(NOT(ISNUMBER(Used_Pension_Today)),IF(Used_Pension_Today="",IF(Pension_Today="","Choose your pension value to see this",""),Used_Pension_Today),IF(NOT(ISNUMBER(Used_Monthly_Contribution)),IF(Used_Monthly_Contribution="",IF(Monthly_Contribution="","Choose your monthly contributions to see this",""),Used_Monthly_Contribution),IF(NOT(ISNUMBER(Used_Growth_Rate)),IF(Used_Growth_Rate="",IF(Growth_Rate="","Choose your growth rate to see this",IF(Growth_Rate="","Choose your growth rate to see this",IF(Growth_Rate="","Choose your growth rate to see this",IF(Typical_Pension_Charges="","Choose your typical pension charges to see this",IF(Typical_Pension_Charges="","Choose your typical pension charges to see this",""))))),Used_Growth_Rate),IF(AND(ISNUMBER(Age),ISNUMBER(Retirement_Age),N(Retirement_Age)+N(Retire_Later)&lt;=N(Age)),"Choose a retirement age after your age to see this",IF(Retirement_Age="","Choose your retirement age to see this",IF(Other_Income="","Choose your State Pension (other yearly income) to see this","")))))))</f>
        <v/>
      </c>
    </row>
    <row r="82" customFormat="false" ht="15" hidden="false" customHeight="true" outlineLevel="0" collapsed="false">
      <c r="B82" s="86" t="s">
        <v>3353</v>
      </c>
      <c r="C82" s="86" t="str">
        <f aca="false">IF(Age="","Choose your age to see this",IF(AND(ISNUMBER(Age),ISNUMBER(Retirement_Age),N(Retirement_Age)+N(Retire_Later)&lt;=N(Age)),"Choose a retirement age after your age to see this",IF(Retirement_Age="","Choose your retirement age to see this",IF(Other_Income="","Choose your State Pension (other yearly income) to see this",""))))</f>
        <v/>
      </c>
    </row>
    <row r="83" customFormat="false" ht="15" hidden="false" customHeight="true" outlineLevel="0" collapsed="false">
      <c r="B83" s="86" t="s">
        <v>3354</v>
      </c>
      <c r="C83" s="86" t="str">
        <f aca="false">IF(NOT(ISNUMBER(Used_Monthly_Contribution)),IF(Used_Monthly_Contribution="",IF(Monthly_Contribution="","Choose your monthly contributions to see this",""),Used_Monthly_Contribution),IF(AND(ISNUMBER(Age),ISNUMBER(Retirement_Age),N(Retirement_Age)+N(Retire_Later)&lt;=N(Age)),"Choose a retirement age after your age to see this",IF(Retirement_Age="","Choose your retirement age to see this",IF(Other_Income="","Choose your State Pension (other yearly income) to see this",""))))</f>
        <v/>
      </c>
    </row>
    <row r="84" customFormat="false" ht="15" hidden="false" customHeight="true" outlineLevel="0" collapsed="false">
      <c r="B84" s="86" t="s">
        <v>3355</v>
      </c>
      <c r="C84" s="86" t="str">
        <f aca="false">IF(Age="","Choose your age to see this",IF(NOT(ISNUMBER(Used_Monthly_Contribution)),IF(Used_Monthly_Contribution="",IF(Monthly_Contribution="","Choose your monthly contributions to see this",""),Used_Monthly_Contribution),IF(NOT(ISNUMBER(Used_Growth_Rate)),IF(Used_Growth_Rate="",IF(Growth_Rate="","Choose your growth rate to see this",IF(Growth_Rate="","Choose your growth rate to see this",IF(Growth_Rate="","Choose your growth rate to see this",IF(Typical_Pension_Charges="","Choose your typical pension charges to see this",IF(Typical_Pension_Charges="","Choose your typical pension charges to see this",""))))),Used_Growth_Rate),IF(AND(ISNUMBER(Age),ISNUMBER(Retirement_Age),N(Retirement_Age)+N(Retire_Later)&lt;=N(Age)),"Choose a retirement age after your age to see this",IF(Retirement_Age="","Choose your retirement age to see this",IF(Other_Income="","Choose your State Pension (other yearly income) to see this",""))))))</f>
        <v/>
      </c>
    </row>
    <row r="85" customFormat="false" ht="15" hidden="false" customHeight="true" outlineLevel="0" collapsed="false">
      <c r="B85" s="86" t="s">
        <v>3356</v>
      </c>
      <c r="C85" s="86" t="str">
        <f aca="false">IF(Desired_Income="","Choose your desired retirement income to see this",IF(AND(ISNUMBER(Age),ISNUMBER(Retirement_Age),N(Retirement_Age)+N(Retire_Later)&lt;=N(Age)),"Choose a retirement age after your age to see this",IF(Retirement_Age="","Choose your retirement age to see this",IF(Other_Income="","Choose your State Pension (other yearly income) to see this",""))))</f>
        <v/>
      </c>
    </row>
  </sheetData>
  <mergeCells count="13">
    <mergeCell ref="B7:E7"/>
    <mergeCell ref="B10:E10"/>
    <mergeCell ref="C53:E53"/>
    <mergeCell ref="C54:E54"/>
    <mergeCell ref="B60:E60"/>
    <mergeCell ref="B61:E61"/>
    <mergeCell ref="B62:E62"/>
    <mergeCell ref="B63:E63"/>
    <mergeCell ref="B64:E64"/>
    <mergeCell ref="B65:E65"/>
    <mergeCell ref="B66:E66"/>
    <mergeCell ref="B67:E67"/>
    <mergeCell ref="B74:E74"/>
  </mergeCells>
  <dataValidations count="24">
    <dataValidation allowBlank="true" error="Please enter a date (dd/mm/yyyy)." errorStyle="stop" errorTitle="Outside the allowed range" operator="greaterThan" prompt="Unit: date. Allowed: a date (dd/mm/yyyy)." promptTitle="Statement date" showDropDown="false" showErrorMessage="true" showInputMessage="true" sqref="C18" type="date">
      <formula1>36526</formula1>
      <formula2>0</formula2>
    </dataValidation>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0% to 5%." errorStyle="stop" errorTitle="Outside the allowed range" operator="between" prompt="Unit: %. Allowed: 0% to 5%." promptTitle="Annual charges % (if shown)" showDropDown="false" showErrorMessage="true" showInputMessage="true" sqref="C17" type="decimal">
      <formula1>0</formula1>
      <formula2>0.05</formula2>
    </dataValidation>
    <dataValidation allowBlank="true" error="Please enter 0% to 2.5% · steps of 0.05%." errorStyle="stop" errorTitle="Outside the allowed range" operator="between" prompt="Your own pension charges (your statement shows them). A suggested figure and its source are shown beside this cell (Partner rates, Assumptions sheet). CCPC: usually 0.5%–2% a year. Allowed: 0% to 2.5% · steps of 0.05%" promptTitle="Typical pension charges (if your" showDropDown="false" showErrorMessage="true" showInputMessage="true" sqref="C30" type="decimal">
      <formula1>0</formula1>
      <formula2>0.025</formula2>
    </dataValidation>
    <dataValidation allowBlank="true" error="Please enter €0 to €50,000,000." errorStyle="stop" errorTitle="Outside the allowed range" operator="between" prompt="Unit: €. Allowed: €0 to €50,000,000." promptTitle="Fund value today" showDropDown="false" showErrorMessage="true" showInputMessage="true" sqref="C11" type="decimal">
      <formula1>0</formula1>
      <formula2>50000000</formula2>
    </dataValidation>
    <dataValidation allowBlank="true" error="Please enter €0 to €100,000,000." errorStyle="stop" errorTitle="Outside the allowed range" operator="between" prompt="Unit: €. Allowed: €0 to €100,000,000." promptTitle="Projected fund at retirement (if" showDropDown="false" showErrorMessage="true" showInputMessage="true" sqref="C15" type="decimal">
      <formula1>0</formula1>
      <formula2>100000000</formula2>
    </dataValidation>
    <dataValidation allowBlank="true" error="Please enter €0 to €100,000." errorStyle="stop" errorTitle="Outside the allowed range" operator="between" prompt="Unit: €. Allowed: €0 to €100,000." promptTitle="Your monthly contribution" showDropDown="false" showErrorMessage="true" showInputMessage="true" sqref="C12" type="decimal">
      <formula1>0</formula1>
      <formula2>100000</formula2>
    </dataValidation>
    <dataValidation allowBlank="true" error="Please enter €0 to €100,000." errorStyle="stop" errorTitle="Outside the allowed range" operator="between" prompt="Unit: €. Allowed: €0 to €100,000." promptTitle="Employer monthly contribution" showDropDown="false" showErrorMessage="true" showInputMessage="true" sqref="C13" type="decimal">
      <formula1>0</formula1>
      <formula2>100000</formula2>
    </dataValidation>
    <dataValidation allowBlank="true" error="Please enter 50 to 75." errorStyle="stop" errorTitle="Outside the allowed range" operator="between" prompt="Unit: age. Allowed: 50 to 75." promptTitle="Normal retirement age" showDropDown="false" showErrorMessage="true" showInputMessage="true" sqref="C14" type="whole">
      <formula1>50</formula1>
      <formula2>75</formula2>
    </dataValidation>
    <dataValidation allowBlank="true" error="Please enter Yes or No." errorStyle="stop" errorTitle="Outside the allowed range" operator="between" prompt="Unit: Yes / No. Allowed: Yes or No." promptTitle="Projection is in today's money? " showDropDown="false" showErrorMessage="true" showInputMessage="true" sqref="C16" type="list">
      <formula1>"Yes,No"</formula1>
      <formula2>0</formula2>
    </dataValidation>
    <dataValidation allowBlank="true" error="Please enter 20 to 70 · steps of 1." errorStyle="stop" errorTitle="Outside the allowed range" operator="between" prompt="Your own figure. In the app it is pre-filled from About you: age.  Allowed: 20 to 70 · steps of 1." promptTitle="Your age" showDropDown="false" showErrorMessage="true" showInputMessage="true" sqref="C21" type="whole">
      <formula1>20</formula1>
      <formula2>70</formula2>
    </dataValidation>
    <dataValidation allowBlank="true" error="Please enter 21 to 104 · steps of 1." errorStyle="stop" errorTitle="Outside the allowed range" operator="between" prompt="You can usually draw a pension from 60 (some schemes from 50); State Pension is paid from 66. Choose your own: there is no default.  Allowed: 50 to 75 · steps of 1." promptTitle="Target retirement age" showDropDown="false" showErrorMessage="true" showInputMessage="true" sqref="C22" type="whole">
      <formula1>21</formula1>
      <formula2>104</formula2>
    </dataValidation>
    <dataValidation allowBlank="true" error="Please enter €0 to €15,000,000 · steps of €1,000." errorStyle="stop" errorTitle="Outside the allowed range" operator="between" prompt="Your own figure. In the app it is pre-filled from Your finances / pension statement.  Allowed: €0 to €15,000,000 · steps of €1,000." promptTitle="Pension value today" showDropDown="false" showErrorMessage="true" showInputMessage="true" sqref="C23" type="decimal">
      <formula1>0</formula1>
      <formula2>15000000</formula2>
    </dataValidation>
    <dataValidation allowBlank="true" error="Please enter €0 to €50,000 · steps of €10." errorStyle="stop" errorTitle="Outside the allowed range" operator="between" prompt="Your own figure. In the app it is pre-filled from Your finances / pension statement.  Allowed: €0 to €50,000 · steps of €10." promptTitle="Monthly contributions (you + emp" showDropDown="false" showErrorMessage="true" showInputMessage="true" sqref="C24" type="decimal">
      <formula1>0</formula1>
      <formula2>50000</formula2>
    </dataValidation>
    <dataValidation allowBlank="true" error="Please enter €10,000 to €1,500,000 · steps of €1,000." errorStyle="stop" errorTitle="Outside the allowed range" operator="between" prompt="Your own figure. In the app it is pre-filled from Plan: retirement goal income.  Allowed: €10,000 to €1,500,000 · steps of €1,000." promptTitle="Desired yearly income in retirem" showDropDown="false" showErrorMessage="true" showInputMessage="true" sqref="C25" type="decimal">
      <formula1>10000</formula1>
      <formula2>1500000</formula2>
    </dataValidation>
    <dataValidation allowBlank="true" error="Please enter €0 to €500,000 · steps of €500." errorStyle="stop" errorTitle="Outside the allowed range" operator="between" prompt="Usually between €0 and €15,564 a year: the full State Pension is €299.30 a week (DSP 2026), partial rates are lower and depend on your PRSI record. In the app it is pre-filled from State Pension €15,563.60 × your e Allowed: €0 to €500,000 · steps of €500." promptTitle="Other yearly income from 66, e.g" showDropDown="false" showErrorMessage="true" showInputMessage="true" sqref="C26" type="decimal">
      <formula1>0</formula1>
      <formula2>500000</formula2>
    </dataValidation>
    <dataValidation allowBlank="true" error="Please enter 1% to 7% · steps of 0.25%." errorStyle="stop" errorTitle="Outside the allowed range" operator="between" prompt="Generally the standard is 4.5% a year after charges while you work (LifeMap Standard set; Cautious 4%). Choose what you want to use.  Allowed: 1% to 7% · steps of 0.25%." promptTitle="Pension growth after charges a y" showDropDown="false" showErrorMessage="true" showInputMessage="true" sqref="C27" type="decimal">
      <formula1>0.01</formula1>
      <formula2>0.07</formula2>
    </dataValidation>
    <dataValidation allowBlank="true" error="Please enter 0% to 6% · steps of 0.25%." errorStyle="stop" errorTitle="Outside the allowed range" operator="between" prompt="Generally the standard is 3% a year (Irish pay has grown about 3%–4% a year recently; LifeMap Standard set). Choose what you want to use.  Allowed: 0% to 6% · steps of 0.25%." promptTitle="Pay rises a year (contributions " showDropDown="false" showErrorMessage="true" showInputMessage="true" sqref="C28" type="decimal">
      <formula1>0</formula1>
      <formula2>0.06</formula2>
    </dataValidation>
    <dataValidation allowBlank="true" error="Please enter 20 to 33 · steps of 1." errorStyle="stop" errorTitle="Outside the allowed range" operator="between" prompt="Generally the standard is 25 times the yearly income you need (about 4% a year). Choose what you want to use.  Allowed: 20 to 33 · steps of 1." promptTitle="Retirement savings target: × the" showDropDown="false" showErrorMessage="true" showInputMessage="true" sqref="C29" type="whole">
      <formula1>20</formula1>
      <formula2>33</formula2>
    </dataValidation>
    <dataValidation allowBlank="true" error="Please enter 0% to 25% · steps of 1%." errorStyle="stop" errorTitle="Outside the allowed range" operator="between" prompt="Generally the standard is 25% of the fund, the most allowed (first €200,000 tax-free, next €300,000 at 20%). Choose what you want to use.  Allowed: 0% to 25% · steps of 1%." promptTitle="Tax-free lump sum you plan to ta" showDropDown="false" showErrorMessage="true" showInputMessage="true" sqref="C31" type="decimal">
      <formula1>0</formula1>
      <formula2>0.25</formula2>
    </dataValidation>
    <dataValidation allowBlank="true" error="Please enter 0 to 5 · steps of 1." errorStyle="stop" errorTitle="Outside the allowed range" operator="between" prompt="Optional: leave blank for none.  Allowed: 0 to 5 · steps of 1." promptTitle="What if: retire later by" showDropDown="false" showErrorMessage="true" showInputMessage="true" sqref="C32" type="whole">
      <formula1>0</formula1>
      <formula2>5</formula2>
    </dataValidation>
    <dataValidation allowBlank="true" error="Please enter €0 to €15,000 · steps of €50." errorStyle="stop" errorTitle="Outside the allowed range" operator="between" prompt="Optional: leave blank for none.  Allowed: €0 to €15,000 · steps of €50." promptTitle="What if: save more each month" showDropDown="false" showErrorMessage="true" showInputMessage="true" sqref="C33" type="decimal">
      <formula1>0</formula1>
      <formula2>15000</formula2>
    </dataValidation>
    <dataValidation allowBlank="true" error="Please enter €0 to €200,000 · steps of €500." errorStyle="stop" errorTitle="Outside the allowed range" operator="between" prompt="Optional: leave blank for none.  Allowed: €0 to €200,000 · steps of €500." promptTitle="What if: spend less in retiremen" showDropDown="false" showErrorMessage="true" showInputMessage="true" sqref="C34" type="decimal">
      <formula1>0</formula1>
      <formula2>Max_Money_Input</formula2>
    </dataValidation>
    <dataValidation allowBlank="true" error="Choose 50 or 60" errorStyle="stop" errorTitle="Pension access age" operator="between" showDropDown="false" showErrorMessage="true" showInputMessage="false" sqref="C35" type="list">
      <formula1>"50,60"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2B134"/>
    <pageSetUpPr fitToPage="false"/>
  </sheetPr>
  <dimension ref="B1:G5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20" width="2"/>
    <col collapsed="false" customWidth="true" hidden="false" outlineLevel="0" max="2" min="2" style="20" width="50"/>
    <col collapsed="false" customWidth="true" hidden="false" outlineLevel="0" max="3" min="3" style="20" width="26"/>
    <col collapsed="false" customWidth="true" hidden="false" outlineLevel="0" max="4" min="4" style="20" width="24"/>
    <col collapsed="false" customWidth="true" hidden="false" outlineLevel="0" max="5" min="5" style="20" width="78"/>
    <col collapsed="false" customWidth="true" hidden="false" outlineLevel="0" max="6" min="6" style="20" width="14"/>
    <col collapsed="false" customWidth="true" hidden="false" outlineLevel="0" max="7" min="7" style="20" width="16"/>
  </cols>
  <sheetData>
    <row r="1" customFormat="false" ht="19.5" hidden="false" customHeight="true" outlineLevel="0" collapsed="false">
      <c r="B1" s="50" t="s">
        <v>3357</v>
      </c>
      <c r="E1" s="51" t="s">
        <v>3358</v>
      </c>
    </row>
    <row r="2" customFormat="false" ht="15" hidden="false" customHeight="true" outlineLevel="0" collapsed="false">
      <c r="B2" s="52" t="s">
        <v>3359</v>
      </c>
      <c r="E2" s="53" t="str">
        <f aca="false">IF(Fill_Example="Yes","Example values are ON (README): grey Example only figures fill blank inputs.","Blank template: fill the yellow inputs (or switch on example values on the README).")</f>
        <v>Example values are ON (README): grey Example only figures fill blank inputs.</v>
      </c>
    </row>
    <row r="3" customFormat="false" ht="15" hidden="false" customHeight="true" outlineLevel="0" collapsed="false">
      <c r="B3" s="54" t="s">
        <v>3360</v>
      </c>
    </row>
    <row r="5" customFormat="false" ht="15" hidden="false" customHeight="true" outlineLevel="0" collapsed="false">
      <c r="B5" s="55" t="s">
        <v>3128</v>
      </c>
      <c r="C5" s="56" t="s">
        <v>912</v>
      </c>
      <c r="D5" s="56" t="s">
        <v>913</v>
      </c>
      <c r="E5" s="56" t="s">
        <v>2804</v>
      </c>
      <c r="F5" s="57" t="s">
        <v>2805</v>
      </c>
      <c r="G5" s="58"/>
    </row>
    <row r="6" customFormat="false" ht="21.75" hidden="false" customHeight="true" outlineLevel="0" collapsed="false">
      <c r="B6" s="59" t="s">
        <v>3129</v>
      </c>
      <c r="C6" s="68"/>
      <c r="D6" s="61" t="s">
        <v>2814</v>
      </c>
      <c r="E6" s="69" t="str">
        <f aca="false">"Type 3 · your choice · Generally the standard is 2% a year (ECB target); Ireland's prices are rising "&amp;TEXT(Set_inflNow,"0.0%")&amp;" now (CSO HICP flash, Sep 2026). Choose what you want to use. Allowed: 0% to 10% · steps of 0.25%"</f>
        <v>Type 3 · your choice · Generally the standard is 2% a year (ECB target); Ireland's prices are rising 3.9% now (CSO HICP flash, Sep 2026). Choose what you want to use. Allowed: 0% to 10% · steps of 0.25%</v>
      </c>
      <c r="F6" s="70" t="n">
        <v>0.02</v>
      </c>
      <c r="G6" s="71" t="n">
        <f aca="false">IF(ISBLANK(C6),IF(Fill_Example="Yes",F6,""),C6)</f>
        <v>0.02</v>
      </c>
    </row>
    <row r="7" customFormat="false" ht="27.75" hidden="false" customHeight="true" outlineLevel="0" collapsed="false">
      <c r="B7" s="87" t="str">
        <f aca="false">"Everyone sees this differently. Ireland's prices are rising "&amp;TEXT(Set_inflNow,"0.0%")&amp;" now (CSO HICP flash, Sep 2026), mostly because of energy. Over decades, 2%–2.5% is the usual planning range (ECB target 2%). Enter 0% if you don't want to adjust for prices."</f>
        <v>Everyone sees this differently. Ireland's prices are rising 3.9% now (CSO HICP flash, Sep 2026), mostly because of energy. Over decades, 2%–2.5% is the usual planning range (ECB target 2%). Enter 0% if you don't want to adjust for prices.</v>
      </c>
      <c r="C7" s="87"/>
      <c r="D7" s="87"/>
      <c r="E7" s="87"/>
    </row>
    <row r="9" customFormat="false" ht="15" hidden="false" customHeight="true" outlineLevel="0" collapsed="false">
      <c r="B9" s="55" t="s">
        <v>2882</v>
      </c>
      <c r="C9" s="58"/>
      <c r="D9" s="58"/>
      <c r="E9" s="58"/>
      <c r="F9" s="58"/>
      <c r="G9" s="58"/>
    </row>
    <row r="10" customFormat="false" ht="27.75" hidden="false" customHeight="true" outlineLevel="0" collapsed="false">
      <c r="B10" s="87" t="s">
        <v>3361</v>
      </c>
      <c r="C10" s="87"/>
      <c r="D10" s="87"/>
      <c r="E10" s="87"/>
    </row>
    <row r="11" customFormat="false" ht="15" hidden="false" customHeight="true" outlineLevel="0" collapsed="false">
      <c r="B11" s="59" t="s">
        <v>3201</v>
      </c>
      <c r="C11" s="89"/>
      <c r="D11" s="61" t="s">
        <v>2814</v>
      </c>
      <c r="E11" s="62" t="s">
        <v>3202</v>
      </c>
      <c r="G11" s="86" t="s">
        <v>2886</v>
      </c>
    </row>
    <row r="12" customFormat="false" ht="15" hidden="false" customHeight="true" outlineLevel="0" collapsed="false">
      <c r="B12" s="59" t="s">
        <v>2891</v>
      </c>
      <c r="C12" s="91"/>
      <c r="D12" s="61" t="s">
        <v>922</v>
      </c>
      <c r="E12" s="62" t="s">
        <v>2892</v>
      </c>
      <c r="G12" s="86" t="s">
        <v>2886</v>
      </c>
    </row>
    <row r="14" customFormat="false" ht="15" hidden="false" customHeight="true" outlineLevel="0" collapsed="false">
      <c r="B14" s="55" t="s">
        <v>2893</v>
      </c>
      <c r="C14" s="56" t="s">
        <v>912</v>
      </c>
      <c r="D14" s="56" t="s">
        <v>913</v>
      </c>
      <c r="E14" s="56" t="s">
        <v>2804</v>
      </c>
      <c r="F14" s="57" t="s">
        <v>2805</v>
      </c>
      <c r="G14" s="58"/>
    </row>
    <row r="15" customFormat="false" ht="21.75" hidden="false" customHeight="true" outlineLevel="0" collapsed="false">
      <c r="B15" s="59" t="s">
        <v>3362</v>
      </c>
      <c r="C15" s="60"/>
      <c r="D15" s="61" t="s">
        <v>964</v>
      </c>
      <c r="E15" s="62" t="s">
        <v>2806</v>
      </c>
      <c r="F15" s="63" t="n">
        <v>60000</v>
      </c>
      <c r="G15" s="64" t="n">
        <f aca="false">IF(ISBLANK(C15),IF(Fill_Example="Yes",F15,""),C15)</f>
        <v>60000</v>
      </c>
    </row>
    <row r="16" customFormat="false" ht="15" hidden="false" customHeight="true" outlineLevel="0" collapsed="false">
      <c r="B16" s="59" t="s">
        <v>3363</v>
      </c>
      <c r="C16" s="68"/>
      <c r="D16" s="61" t="s">
        <v>2814</v>
      </c>
      <c r="E16" s="62" t="s">
        <v>3364</v>
      </c>
      <c r="F16" s="70" t="n">
        <v>0.02</v>
      </c>
      <c r="G16" s="71" t="n">
        <f aca="false">IF(ISBLANK(C16),IF(Fill_Example="Yes",F16,""),C16)</f>
        <v>0.02</v>
      </c>
    </row>
    <row r="17" customFormat="false" ht="21.75" hidden="false" customHeight="true" outlineLevel="0" collapsed="false">
      <c r="B17" s="59" t="s">
        <v>3331</v>
      </c>
      <c r="C17" s="72"/>
      <c r="D17" s="61" t="s">
        <v>1002</v>
      </c>
      <c r="E17" s="62" t="s">
        <v>3365</v>
      </c>
      <c r="F17" s="73" t="n">
        <v>25</v>
      </c>
      <c r="G17" s="74" t="n">
        <f aca="false">IF(ISBLANK(C17),IF(Fill_Example="Yes",F17,""),C17)</f>
        <v>25</v>
      </c>
    </row>
    <row r="18" customFormat="false" ht="21.75" hidden="false" customHeight="true" outlineLevel="0" collapsed="false">
      <c r="B18" s="59" t="s">
        <v>3366</v>
      </c>
      <c r="C18" s="68"/>
      <c r="D18" s="61" t="s">
        <v>2814</v>
      </c>
      <c r="E18" s="69" t="s">
        <v>3294</v>
      </c>
      <c r="F18" s="70" t="n">
        <f aca="false">AS_Pen</f>
        <v>0.045</v>
      </c>
      <c r="G18" s="71" t="n">
        <f aca="false">IF(ISBLANK(C18),F18,C18)</f>
        <v>0.045</v>
      </c>
    </row>
    <row r="19" customFormat="false" ht="21.75" hidden="false" customHeight="true" outlineLevel="0" collapsed="false">
      <c r="B19" s="59" t="s">
        <v>3299</v>
      </c>
      <c r="C19" s="68"/>
      <c r="D19" s="61" t="s">
        <v>2814</v>
      </c>
      <c r="E19" s="69" t="str">
        <f aca="false">"Type 2 · your figure · Typical pension charges a year (your statement shows yours). "&amp;IF(ISNUMBER(Suggest_Fund_Charges),"Suggested: "&amp;TEXT(Suggest_Fund_Charges,"0.00%")&amp;" · "&amp;Suggest_Fund_Charges_Label&amp;". ","No suggestion. ")&amp;"Enter your own figure."&amp;" Allowed: 0% to 2.5% · steps of 0.05%"</f>
        <v>Type 2 · your figure · Typical pension charges a year (your statement shows yours). Suggested: 1.00% · Pensions Authority pension calculator assumption. Enter your own figure. Allowed: 0% to 2.5% · steps of 0.05%</v>
      </c>
      <c r="F19" s="70" t="n">
        <f aca="false">IF(ISNUMBER(Suggest_Fund_Charges),Suggest_Fund_Charges,"")</f>
        <v>0.01</v>
      </c>
      <c r="G19" s="71" t="n">
        <f aca="false">IF(ISBLANK(C19),IF(Fill_Example="Yes",F19,""),C19)</f>
        <v>0.01</v>
      </c>
    </row>
    <row r="20" customFormat="false" ht="33" hidden="false" customHeight="true" outlineLevel="0" collapsed="false">
      <c r="B20" s="59" t="s">
        <v>3367</v>
      </c>
      <c r="C20" s="108"/>
      <c r="D20" s="61" t="s">
        <v>3368</v>
      </c>
      <c r="E20" s="69" t="s">
        <v>3369</v>
      </c>
      <c r="F20" s="109" t="n">
        <f aca="false">TE_Marginal_Rate</f>
        <v>0.4</v>
      </c>
      <c r="G20" s="110" t="n">
        <f aca="false">IF(ISBLANK(C20),IF(Fill_Example="Yes",F20,""),C20)</f>
        <v>0.4</v>
      </c>
    </row>
    <row r="21" customFormat="false" ht="21.75" hidden="false" customHeight="true" outlineLevel="0" collapsed="false">
      <c r="B21" s="59" t="s">
        <v>3370</v>
      </c>
      <c r="C21" s="72"/>
      <c r="D21" s="61" t="s">
        <v>932</v>
      </c>
      <c r="E21" s="62" t="s">
        <v>3371</v>
      </c>
      <c r="F21" s="73" t="n">
        <v>40</v>
      </c>
      <c r="G21" s="74" t="n">
        <f aca="false">IF(ISBLANK(C21),IF(Fill_Example="Yes",F21,""),C21)</f>
        <v>40</v>
      </c>
    </row>
    <row r="22" customFormat="false" ht="15" hidden="false" customHeight="true" outlineLevel="0" collapsed="false">
      <c r="B22" s="59" t="s">
        <v>3372</v>
      </c>
      <c r="C22" s="60"/>
      <c r="D22" s="61" t="s">
        <v>964</v>
      </c>
      <c r="E22" s="62" t="s">
        <v>3373</v>
      </c>
      <c r="F22" s="63" t="n">
        <v>0</v>
      </c>
      <c r="G22" s="64" t="n">
        <f aca="false">IF(ISBLANK(C22),IF(Pens_Own_Total&gt;0,Pens_Own_Total*12,F22),C22)</f>
        <v>0</v>
      </c>
    </row>
    <row r="24" customFormat="false" ht="15" hidden="false" customHeight="true" outlineLevel="0" collapsed="false">
      <c r="B24" s="55" t="s">
        <v>2902</v>
      </c>
      <c r="C24" s="58"/>
      <c r="D24" s="58"/>
      <c r="E24" s="58"/>
      <c r="F24" s="58"/>
      <c r="G24" s="58"/>
    </row>
    <row r="25" customFormat="false" ht="15" hidden="false" customHeight="true" outlineLevel="0" collapsed="false">
      <c r="B25" s="59" t="s">
        <v>3374</v>
      </c>
      <c r="C25" s="94" t="n">
        <f aca="false">IF(ISBLANK(Stmt_Charges),Growth_Rate,IF(OR(Growth_Rate="",Typical_Pension_Charges=""),"",Growth_Rate+Typical_Pension_Charges-Stmt_Charges))</f>
        <v>0.045</v>
      </c>
      <c r="D25" s="93" t="str">
        <f aca="false">IF(ISBLANK(Stmt_Charges),"Your figure","Adjusted for your statement's charges")</f>
        <v>Your figure</v>
      </c>
      <c r="E25" s="83" t="s">
        <v>3310</v>
      </c>
    </row>
    <row r="26" customFormat="false" ht="21.75" hidden="false" customHeight="true" outlineLevel="0" collapsed="false">
      <c r="B26" s="59" t="s">
        <v>2909</v>
      </c>
      <c r="C26" s="79" t="str">
        <f aca="true">IF(ISBLANK(Stmt_Statement_Date),"",IF(TODAY()-Stmt_Statement_Date&gt;Statement_Max_Age_Days,"Needs a look: statement is more than 12 months old","Up to date"))</f>
        <v/>
      </c>
      <c r="D26" s="61"/>
      <c r="E26" s="76" t="s">
        <v>2910</v>
      </c>
    </row>
    <row r="28" customFormat="false" ht="15" hidden="false" customHeight="true" outlineLevel="0" collapsed="false">
      <c r="B28" s="55" t="s">
        <v>2630</v>
      </c>
      <c r="C28" s="56" t="s">
        <v>327</v>
      </c>
      <c r="D28" s="56" t="s">
        <v>2822</v>
      </c>
      <c r="E28" s="56" t="s">
        <v>2823</v>
      </c>
      <c r="F28" s="58"/>
      <c r="G28" s="58"/>
    </row>
    <row r="29" customFormat="false" ht="17.25" hidden="false" customHeight="true" outlineLevel="0" collapsed="false">
      <c r="B29" s="52" t="s">
        <v>3375</v>
      </c>
      <c r="C29" s="75" t="n">
        <f aca="false">IF(Need_1&lt;&gt;"",Need_1,FV((1+Used_Growth_Rate)^(1/12)-1,Years*12,-Extra_Per_Month))</f>
        <v>54572.4754132493</v>
      </c>
      <c r="D29" s="61" t="s">
        <v>964</v>
      </c>
      <c r="E29" s="76" t="s">
        <v>3376</v>
      </c>
    </row>
    <row r="30" customFormat="false" ht="17.25" hidden="false" customHeight="true" outlineLevel="0" collapsed="false">
      <c r="B30" s="52" t="s">
        <v>3176</v>
      </c>
      <c r="C30" s="75" t="n">
        <f aca="false">IF(Need_2&lt;&gt;"",Need_2,IF(Inflation_Choice="","Choose your inflation rate to see this",Grows_To/(1+Inflation_Choice)^Years))</f>
        <v>33263.608445521</v>
      </c>
      <c r="D30" s="61" t="s">
        <v>964</v>
      </c>
      <c r="E30" s="76" t="s">
        <v>3177</v>
      </c>
    </row>
    <row r="31" customFormat="false" ht="15" hidden="false" customHeight="true" outlineLevel="0" collapsed="false">
      <c r="B31" s="59" t="s">
        <v>3377</v>
      </c>
      <c r="C31" s="77" t="n">
        <f aca="false">IF(Need_3&lt;&gt;"",Need_3,Salary*Increase_Pct/12)</f>
        <v>100</v>
      </c>
      <c r="D31" s="61" t="s">
        <v>964</v>
      </c>
      <c r="E31" s="76" t="s">
        <v>3378</v>
      </c>
    </row>
    <row r="32" customFormat="false" ht="15" hidden="false" customHeight="true" outlineLevel="0" collapsed="false">
      <c r="B32" s="59" t="s">
        <v>3379</v>
      </c>
      <c r="C32" s="77" t="n">
        <f aca="false">IF(Need_4&lt;&gt;"",Need_4,Extra_Per_Month-Relief_Per_Month)</f>
        <v>60</v>
      </c>
      <c r="D32" s="61" t="s">
        <v>964</v>
      </c>
      <c r="E32" s="76" t="s">
        <v>3380</v>
      </c>
    </row>
    <row r="33" customFormat="false" ht="15" hidden="false" customHeight="true" outlineLevel="0" collapsed="false">
      <c r="B33" s="59" t="str">
        <f aca="false">"Most you can get relief on in a year (age-band % × earnings up to "&amp;"€"&amp;TEXT(Relief_Earnings_Cap,"#,##0")&amp;")"</f>
        <v>Most you can get relief on in a year (age-band % × earnings up to €115,000)</v>
      </c>
      <c r="C33" s="77" t="n">
        <f aca="false">IF(Need_5&lt;&gt;"",Need_5,LOOKUP(Age,Relief_Age_From,Relief_Age_Pct)*MIN(Salary,Relief_Earnings_Cap))</f>
        <v>15000</v>
      </c>
      <c r="D33" s="61" t="s">
        <v>964</v>
      </c>
      <c r="E33" s="76" t="s">
        <v>3381</v>
      </c>
    </row>
    <row r="34" customFormat="false" ht="15" hidden="false" customHeight="true" outlineLevel="0" collapsed="false">
      <c r="B34" s="59" t="s">
        <v>3382</v>
      </c>
      <c r="C34" s="77" t="n">
        <f aca="false">IF(Need_5&lt;&gt;"",Need_5,MAX(0,Relief_Limit_Year-Existing_Pension_Year))</f>
        <v>15000</v>
      </c>
      <c r="D34" s="61" t="s">
        <v>964</v>
      </c>
      <c r="E34" s="76" t="s">
        <v>3383</v>
      </c>
    </row>
    <row r="35" customFormat="false" ht="15" hidden="false" customHeight="true" outlineLevel="0" collapsed="false">
      <c r="B35" s="59" t="s">
        <v>3384</v>
      </c>
      <c r="C35" s="77" t="n">
        <f aca="false">IF(Need_6&lt;&gt;"",Need_6,MIN(Extra_Per_Month*12,Relief_Room_Year))</f>
        <v>1200</v>
      </c>
      <c r="D35" s="61" t="s">
        <v>964</v>
      </c>
      <c r="E35" s="76" t="s">
        <v>3385</v>
      </c>
    </row>
    <row r="36" customFormat="false" ht="15" hidden="false" customHeight="true" outlineLevel="0" collapsed="false">
      <c r="B36" s="59" t="s">
        <v>3386</v>
      </c>
      <c r="C36" s="77" t="n">
        <f aca="false">IF(Need_4&lt;&gt;"",Need_4,Relieved_Year*Tax_Rate/12)</f>
        <v>40</v>
      </c>
      <c r="D36" s="61" t="s">
        <v>964</v>
      </c>
      <c r="E36" s="76" t="s">
        <v>3387</v>
      </c>
    </row>
    <row r="38" customFormat="false" ht="15" hidden="false" customHeight="true" outlineLevel="0" collapsed="false">
      <c r="B38" s="55" t="s">
        <v>2853</v>
      </c>
      <c r="C38" s="58"/>
      <c r="D38" s="58"/>
      <c r="E38" s="58"/>
      <c r="F38" s="58"/>
      <c r="G38" s="58"/>
    </row>
    <row r="39" customFormat="false" ht="13.5" hidden="false" customHeight="true" outlineLevel="0" collapsed="false">
      <c r="B39" s="80" t="s">
        <v>3388</v>
      </c>
      <c r="C39" s="80"/>
      <c r="D39" s="80"/>
      <c r="E39" s="80"/>
    </row>
    <row r="40" customFormat="false" ht="13.5" hidden="false" customHeight="true" outlineLevel="0" collapsed="false">
      <c r="B40" s="80" t="s">
        <v>3389</v>
      </c>
      <c r="C40" s="80"/>
      <c r="D40" s="80"/>
      <c r="E40" s="80"/>
    </row>
    <row r="41" customFormat="false" ht="13.5" hidden="false" customHeight="true" outlineLevel="0" collapsed="false">
      <c r="B41" s="81" t="s">
        <v>2856</v>
      </c>
      <c r="C41" s="81"/>
      <c r="D41" s="81"/>
      <c r="E41" s="81"/>
    </row>
    <row r="42" customFormat="false" ht="13.5" hidden="false" customHeight="true" outlineLevel="0" collapsed="false">
      <c r="B42" s="80" t="s">
        <v>3390</v>
      </c>
      <c r="C42" s="80"/>
      <c r="D42" s="80"/>
      <c r="E42" s="80"/>
    </row>
    <row r="43" customFormat="false" ht="13.5" hidden="false" customHeight="true" outlineLevel="0" collapsed="false">
      <c r="B43" s="80" t="str">
        <f aca="false">"• Relief only within the age-related limit (15% under 30 … 40% from 60) of earnings up to "&amp;"€"&amp;TEXT(Relief_Earnings_Cap,"#,##0")&amp;", less what you already pay in (audit #79)."</f>
        <v>• Relief only within the age-related limit (15% under 30 … 40% from 60) of earnings up to €115,000, less what you already pay in (audit #79).</v>
      </c>
      <c r="C43" s="80"/>
      <c r="D43" s="80"/>
      <c r="E43" s="80"/>
    </row>
    <row r="45" customFormat="false" ht="15" hidden="false" customHeight="true" outlineLevel="0" collapsed="false">
      <c r="B45" s="55" t="s">
        <v>2861</v>
      </c>
      <c r="C45" s="58"/>
      <c r="D45" s="58"/>
      <c r="E45" s="58"/>
      <c r="F45" s="58"/>
      <c r="G45" s="58"/>
    </row>
    <row r="46" customFormat="false" ht="15" hidden="false" customHeight="true" outlineLevel="0" collapsed="false">
      <c r="B46" s="59" t="s">
        <v>1620</v>
      </c>
      <c r="C46" s="82" t="str">
        <f aca="false">"No goal: raise the plan's pension contribution instead"</f>
        <v>No goal: raise the plan's pension contribution instead</v>
      </c>
      <c r="E46" s="83" t="s">
        <v>3391</v>
      </c>
    </row>
    <row r="47" customFormat="false" ht="15" hidden="false" customHeight="true" outlineLevel="0" collapsed="false">
      <c r="B47" s="59" t="s">
        <v>3392</v>
      </c>
      <c r="C47" s="84" t="n">
        <f aca="false">IF(Need_3&lt;&gt;"",Need_3,Extra_Per_Month)</f>
        <v>100</v>
      </c>
      <c r="E47" s="83" t="s">
        <v>3393</v>
      </c>
    </row>
    <row r="48" customFormat="false" ht="13.5" hidden="false" customHeight="true" outlineLevel="0" collapsed="false">
      <c r="B48" s="87" t="s">
        <v>3394</v>
      </c>
      <c r="C48" s="87"/>
      <c r="D48" s="87"/>
      <c r="E48" s="87"/>
    </row>
    <row r="50" customFormat="false" ht="15" hidden="false" customHeight="true" outlineLevel="0" collapsed="false">
      <c r="B50" s="55" t="s">
        <v>2869</v>
      </c>
      <c r="C50" s="58"/>
      <c r="D50" s="58"/>
      <c r="E50" s="58"/>
      <c r="F50" s="58"/>
      <c r="G50" s="58"/>
    </row>
    <row r="51" customFormat="false" ht="15" hidden="false" customHeight="true" outlineLevel="0" collapsed="false">
      <c r="B51" s="86" t="s">
        <v>3395</v>
      </c>
      <c r="C51" s="86" t="str">
        <f aca="false">IF(Salary="","Choose your salary to see this",IF(Increase_Pct="","Choose your contribution increase to see this",IF(Years="","Choose your years to retirement to see this",IF(NOT(ISNUMBER(Used_Growth_Rate)),IF(Used_Growth_Rate="",IF(Growth_Rate="","Choose your growth rate to see this",IF(Growth_Rate="","Choose your growth rate to see this",IF(Growth_Rate="","Choose your growth rate to see this",IF(Typical_Pension_Charges="","Choose your typical pension charges to see this",IF(Typical_Pension_Charges="","Choose your typical pension charges to see this",""))))),Used_Growth_Rate),""))))</f>
        <v/>
      </c>
    </row>
    <row r="52" customFormat="false" ht="15" hidden="false" customHeight="true" outlineLevel="0" collapsed="false">
      <c r="B52" s="86" t="s">
        <v>3396</v>
      </c>
      <c r="C52" s="86" t="str">
        <f aca="false">IF(Salary="","Choose your salary to see this",IF(Increase_Pct="","Choose your contribution increase to see this",IF(Years="","Choose your years to retirement to see this",IF(NOT(ISNUMBER(Used_Growth_Rate)),IF(Used_Growth_Rate="",IF(Growth_Rate="","Choose your growth rate to see this",IF(Growth_Rate="","Choose your growth rate to see this",IF(Growth_Rate="","Choose your growth rate to see this",IF(Typical_Pension_Charges="","Choose your typical pension charges to see this",IF(Typical_Pension_Charges="","Choose your typical pension charges to see this",""))))),Used_Growth_Rate),IF(Inflation_Choice="","Choose your inflation rate to see this","")))))</f>
        <v/>
      </c>
    </row>
    <row r="53" customFormat="false" ht="15" hidden="false" customHeight="true" outlineLevel="0" collapsed="false">
      <c r="B53" s="86" t="s">
        <v>3397</v>
      </c>
      <c r="C53" s="86" t="str">
        <f aca="false">IF(Salary="","Choose your salary to see this",IF(Increase_Pct="","Choose your contribution increase to see this",""))</f>
        <v/>
      </c>
    </row>
    <row r="54" customFormat="false" ht="15" hidden="false" customHeight="true" outlineLevel="0" collapsed="false">
      <c r="B54" s="86" t="s">
        <v>3398</v>
      </c>
      <c r="C54" s="86" t="str">
        <f aca="false">IF(Salary="","Choose your salary to see this",IF(Increase_Pct="","Choose your contribution increase to see this",IF(Tax_Rate="","Choose your tax rate to see this",IF(Age="","Choose your age to see this",""))))</f>
        <v/>
      </c>
    </row>
    <row r="55" customFormat="false" ht="15" hidden="false" customHeight="true" outlineLevel="0" collapsed="false">
      <c r="B55" s="86" t="s">
        <v>3399</v>
      </c>
      <c r="C55" s="86" t="str">
        <f aca="false">IF(Salary="","Choose your salary to see this",IF(Age="","Choose your age to see this",""))</f>
        <v/>
      </c>
    </row>
    <row r="56" customFormat="false" ht="15" hidden="false" customHeight="true" outlineLevel="0" collapsed="false">
      <c r="B56" s="86" t="s">
        <v>3400</v>
      </c>
      <c r="C56" s="86" t="str">
        <f aca="false">IF(Salary="","Choose your salary to see this",IF(Increase_Pct="","Choose your contribution increase to see this",IF(Age="","Choose your age to see this","")))</f>
        <v/>
      </c>
    </row>
    <row r="58" customFormat="false" ht="15" hidden="false" customHeight="true" outlineLevel="0" collapsed="false">
      <c r="B58" s="25" t="s">
        <v>3401</v>
      </c>
    </row>
  </sheetData>
  <mergeCells count="8">
    <mergeCell ref="B7:E7"/>
    <mergeCell ref="B10:E10"/>
    <mergeCell ref="B39:E39"/>
    <mergeCell ref="B40:E40"/>
    <mergeCell ref="B41:E41"/>
    <mergeCell ref="B42:E42"/>
    <mergeCell ref="B43:E43"/>
    <mergeCell ref="B48:E48"/>
  </mergeCells>
  <dataValidations count="11">
    <dataValidation allowBlank="true" error="Please enter a date (dd/mm/yyyy)." errorStyle="stop" errorTitle="Outside the allowed range" operator="greaterThan" prompt="Unit: date. Allowed: a date (dd/mm/yyyy)." promptTitle="Statement date" showDropDown="false" showErrorMessage="true" showInputMessage="true" sqref="C12" type="date">
      <formula1>36526</formula1>
      <formula2>0</formula2>
    </dataValidation>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0% to 5%." errorStyle="stop" errorTitle="Outside the allowed range" operator="between" prompt="Unit: %. Allowed: 0% to 5%." promptTitle="Annual charges % (if shown)" showDropDown="false" showErrorMessage="true" showInputMessage="true" sqref="C11" type="decimal">
      <formula1>0</formula1>
      <formula2>0.05</formula2>
    </dataValidation>
    <dataValidation allowBlank="true" error="Please enter 0% to 2.5% · steps of 0.05%." errorStyle="stop" errorTitle="Outside the allowed range" operator="between" prompt="Your own pension charges (your statement shows them). A suggested figure and its source are shown beside this cell (Partner rates, Assumptions sheet). CCPC: usually 0.5%–2% a year. Allowed: 0% to 2.5% · steps of 0.05%" promptTitle="Typical pension charges (if your" showDropDown="false" showErrorMessage="true" showInputMessage="true" sqref="C19" type="decimal">
      <formula1>0</formula1>
      <formula2>0.025</formula2>
    </dataValidation>
    <dataValidation allowBlank="true" error="Please enter 1% to 7% · steps of 0.25%." errorStyle="stop" errorTitle="Outside the allowed range" operator="between" prompt="Generally the standard is 4.5% a year after charges while you work (LifeMap Standard set; Cautious 4%). Choose what you want to use.  Allowed: 1% to 7% · steps of 0.5%." promptTitle="Growth assumption a year" showDropDown="false" showErrorMessage="true" showInputMessage="true" sqref="C18" type="decimal">
      <formula1>0.01</formula1>
      <formula2>0.07</formula2>
    </dataValidation>
    <dataValidation allowBlank="true" error="Please enter 18 to 75 · steps of 1." errorStyle="stop" errorTitle="Outside the allowed range" operator="between" prompt="Your own figure. In the app it is pre-filled from About you: age.  Allowed: 18 to 75 · steps of 1." promptTitle="Your age (for the pension relief" showDropDown="false" showErrorMessage="true" showInputMessage="true" sqref="C21" type="whole">
      <formula1>18</formula1>
      <formula2>75</formula2>
    </dataValidation>
    <dataValidation allowBlank="true" error="Please enter €0 to €1,000,000 · steps of €100." errorStyle="stop" errorTitle="Outside the allowed range" operator="between" prompt="Optional: leave blank for none.  Allowed: €0 to €1,000,000 · steps of €100." promptTitle="What you pay in yourself now, a " showDropDown="false" showErrorMessage="true" showInputMessage="true" sqref="C22" type="decimal">
      <formula1>0</formula1>
      <formula2>1000000</formula2>
    </dataValidation>
    <dataValidation allowBlank="true" error="Please enter €15,000 to €2,500,000 · steps of €1,000." errorStyle="stop" errorTitle="Outside the allowed range" operator="between" prompt="Your own figure. In the app it is pre-filled from Your finances: income.  Allowed: €15,000 to €2,500,000 · steps of €1,000." promptTitle="Salary" showDropDown="false" showErrorMessage="true" showInputMessage="true" sqref="C15" type="decimal">
      <formula1>15000</formula1>
      <formula2>2500000</formula2>
    </dataValidation>
    <dataValidation allowBlank="true" error="Please enter 0.5% to 10% · steps of 0.5%." errorStyle="stop" errorTitle="Outside the allowed range" operator="between" prompt="Your own figure.  Allowed: 0.5% to 10% · steps of 0.5%." promptTitle="Increase contributions by (% of " showDropDown="false" showErrorMessage="true" showInputMessage="true" sqref="C16" type="decimal">
      <formula1>0.005</formula1>
      <formula2>0.1</formula2>
    </dataValidation>
    <dataValidation allowBlank="true" error="Please enter 1 to 45 · steps of 1." errorStyle="stop" errorTitle="Outside the allowed range" operator="between" prompt="Your own figure. In the app it is pre-filled from Plan: retirement age − age.  Allowed: 1 to 45 · steps of 1." promptTitle="Years to retirement" showDropDown="false" showErrorMessage="true" showInputMessage="true" sqref="C17" type="whole">
      <formula1>1</formula1>
      <formula2>45</formula2>
    </dataValidation>
    <dataValidation allowBlank="true" error="Please enter 20% or 40%." errorStyle="stop" errorTitle="Outside the allowed range" operator="between" prompt="Usually between 20% or 40%: your top rate of income tax (the Tax engine works it out). In the app it is pre-filled from Tax engine marginal rate (band by status: €44k single, €48k single parent, €53k married, + up to €35k second earne Allowed: 20% or 40%." promptTitle="Your tax rate (0.2 = 20%, 0.4 = " showDropDown="false" showErrorMessage="true" showInputMessage="true" sqref="C20" type="list">
      <formula1>"0.2,0.4"</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2B134"/>
    <pageSetUpPr fitToPage="false"/>
  </sheetPr>
  <dimension ref="B1:G5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20" width="2"/>
    <col collapsed="false" customWidth="true" hidden="false" outlineLevel="0" max="2" min="2" style="20" width="50"/>
    <col collapsed="false" customWidth="true" hidden="false" outlineLevel="0" max="3" min="3" style="20" width="26"/>
    <col collapsed="false" customWidth="true" hidden="false" outlineLevel="0" max="4" min="4" style="20" width="24"/>
    <col collapsed="false" customWidth="true" hidden="false" outlineLevel="0" max="5" min="5" style="20" width="78"/>
    <col collapsed="false" customWidth="true" hidden="false" outlineLevel="0" max="6" min="6" style="20" width="14"/>
    <col collapsed="false" customWidth="true" hidden="false" outlineLevel="0" max="7" min="7" style="20" width="16"/>
  </cols>
  <sheetData>
    <row r="1" customFormat="false" ht="19.5" hidden="false" customHeight="true" outlineLevel="0" collapsed="false">
      <c r="B1" s="50" t="s">
        <v>3402</v>
      </c>
      <c r="E1" s="51" t="s">
        <v>3403</v>
      </c>
    </row>
    <row r="2" customFormat="false" ht="15" hidden="false" customHeight="true" outlineLevel="0" collapsed="false">
      <c r="B2" s="52" t="s">
        <v>3404</v>
      </c>
      <c r="E2" s="53" t="str">
        <f aca="false">IF(Fill_Example="Yes","Example values are ON (README): grey Example only figures fill blank inputs.","Blank template: fill the yellow inputs (or switch on example values on the README).")</f>
        <v>Example values are ON (README): grey Example only figures fill blank inputs.</v>
      </c>
    </row>
    <row r="3" customFormat="false" ht="15" hidden="false" customHeight="true" outlineLevel="0" collapsed="false">
      <c r="B3" s="54" t="s">
        <v>3405</v>
      </c>
    </row>
    <row r="5" customFormat="false" ht="15" hidden="false" customHeight="true" outlineLevel="0" collapsed="false">
      <c r="B5" s="55" t="s">
        <v>3128</v>
      </c>
      <c r="C5" s="56" t="s">
        <v>912</v>
      </c>
      <c r="D5" s="56" t="s">
        <v>913</v>
      </c>
      <c r="E5" s="56" t="s">
        <v>2804</v>
      </c>
      <c r="F5" s="57" t="s">
        <v>2805</v>
      </c>
      <c r="G5" s="58"/>
    </row>
    <row r="6" customFormat="false" ht="21.75" hidden="false" customHeight="true" outlineLevel="0" collapsed="false">
      <c r="B6" s="59" t="s">
        <v>3129</v>
      </c>
      <c r="C6" s="68"/>
      <c r="D6" s="61" t="s">
        <v>2814</v>
      </c>
      <c r="E6" s="69" t="str">
        <f aca="false">"Type 3 · your choice · Generally the standard is 2% a year (ECB target); Ireland's prices are rising "&amp;TEXT(Set_inflNow,"0.0%")&amp;" now (CSO HICP flash, Sep 2026). Choose what you want to use. Allowed: 0% to 10% · steps of 0.25%"</f>
        <v>Type 3 · your choice · Generally the standard is 2% a year (ECB target); Ireland's prices are rising 3.9% now (CSO HICP flash, Sep 2026). Choose what you want to use. Allowed: 0% to 10% · steps of 0.25%</v>
      </c>
      <c r="F6" s="70" t="n">
        <v>0.02</v>
      </c>
      <c r="G6" s="71" t="n">
        <f aca="false">IF(ISBLANK(C6),IF(Fill_Example="Yes",F6,""),C6)</f>
        <v>0.02</v>
      </c>
    </row>
    <row r="7" customFormat="false" ht="27.75" hidden="false" customHeight="true" outlineLevel="0" collapsed="false">
      <c r="B7" s="87" t="str">
        <f aca="false">"Everyone sees this differently. Ireland's prices are rising "&amp;TEXT(Set_inflNow,"0.0%")&amp;" now (CSO HICP flash, Sep 2026), mostly because of energy. Over decades, 2%–2.5% is the usual planning range (ECB target 2%). Enter 0% if you don't want to adjust for prices."</f>
        <v>Everyone sees this differently. Ireland's prices are rising 3.9% now (CSO HICP flash, Sep 2026), mostly because of energy. Over decades, 2%–2.5% is the usual planning range (ECB target 2%). Enter 0% if you don't want to adjust for prices.</v>
      </c>
      <c r="C7" s="87"/>
      <c r="D7" s="87"/>
      <c r="E7" s="87"/>
    </row>
    <row r="9" customFormat="false" ht="15" hidden="false" customHeight="true" outlineLevel="0" collapsed="false">
      <c r="B9" s="55" t="s">
        <v>2882</v>
      </c>
      <c r="C9" s="58"/>
      <c r="D9" s="58"/>
      <c r="E9" s="58"/>
      <c r="F9" s="58"/>
      <c r="G9" s="58"/>
    </row>
    <row r="10" customFormat="false" ht="27.75" hidden="false" customHeight="true" outlineLevel="0" collapsed="false">
      <c r="B10" s="87" t="s">
        <v>3406</v>
      </c>
      <c r="C10" s="87"/>
      <c r="D10" s="87"/>
      <c r="E10" s="87"/>
    </row>
    <row r="11" customFormat="false" ht="15" hidden="false" customHeight="true" outlineLevel="0" collapsed="false">
      <c r="B11" s="59" t="s">
        <v>3201</v>
      </c>
      <c r="C11" s="89"/>
      <c r="D11" s="61" t="s">
        <v>2814</v>
      </c>
      <c r="E11" s="62" t="s">
        <v>3202</v>
      </c>
      <c r="G11" s="86" t="s">
        <v>2886</v>
      </c>
    </row>
    <row r="12" customFormat="false" ht="15" hidden="false" customHeight="true" outlineLevel="0" collapsed="false">
      <c r="B12" s="59" t="s">
        <v>2891</v>
      </c>
      <c r="C12" s="91"/>
      <c r="D12" s="61" t="s">
        <v>922</v>
      </c>
      <c r="E12" s="62" t="s">
        <v>2892</v>
      </c>
      <c r="G12" s="86" t="s">
        <v>2886</v>
      </c>
    </row>
    <row r="14" customFormat="false" ht="15" hidden="false" customHeight="true" outlineLevel="0" collapsed="false">
      <c r="B14" s="55" t="s">
        <v>2893</v>
      </c>
      <c r="C14" s="56" t="s">
        <v>912</v>
      </c>
      <c r="D14" s="56" t="s">
        <v>913</v>
      </c>
      <c r="E14" s="56" t="s">
        <v>2804</v>
      </c>
      <c r="F14" s="57" t="s">
        <v>2805</v>
      </c>
      <c r="G14" s="58"/>
    </row>
    <row r="15" customFormat="false" ht="15" hidden="false" customHeight="true" outlineLevel="0" collapsed="false">
      <c r="B15" s="59" t="s">
        <v>3407</v>
      </c>
      <c r="C15" s="60"/>
      <c r="D15" s="61" t="s">
        <v>964</v>
      </c>
      <c r="E15" s="62" t="s">
        <v>3408</v>
      </c>
      <c r="F15" s="63" t="n">
        <v>200</v>
      </c>
      <c r="G15" s="64" t="n">
        <f aca="false">IF(ISBLANK(C15),IF(Fill_Example="Yes",F15,""),C15)</f>
        <v>200</v>
      </c>
    </row>
    <row r="16" customFormat="false" ht="21.75" hidden="false" customHeight="true" outlineLevel="0" collapsed="false">
      <c r="B16" s="59" t="s">
        <v>3409</v>
      </c>
      <c r="C16" s="60"/>
      <c r="D16" s="61" t="s">
        <v>964</v>
      </c>
      <c r="E16" s="62" t="s">
        <v>2806</v>
      </c>
      <c r="F16" s="63" t="n">
        <v>60000</v>
      </c>
      <c r="G16" s="64" t="n">
        <f aca="false">IF(ISBLANK(C16),IF(Fill_Example="Yes",F16,""),C16)</f>
        <v>60000</v>
      </c>
    </row>
    <row r="17" customFormat="false" ht="21.75" hidden="false" customHeight="true" outlineLevel="0" collapsed="false">
      <c r="B17" s="59" t="s">
        <v>3331</v>
      </c>
      <c r="C17" s="72"/>
      <c r="D17" s="61" t="s">
        <v>1002</v>
      </c>
      <c r="E17" s="62" t="s">
        <v>3410</v>
      </c>
      <c r="F17" s="73" t="n">
        <v>15</v>
      </c>
      <c r="G17" s="74" t="n">
        <f aca="false">IF(ISBLANK(C17),IF(Fill_Example="Yes",F17,""),C17)</f>
        <v>15</v>
      </c>
    </row>
    <row r="18" customFormat="false" ht="21.75" hidden="false" customHeight="true" outlineLevel="0" collapsed="false">
      <c r="B18" s="59" t="s">
        <v>3366</v>
      </c>
      <c r="C18" s="68"/>
      <c r="D18" s="61" t="s">
        <v>2814</v>
      </c>
      <c r="E18" s="69" t="s">
        <v>3294</v>
      </c>
      <c r="F18" s="70" t="n">
        <f aca="false">AS_Pen</f>
        <v>0.045</v>
      </c>
      <c r="G18" s="71" t="n">
        <f aca="false">IF(ISBLANK(C18),F18,C18)</f>
        <v>0.045</v>
      </c>
    </row>
    <row r="19" customFormat="false" ht="21.75" hidden="false" customHeight="true" outlineLevel="0" collapsed="false">
      <c r="B19" s="59" t="s">
        <v>3299</v>
      </c>
      <c r="C19" s="68"/>
      <c r="D19" s="61" t="s">
        <v>2814</v>
      </c>
      <c r="E19" s="69" t="str">
        <f aca="false">"Type 2 · your figure · Typical pension charges a year (your statement shows yours). "&amp;IF(ISNUMBER(Suggest_Fund_Charges),"Suggested: "&amp;TEXT(Suggest_Fund_Charges,"0.00%")&amp;" · "&amp;Suggest_Fund_Charges_Label&amp;". ","No suggestion. ")&amp;"Enter your own figure."&amp;" Allowed: 0% to 2.5% · steps of 0.05%"</f>
        <v>Type 2 · your figure · Typical pension charges a year (your statement shows yours). Suggested: 1.00% · Pensions Authority pension calculator assumption. Enter your own figure. Allowed: 0% to 2.5% · steps of 0.05%</v>
      </c>
      <c r="F19" s="70" t="n">
        <f aca="false">IF(ISNUMBER(Suggest_Fund_Charges),Suggest_Fund_Charges,"")</f>
        <v>0.01</v>
      </c>
      <c r="G19" s="71" t="n">
        <f aca="false">IF(ISBLANK(C19),IF(Fill_Example="Yes",F19,""),C19)</f>
        <v>0.01</v>
      </c>
    </row>
    <row r="20" customFormat="false" ht="33" hidden="false" customHeight="true" outlineLevel="0" collapsed="false">
      <c r="B20" s="59" t="s">
        <v>3367</v>
      </c>
      <c r="C20" s="108"/>
      <c r="D20" s="61" t="s">
        <v>3368</v>
      </c>
      <c r="E20" s="69" t="s">
        <v>3369</v>
      </c>
      <c r="F20" s="109" t="n">
        <f aca="false">TE_Marginal_Rate</f>
        <v>0.4</v>
      </c>
      <c r="G20" s="110" t="n">
        <f aca="false">IF(ISBLANK(C20),IF(Fill_Example="Yes",F20,""),C20)</f>
        <v>0.4</v>
      </c>
    </row>
    <row r="21" customFormat="false" ht="21.75" hidden="false" customHeight="true" outlineLevel="0" collapsed="false">
      <c r="B21" s="59" t="s">
        <v>3370</v>
      </c>
      <c r="C21" s="72"/>
      <c r="D21" s="61" t="s">
        <v>932</v>
      </c>
      <c r="E21" s="62" t="s">
        <v>3371</v>
      </c>
      <c r="F21" s="73" t="n">
        <v>40</v>
      </c>
      <c r="G21" s="74" t="n">
        <f aca="false">IF(ISBLANK(C21),IF(Fill_Example="Yes",F21,""),C21)</f>
        <v>40</v>
      </c>
    </row>
    <row r="22" customFormat="false" ht="15" hidden="false" customHeight="true" outlineLevel="0" collapsed="false">
      <c r="B22" s="59" t="s">
        <v>3372</v>
      </c>
      <c r="C22" s="60"/>
      <c r="D22" s="61" t="s">
        <v>964</v>
      </c>
      <c r="E22" s="62" t="s">
        <v>3373</v>
      </c>
      <c r="F22" s="63" t="n">
        <v>0</v>
      </c>
      <c r="G22" s="64" t="n">
        <f aca="false">IF(ISBLANK(C22),IF(Pens_Own_Total&gt;0,Pens_Own_Total*12,F22),C22)</f>
        <v>0</v>
      </c>
    </row>
    <row r="24" customFormat="false" ht="15" hidden="false" customHeight="true" outlineLevel="0" collapsed="false">
      <c r="B24" s="55" t="s">
        <v>2902</v>
      </c>
      <c r="C24" s="58"/>
      <c r="D24" s="58"/>
      <c r="E24" s="58"/>
      <c r="F24" s="58"/>
      <c r="G24" s="58"/>
    </row>
    <row r="25" customFormat="false" ht="15" hidden="false" customHeight="true" outlineLevel="0" collapsed="false">
      <c r="B25" s="59" t="s">
        <v>3374</v>
      </c>
      <c r="C25" s="94" t="n">
        <f aca="false">IF(ISBLANK(Stmt_Charges),Growth_Rate,IF(OR(Growth_Rate="",Typical_Pension_Charges=""),"",Growth_Rate+Typical_Pension_Charges-Stmt_Charges))</f>
        <v>0.045</v>
      </c>
      <c r="D25" s="93" t="str">
        <f aca="false">IF(ISBLANK(Stmt_Charges),"Your figure","Adjusted for your statement's charges")</f>
        <v>Your figure</v>
      </c>
      <c r="E25" s="83" t="s">
        <v>3310</v>
      </c>
    </row>
    <row r="26" customFormat="false" ht="21.75" hidden="false" customHeight="true" outlineLevel="0" collapsed="false">
      <c r="B26" s="59" t="s">
        <v>2909</v>
      </c>
      <c r="C26" s="79" t="str">
        <f aca="true">IF(ISBLANK(Stmt_Statement_Date),"",IF(TODAY()-Stmt_Statement_Date&gt;Statement_Max_Age_Days,"Needs a look: statement is more than 12 months old","Up to date"))</f>
        <v/>
      </c>
      <c r="D26" s="61"/>
      <c r="E26" s="76" t="s">
        <v>2910</v>
      </c>
    </row>
    <row r="28" customFormat="false" ht="15" hidden="false" customHeight="true" outlineLevel="0" collapsed="false">
      <c r="B28" s="55" t="s">
        <v>2630</v>
      </c>
      <c r="C28" s="56" t="s">
        <v>327</v>
      </c>
      <c r="D28" s="56" t="s">
        <v>2822</v>
      </c>
      <c r="E28" s="56" t="s">
        <v>2823</v>
      </c>
      <c r="F28" s="58"/>
      <c r="G28" s="58"/>
    </row>
    <row r="29" customFormat="false" ht="17.25" hidden="false" customHeight="true" outlineLevel="0" collapsed="false">
      <c r="B29" s="52" t="s">
        <v>3411</v>
      </c>
      <c r="C29" s="75" t="n">
        <f aca="false">IF(Need_1&lt;&gt;"",Need_1,FV((1+Used_Growth_Rate)^(1/12)-1,Years*12,-AVC_Per_Month))</f>
        <v>50902.3647855043</v>
      </c>
      <c r="D29" s="61" t="s">
        <v>964</v>
      </c>
      <c r="E29" s="76" t="s">
        <v>3412</v>
      </c>
    </row>
    <row r="30" customFormat="false" ht="17.25" hidden="false" customHeight="true" outlineLevel="0" collapsed="false">
      <c r="B30" s="52" t="s">
        <v>3176</v>
      </c>
      <c r="C30" s="75" t="n">
        <f aca="false">IF(Need_2&lt;&gt;"",Need_2,IF(Inflation_Choice="","Choose your inflation rate to see this",Grows_To/(1+Inflation_Choice)^Years))</f>
        <v>37821.2068268785</v>
      </c>
      <c r="D30" s="61" t="s">
        <v>964</v>
      </c>
      <c r="E30" s="76" t="s">
        <v>3177</v>
      </c>
    </row>
    <row r="31" customFormat="false" ht="15" hidden="false" customHeight="true" outlineLevel="0" collapsed="false">
      <c r="B31" s="59" t="s">
        <v>3178</v>
      </c>
      <c r="C31" s="77" t="n">
        <f aca="false">IF(Need_3&lt;&gt;"",Need_3,AVC_Per_Month*12*Years)</f>
        <v>36000</v>
      </c>
      <c r="D31" s="61" t="s">
        <v>964</v>
      </c>
      <c r="E31" s="76" t="s">
        <v>3413</v>
      </c>
    </row>
    <row r="32" customFormat="false" ht="15" hidden="false" customHeight="true" outlineLevel="0" collapsed="false">
      <c r="B32" s="59" t="s">
        <v>3414</v>
      </c>
      <c r="C32" s="77" t="n">
        <f aca="false">IF(Need_4&lt;&gt;"",Need_4,Net_Cost_Per_Month*12*Years)</f>
        <v>21600</v>
      </c>
      <c r="D32" s="61" t="s">
        <v>964</v>
      </c>
      <c r="E32" s="76" t="s">
        <v>3415</v>
      </c>
    </row>
    <row r="33" customFormat="false" ht="15" hidden="false" customHeight="true" outlineLevel="0" collapsed="false">
      <c r="B33" s="59" t="s">
        <v>3416</v>
      </c>
      <c r="C33" s="77" t="n">
        <f aca="false">IF(Need_5&lt;&gt;"",Need_5,AVC_Per_Month-Relief_Per_Month)</f>
        <v>120</v>
      </c>
      <c r="D33" s="61" t="s">
        <v>964</v>
      </c>
      <c r="E33" s="76" t="s">
        <v>3417</v>
      </c>
    </row>
    <row r="34" customFormat="false" ht="15" hidden="false" customHeight="true" outlineLevel="0" collapsed="false">
      <c r="B34" s="59" t="str">
        <f aca="false">"Most you can get relief on in a year (age-band % × earnings up to "&amp;"€"&amp;TEXT(Relief_Earnings_Cap,"#,##0")&amp;")"</f>
        <v>Most you can get relief on in a year (age-band % × earnings up to €115,000)</v>
      </c>
      <c r="C34" s="77" t="n">
        <f aca="false">IF(Need_6&lt;&gt;"",Need_6,LOOKUP(Age,Relief_Age_From,Relief_Age_Pct)*MIN(Salary,Relief_Earnings_Cap))</f>
        <v>15000</v>
      </c>
      <c r="D34" s="61" t="s">
        <v>964</v>
      </c>
      <c r="E34" s="76" t="s">
        <v>3381</v>
      </c>
    </row>
    <row r="35" customFormat="false" ht="15" hidden="false" customHeight="true" outlineLevel="0" collapsed="false">
      <c r="B35" s="59" t="s">
        <v>3382</v>
      </c>
      <c r="C35" s="77" t="n">
        <f aca="false">IF(Need_6&lt;&gt;"",Need_6,MAX(0,Relief_Limit_Year-Existing_Pension_Year))</f>
        <v>15000</v>
      </c>
      <c r="D35" s="61" t="s">
        <v>964</v>
      </c>
      <c r="E35" s="76" t="s">
        <v>3383</v>
      </c>
    </row>
    <row r="36" customFormat="false" ht="15" hidden="false" customHeight="true" outlineLevel="0" collapsed="false">
      <c r="B36" s="59" t="s">
        <v>3418</v>
      </c>
      <c r="C36" s="77" t="n">
        <f aca="false">IF(Need_7&lt;&gt;"",Need_7,MIN(AVC_Per_Month*12,Relief_Room_Year))</f>
        <v>2400</v>
      </c>
      <c r="D36" s="61" t="s">
        <v>964</v>
      </c>
      <c r="E36" s="76" t="s">
        <v>3419</v>
      </c>
    </row>
    <row r="37" customFormat="false" ht="15" hidden="false" customHeight="true" outlineLevel="0" collapsed="false">
      <c r="B37" s="59" t="s">
        <v>3386</v>
      </c>
      <c r="C37" s="77" t="n">
        <f aca="false">IF(Need_5&lt;&gt;"",Need_5,Relieved_Year*Tax_Rate/12)</f>
        <v>80</v>
      </c>
      <c r="D37" s="61" t="s">
        <v>964</v>
      </c>
      <c r="E37" s="76" t="s">
        <v>3387</v>
      </c>
    </row>
    <row r="39" customFormat="false" ht="15" hidden="false" customHeight="true" outlineLevel="0" collapsed="false">
      <c r="B39" s="55" t="s">
        <v>2853</v>
      </c>
      <c r="C39" s="58"/>
      <c r="D39" s="58"/>
      <c r="E39" s="58"/>
      <c r="F39" s="58"/>
      <c r="G39" s="58"/>
    </row>
    <row r="40" customFormat="false" ht="27.75" hidden="false" customHeight="true" outlineLevel="0" collapsed="false">
      <c r="B40" s="80" t="str">
        <f aca="false">"• Value = FV(monthly growth, months, −AVC). Tax relief = the part of the AVC within your relief limit (age band × earnings up to "&amp;"€"&amp;TEXT(Relief_Earnings_Cap,"#,##0")&amp;", less what you already pay) × your tax rate. Net cost = AVC − relief."</f>
        <v>• Value = FV(monthly growth, months, −AVC). Tax relief = the part of the AVC within your relief limit (age band × earnings up to €115,000, less what you already pay) × your tax rate. Net cost = AVC − relief.</v>
      </c>
      <c r="C40" s="80"/>
      <c r="D40" s="80"/>
      <c r="E40" s="80"/>
    </row>
    <row r="41" customFormat="false" ht="13.5" hidden="false" customHeight="true" outlineLevel="0" collapsed="false">
      <c r="B41" s="81" t="s">
        <v>2856</v>
      </c>
      <c r="C41" s="81"/>
      <c r="D41" s="81"/>
      <c r="E41" s="81"/>
    </row>
    <row r="42" customFormat="false" ht="13.5" hidden="false" customHeight="true" outlineLevel="0" collapsed="false">
      <c r="B42" s="80" t="s">
        <v>3390</v>
      </c>
      <c r="C42" s="80"/>
      <c r="D42" s="80"/>
      <c r="E42" s="80"/>
    </row>
    <row r="43" customFormat="false" ht="13.5" hidden="false" customHeight="true" outlineLevel="0" collapsed="false">
      <c r="B43" s="80" t="s">
        <v>3420</v>
      </c>
      <c r="C43" s="80"/>
      <c r="D43" s="80"/>
      <c r="E43" s="80"/>
    </row>
    <row r="45" customFormat="false" ht="15" hidden="false" customHeight="true" outlineLevel="0" collapsed="false">
      <c r="B45" s="55" t="s">
        <v>2861</v>
      </c>
      <c r="C45" s="58"/>
      <c r="D45" s="58"/>
      <c r="E45" s="58"/>
      <c r="F45" s="58"/>
      <c r="G45" s="58"/>
    </row>
    <row r="46" customFormat="false" ht="15" hidden="false" customHeight="true" outlineLevel="0" collapsed="false">
      <c r="B46" s="59" t="s">
        <v>1620</v>
      </c>
      <c r="C46" s="82" t="str">
        <f aca="false">"No goal: raise the plan's pension contribution instead"</f>
        <v>No goal: raise the plan's pension contribution instead</v>
      </c>
      <c r="E46" s="83" t="s">
        <v>3391</v>
      </c>
    </row>
    <row r="47" customFormat="false" ht="15" hidden="false" customHeight="true" outlineLevel="0" collapsed="false">
      <c r="B47" s="59" t="s">
        <v>3392</v>
      </c>
      <c r="C47" s="84" t="n">
        <f aca="false">IF(Need_8&lt;&gt;"",Need_8,AVC_Per_Month)</f>
        <v>200</v>
      </c>
      <c r="E47" s="83" t="s">
        <v>3421</v>
      </c>
    </row>
    <row r="49" customFormat="false" ht="15" hidden="false" customHeight="true" outlineLevel="0" collapsed="false">
      <c r="B49" s="55" t="s">
        <v>2869</v>
      </c>
      <c r="C49" s="58"/>
      <c r="D49" s="58"/>
      <c r="E49" s="58"/>
      <c r="F49" s="58"/>
      <c r="G49" s="58"/>
    </row>
    <row r="50" customFormat="false" ht="15" hidden="false" customHeight="true" outlineLevel="0" collapsed="false">
      <c r="B50" s="86" t="s">
        <v>3422</v>
      </c>
      <c r="C50" s="86" t="str">
        <f aca="false">IF(AVC_Per_Month="","Choose your AVC per month to see this",IF(Years="","Choose your years to retirement to see this",IF(NOT(ISNUMBER(Used_Growth_Rate)),IF(Used_Growth_Rate="",IF(Growth_Rate="","Choose your growth rate to see this",IF(Growth_Rate="","Choose your growth rate to see this",IF(Growth_Rate="","Choose your growth rate to see this",IF(Typical_Pension_Charges="","Choose your typical pension charges to see this",IF(Typical_Pension_Charges="","Choose your typical pension charges to see this",""))))),Used_Growth_Rate),"")))</f>
        <v/>
      </c>
    </row>
    <row r="51" customFormat="false" ht="15" hidden="false" customHeight="true" outlineLevel="0" collapsed="false">
      <c r="B51" s="86" t="s">
        <v>3423</v>
      </c>
      <c r="C51" s="86" t="str">
        <f aca="false">IF(AVC_Per_Month="","Choose your AVC per month to see this",IF(Years="","Choose your years to retirement to see this",IF(NOT(ISNUMBER(Used_Growth_Rate)),IF(Used_Growth_Rate="",IF(Growth_Rate="","Choose your growth rate to see this",IF(Growth_Rate="","Choose your growth rate to see this",IF(Growth_Rate="","Choose your growth rate to see this",IF(Typical_Pension_Charges="","Choose your typical pension charges to see this",IF(Typical_Pension_Charges="","Choose your typical pension charges to see this",""))))),Used_Growth_Rate),IF(Inflation_Choice="","Choose your inflation rate to see this",""))))</f>
        <v/>
      </c>
    </row>
    <row r="52" customFormat="false" ht="15" hidden="false" customHeight="true" outlineLevel="0" collapsed="false">
      <c r="B52" s="86" t="s">
        <v>3424</v>
      </c>
      <c r="C52" s="86" t="str">
        <f aca="false">IF(AVC_Per_Month="","Choose your AVC per month to see this",IF(Years="","Choose your years to retirement to see this",""))</f>
        <v/>
      </c>
    </row>
    <row r="53" customFormat="false" ht="15" hidden="false" customHeight="true" outlineLevel="0" collapsed="false">
      <c r="B53" s="86" t="s">
        <v>3425</v>
      </c>
      <c r="C53" s="86" t="str">
        <f aca="false">IF(AVC_Per_Month="","Choose your AVC per month to see this",IF(Salary="","Choose your salary to see this",IF(Years="","Choose your years to retirement to see this",IF(Tax_Rate="","Choose your tax rate to see this",IF(Age="","Choose your age to see this","")))))</f>
        <v/>
      </c>
    </row>
    <row r="54" customFormat="false" ht="15" hidden="false" customHeight="true" outlineLevel="0" collapsed="false">
      <c r="B54" s="86" t="s">
        <v>3426</v>
      </c>
      <c r="C54" s="86" t="str">
        <f aca="false">IF(AVC_Per_Month="","Choose your AVC per month to see this",IF(Salary="","Choose your salary to see this",IF(Tax_Rate="","Choose your tax rate to see this",IF(Age="","Choose your age to see this",""))))</f>
        <v/>
      </c>
    </row>
    <row r="55" customFormat="false" ht="15" hidden="false" customHeight="true" outlineLevel="0" collapsed="false">
      <c r="B55" s="86" t="s">
        <v>3399</v>
      </c>
      <c r="C55" s="86" t="str">
        <f aca="false">IF(Salary="","Choose your salary to see this",IF(Age="","Choose your age to see this",""))</f>
        <v/>
      </c>
    </row>
    <row r="56" customFormat="false" ht="15" hidden="false" customHeight="true" outlineLevel="0" collapsed="false">
      <c r="B56" s="86" t="s">
        <v>3427</v>
      </c>
      <c r="C56" s="86" t="str">
        <f aca="false">IF(AVC_Per_Month="","Choose your AVC per month to see this",IF(Salary="","Choose your salary to see this",IF(Age="","Choose your age to see this","")))</f>
        <v/>
      </c>
    </row>
    <row r="57" customFormat="false" ht="15" hidden="false" customHeight="true" outlineLevel="0" collapsed="false">
      <c r="B57" s="86" t="s">
        <v>3428</v>
      </c>
      <c r="C57" s="86" t="str">
        <f aca="false">IF(AVC_Per_Month="","Choose your AVC per month to see this","")</f>
        <v/>
      </c>
    </row>
  </sheetData>
  <mergeCells count="6">
    <mergeCell ref="B7:E7"/>
    <mergeCell ref="B10:E10"/>
    <mergeCell ref="B40:E40"/>
    <mergeCell ref="B41:E41"/>
    <mergeCell ref="B42:E42"/>
    <mergeCell ref="B43:E43"/>
  </mergeCells>
  <dataValidations count="11">
    <dataValidation allowBlank="true" error="Please enter a date (dd/mm/yyyy)." errorStyle="stop" errorTitle="Outside the allowed range" operator="greaterThan" prompt="Unit: date. Allowed: a date (dd/mm/yyyy)." promptTitle="Statement date" showDropDown="false" showErrorMessage="true" showInputMessage="true" sqref="C12" type="date">
      <formula1>36526</formula1>
      <formula2>0</formula2>
    </dataValidation>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0% to 5%." errorStyle="stop" errorTitle="Outside the allowed range" operator="between" prompt="Unit: %. Allowed: 0% to 5%." promptTitle="Annual charges % (if shown)" showDropDown="false" showErrorMessage="true" showInputMessage="true" sqref="C11" type="decimal">
      <formula1>0</formula1>
      <formula2>0.05</formula2>
    </dataValidation>
    <dataValidation allowBlank="true" error="Please enter 0% to 2.5% · steps of 0.05%." errorStyle="stop" errorTitle="Outside the allowed range" operator="between" prompt="Your own pension charges (your statement shows them). A suggested figure and its source are shown beside this cell (Partner rates, Assumptions sheet). CCPC: usually 0.5%–2% a year. Allowed: 0% to 2.5% · steps of 0.05%" promptTitle="Typical pension charges (if your" showDropDown="false" showErrorMessage="true" showInputMessage="true" sqref="C19" type="decimal">
      <formula1>0</formula1>
      <formula2>0.025</formula2>
    </dataValidation>
    <dataValidation allowBlank="true" error="Please enter 1% to 7% · steps of 0.25%." errorStyle="stop" errorTitle="Outside the allowed range" operator="between" prompt="Generally the standard is 4.5% a year after charges while you work (LifeMap Standard set; Cautious 4%). Choose what you want to use.  Allowed: 1% to 7% · steps of 0.5%." promptTitle="Growth assumption a year" showDropDown="false" showErrorMessage="true" showInputMessage="true" sqref="C18" type="decimal">
      <formula1>0.01</formula1>
      <formula2>0.07</formula2>
    </dataValidation>
    <dataValidation allowBlank="true" error="Please enter 18 to 75 · steps of 1." errorStyle="stop" errorTitle="Outside the allowed range" operator="between" prompt="Your own figure. In the app it is pre-filled from About you: age.  Allowed: 18 to 75 · steps of 1." promptTitle="Your age (for the pension relief" showDropDown="false" showErrorMessage="true" showInputMessage="true" sqref="C21" type="whole">
      <formula1>18</formula1>
      <formula2>75</formula2>
    </dataValidation>
    <dataValidation allowBlank="true" error="Please enter €0 to €1,000,000 · steps of €100." errorStyle="stop" errorTitle="Outside the allowed range" operator="between" prompt="Optional: leave blank for none.  Allowed: €0 to €1,000,000 · steps of €100." promptTitle="What you pay in yourself now, a " showDropDown="false" showErrorMessage="true" showInputMessage="true" sqref="C22" type="decimal">
      <formula1>0</formula1>
      <formula2>1000000</formula2>
    </dataValidation>
    <dataValidation allowBlank="true" error="Please enter €25 to €20,000 · steps of €25." errorStyle="stop" errorTitle="Outside the allowed range" operator="between" prompt="Your own figure.  Allowed: €25 to €20,000 · steps of €25." promptTitle="AVC per month" showDropDown="false" showErrorMessage="true" showInputMessage="true" sqref="C15" type="decimal">
      <formula1>25</formula1>
      <formula2>20000</formula2>
    </dataValidation>
    <dataValidation allowBlank="true" error="Please enter €15,000 to €2,500,000 · steps of €1,000." errorStyle="stop" errorTitle="Outside the allowed range" operator="between" prompt="Your own figure. In the app it is pre-filled from Your finances: income.  Allowed: €15,000 to €2,500,000 · steps of €1,000." promptTitle="Salary (for the relief limit)" showDropDown="false" showErrorMessage="true" showInputMessage="true" sqref="C16" type="decimal">
      <formula1>15000</formula1>
      <formula2>2500000</formula2>
    </dataValidation>
    <dataValidation allowBlank="true" error="Please enter 1 to 40 · steps of 1." errorStyle="stop" errorTitle="Outside the allowed range" operator="between" prompt="Your own figure. In the app it is pre-filled from Plan: retirement age − age.  Allowed: 1 to 40 · steps of 1." promptTitle="Years to retirement" showDropDown="false" showErrorMessage="true" showInputMessage="true" sqref="C17" type="whole">
      <formula1>1</formula1>
      <formula2>40</formula2>
    </dataValidation>
    <dataValidation allowBlank="true" error="Please enter 20% or 40%." errorStyle="stop" errorTitle="Outside the allowed range" operator="between" prompt="Usually between 20% or 40%: your top rate of income tax (the Tax engine works it out). In the app it is pre-filled from Tax engine marginal rate (band by status: €44k single, €48k single parent, €53k married, + up to €35k second earne Allowed: 20% or 40%." promptTitle="Your tax rate (0.2 = 20%, 0.4 = " showDropDown="false" showErrorMessage="true" showInputMessage="true" sqref="C20" type="list">
      <formula1>"0.2,0.4"</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2B134"/>
    <pageSetUpPr fitToPage="false"/>
  </sheetPr>
  <dimension ref="B1:G10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20" width="2"/>
    <col collapsed="false" customWidth="true" hidden="false" outlineLevel="0" max="2" min="2" style="20" width="50"/>
    <col collapsed="false" customWidth="true" hidden="false" outlineLevel="0" max="3" min="3" style="20" width="26"/>
    <col collapsed="false" customWidth="true" hidden="false" outlineLevel="0" max="4" min="4" style="20" width="24"/>
    <col collapsed="false" customWidth="true" hidden="false" outlineLevel="0" max="5" min="5" style="20" width="78"/>
    <col collapsed="false" customWidth="true" hidden="false" outlineLevel="0" max="6" min="6" style="20" width="14"/>
    <col collapsed="false" customWidth="true" hidden="false" outlineLevel="0" max="7" min="7" style="20" width="16"/>
  </cols>
  <sheetData>
    <row r="1" customFormat="false" ht="19.5" hidden="false" customHeight="true" outlineLevel="0" collapsed="false">
      <c r="B1" s="50" t="s">
        <v>3429</v>
      </c>
      <c r="E1" s="51" t="s">
        <v>3430</v>
      </c>
    </row>
    <row r="2" customFormat="false" ht="15" hidden="false" customHeight="true" outlineLevel="0" collapsed="false">
      <c r="B2" s="52" t="s">
        <v>3431</v>
      </c>
      <c r="E2" s="53" t="str">
        <f aca="false">IF(Fill_Example="Yes","Example values are ON (README): grey Example only figures fill blank inputs.","Blank template: fill the yellow inputs (or switch on example values on the README).")</f>
        <v>Example values are ON (README): grey Example only figures fill blank inputs.</v>
      </c>
    </row>
    <row r="3" customFormat="false" ht="15" hidden="false" customHeight="true" outlineLevel="0" collapsed="false">
      <c r="B3" s="54" t="s">
        <v>3432</v>
      </c>
    </row>
    <row r="5" customFormat="false" ht="15" hidden="false" customHeight="true" outlineLevel="0" collapsed="false">
      <c r="B5" s="55" t="s">
        <v>3128</v>
      </c>
      <c r="C5" s="56" t="s">
        <v>912</v>
      </c>
      <c r="D5" s="56" t="s">
        <v>913</v>
      </c>
      <c r="E5" s="56" t="s">
        <v>2804</v>
      </c>
      <c r="F5" s="57" t="s">
        <v>2805</v>
      </c>
      <c r="G5" s="58"/>
    </row>
    <row r="6" customFormat="false" ht="21.75" hidden="false" customHeight="true" outlineLevel="0" collapsed="false">
      <c r="B6" s="59" t="s">
        <v>3129</v>
      </c>
      <c r="C6" s="68"/>
      <c r="D6" s="61" t="s">
        <v>2814</v>
      </c>
      <c r="E6" s="69" t="str">
        <f aca="false">"Type 3 · your choice · Generally the standard is 2% a year (ECB target); Ireland's prices are rising "&amp;TEXT(Set_inflNow,"0.0%")&amp;" now (CSO HICP flash, Sep 2026). Choose what you want to use. Allowed: 0% to 10% · steps of 0.25%"</f>
        <v>Type 3 · your choice · Generally the standard is 2% a year (ECB target); Ireland's prices are rising 3.9% now (CSO HICP flash, Sep 2026). Choose what you want to use. Allowed: 0% to 10% · steps of 0.25%</v>
      </c>
      <c r="F6" s="70" t="n">
        <v>0.02</v>
      </c>
      <c r="G6" s="71" t="n">
        <f aca="false">IF(ISBLANK(C6),IF(Fill_Example="Yes",F6,""),C6)</f>
        <v>0.02</v>
      </c>
    </row>
    <row r="7" customFormat="false" ht="27.75" hidden="false" customHeight="true" outlineLevel="0" collapsed="false">
      <c r="B7" s="87" t="str">
        <f aca="false">"Everyone sees this differently. Ireland's prices are rising "&amp;TEXT(Set_inflNow,"0.0%")&amp;" now (CSO HICP flash, Sep 2026), mostly because of energy. Over decades, 2%–2.5% is the usual planning range (ECB target 2%). Enter 0% if you don't want to adjust for prices."</f>
        <v>Everyone sees this differently. Ireland's prices are rising 3.9% now (CSO HICP flash, Sep 2026), mostly because of energy. Over decades, 2%–2.5% is the usual planning range (ECB target 2%). Enter 0% if you don't want to adjust for prices.</v>
      </c>
      <c r="C7" s="87"/>
      <c r="D7" s="87"/>
      <c r="E7" s="87"/>
    </row>
    <row r="9" customFormat="false" ht="15" hidden="false" customHeight="true" outlineLevel="0" collapsed="false">
      <c r="B9" s="55" t="s">
        <v>2882</v>
      </c>
      <c r="C9" s="58"/>
      <c r="D9" s="58"/>
      <c r="E9" s="58"/>
      <c r="F9" s="58"/>
      <c r="G9" s="58"/>
    </row>
    <row r="10" customFormat="false" ht="27.75" hidden="false" customHeight="true" outlineLevel="0" collapsed="false">
      <c r="B10" s="87" t="s">
        <v>3433</v>
      </c>
      <c r="C10" s="87"/>
      <c r="D10" s="87"/>
      <c r="E10" s="87"/>
    </row>
    <row r="11" customFormat="false" ht="15" hidden="false" customHeight="true" outlineLevel="0" collapsed="false">
      <c r="B11" s="59" t="s">
        <v>3281</v>
      </c>
      <c r="C11" s="88"/>
      <c r="D11" s="61" t="s">
        <v>964</v>
      </c>
      <c r="E11" s="62" t="s">
        <v>3200</v>
      </c>
      <c r="G11" s="86" t="s">
        <v>2886</v>
      </c>
    </row>
    <row r="12" customFormat="false" ht="15" hidden="false" customHeight="true" outlineLevel="0" collapsed="false">
      <c r="B12" s="59" t="s">
        <v>3275</v>
      </c>
      <c r="C12" s="88"/>
      <c r="D12" s="61" t="s">
        <v>964</v>
      </c>
      <c r="E12" s="62" t="s">
        <v>3276</v>
      </c>
      <c r="G12" s="86" t="s">
        <v>2886</v>
      </c>
    </row>
    <row r="13" customFormat="false" ht="15" hidden="false" customHeight="true" outlineLevel="0" collapsed="false">
      <c r="B13" s="59" t="s">
        <v>2891</v>
      </c>
      <c r="C13" s="91"/>
      <c r="D13" s="61" t="s">
        <v>922</v>
      </c>
      <c r="E13" s="62" t="s">
        <v>2892</v>
      </c>
      <c r="G13" s="86" t="s">
        <v>2886</v>
      </c>
    </row>
    <row r="15" customFormat="false" ht="15" hidden="false" customHeight="true" outlineLevel="0" collapsed="false">
      <c r="B15" s="55" t="s">
        <v>2893</v>
      </c>
      <c r="C15" s="56" t="s">
        <v>912</v>
      </c>
      <c r="D15" s="56" t="s">
        <v>913</v>
      </c>
      <c r="E15" s="56" t="s">
        <v>2804</v>
      </c>
      <c r="F15" s="57" t="s">
        <v>2805</v>
      </c>
      <c r="G15" s="58"/>
    </row>
    <row r="16" customFormat="false" ht="21.75" hidden="false" customHeight="true" outlineLevel="0" collapsed="false">
      <c r="B16" s="59" t="s">
        <v>3434</v>
      </c>
      <c r="C16" s="60"/>
      <c r="D16" s="61" t="s">
        <v>964</v>
      </c>
      <c r="E16" s="62" t="s">
        <v>3435</v>
      </c>
      <c r="F16" s="63" t="n">
        <v>400000</v>
      </c>
      <c r="G16" s="64" t="n">
        <f aca="false">IF(AND(ISNUMBER(C16),N(C16)&lt;10000),"",IF(ISBLANK(C16),IF(Fill_Example="Yes",F16,""),C16))</f>
        <v>400000</v>
      </c>
    </row>
    <row r="17" customFormat="false" ht="15" hidden="false" customHeight="true" outlineLevel="0" collapsed="false">
      <c r="B17" s="59" t="s">
        <v>3436</v>
      </c>
      <c r="C17" s="60"/>
      <c r="D17" s="61" t="s">
        <v>964</v>
      </c>
      <c r="E17" s="62" t="s">
        <v>3437</v>
      </c>
      <c r="F17" s="63" t="n">
        <v>24000</v>
      </c>
      <c r="G17" s="64" t="n">
        <f aca="false">IF(ISBLANK(C17),IF(Fill_Example="Yes",F17,""),C17)</f>
        <v>24000</v>
      </c>
    </row>
    <row r="18" customFormat="false" ht="21.75" hidden="false" customHeight="true" outlineLevel="0" collapsed="false">
      <c r="B18" s="59" t="s">
        <v>3438</v>
      </c>
      <c r="C18" s="68"/>
      <c r="D18" s="61" t="s">
        <v>2814</v>
      </c>
      <c r="E18" s="69" t="s">
        <v>3439</v>
      </c>
      <c r="F18" s="70" t="n">
        <f aca="false">AS_PenRet</f>
        <v>0.0315</v>
      </c>
      <c r="G18" s="71" t="n">
        <f aca="false">IF(ISBLANK(C18),F18,C18)</f>
        <v>0.0315</v>
      </c>
    </row>
    <row r="19" customFormat="false" ht="21.75" hidden="false" customHeight="true" outlineLevel="0" collapsed="false">
      <c r="B19" s="59" t="s">
        <v>3440</v>
      </c>
      <c r="C19" s="65"/>
      <c r="D19" s="61"/>
      <c r="E19" s="69" t="s">
        <v>3441</v>
      </c>
      <c r="F19" s="66" t="str">
        <f aca="false">IF(Set_ddTiming="end","End of year","Start of year")</f>
        <v>Start of year</v>
      </c>
      <c r="G19" s="67" t="str">
        <f aca="false">IF(ISBLANK(C19),F19,C19)</f>
        <v>Start of year</v>
      </c>
    </row>
    <row r="20" customFormat="false" ht="21.75" hidden="false" customHeight="true" outlineLevel="0" collapsed="false">
      <c r="B20" s="59" t="s">
        <v>3442</v>
      </c>
      <c r="C20" s="72"/>
      <c r="D20" s="61" t="s">
        <v>932</v>
      </c>
      <c r="E20" s="69" t="s">
        <v>3443</v>
      </c>
      <c r="F20" s="73" t="n">
        <v>66</v>
      </c>
      <c r="G20" s="74" t="n">
        <f aca="false">IF(ISBLANK(C20),IF(Fill_Example="Yes",F20,""),C20)</f>
        <v>66</v>
      </c>
    </row>
    <row r="21" customFormat="false" ht="21.75" hidden="false" customHeight="true" outlineLevel="0" collapsed="false">
      <c r="B21" s="59" t="s">
        <v>3444</v>
      </c>
      <c r="C21" s="72"/>
      <c r="D21" s="61" t="s">
        <v>932</v>
      </c>
      <c r="E21" s="69" t="s">
        <v>3445</v>
      </c>
      <c r="F21" s="73" t="n">
        <v>90</v>
      </c>
      <c r="G21" s="74" t="n">
        <f aca="false">IF(ISBLANK(C21),IF(Fill_Example="Yes",F21,""),C21)</f>
        <v>90</v>
      </c>
    </row>
    <row r="23" customFormat="false" ht="15" hidden="false" customHeight="true" outlineLevel="0" collapsed="false">
      <c r="B23" s="55" t="s">
        <v>2902</v>
      </c>
      <c r="C23" s="58"/>
      <c r="D23" s="58"/>
      <c r="E23" s="58"/>
      <c r="F23" s="58"/>
      <c r="G23" s="58"/>
    </row>
    <row r="24" customFormat="false" ht="15" hidden="false" customHeight="true" outlineLevel="0" collapsed="false">
      <c r="B24" s="59" t="s">
        <v>3434</v>
      </c>
      <c r="C24" s="92" t="n">
        <f aca="false">IF(NOT(ISBLANK(Stmt_Projected_Fund)),Stmt_Projected_Fund,IF(NOT(ISBLANK(Stmt_Fund_Value)),Stmt_Fund_Value,Retirement_Savings))</f>
        <v>400000</v>
      </c>
      <c r="D24" s="93" t="str">
        <f aca="false">IF(NOT(ISBLANK(Stmt_Projected_Fund)),"From your statement (projected fund)",IF(NOT(ISBLANK(Stmt_Fund_Value)),"From your statement (fund value today)","Your figure"))</f>
        <v>Your figure</v>
      </c>
      <c r="E24" s="83" t="s">
        <v>3446</v>
      </c>
    </row>
    <row r="25" customFormat="false" ht="21.75" hidden="false" customHeight="true" outlineLevel="0" collapsed="false">
      <c r="B25" s="59" t="s">
        <v>2909</v>
      </c>
      <c r="C25" s="79" t="str">
        <f aca="true">IF(ISBLANK(Stmt_Statement_Date),"",IF(TODAY()-Stmt_Statement_Date&gt;Statement_Max_Age_Days,"Needs a look: statement is more than 12 months old","Up to date"))</f>
        <v/>
      </c>
      <c r="D25" s="61"/>
      <c r="E25" s="76" t="s">
        <v>2910</v>
      </c>
    </row>
    <row r="27" customFormat="false" ht="15" hidden="false" customHeight="true" outlineLevel="0" collapsed="false">
      <c r="B27" s="55" t="s">
        <v>2630</v>
      </c>
      <c r="C27" s="56" t="s">
        <v>327</v>
      </c>
      <c r="D27" s="56" t="s">
        <v>2822</v>
      </c>
      <c r="E27" s="56" t="s">
        <v>2823</v>
      </c>
      <c r="F27" s="58"/>
      <c r="G27" s="58"/>
    </row>
    <row r="28" customFormat="false" ht="23.25" hidden="false" customHeight="true" outlineLevel="0" collapsed="false">
      <c r="B28" s="52" t="s">
        <v>3447</v>
      </c>
      <c r="C28" s="96" t="n">
        <f aca="false">IF(Need_1&lt;&gt;"",Need_1,IF(Inflation_Choice="","Choose your inflation rate to see this",SUM(W_paid)))</f>
        <v>18</v>
      </c>
      <c r="D28" s="97" t="str">
        <f aca="false">IF(Need_1&lt;&gt;"",Need_1,IF(ISNUMBER(Years_Lasting),IF(Years_Lasting&gt;=Cap_Years,Cap_Years&amp;"+ years",IF(Years_Lasting&lt;1,"Less than a year",Years_Lasting&amp;IF(Years_Lasting=1," year"," years"))),"Choose your inflation rate to see this"))</f>
        <v>18 years</v>
      </c>
      <c r="E28" s="76" t="s">
        <v>3448</v>
      </c>
    </row>
    <row r="29" customFormat="false" ht="23.25" hidden="false" customHeight="true" outlineLevel="0" collapsed="false">
      <c r="B29" s="52" t="s">
        <v>3449</v>
      </c>
      <c r="C29" s="96" t="n">
        <f aca="false">IF(Need_2&lt;&gt;"",Need_2,IF(ISNUMBER(Years_Lasting),IF(Years_Lasting&gt;=Cap_Years,"Beyond "&amp;Plan_To_Age,IF(Years_Lasting&lt;1,"Less than a year",Age_At_Start+Years_Lasting)),"Choose your inflation rate to see this"))</f>
        <v>84</v>
      </c>
      <c r="D29" s="97" t="str">
        <f aca="false">IF(Need_2&lt;&gt;"",Need_2,IF(ISNUMBER(Years_Lasting),IF(Years_Lasting&gt;=Cap_Years,"Beyond "&amp;Plan_To_Age&amp;" (your plan-until age)",IF(Years_Lasting&lt;1,"Less than a year after you start",IF(Age_At_Start+Years_Lasting&gt;=Plan_To_Age,"Lasts to your plan age ("&amp;Plan_To_Age&amp;")","Runs out "&amp;(Plan_To_Age-Age_At_Start-Years_Lasting)&amp;" years before your plan age"))),"Choose your inflation rate to see this"))</f>
        <v>Runs out 6 years before your plan age</v>
      </c>
      <c r="E29" s="76" t="s">
        <v>3450</v>
      </c>
    </row>
    <row r="30" customFormat="false" ht="15" hidden="false" customHeight="true" outlineLevel="0" collapsed="false">
      <c r="B30" s="59" t="s">
        <v>3451</v>
      </c>
      <c r="C30" s="111" t="n">
        <f aca="false">IF(Need_3&lt;&gt;"",Need_3,Yearly_Withdrawal/Used_Retirement_Savings)</f>
        <v>0.06</v>
      </c>
      <c r="D30" s="61" t="s">
        <v>2814</v>
      </c>
      <c r="E30" s="76" t="s">
        <v>3452</v>
      </c>
    </row>
    <row r="31" customFormat="false" ht="15" hidden="false" customHeight="true" outlineLevel="0" collapsed="false">
      <c r="B31" s="55" t="s">
        <v>3453</v>
      </c>
      <c r="C31" s="58"/>
      <c r="D31" s="58"/>
      <c r="E31" s="58"/>
      <c r="F31" s="58"/>
      <c r="G31" s="58"/>
    </row>
    <row r="32" customFormat="false" ht="27.75" hidden="false" customHeight="true" outlineLevel="0" collapsed="false">
      <c r="B32" s="112" t="s">
        <v>1508</v>
      </c>
      <c r="C32" s="112" t="s">
        <v>3454</v>
      </c>
      <c r="D32" s="112" t="s">
        <v>3455</v>
      </c>
      <c r="E32" s="112" t="s">
        <v>3456</v>
      </c>
      <c r="F32" s="112" t="s">
        <v>3457</v>
      </c>
    </row>
    <row r="33" customFormat="false" ht="15" hidden="false" customHeight="true" outlineLevel="0" collapsed="false">
      <c r="B33" s="113" t="n">
        <v>1</v>
      </c>
      <c r="C33" s="114" t="n">
        <f aca="false">IF(Need_1&lt;&gt;"","",Yearly_Withdrawal)</f>
        <v>24000</v>
      </c>
      <c r="D33" s="114" t="n">
        <f aca="false">IF(Need_1&lt;&gt;"","",Used_Retirement_Savings)</f>
        <v>400000</v>
      </c>
      <c r="E33" s="113" t="n">
        <f aca="false">IF(Need_1&lt;&gt;"","",IF(Withdrawal_Timing="Start of year",IF(D33&gt;=C33,1,0),IF(D33*(1+Growth_Rate)&gt;=C33,1,0)))</f>
        <v>1</v>
      </c>
      <c r="F33" s="114" t="n">
        <f aca="false">IF(Need_1&lt;&gt;"","",IF(E33=1,IF(Withdrawal_Timing="Start of year",(D33-C33)*(1+Growth_Rate),D33*(1+Growth_Rate)-C33),0))</f>
        <v>387844</v>
      </c>
    </row>
    <row r="34" customFormat="false" ht="15" hidden="false" customHeight="true" outlineLevel="0" collapsed="false">
      <c r="B34" s="113" t="n">
        <v>2</v>
      </c>
      <c r="C34" s="114" t="n">
        <f aca="false">IF(Need_1&lt;&gt;"","",C33*(1+Inflation_Choice))</f>
        <v>24480</v>
      </c>
      <c r="D34" s="114" t="n">
        <f aca="false">IF(Need_1&lt;&gt;"","",F33)</f>
        <v>387844</v>
      </c>
      <c r="E34" s="113" t="n">
        <f aca="false">IF(Need_1&lt;&gt;"","",IF(Withdrawal_Timing="Start of year",IF(D34&gt;=C34,1,0),IF(D34*(1+Growth_Rate)&gt;=C34,1,0)))</f>
        <v>1</v>
      </c>
      <c r="F34" s="114" t="n">
        <f aca="false">IF(Need_1&lt;&gt;"","",IF(E34=1,IF(Withdrawal_Timing="Start of year",(D34-C34)*(1+Growth_Rate),D34*(1+Growth_Rate)-C34),0))</f>
        <v>374809.966</v>
      </c>
    </row>
    <row r="35" customFormat="false" ht="15" hidden="false" customHeight="true" outlineLevel="0" collapsed="false">
      <c r="B35" s="113" t="n">
        <v>3</v>
      </c>
      <c r="C35" s="114" t="n">
        <f aca="false">IF(Need_1&lt;&gt;"","",C34*(1+Inflation_Choice))</f>
        <v>24969.6</v>
      </c>
      <c r="D35" s="114" t="n">
        <f aca="false">IF(Need_1&lt;&gt;"","",F34)</f>
        <v>374809.966</v>
      </c>
      <c r="E35" s="113" t="n">
        <f aca="false">IF(Need_1&lt;&gt;"","",IF(Withdrawal_Timing="Start of year",IF(D35&gt;=C35,1,0),IF(D35*(1+Growth_Rate)&gt;=C35,1,0)))</f>
        <v>1</v>
      </c>
      <c r="F35" s="114" t="n">
        <f aca="false">IF(Need_1&lt;&gt;"","",IF(E35=1,IF(Withdrawal_Timing="Start of year",(D35-C35)*(1+Growth_Rate),D35*(1+Growth_Rate)-C35),0))</f>
        <v>360860.337529</v>
      </c>
    </row>
    <row r="36" customFormat="false" ht="15" hidden="false" customHeight="true" outlineLevel="0" collapsed="false">
      <c r="B36" s="113" t="n">
        <v>4</v>
      </c>
      <c r="C36" s="114" t="n">
        <f aca="false">IF(Need_1&lt;&gt;"","",C35*(1+Inflation_Choice))</f>
        <v>25468.992</v>
      </c>
      <c r="D36" s="114" t="n">
        <f aca="false">IF(Need_1&lt;&gt;"","",F35)</f>
        <v>360860.337529</v>
      </c>
      <c r="E36" s="113" t="n">
        <f aca="false">IF(Need_1&lt;&gt;"","",IF(Withdrawal_Timing="Start of year",IF(D36&gt;=C36,1,0),IF(D36*(1+Growth_Rate)&gt;=C36,1,0)))</f>
        <v>1</v>
      </c>
      <c r="F36" s="114" t="n">
        <f aca="false">IF(Need_1&lt;&gt;"","",IF(E36=1,IF(Withdrawal_Timing="Start of year",(D36-C36)*(1+Growth_Rate),D36*(1+Growth_Rate)-C36),0))</f>
        <v>345956.172913164</v>
      </c>
    </row>
    <row r="37" customFormat="false" ht="15" hidden="false" customHeight="true" outlineLevel="0" collapsed="false">
      <c r="B37" s="113" t="n">
        <v>5</v>
      </c>
      <c r="C37" s="114" t="n">
        <f aca="false">IF(Need_1&lt;&gt;"","",C36*(1+Inflation_Choice))</f>
        <v>25978.37184</v>
      </c>
      <c r="D37" s="114" t="n">
        <f aca="false">IF(Need_1&lt;&gt;"","",F36)</f>
        <v>345956.172913164</v>
      </c>
      <c r="E37" s="113" t="n">
        <f aca="false">IF(Need_1&lt;&gt;"","",IF(Withdrawal_Timing="Start of year",IF(D37&gt;=C37,1,0),IF(D37*(1+Growth_Rate)&gt;=C37,1,0)))</f>
        <v>1</v>
      </c>
      <c r="F37" s="114" t="n">
        <f aca="false">IF(Need_1&lt;&gt;"","",IF(E37=1,IF(Withdrawal_Timing="Start of year",(D37-C37)*(1+Growth_Rate),D37*(1+Growth_Rate)-C37),0))</f>
        <v>330057.101806968</v>
      </c>
    </row>
    <row r="38" customFormat="false" ht="15" hidden="false" customHeight="true" outlineLevel="0" collapsed="false">
      <c r="B38" s="113" t="n">
        <v>6</v>
      </c>
      <c r="C38" s="114" t="n">
        <f aca="false">IF(Need_1&lt;&gt;"","",C37*(1+Inflation_Choice))</f>
        <v>26497.9392768</v>
      </c>
      <c r="D38" s="114" t="n">
        <f aca="false">IF(Need_1&lt;&gt;"","",F37)</f>
        <v>330057.101806968</v>
      </c>
      <c r="E38" s="113" t="n">
        <f aca="false">IF(Need_1&lt;&gt;"","",IF(Withdrawal_Timing="Start of year",IF(D38&gt;=C38,1,0),IF(D38*(1+Growth_Rate)&gt;=C38,1,0)))</f>
        <v>1</v>
      </c>
      <c r="F38" s="114" t="n">
        <f aca="false">IF(Need_1&lt;&gt;"","",IF(E38=1,IF(Withdrawal_Timing="Start of year",(D38-C38)*(1+Growth_Rate),D38*(1+Growth_Rate)-C38),0))</f>
        <v>313121.276149869</v>
      </c>
    </row>
    <row r="39" customFormat="false" ht="15" hidden="false" customHeight="true" outlineLevel="0" collapsed="false">
      <c r="B39" s="113" t="n">
        <v>7</v>
      </c>
      <c r="C39" s="114" t="n">
        <f aca="false">IF(Need_1&lt;&gt;"","",C38*(1+Inflation_Choice))</f>
        <v>27027.898062336</v>
      </c>
      <c r="D39" s="114" t="n">
        <f aca="false">IF(Need_1&lt;&gt;"","",F38)</f>
        <v>313121.276149869</v>
      </c>
      <c r="E39" s="113" t="n">
        <f aca="false">IF(Need_1&lt;&gt;"","",IF(Withdrawal_Timing="Start of year",IF(D39&gt;=C39,1,0),IF(D39*(1+Growth_Rate)&gt;=C39,1,0)))</f>
        <v>1</v>
      </c>
      <c r="F39" s="114" t="n">
        <f aca="false">IF(Need_1&lt;&gt;"","",IF(E39=1,IF(Withdrawal_Timing="Start of year",(D39-C39)*(1+Growth_Rate),D39*(1+Growth_Rate)-C39),0))</f>
        <v>295105.31949729</v>
      </c>
    </row>
    <row r="40" customFormat="false" ht="15" hidden="false" customHeight="true" outlineLevel="0" collapsed="false">
      <c r="B40" s="113" t="n">
        <v>8</v>
      </c>
      <c r="C40" s="114" t="n">
        <f aca="false">IF(Need_1&lt;&gt;"","",C39*(1+Inflation_Choice))</f>
        <v>27568.4560235827</v>
      </c>
      <c r="D40" s="114" t="n">
        <f aca="false">IF(Need_1&lt;&gt;"","",F39)</f>
        <v>295105.31949729</v>
      </c>
      <c r="E40" s="113" t="n">
        <f aca="false">IF(Need_1&lt;&gt;"","",IF(Withdrawal_Timing="Start of year",IF(D40&gt;=C40,1,0),IF(D40*(1+Growth_Rate)&gt;=C40,1,0)))</f>
        <v>1</v>
      </c>
      <c r="F40" s="114" t="n">
        <f aca="false">IF(Need_1&lt;&gt;"","",IF(E40=1,IF(Withdrawal_Timing="Start of year",(D40-C40)*(1+Growth_Rate),D40*(1+Growth_Rate)-C40),0))</f>
        <v>275964.274673129</v>
      </c>
    </row>
    <row r="41" customFormat="false" ht="15" hidden="false" customHeight="true" outlineLevel="0" collapsed="false">
      <c r="B41" s="113" t="n">
        <v>9</v>
      </c>
      <c r="C41" s="114" t="n">
        <f aca="false">IF(Need_1&lt;&gt;"","",C40*(1+Inflation_Choice))</f>
        <v>28119.8251440544</v>
      </c>
      <c r="D41" s="114" t="n">
        <f aca="false">IF(Need_1&lt;&gt;"","",F40)</f>
        <v>275964.274673129</v>
      </c>
      <c r="E41" s="113" t="n">
        <f aca="false">IF(Need_1&lt;&gt;"","",IF(Withdrawal_Timing="Start of year",IF(D41&gt;=C41,1,0),IF(D41*(1+Growth_Rate)&gt;=C41,1,0)))</f>
        <v>1</v>
      </c>
      <c r="F41" s="114" t="n">
        <f aca="false">IF(Need_1&lt;&gt;"","",IF(E41=1,IF(Withdrawal_Timing="Start of year",(D41-C41)*(1+Growth_Rate),D41*(1+Growth_Rate)-C41),0))</f>
        <v>255651.54968924</v>
      </c>
    </row>
    <row r="42" customFormat="false" ht="15" hidden="false" customHeight="true" outlineLevel="0" collapsed="false">
      <c r="B42" s="113" t="n">
        <v>10</v>
      </c>
      <c r="C42" s="114" t="n">
        <f aca="false">IF(Need_1&lt;&gt;"","",C41*(1+Inflation_Choice))</f>
        <v>28682.2216469355</v>
      </c>
      <c r="D42" s="114" t="n">
        <f aca="false">IF(Need_1&lt;&gt;"","",F41)</f>
        <v>255651.54968924</v>
      </c>
      <c r="E42" s="113" t="n">
        <f aca="false">IF(Need_1&lt;&gt;"","",IF(Withdrawal_Timing="Start of year",IF(D42&gt;=C42,1,0),IF(D42*(1+Growth_Rate)&gt;=C42,1,0)))</f>
        <v>1</v>
      </c>
      <c r="F42" s="114" t="n">
        <f aca="false">IF(Need_1&lt;&gt;"","",IF(E42=1,IF(Withdrawal_Timing="Start of year",(D42-C42)*(1+Growth_Rate),D42*(1+Growth_Rate)-C42),0))</f>
        <v>234118.861875638</v>
      </c>
    </row>
    <row r="43" customFormat="false" ht="15" hidden="false" customHeight="true" outlineLevel="0" collapsed="false">
      <c r="B43" s="113" t="n">
        <v>11</v>
      </c>
      <c r="C43" s="114" t="n">
        <f aca="false">IF(Need_1&lt;&gt;"","",C42*(1+Inflation_Choice))</f>
        <v>29255.8660798742</v>
      </c>
      <c r="D43" s="114" t="n">
        <f aca="false">IF(Need_1&lt;&gt;"","",F42)</f>
        <v>234118.861875638</v>
      </c>
      <c r="E43" s="113" t="n">
        <f aca="false">IF(Need_1&lt;&gt;"","",IF(Withdrawal_Timing="Start of year",IF(D43&gt;=C43,1,0),IF(D43*(1+Growth_Rate)&gt;=C43,1,0)))</f>
        <v>1</v>
      </c>
      <c r="F43" s="114" t="n">
        <f aca="false">IF(Need_1&lt;&gt;"","",IF(E43=1,IF(Withdrawal_Timing="Start of year",(D43-C43)*(1+Growth_Rate),D43*(1+Growth_Rate)-C43),0))</f>
        <v>211316.18016333</v>
      </c>
    </row>
    <row r="44" customFormat="false" ht="15" hidden="false" customHeight="true" outlineLevel="0" collapsed="false">
      <c r="B44" s="113" t="n">
        <v>12</v>
      </c>
      <c r="C44" s="114" t="n">
        <f aca="false">IF(Need_1&lt;&gt;"","",C43*(1+Inflation_Choice))</f>
        <v>29840.9834014717</v>
      </c>
      <c r="D44" s="114" t="n">
        <f aca="false">IF(Need_1&lt;&gt;"","",F43)</f>
        <v>211316.18016333</v>
      </c>
      <c r="E44" s="113" t="n">
        <f aca="false">IF(Need_1&lt;&gt;"","",IF(Withdrawal_Timing="Start of year",IF(D44&gt;=C44,1,0),IF(D44*(1+Growth_Rate)&gt;=C44,1,0)))</f>
        <v>1</v>
      </c>
      <c r="F44" s="114" t="n">
        <f aca="false">IF(Need_1&lt;&gt;"","",IF(E44=1,IF(Withdrawal_Timing="Start of year",(D44-C44)*(1+Growth_Rate),D44*(1+Growth_Rate)-C44),0))</f>
        <v>187191.665459857</v>
      </c>
    </row>
    <row r="45" customFormat="false" ht="15" hidden="false" customHeight="true" outlineLevel="0" collapsed="false">
      <c r="B45" s="113" t="n">
        <v>13</v>
      </c>
      <c r="C45" s="114" t="n">
        <f aca="false">IF(Need_1&lt;&gt;"","",C44*(1+Inflation_Choice))</f>
        <v>30437.8030695011</v>
      </c>
      <c r="D45" s="114" t="n">
        <f aca="false">IF(Need_1&lt;&gt;"","",F44)</f>
        <v>187191.665459857</v>
      </c>
      <c r="E45" s="113" t="n">
        <f aca="false">IF(Need_1&lt;&gt;"","",IF(Withdrawal_Timing="Start of year",IF(D45&gt;=C45,1,0),IF(D45*(1+Growth_Rate)&gt;=C45,1,0)))</f>
        <v>1</v>
      </c>
      <c r="F45" s="114" t="n">
        <f aca="false">IF(Need_1&lt;&gt;"","",IF(E45=1,IF(Withdrawal_Timing="Start of year",(D45-C45)*(1+Growth_Rate),D45*(1+Growth_Rate)-C45),0))</f>
        <v>161691.609055652</v>
      </c>
    </row>
    <row r="46" customFormat="false" ht="15" hidden="false" customHeight="true" outlineLevel="0" collapsed="false">
      <c r="B46" s="113" t="n">
        <v>14</v>
      </c>
      <c r="C46" s="114" t="n">
        <f aca="false">IF(Need_1&lt;&gt;"","",C45*(1+Inflation_Choice))</f>
        <v>31046.5591308911</v>
      </c>
      <c r="D46" s="114" t="n">
        <f aca="false">IF(Need_1&lt;&gt;"","",F45)</f>
        <v>161691.609055652</v>
      </c>
      <c r="E46" s="113" t="n">
        <f aca="false">IF(Need_1&lt;&gt;"","",IF(Withdrawal_Timing="Start of year",IF(D46&gt;=C46,1,0),IF(D46*(1+Growth_Rate)&gt;=C46,1,0)))</f>
        <v>1</v>
      </c>
      <c r="F46" s="114" t="n">
        <f aca="false">IF(Need_1&lt;&gt;"","",IF(E46=1,IF(Withdrawal_Timing="Start of year",(D46-C46)*(1+Growth_Rate),D46*(1+Growth_Rate)-C46),0))</f>
        <v>134760.368997391</v>
      </c>
    </row>
    <row r="47" customFormat="false" ht="15" hidden="false" customHeight="true" outlineLevel="0" collapsed="false">
      <c r="B47" s="113" t="n">
        <v>15</v>
      </c>
      <c r="C47" s="114" t="n">
        <f aca="false">IF(Need_1&lt;&gt;"","",C46*(1+Inflation_Choice))</f>
        <v>31667.4903135089</v>
      </c>
      <c r="D47" s="114" t="n">
        <f aca="false">IF(Need_1&lt;&gt;"","",F46)</f>
        <v>134760.368997391</v>
      </c>
      <c r="E47" s="113" t="n">
        <f aca="false">IF(Need_1&lt;&gt;"","",IF(Withdrawal_Timing="Start of year",IF(D47&gt;=C47,1,0),IF(D47*(1+Growth_Rate)&gt;=C47,1,0)))</f>
        <v>1</v>
      </c>
      <c r="F47" s="114" t="n">
        <f aca="false">IF(Need_1&lt;&gt;"","",IF(E47=1,IF(Withdrawal_Timing="Start of year",(D47-C47)*(1+Growth_Rate),D47*(1+Growth_Rate)-C47),0))</f>
        <v>106340.304362424</v>
      </c>
    </row>
    <row r="48" customFormat="false" ht="15" hidden="false" customHeight="true" outlineLevel="0" collapsed="false">
      <c r="B48" s="113" t="n">
        <v>16</v>
      </c>
      <c r="C48" s="114" t="n">
        <f aca="false">IF(Need_1&lt;&gt;"","",C47*(1+Inflation_Choice))</f>
        <v>32300.8401197791</v>
      </c>
      <c r="D48" s="114" t="n">
        <f aca="false">IF(Need_1&lt;&gt;"","",F47)</f>
        <v>106340.304362424</v>
      </c>
      <c r="E48" s="113" t="n">
        <f aca="false">IF(Need_1&lt;&gt;"","",IF(Withdrawal_Timing="Start of year",IF(D48&gt;=C48,1,0),IF(D48*(1+Growth_Rate)&gt;=C48,1,0)))</f>
        <v>1</v>
      </c>
      <c r="F48" s="114" t="n">
        <f aca="false">IF(Need_1&lt;&gt;"","",IF(E48=1,IF(Withdrawal_Timing="Start of year",(D48-C48)*(1+Growth_Rate),D48*(1+Growth_Rate)-C48),0))</f>
        <v>76371.7073662885</v>
      </c>
    </row>
    <row r="49" customFormat="false" ht="15" hidden="false" customHeight="true" outlineLevel="0" collapsed="false">
      <c r="B49" s="113" t="n">
        <v>17</v>
      </c>
      <c r="C49" s="114" t="n">
        <f aca="false">IF(Need_1&lt;&gt;"","",C48*(1+Inflation_Choice))</f>
        <v>32946.8569221747</v>
      </c>
      <c r="D49" s="114" t="n">
        <f aca="false">IF(Need_1&lt;&gt;"","",F48)</f>
        <v>76371.7073662885</v>
      </c>
      <c r="E49" s="113" t="n">
        <f aca="false">IF(Need_1&lt;&gt;"","",IF(Withdrawal_Timing="Start of year",IF(D49&gt;=C49,1,0),IF(D49*(1+Growth_Rate)&gt;=C49,1,0)))</f>
        <v>1</v>
      </c>
      <c r="F49" s="114" t="n">
        <f aca="false">IF(Need_1&lt;&gt;"","",IF(E49=1,IF(Withdrawal_Timing="Start of year",(D49-C49)*(1+Growth_Rate),D49*(1+Growth_Rate)-C49),0))</f>
        <v>44792.7332331033</v>
      </c>
    </row>
    <row r="50" customFormat="false" ht="15" hidden="false" customHeight="true" outlineLevel="0" collapsed="false">
      <c r="B50" s="113" t="n">
        <v>18</v>
      </c>
      <c r="C50" s="114" t="n">
        <f aca="false">IF(Need_1&lt;&gt;"","",C49*(1+Inflation_Choice))</f>
        <v>33605.7940606182</v>
      </c>
      <c r="D50" s="114" t="n">
        <f aca="false">IF(Need_1&lt;&gt;"","",F49)</f>
        <v>44792.7332331033</v>
      </c>
      <c r="E50" s="113" t="n">
        <f aca="false">IF(Need_1&lt;&gt;"","",IF(Withdrawal_Timing="Start of year",IF(D50&gt;=C50,1,0),IF(D50*(1+Growth_Rate)&gt;=C50,1,0)))</f>
        <v>1</v>
      </c>
      <c r="F50" s="114" t="n">
        <f aca="false">IF(Need_1&lt;&gt;"","",IF(E50=1,IF(Withdrawal_Timing="Start of year",(D50-C50)*(1+Growth_Rate),D50*(1+Growth_Rate)-C50),0))</f>
        <v>11539.3277564184</v>
      </c>
    </row>
    <row r="51" customFormat="false" ht="15" hidden="false" customHeight="true" outlineLevel="0" collapsed="false">
      <c r="B51" s="113" t="n">
        <v>19</v>
      </c>
      <c r="C51" s="114" t="n">
        <f aca="false">IF(Need_1&lt;&gt;"","",C50*(1+Inflation_Choice))</f>
        <v>34277.9099418306</v>
      </c>
      <c r="D51" s="114" t="n">
        <f aca="false">IF(Need_1&lt;&gt;"","",F50)</f>
        <v>11539.3277564184</v>
      </c>
      <c r="E51" s="113" t="n">
        <f aca="false">IF(Need_1&lt;&gt;"","",IF(Withdrawal_Timing="Start of year",IF(D51&gt;=C51,1,0),IF(D51*(1+Growth_Rate)&gt;=C51,1,0)))</f>
        <v>0</v>
      </c>
      <c r="F51" s="114" t="n">
        <f aca="false">IF(Need_1&lt;&gt;"","",IF(E51=1,IF(Withdrawal_Timing="Start of year",(D51-C51)*(1+Growth_Rate),D51*(1+Growth_Rate)-C51),0))</f>
        <v>0</v>
      </c>
    </row>
    <row r="52" customFormat="false" ht="15" hidden="false" customHeight="true" outlineLevel="0" collapsed="false">
      <c r="B52" s="113" t="n">
        <v>20</v>
      </c>
      <c r="C52" s="114" t="n">
        <f aca="false">IF(Need_1&lt;&gt;"","",C51*(1+Inflation_Choice))</f>
        <v>34963.4681406672</v>
      </c>
      <c r="D52" s="114" t="n">
        <f aca="false">IF(Need_1&lt;&gt;"","",F51)</f>
        <v>0</v>
      </c>
      <c r="E52" s="113" t="n">
        <f aca="false">IF(Need_1&lt;&gt;"","",IF(Withdrawal_Timing="Start of year",IF(D52&gt;=C52,1,0),IF(D52*(1+Growth_Rate)&gt;=C52,1,0)))</f>
        <v>0</v>
      </c>
      <c r="F52" s="114" t="n">
        <f aca="false">IF(Need_1&lt;&gt;"","",IF(E52=1,IF(Withdrawal_Timing="Start of year",(D52-C52)*(1+Growth_Rate),D52*(1+Growth_Rate)-C52),0))</f>
        <v>0</v>
      </c>
    </row>
    <row r="53" customFormat="false" ht="15" hidden="false" customHeight="true" outlineLevel="0" collapsed="false">
      <c r="B53" s="113" t="n">
        <v>21</v>
      </c>
      <c r="C53" s="114" t="n">
        <f aca="false">IF(Need_1&lt;&gt;"","",C52*(1+Inflation_Choice))</f>
        <v>35662.7375034805</v>
      </c>
      <c r="D53" s="114" t="n">
        <f aca="false">IF(Need_1&lt;&gt;"","",F52)</f>
        <v>0</v>
      </c>
      <c r="E53" s="113" t="n">
        <f aca="false">IF(Need_1&lt;&gt;"","",IF(Withdrawal_Timing="Start of year",IF(D53&gt;=C53,1,0),IF(D53*(1+Growth_Rate)&gt;=C53,1,0)))</f>
        <v>0</v>
      </c>
      <c r="F53" s="114" t="n">
        <f aca="false">IF(Need_1&lt;&gt;"","",IF(E53=1,IF(Withdrawal_Timing="Start of year",(D53-C53)*(1+Growth_Rate),D53*(1+Growth_Rate)-C53),0))</f>
        <v>0</v>
      </c>
    </row>
    <row r="54" customFormat="false" ht="15" hidden="false" customHeight="true" outlineLevel="0" collapsed="false">
      <c r="B54" s="113" t="n">
        <v>22</v>
      </c>
      <c r="C54" s="114" t="n">
        <f aca="false">IF(Need_1&lt;&gt;"","",C53*(1+Inflation_Choice))</f>
        <v>36375.9922535501</v>
      </c>
      <c r="D54" s="114" t="n">
        <f aca="false">IF(Need_1&lt;&gt;"","",F53)</f>
        <v>0</v>
      </c>
      <c r="E54" s="113" t="n">
        <f aca="false">IF(Need_1&lt;&gt;"","",IF(Withdrawal_Timing="Start of year",IF(D54&gt;=C54,1,0),IF(D54*(1+Growth_Rate)&gt;=C54,1,0)))</f>
        <v>0</v>
      </c>
      <c r="F54" s="114" t="n">
        <f aca="false">IF(Need_1&lt;&gt;"","",IF(E54=1,IF(Withdrawal_Timing="Start of year",(D54-C54)*(1+Growth_Rate),D54*(1+Growth_Rate)-C54),0))</f>
        <v>0</v>
      </c>
    </row>
    <row r="55" customFormat="false" ht="15" hidden="false" customHeight="true" outlineLevel="0" collapsed="false">
      <c r="B55" s="113" t="n">
        <v>23</v>
      </c>
      <c r="C55" s="114" t="n">
        <f aca="false">IF(Need_1&lt;&gt;"","",C54*(1+Inflation_Choice))</f>
        <v>37103.5120986211</v>
      </c>
      <c r="D55" s="114" t="n">
        <f aca="false">IF(Need_1&lt;&gt;"","",F54)</f>
        <v>0</v>
      </c>
      <c r="E55" s="113" t="n">
        <f aca="false">IF(Need_1&lt;&gt;"","",IF(Withdrawal_Timing="Start of year",IF(D55&gt;=C55,1,0),IF(D55*(1+Growth_Rate)&gt;=C55,1,0)))</f>
        <v>0</v>
      </c>
      <c r="F55" s="114" t="n">
        <f aca="false">IF(Need_1&lt;&gt;"","",IF(E55=1,IF(Withdrawal_Timing="Start of year",(D55-C55)*(1+Growth_Rate),D55*(1+Growth_Rate)-C55),0))</f>
        <v>0</v>
      </c>
    </row>
    <row r="56" customFormat="false" ht="15" hidden="false" customHeight="true" outlineLevel="0" collapsed="false">
      <c r="B56" s="113" t="n">
        <v>24</v>
      </c>
      <c r="C56" s="114" t="n">
        <f aca="false">IF(Need_1&lt;&gt;"","",C55*(1+Inflation_Choice))</f>
        <v>37845.5823405936</v>
      </c>
      <c r="D56" s="114" t="n">
        <f aca="false">IF(Need_1&lt;&gt;"","",F55)</f>
        <v>0</v>
      </c>
      <c r="E56" s="113" t="n">
        <f aca="false">IF(Need_1&lt;&gt;"","",IF(Withdrawal_Timing="Start of year",IF(D56&gt;=C56,1,0),IF(D56*(1+Growth_Rate)&gt;=C56,1,0)))</f>
        <v>0</v>
      </c>
      <c r="F56" s="114" t="n">
        <f aca="false">IF(Need_1&lt;&gt;"","",IF(E56=1,IF(Withdrawal_Timing="Start of year",(D56-C56)*(1+Growth_Rate),D56*(1+Growth_Rate)-C56),0))</f>
        <v>0</v>
      </c>
    </row>
    <row r="57" customFormat="false" ht="15" hidden="false" customHeight="true" outlineLevel="0" collapsed="false">
      <c r="B57" s="113" t="n">
        <v>25</v>
      </c>
      <c r="C57" s="114" t="n">
        <f aca="false">IF(Need_1&lt;&gt;"","",C56*(1+Inflation_Choice))</f>
        <v>38602.4939874054</v>
      </c>
      <c r="D57" s="114" t="n">
        <f aca="false">IF(Need_1&lt;&gt;"","",F56)</f>
        <v>0</v>
      </c>
      <c r="E57" s="113" t="n">
        <f aca="false">IF(Need_1&lt;&gt;"","",IF(Withdrawal_Timing="Start of year",IF(D57&gt;=C57,1,0),IF(D57*(1+Growth_Rate)&gt;=C57,1,0)))</f>
        <v>0</v>
      </c>
      <c r="F57" s="114" t="n">
        <f aca="false">IF(Need_1&lt;&gt;"","",IF(E57=1,IF(Withdrawal_Timing="Start of year",(D57-C57)*(1+Growth_Rate),D57*(1+Growth_Rate)-C57),0))</f>
        <v>0</v>
      </c>
    </row>
    <row r="58" customFormat="false" ht="15" hidden="false" customHeight="true" outlineLevel="0" collapsed="false">
      <c r="B58" s="113" t="n">
        <v>26</v>
      </c>
      <c r="C58" s="114" t="n">
        <f aca="false">IF(Need_1&lt;&gt;"","",C57*(1+Inflation_Choice))</f>
        <v>39374.5438671535</v>
      </c>
      <c r="D58" s="114" t="n">
        <f aca="false">IF(Need_1&lt;&gt;"","",F57)</f>
        <v>0</v>
      </c>
      <c r="E58" s="113" t="n">
        <f aca="false">IF(Need_1&lt;&gt;"","",IF(Withdrawal_Timing="Start of year",IF(D58&gt;=C58,1,0),IF(D58*(1+Growth_Rate)&gt;=C58,1,0)))</f>
        <v>0</v>
      </c>
      <c r="F58" s="114" t="n">
        <f aca="false">IF(Need_1&lt;&gt;"","",IF(E58=1,IF(Withdrawal_Timing="Start of year",(D58-C58)*(1+Growth_Rate),D58*(1+Growth_Rate)-C58),0))</f>
        <v>0</v>
      </c>
    </row>
    <row r="59" customFormat="false" ht="15" hidden="false" customHeight="true" outlineLevel="0" collapsed="false">
      <c r="B59" s="113" t="n">
        <v>27</v>
      </c>
      <c r="C59" s="114" t="n">
        <f aca="false">IF(Need_1&lt;&gt;"","",C58*(1+Inflation_Choice))</f>
        <v>40162.0347444966</v>
      </c>
      <c r="D59" s="114" t="n">
        <f aca="false">IF(Need_1&lt;&gt;"","",F58)</f>
        <v>0</v>
      </c>
      <c r="E59" s="113" t="n">
        <f aca="false">IF(Need_1&lt;&gt;"","",IF(Withdrawal_Timing="Start of year",IF(D59&gt;=C59,1,0),IF(D59*(1+Growth_Rate)&gt;=C59,1,0)))</f>
        <v>0</v>
      </c>
      <c r="F59" s="114" t="n">
        <f aca="false">IF(Need_1&lt;&gt;"","",IF(E59=1,IF(Withdrawal_Timing="Start of year",(D59-C59)*(1+Growth_Rate),D59*(1+Growth_Rate)-C59),0))</f>
        <v>0</v>
      </c>
    </row>
    <row r="60" customFormat="false" ht="15" hidden="false" customHeight="true" outlineLevel="0" collapsed="false">
      <c r="B60" s="113" t="n">
        <v>28</v>
      </c>
      <c r="C60" s="114" t="n">
        <f aca="false">IF(Need_1&lt;&gt;"","",C59*(1+Inflation_Choice))</f>
        <v>40965.2754393865</v>
      </c>
      <c r="D60" s="114" t="n">
        <f aca="false">IF(Need_1&lt;&gt;"","",F59)</f>
        <v>0</v>
      </c>
      <c r="E60" s="113" t="n">
        <f aca="false">IF(Need_1&lt;&gt;"","",IF(Withdrawal_Timing="Start of year",IF(D60&gt;=C60,1,0),IF(D60*(1+Growth_Rate)&gt;=C60,1,0)))</f>
        <v>0</v>
      </c>
      <c r="F60" s="114" t="n">
        <f aca="false">IF(Need_1&lt;&gt;"","",IF(E60=1,IF(Withdrawal_Timing="Start of year",(D60-C60)*(1+Growth_Rate),D60*(1+Growth_Rate)-C60),0))</f>
        <v>0</v>
      </c>
    </row>
    <row r="61" customFormat="false" ht="15" hidden="false" customHeight="true" outlineLevel="0" collapsed="false">
      <c r="B61" s="113" t="n">
        <v>29</v>
      </c>
      <c r="C61" s="114" t="n">
        <f aca="false">IF(Need_1&lt;&gt;"","",C60*(1+Inflation_Choice))</f>
        <v>41784.5809481743</v>
      </c>
      <c r="D61" s="114" t="n">
        <f aca="false">IF(Need_1&lt;&gt;"","",F60)</f>
        <v>0</v>
      </c>
      <c r="E61" s="113" t="n">
        <f aca="false">IF(Need_1&lt;&gt;"","",IF(Withdrawal_Timing="Start of year",IF(D61&gt;=C61,1,0),IF(D61*(1+Growth_Rate)&gt;=C61,1,0)))</f>
        <v>0</v>
      </c>
      <c r="F61" s="114" t="n">
        <f aca="false">IF(Need_1&lt;&gt;"","",IF(E61=1,IF(Withdrawal_Timing="Start of year",(D61-C61)*(1+Growth_Rate),D61*(1+Growth_Rate)-C61),0))</f>
        <v>0</v>
      </c>
    </row>
    <row r="62" customFormat="false" ht="15" hidden="false" customHeight="true" outlineLevel="0" collapsed="false">
      <c r="B62" s="113" t="n">
        <v>30</v>
      </c>
      <c r="C62" s="114" t="n">
        <f aca="false">IF(Need_1&lt;&gt;"","",C61*(1+Inflation_Choice))</f>
        <v>42620.2725671378</v>
      </c>
      <c r="D62" s="114" t="n">
        <f aca="false">IF(Need_1&lt;&gt;"","",F61)</f>
        <v>0</v>
      </c>
      <c r="E62" s="113" t="n">
        <f aca="false">IF(Need_1&lt;&gt;"","",IF(Withdrawal_Timing="Start of year",IF(D62&gt;=C62,1,0),IF(D62*(1+Growth_Rate)&gt;=C62,1,0)))</f>
        <v>0</v>
      </c>
      <c r="F62" s="114" t="n">
        <f aca="false">IF(Need_1&lt;&gt;"","",IF(E62=1,IF(Withdrawal_Timing="Start of year",(D62-C62)*(1+Growth_Rate),D62*(1+Growth_Rate)-C62),0))</f>
        <v>0</v>
      </c>
    </row>
    <row r="63" customFormat="false" ht="15" hidden="false" customHeight="true" outlineLevel="0" collapsed="false">
      <c r="B63" s="113" t="n">
        <v>31</v>
      </c>
      <c r="C63" s="114" t="n">
        <f aca="false">IF(Need_1&lt;&gt;"","",C62*(1+Inflation_Choice))</f>
        <v>43472.6780184805</v>
      </c>
      <c r="D63" s="114" t="n">
        <f aca="false">IF(Need_1&lt;&gt;"","",F62)</f>
        <v>0</v>
      </c>
      <c r="E63" s="113" t="n">
        <f aca="false">IF(Need_1&lt;&gt;"","",IF(Withdrawal_Timing="Start of year",IF(D63&gt;=C63,1,0),IF(D63*(1+Growth_Rate)&gt;=C63,1,0)))</f>
        <v>0</v>
      </c>
      <c r="F63" s="114" t="n">
        <f aca="false">IF(Need_1&lt;&gt;"","",IF(E63=1,IF(Withdrawal_Timing="Start of year",(D63-C63)*(1+Growth_Rate),D63*(1+Growth_Rate)-C63),0))</f>
        <v>0</v>
      </c>
    </row>
    <row r="64" customFormat="false" ht="15" hidden="false" customHeight="true" outlineLevel="0" collapsed="false">
      <c r="B64" s="113" t="n">
        <v>32</v>
      </c>
      <c r="C64" s="114" t="n">
        <f aca="false">IF(Need_1&lt;&gt;"","",C63*(1+Inflation_Choice))</f>
        <v>44342.1315788501</v>
      </c>
      <c r="D64" s="114" t="n">
        <f aca="false">IF(Need_1&lt;&gt;"","",F63)</f>
        <v>0</v>
      </c>
      <c r="E64" s="113" t="n">
        <f aca="false">IF(Need_1&lt;&gt;"","",IF(Withdrawal_Timing="Start of year",IF(D64&gt;=C64,1,0),IF(D64*(1+Growth_Rate)&gt;=C64,1,0)))</f>
        <v>0</v>
      </c>
      <c r="F64" s="114" t="n">
        <f aca="false">IF(Need_1&lt;&gt;"","",IF(E64=1,IF(Withdrawal_Timing="Start of year",(D64-C64)*(1+Growth_Rate),D64*(1+Growth_Rate)-C64),0))</f>
        <v>0</v>
      </c>
    </row>
    <row r="65" customFormat="false" ht="15" hidden="false" customHeight="true" outlineLevel="0" collapsed="false">
      <c r="B65" s="113" t="n">
        <v>33</v>
      </c>
      <c r="C65" s="114" t="n">
        <f aca="false">IF(Need_1&lt;&gt;"","",C64*(1+Inflation_Choice))</f>
        <v>45228.9742104271</v>
      </c>
      <c r="D65" s="114" t="n">
        <f aca="false">IF(Need_1&lt;&gt;"","",F64)</f>
        <v>0</v>
      </c>
      <c r="E65" s="113" t="n">
        <f aca="false">IF(Need_1&lt;&gt;"","",IF(Withdrawal_Timing="Start of year",IF(D65&gt;=C65,1,0),IF(D65*(1+Growth_Rate)&gt;=C65,1,0)))</f>
        <v>0</v>
      </c>
      <c r="F65" s="114" t="n">
        <f aca="false">IF(Need_1&lt;&gt;"","",IF(E65=1,IF(Withdrawal_Timing="Start of year",(D65-C65)*(1+Growth_Rate),D65*(1+Growth_Rate)-C65),0))</f>
        <v>0</v>
      </c>
    </row>
    <row r="66" customFormat="false" ht="15" hidden="false" customHeight="true" outlineLevel="0" collapsed="false">
      <c r="B66" s="113" t="n">
        <v>34</v>
      </c>
      <c r="C66" s="114" t="n">
        <f aca="false">IF(Need_1&lt;&gt;"","",C65*(1+Inflation_Choice))</f>
        <v>46133.5536946357</v>
      </c>
      <c r="D66" s="114" t="n">
        <f aca="false">IF(Need_1&lt;&gt;"","",F65)</f>
        <v>0</v>
      </c>
      <c r="E66" s="113" t="n">
        <f aca="false">IF(Need_1&lt;&gt;"","",IF(Withdrawal_Timing="Start of year",IF(D66&gt;=C66,1,0),IF(D66*(1+Growth_Rate)&gt;=C66,1,0)))</f>
        <v>0</v>
      </c>
      <c r="F66" s="114" t="n">
        <f aca="false">IF(Need_1&lt;&gt;"","",IF(E66=1,IF(Withdrawal_Timing="Start of year",(D66-C66)*(1+Growth_Rate),D66*(1+Growth_Rate)-C66),0))</f>
        <v>0</v>
      </c>
    </row>
    <row r="67" customFormat="false" ht="15" hidden="false" customHeight="true" outlineLevel="0" collapsed="false">
      <c r="B67" s="113" t="n">
        <v>35</v>
      </c>
      <c r="C67" s="114" t="n">
        <f aca="false">IF(Need_1&lt;&gt;"","",C66*(1+Inflation_Choice))</f>
        <v>47056.2247685284</v>
      </c>
      <c r="D67" s="114" t="n">
        <f aca="false">IF(Need_1&lt;&gt;"","",F66)</f>
        <v>0</v>
      </c>
      <c r="E67" s="113" t="n">
        <f aca="false">IF(Need_1&lt;&gt;"","",IF(Withdrawal_Timing="Start of year",IF(D67&gt;=C67,1,0),IF(D67*(1+Growth_Rate)&gt;=C67,1,0)))</f>
        <v>0</v>
      </c>
      <c r="F67" s="114" t="n">
        <f aca="false">IF(Need_1&lt;&gt;"","",IF(E67=1,IF(Withdrawal_Timing="Start of year",(D67-C67)*(1+Growth_Rate),D67*(1+Growth_Rate)-C67),0))</f>
        <v>0</v>
      </c>
    </row>
    <row r="68" customFormat="false" ht="15" hidden="false" customHeight="true" outlineLevel="0" collapsed="false">
      <c r="B68" s="113" t="n">
        <v>36</v>
      </c>
      <c r="C68" s="114" t="n">
        <f aca="false">IF(Need_1&lt;&gt;"","",C67*(1+Inflation_Choice))</f>
        <v>47997.349263899</v>
      </c>
      <c r="D68" s="114" t="n">
        <f aca="false">IF(Need_1&lt;&gt;"","",F67)</f>
        <v>0</v>
      </c>
      <c r="E68" s="113" t="n">
        <f aca="false">IF(Need_1&lt;&gt;"","",IF(Withdrawal_Timing="Start of year",IF(D68&gt;=C68,1,0),IF(D68*(1+Growth_Rate)&gt;=C68,1,0)))</f>
        <v>0</v>
      </c>
      <c r="F68" s="114" t="n">
        <f aca="false">IF(Need_1&lt;&gt;"","",IF(E68=1,IF(Withdrawal_Timing="Start of year",(D68-C68)*(1+Growth_Rate),D68*(1+Growth_Rate)-C68),0))</f>
        <v>0</v>
      </c>
    </row>
    <row r="69" customFormat="false" ht="15" hidden="false" customHeight="true" outlineLevel="0" collapsed="false">
      <c r="B69" s="113" t="n">
        <v>37</v>
      </c>
      <c r="C69" s="114" t="n">
        <f aca="false">IF(Need_1&lt;&gt;"","",C68*(1+Inflation_Choice))</f>
        <v>48957.2962491769</v>
      </c>
      <c r="D69" s="114" t="n">
        <f aca="false">IF(Need_1&lt;&gt;"","",F68)</f>
        <v>0</v>
      </c>
      <c r="E69" s="113" t="n">
        <f aca="false">IF(Need_1&lt;&gt;"","",IF(Withdrawal_Timing="Start of year",IF(D69&gt;=C69,1,0),IF(D69*(1+Growth_Rate)&gt;=C69,1,0)))</f>
        <v>0</v>
      </c>
      <c r="F69" s="114" t="n">
        <f aca="false">IF(Need_1&lt;&gt;"","",IF(E69=1,IF(Withdrawal_Timing="Start of year",(D69-C69)*(1+Growth_Rate),D69*(1+Growth_Rate)-C69),0))</f>
        <v>0</v>
      </c>
    </row>
    <row r="70" customFormat="false" ht="15" hidden="false" customHeight="true" outlineLevel="0" collapsed="false">
      <c r="B70" s="113" t="n">
        <v>38</v>
      </c>
      <c r="C70" s="114" t="n">
        <f aca="false">IF(Need_1&lt;&gt;"","",C69*(1+Inflation_Choice))</f>
        <v>49936.4421741605</v>
      </c>
      <c r="D70" s="114" t="n">
        <f aca="false">IF(Need_1&lt;&gt;"","",F69)</f>
        <v>0</v>
      </c>
      <c r="E70" s="113" t="n">
        <f aca="false">IF(Need_1&lt;&gt;"","",IF(Withdrawal_Timing="Start of year",IF(D70&gt;=C70,1,0),IF(D70*(1+Growth_Rate)&gt;=C70,1,0)))</f>
        <v>0</v>
      </c>
      <c r="F70" s="114" t="n">
        <f aca="false">IF(Need_1&lt;&gt;"","",IF(E70=1,IF(Withdrawal_Timing="Start of year",(D70-C70)*(1+Growth_Rate),D70*(1+Growth_Rate)-C70),0))</f>
        <v>0</v>
      </c>
    </row>
    <row r="71" customFormat="false" ht="15" hidden="false" customHeight="true" outlineLevel="0" collapsed="false">
      <c r="B71" s="113" t="n">
        <v>39</v>
      </c>
      <c r="C71" s="114" t="n">
        <f aca="false">IF(Need_1&lt;&gt;"","",C70*(1+Inflation_Choice))</f>
        <v>50935.1710176437</v>
      </c>
      <c r="D71" s="114" t="n">
        <f aca="false">IF(Need_1&lt;&gt;"","",F70)</f>
        <v>0</v>
      </c>
      <c r="E71" s="113" t="n">
        <f aca="false">IF(Need_1&lt;&gt;"","",IF(Withdrawal_Timing="Start of year",IF(D71&gt;=C71,1,0),IF(D71*(1+Growth_Rate)&gt;=C71,1,0)))</f>
        <v>0</v>
      </c>
      <c r="F71" s="114" t="n">
        <f aca="false">IF(Need_1&lt;&gt;"","",IF(E71=1,IF(Withdrawal_Timing="Start of year",(D71-C71)*(1+Growth_Rate),D71*(1+Growth_Rate)-C71),0))</f>
        <v>0</v>
      </c>
    </row>
    <row r="72" customFormat="false" ht="15" hidden="false" customHeight="true" outlineLevel="0" collapsed="false">
      <c r="B72" s="113" t="n">
        <v>40</v>
      </c>
      <c r="C72" s="114" t="n">
        <f aca="false">IF(Need_1&lt;&gt;"","",C71*(1+Inflation_Choice))</f>
        <v>51953.8744379966</v>
      </c>
      <c r="D72" s="114" t="n">
        <f aca="false">IF(Need_1&lt;&gt;"","",F71)</f>
        <v>0</v>
      </c>
      <c r="E72" s="113" t="n">
        <f aca="false">IF(Need_1&lt;&gt;"","",IF(Withdrawal_Timing="Start of year",IF(D72&gt;=C72,1,0),IF(D72*(1+Growth_Rate)&gt;=C72,1,0)))</f>
        <v>0</v>
      </c>
      <c r="F72" s="114" t="n">
        <f aca="false">IF(Need_1&lt;&gt;"","",IF(E72=1,IF(Withdrawal_Timing="Start of year",(D72-C72)*(1+Growth_Rate),D72*(1+Growth_Rate)-C72),0))</f>
        <v>0</v>
      </c>
    </row>
    <row r="73" customFormat="false" ht="15" hidden="false" customHeight="true" outlineLevel="0" collapsed="false">
      <c r="B73" s="113" t="n">
        <v>41</v>
      </c>
      <c r="C73" s="114" t="n">
        <f aca="false">IF(Need_1&lt;&gt;"","",C72*(1+Inflation_Choice))</f>
        <v>52992.9519267565</v>
      </c>
      <c r="D73" s="114" t="n">
        <f aca="false">IF(Need_1&lt;&gt;"","",F72)</f>
        <v>0</v>
      </c>
      <c r="E73" s="113" t="n">
        <f aca="false">IF(Need_1&lt;&gt;"","",IF(Withdrawal_Timing="Start of year",IF(D73&gt;=C73,1,0),IF(D73*(1+Growth_Rate)&gt;=C73,1,0)))</f>
        <v>0</v>
      </c>
      <c r="F73" s="114" t="n">
        <f aca="false">IF(Need_1&lt;&gt;"","",IF(E73=1,IF(Withdrawal_Timing="Start of year",(D73-C73)*(1+Growth_Rate),D73*(1+Growth_Rate)-C73),0))</f>
        <v>0</v>
      </c>
    </row>
    <row r="74" customFormat="false" ht="15" hidden="false" customHeight="true" outlineLevel="0" collapsed="false">
      <c r="B74" s="113" t="n">
        <v>42</v>
      </c>
      <c r="C74" s="114" t="n">
        <f aca="false">IF(Need_1&lt;&gt;"","",C73*(1+Inflation_Choice))</f>
        <v>54052.8109652916</v>
      </c>
      <c r="D74" s="114" t="n">
        <f aca="false">IF(Need_1&lt;&gt;"","",F73)</f>
        <v>0</v>
      </c>
      <c r="E74" s="113" t="n">
        <f aca="false">IF(Need_1&lt;&gt;"","",IF(Withdrawal_Timing="Start of year",IF(D74&gt;=C74,1,0),IF(D74*(1+Growth_Rate)&gt;=C74,1,0)))</f>
        <v>0</v>
      </c>
      <c r="F74" s="114" t="n">
        <f aca="false">IF(Need_1&lt;&gt;"","",IF(E74=1,IF(Withdrawal_Timing="Start of year",(D74-C74)*(1+Growth_Rate),D74*(1+Growth_Rate)-C74),0))</f>
        <v>0</v>
      </c>
    </row>
    <row r="75" customFormat="false" ht="15" hidden="false" customHeight="true" outlineLevel="0" collapsed="false">
      <c r="B75" s="113" t="n">
        <v>43</v>
      </c>
      <c r="C75" s="114" t="n">
        <f aca="false">IF(Need_1&lt;&gt;"","",C74*(1+Inflation_Choice))</f>
        <v>55133.8671845975</v>
      </c>
      <c r="D75" s="114" t="n">
        <f aca="false">IF(Need_1&lt;&gt;"","",F74)</f>
        <v>0</v>
      </c>
      <c r="E75" s="113" t="n">
        <f aca="false">IF(Need_1&lt;&gt;"","",IF(Withdrawal_Timing="Start of year",IF(D75&gt;=C75,1,0),IF(D75*(1+Growth_Rate)&gt;=C75,1,0)))</f>
        <v>0</v>
      </c>
      <c r="F75" s="114" t="n">
        <f aca="false">IF(Need_1&lt;&gt;"","",IF(E75=1,IF(Withdrawal_Timing="Start of year",(D75-C75)*(1+Growth_Rate),D75*(1+Growth_Rate)-C75),0))</f>
        <v>0</v>
      </c>
    </row>
    <row r="76" customFormat="false" ht="15" hidden="false" customHeight="true" outlineLevel="0" collapsed="false">
      <c r="B76" s="113" t="n">
        <v>44</v>
      </c>
      <c r="C76" s="114" t="n">
        <f aca="false">IF(Need_1&lt;&gt;"","",C75*(1+Inflation_Choice))</f>
        <v>56236.5445282894</v>
      </c>
      <c r="D76" s="114" t="n">
        <f aca="false">IF(Need_1&lt;&gt;"","",F75)</f>
        <v>0</v>
      </c>
      <c r="E76" s="113" t="n">
        <f aca="false">IF(Need_1&lt;&gt;"","",IF(Withdrawal_Timing="Start of year",IF(D76&gt;=C76,1,0),IF(D76*(1+Growth_Rate)&gt;=C76,1,0)))</f>
        <v>0</v>
      </c>
      <c r="F76" s="114" t="n">
        <f aca="false">IF(Need_1&lt;&gt;"","",IF(E76=1,IF(Withdrawal_Timing="Start of year",(D76-C76)*(1+Growth_Rate),D76*(1+Growth_Rate)-C76),0))</f>
        <v>0</v>
      </c>
    </row>
    <row r="77" customFormat="false" ht="15" hidden="false" customHeight="true" outlineLevel="0" collapsed="false">
      <c r="B77" s="113" t="n">
        <v>45</v>
      </c>
      <c r="C77" s="114" t="n">
        <f aca="false">IF(Need_1&lt;&gt;"","",C76*(1+Inflation_Choice))</f>
        <v>57361.2754188552</v>
      </c>
      <c r="D77" s="114" t="n">
        <f aca="false">IF(Need_1&lt;&gt;"","",F76)</f>
        <v>0</v>
      </c>
      <c r="E77" s="113" t="n">
        <f aca="false">IF(Need_1&lt;&gt;"","",IF(Withdrawal_Timing="Start of year",IF(D77&gt;=C77,1,0),IF(D77*(1+Growth_Rate)&gt;=C77,1,0)))</f>
        <v>0</v>
      </c>
      <c r="F77" s="114" t="n">
        <f aca="false">IF(Need_1&lt;&gt;"","",IF(E77=1,IF(Withdrawal_Timing="Start of year",(D77-C77)*(1+Growth_Rate),D77*(1+Growth_Rate)-C77),0))</f>
        <v>0</v>
      </c>
    </row>
    <row r="78" customFormat="false" ht="15" hidden="false" customHeight="true" outlineLevel="0" collapsed="false">
      <c r="B78" s="113" t="n">
        <v>46</v>
      </c>
      <c r="C78" s="114" t="n">
        <f aca="false">IF(Need_1&lt;&gt;"","",C77*(1+Inflation_Choice))</f>
        <v>58508.5009272323</v>
      </c>
      <c r="D78" s="114" t="n">
        <f aca="false">IF(Need_1&lt;&gt;"","",F77)</f>
        <v>0</v>
      </c>
      <c r="E78" s="113" t="n">
        <f aca="false">IF(Need_1&lt;&gt;"","",IF(Withdrawal_Timing="Start of year",IF(D78&gt;=C78,1,0),IF(D78*(1+Growth_Rate)&gt;=C78,1,0)))</f>
        <v>0</v>
      </c>
      <c r="F78" s="114" t="n">
        <f aca="false">IF(Need_1&lt;&gt;"","",IF(E78=1,IF(Withdrawal_Timing="Start of year",(D78-C78)*(1+Growth_Rate),D78*(1+Growth_Rate)-C78),0))</f>
        <v>0</v>
      </c>
    </row>
    <row r="79" customFormat="false" ht="15" hidden="false" customHeight="true" outlineLevel="0" collapsed="false">
      <c r="B79" s="113" t="n">
        <v>47</v>
      </c>
      <c r="C79" s="114" t="n">
        <f aca="false">IF(Need_1&lt;&gt;"","",C78*(1+Inflation_Choice))</f>
        <v>59678.6709457769</v>
      </c>
      <c r="D79" s="114" t="n">
        <f aca="false">IF(Need_1&lt;&gt;"","",F78)</f>
        <v>0</v>
      </c>
      <c r="E79" s="113" t="n">
        <f aca="false">IF(Need_1&lt;&gt;"","",IF(Withdrawal_Timing="Start of year",IF(D79&gt;=C79,1,0),IF(D79*(1+Growth_Rate)&gt;=C79,1,0)))</f>
        <v>0</v>
      </c>
      <c r="F79" s="114" t="n">
        <f aca="false">IF(Need_1&lt;&gt;"","",IF(E79=1,IF(Withdrawal_Timing="Start of year",(D79-C79)*(1+Growth_Rate),D79*(1+Growth_Rate)-C79),0))</f>
        <v>0</v>
      </c>
    </row>
    <row r="80" customFormat="false" ht="15" hidden="false" customHeight="true" outlineLevel="0" collapsed="false">
      <c r="B80" s="113" t="n">
        <v>48</v>
      </c>
      <c r="C80" s="114" t="n">
        <f aca="false">IF(Need_1&lt;&gt;"","",C79*(1+Inflation_Choice))</f>
        <v>60872.2443646925</v>
      </c>
      <c r="D80" s="114" t="n">
        <f aca="false">IF(Need_1&lt;&gt;"","",F79)</f>
        <v>0</v>
      </c>
      <c r="E80" s="113" t="n">
        <f aca="false">IF(Need_1&lt;&gt;"","",IF(Withdrawal_Timing="Start of year",IF(D80&gt;=C80,1,0),IF(D80*(1+Growth_Rate)&gt;=C80,1,0)))</f>
        <v>0</v>
      </c>
      <c r="F80" s="114" t="n">
        <f aca="false">IF(Need_1&lt;&gt;"","",IF(E80=1,IF(Withdrawal_Timing="Start of year",(D80-C80)*(1+Growth_Rate),D80*(1+Growth_Rate)-C80),0))</f>
        <v>0</v>
      </c>
    </row>
    <row r="81" customFormat="false" ht="15" hidden="false" customHeight="true" outlineLevel="0" collapsed="false">
      <c r="B81" s="113" t="n">
        <v>49</v>
      </c>
      <c r="C81" s="114" t="n">
        <f aca="false">IF(Need_1&lt;&gt;"","",C80*(1+Inflation_Choice))</f>
        <v>62089.6892519863</v>
      </c>
      <c r="D81" s="114" t="n">
        <f aca="false">IF(Need_1&lt;&gt;"","",F80)</f>
        <v>0</v>
      </c>
      <c r="E81" s="113" t="n">
        <f aca="false">IF(Need_1&lt;&gt;"","",IF(Withdrawal_Timing="Start of year",IF(D81&gt;=C81,1,0),IF(D81*(1+Growth_Rate)&gt;=C81,1,0)))</f>
        <v>0</v>
      </c>
      <c r="F81" s="114" t="n">
        <f aca="false">IF(Need_1&lt;&gt;"","",IF(E81=1,IF(Withdrawal_Timing="Start of year",(D81-C81)*(1+Growth_Rate),D81*(1+Growth_Rate)-C81),0))</f>
        <v>0</v>
      </c>
    </row>
    <row r="82" customFormat="false" ht="15" hidden="false" customHeight="true" outlineLevel="0" collapsed="false">
      <c r="B82" s="113" t="n">
        <v>50</v>
      </c>
      <c r="C82" s="114" t="n">
        <f aca="false">IF(Need_1&lt;&gt;"","",C81*(1+Inflation_Choice))</f>
        <v>63331.4830370261</v>
      </c>
      <c r="D82" s="114" t="n">
        <f aca="false">IF(Need_1&lt;&gt;"","",F81)</f>
        <v>0</v>
      </c>
      <c r="E82" s="113" t="n">
        <f aca="false">IF(Need_1&lt;&gt;"","",IF(Withdrawal_Timing="Start of year",IF(D82&gt;=C82,1,0),IF(D82*(1+Growth_Rate)&gt;=C82,1,0)))</f>
        <v>0</v>
      </c>
      <c r="F82" s="114" t="n">
        <f aca="false">IF(Need_1&lt;&gt;"","",IF(E82=1,IF(Withdrawal_Timing="Start of year",(D82-C82)*(1+Growth_Rate),D82*(1+Growth_Rate)-C82),0))</f>
        <v>0</v>
      </c>
    </row>
    <row r="83" customFormat="false" ht="15" hidden="false" customHeight="true" outlineLevel="0" collapsed="false">
      <c r="B83" s="113" t="n">
        <v>51</v>
      </c>
      <c r="C83" s="114" t="n">
        <f aca="false">IF(Need_1&lt;&gt;"","",C82*(1+Inflation_Choice))</f>
        <v>64598.1126977666</v>
      </c>
      <c r="D83" s="114" t="n">
        <f aca="false">IF(Need_1&lt;&gt;"","",F82)</f>
        <v>0</v>
      </c>
      <c r="E83" s="113" t="n">
        <f aca="false">IF(Need_1&lt;&gt;"","",IF(Withdrawal_Timing="Start of year",IF(D83&gt;=C83,1,0),IF(D83*(1+Growth_Rate)&gt;=C83,1,0)))</f>
        <v>0</v>
      </c>
      <c r="F83" s="114" t="n">
        <f aca="false">IF(Need_1&lt;&gt;"","",IF(E83=1,IF(Withdrawal_Timing="Start of year",(D83-C83)*(1+Growth_Rate),D83*(1+Growth_Rate)-C83),0))</f>
        <v>0</v>
      </c>
    </row>
    <row r="84" customFormat="false" ht="15" hidden="false" customHeight="true" outlineLevel="0" collapsed="false">
      <c r="B84" s="113" t="n">
        <v>52</v>
      </c>
      <c r="C84" s="114" t="n">
        <f aca="false">IF(Need_1&lt;&gt;"","",C83*(1+Inflation_Choice))</f>
        <v>65890.0749517219</v>
      </c>
      <c r="D84" s="114" t="n">
        <f aca="false">IF(Need_1&lt;&gt;"","",F83)</f>
        <v>0</v>
      </c>
      <c r="E84" s="113" t="n">
        <f aca="false">IF(Need_1&lt;&gt;"","",IF(Withdrawal_Timing="Start of year",IF(D84&gt;=C84,1,0),IF(D84*(1+Growth_Rate)&gt;=C84,1,0)))</f>
        <v>0</v>
      </c>
      <c r="F84" s="114" t="n">
        <f aca="false">IF(Need_1&lt;&gt;"","",IF(E84=1,IF(Withdrawal_Timing="Start of year",(D84-C84)*(1+Growth_Rate),D84*(1+Growth_Rate)-C84),0))</f>
        <v>0</v>
      </c>
    </row>
    <row r="85" customFormat="false" ht="15" hidden="false" customHeight="true" outlineLevel="0" collapsed="false">
      <c r="B85" s="113" t="n">
        <v>53</v>
      </c>
      <c r="C85" s="114" t="n">
        <f aca="false">IF(Need_1&lt;&gt;"","",C84*(1+Inflation_Choice))</f>
        <v>67207.8764507564</v>
      </c>
      <c r="D85" s="114" t="n">
        <f aca="false">IF(Need_1&lt;&gt;"","",F84)</f>
        <v>0</v>
      </c>
      <c r="E85" s="113" t="n">
        <f aca="false">IF(Need_1&lt;&gt;"","",IF(Withdrawal_Timing="Start of year",IF(D85&gt;=C85,1,0),IF(D85*(1+Growth_Rate)&gt;=C85,1,0)))</f>
        <v>0</v>
      </c>
      <c r="F85" s="114" t="n">
        <f aca="false">IF(Need_1&lt;&gt;"","",IF(E85=1,IF(Withdrawal_Timing="Start of year",(D85-C85)*(1+Growth_Rate),D85*(1+Growth_Rate)-C85),0))</f>
        <v>0</v>
      </c>
    </row>
    <row r="86" customFormat="false" ht="15" hidden="false" customHeight="true" outlineLevel="0" collapsed="false">
      <c r="B86" s="113" t="n">
        <v>54</v>
      </c>
      <c r="C86" s="114" t="n">
        <f aca="false">IF(Need_1&lt;&gt;"","",C85*(1+Inflation_Choice))</f>
        <v>68552.0339797715</v>
      </c>
      <c r="D86" s="114" t="n">
        <f aca="false">IF(Need_1&lt;&gt;"","",F85)</f>
        <v>0</v>
      </c>
      <c r="E86" s="113" t="n">
        <f aca="false">IF(Need_1&lt;&gt;"","",IF(Withdrawal_Timing="Start of year",IF(D86&gt;=C86,1,0),IF(D86*(1+Growth_Rate)&gt;=C86,1,0)))</f>
        <v>0</v>
      </c>
      <c r="F86" s="114" t="n">
        <f aca="false">IF(Need_1&lt;&gt;"","",IF(E86=1,IF(Withdrawal_Timing="Start of year",(D86-C86)*(1+Growth_Rate),D86*(1+Growth_Rate)-C86),0))</f>
        <v>0</v>
      </c>
    </row>
    <row r="87" customFormat="false" ht="15" hidden="false" customHeight="true" outlineLevel="0" collapsed="false">
      <c r="B87" s="113" t="n">
        <v>55</v>
      </c>
      <c r="C87" s="114" t="n">
        <f aca="false">IF(Need_1&lt;&gt;"","",C86*(1+Inflation_Choice))</f>
        <v>69923.0746593669</v>
      </c>
      <c r="D87" s="114" t="n">
        <f aca="false">IF(Need_1&lt;&gt;"","",F86)</f>
        <v>0</v>
      </c>
      <c r="E87" s="113" t="n">
        <f aca="false">IF(Need_1&lt;&gt;"","",IF(Withdrawal_Timing="Start of year",IF(D87&gt;=C87,1,0),IF(D87*(1+Growth_Rate)&gt;=C87,1,0)))</f>
        <v>0</v>
      </c>
      <c r="F87" s="114" t="n">
        <f aca="false">IF(Need_1&lt;&gt;"","",IF(E87=1,IF(Withdrawal_Timing="Start of year",(D87-C87)*(1+Growth_Rate),D87*(1+Growth_Rate)-C87),0))</f>
        <v>0</v>
      </c>
    </row>
    <row r="88" customFormat="false" ht="15" hidden="false" customHeight="true" outlineLevel="0" collapsed="false">
      <c r="B88" s="113" t="n">
        <v>56</v>
      </c>
      <c r="C88" s="114" t="n">
        <f aca="false">IF(Need_1&lt;&gt;"","",C87*(1+Inflation_Choice))</f>
        <v>71321.5361525543</v>
      </c>
      <c r="D88" s="114" t="n">
        <f aca="false">IF(Need_1&lt;&gt;"","",F87)</f>
        <v>0</v>
      </c>
      <c r="E88" s="113" t="n">
        <f aca="false">IF(Need_1&lt;&gt;"","",IF(Withdrawal_Timing="Start of year",IF(D88&gt;=C88,1,0),IF(D88*(1+Growth_Rate)&gt;=C88,1,0)))</f>
        <v>0</v>
      </c>
      <c r="F88" s="114" t="n">
        <f aca="false">IF(Need_1&lt;&gt;"","",IF(E88=1,IF(Withdrawal_Timing="Start of year",(D88-C88)*(1+Growth_Rate),D88*(1+Growth_Rate)-C88),0))</f>
        <v>0</v>
      </c>
    </row>
    <row r="89" customFormat="false" ht="15" hidden="false" customHeight="true" outlineLevel="0" collapsed="false">
      <c r="B89" s="113" t="n">
        <v>57</v>
      </c>
      <c r="C89" s="114" t="n">
        <f aca="false">IF(Need_1&lt;&gt;"","",C88*(1+Inflation_Choice))</f>
        <v>72747.9668756053</v>
      </c>
      <c r="D89" s="114" t="n">
        <f aca="false">IF(Need_1&lt;&gt;"","",F88)</f>
        <v>0</v>
      </c>
      <c r="E89" s="113" t="n">
        <f aca="false">IF(Need_1&lt;&gt;"","",IF(Withdrawal_Timing="Start of year",IF(D89&gt;=C89,1,0),IF(D89*(1+Growth_Rate)&gt;=C89,1,0)))</f>
        <v>0</v>
      </c>
      <c r="F89" s="114" t="n">
        <f aca="false">IF(Need_1&lt;&gt;"","",IF(E89=1,IF(Withdrawal_Timing="Start of year",(D89-C89)*(1+Growth_Rate),D89*(1+Growth_Rate)-C89),0))</f>
        <v>0</v>
      </c>
    </row>
    <row r="90" customFormat="false" ht="15" hidden="false" customHeight="true" outlineLevel="0" collapsed="false">
      <c r="B90" s="113" t="n">
        <v>58</v>
      </c>
      <c r="C90" s="114" t="n">
        <f aca="false">IF(Need_1&lt;&gt;"","",C89*(1+Inflation_Choice))</f>
        <v>74202.9262131175</v>
      </c>
      <c r="D90" s="114" t="n">
        <f aca="false">IF(Need_1&lt;&gt;"","",F89)</f>
        <v>0</v>
      </c>
      <c r="E90" s="113" t="n">
        <f aca="false">IF(Need_1&lt;&gt;"","",IF(Withdrawal_Timing="Start of year",IF(D90&gt;=C90,1,0),IF(D90*(1+Growth_Rate)&gt;=C90,1,0)))</f>
        <v>0</v>
      </c>
      <c r="F90" s="114" t="n">
        <f aca="false">IF(Need_1&lt;&gt;"","",IF(E90=1,IF(Withdrawal_Timing="Start of year",(D90-C90)*(1+Growth_Rate),D90*(1+Growth_Rate)-C90),0))</f>
        <v>0</v>
      </c>
    </row>
    <row r="91" customFormat="false" ht="15" hidden="false" customHeight="true" outlineLevel="0" collapsed="false">
      <c r="B91" s="113" t="n">
        <v>59</v>
      </c>
      <c r="C91" s="114" t="n">
        <f aca="false">IF(Need_1&lt;&gt;"","",C90*(1+Inflation_Choice))</f>
        <v>75686.9847373798</v>
      </c>
      <c r="D91" s="114" t="n">
        <f aca="false">IF(Need_1&lt;&gt;"","",F90)</f>
        <v>0</v>
      </c>
      <c r="E91" s="113" t="n">
        <f aca="false">IF(Need_1&lt;&gt;"","",IF(Withdrawal_Timing="Start of year",IF(D91&gt;=C91,1,0),IF(D91*(1+Growth_Rate)&gt;=C91,1,0)))</f>
        <v>0</v>
      </c>
      <c r="F91" s="114" t="n">
        <f aca="false">IF(Need_1&lt;&gt;"","",IF(E91=1,IF(Withdrawal_Timing="Start of year",(D91-C91)*(1+Growth_Rate),D91*(1+Growth_Rate)-C91),0))</f>
        <v>0</v>
      </c>
    </row>
    <row r="92" customFormat="false" ht="15" hidden="false" customHeight="true" outlineLevel="0" collapsed="false">
      <c r="B92" s="113" t="n">
        <v>60</v>
      </c>
      <c r="C92" s="114" t="n">
        <f aca="false">IF(Need_1&lt;&gt;"","",C91*(1+Inflation_Choice))</f>
        <v>77200.7244321274</v>
      </c>
      <c r="D92" s="114" t="n">
        <f aca="false">IF(Need_1&lt;&gt;"","",F91)</f>
        <v>0</v>
      </c>
      <c r="E92" s="113" t="n">
        <f aca="false">IF(Need_1&lt;&gt;"","",IF(Withdrawal_Timing="Start of year",IF(D92&gt;=C92,1,0),IF(D92*(1+Growth_Rate)&gt;=C92,1,0)))</f>
        <v>0</v>
      </c>
      <c r="F92" s="114" t="n">
        <f aca="false">IF(Need_1&lt;&gt;"","",IF(E92=1,IF(Withdrawal_Timing="Start of year",(D92-C92)*(1+Growth_Rate),D92*(1+Growth_Rate)-C92),0))</f>
        <v>0</v>
      </c>
    </row>
    <row r="95" customFormat="false" ht="15" hidden="false" customHeight="true" outlineLevel="0" collapsed="false">
      <c r="B95" s="55" t="s">
        <v>2853</v>
      </c>
      <c r="C95" s="58"/>
      <c r="D95" s="58"/>
      <c r="E95" s="58"/>
      <c r="F95" s="58"/>
      <c r="G95" s="58"/>
    </row>
    <row r="96" customFormat="false" ht="27.75" hidden="false" customHeight="true" outlineLevel="0" collapsed="false">
      <c r="B96" s="80" t="s">
        <v>3458</v>
      </c>
      <c r="C96" s="80"/>
      <c r="D96" s="80"/>
      <c r="E96" s="80"/>
    </row>
    <row r="97" customFormat="false" ht="13.5" hidden="false" customHeight="true" outlineLevel="0" collapsed="false">
      <c r="B97" s="80" t="s">
        <v>3459</v>
      </c>
      <c r="C97" s="80"/>
      <c r="D97" s="80"/>
      <c r="E97" s="80"/>
    </row>
    <row r="98" customFormat="false" ht="13.5" hidden="false" customHeight="true" outlineLevel="0" collapsed="false">
      <c r="B98" s="81" t="s">
        <v>2856</v>
      </c>
      <c r="C98" s="81"/>
      <c r="D98" s="81"/>
      <c r="E98" s="81"/>
    </row>
    <row r="99" customFormat="false" ht="13.5" hidden="false" customHeight="true" outlineLevel="0" collapsed="false">
      <c r="B99" s="80" t="s">
        <v>3460</v>
      </c>
      <c r="C99" s="80"/>
      <c r="D99" s="80"/>
      <c r="E99" s="80"/>
    </row>
    <row r="100" customFormat="false" ht="13.5" hidden="false" customHeight="true" outlineLevel="0" collapsed="false">
      <c r="B100" s="80" t="s">
        <v>3461</v>
      </c>
      <c r="C100" s="80"/>
      <c r="D100" s="80"/>
      <c r="E100" s="80"/>
    </row>
    <row r="101" customFormat="false" ht="13.5" hidden="false" customHeight="true" outlineLevel="0" collapsed="false">
      <c r="B101" s="80" t="s">
        <v>3462</v>
      </c>
      <c r="C101" s="80"/>
      <c r="D101" s="80"/>
      <c r="E101" s="80"/>
    </row>
    <row r="103" customFormat="false" ht="15" hidden="false" customHeight="true" outlineLevel="0" collapsed="false">
      <c r="B103" s="55" t="s">
        <v>2861</v>
      </c>
      <c r="C103" s="58"/>
      <c r="D103" s="58"/>
      <c r="E103" s="58"/>
      <c r="F103" s="58"/>
      <c r="G103" s="58"/>
    </row>
    <row r="104" customFormat="false" ht="15" hidden="false" customHeight="true" outlineLevel="0" collapsed="false">
      <c r="B104" s="59" t="s">
        <v>1620</v>
      </c>
      <c r="C104" s="82" t="str">
        <f aca="false">"No goal"</f>
        <v>No goal</v>
      </c>
      <c r="E104" s="83" t="s">
        <v>3042</v>
      </c>
    </row>
    <row r="106" customFormat="false" ht="15" hidden="false" customHeight="true" outlineLevel="0" collapsed="false">
      <c r="B106" s="55" t="s">
        <v>2869</v>
      </c>
      <c r="C106" s="58"/>
      <c r="D106" s="58"/>
      <c r="E106" s="58"/>
      <c r="F106" s="58"/>
      <c r="G106" s="58"/>
    </row>
    <row r="107" customFormat="false" ht="15" hidden="false" customHeight="true" outlineLevel="0" collapsed="false">
      <c r="B107" s="86" t="s">
        <v>3463</v>
      </c>
      <c r="C107" s="86" t="str">
        <f aca="false">IF(Yearly_Withdrawal="","Choose your yearly withdrawal to see this",IF(NOT(ISNUMBER(Used_Retirement_Savings)),IF(Used_Retirement_Savings="",IF(Retirement_Savings="","Choose your retirement savings to see this",""),Used_Retirement_Savings),IF(Age_At_Start="","Choose your age when withdrawals start to see this",IF(Plan_To_Age="","Choose your plan-until age to see this",IF(Inflation_Choice="","Choose your inflation rate to see this","")))))</f>
        <v/>
      </c>
    </row>
    <row r="108" customFormat="false" ht="15" hidden="false" customHeight="true" outlineLevel="0" collapsed="false">
      <c r="B108" s="86" t="s">
        <v>3464</v>
      </c>
      <c r="C108" s="86" t="str">
        <f aca="false">IF(Yearly_Withdrawal="","Choose your yearly withdrawal to see this",IF(NOT(ISNUMBER(Used_Retirement_Savings)),IF(Used_Retirement_Savings="",IF(Retirement_Savings="","Choose your retirement savings to see this",""),Used_Retirement_Savings),IF(Age_At_Start="","Choose your age when withdrawals start to see this",IF(Plan_To_Age="","Choose your plan-until age to see this",IF(Inflation_Choice="","Choose your inflation rate to see this","")))))</f>
        <v/>
      </c>
    </row>
    <row r="109" customFormat="false" ht="15" hidden="false" customHeight="true" outlineLevel="0" collapsed="false">
      <c r="B109" s="86" t="s">
        <v>3465</v>
      </c>
      <c r="C109" s="86" t="str">
        <f aca="false">IF(Yearly_Withdrawal="","Choose your yearly withdrawal to see this",IF(NOT(ISNUMBER(Used_Retirement_Savings)),IF(Used_Retirement_Savings="",IF(Retirement_Savings="","Choose your retirement savings to see this",""),Used_Retirement_Savings),IF(Age_At_Start="","Choose your age when withdrawals start to see this",IF(Plan_To_Age="","Choose your plan-until age to see this",""))))</f>
        <v/>
      </c>
    </row>
  </sheetData>
  <mergeCells count="8">
    <mergeCell ref="B7:E7"/>
    <mergeCell ref="B10:E10"/>
    <mergeCell ref="B96:E96"/>
    <mergeCell ref="B97:E97"/>
    <mergeCell ref="B98:E98"/>
    <mergeCell ref="B99:E99"/>
    <mergeCell ref="B100:E100"/>
    <mergeCell ref="B101:E101"/>
  </mergeCells>
  <dataValidations count="10">
    <dataValidation allowBlank="true" error="Please enter a date (dd/mm/yyyy)." errorStyle="stop" errorTitle="Outside the allowed range" operator="greaterThan" prompt="Unit: date. Allowed: a date (dd/mm/yyyy)." promptTitle="Statement date" showDropDown="false" showErrorMessage="true" showInputMessage="true" sqref="C13" type="date">
      <formula1>36526</formula1>
      <formula2>0</formula2>
    </dataValidation>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0 to €50,000,000." errorStyle="stop" errorTitle="Outside the allowed range" operator="between" prompt="Unit: €. Allowed: €0 to €50,000,000." promptTitle="Fund value today" showDropDown="false" showErrorMessage="true" showInputMessage="true" sqref="C12" type="decimal">
      <formula1>0</formula1>
      <formula2>50000000</formula2>
    </dataValidation>
    <dataValidation allowBlank="true" error="Please enter €0 to €100,000,000." errorStyle="stop" errorTitle="Outside the allowed range" operator="between" prompt="Unit: €. Allowed: €0 to €100,000,000." promptTitle="Projected fund at retirement (if" showDropDown="false" showErrorMessage="true" showInputMessage="true" sqref="C11" type="decimal">
      <formula1>0</formula1>
      <formula2>100000000</formula2>
    </dataValidation>
    <dataValidation allowBlank="true" error="Please enter €10,000 to €30,000,000 · steps of €10,000." errorStyle="stop" errorTitle="Outside the allowed range" operator="between" prompt="Your own figure. In the app it is pre-filled from Plan: pension projected to retirement.  Allowed: €10,000 to €30,000,000 · steps of €10,000." promptTitle="Retirement savings" showDropDown="false" showErrorMessage="true" showInputMessage="true" sqref="C16" type="decimal">
      <formula1>10000</formula1>
      <formula2>30000000</formula2>
    </dataValidation>
    <dataValidation allowBlank="true" error="Please enter €1,000 to €2,000,000 · steps of €1,000." errorStyle="stop" errorTitle="Outside the allowed range" operator="between" prompt="Your own figure.  Allowed: €1,000 to €2,000,000 · steps of €1,000." promptTitle="Yearly withdrawal (first year)" showDropDown="false" showErrorMessage="true" showInputMessage="true" sqref="C17" type="decimal">
      <formula1>1000</formula1>
      <formula2>2000000</formula2>
    </dataValidation>
    <dataValidation allowBlank="true" error="Please enter 0% to 7% · steps of 0.05%." errorStyle="stop" errorTitle="Outside the allowed range" operator="between" prompt="Generally the standard is 3.15% a year after charges once retired (LifeMap Standard set; Cautious 2.8%). Choose what you want to use.  Allowed: 0% to 7% · steps of 0.05%." promptTitle="Growth assumption a year (once r" showDropDown="false" showErrorMessage="true" showInputMessage="true" sqref="C18" type="decimal">
      <formula1>0</formula1>
      <formula2>0.07</formula2>
    </dataValidation>
    <dataValidation allowBlank="true" error="Please enter Start of year or End of year." errorStyle="stop" errorTitle="Outside the allowed range" operator="between" prompt="Generally the standard is the start of the year (the prudent choice). Choose what you want to use.  Allowed: Start of year or End of year." promptTitle="Withdrawal taken at the" showDropDown="false" showErrorMessage="true" showInputMessage="true" sqref="C19" type="list">
      <formula1>"Start of year,End of year"</formula1>
      <formula2>0</formula2>
    </dataValidation>
    <dataValidation allowBlank="true" error="Please enter 50 to 90 · steps of 1." errorStyle="stop" errorTitle="Outside the allowed range" operator="between" prompt="You can usually draw a pension from 60 (some schemes from 50); State Pension is paid from 66. Choose your own: there is no default.  Allowed: 50 to 90 · steps of 1." promptTitle="Your age when withdrawals start" showDropDown="false" showErrorMessage="true" showInputMessage="true" sqref="C20" type="whole">
      <formula1>50</formula1>
      <formula2>90</formula2>
    </dataValidation>
    <dataValidation allowBlank="true" error="Please enter 50 to 100 · steps of 1." errorStyle="stop" errorTitle="Outside the allowed range" operator="between" prompt="At 65, average life expectancy in Ireland is about 83 for men and 86 for women (CSO, Irish Life Tables No. 17, 2015–2017). Choose your own: there is no default.  Allowed: 50 to 100 · steps of 1." promptTitle="Plan to age" showDropDown="false" showErrorMessage="true" showInputMessage="true" sqref="C21" type="whole">
      <formula1>50</formula1>
      <formula2>100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2B134"/>
    <pageSetUpPr fitToPage="false"/>
  </sheetPr>
  <dimension ref="B1:I10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20" width="2"/>
    <col collapsed="false" customWidth="true" hidden="false" outlineLevel="0" max="2" min="2" style="20" width="50"/>
    <col collapsed="false" customWidth="true" hidden="false" outlineLevel="0" max="3" min="3" style="20" width="26"/>
    <col collapsed="false" customWidth="true" hidden="false" outlineLevel="0" max="4" min="4" style="20" width="24"/>
    <col collapsed="false" customWidth="true" hidden="false" outlineLevel="0" max="5" min="5" style="20" width="78"/>
    <col collapsed="false" customWidth="true" hidden="false" outlineLevel="0" max="6" min="6" style="20" width="14"/>
    <col collapsed="false" customWidth="true" hidden="false" outlineLevel="0" max="7" min="7" style="20" width="16"/>
  </cols>
  <sheetData>
    <row r="1" customFormat="false" ht="19.5" hidden="false" customHeight="true" outlineLevel="0" collapsed="false">
      <c r="B1" s="50" t="s">
        <v>3466</v>
      </c>
      <c r="E1" s="51" t="s">
        <v>3467</v>
      </c>
    </row>
    <row r="2" customFormat="false" ht="15" hidden="false" customHeight="true" outlineLevel="0" collapsed="false">
      <c r="B2" s="52" t="s">
        <v>3468</v>
      </c>
      <c r="E2" s="53" t="str">
        <f aca="false">IF(Fill_Example="Yes","Example values are ON (README): grey Example only figures fill blank inputs.","Blank template: fill the yellow inputs (or switch on example values on the README).")</f>
        <v>Example values are ON (README): grey Example only figures fill blank inputs.</v>
      </c>
    </row>
    <row r="3" customFormat="false" ht="15" hidden="false" customHeight="true" outlineLevel="0" collapsed="false">
      <c r="B3" s="54" t="s">
        <v>3469</v>
      </c>
    </row>
    <row r="5" customFormat="false" ht="15" hidden="false" customHeight="true" outlineLevel="0" collapsed="false">
      <c r="B5" s="55" t="s">
        <v>3128</v>
      </c>
      <c r="C5" s="56" t="s">
        <v>912</v>
      </c>
      <c r="D5" s="56" t="s">
        <v>913</v>
      </c>
      <c r="E5" s="56" t="s">
        <v>2804</v>
      </c>
      <c r="F5" s="57" t="s">
        <v>2805</v>
      </c>
      <c r="G5" s="58"/>
    </row>
    <row r="6" customFormat="false" ht="21.75" hidden="false" customHeight="true" outlineLevel="0" collapsed="false">
      <c r="B6" s="59" t="s">
        <v>3129</v>
      </c>
      <c r="C6" s="68"/>
      <c r="D6" s="61" t="s">
        <v>2814</v>
      </c>
      <c r="E6" s="69" t="str">
        <f aca="false">"Type 3 · your choice · Generally the standard is 2% a year (ECB target); Ireland's prices are rising "&amp;TEXT(Set_inflNow,"0.0%")&amp;" now (CSO HICP flash, Sep 2026). Choose what you want to use. Allowed: 0% to 10% · steps of 0.25%"</f>
        <v>Type 3 · your choice · Generally the standard is 2% a year (ECB target); Ireland's prices are rising 3.9% now (CSO HICP flash, Sep 2026). Choose what you want to use. Allowed: 0% to 10% · steps of 0.25%</v>
      </c>
      <c r="F6" s="70" t="n">
        <v>0.02</v>
      </c>
      <c r="G6" s="71" t="n">
        <f aca="false">IF(ISBLANK(C6),IF(Fill_Example="Yes",F6,""),C6)</f>
        <v>0.02</v>
      </c>
    </row>
    <row r="7" customFormat="false" ht="27.75" hidden="false" customHeight="true" outlineLevel="0" collapsed="false">
      <c r="B7" s="87" t="str">
        <f aca="false">"Everyone sees this differently. Ireland's prices are rising "&amp;TEXT(Set_inflNow,"0.0%")&amp;" now (CSO HICP flash, Sep 2026), mostly because of energy. Over decades, 2%–2.5% is the usual planning range (ECB target 2%). Enter 0% if you don't want to adjust for prices."</f>
        <v>Everyone sees this differently. Ireland's prices are rising 3.9% now (CSO HICP flash, Sep 2026), mostly because of energy. Over decades, 2%–2.5% is the usual planning range (ECB target 2%). Enter 0% if you don't want to adjust for prices.</v>
      </c>
      <c r="C7" s="87"/>
      <c r="D7" s="87"/>
      <c r="E7" s="87"/>
    </row>
    <row r="9" customFormat="false" ht="15" hidden="false" customHeight="true" outlineLevel="0" collapsed="false">
      <c r="B9" s="55" t="s">
        <v>2882</v>
      </c>
      <c r="C9" s="58"/>
      <c r="D9" s="58"/>
      <c r="E9" s="58"/>
      <c r="F9" s="58"/>
      <c r="G9" s="58"/>
    </row>
    <row r="10" customFormat="false" ht="27.75" hidden="false" customHeight="true" outlineLevel="0" collapsed="false">
      <c r="B10" s="87" t="s">
        <v>3433</v>
      </c>
      <c r="C10" s="87"/>
      <c r="D10" s="87"/>
      <c r="E10" s="87"/>
    </row>
    <row r="11" customFormat="false" ht="15" hidden="false" customHeight="true" outlineLevel="0" collapsed="false">
      <c r="B11" s="59" t="s">
        <v>3281</v>
      </c>
      <c r="C11" s="88"/>
      <c r="D11" s="61" t="s">
        <v>964</v>
      </c>
      <c r="E11" s="62" t="s">
        <v>3200</v>
      </c>
      <c r="G11" s="86" t="s">
        <v>2886</v>
      </c>
    </row>
    <row r="12" customFormat="false" ht="15" hidden="false" customHeight="true" outlineLevel="0" collapsed="false">
      <c r="B12" s="59" t="s">
        <v>3275</v>
      </c>
      <c r="C12" s="88"/>
      <c r="D12" s="61" t="s">
        <v>964</v>
      </c>
      <c r="E12" s="62" t="s">
        <v>3276</v>
      </c>
      <c r="G12" s="86" t="s">
        <v>2886</v>
      </c>
    </row>
    <row r="13" customFormat="false" ht="15" hidden="false" customHeight="true" outlineLevel="0" collapsed="false">
      <c r="B13" s="59" t="s">
        <v>2891</v>
      </c>
      <c r="C13" s="91"/>
      <c r="D13" s="61" t="s">
        <v>922</v>
      </c>
      <c r="E13" s="62" t="s">
        <v>2892</v>
      </c>
      <c r="G13" s="86" t="s">
        <v>2886</v>
      </c>
    </row>
    <row r="15" customFormat="false" ht="15" hidden="false" customHeight="true" outlineLevel="0" collapsed="false">
      <c r="B15" s="55" t="s">
        <v>2893</v>
      </c>
      <c r="C15" s="56" t="s">
        <v>912</v>
      </c>
      <c r="D15" s="56" t="s">
        <v>913</v>
      </c>
      <c r="E15" s="56" t="s">
        <v>2804</v>
      </c>
      <c r="F15" s="57" t="s">
        <v>2805</v>
      </c>
      <c r="G15" s="58"/>
    </row>
    <row r="16" customFormat="false" ht="21.75" hidden="false" customHeight="true" outlineLevel="0" collapsed="false">
      <c r="B16" s="59" t="s">
        <v>3434</v>
      </c>
      <c r="C16" s="60"/>
      <c r="D16" s="61" t="s">
        <v>964</v>
      </c>
      <c r="E16" s="62" t="s">
        <v>3435</v>
      </c>
      <c r="F16" s="63" t="n">
        <v>400000</v>
      </c>
      <c r="G16" s="64" t="n">
        <f aca="false">IF(ISBLANK(C16),IF(Fill_Example="Yes",F16,""),C16)</f>
        <v>400000</v>
      </c>
    </row>
    <row r="17" customFormat="false" ht="15" hidden="false" customHeight="true" outlineLevel="0" collapsed="false">
      <c r="B17" s="59" t="s">
        <v>3436</v>
      </c>
      <c r="C17" s="60"/>
      <c r="D17" s="61" t="s">
        <v>964</v>
      </c>
      <c r="E17" s="62" t="s">
        <v>3437</v>
      </c>
      <c r="F17" s="63" t="n">
        <v>20000</v>
      </c>
      <c r="G17" s="64" t="n">
        <f aca="false">IF(ISBLANK(C17),IF(Fill_Example="Yes",F17,""),C17)</f>
        <v>20000</v>
      </c>
    </row>
    <row r="18" customFormat="false" ht="21.75" hidden="false" customHeight="true" outlineLevel="0" collapsed="false">
      <c r="B18" s="59" t="s">
        <v>3470</v>
      </c>
      <c r="C18" s="68"/>
      <c r="D18" s="61" t="s">
        <v>2814</v>
      </c>
      <c r="E18" s="69" t="s">
        <v>3471</v>
      </c>
      <c r="F18" s="70" t="n">
        <f aca="false">Set_riskMu_1</f>
        <v>0.02</v>
      </c>
      <c r="G18" s="71" t="n">
        <f aca="false">IF(ISBLANK(C18),F18,C18)</f>
        <v>0.02</v>
      </c>
    </row>
    <row r="19" customFormat="false" ht="21.75" hidden="false" customHeight="true" outlineLevel="0" collapsed="false">
      <c r="B19" s="59" t="s">
        <v>3472</v>
      </c>
      <c r="C19" s="68"/>
      <c r="D19" s="61" t="s">
        <v>2814</v>
      </c>
      <c r="E19" s="69" t="s">
        <v>3473</v>
      </c>
      <c r="F19" s="70" t="n">
        <f aca="false">Set_riskMu_2</f>
        <v>0.04</v>
      </c>
      <c r="G19" s="71" t="n">
        <f aca="false">IF(ISBLANK(C19),F19,C19)</f>
        <v>0.04</v>
      </c>
    </row>
    <row r="20" customFormat="false" ht="21.75" hidden="false" customHeight="true" outlineLevel="0" collapsed="false">
      <c r="B20" s="59" t="s">
        <v>3474</v>
      </c>
      <c r="C20" s="68"/>
      <c r="D20" s="61" t="s">
        <v>2814</v>
      </c>
      <c r="E20" s="69" t="s">
        <v>3475</v>
      </c>
      <c r="F20" s="70" t="n">
        <f aca="false">Set_riskMu_3</f>
        <v>0.06</v>
      </c>
      <c r="G20" s="71" t="n">
        <f aca="false">IF(ISBLANK(C20),F20,C20)</f>
        <v>0.06</v>
      </c>
    </row>
    <row r="21" customFormat="false" ht="21.75" hidden="false" customHeight="true" outlineLevel="0" collapsed="false">
      <c r="B21" s="59" t="s">
        <v>3440</v>
      </c>
      <c r="C21" s="65"/>
      <c r="D21" s="61"/>
      <c r="E21" s="69" t="s">
        <v>3441</v>
      </c>
      <c r="F21" s="66" t="str">
        <f aca="false">IF(Set_ddTiming="end","End of year","Start of year")</f>
        <v>Start of year</v>
      </c>
      <c r="G21" s="67" t="str">
        <f aca="false">IF(ISBLANK(C21),F21,C21)</f>
        <v>Start of year</v>
      </c>
    </row>
    <row r="23" customFormat="false" ht="15" hidden="false" customHeight="true" outlineLevel="0" collapsed="false">
      <c r="B23" s="55" t="s">
        <v>2902</v>
      </c>
      <c r="C23" s="58"/>
      <c r="D23" s="58"/>
      <c r="E23" s="58"/>
      <c r="F23" s="58"/>
      <c r="G23" s="58"/>
    </row>
    <row r="24" customFormat="false" ht="15" hidden="false" customHeight="true" outlineLevel="0" collapsed="false">
      <c r="B24" s="59" t="s">
        <v>3434</v>
      </c>
      <c r="C24" s="92" t="n">
        <f aca="false">IF(NOT(ISBLANK(Stmt_Projected_Fund)),Stmt_Projected_Fund,IF(NOT(ISBLANK(Stmt_Fund_Value)),Stmt_Fund_Value,Retirement_Savings))</f>
        <v>400000</v>
      </c>
      <c r="D24" s="93" t="str">
        <f aca="false">IF(NOT(ISBLANK(Stmt_Projected_Fund)),"From your statement (projected fund)",IF(NOT(ISBLANK(Stmt_Fund_Value)),"From your statement (fund value today)","Your figure"))</f>
        <v>Your figure</v>
      </c>
      <c r="E24" s="83" t="s">
        <v>3446</v>
      </c>
    </row>
    <row r="25" customFormat="false" ht="21.75" hidden="false" customHeight="true" outlineLevel="0" collapsed="false">
      <c r="B25" s="59" t="s">
        <v>2909</v>
      </c>
      <c r="C25" s="79" t="str">
        <f aca="true">IF(ISBLANK(Stmt_Statement_Date),"",IF(TODAY()-Stmt_Statement_Date&gt;Statement_Max_Age_Days,"Needs a look: statement is more than 12 months old","Up to date"))</f>
        <v/>
      </c>
      <c r="D25" s="61"/>
      <c r="E25" s="76" t="s">
        <v>2910</v>
      </c>
    </row>
    <row r="27" customFormat="false" ht="15" hidden="false" customHeight="true" outlineLevel="0" collapsed="false">
      <c r="B27" s="55" t="s">
        <v>2630</v>
      </c>
      <c r="C27" s="56" t="s">
        <v>327</v>
      </c>
      <c r="D27" s="56" t="s">
        <v>2822</v>
      </c>
      <c r="E27" s="56" t="s">
        <v>2823</v>
      </c>
      <c r="F27" s="58"/>
      <c r="G27" s="58"/>
    </row>
    <row r="28" customFormat="false" ht="23.25" hidden="false" customHeight="true" outlineLevel="0" collapsed="false">
      <c r="B28" s="52" t="s">
        <v>3476</v>
      </c>
      <c r="C28" s="96" t="n">
        <f aca="false">IF(Need_1&lt;&gt;"",Need_1,IF(Inflation_Choice="","Choose your inflation rate to see this",SUM(W_b_paid)))</f>
        <v>25</v>
      </c>
      <c r="D28" s="97" t="str">
        <f aca="false">IF(Need_1&lt;&gt;"",Need_1,IF(ISNUMBER(Years_Balanced),IF(Years_Balanced&gt;=Cap_Years,Cap_Years&amp;"+ years",Years_Balanced&amp;IF(Years_Balanced=1," year"," years")),"Choose your inflation rate to see this"))</f>
        <v>25 years</v>
      </c>
      <c r="E28" s="76" t="s">
        <v>3477</v>
      </c>
    </row>
    <row r="29" customFormat="false" ht="15" hidden="false" customHeight="true" outlineLevel="0" collapsed="false">
      <c r="B29" s="59" t="s">
        <v>3478</v>
      </c>
      <c r="C29" s="100" t="n">
        <f aca="false">IF(Need_1&lt;&gt;"",Need_1,IF(Inflation_Choice="","Choose your inflation rate to see this",SUM(W_c_paid)))</f>
        <v>20</v>
      </c>
      <c r="D29" s="101" t="str">
        <f aca="false">IF(Need_1&lt;&gt;"",Need_1,IF(ISNUMBER(Years_Cautious),IF(Years_Cautious&gt;=Cap_Years,Cap_Years&amp;"+ years",Years_Cautious&amp;IF(Years_Cautious=1," year"," years")),"Choose your inflation rate to see this"))</f>
        <v>20 years</v>
      </c>
      <c r="E29" s="76" t="s">
        <v>3479</v>
      </c>
    </row>
    <row r="30" customFormat="false" ht="15" hidden="false" customHeight="true" outlineLevel="0" collapsed="false">
      <c r="B30" s="59" t="s">
        <v>3480</v>
      </c>
      <c r="C30" s="100" t="n">
        <f aca="false">IF(Need_1&lt;&gt;"",Need_1,IF(Inflation_Choice="","Choose your inflation rate to see this",SUM(W_g_paid)))</f>
        <v>36</v>
      </c>
      <c r="D30" s="101" t="str">
        <f aca="false">IF(Need_1&lt;&gt;"",Need_1,IF(ISNUMBER(Years_Growth),IF(Years_Growth&gt;=Cap_Years,Cap_Years&amp;"+ years",Years_Growth&amp;IF(Years_Growth=1," year"," years")),"Choose your inflation rate to see this"))</f>
        <v>36 years</v>
      </c>
      <c r="E30" s="76" t="s">
        <v>3481</v>
      </c>
    </row>
    <row r="31" customFormat="false" ht="15" hidden="false" customHeight="true" outlineLevel="0" collapsed="false">
      <c r="B31" s="55" t="s">
        <v>3482</v>
      </c>
      <c r="C31" s="58"/>
      <c r="D31" s="58"/>
      <c r="E31" s="58"/>
      <c r="F31" s="58"/>
      <c r="G31" s="58"/>
    </row>
    <row r="32" customFormat="false" ht="27.75" hidden="false" customHeight="true" outlineLevel="0" collapsed="false">
      <c r="B32" s="112" t="s">
        <v>1508</v>
      </c>
      <c r="C32" s="112" t="s">
        <v>3483</v>
      </c>
      <c r="D32" s="112" t="s">
        <v>3484</v>
      </c>
      <c r="E32" s="112" t="s">
        <v>3485</v>
      </c>
      <c r="F32" s="112" t="s">
        <v>3486</v>
      </c>
      <c r="G32" s="112" t="s">
        <v>3487</v>
      </c>
      <c r="H32" s="112" t="s">
        <v>3488</v>
      </c>
      <c r="I32" s="112" t="s">
        <v>3489</v>
      </c>
    </row>
    <row r="33" customFormat="false" ht="15" hidden="false" customHeight="true" outlineLevel="0" collapsed="false">
      <c r="B33" s="113" t="n">
        <v>1</v>
      </c>
      <c r="C33" s="114" t="n">
        <f aca="false">IF(Need_1&lt;&gt;"","",Yearly_Withdrawal)</f>
        <v>20000</v>
      </c>
      <c r="D33" s="114" t="n">
        <f aca="false">IF(Need_1&lt;&gt;"","",Used_Retirement_Savings)</f>
        <v>400000</v>
      </c>
      <c r="E33" s="113" t="n">
        <f aca="false">IF(Need_1&lt;&gt;"","",IF(Withdrawal_Timing="Start of year",IF(D33&gt;=C33,1,0),IF(D33*(1+DD_Cautious)&gt;=C33,1,0)))</f>
        <v>1</v>
      </c>
      <c r="F33" s="114" t="n">
        <f aca="false">IF(Need_1&lt;&gt;"","",Used_Retirement_Savings)</f>
        <v>400000</v>
      </c>
      <c r="G33" s="113" t="n">
        <f aca="false">IF(Need_1&lt;&gt;"","",IF(Withdrawal_Timing="Start of year",IF(F33&gt;=C33,1,0),IF(F33*(1+DD_Balanced)&gt;=C33,1,0)))</f>
        <v>1</v>
      </c>
      <c r="H33" s="114" t="n">
        <f aca="false">IF(Need_1&lt;&gt;"","",Used_Retirement_Savings)</f>
        <v>400000</v>
      </c>
      <c r="I33" s="113" t="n">
        <f aca="false">IF(Need_1&lt;&gt;"","",IF(Withdrawal_Timing="Start of year",IF(H33&gt;=C33,1,0),IF(H33*(1+DD_Growth)&gt;=C33,1,0)))</f>
        <v>1</v>
      </c>
    </row>
    <row r="34" customFormat="false" ht="15" hidden="false" customHeight="true" outlineLevel="0" collapsed="false">
      <c r="B34" s="113" t="n">
        <v>2</v>
      </c>
      <c r="C34" s="114" t="n">
        <f aca="false">IF(Need_1&lt;&gt;"","",C33*(1+Inflation_Choice))</f>
        <v>20400</v>
      </c>
      <c r="D34" s="114" t="n">
        <f aca="false">IF(Need_1&lt;&gt;"","",IF(E33=1,IF(Withdrawal_Timing="Start of year",(D33-C33)*(1+DD_Cautious),D33*(1+DD_Cautious)-C33),0))</f>
        <v>387600</v>
      </c>
      <c r="E34" s="113" t="n">
        <f aca="false">IF(Need_1&lt;&gt;"","",IF(Withdrawal_Timing="Start of year",IF(D34&gt;=C34,1,0),IF(D34*(1+DD_Cautious)&gt;=C34,1,0)))</f>
        <v>1</v>
      </c>
      <c r="F34" s="114" t="n">
        <f aca="false">IF(Need_1&lt;&gt;"","",IF(G33=1,IF(Withdrawal_Timing="Start of year",(F33-C33)*(1+DD_Balanced),F33*(1+DD_Balanced)-C33),0))</f>
        <v>395200</v>
      </c>
      <c r="G34" s="113" t="n">
        <f aca="false">IF(Need_1&lt;&gt;"","",IF(Withdrawal_Timing="Start of year",IF(F34&gt;=C34,1,0),IF(F34*(1+DD_Balanced)&gt;=C34,1,0)))</f>
        <v>1</v>
      </c>
      <c r="H34" s="114" t="n">
        <f aca="false">IF(Need_1&lt;&gt;"","",IF(I33=1,IF(Withdrawal_Timing="Start of year",(H33-C33)*(1+DD_Growth),H33*(1+DD_Growth)-C33),0))</f>
        <v>402800</v>
      </c>
      <c r="I34" s="113" t="n">
        <f aca="false">IF(Need_1&lt;&gt;"","",IF(Withdrawal_Timing="Start of year",IF(H34&gt;=C34,1,0),IF(H34*(1+DD_Growth)&gt;=C34,1,0)))</f>
        <v>1</v>
      </c>
    </row>
    <row r="35" customFormat="false" ht="15" hidden="false" customHeight="true" outlineLevel="0" collapsed="false">
      <c r="B35" s="113" t="n">
        <v>3</v>
      </c>
      <c r="C35" s="114" t="n">
        <f aca="false">IF(Need_1&lt;&gt;"","",C34*(1+Inflation_Choice))</f>
        <v>20808</v>
      </c>
      <c r="D35" s="114" t="n">
        <f aca="false">IF(Need_1&lt;&gt;"","",IF(E34=1,IF(Withdrawal_Timing="Start of year",(D34-C34)*(1+DD_Cautious),D34*(1+DD_Cautious)-C34),0))</f>
        <v>374544</v>
      </c>
      <c r="E35" s="113" t="n">
        <f aca="false">IF(Need_1&lt;&gt;"","",IF(Withdrawal_Timing="Start of year",IF(D35&gt;=C35,1,0),IF(D35*(1+DD_Cautious)&gt;=C35,1,0)))</f>
        <v>1</v>
      </c>
      <c r="F35" s="114" t="n">
        <f aca="false">IF(Need_1&lt;&gt;"","",IF(G34=1,IF(Withdrawal_Timing="Start of year",(F34-C34)*(1+DD_Balanced),F34*(1+DD_Balanced)-C34),0))</f>
        <v>389792</v>
      </c>
      <c r="G35" s="113" t="n">
        <f aca="false">IF(Need_1&lt;&gt;"","",IF(Withdrawal_Timing="Start of year",IF(F35&gt;=C35,1,0),IF(F35*(1+DD_Balanced)&gt;=C35,1,0)))</f>
        <v>1</v>
      </c>
      <c r="H35" s="114" t="n">
        <f aca="false">IF(Need_1&lt;&gt;"","",IF(I34=1,IF(Withdrawal_Timing="Start of year",(H34-C34)*(1+DD_Growth),H34*(1+DD_Growth)-C34),0))</f>
        <v>405344</v>
      </c>
      <c r="I35" s="113" t="n">
        <f aca="false">IF(Need_1&lt;&gt;"","",IF(Withdrawal_Timing="Start of year",IF(H35&gt;=C35,1,0),IF(H35*(1+DD_Growth)&gt;=C35,1,0)))</f>
        <v>1</v>
      </c>
    </row>
    <row r="36" customFormat="false" ht="15" hidden="false" customHeight="true" outlineLevel="0" collapsed="false">
      <c r="B36" s="113" t="n">
        <v>4</v>
      </c>
      <c r="C36" s="114" t="n">
        <f aca="false">IF(Need_1&lt;&gt;"","",C35*(1+Inflation_Choice))</f>
        <v>21224.16</v>
      </c>
      <c r="D36" s="114" t="n">
        <f aca="false">IF(Need_1&lt;&gt;"","",IF(E35=1,IF(Withdrawal_Timing="Start of year",(D35-C35)*(1+DD_Cautious),D35*(1+DD_Cautious)-C35),0))</f>
        <v>360810.72</v>
      </c>
      <c r="E36" s="113" t="n">
        <f aca="false">IF(Need_1&lt;&gt;"","",IF(Withdrawal_Timing="Start of year",IF(D36&gt;=C36,1,0),IF(D36*(1+DD_Cautious)&gt;=C36,1,0)))</f>
        <v>1</v>
      </c>
      <c r="F36" s="114" t="n">
        <f aca="false">IF(Need_1&lt;&gt;"","",IF(G35=1,IF(Withdrawal_Timing="Start of year",(F35-C35)*(1+DD_Balanced),F35*(1+DD_Balanced)-C35),0))</f>
        <v>383743.36</v>
      </c>
      <c r="G36" s="113" t="n">
        <f aca="false">IF(Need_1&lt;&gt;"","",IF(Withdrawal_Timing="Start of year",IF(F36&gt;=C36,1,0),IF(F36*(1+DD_Balanced)&gt;=C36,1,0)))</f>
        <v>1</v>
      </c>
      <c r="H36" s="114" t="n">
        <f aca="false">IF(Need_1&lt;&gt;"","",IF(I35=1,IF(Withdrawal_Timing="Start of year",(H35-C35)*(1+DD_Growth),H35*(1+DD_Growth)-C35),0))</f>
        <v>407608.16</v>
      </c>
      <c r="I36" s="113" t="n">
        <f aca="false">IF(Need_1&lt;&gt;"","",IF(Withdrawal_Timing="Start of year",IF(H36&gt;=C36,1,0),IF(H36*(1+DD_Growth)&gt;=C36,1,0)))</f>
        <v>1</v>
      </c>
    </row>
    <row r="37" customFormat="false" ht="15" hidden="false" customHeight="true" outlineLevel="0" collapsed="false">
      <c r="B37" s="113" t="n">
        <v>5</v>
      </c>
      <c r="C37" s="114" t="n">
        <f aca="false">IF(Need_1&lt;&gt;"","",C36*(1+Inflation_Choice))</f>
        <v>21648.6432</v>
      </c>
      <c r="D37" s="114" t="n">
        <f aca="false">IF(Need_1&lt;&gt;"","",IF(E36=1,IF(Withdrawal_Timing="Start of year",(D36-C36)*(1+DD_Cautious),D36*(1+DD_Cautious)-C36),0))</f>
        <v>346378.2912</v>
      </c>
      <c r="E37" s="113" t="n">
        <f aca="false">IF(Need_1&lt;&gt;"","",IF(Withdrawal_Timing="Start of year",IF(D37&gt;=C37,1,0),IF(D37*(1+DD_Cautious)&gt;=C37,1,0)))</f>
        <v>1</v>
      </c>
      <c r="F37" s="114" t="n">
        <f aca="false">IF(Need_1&lt;&gt;"","",IF(G36=1,IF(Withdrawal_Timing="Start of year",(F36-C36)*(1+DD_Balanced),F36*(1+DD_Balanced)-C36),0))</f>
        <v>377019.968</v>
      </c>
      <c r="G37" s="113" t="n">
        <f aca="false">IF(Need_1&lt;&gt;"","",IF(Withdrawal_Timing="Start of year",IF(F37&gt;=C37,1,0),IF(F37*(1+DD_Balanced)&gt;=C37,1,0)))</f>
        <v>1</v>
      </c>
      <c r="H37" s="114" t="n">
        <f aca="false">IF(Need_1&lt;&gt;"","",IF(I36=1,IF(Withdrawal_Timing="Start of year",(H36-C36)*(1+DD_Growth),H36*(1+DD_Growth)-C36),0))</f>
        <v>409567.04</v>
      </c>
      <c r="I37" s="113" t="n">
        <f aca="false">IF(Need_1&lt;&gt;"","",IF(Withdrawal_Timing="Start of year",IF(H37&gt;=C37,1,0),IF(H37*(1+DD_Growth)&gt;=C37,1,0)))</f>
        <v>1</v>
      </c>
    </row>
    <row r="38" customFormat="false" ht="15" hidden="false" customHeight="true" outlineLevel="0" collapsed="false">
      <c r="B38" s="113" t="n">
        <v>6</v>
      </c>
      <c r="C38" s="114" t="n">
        <f aca="false">IF(Need_1&lt;&gt;"","",C37*(1+Inflation_Choice))</f>
        <v>22081.616064</v>
      </c>
      <c r="D38" s="114" t="n">
        <f aca="false">IF(Need_1&lt;&gt;"","",IF(E37=1,IF(Withdrawal_Timing="Start of year",(D37-C37)*(1+DD_Cautious),D37*(1+DD_Cautious)-C37),0))</f>
        <v>331224.24096</v>
      </c>
      <c r="E38" s="113" t="n">
        <f aca="false">IF(Need_1&lt;&gt;"","",IF(Withdrawal_Timing="Start of year",IF(D38&gt;=C38,1,0),IF(D38*(1+DD_Cautious)&gt;=C38,1,0)))</f>
        <v>1</v>
      </c>
      <c r="F38" s="114" t="n">
        <f aca="false">IF(Need_1&lt;&gt;"","",IF(G37=1,IF(Withdrawal_Timing="Start of year",(F37-C37)*(1+DD_Balanced),F37*(1+DD_Balanced)-C37),0))</f>
        <v>369586.177792</v>
      </c>
      <c r="G38" s="113" t="n">
        <f aca="false">IF(Need_1&lt;&gt;"","",IF(Withdrawal_Timing="Start of year",IF(F38&gt;=C38,1,0),IF(F38*(1+DD_Balanced)&gt;=C38,1,0)))</f>
        <v>1</v>
      </c>
      <c r="H38" s="114" t="n">
        <f aca="false">IF(Need_1&lt;&gt;"","",IF(I37=1,IF(Withdrawal_Timing="Start of year",(H37-C37)*(1+DD_Growth),H37*(1+DD_Growth)-C37),0))</f>
        <v>411193.500608</v>
      </c>
      <c r="I38" s="113" t="n">
        <f aca="false">IF(Need_1&lt;&gt;"","",IF(Withdrawal_Timing="Start of year",IF(H38&gt;=C38,1,0),IF(H38*(1+DD_Growth)&gt;=C38,1,0)))</f>
        <v>1</v>
      </c>
    </row>
    <row r="39" customFormat="false" ht="15" hidden="false" customHeight="true" outlineLevel="0" collapsed="false">
      <c r="B39" s="113" t="n">
        <v>7</v>
      </c>
      <c r="C39" s="114" t="n">
        <f aca="false">IF(Need_1&lt;&gt;"","",C38*(1+Inflation_Choice))</f>
        <v>22523.24838528</v>
      </c>
      <c r="D39" s="114" t="n">
        <f aca="false">IF(Need_1&lt;&gt;"","",IF(E38=1,IF(Withdrawal_Timing="Start of year",(D38-C38)*(1+DD_Cautious),D38*(1+DD_Cautious)-C38),0))</f>
        <v>315325.47739392</v>
      </c>
      <c r="E39" s="113" t="n">
        <f aca="false">IF(Need_1&lt;&gt;"","",IF(Withdrawal_Timing="Start of year",IF(D39&gt;=C39,1,0),IF(D39*(1+DD_Cautious)&gt;=C39,1,0)))</f>
        <v>1</v>
      </c>
      <c r="F39" s="114" t="n">
        <f aca="false">IF(Need_1&lt;&gt;"","",IF(G38=1,IF(Withdrawal_Timing="Start of year",(F38-C38)*(1+DD_Balanced),F38*(1+DD_Balanced)-C38),0))</f>
        <v>361404.74419712</v>
      </c>
      <c r="G39" s="113" t="n">
        <f aca="false">IF(Need_1&lt;&gt;"","",IF(Withdrawal_Timing="Start of year",IF(F39&gt;=C39,1,0),IF(F39*(1+DD_Balanced)&gt;=C39,1,0)))</f>
        <v>1</v>
      </c>
      <c r="H39" s="114" t="n">
        <f aca="false">IF(Need_1&lt;&gt;"","",IF(I38=1,IF(Withdrawal_Timing="Start of year",(H38-C38)*(1+DD_Growth),H38*(1+DD_Growth)-C38),0))</f>
        <v>412458.59761664</v>
      </c>
      <c r="I39" s="113" t="n">
        <f aca="false">IF(Need_1&lt;&gt;"","",IF(Withdrawal_Timing="Start of year",IF(H39&gt;=C39,1,0),IF(H39*(1+DD_Growth)&gt;=C39,1,0)))</f>
        <v>1</v>
      </c>
    </row>
    <row r="40" customFormat="false" ht="15" hidden="false" customHeight="true" outlineLevel="0" collapsed="false">
      <c r="B40" s="113" t="n">
        <v>8</v>
      </c>
      <c r="C40" s="114" t="n">
        <f aca="false">IF(Need_1&lt;&gt;"","",C39*(1+Inflation_Choice))</f>
        <v>22973.7133529856</v>
      </c>
      <c r="D40" s="114" t="n">
        <f aca="false">IF(Need_1&lt;&gt;"","",IF(E39=1,IF(Withdrawal_Timing="Start of year",(D39-C39)*(1+DD_Cautious),D39*(1+DD_Cautious)-C39),0))</f>
        <v>298658.273588813</v>
      </c>
      <c r="E40" s="113" t="n">
        <f aca="false">IF(Need_1&lt;&gt;"","",IF(Withdrawal_Timing="Start of year",IF(D40&gt;=C40,1,0),IF(D40*(1+DD_Cautious)&gt;=C40,1,0)))</f>
        <v>1</v>
      </c>
      <c r="F40" s="114" t="n">
        <f aca="false">IF(Need_1&lt;&gt;"","",IF(G39=1,IF(Withdrawal_Timing="Start of year",(F39-C39)*(1+DD_Balanced),F39*(1+DD_Balanced)-C39),0))</f>
        <v>352436.755644314</v>
      </c>
      <c r="G40" s="113" t="n">
        <f aca="false">IF(Need_1&lt;&gt;"","",IF(Withdrawal_Timing="Start of year",IF(F40&gt;=C40,1,0),IF(F40*(1+DD_Balanced)&gt;=C40,1,0)))</f>
        <v>1</v>
      </c>
      <c r="H40" s="114" t="n">
        <f aca="false">IF(Need_1&lt;&gt;"","",IF(I39=1,IF(Withdrawal_Timing="Start of year",(H39-C39)*(1+DD_Growth),H39*(1+DD_Growth)-C39),0))</f>
        <v>413331.470185242</v>
      </c>
      <c r="I40" s="113" t="n">
        <f aca="false">IF(Need_1&lt;&gt;"","",IF(Withdrawal_Timing="Start of year",IF(H40&gt;=C40,1,0),IF(H40*(1+DD_Growth)&gt;=C40,1,0)))</f>
        <v>1</v>
      </c>
    </row>
    <row r="41" customFormat="false" ht="15" hidden="false" customHeight="true" outlineLevel="0" collapsed="false">
      <c r="B41" s="113" t="n">
        <v>9</v>
      </c>
      <c r="C41" s="114" t="n">
        <f aca="false">IF(Need_1&lt;&gt;"","",C40*(1+Inflation_Choice))</f>
        <v>23433.1876200453</v>
      </c>
      <c r="D41" s="114" t="n">
        <f aca="false">IF(Need_1&lt;&gt;"","",IF(E40=1,IF(Withdrawal_Timing="Start of year",(D40-C40)*(1+DD_Cautious),D40*(1+DD_Cautious)-C40),0))</f>
        <v>281198.251440544</v>
      </c>
      <c r="E41" s="113" t="n">
        <f aca="false">IF(Need_1&lt;&gt;"","",IF(Withdrawal_Timing="Start of year",IF(D41&gt;=C41,1,0),IF(D41*(1+DD_Cautious)&gt;=C41,1,0)))</f>
        <v>1</v>
      </c>
      <c r="F41" s="114" t="n">
        <f aca="false">IF(Need_1&lt;&gt;"","",IF(G40=1,IF(Withdrawal_Timing="Start of year",(F40-C40)*(1+DD_Balanced),F40*(1+DD_Balanced)-C40),0))</f>
        <v>342641.563982981</v>
      </c>
      <c r="G41" s="113" t="n">
        <f aca="false">IF(Need_1&lt;&gt;"","",IF(Withdrawal_Timing="Start of year",IF(F41&gt;=C41,1,0),IF(F41*(1+DD_Balanced)&gt;=C41,1,0)))</f>
        <v>1</v>
      </c>
      <c r="H41" s="114" t="n">
        <f aca="false">IF(Need_1&lt;&gt;"","",IF(I40=1,IF(Withdrawal_Timing="Start of year",(H40-C40)*(1+DD_Growth),H40*(1+DD_Growth)-C40),0))</f>
        <v>413779.222242192</v>
      </c>
      <c r="I41" s="113" t="n">
        <f aca="false">IF(Need_1&lt;&gt;"","",IF(Withdrawal_Timing="Start of year",IF(H41&gt;=C41,1,0),IF(H41*(1+DD_Growth)&gt;=C41,1,0)))</f>
        <v>1</v>
      </c>
    </row>
    <row r="42" customFormat="false" ht="15" hidden="false" customHeight="true" outlineLevel="0" collapsed="false">
      <c r="B42" s="113" t="n">
        <v>10</v>
      </c>
      <c r="C42" s="114" t="n">
        <f aca="false">IF(Need_1&lt;&gt;"","",C41*(1+Inflation_Choice))</f>
        <v>23901.8513724462</v>
      </c>
      <c r="D42" s="114" t="n">
        <f aca="false">IF(Need_1&lt;&gt;"","",IF(E41=1,IF(Withdrawal_Timing="Start of year",(D41-C41)*(1+DD_Cautious),D41*(1+DD_Cautious)-C41),0))</f>
        <v>262920.365096908</v>
      </c>
      <c r="E42" s="113" t="n">
        <f aca="false">IF(Need_1&lt;&gt;"","",IF(Withdrawal_Timing="Start of year",IF(D42&gt;=C42,1,0),IF(D42*(1+DD_Cautious)&gt;=C42,1,0)))</f>
        <v>1</v>
      </c>
      <c r="F42" s="114" t="n">
        <f aca="false">IF(Need_1&lt;&gt;"","",IF(G41=1,IF(Withdrawal_Timing="Start of year",(F41-C41)*(1+DD_Balanced),F41*(1+DD_Balanced)-C41),0))</f>
        <v>331976.711417453</v>
      </c>
      <c r="G42" s="113" t="n">
        <f aca="false">IF(Need_1&lt;&gt;"","",IF(Withdrawal_Timing="Start of year",IF(F42&gt;=C42,1,0),IF(F42*(1+DD_Balanced)&gt;=C42,1,0)))</f>
        <v>1</v>
      </c>
      <c r="H42" s="114" t="n">
        <f aca="false">IF(Need_1&lt;&gt;"","",IF(I41=1,IF(Withdrawal_Timing="Start of year",(H41-C41)*(1+DD_Growth),H41*(1+DD_Growth)-C41),0))</f>
        <v>413766.796699475</v>
      </c>
      <c r="I42" s="113" t="n">
        <f aca="false">IF(Need_1&lt;&gt;"","",IF(Withdrawal_Timing="Start of year",IF(H42&gt;=C42,1,0),IF(H42*(1+DD_Growth)&gt;=C42,1,0)))</f>
        <v>1</v>
      </c>
    </row>
    <row r="43" customFormat="false" ht="15" hidden="false" customHeight="true" outlineLevel="0" collapsed="false">
      <c r="B43" s="113" t="n">
        <v>11</v>
      </c>
      <c r="C43" s="114" t="n">
        <f aca="false">IF(Need_1&lt;&gt;"","",C42*(1+Inflation_Choice))</f>
        <v>24379.8883998951</v>
      </c>
      <c r="D43" s="114" t="n">
        <f aca="false">IF(Need_1&lt;&gt;"","",IF(E42=1,IF(Withdrawal_Timing="Start of year",(D42-C42)*(1+DD_Cautious),D42*(1+DD_Cautious)-C42),0))</f>
        <v>243798.883998951</v>
      </c>
      <c r="E43" s="113" t="n">
        <f aca="false">IF(Need_1&lt;&gt;"","",IF(Withdrawal_Timing="Start of year",IF(D43&gt;=C43,1,0),IF(D43*(1+DD_Cautious)&gt;=C43,1,0)))</f>
        <v>1</v>
      </c>
      <c r="F43" s="114" t="n">
        <f aca="false">IF(Need_1&lt;&gt;"","",IF(G42=1,IF(Withdrawal_Timing="Start of year",(F42-C42)*(1+DD_Balanced),F42*(1+DD_Balanced)-C42),0))</f>
        <v>320397.854446807</v>
      </c>
      <c r="G43" s="113" t="n">
        <f aca="false">IF(Need_1&lt;&gt;"","",IF(Withdrawal_Timing="Start of year",IF(F43&gt;=C43,1,0),IF(F43*(1+DD_Balanced)&gt;=C43,1,0)))</f>
        <v>1</v>
      </c>
      <c r="H43" s="114" t="n">
        <f aca="false">IF(Need_1&lt;&gt;"","",IF(I42=1,IF(Withdrawal_Timing="Start of year",(H42-C42)*(1+DD_Growth),H42*(1+DD_Growth)-C42),0))</f>
        <v>413256.842046651</v>
      </c>
      <c r="I43" s="113" t="n">
        <f aca="false">IF(Need_1&lt;&gt;"","",IF(Withdrawal_Timing="Start of year",IF(H43&gt;=C43,1,0),IF(H43*(1+DD_Growth)&gt;=C43,1,0)))</f>
        <v>1</v>
      </c>
    </row>
    <row r="44" customFormat="false" ht="15" hidden="false" customHeight="true" outlineLevel="0" collapsed="false">
      <c r="B44" s="113" t="n">
        <v>12</v>
      </c>
      <c r="C44" s="114" t="n">
        <f aca="false">IF(Need_1&lt;&gt;"","",C43*(1+Inflation_Choice))</f>
        <v>24867.486167893</v>
      </c>
      <c r="D44" s="114" t="n">
        <f aca="false">IF(Need_1&lt;&gt;"","",IF(E43=1,IF(Withdrawal_Timing="Start of year",(D43-C43)*(1+DD_Cautious),D43*(1+DD_Cautious)-C43),0))</f>
        <v>223807.375511037</v>
      </c>
      <c r="E44" s="113" t="n">
        <f aca="false">IF(Need_1&lt;&gt;"","",IF(Withdrawal_Timing="Start of year",IF(D44&gt;=C44,1,0),IF(D44*(1+DD_Cautious)&gt;=C44,1,0)))</f>
        <v>1</v>
      </c>
      <c r="F44" s="114" t="n">
        <f aca="false">IF(Need_1&lt;&gt;"","",IF(G43=1,IF(Withdrawal_Timing="Start of year",(F43-C43)*(1+DD_Balanced),F43*(1+DD_Balanced)-C43),0))</f>
        <v>307858.684688789</v>
      </c>
      <c r="G44" s="113" t="n">
        <f aca="false">IF(Need_1&lt;&gt;"","",IF(Withdrawal_Timing="Start of year",IF(F44&gt;=C44,1,0),IF(F44*(1+DD_Balanced)&gt;=C44,1,0)))</f>
        <v>1</v>
      </c>
      <c r="H44" s="114" t="n">
        <f aca="false">IF(Need_1&lt;&gt;"","",IF(I43=1,IF(Withdrawal_Timing="Start of year",(H43-C43)*(1+DD_Growth),H43*(1+DD_Growth)-C43),0))</f>
        <v>412209.570865561</v>
      </c>
      <c r="I44" s="113" t="n">
        <f aca="false">IF(Need_1&lt;&gt;"","",IF(Withdrawal_Timing="Start of year",IF(H44&gt;=C44,1,0),IF(H44*(1+DD_Growth)&gt;=C44,1,0)))</f>
        <v>1</v>
      </c>
    </row>
    <row r="45" customFormat="false" ht="15" hidden="false" customHeight="true" outlineLevel="0" collapsed="false">
      <c r="B45" s="113" t="n">
        <v>13</v>
      </c>
      <c r="C45" s="114" t="n">
        <f aca="false">IF(Need_1&lt;&gt;"","",C44*(1+Inflation_Choice))</f>
        <v>25364.8358912509</v>
      </c>
      <c r="D45" s="114" t="n">
        <f aca="false">IF(Need_1&lt;&gt;"","",IF(E44=1,IF(Withdrawal_Timing="Start of year",(D44-C44)*(1+DD_Cautious),D44*(1+DD_Cautious)-C44),0))</f>
        <v>202918.687130007</v>
      </c>
      <c r="E45" s="113" t="n">
        <f aca="false">IF(Need_1&lt;&gt;"","",IF(Withdrawal_Timing="Start of year",IF(D45&gt;=C45,1,0),IF(D45*(1+DD_Cautious)&gt;=C45,1,0)))</f>
        <v>1</v>
      </c>
      <c r="F45" s="114" t="n">
        <f aca="false">IF(Need_1&lt;&gt;"","",IF(G44=1,IF(Withdrawal_Timing="Start of year",(F44-C44)*(1+DD_Balanced),F44*(1+DD_Balanced)-C44),0))</f>
        <v>294310.846461731</v>
      </c>
      <c r="G45" s="113" t="n">
        <f aca="false">IF(Need_1&lt;&gt;"","",IF(Withdrawal_Timing="Start of year",IF(F45&gt;=C45,1,0),IF(F45*(1+DD_Balanced)&gt;=C45,1,0)))</f>
        <v>1</v>
      </c>
      <c r="H45" s="114" t="n">
        <f aca="false">IF(Need_1&lt;&gt;"","",IF(I44=1,IF(Withdrawal_Timing="Start of year",(H44-C44)*(1+DD_Growth),H44*(1+DD_Growth)-C44),0))</f>
        <v>410582.609779528</v>
      </c>
      <c r="I45" s="113" t="n">
        <f aca="false">IF(Need_1&lt;&gt;"","",IF(Withdrawal_Timing="Start of year",IF(H45&gt;=C45,1,0),IF(H45*(1+DD_Growth)&gt;=C45,1,0)))</f>
        <v>1</v>
      </c>
    </row>
    <row r="46" customFormat="false" ht="15" hidden="false" customHeight="true" outlineLevel="0" collapsed="false">
      <c r="B46" s="113" t="n">
        <v>14</v>
      </c>
      <c r="C46" s="114" t="n">
        <f aca="false">IF(Need_1&lt;&gt;"","",C45*(1+Inflation_Choice))</f>
        <v>25872.1326090759</v>
      </c>
      <c r="D46" s="114" t="n">
        <f aca="false">IF(Need_1&lt;&gt;"","",IF(E45=1,IF(Withdrawal_Timing="Start of year",(D45-C45)*(1+DD_Cautious),D45*(1+DD_Cautious)-C45),0))</f>
        <v>181104.928263531</v>
      </c>
      <c r="E46" s="113" t="n">
        <f aca="false">IF(Need_1&lt;&gt;"","",IF(Withdrawal_Timing="Start of year",IF(D46&gt;=C46,1,0),IF(D46*(1+DD_Cautious)&gt;=C46,1,0)))</f>
        <v>1</v>
      </c>
      <c r="F46" s="114" t="n">
        <f aca="false">IF(Need_1&lt;&gt;"","",IF(G45=1,IF(Withdrawal_Timing="Start of year",(F45-C45)*(1+DD_Balanced),F45*(1+DD_Balanced)-C45),0))</f>
        <v>279703.8509933</v>
      </c>
      <c r="G46" s="113" t="n">
        <f aca="false">IF(Need_1&lt;&gt;"","",IF(Withdrawal_Timing="Start of year",IF(F46&gt;=C46,1,0),IF(F46*(1+DD_Balanced)&gt;=C46,1,0)))</f>
        <v>1</v>
      </c>
      <c r="H46" s="114" t="n">
        <f aca="false">IF(Need_1&lt;&gt;"","",IF(I45=1,IF(Withdrawal_Timing="Start of year",(H45-C45)*(1+DD_Growth),H45*(1+DD_Growth)-C45),0))</f>
        <v>408330.840321574</v>
      </c>
      <c r="I46" s="113" t="n">
        <f aca="false">IF(Need_1&lt;&gt;"","",IF(Withdrawal_Timing="Start of year",IF(H46&gt;=C46,1,0),IF(H46*(1+DD_Growth)&gt;=C46,1,0)))</f>
        <v>1</v>
      </c>
    </row>
    <row r="47" customFormat="false" ht="15" hidden="false" customHeight="true" outlineLevel="0" collapsed="false">
      <c r="B47" s="113" t="n">
        <v>15</v>
      </c>
      <c r="C47" s="114" t="n">
        <f aca="false">IF(Need_1&lt;&gt;"","",C46*(1+Inflation_Choice))</f>
        <v>26389.5752612574</v>
      </c>
      <c r="D47" s="114" t="n">
        <f aca="false">IF(Need_1&lt;&gt;"","",IF(E46=1,IF(Withdrawal_Timing="Start of year",(D46-C46)*(1+DD_Cautious),D46*(1+DD_Cautious)-C46),0))</f>
        <v>158337.451567545</v>
      </c>
      <c r="E47" s="113" t="n">
        <f aca="false">IF(Need_1&lt;&gt;"","",IF(Withdrawal_Timing="Start of year",IF(D47&gt;=C47,1,0),IF(D47*(1+DD_Cautious)&gt;=C47,1,0)))</f>
        <v>1</v>
      </c>
      <c r="F47" s="114" t="n">
        <f aca="false">IF(Need_1&lt;&gt;"","",IF(G46=1,IF(Withdrawal_Timing="Start of year",(F46-C46)*(1+DD_Balanced),F46*(1+DD_Balanced)-C46),0))</f>
        <v>263984.987119593</v>
      </c>
      <c r="G47" s="113" t="n">
        <f aca="false">IF(Need_1&lt;&gt;"","",IF(Withdrawal_Timing="Start of year",IF(F47&gt;=C47,1,0),IF(F47*(1+DD_Balanced)&gt;=C47,1,0)))</f>
        <v>1</v>
      </c>
      <c r="H47" s="114" t="n">
        <f aca="false">IF(Need_1&lt;&gt;"","",IF(I46=1,IF(Withdrawal_Timing="Start of year",(H46-C46)*(1+DD_Growth),H46*(1+DD_Growth)-C46),0))</f>
        <v>405406.230175247</v>
      </c>
      <c r="I47" s="113" t="n">
        <f aca="false">IF(Need_1&lt;&gt;"","",IF(Withdrawal_Timing="Start of year",IF(H47&gt;=C47,1,0),IF(H47*(1+DD_Growth)&gt;=C47,1,0)))</f>
        <v>1</v>
      </c>
    </row>
    <row r="48" customFormat="false" ht="15" hidden="false" customHeight="true" outlineLevel="0" collapsed="false">
      <c r="B48" s="113" t="n">
        <v>16</v>
      </c>
      <c r="C48" s="114" t="n">
        <f aca="false">IF(Need_1&lt;&gt;"","",C47*(1+Inflation_Choice))</f>
        <v>26917.3667664826</v>
      </c>
      <c r="D48" s="114" t="n">
        <f aca="false">IF(Need_1&lt;&gt;"","",IF(E47=1,IF(Withdrawal_Timing="Start of year",(D47-C47)*(1+DD_Cautious),D47*(1+DD_Cautious)-C47),0))</f>
        <v>134586.833832413</v>
      </c>
      <c r="E48" s="113" t="n">
        <f aca="false">IF(Need_1&lt;&gt;"","",IF(Withdrawal_Timing="Start of year",IF(D48&gt;=C48,1,0),IF(D48*(1+DD_Cautious)&gt;=C48,1,0)))</f>
        <v>1</v>
      </c>
      <c r="F48" s="114" t="n">
        <f aca="false">IF(Need_1&lt;&gt;"","",IF(G47=1,IF(Withdrawal_Timing="Start of year",(F47-C47)*(1+DD_Balanced),F47*(1+DD_Balanced)-C47),0))</f>
        <v>247099.228332669</v>
      </c>
      <c r="G48" s="113" t="n">
        <f aca="false">IF(Need_1&lt;&gt;"","",IF(Withdrawal_Timing="Start of year",IF(F48&gt;=C48,1,0),IF(F48*(1+DD_Balanced)&gt;=C48,1,0)))</f>
        <v>1</v>
      </c>
      <c r="H48" s="114" t="n">
        <f aca="false">IF(Need_1&lt;&gt;"","",IF(I47=1,IF(Withdrawal_Timing="Start of year",(H47-C47)*(1+DD_Growth),H47*(1+DD_Growth)-C47),0))</f>
        <v>401757.654208829</v>
      </c>
      <c r="I48" s="113" t="n">
        <f aca="false">IF(Need_1&lt;&gt;"","",IF(Withdrawal_Timing="Start of year",IF(H48&gt;=C48,1,0),IF(H48*(1+DD_Growth)&gt;=C48,1,0)))</f>
        <v>1</v>
      </c>
    </row>
    <row r="49" customFormat="false" ht="15" hidden="false" customHeight="true" outlineLevel="0" collapsed="false">
      <c r="B49" s="113" t="n">
        <v>17</v>
      </c>
      <c r="C49" s="114" t="n">
        <f aca="false">IF(Need_1&lt;&gt;"","",C48*(1+Inflation_Choice))</f>
        <v>27455.7141018122</v>
      </c>
      <c r="D49" s="114" t="n">
        <f aca="false">IF(Need_1&lt;&gt;"","",IF(E48=1,IF(Withdrawal_Timing="Start of year",(D48-C48)*(1+DD_Cautious),D48*(1+DD_Cautious)-C48),0))</f>
        <v>109822.856407249</v>
      </c>
      <c r="E49" s="113" t="n">
        <f aca="false">IF(Need_1&lt;&gt;"","",IF(Withdrawal_Timing="Start of year",IF(D49&gt;=C49,1,0),IF(D49*(1+DD_Cautious)&gt;=C49,1,0)))</f>
        <v>1</v>
      </c>
      <c r="F49" s="114" t="n">
        <f aca="false">IF(Need_1&lt;&gt;"","",IF(G48=1,IF(Withdrawal_Timing="Start of year",(F48-C48)*(1+DD_Balanced),F48*(1+DD_Balanced)-C48),0))</f>
        <v>228989.136028834</v>
      </c>
      <c r="G49" s="113" t="n">
        <f aca="false">IF(Need_1&lt;&gt;"","",IF(Withdrawal_Timing="Start of year",IF(F49&gt;=C49,1,0),IF(F49*(1+DD_Balanced)&gt;=C49,1,0)))</f>
        <v>1</v>
      </c>
      <c r="H49" s="114" t="n">
        <f aca="false">IF(Need_1&lt;&gt;"","",IF(I48=1,IF(Withdrawal_Timing="Start of year",(H48-C48)*(1+DD_Growth),H48*(1+DD_Growth)-C48),0))</f>
        <v>397330.704688888</v>
      </c>
      <c r="I49" s="113" t="n">
        <f aca="false">IF(Need_1&lt;&gt;"","",IF(Withdrawal_Timing="Start of year",IF(H49&gt;=C49,1,0),IF(H49*(1+DD_Growth)&gt;=C49,1,0)))</f>
        <v>1</v>
      </c>
    </row>
    <row r="50" customFormat="false" ht="15" hidden="false" customHeight="true" outlineLevel="0" collapsed="false">
      <c r="B50" s="113" t="n">
        <v>18</v>
      </c>
      <c r="C50" s="114" t="n">
        <f aca="false">IF(Need_1&lt;&gt;"","",C49*(1+Inflation_Choice))</f>
        <v>28004.8283838485</v>
      </c>
      <c r="D50" s="114" t="n">
        <f aca="false">IF(Need_1&lt;&gt;"","",IF(E49=1,IF(Withdrawal_Timing="Start of year",(D49-C49)*(1+DD_Cautious),D49*(1+DD_Cautious)-C49),0))</f>
        <v>84014.4851515455</v>
      </c>
      <c r="E50" s="113" t="n">
        <f aca="false">IF(Need_1&lt;&gt;"","",IF(Withdrawal_Timing="Start of year",IF(D50&gt;=C50,1,0),IF(D50*(1+DD_Cautious)&gt;=C50,1,0)))</f>
        <v>1</v>
      </c>
      <c r="F50" s="114" t="n">
        <f aca="false">IF(Need_1&lt;&gt;"","",IF(G49=1,IF(Withdrawal_Timing="Start of year",(F49-C49)*(1+DD_Balanced),F49*(1+DD_Balanced)-C49),0))</f>
        <v>209594.758804102</v>
      </c>
      <c r="G50" s="113" t="n">
        <f aca="false">IF(Need_1&lt;&gt;"","",IF(Withdrawal_Timing="Start of year",IF(F50&gt;=C50,1,0),IF(F50*(1+DD_Balanced)&gt;=C50,1,0)))</f>
        <v>1</v>
      </c>
      <c r="H50" s="114" t="n">
        <f aca="false">IF(Need_1&lt;&gt;"","",IF(I49=1,IF(Withdrawal_Timing="Start of year",(H49-C49)*(1+DD_Growth),H49*(1+DD_Growth)-C49),0))</f>
        <v>392067.4900223</v>
      </c>
      <c r="I50" s="113" t="n">
        <f aca="false">IF(Need_1&lt;&gt;"","",IF(Withdrawal_Timing="Start of year",IF(H50&gt;=C50,1,0),IF(H50*(1+DD_Growth)&gt;=C50,1,0)))</f>
        <v>1</v>
      </c>
    </row>
    <row r="51" customFormat="false" ht="15" hidden="false" customHeight="true" outlineLevel="0" collapsed="false">
      <c r="B51" s="113" t="n">
        <v>19</v>
      </c>
      <c r="C51" s="114" t="n">
        <f aca="false">IF(Need_1&lt;&gt;"","",C50*(1+Inflation_Choice))</f>
        <v>28564.9249515255</v>
      </c>
      <c r="D51" s="114" t="n">
        <f aca="false">IF(Need_1&lt;&gt;"","",IF(E50=1,IF(Withdrawal_Timing="Start of year",(D50-C50)*(1+DD_Cautious),D50*(1+DD_Cautious)-C50),0))</f>
        <v>57129.8499030509</v>
      </c>
      <c r="E51" s="113" t="n">
        <f aca="false">IF(Need_1&lt;&gt;"","",IF(Withdrawal_Timing="Start of year",IF(D51&gt;=C51,1,0),IF(D51*(1+DD_Cautious)&gt;=C51,1,0)))</f>
        <v>1</v>
      </c>
      <c r="F51" s="114" t="n">
        <f aca="false">IF(Need_1&lt;&gt;"","",IF(G50=1,IF(Withdrawal_Timing="Start of year",(F50-C50)*(1+DD_Balanced),F50*(1+DD_Balanced)-C50),0))</f>
        <v>188853.527637064</v>
      </c>
      <c r="G51" s="113" t="n">
        <f aca="false">IF(Need_1&lt;&gt;"","",IF(Withdrawal_Timing="Start of year",IF(F51&gt;=C51,1,0),IF(F51*(1+DD_Balanced)&gt;=C51,1,0)))</f>
        <v>1</v>
      </c>
      <c r="H51" s="114" t="n">
        <f aca="false">IF(Need_1&lt;&gt;"","",IF(I50=1,IF(Withdrawal_Timing="Start of year",(H50-C50)*(1+DD_Growth),H50*(1+DD_Growth)-C50),0))</f>
        <v>385906.421336759</v>
      </c>
      <c r="I51" s="113" t="n">
        <f aca="false">IF(Need_1&lt;&gt;"","",IF(Withdrawal_Timing="Start of year",IF(H51&gt;=C51,1,0),IF(H51*(1+DD_Growth)&gt;=C51,1,0)))</f>
        <v>1</v>
      </c>
    </row>
    <row r="52" customFormat="false" ht="15" hidden="false" customHeight="true" outlineLevel="0" collapsed="false">
      <c r="B52" s="113" t="n">
        <v>20</v>
      </c>
      <c r="C52" s="114" t="n">
        <f aca="false">IF(Need_1&lt;&gt;"","",C51*(1+Inflation_Choice))</f>
        <v>29136.223450556</v>
      </c>
      <c r="D52" s="114" t="n">
        <f aca="false">IF(Need_1&lt;&gt;"","",IF(E51=1,IF(Withdrawal_Timing="Start of year",(D51-C51)*(1+DD_Cautious),D51*(1+DD_Cautious)-C51),0))</f>
        <v>29136.223450556</v>
      </c>
      <c r="E52" s="113" t="n">
        <f aca="false">IF(Need_1&lt;&gt;"","",IF(Withdrawal_Timing="Start of year",IF(D52&gt;=C52,1,0),IF(D52*(1+DD_Cautious)&gt;=C52,1,0)))</f>
        <v>1</v>
      </c>
      <c r="F52" s="114" t="n">
        <f aca="false">IF(Need_1&lt;&gt;"","",IF(G51=1,IF(Withdrawal_Timing="Start of year",(F51-C51)*(1+DD_Balanced),F51*(1+DD_Balanced)-C51),0))</f>
        <v>166700.14679296</v>
      </c>
      <c r="G52" s="113" t="n">
        <f aca="false">IF(Need_1&lt;&gt;"","",IF(Withdrawal_Timing="Start of year",IF(F52&gt;=C52,1,0),IF(F52*(1+DD_Balanced)&gt;=C52,1,0)))</f>
        <v>1</v>
      </c>
      <c r="H52" s="114" t="n">
        <f aca="false">IF(Need_1&lt;&gt;"","",IF(I51=1,IF(Withdrawal_Timing="Start of year",(H51-C51)*(1+DD_Growth),H51*(1+DD_Growth)-C51),0))</f>
        <v>378781.986168347</v>
      </c>
      <c r="I52" s="113" t="n">
        <f aca="false">IF(Need_1&lt;&gt;"","",IF(Withdrawal_Timing="Start of year",IF(H52&gt;=C52,1,0),IF(H52*(1+DD_Growth)&gt;=C52,1,0)))</f>
        <v>1</v>
      </c>
    </row>
    <row r="53" customFormat="false" ht="15" hidden="false" customHeight="true" outlineLevel="0" collapsed="false">
      <c r="B53" s="113" t="n">
        <v>21</v>
      </c>
      <c r="C53" s="114" t="n">
        <f aca="false">IF(Need_1&lt;&gt;"","",C52*(1+Inflation_Choice))</f>
        <v>29718.9479195671</v>
      </c>
      <c r="D53" s="114" t="n">
        <f aca="false">IF(Need_1&lt;&gt;"","",IF(E52=1,IF(Withdrawal_Timing="Start of year",(D52-C52)*(1+DD_Cautious),D52*(1+DD_Cautious)-C52),0))</f>
        <v>0</v>
      </c>
      <c r="E53" s="113" t="n">
        <f aca="false">IF(Need_1&lt;&gt;"","",IF(Withdrawal_Timing="Start of year",IF(D53&gt;=C53,1,0),IF(D53*(1+DD_Cautious)&gt;=C53,1,0)))</f>
        <v>0</v>
      </c>
      <c r="F53" s="114" t="n">
        <f aca="false">IF(Need_1&lt;&gt;"","",IF(G52=1,IF(Withdrawal_Timing="Start of year",(F52-C52)*(1+DD_Balanced),F52*(1+DD_Balanced)-C52),0))</f>
        <v>143066.4802761</v>
      </c>
      <c r="G53" s="113" t="n">
        <f aca="false">IF(Need_1&lt;&gt;"","",IF(Withdrawal_Timing="Start of year",IF(F53&gt;=C53,1,0),IF(F53*(1+DD_Balanced)&gt;=C53,1,0)))</f>
        <v>1</v>
      </c>
      <c r="H53" s="114" t="n">
        <f aca="false">IF(Need_1&lt;&gt;"","",IF(I52=1,IF(Withdrawal_Timing="Start of year",(H52-C52)*(1+DD_Growth),H52*(1+DD_Growth)-C52),0))</f>
        <v>370624.508480859</v>
      </c>
      <c r="I53" s="113" t="n">
        <f aca="false">IF(Need_1&lt;&gt;"","",IF(Withdrawal_Timing="Start of year",IF(H53&gt;=C53,1,0),IF(H53*(1+DD_Growth)&gt;=C53,1,0)))</f>
        <v>1</v>
      </c>
    </row>
    <row r="54" customFormat="false" ht="15" hidden="false" customHeight="true" outlineLevel="0" collapsed="false">
      <c r="B54" s="113" t="n">
        <v>22</v>
      </c>
      <c r="C54" s="114" t="n">
        <f aca="false">IF(Need_1&lt;&gt;"","",C53*(1+Inflation_Choice))</f>
        <v>30313.3268779584</v>
      </c>
      <c r="D54" s="114" t="n">
        <f aca="false">IF(Need_1&lt;&gt;"","",IF(E53=1,IF(Withdrawal_Timing="Start of year",(D53-C53)*(1+DD_Cautious),D53*(1+DD_Cautious)-C53),0))</f>
        <v>0</v>
      </c>
      <c r="E54" s="113" t="n">
        <f aca="false">IF(Need_1&lt;&gt;"","",IF(Withdrawal_Timing="Start of year",IF(D54&gt;=C54,1,0),IF(D54*(1+DD_Cautious)&gt;=C54,1,0)))</f>
        <v>0</v>
      </c>
      <c r="F54" s="114" t="n">
        <f aca="false">IF(Need_1&lt;&gt;"","",IF(G53=1,IF(Withdrawal_Timing="Start of year",(F53-C53)*(1+DD_Balanced),F53*(1+DD_Balanced)-C53),0))</f>
        <v>117881.433650794</v>
      </c>
      <c r="G54" s="113" t="n">
        <f aca="false">IF(Need_1&lt;&gt;"","",IF(Withdrawal_Timing="Start of year",IF(F54&gt;=C54,1,0),IF(F54*(1+DD_Balanced)&gt;=C54,1,0)))</f>
        <v>1</v>
      </c>
      <c r="H54" s="114" t="n">
        <f aca="false">IF(Need_1&lt;&gt;"","",IF(I53=1,IF(Withdrawal_Timing="Start of year",(H53-C53)*(1+DD_Growth),H53*(1+DD_Growth)-C53),0))</f>
        <v>361359.894194969</v>
      </c>
      <c r="I54" s="113" t="n">
        <f aca="false">IF(Need_1&lt;&gt;"","",IF(Withdrawal_Timing="Start of year",IF(H54&gt;=C54,1,0),IF(H54*(1+DD_Growth)&gt;=C54,1,0)))</f>
        <v>1</v>
      </c>
    </row>
    <row r="55" customFormat="false" ht="15" hidden="false" customHeight="true" outlineLevel="0" collapsed="false">
      <c r="B55" s="113" t="n">
        <v>23</v>
      </c>
      <c r="C55" s="114" t="n">
        <f aca="false">IF(Need_1&lt;&gt;"","",C54*(1+Inflation_Choice))</f>
        <v>30919.5934155176</v>
      </c>
      <c r="D55" s="114" t="n">
        <f aca="false">IF(Need_1&lt;&gt;"","",IF(E54=1,IF(Withdrawal_Timing="Start of year",(D54-C54)*(1+DD_Cautious),D54*(1+DD_Cautious)-C54),0))</f>
        <v>0</v>
      </c>
      <c r="E55" s="113" t="n">
        <f aca="false">IF(Need_1&lt;&gt;"","",IF(Withdrawal_Timing="Start of year",IF(D55&gt;=C55,1,0),IF(D55*(1+DD_Cautious)&gt;=C55,1,0)))</f>
        <v>0</v>
      </c>
      <c r="F55" s="114" t="n">
        <f aca="false">IF(Need_1&lt;&gt;"","",IF(G54=1,IF(Withdrawal_Timing="Start of year",(F54-C54)*(1+DD_Balanced),F54*(1+DD_Balanced)-C54),0))</f>
        <v>91070.8310437495</v>
      </c>
      <c r="G55" s="113" t="n">
        <f aca="false">IF(Need_1&lt;&gt;"","",IF(Withdrawal_Timing="Start of year",IF(F55&gt;=C55,1,0),IF(F55*(1+DD_Balanced)&gt;=C55,1,0)))</f>
        <v>1</v>
      </c>
      <c r="H55" s="114" t="n">
        <f aca="false">IF(Need_1&lt;&gt;"","",IF(I54=1,IF(Withdrawal_Timing="Start of year",(H54-C54)*(1+DD_Growth),H54*(1+DD_Growth)-C54),0))</f>
        <v>350909.361356031</v>
      </c>
      <c r="I55" s="113" t="n">
        <f aca="false">IF(Need_1&lt;&gt;"","",IF(Withdrawal_Timing="Start of year",IF(H55&gt;=C55,1,0),IF(H55*(1+DD_Growth)&gt;=C55,1,0)))</f>
        <v>1</v>
      </c>
    </row>
    <row r="56" customFormat="false" ht="15" hidden="false" customHeight="true" outlineLevel="0" collapsed="false">
      <c r="B56" s="113" t="n">
        <v>24</v>
      </c>
      <c r="C56" s="114" t="n">
        <f aca="false">IF(Need_1&lt;&gt;"","",C55*(1+Inflation_Choice))</f>
        <v>31537.9852838279</v>
      </c>
      <c r="D56" s="114" t="n">
        <f aca="false">IF(Need_1&lt;&gt;"","",IF(E55=1,IF(Withdrawal_Timing="Start of year",(D55-C55)*(1+DD_Cautious),D55*(1+DD_Cautious)-C55),0))</f>
        <v>0</v>
      </c>
      <c r="E56" s="113" t="n">
        <f aca="false">IF(Need_1&lt;&gt;"","",IF(Withdrawal_Timing="Start of year",IF(D56&gt;=C56,1,0),IF(D56*(1+DD_Cautious)&gt;=C56,1,0)))</f>
        <v>0</v>
      </c>
      <c r="F56" s="114" t="n">
        <f aca="false">IF(Need_1&lt;&gt;"","",IF(G55=1,IF(Withdrawal_Timing="Start of year",(F55-C55)*(1+DD_Balanced),F55*(1+DD_Balanced)-C55),0))</f>
        <v>62557.2871333612</v>
      </c>
      <c r="G56" s="113" t="n">
        <f aca="false">IF(Need_1&lt;&gt;"","",IF(Withdrawal_Timing="Start of year",IF(F56&gt;=C56,1,0),IF(F56*(1+DD_Balanced)&gt;=C56,1,0)))</f>
        <v>1</v>
      </c>
      <c r="H56" s="114" t="n">
        <f aca="false">IF(Need_1&lt;&gt;"","",IF(I55=1,IF(Withdrawal_Timing="Start of year",(H55-C55)*(1+DD_Growth),H55*(1+DD_Growth)-C55),0))</f>
        <v>339189.154016944</v>
      </c>
      <c r="I56" s="113" t="n">
        <f aca="false">IF(Need_1&lt;&gt;"","",IF(Withdrawal_Timing="Start of year",IF(H56&gt;=C56,1,0),IF(H56*(1+DD_Growth)&gt;=C56,1,0)))</f>
        <v>1</v>
      </c>
    </row>
    <row r="57" customFormat="false" ht="15" hidden="false" customHeight="true" outlineLevel="0" collapsed="false">
      <c r="B57" s="113" t="n">
        <v>25</v>
      </c>
      <c r="C57" s="114" t="n">
        <f aca="false">IF(Need_1&lt;&gt;"","",C56*(1+Inflation_Choice))</f>
        <v>32168.7449895045</v>
      </c>
      <c r="D57" s="114" t="n">
        <f aca="false">IF(Need_1&lt;&gt;"","",IF(E56=1,IF(Withdrawal_Timing="Start of year",(D56-C56)*(1+DD_Cautious),D56*(1+DD_Cautious)-C56),0))</f>
        <v>0</v>
      </c>
      <c r="E57" s="113" t="n">
        <f aca="false">IF(Need_1&lt;&gt;"","",IF(Withdrawal_Timing="Start of year",IF(D57&gt;=C57,1,0),IF(D57*(1+DD_Cautious)&gt;=C57,1,0)))</f>
        <v>0</v>
      </c>
      <c r="F57" s="114" t="n">
        <f aca="false">IF(Need_1&lt;&gt;"","",IF(G56=1,IF(Withdrawal_Timing="Start of year",(F56-C56)*(1+DD_Balanced),F56*(1+DD_Balanced)-C56),0))</f>
        <v>32260.0739235145</v>
      </c>
      <c r="G57" s="113" t="n">
        <f aca="false">IF(Need_1&lt;&gt;"","",IF(Withdrawal_Timing="Start of year",IF(F57&gt;=C57,1,0),IF(F57*(1+DD_Balanced)&gt;=C57,1,0)))</f>
        <v>1</v>
      </c>
      <c r="H57" s="114" t="n">
        <f aca="false">IF(Need_1&lt;&gt;"","",IF(I56=1,IF(Withdrawal_Timing="Start of year",(H56-C56)*(1+DD_Growth),H56*(1+DD_Growth)-C56),0))</f>
        <v>326110.238857103</v>
      </c>
      <c r="I57" s="113" t="n">
        <f aca="false">IF(Need_1&lt;&gt;"","",IF(Withdrawal_Timing="Start of year",IF(H57&gt;=C57,1,0),IF(H57*(1+DD_Growth)&gt;=C57,1,0)))</f>
        <v>1</v>
      </c>
    </row>
    <row r="58" customFormat="false" ht="15" hidden="false" customHeight="true" outlineLevel="0" collapsed="false">
      <c r="B58" s="113" t="n">
        <v>26</v>
      </c>
      <c r="C58" s="114" t="n">
        <f aca="false">IF(Need_1&lt;&gt;"","",C57*(1+Inflation_Choice))</f>
        <v>32812.1198892946</v>
      </c>
      <c r="D58" s="114" t="n">
        <f aca="false">IF(Need_1&lt;&gt;"","",IF(E57=1,IF(Withdrawal_Timing="Start of year",(D57-C57)*(1+DD_Cautious),D57*(1+DD_Cautious)-C57),0))</f>
        <v>0</v>
      </c>
      <c r="E58" s="113" t="n">
        <f aca="false">IF(Need_1&lt;&gt;"","",IF(Withdrawal_Timing="Start of year",IF(D58&gt;=C58,1,0),IF(D58*(1+DD_Cautious)&gt;=C58,1,0)))</f>
        <v>0</v>
      </c>
      <c r="F58" s="114" t="n">
        <f aca="false">IF(Need_1&lt;&gt;"","",IF(G57=1,IF(Withdrawal_Timing="Start of year",(F57-C57)*(1+DD_Balanced),F57*(1+DD_Balanced)-C57),0))</f>
        <v>94.9820913704398</v>
      </c>
      <c r="G58" s="113" t="n">
        <f aca="false">IF(Need_1&lt;&gt;"","",IF(Withdrawal_Timing="Start of year",IF(F58&gt;=C58,1,0),IF(F58*(1+DD_Balanced)&gt;=C58,1,0)))</f>
        <v>0</v>
      </c>
      <c r="H58" s="114" t="n">
        <f aca="false">IF(Need_1&lt;&gt;"","",IF(I57=1,IF(Withdrawal_Timing="Start of year",(H57-C57)*(1+DD_Growth),H57*(1+DD_Growth)-C57),0))</f>
        <v>311577.983499655</v>
      </c>
      <c r="I58" s="113" t="n">
        <f aca="false">IF(Need_1&lt;&gt;"","",IF(Withdrawal_Timing="Start of year",IF(H58&gt;=C58,1,0),IF(H58*(1+DD_Growth)&gt;=C58,1,0)))</f>
        <v>1</v>
      </c>
    </row>
    <row r="59" customFormat="false" ht="15" hidden="false" customHeight="true" outlineLevel="0" collapsed="false">
      <c r="B59" s="113" t="n">
        <v>27</v>
      </c>
      <c r="C59" s="114" t="n">
        <f aca="false">IF(Need_1&lt;&gt;"","",C58*(1+Inflation_Choice))</f>
        <v>33468.3622870805</v>
      </c>
      <c r="D59" s="114" t="n">
        <f aca="false">IF(Need_1&lt;&gt;"","",IF(E58=1,IF(Withdrawal_Timing="Start of year",(D58-C58)*(1+DD_Cautious),D58*(1+DD_Cautious)-C58),0))</f>
        <v>0</v>
      </c>
      <c r="E59" s="113" t="n">
        <f aca="false">IF(Need_1&lt;&gt;"","",IF(Withdrawal_Timing="Start of year",IF(D59&gt;=C59,1,0),IF(D59*(1+DD_Cautious)&gt;=C59,1,0)))</f>
        <v>0</v>
      </c>
      <c r="F59" s="114" t="n">
        <f aca="false">IF(Need_1&lt;&gt;"","",IF(G58=1,IF(Withdrawal_Timing="Start of year",(F58-C58)*(1+DD_Balanced),F58*(1+DD_Balanced)-C58),0))</f>
        <v>0</v>
      </c>
      <c r="G59" s="113" t="n">
        <f aca="false">IF(Need_1&lt;&gt;"","",IF(Withdrawal_Timing="Start of year",IF(F59&gt;=C59,1,0),IF(F59*(1+DD_Balanced)&gt;=C59,1,0)))</f>
        <v>0</v>
      </c>
      <c r="H59" s="114" t="n">
        <f aca="false">IF(Need_1&lt;&gt;"","",IF(I58=1,IF(Withdrawal_Timing="Start of year",(H58-C58)*(1+DD_Growth),H58*(1+DD_Growth)-C58),0))</f>
        <v>295491.815426982</v>
      </c>
      <c r="I59" s="113" t="n">
        <f aca="false">IF(Need_1&lt;&gt;"","",IF(Withdrawal_Timing="Start of year",IF(H59&gt;=C59,1,0),IF(H59*(1+DD_Growth)&gt;=C59,1,0)))</f>
        <v>1</v>
      </c>
    </row>
    <row r="60" customFormat="false" ht="15" hidden="false" customHeight="true" outlineLevel="0" collapsed="false">
      <c r="B60" s="113" t="n">
        <v>28</v>
      </c>
      <c r="C60" s="114" t="n">
        <f aca="false">IF(Need_1&lt;&gt;"","",C59*(1+Inflation_Choice))</f>
        <v>34137.7295328221</v>
      </c>
      <c r="D60" s="114" t="n">
        <f aca="false">IF(Need_1&lt;&gt;"","",IF(E59=1,IF(Withdrawal_Timing="Start of year",(D59-C59)*(1+DD_Cautious),D59*(1+DD_Cautious)-C59),0))</f>
        <v>0</v>
      </c>
      <c r="E60" s="113" t="n">
        <f aca="false">IF(Need_1&lt;&gt;"","",IF(Withdrawal_Timing="Start of year",IF(D60&gt;=C60,1,0),IF(D60*(1+DD_Cautious)&gt;=C60,1,0)))</f>
        <v>0</v>
      </c>
      <c r="F60" s="114" t="n">
        <f aca="false">IF(Need_1&lt;&gt;"","",IF(G59=1,IF(Withdrawal_Timing="Start of year",(F59-C59)*(1+DD_Balanced),F59*(1+DD_Balanced)-C59),0))</f>
        <v>0</v>
      </c>
      <c r="G60" s="113" t="n">
        <f aca="false">IF(Need_1&lt;&gt;"","",IF(Withdrawal_Timing="Start of year",IF(F60&gt;=C60,1,0),IF(F60*(1+DD_Balanced)&gt;=C60,1,0)))</f>
        <v>0</v>
      </c>
      <c r="H60" s="114" t="n">
        <f aca="false">IF(Need_1&lt;&gt;"","",IF(I59=1,IF(Withdrawal_Timing="Start of year",(H59-C59)*(1+DD_Growth),H59*(1+DD_Growth)-C59),0))</f>
        <v>277744.860328296</v>
      </c>
      <c r="I60" s="113" t="n">
        <f aca="false">IF(Need_1&lt;&gt;"","",IF(Withdrawal_Timing="Start of year",IF(H60&gt;=C60,1,0),IF(H60*(1+DD_Growth)&gt;=C60,1,0)))</f>
        <v>1</v>
      </c>
    </row>
    <row r="61" customFormat="false" ht="15" hidden="false" customHeight="true" outlineLevel="0" collapsed="false">
      <c r="B61" s="113" t="n">
        <v>29</v>
      </c>
      <c r="C61" s="114" t="n">
        <f aca="false">IF(Need_1&lt;&gt;"","",C60*(1+Inflation_Choice))</f>
        <v>34820.4841234785</v>
      </c>
      <c r="D61" s="114" t="n">
        <f aca="false">IF(Need_1&lt;&gt;"","",IF(E60=1,IF(Withdrawal_Timing="Start of year",(D60-C60)*(1+DD_Cautious),D60*(1+DD_Cautious)-C60),0))</f>
        <v>0</v>
      </c>
      <c r="E61" s="113" t="n">
        <f aca="false">IF(Need_1&lt;&gt;"","",IF(Withdrawal_Timing="Start of year",IF(D61&gt;=C61,1,0),IF(D61*(1+DD_Cautious)&gt;=C61,1,0)))</f>
        <v>0</v>
      </c>
      <c r="F61" s="114" t="n">
        <f aca="false">IF(Need_1&lt;&gt;"","",IF(G60=1,IF(Withdrawal_Timing="Start of year",(F60-C60)*(1+DD_Balanced),F60*(1+DD_Balanced)-C60),0))</f>
        <v>0</v>
      </c>
      <c r="G61" s="113" t="n">
        <f aca="false">IF(Need_1&lt;&gt;"","",IF(Withdrawal_Timing="Start of year",IF(F61&gt;=C61,1,0),IF(F61*(1+DD_Balanced)&gt;=C61,1,0)))</f>
        <v>0</v>
      </c>
      <c r="H61" s="114" t="n">
        <f aca="false">IF(Need_1&lt;&gt;"","",IF(I60=1,IF(Withdrawal_Timing="Start of year",(H60-C60)*(1+DD_Growth),H60*(1+DD_Growth)-C60),0))</f>
        <v>258223.558643202</v>
      </c>
      <c r="I61" s="113" t="n">
        <f aca="false">IF(Need_1&lt;&gt;"","",IF(Withdrawal_Timing="Start of year",IF(H61&gt;=C61,1,0),IF(H61*(1+DD_Growth)&gt;=C61,1,0)))</f>
        <v>1</v>
      </c>
    </row>
    <row r="62" customFormat="false" ht="15" hidden="false" customHeight="true" outlineLevel="0" collapsed="false">
      <c r="B62" s="113" t="n">
        <v>30</v>
      </c>
      <c r="C62" s="114" t="n">
        <f aca="false">IF(Need_1&lt;&gt;"","",C61*(1+Inflation_Choice))</f>
        <v>35516.8938059481</v>
      </c>
      <c r="D62" s="114" t="n">
        <f aca="false">IF(Need_1&lt;&gt;"","",IF(E61=1,IF(Withdrawal_Timing="Start of year",(D61-C61)*(1+DD_Cautious),D61*(1+DD_Cautious)-C61),0))</f>
        <v>0</v>
      </c>
      <c r="E62" s="113" t="n">
        <f aca="false">IF(Need_1&lt;&gt;"","",IF(Withdrawal_Timing="Start of year",IF(D62&gt;=C62,1,0),IF(D62*(1+DD_Cautious)&gt;=C62,1,0)))</f>
        <v>0</v>
      </c>
      <c r="F62" s="114" t="n">
        <f aca="false">IF(Need_1&lt;&gt;"","",IF(G61=1,IF(Withdrawal_Timing="Start of year",(F61-C61)*(1+DD_Balanced),F61*(1+DD_Balanced)-C61),0))</f>
        <v>0</v>
      </c>
      <c r="G62" s="113" t="n">
        <f aca="false">IF(Need_1&lt;&gt;"","",IF(Withdrawal_Timing="Start of year",IF(F62&gt;=C62,1,0),IF(F62*(1+DD_Balanced)&gt;=C62,1,0)))</f>
        <v>0</v>
      </c>
      <c r="H62" s="114" t="n">
        <f aca="false">IF(Need_1&lt;&gt;"","",IF(I61=1,IF(Withdrawal_Timing="Start of year",(H61-C61)*(1+DD_Growth),H61*(1+DD_Growth)-C61),0))</f>
        <v>236807.258990907</v>
      </c>
      <c r="I62" s="113" t="n">
        <f aca="false">IF(Need_1&lt;&gt;"","",IF(Withdrawal_Timing="Start of year",IF(H62&gt;=C62,1,0),IF(H62*(1+DD_Growth)&gt;=C62,1,0)))</f>
        <v>1</v>
      </c>
    </row>
    <row r="63" customFormat="false" ht="15" hidden="false" customHeight="true" outlineLevel="0" collapsed="false">
      <c r="B63" s="113" t="n">
        <v>31</v>
      </c>
      <c r="C63" s="114" t="n">
        <f aca="false">IF(Need_1&lt;&gt;"","",C62*(1+Inflation_Choice))</f>
        <v>36227.2316820671</v>
      </c>
      <c r="D63" s="114" t="n">
        <f aca="false">IF(Need_1&lt;&gt;"","",IF(E62=1,IF(Withdrawal_Timing="Start of year",(D62-C62)*(1+DD_Cautious),D62*(1+DD_Cautious)-C62),0))</f>
        <v>0</v>
      </c>
      <c r="E63" s="113" t="n">
        <f aca="false">IF(Need_1&lt;&gt;"","",IF(Withdrawal_Timing="Start of year",IF(D63&gt;=C63,1,0),IF(D63*(1+DD_Cautious)&gt;=C63,1,0)))</f>
        <v>0</v>
      </c>
      <c r="F63" s="114" t="n">
        <f aca="false">IF(Need_1&lt;&gt;"","",IF(G62=1,IF(Withdrawal_Timing="Start of year",(F62-C62)*(1+DD_Balanced),F62*(1+DD_Balanced)-C62),0))</f>
        <v>0</v>
      </c>
      <c r="G63" s="113" t="n">
        <f aca="false">IF(Need_1&lt;&gt;"","",IF(Withdrawal_Timing="Start of year",IF(F63&gt;=C63,1,0),IF(F63*(1+DD_Balanced)&gt;=C63,1,0)))</f>
        <v>0</v>
      </c>
      <c r="H63" s="114" t="n">
        <f aca="false">IF(Need_1&lt;&gt;"","",IF(I62=1,IF(Withdrawal_Timing="Start of year",(H62-C62)*(1+DD_Growth),H62*(1+DD_Growth)-C62),0))</f>
        <v>213367.787096056</v>
      </c>
      <c r="I63" s="113" t="n">
        <f aca="false">IF(Need_1&lt;&gt;"","",IF(Withdrawal_Timing="Start of year",IF(H63&gt;=C63,1,0),IF(H63*(1+DD_Growth)&gt;=C63,1,0)))</f>
        <v>1</v>
      </c>
    </row>
    <row r="64" customFormat="false" ht="15" hidden="false" customHeight="true" outlineLevel="0" collapsed="false">
      <c r="B64" s="113" t="n">
        <v>32</v>
      </c>
      <c r="C64" s="114" t="n">
        <f aca="false">IF(Need_1&lt;&gt;"","",C63*(1+Inflation_Choice))</f>
        <v>36951.7763157084</v>
      </c>
      <c r="D64" s="114" t="n">
        <f aca="false">IF(Need_1&lt;&gt;"","",IF(E63=1,IF(Withdrawal_Timing="Start of year",(D63-C63)*(1+DD_Cautious),D63*(1+DD_Cautious)-C63),0))</f>
        <v>0</v>
      </c>
      <c r="E64" s="113" t="n">
        <f aca="false">IF(Need_1&lt;&gt;"","",IF(Withdrawal_Timing="Start of year",IF(D64&gt;=C64,1,0),IF(D64*(1+DD_Cautious)&gt;=C64,1,0)))</f>
        <v>0</v>
      </c>
      <c r="F64" s="114" t="n">
        <f aca="false">IF(Need_1&lt;&gt;"","",IF(G63=1,IF(Withdrawal_Timing="Start of year",(F63-C63)*(1+DD_Balanced),F63*(1+DD_Balanced)-C63),0))</f>
        <v>0</v>
      </c>
      <c r="G64" s="113" t="n">
        <f aca="false">IF(Need_1&lt;&gt;"","",IF(Withdrawal_Timing="Start of year",IF(F64&gt;=C64,1,0),IF(F64*(1+DD_Balanced)&gt;=C64,1,0)))</f>
        <v>0</v>
      </c>
      <c r="H64" s="114" t="n">
        <f aca="false">IF(Need_1&lt;&gt;"","",IF(I63=1,IF(Withdrawal_Timing="Start of year",(H63-C63)*(1+DD_Growth),H63*(1+DD_Growth)-C63),0))</f>
        <v>187768.988738829</v>
      </c>
      <c r="I64" s="113" t="n">
        <f aca="false">IF(Need_1&lt;&gt;"","",IF(Withdrawal_Timing="Start of year",IF(H64&gt;=C64,1,0),IF(H64*(1+DD_Growth)&gt;=C64,1,0)))</f>
        <v>1</v>
      </c>
    </row>
    <row r="65" customFormat="false" ht="15" hidden="false" customHeight="true" outlineLevel="0" collapsed="false">
      <c r="B65" s="113" t="n">
        <v>33</v>
      </c>
      <c r="C65" s="114" t="n">
        <f aca="false">IF(Need_1&lt;&gt;"","",C64*(1+Inflation_Choice))</f>
        <v>37690.8118420226</v>
      </c>
      <c r="D65" s="114" t="n">
        <f aca="false">IF(Need_1&lt;&gt;"","",IF(E64=1,IF(Withdrawal_Timing="Start of year",(D64-C64)*(1+DD_Cautious),D64*(1+DD_Cautious)-C64),0))</f>
        <v>0</v>
      </c>
      <c r="E65" s="113" t="n">
        <f aca="false">IF(Need_1&lt;&gt;"","",IF(Withdrawal_Timing="Start of year",IF(D65&gt;=C65,1,0),IF(D65*(1+DD_Cautious)&gt;=C65,1,0)))</f>
        <v>0</v>
      </c>
      <c r="F65" s="114" t="n">
        <f aca="false">IF(Need_1&lt;&gt;"","",IF(G64=1,IF(Withdrawal_Timing="Start of year",(F64-C64)*(1+DD_Balanced),F64*(1+DD_Balanced)-C64),0))</f>
        <v>0</v>
      </c>
      <c r="G65" s="113" t="n">
        <f aca="false">IF(Need_1&lt;&gt;"","",IF(Withdrawal_Timing="Start of year",IF(F65&gt;=C65,1,0),IF(F65*(1+DD_Balanced)&gt;=C65,1,0)))</f>
        <v>0</v>
      </c>
      <c r="H65" s="114" t="n">
        <f aca="false">IF(Need_1&lt;&gt;"","",IF(I64=1,IF(Withdrawal_Timing="Start of year",(H64-C64)*(1+DD_Growth),H64*(1+DD_Growth)-C64),0))</f>
        <v>159866.245168507</v>
      </c>
      <c r="I65" s="113" t="n">
        <f aca="false">IF(Need_1&lt;&gt;"","",IF(Withdrawal_Timing="Start of year",IF(H65&gt;=C65,1,0),IF(H65*(1+DD_Growth)&gt;=C65,1,0)))</f>
        <v>1</v>
      </c>
    </row>
    <row r="66" customFormat="false" ht="15" hidden="false" customHeight="true" outlineLevel="0" collapsed="false">
      <c r="B66" s="113" t="n">
        <v>34</v>
      </c>
      <c r="C66" s="114" t="n">
        <f aca="false">IF(Need_1&lt;&gt;"","",C65*(1+Inflation_Choice))</f>
        <v>38444.628078863</v>
      </c>
      <c r="D66" s="114" t="n">
        <f aca="false">IF(Need_1&lt;&gt;"","",IF(E65=1,IF(Withdrawal_Timing="Start of year",(D65-C65)*(1+DD_Cautious),D65*(1+DD_Cautious)-C65),0))</f>
        <v>0</v>
      </c>
      <c r="E66" s="113" t="n">
        <f aca="false">IF(Need_1&lt;&gt;"","",IF(Withdrawal_Timing="Start of year",IF(D66&gt;=C66,1,0),IF(D66*(1+DD_Cautious)&gt;=C66,1,0)))</f>
        <v>0</v>
      </c>
      <c r="F66" s="114" t="n">
        <f aca="false">IF(Need_1&lt;&gt;"","",IF(G65=1,IF(Withdrawal_Timing="Start of year",(F65-C65)*(1+DD_Balanced),F65*(1+DD_Balanced)-C65),0))</f>
        <v>0</v>
      </c>
      <c r="G66" s="113" t="n">
        <f aca="false">IF(Need_1&lt;&gt;"","",IF(Withdrawal_Timing="Start of year",IF(F66&gt;=C66,1,0),IF(F66*(1+DD_Balanced)&gt;=C66,1,0)))</f>
        <v>0</v>
      </c>
      <c r="H66" s="114" t="n">
        <f aca="false">IF(Need_1&lt;&gt;"","",IF(I65=1,IF(Withdrawal_Timing="Start of year",(H65-C65)*(1+DD_Growth),H65*(1+DD_Growth)-C65),0))</f>
        <v>129505.959326074</v>
      </c>
      <c r="I66" s="113" t="n">
        <f aca="false">IF(Need_1&lt;&gt;"","",IF(Withdrawal_Timing="Start of year",IF(H66&gt;=C66,1,0),IF(H66*(1+DD_Growth)&gt;=C66,1,0)))</f>
        <v>1</v>
      </c>
    </row>
    <row r="67" customFormat="false" ht="15" hidden="false" customHeight="true" outlineLevel="0" collapsed="false">
      <c r="B67" s="113" t="n">
        <v>35</v>
      </c>
      <c r="C67" s="114" t="n">
        <f aca="false">IF(Need_1&lt;&gt;"","",C66*(1+Inflation_Choice))</f>
        <v>39213.5206404403</v>
      </c>
      <c r="D67" s="114" t="n">
        <f aca="false">IF(Need_1&lt;&gt;"","",IF(E66=1,IF(Withdrawal_Timing="Start of year",(D66-C66)*(1+DD_Cautious),D66*(1+DD_Cautious)-C66),0))</f>
        <v>0</v>
      </c>
      <c r="E67" s="113" t="n">
        <f aca="false">IF(Need_1&lt;&gt;"","",IF(Withdrawal_Timing="Start of year",IF(D67&gt;=C67,1,0),IF(D67*(1+DD_Cautious)&gt;=C67,1,0)))</f>
        <v>0</v>
      </c>
      <c r="F67" s="114" t="n">
        <f aca="false">IF(Need_1&lt;&gt;"","",IF(G66=1,IF(Withdrawal_Timing="Start of year",(F66-C66)*(1+DD_Balanced),F66*(1+DD_Balanced)-C66),0))</f>
        <v>0</v>
      </c>
      <c r="G67" s="113" t="n">
        <f aca="false">IF(Need_1&lt;&gt;"","",IF(Withdrawal_Timing="Start of year",IF(F67&gt;=C67,1,0),IF(F67*(1+DD_Balanced)&gt;=C67,1,0)))</f>
        <v>0</v>
      </c>
      <c r="H67" s="114" t="n">
        <f aca="false">IF(Need_1&lt;&gt;"","",IF(I66=1,IF(Withdrawal_Timing="Start of year",(H66-C66)*(1+DD_Growth),H66*(1+DD_Growth)-C66),0))</f>
        <v>96525.0111220434</v>
      </c>
      <c r="I67" s="113" t="n">
        <f aca="false">IF(Need_1&lt;&gt;"","",IF(Withdrawal_Timing="Start of year",IF(H67&gt;=C67,1,0),IF(H67*(1+DD_Growth)&gt;=C67,1,0)))</f>
        <v>1</v>
      </c>
    </row>
    <row r="68" customFormat="false" ht="15" hidden="false" customHeight="true" outlineLevel="0" collapsed="false">
      <c r="B68" s="113" t="n">
        <v>36</v>
      </c>
      <c r="C68" s="114" t="n">
        <f aca="false">IF(Need_1&lt;&gt;"","",C67*(1+Inflation_Choice))</f>
        <v>39997.7910532491</v>
      </c>
      <c r="D68" s="114" t="n">
        <f aca="false">IF(Need_1&lt;&gt;"","",IF(E67=1,IF(Withdrawal_Timing="Start of year",(D67-C67)*(1+DD_Cautious),D67*(1+DD_Cautious)-C67),0))</f>
        <v>0</v>
      </c>
      <c r="E68" s="113" t="n">
        <f aca="false">IF(Need_1&lt;&gt;"","",IF(Withdrawal_Timing="Start of year",IF(D68&gt;=C68,1,0),IF(D68*(1+DD_Cautious)&gt;=C68,1,0)))</f>
        <v>0</v>
      </c>
      <c r="F68" s="114" t="n">
        <f aca="false">IF(Need_1&lt;&gt;"","",IF(G67=1,IF(Withdrawal_Timing="Start of year",(F67-C67)*(1+DD_Balanced),F67*(1+DD_Balanced)-C67),0))</f>
        <v>0</v>
      </c>
      <c r="G68" s="113" t="n">
        <f aca="false">IF(Need_1&lt;&gt;"","",IF(Withdrawal_Timing="Start of year",IF(F68&gt;=C68,1,0),IF(F68*(1+DD_Balanced)&gt;=C68,1,0)))</f>
        <v>0</v>
      </c>
      <c r="H68" s="114" t="n">
        <f aca="false">IF(Need_1&lt;&gt;"","",IF(I67=1,IF(Withdrawal_Timing="Start of year",(H67-C67)*(1+DD_Growth),H67*(1+DD_Growth)-C67),0))</f>
        <v>60750.1799104993</v>
      </c>
      <c r="I68" s="113" t="n">
        <f aca="false">IF(Need_1&lt;&gt;"","",IF(Withdrawal_Timing="Start of year",IF(H68&gt;=C68,1,0),IF(H68*(1+DD_Growth)&gt;=C68,1,0)))</f>
        <v>1</v>
      </c>
    </row>
    <row r="69" customFormat="false" ht="15" hidden="false" customHeight="true" outlineLevel="0" collapsed="false">
      <c r="B69" s="113" t="n">
        <v>37</v>
      </c>
      <c r="C69" s="114" t="n">
        <f aca="false">IF(Need_1&lt;&gt;"","",C68*(1+Inflation_Choice))</f>
        <v>40797.7468743141</v>
      </c>
      <c r="D69" s="114" t="n">
        <f aca="false">IF(Need_1&lt;&gt;"","",IF(E68=1,IF(Withdrawal_Timing="Start of year",(D68-C68)*(1+DD_Cautious),D68*(1+DD_Cautious)-C68),0))</f>
        <v>0</v>
      </c>
      <c r="E69" s="113" t="n">
        <f aca="false">IF(Need_1&lt;&gt;"","",IF(Withdrawal_Timing="Start of year",IF(D69&gt;=C69,1,0),IF(D69*(1+DD_Cautious)&gt;=C69,1,0)))</f>
        <v>0</v>
      </c>
      <c r="F69" s="114" t="n">
        <f aca="false">IF(Need_1&lt;&gt;"","",IF(G68=1,IF(Withdrawal_Timing="Start of year",(F68-C68)*(1+DD_Balanced),F68*(1+DD_Balanced)-C68),0))</f>
        <v>0</v>
      </c>
      <c r="G69" s="113" t="n">
        <f aca="false">IF(Need_1&lt;&gt;"","",IF(Withdrawal_Timing="Start of year",IF(F69&gt;=C69,1,0),IF(F69*(1+DD_Balanced)&gt;=C69,1,0)))</f>
        <v>0</v>
      </c>
      <c r="H69" s="114" t="n">
        <f aca="false">IF(Need_1&lt;&gt;"","",IF(I68=1,IF(Withdrawal_Timing="Start of year",(H68-C68)*(1+DD_Growth),H68*(1+DD_Growth)-C68),0))</f>
        <v>21997.5321886852</v>
      </c>
      <c r="I69" s="113" t="n">
        <f aca="false">IF(Need_1&lt;&gt;"","",IF(Withdrawal_Timing="Start of year",IF(H69&gt;=C69,1,0),IF(H69*(1+DD_Growth)&gt;=C69,1,0)))</f>
        <v>0</v>
      </c>
    </row>
    <row r="70" customFormat="false" ht="15" hidden="false" customHeight="true" outlineLevel="0" collapsed="false">
      <c r="B70" s="113" t="n">
        <v>38</v>
      </c>
      <c r="C70" s="114" t="n">
        <f aca="false">IF(Need_1&lt;&gt;"","",C69*(1+Inflation_Choice))</f>
        <v>41613.7018118004</v>
      </c>
      <c r="D70" s="114" t="n">
        <f aca="false">IF(Need_1&lt;&gt;"","",IF(E69=1,IF(Withdrawal_Timing="Start of year",(D69-C69)*(1+DD_Cautious),D69*(1+DD_Cautious)-C69),0))</f>
        <v>0</v>
      </c>
      <c r="E70" s="113" t="n">
        <f aca="false">IF(Need_1&lt;&gt;"","",IF(Withdrawal_Timing="Start of year",IF(D70&gt;=C70,1,0),IF(D70*(1+DD_Cautious)&gt;=C70,1,0)))</f>
        <v>0</v>
      </c>
      <c r="F70" s="114" t="n">
        <f aca="false">IF(Need_1&lt;&gt;"","",IF(G69=1,IF(Withdrawal_Timing="Start of year",(F69-C69)*(1+DD_Balanced),F69*(1+DD_Balanced)-C69),0))</f>
        <v>0</v>
      </c>
      <c r="G70" s="113" t="n">
        <f aca="false">IF(Need_1&lt;&gt;"","",IF(Withdrawal_Timing="Start of year",IF(F70&gt;=C70,1,0),IF(F70*(1+DD_Balanced)&gt;=C70,1,0)))</f>
        <v>0</v>
      </c>
      <c r="H70" s="114" t="n">
        <f aca="false">IF(Need_1&lt;&gt;"","",IF(I69=1,IF(Withdrawal_Timing="Start of year",(H69-C69)*(1+DD_Growth),H69*(1+DD_Growth)-C69),0))</f>
        <v>0</v>
      </c>
      <c r="I70" s="113" t="n">
        <f aca="false">IF(Need_1&lt;&gt;"","",IF(Withdrawal_Timing="Start of year",IF(H70&gt;=C70,1,0),IF(H70*(1+DD_Growth)&gt;=C70,1,0)))</f>
        <v>0</v>
      </c>
    </row>
    <row r="71" customFormat="false" ht="15" hidden="false" customHeight="true" outlineLevel="0" collapsed="false">
      <c r="B71" s="113" t="n">
        <v>39</v>
      </c>
      <c r="C71" s="114" t="n">
        <f aca="false">IF(Need_1&lt;&gt;"","",C70*(1+Inflation_Choice))</f>
        <v>42445.9758480364</v>
      </c>
      <c r="D71" s="114" t="n">
        <f aca="false">IF(Need_1&lt;&gt;"","",IF(E70=1,IF(Withdrawal_Timing="Start of year",(D70-C70)*(1+DD_Cautious),D70*(1+DD_Cautious)-C70),0))</f>
        <v>0</v>
      </c>
      <c r="E71" s="113" t="n">
        <f aca="false">IF(Need_1&lt;&gt;"","",IF(Withdrawal_Timing="Start of year",IF(D71&gt;=C71,1,0),IF(D71*(1+DD_Cautious)&gt;=C71,1,0)))</f>
        <v>0</v>
      </c>
      <c r="F71" s="114" t="n">
        <f aca="false">IF(Need_1&lt;&gt;"","",IF(G70=1,IF(Withdrawal_Timing="Start of year",(F70-C70)*(1+DD_Balanced),F70*(1+DD_Balanced)-C70),0))</f>
        <v>0</v>
      </c>
      <c r="G71" s="113" t="n">
        <f aca="false">IF(Need_1&lt;&gt;"","",IF(Withdrawal_Timing="Start of year",IF(F71&gt;=C71,1,0),IF(F71*(1+DD_Balanced)&gt;=C71,1,0)))</f>
        <v>0</v>
      </c>
      <c r="H71" s="114" t="n">
        <f aca="false">IF(Need_1&lt;&gt;"","",IF(I70=1,IF(Withdrawal_Timing="Start of year",(H70-C70)*(1+DD_Growth),H70*(1+DD_Growth)-C70),0))</f>
        <v>0</v>
      </c>
      <c r="I71" s="113" t="n">
        <f aca="false">IF(Need_1&lt;&gt;"","",IF(Withdrawal_Timing="Start of year",IF(H71&gt;=C71,1,0),IF(H71*(1+DD_Growth)&gt;=C71,1,0)))</f>
        <v>0</v>
      </c>
    </row>
    <row r="72" customFormat="false" ht="15" hidden="false" customHeight="true" outlineLevel="0" collapsed="false">
      <c r="B72" s="113" t="n">
        <v>40</v>
      </c>
      <c r="C72" s="114" t="n">
        <f aca="false">IF(Need_1&lt;&gt;"","",C71*(1+Inflation_Choice))</f>
        <v>43294.8953649971</v>
      </c>
      <c r="D72" s="114" t="n">
        <f aca="false">IF(Need_1&lt;&gt;"","",IF(E71=1,IF(Withdrawal_Timing="Start of year",(D71-C71)*(1+DD_Cautious),D71*(1+DD_Cautious)-C71),0))</f>
        <v>0</v>
      </c>
      <c r="E72" s="113" t="n">
        <f aca="false">IF(Need_1&lt;&gt;"","",IF(Withdrawal_Timing="Start of year",IF(D72&gt;=C72,1,0),IF(D72*(1+DD_Cautious)&gt;=C72,1,0)))</f>
        <v>0</v>
      </c>
      <c r="F72" s="114" t="n">
        <f aca="false">IF(Need_1&lt;&gt;"","",IF(G71=1,IF(Withdrawal_Timing="Start of year",(F71-C71)*(1+DD_Balanced),F71*(1+DD_Balanced)-C71),0))</f>
        <v>0</v>
      </c>
      <c r="G72" s="113" t="n">
        <f aca="false">IF(Need_1&lt;&gt;"","",IF(Withdrawal_Timing="Start of year",IF(F72&gt;=C72,1,0),IF(F72*(1+DD_Balanced)&gt;=C72,1,0)))</f>
        <v>0</v>
      </c>
      <c r="H72" s="114" t="n">
        <f aca="false">IF(Need_1&lt;&gt;"","",IF(I71=1,IF(Withdrawal_Timing="Start of year",(H71-C71)*(1+DD_Growth),H71*(1+DD_Growth)-C71),0))</f>
        <v>0</v>
      </c>
      <c r="I72" s="113" t="n">
        <f aca="false">IF(Need_1&lt;&gt;"","",IF(Withdrawal_Timing="Start of year",IF(H72&gt;=C72,1,0),IF(H72*(1+DD_Growth)&gt;=C72,1,0)))</f>
        <v>0</v>
      </c>
    </row>
    <row r="73" customFormat="false" ht="15" hidden="false" customHeight="true" outlineLevel="0" collapsed="false">
      <c r="B73" s="113" t="n">
        <v>41</v>
      </c>
      <c r="C73" s="114" t="n">
        <f aca="false">IF(Need_1&lt;&gt;"","",C72*(1+Inflation_Choice))</f>
        <v>44160.7932722971</v>
      </c>
      <c r="D73" s="114" t="n">
        <f aca="false">IF(Need_1&lt;&gt;"","",IF(E72=1,IF(Withdrawal_Timing="Start of year",(D72-C72)*(1+DD_Cautious),D72*(1+DD_Cautious)-C72),0))</f>
        <v>0</v>
      </c>
      <c r="E73" s="113" t="n">
        <f aca="false">IF(Need_1&lt;&gt;"","",IF(Withdrawal_Timing="Start of year",IF(D73&gt;=C73,1,0),IF(D73*(1+DD_Cautious)&gt;=C73,1,0)))</f>
        <v>0</v>
      </c>
      <c r="F73" s="114" t="n">
        <f aca="false">IF(Need_1&lt;&gt;"","",IF(G72=1,IF(Withdrawal_Timing="Start of year",(F72-C72)*(1+DD_Balanced),F72*(1+DD_Balanced)-C72),0))</f>
        <v>0</v>
      </c>
      <c r="G73" s="113" t="n">
        <f aca="false">IF(Need_1&lt;&gt;"","",IF(Withdrawal_Timing="Start of year",IF(F73&gt;=C73,1,0),IF(F73*(1+DD_Balanced)&gt;=C73,1,0)))</f>
        <v>0</v>
      </c>
      <c r="H73" s="114" t="n">
        <f aca="false">IF(Need_1&lt;&gt;"","",IF(I72=1,IF(Withdrawal_Timing="Start of year",(H72-C72)*(1+DD_Growth),H72*(1+DD_Growth)-C72),0))</f>
        <v>0</v>
      </c>
      <c r="I73" s="113" t="n">
        <f aca="false">IF(Need_1&lt;&gt;"","",IF(Withdrawal_Timing="Start of year",IF(H73&gt;=C73,1,0),IF(H73*(1+DD_Growth)&gt;=C73,1,0)))</f>
        <v>0</v>
      </c>
    </row>
    <row r="74" customFormat="false" ht="15" hidden="false" customHeight="true" outlineLevel="0" collapsed="false">
      <c r="B74" s="113" t="n">
        <v>42</v>
      </c>
      <c r="C74" s="114" t="n">
        <f aca="false">IF(Need_1&lt;&gt;"","",C73*(1+Inflation_Choice))</f>
        <v>45044.009137743</v>
      </c>
      <c r="D74" s="114" t="n">
        <f aca="false">IF(Need_1&lt;&gt;"","",IF(E73=1,IF(Withdrawal_Timing="Start of year",(D73-C73)*(1+DD_Cautious),D73*(1+DD_Cautious)-C73),0))</f>
        <v>0</v>
      </c>
      <c r="E74" s="113" t="n">
        <f aca="false">IF(Need_1&lt;&gt;"","",IF(Withdrawal_Timing="Start of year",IF(D74&gt;=C74,1,0),IF(D74*(1+DD_Cautious)&gt;=C74,1,0)))</f>
        <v>0</v>
      </c>
      <c r="F74" s="114" t="n">
        <f aca="false">IF(Need_1&lt;&gt;"","",IF(G73=1,IF(Withdrawal_Timing="Start of year",(F73-C73)*(1+DD_Balanced),F73*(1+DD_Balanced)-C73),0))</f>
        <v>0</v>
      </c>
      <c r="G74" s="113" t="n">
        <f aca="false">IF(Need_1&lt;&gt;"","",IF(Withdrawal_Timing="Start of year",IF(F74&gt;=C74,1,0),IF(F74*(1+DD_Balanced)&gt;=C74,1,0)))</f>
        <v>0</v>
      </c>
      <c r="H74" s="114" t="n">
        <f aca="false">IF(Need_1&lt;&gt;"","",IF(I73=1,IF(Withdrawal_Timing="Start of year",(H73-C73)*(1+DD_Growth),H73*(1+DD_Growth)-C73),0))</f>
        <v>0</v>
      </c>
      <c r="I74" s="113" t="n">
        <f aca="false">IF(Need_1&lt;&gt;"","",IF(Withdrawal_Timing="Start of year",IF(H74&gt;=C74,1,0),IF(H74*(1+DD_Growth)&gt;=C74,1,0)))</f>
        <v>0</v>
      </c>
    </row>
    <row r="75" customFormat="false" ht="15" hidden="false" customHeight="true" outlineLevel="0" collapsed="false">
      <c r="B75" s="113" t="n">
        <v>43</v>
      </c>
      <c r="C75" s="114" t="n">
        <f aca="false">IF(Need_1&lt;&gt;"","",C74*(1+Inflation_Choice))</f>
        <v>45944.8893204979</v>
      </c>
      <c r="D75" s="114" t="n">
        <f aca="false">IF(Need_1&lt;&gt;"","",IF(E74=1,IF(Withdrawal_Timing="Start of year",(D74-C74)*(1+DD_Cautious),D74*(1+DD_Cautious)-C74),0))</f>
        <v>0</v>
      </c>
      <c r="E75" s="113" t="n">
        <f aca="false">IF(Need_1&lt;&gt;"","",IF(Withdrawal_Timing="Start of year",IF(D75&gt;=C75,1,0),IF(D75*(1+DD_Cautious)&gt;=C75,1,0)))</f>
        <v>0</v>
      </c>
      <c r="F75" s="114" t="n">
        <f aca="false">IF(Need_1&lt;&gt;"","",IF(G74=1,IF(Withdrawal_Timing="Start of year",(F74-C74)*(1+DD_Balanced),F74*(1+DD_Balanced)-C74),0))</f>
        <v>0</v>
      </c>
      <c r="G75" s="113" t="n">
        <f aca="false">IF(Need_1&lt;&gt;"","",IF(Withdrawal_Timing="Start of year",IF(F75&gt;=C75,1,0),IF(F75*(1+DD_Balanced)&gt;=C75,1,0)))</f>
        <v>0</v>
      </c>
      <c r="H75" s="114" t="n">
        <f aca="false">IF(Need_1&lt;&gt;"","",IF(I74=1,IF(Withdrawal_Timing="Start of year",(H74-C74)*(1+DD_Growth),H74*(1+DD_Growth)-C74),0))</f>
        <v>0</v>
      </c>
      <c r="I75" s="113" t="n">
        <f aca="false">IF(Need_1&lt;&gt;"","",IF(Withdrawal_Timing="Start of year",IF(H75&gt;=C75,1,0),IF(H75*(1+DD_Growth)&gt;=C75,1,0)))</f>
        <v>0</v>
      </c>
    </row>
    <row r="76" customFormat="false" ht="15" hidden="false" customHeight="true" outlineLevel="0" collapsed="false">
      <c r="B76" s="113" t="n">
        <v>44</v>
      </c>
      <c r="C76" s="114" t="n">
        <f aca="false">IF(Need_1&lt;&gt;"","",C75*(1+Inflation_Choice))</f>
        <v>46863.7871069078</v>
      </c>
      <c r="D76" s="114" t="n">
        <f aca="false">IF(Need_1&lt;&gt;"","",IF(E75=1,IF(Withdrawal_Timing="Start of year",(D75-C75)*(1+DD_Cautious),D75*(1+DD_Cautious)-C75),0))</f>
        <v>0</v>
      </c>
      <c r="E76" s="113" t="n">
        <f aca="false">IF(Need_1&lt;&gt;"","",IF(Withdrawal_Timing="Start of year",IF(D76&gt;=C76,1,0),IF(D76*(1+DD_Cautious)&gt;=C76,1,0)))</f>
        <v>0</v>
      </c>
      <c r="F76" s="114" t="n">
        <f aca="false">IF(Need_1&lt;&gt;"","",IF(G75=1,IF(Withdrawal_Timing="Start of year",(F75-C75)*(1+DD_Balanced),F75*(1+DD_Balanced)-C75),0))</f>
        <v>0</v>
      </c>
      <c r="G76" s="113" t="n">
        <f aca="false">IF(Need_1&lt;&gt;"","",IF(Withdrawal_Timing="Start of year",IF(F76&gt;=C76,1,0),IF(F76*(1+DD_Balanced)&gt;=C76,1,0)))</f>
        <v>0</v>
      </c>
      <c r="H76" s="114" t="n">
        <f aca="false">IF(Need_1&lt;&gt;"","",IF(I75=1,IF(Withdrawal_Timing="Start of year",(H75-C75)*(1+DD_Growth),H75*(1+DD_Growth)-C75),0))</f>
        <v>0</v>
      </c>
      <c r="I76" s="113" t="n">
        <f aca="false">IF(Need_1&lt;&gt;"","",IF(Withdrawal_Timing="Start of year",IF(H76&gt;=C76,1,0),IF(H76*(1+DD_Growth)&gt;=C76,1,0)))</f>
        <v>0</v>
      </c>
    </row>
    <row r="77" customFormat="false" ht="15" hidden="false" customHeight="true" outlineLevel="0" collapsed="false">
      <c r="B77" s="113" t="n">
        <v>45</v>
      </c>
      <c r="C77" s="114" t="n">
        <f aca="false">IF(Need_1&lt;&gt;"","",C76*(1+Inflation_Choice))</f>
        <v>47801.062849046</v>
      </c>
      <c r="D77" s="114" t="n">
        <f aca="false">IF(Need_1&lt;&gt;"","",IF(E76=1,IF(Withdrawal_Timing="Start of year",(D76-C76)*(1+DD_Cautious),D76*(1+DD_Cautious)-C76),0))</f>
        <v>0</v>
      </c>
      <c r="E77" s="113" t="n">
        <f aca="false">IF(Need_1&lt;&gt;"","",IF(Withdrawal_Timing="Start of year",IF(D77&gt;=C77,1,0),IF(D77*(1+DD_Cautious)&gt;=C77,1,0)))</f>
        <v>0</v>
      </c>
      <c r="F77" s="114" t="n">
        <f aca="false">IF(Need_1&lt;&gt;"","",IF(G76=1,IF(Withdrawal_Timing="Start of year",(F76-C76)*(1+DD_Balanced),F76*(1+DD_Balanced)-C76),0))</f>
        <v>0</v>
      </c>
      <c r="G77" s="113" t="n">
        <f aca="false">IF(Need_1&lt;&gt;"","",IF(Withdrawal_Timing="Start of year",IF(F77&gt;=C77,1,0),IF(F77*(1+DD_Balanced)&gt;=C77,1,0)))</f>
        <v>0</v>
      </c>
      <c r="H77" s="114" t="n">
        <f aca="false">IF(Need_1&lt;&gt;"","",IF(I76=1,IF(Withdrawal_Timing="Start of year",(H76-C76)*(1+DD_Growth),H76*(1+DD_Growth)-C76),0))</f>
        <v>0</v>
      </c>
      <c r="I77" s="113" t="n">
        <f aca="false">IF(Need_1&lt;&gt;"","",IF(Withdrawal_Timing="Start of year",IF(H77&gt;=C77,1,0),IF(H77*(1+DD_Growth)&gt;=C77,1,0)))</f>
        <v>0</v>
      </c>
    </row>
    <row r="78" customFormat="false" ht="15" hidden="false" customHeight="true" outlineLevel="0" collapsed="false">
      <c r="B78" s="113" t="n">
        <v>46</v>
      </c>
      <c r="C78" s="114" t="n">
        <f aca="false">IF(Need_1&lt;&gt;"","",C77*(1+Inflation_Choice))</f>
        <v>48757.0841060269</v>
      </c>
      <c r="D78" s="114" t="n">
        <f aca="false">IF(Need_1&lt;&gt;"","",IF(E77=1,IF(Withdrawal_Timing="Start of year",(D77-C77)*(1+DD_Cautious),D77*(1+DD_Cautious)-C77),0))</f>
        <v>0</v>
      </c>
      <c r="E78" s="113" t="n">
        <f aca="false">IF(Need_1&lt;&gt;"","",IF(Withdrawal_Timing="Start of year",IF(D78&gt;=C78,1,0),IF(D78*(1+DD_Cautious)&gt;=C78,1,0)))</f>
        <v>0</v>
      </c>
      <c r="F78" s="114" t="n">
        <f aca="false">IF(Need_1&lt;&gt;"","",IF(G77=1,IF(Withdrawal_Timing="Start of year",(F77-C77)*(1+DD_Balanced),F77*(1+DD_Balanced)-C77),0))</f>
        <v>0</v>
      </c>
      <c r="G78" s="113" t="n">
        <f aca="false">IF(Need_1&lt;&gt;"","",IF(Withdrawal_Timing="Start of year",IF(F78&gt;=C78,1,0),IF(F78*(1+DD_Balanced)&gt;=C78,1,0)))</f>
        <v>0</v>
      </c>
      <c r="H78" s="114" t="n">
        <f aca="false">IF(Need_1&lt;&gt;"","",IF(I77=1,IF(Withdrawal_Timing="Start of year",(H77-C77)*(1+DD_Growth),H77*(1+DD_Growth)-C77),0))</f>
        <v>0</v>
      </c>
      <c r="I78" s="113" t="n">
        <f aca="false">IF(Need_1&lt;&gt;"","",IF(Withdrawal_Timing="Start of year",IF(H78&gt;=C78,1,0),IF(H78*(1+DD_Growth)&gt;=C78,1,0)))</f>
        <v>0</v>
      </c>
    </row>
    <row r="79" customFormat="false" ht="15" hidden="false" customHeight="true" outlineLevel="0" collapsed="false">
      <c r="B79" s="113" t="n">
        <v>47</v>
      </c>
      <c r="C79" s="114" t="n">
        <f aca="false">IF(Need_1&lt;&gt;"","",C78*(1+Inflation_Choice))</f>
        <v>49732.2257881474</v>
      </c>
      <c r="D79" s="114" t="n">
        <f aca="false">IF(Need_1&lt;&gt;"","",IF(E78=1,IF(Withdrawal_Timing="Start of year",(D78-C78)*(1+DD_Cautious),D78*(1+DD_Cautious)-C78),0))</f>
        <v>0</v>
      </c>
      <c r="E79" s="113" t="n">
        <f aca="false">IF(Need_1&lt;&gt;"","",IF(Withdrawal_Timing="Start of year",IF(D79&gt;=C79,1,0),IF(D79*(1+DD_Cautious)&gt;=C79,1,0)))</f>
        <v>0</v>
      </c>
      <c r="F79" s="114" t="n">
        <f aca="false">IF(Need_1&lt;&gt;"","",IF(G78=1,IF(Withdrawal_Timing="Start of year",(F78-C78)*(1+DD_Balanced),F78*(1+DD_Balanced)-C78),0))</f>
        <v>0</v>
      </c>
      <c r="G79" s="113" t="n">
        <f aca="false">IF(Need_1&lt;&gt;"","",IF(Withdrawal_Timing="Start of year",IF(F79&gt;=C79,1,0),IF(F79*(1+DD_Balanced)&gt;=C79,1,0)))</f>
        <v>0</v>
      </c>
      <c r="H79" s="114" t="n">
        <f aca="false">IF(Need_1&lt;&gt;"","",IF(I78=1,IF(Withdrawal_Timing="Start of year",(H78-C78)*(1+DD_Growth),H78*(1+DD_Growth)-C78),0))</f>
        <v>0</v>
      </c>
      <c r="I79" s="113" t="n">
        <f aca="false">IF(Need_1&lt;&gt;"","",IF(Withdrawal_Timing="Start of year",IF(H79&gt;=C79,1,0),IF(H79*(1+DD_Growth)&gt;=C79,1,0)))</f>
        <v>0</v>
      </c>
    </row>
    <row r="80" customFormat="false" ht="15" hidden="false" customHeight="true" outlineLevel="0" collapsed="false">
      <c r="B80" s="113" t="n">
        <v>48</v>
      </c>
      <c r="C80" s="114" t="n">
        <f aca="false">IF(Need_1&lt;&gt;"","",C79*(1+Inflation_Choice))</f>
        <v>50726.8703039104</v>
      </c>
      <c r="D80" s="114" t="n">
        <f aca="false">IF(Need_1&lt;&gt;"","",IF(E79=1,IF(Withdrawal_Timing="Start of year",(D79-C79)*(1+DD_Cautious),D79*(1+DD_Cautious)-C79),0))</f>
        <v>0</v>
      </c>
      <c r="E80" s="113" t="n">
        <f aca="false">IF(Need_1&lt;&gt;"","",IF(Withdrawal_Timing="Start of year",IF(D80&gt;=C80,1,0),IF(D80*(1+DD_Cautious)&gt;=C80,1,0)))</f>
        <v>0</v>
      </c>
      <c r="F80" s="114" t="n">
        <f aca="false">IF(Need_1&lt;&gt;"","",IF(G79=1,IF(Withdrawal_Timing="Start of year",(F79-C79)*(1+DD_Balanced),F79*(1+DD_Balanced)-C79),0))</f>
        <v>0</v>
      </c>
      <c r="G80" s="113" t="n">
        <f aca="false">IF(Need_1&lt;&gt;"","",IF(Withdrawal_Timing="Start of year",IF(F80&gt;=C80,1,0),IF(F80*(1+DD_Balanced)&gt;=C80,1,0)))</f>
        <v>0</v>
      </c>
      <c r="H80" s="114" t="n">
        <f aca="false">IF(Need_1&lt;&gt;"","",IF(I79=1,IF(Withdrawal_Timing="Start of year",(H79-C79)*(1+DD_Growth),H79*(1+DD_Growth)-C79),0))</f>
        <v>0</v>
      </c>
      <c r="I80" s="113" t="n">
        <f aca="false">IF(Need_1&lt;&gt;"","",IF(Withdrawal_Timing="Start of year",IF(H80&gt;=C80,1,0),IF(H80*(1+DD_Growth)&gt;=C80,1,0)))</f>
        <v>0</v>
      </c>
    </row>
    <row r="81" customFormat="false" ht="15" hidden="false" customHeight="true" outlineLevel="0" collapsed="false">
      <c r="B81" s="113" t="n">
        <v>49</v>
      </c>
      <c r="C81" s="114" t="n">
        <f aca="false">IF(Need_1&lt;&gt;"","",C80*(1+Inflation_Choice))</f>
        <v>51741.4077099886</v>
      </c>
      <c r="D81" s="114" t="n">
        <f aca="false">IF(Need_1&lt;&gt;"","",IF(E80=1,IF(Withdrawal_Timing="Start of year",(D80-C80)*(1+DD_Cautious),D80*(1+DD_Cautious)-C80),0))</f>
        <v>0</v>
      </c>
      <c r="E81" s="113" t="n">
        <f aca="false">IF(Need_1&lt;&gt;"","",IF(Withdrawal_Timing="Start of year",IF(D81&gt;=C81,1,0),IF(D81*(1+DD_Cautious)&gt;=C81,1,0)))</f>
        <v>0</v>
      </c>
      <c r="F81" s="114" t="n">
        <f aca="false">IF(Need_1&lt;&gt;"","",IF(G80=1,IF(Withdrawal_Timing="Start of year",(F80-C80)*(1+DD_Balanced),F80*(1+DD_Balanced)-C80),0))</f>
        <v>0</v>
      </c>
      <c r="G81" s="113" t="n">
        <f aca="false">IF(Need_1&lt;&gt;"","",IF(Withdrawal_Timing="Start of year",IF(F81&gt;=C81,1,0),IF(F81*(1+DD_Balanced)&gt;=C81,1,0)))</f>
        <v>0</v>
      </c>
      <c r="H81" s="114" t="n">
        <f aca="false">IF(Need_1&lt;&gt;"","",IF(I80=1,IF(Withdrawal_Timing="Start of year",(H80-C80)*(1+DD_Growth),H80*(1+DD_Growth)-C80),0))</f>
        <v>0</v>
      </c>
      <c r="I81" s="113" t="n">
        <f aca="false">IF(Need_1&lt;&gt;"","",IF(Withdrawal_Timing="Start of year",IF(H81&gt;=C81,1,0),IF(H81*(1+DD_Growth)&gt;=C81,1,0)))</f>
        <v>0</v>
      </c>
    </row>
    <row r="82" customFormat="false" ht="15" hidden="false" customHeight="true" outlineLevel="0" collapsed="false">
      <c r="B82" s="113" t="n">
        <v>50</v>
      </c>
      <c r="C82" s="114" t="n">
        <f aca="false">IF(Need_1&lt;&gt;"","",C81*(1+Inflation_Choice))</f>
        <v>52776.2358641884</v>
      </c>
      <c r="D82" s="114" t="n">
        <f aca="false">IF(Need_1&lt;&gt;"","",IF(E81=1,IF(Withdrawal_Timing="Start of year",(D81-C81)*(1+DD_Cautious),D81*(1+DD_Cautious)-C81),0))</f>
        <v>0</v>
      </c>
      <c r="E82" s="113" t="n">
        <f aca="false">IF(Need_1&lt;&gt;"","",IF(Withdrawal_Timing="Start of year",IF(D82&gt;=C82,1,0),IF(D82*(1+DD_Cautious)&gt;=C82,1,0)))</f>
        <v>0</v>
      </c>
      <c r="F82" s="114" t="n">
        <f aca="false">IF(Need_1&lt;&gt;"","",IF(G81=1,IF(Withdrawal_Timing="Start of year",(F81-C81)*(1+DD_Balanced),F81*(1+DD_Balanced)-C81),0))</f>
        <v>0</v>
      </c>
      <c r="G82" s="113" t="n">
        <f aca="false">IF(Need_1&lt;&gt;"","",IF(Withdrawal_Timing="Start of year",IF(F82&gt;=C82,1,0),IF(F82*(1+DD_Balanced)&gt;=C82,1,0)))</f>
        <v>0</v>
      </c>
      <c r="H82" s="114" t="n">
        <f aca="false">IF(Need_1&lt;&gt;"","",IF(I81=1,IF(Withdrawal_Timing="Start of year",(H81-C81)*(1+DD_Growth),H81*(1+DD_Growth)-C81),0))</f>
        <v>0</v>
      </c>
      <c r="I82" s="113" t="n">
        <f aca="false">IF(Need_1&lt;&gt;"","",IF(Withdrawal_Timing="Start of year",IF(H82&gt;=C82,1,0),IF(H82*(1+DD_Growth)&gt;=C82,1,0)))</f>
        <v>0</v>
      </c>
    </row>
    <row r="83" customFormat="false" ht="15" hidden="false" customHeight="true" outlineLevel="0" collapsed="false">
      <c r="B83" s="113" t="n">
        <v>51</v>
      </c>
      <c r="C83" s="114" t="n">
        <f aca="false">IF(Need_1&lt;&gt;"","",C82*(1+Inflation_Choice))</f>
        <v>53831.7605814721</v>
      </c>
      <c r="D83" s="114" t="n">
        <f aca="false">IF(Need_1&lt;&gt;"","",IF(E82=1,IF(Withdrawal_Timing="Start of year",(D82-C82)*(1+DD_Cautious),D82*(1+DD_Cautious)-C82),0))</f>
        <v>0</v>
      </c>
      <c r="E83" s="113" t="n">
        <f aca="false">IF(Need_1&lt;&gt;"","",IF(Withdrawal_Timing="Start of year",IF(D83&gt;=C83,1,0),IF(D83*(1+DD_Cautious)&gt;=C83,1,0)))</f>
        <v>0</v>
      </c>
      <c r="F83" s="114" t="n">
        <f aca="false">IF(Need_1&lt;&gt;"","",IF(G82=1,IF(Withdrawal_Timing="Start of year",(F82-C82)*(1+DD_Balanced),F82*(1+DD_Balanced)-C82),0))</f>
        <v>0</v>
      </c>
      <c r="G83" s="113" t="n">
        <f aca="false">IF(Need_1&lt;&gt;"","",IF(Withdrawal_Timing="Start of year",IF(F83&gt;=C83,1,0),IF(F83*(1+DD_Balanced)&gt;=C83,1,0)))</f>
        <v>0</v>
      </c>
      <c r="H83" s="114" t="n">
        <f aca="false">IF(Need_1&lt;&gt;"","",IF(I82=1,IF(Withdrawal_Timing="Start of year",(H82-C82)*(1+DD_Growth),H82*(1+DD_Growth)-C82),0))</f>
        <v>0</v>
      </c>
      <c r="I83" s="113" t="n">
        <f aca="false">IF(Need_1&lt;&gt;"","",IF(Withdrawal_Timing="Start of year",IF(H83&gt;=C83,1,0),IF(H83*(1+DD_Growth)&gt;=C83,1,0)))</f>
        <v>0</v>
      </c>
    </row>
    <row r="84" customFormat="false" ht="15" hidden="false" customHeight="true" outlineLevel="0" collapsed="false">
      <c r="B84" s="113" t="n">
        <v>52</v>
      </c>
      <c r="C84" s="114" t="n">
        <f aca="false">IF(Need_1&lt;&gt;"","",C83*(1+Inflation_Choice))</f>
        <v>54908.3957931016</v>
      </c>
      <c r="D84" s="114" t="n">
        <f aca="false">IF(Need_1&lt;&gt;"","",IF(E83=1,IF(Withdrawal_Timing="Start of year",(D83-C83)*(1+DD_Cautious),D83*(1+DD_Cautious)-C83),0))</f>
        <v>0</v>
      </c>
      <c r="E84" s="113" t="n">
        <f aca="false">IF(Need_1&lt;&gt;"","",IF(Withdrawal_Timing="Start of year",IF(D84&gt;=C84,1,0),IF(D84*(1+DD_Cautious)&gt;=C84,1,0)))</f>
        <v>0</v>
      </c>
      <c r="F84" s="114" t="n">
        <f aca="false">IF(Need_1&lt;&gt;"","",IF(G83=1,IF(Withdrawal_Timing="Start of year",(F83-C83)*(1+DD_Balanced),F83*(1+DD_Balanced)-C83),0))</f>
        <v>0</v>
      </c>
      <c r="G84" s="113" t="n">
        <f aca="false">IF(Need_1&lt;&gt;"","",IF(Withdrawal_Timing="Start of year",IF(F84&gt;=C84,1,0),IF(F84*(1+DD_Balanced)&gt;=C84,1,0)))</f>
        <v>0</v>
      </c>
      <c r="H84" s="114" t="n">
        <f aca="false">IF(Need_1&lt;&gt;"","",IF(I83=1,IF(Withdrawal_Timing="Start of year",(H83-C83)*(1+DD_Growth),H83*(1+DD_Growth)-C83),0))</f>
        <v>0</v>
      </c>
      <c r="I84" s="113" t="n">
        <f aca="false">IF(Need_1&lt;&gt;"","",IF(Withdrawal_Timing="Start of year",IF(H84&gt;=C84,1,0),IF(H84*(1+DD_Growth)&gt;=C84,1,0)))</f>
        <v>0</v>
      </c>
    </row>
    <row r="85" customFormat="false" ht="15" hidden="false" customHeight="true" outlineLevel="0" collapsed="false">
      <c r="B85" s="113" t="n">
        <v>53</v>
      </c>
      <c r="C85" s="114" t="n">
        <f aca="false">IF(Need_1&lt;&gt;"","",C84*(1+Inflation_Choice))</f>
        <v>56006.5637089636</v>
      </c>
      <c r="D85" s="114" t="n">
        <f aca="false">IF(Need_1&lt;&gt;"","",IF(E84=1,IF(Withdrawal_Timing="Start of year",(D84-C84)*(1+DD_Cautious),D84*(1+DD_Cautious)-C84),0))</f>
        <v>0</v>
      </c>
      <c r="E85" s="113" t="n">
        <f aca="false">IF(Need_1&lt;&gt;"","",IF(Withdrawal_Timing="Start of year",IF(D85&gt;=C85,1,0),IF(D85*(1+DD_Cautious)&gt;=C85,1,0)))</f>
        <v>0</v>
      </c>
      <c r="F85" s="114" t="n">
        <f aca="false">IF(Need_1&lt;&gt;"","",IF(G84=1,IF(Withdrawal_Timing="Start of year",(F84-C84)*(1+DD_Balanced),F84*(1+DD_Balanced)-C84),0))</f>
        <v>0</v>
      </c>
      <c r="G85" s="113" t="n">
        <f aca="false">IF(Need_1&lt;&gt;"","",IF(Withdrawal_Timing="Start of year",IF(F85&gt;=C85,1,0),IF(F85*(1+DD_Balanced)&gt;=C85,1,0)))</f>
        <v>0</v>
      </c>
      <c r="H85" s="114" t="n">
        <f aca="false">IF(Need_1&lt;&gt;"","",IF(I84=1,IF(Withdrawal_Timing="Start of year",(H84-C84)*(1+DD_Growth),H84*(1+DD_Growth)-C84),0))</f>
        <v>0</v>
      </c>
      <c r="I85" s="113" t="n">
        <f aca="false">IF(Need_1&lt;&gt;"","",IF(Withdrawal_Timing="Start of year",IF(H85&gt;=C85,1,0),IF(H85*(1+DD_Growth)&gt;=C85,1,0)))</f>
        <v>0</v>
      </c>
    </row>
    <row r="86" customFormat="false" ht="15" hidden="false" customHeight="true" outlineLevel="0" collapsed="false">
      <c r="B86" s="113" t="n">
        <v>54</v>
      </c>
      <c r="C86" s="114" t="n">
        <f aca="false">IF(Need_1&lt;&gt;"","",C85*(1+Inflation_Choice))</f>
        <v>57126.6949831429</v>
      </c>
      <c r="D86" s="114" t="n">
        <f aca="false">IF(Need_1&lt;&gt;"","",IF(E85=1,IF(Withdrawal_Timing="Start of year",(D85-C85)*(1+DD_Cautious),D85*(1+DD_Cautious)-C85),0))</f>
        <v>0</v>
      </c>
      <c r="E86" s="113" t="n">
        <f aca="false">IF(Need_1&lt;&gt;"","",IF(Withdrawal_Timing="Start of year",IF(D86&gt;=C86,1,0),IF(D86*(1+DD_Cautious)&gt;=C86,1,0)))</f>
        <v>0</v>
      </c>
      <c r="F86" s="114" t="n">
        <f aca="false">IF(Need_1&lt;&gt;"","",IF(G85=1,IF(Withdrawal_Timing="Start of year",(F85-C85)*(1+DD_Balanced),F85*(1+DD_Balanced)-C85),0))</f>
        <v>0</v>
      </c>
      <c r="G86" s="113" t="n">
        <f aca="false">IF(Need_1&lt;&gt;"","",IF(Withdrawal_Timing="Start of year",IF(F86&gt;=C86,1,0),IF(F86*(1+DD_Balanced)&gt;=C86,1,0)))</f>
        <v>0</v>
      </c>
      <c r="H86" s="114" t="n">
        <f aca="false">IF(Need_1&lt;&gt;"","",IF(I85=1,IF(Withdrawal_Timing="Start of year",(H85-C85)*(1+DD_Growth),H85*(1+DD_Growth)-C85),0))</f>
        <v>0</v>
      </c>
      <c r="I86" s="113" t="n">
        <f aca="false">IF(Need_1&lt;&gt;"","",IF(Withdrawal_Timing="Start of year",IF(H86&gt;=C86,1,0),IF(H86*(1+DD_Growth)&gt;=C86,1,0)))</f>
        <v>0</v>
      </c>
    </row>
    <row r="87" customFormat="false" ht="15" hidden="false" customHeight="true" outlineLevel="0" collapsed="false">
      <c r="B87" s="113" t="n">
        <v>55</v>
      </c>
      <c r="C87" s="114" t="n">
        <f aca="false">IF(Need_1&lt;&gt;"","",C86*(1+Inflation_Choice))</f>
        <v>58269.2288828057</v>
      </c>
      <c r="D87" s="114" t="n">
        <f aca="false">IF(Need_1&lt;&gt;"","",IF(E86=1,IF(Withdrawal_Timing="Start of year",(D86-C86)*(1+DD_Cautious),D86*(1+DD_Cautious)-C86),0))</f>
        <v>0</v>
      </c>
      <c r="E87" s="113" t="n">
        <f aca="false">IF(Need_1&lt;&gt;"","",IF(Withdrawal_Timing="Start of year",IF(D87&gt;=C87,1,0),IF(D87*(1+DD_Cautious)&gt;=C87,1,0)))</f>
        <v>0</v>
      </c>
      <c r="F87" s="114" t="n">
        <f aca="false">IF(Need_1&lt;&gt;"","",IF(G86=1,IF(Withdrawal_Timing="Start of year",(F86-C86)*(1+DD_Balanced),F86*(1+DD_Balanced)-C86),0))</f>
        <v>0</v>
      </c>
      <c r="G87" s="113" t="n">
        <f aca="false">IF(Need_1&lt;&gt;"","",IF(Withdrawal_Timing="Start of year",IF(F87&gt;=C87,1,0),IF(F87*(1+DD_Balanced)&gt;=C87,1,0)))</f>
        <v>0</v>
      </c>
      <c r="H87" s="114" t="n">
        <f aca="false">IF(Need_1&lt;&gt;"","",IF(I86=1,IF(Withdrawal_Timing="Start of year",(H86-C86)*(1+DD_Growth),H86*(1+DD_Growth)-C86),0))</f>
        <v>0</v>
      </c>
      <c r="I87" s="113" t="n">
        <f aca="false">IF(Need_1&lt;&gt;"","",IF(Withdrawal_Timing="Start of year",IF(H87&gt;=C87,1,0),IF(H87*(1+DD_Growth)&gt;=C87,1,0)))</f>
        <v>0</v>
      </c>
    </row>
    <row r="88" customFormat="false" ht="15" hidden="false" customHeight="true" outlineLevel="0" collapsed="false">
      <c r="B88" s="113" t="n">
        <v>56</v>
      </c>
      <c r="C88" s="114" t="n">
        <f aca="false">IF(Need_1&lt;&gt;"","",C87*(1+Inflation_Choice))</f>
        <v>59434.6134604618</v>
      </c>
      <c r="D88" s="114" t="n">
        <f aca="false">IF(Need_1&lt;&gt;"","",IF(E87=1,IF(Withdrawal_Timing="Start of year",(D87-C87)*(1+DD_Cautious),D87*(1+DD_Cautious)-C87),0))</f>
        <v>0</v>
      </c>
      <c r="E88" s="113" t="n">
        <f aca="false">IF(Need_1&lt;&gt;"","",IF(Withdrawal_Timing="Start of year",IF(D88&gt;=C88,1,0),IF(D88*(1+DD_Cautious)&gt;=C88,1,0)))</f>
        <v>0</v>
      </c>
      <c r="F88" s="114" t="n">
        <f aca="false">IF(Need_1&lt;&gt;"","",IF(G87=1,IF(Withdrawal_Timing="Start of year",(F87-C87)*(1+DD_Balanced),F87*(1+DD_Balanced)-C87),0))</f>
        <v>0</v>
      </c>
      <c r="G88" s="113" t="n">
        <f aca="false">IF(Need_1&lt;&gt;"","",IF(Withdrawal_Timing="Start of year",IF(F88&gt;=C88,1,0),IF(F88*(1+DD_Balanced)&gt;=C88,1,0)))</f>
        <v>0</v>
      </c>
      <c r="H88" s="114" t="n">
        <f aca="false">IF(Need_1&lt;&gt;"","",IF(I87=1,IF(Withdrawal_Timing="Start of year",(H87-C87)*(1+DD_Growth),H87*(1+DD_Growth)-C87),0))</f>
        <v>0</v>
      </c>
      <c r="I88" s="113" t="n">
        <f aca="false">IF(Need_1&lt;&gt;"","",IF(Withdrawal_Timing="Start of year",IF(H88&gt;=C88,1,0),IF(H88*(1+DD_Growth)&gt;=C88,1,0)))</f>
        <v>0</v>
      </c>
    </row>
    <row r="89" customFormat="false" ht="15" hidden="false" customHeight="true" outlineLevel="0" collapsed="false">
      <c r="B89" s="113" t="n">
        <v>57</v>
      </c>
      <c r="C89" s="114" t="n">
        <f aca="false">IF(Need_1&lt;&gt;"","",C88*(1+Inflation_Choice))</f>
        <v>60623.3057296711</v>
      </c>
      <c r="D89" s="114" t="n">
        <f aca="false">IF(Need_1&lt;&gt;"","",IF(E88=1,IF(Withdrawal_Timing="Start of year",(D88-C88)*(1+DD_Cautious),D88*(1+DD_Cautious)-C88),0))</f>
        <v>0</v>
      </c>
      <c r="E89" s="113" t="n">
        <f aca="false">IF(Need_1&lt;&gt;"","",IF(Withdrawal_Timing="Start of year",IF(D89&gt;=C89,1,0),IF(D89*(1+DD_Cautious)&gt;=C89,1,0)))</f>
        <v>0</v>
      </c>
      <c r="F89" s="114" t="n">
        <f aca="false">IF(Need_1&lt;&gt;"","",IF(G88=1,IF(Withdrawal_Timing="Start of year",(F88-C88)*(1+DD_Balanced),F88*(1+DD_Balanced)-C88),0))</f>
        <v>0</v>
      </c>
      <c r="G89" s="113" t="n">
        <f aca="false">IF(Need_1&lt;&gt;"","",IF(Withdrawal_Timing="Start of year",IF(F89&gt;=C89,1,0),IF(F89*(1+DD_Balanced)&gt;=C89,1,0)))</f>
        <v>0</v>
      </c>
      <c r="H89" s="114" t="n">
        <f aca="false">IF(Need_1&lt;&gt;"","",IF(I88=1,IF(Withdrawal_Timing="Start of year",(H88-C88)*(1+DD_Growth),H88*(1+DD_Growth)-C88),0))</f>
        <v>0</v>
      </c>
      <c r="I89" s="113" t="n">
        <f aca="false">IF(Need_1&lt;&gt;"","",IF(Withdrawal_Timing="Start of year",IF(H89&gt;=C89,1,0),IF(H89*(1+DD_Growth)&gt;=C89,1,0)))</f>
        <v>0</v>
      </c>
    </row>
    <row r="90" customFormat="false" ht="15" hidden="false" customHeight="true" outlineLevel="0" collapsed="false">
      <c r="B90" s="113" t="n">
        <v>58</v>
      </c>
      <c r="C90" s="114" t="n">
        <f aca="false">IF(Need_1&lt;&gt;"","",C89*(1+Inflation_Choice))</f>
        <v>61835.7718442645</v>
      </c>
      <c r="D90" s="114" t="n">
        <f aca="false">IF(Need_1&lt;&gt;"","",IF(E89=1,IF(Withdrawal_Timing="Start of year",(D89-C89)*(1+DD_Cautious),D89*(1+DD_Cautious)-C89),0))</f>
        <v>0</v>
      </c>
      <c r="E90" s="113" t="n">
        <f aca="false">IF(Need_1&lt;&gt;"","",IF(Withdrawal_Timing="Start of year",IF(D90&gt;=C90,1,0),IF(D90*(1+DD_Cautious)&gt;=C90,1,0)))</f>
        <v>0</v>
      </c>
      <c r="F90" s="114" t="n">
        <f aca="false">IF(Need_1&lt;&gt;"","",IF(G89=1,IF(Withdrawal_Timing="Start of year",(F89-C89)*(1+DD_Balanced),F89*(1+DD_Balanced)-C89),0))</f>
        <v>0</v>
      </c>
      <c r="G90" s="113" t="n">
        <f aca="false">IF(Need_1&lt;&gt;"","",IF(Withdrawal_Timing="Start of year",IF(F90&gt;=C90,1,0),IF(F90*(1+DD_Balanced)&gt;=C90,1,0)))</f>
        <v>0</v>
      </c>
      <c r="H90" s="114" t="n">
        <f aca="false">IF(Need_1&lt;&gt;"","",IF(I89=1,IF(Withdrawal_Timing="Start of year",(H89-C89)*(1+DD_Growth),H89*(1+DD_Growth)-C89),0))</f>
        <v>0</v>
      </c>
      <c r="I90" s="113" t="n">
        <f aca="false">IF(Need_1&lt;&gt;"","",IF(Withdrawal_Timing="Start of year",IF(H90&gt;=C90,1,0),IF(H90*(1+DD_Growth)&gt;=C90,1,0)))</f>
        <v>0</v>
      </c>
    </row>
    <row r="91" customFormat="false" ht="15" hidden="false" customHeight="true" outlineLevel="0" collapsed="false">
      <c r="B91" s="113" t="n">
        <v>59</v>
      </c>
      <c r="C91" s="114" t="n">
        <f aca="false">IF(Need_1&lt;&gt;"","",C90*(1+Inflation_Choice))</f>
        <v>63072.4872811498</v>
      </c>
      <c r="D91" s="114" t="n">
        <f aca="false">IF(Need_1&lt;&gt;"","",IF(E90=1,IF(Withdrawal_Timing="Start of year",(D90-C90)*(1+DD_Cautious),D90*(1+DD_Cautious)-C90),0))</f>
        <v>0</v>
      </c>
      <c r="E91" s="113" t="n">
        <f aca="false">IF(Need_1&lt;&gt;"","",IF(Withdrawal_Timing="Start of year",IF(D91&gt;=C91,1,0),IF(D91*(1+DD_Cautious)&gt;=C91,1,0)))</f>
        <v>0</v>
      </c>
      <c r="F91" s="114" t="n">
        <f aca="false">IF(Need_1&lt;&gt;"","",IF(G90=1,IF(Withdrawal_Timing="Start of year",(F90-C90)*(1+DD_Balanced),F90*(1+DD_Balanced)-C90),0))</f>
        <v>0</v>
      </c>
      <c r="G91" s="113" t="n">
        <f aca="false">IF(Need_1&lt;&gt;"","",IF(Withdrawal_Timing="Start of year",IF(F91&gt;=C91,1,0),IF(F91*(1+DD_Balanced)&gt;=C91,1,0)))</f>
        <v>0</v>
      </c>
      <c r="H91" s="114" t="n">
        <f aca="false">IF(Need_1&lt;&gt;"","",IF(I90=1,IF(Withdrawal_Timing="Start of year",(H90-C90)*(1+DD_Growth),H90*(1+DD_Growth)-C90),0))</f>
        <v>0</v>
      </c>
      <c r="I91" s="113" t="n">
        <f aca="false">IF(Need_1&lt;&gt;"","",IF(Withdrawal_Timing="Start of year",IF(H91&gt;=C91,1,0),IF(H91*(1+DD_Growth)&gt;=C91,1,0)))</f>
        <v>0</v>
      </c>
    </row>
    <row r="92" customFormat="false" ht="15" hidden="false" customHeight="true" outlineLevel="0" collapsed="false">
      <c r="B92" s="113" t="n">
        <v>60</v>
      </c>
      <c r="C92" s="114" t="n">
        <f aca="false">IF(Need_1&lt;&gt;"","",C91*(1+Inflation_Choice))</f>
        <v>64333.9370267728</v>
      </c>
      <c r="D92" s="114" t="n">
        <f aca="false">IF(Need_1&lt;&gt;"","",IF(E91=1,IF(Withdrawal_Timing="Start of year",(D91-C91)*(1+DD_Cautious),D91*(1+DD_Cautious)-C91),0))</f>
        <v>0</v>
      </c>
      <c r="E92" s="113" t="n">
        <f aca="false">IF(Need_1&lt;&gt;"","",IF(Withdrawal_Timing="Start of year",IF(D92&gt;=C92,1,0),IF(D92*(1+DD_Cautious)&gt;=C92,1,0)))</f>
        <v>0</v>
      </c>
      <c r="F92" s="114" t="n">
        <f aca="false">IF(Need_1&lt;&gt;"","",IF(G91=1,IF(Withdrawal_Timing="Start of year",(F91-C91)*(1+DD_Balanced),F91*(1+DD_Balanced)-C91),0))</f>
        <v>0</v>
      </c>
      <c r="G92" s="113" t="n">
        <f aca="false">IF(Need_1&lt;&gt;"","",IF(Withdrawal_Timing="Start of year",IF(F92&gt;=C92,1,0),IF(F92*(1+DD_Balanced)&gt;=C92,1,0)))</f>
        <v>0</v>
      </c>
      <c r="H92" s="114" t="n">
        <f aca="false">IF(Need_1&lt;&gt;"","",IF(I91=1,IF(Withdrawal_Timing="Start of year",(H91-C91)*(1+DD_Growth),H91*(1+DD_Growth)-C91),0))</f>
        <v>0</v>
      </c>
      <c r="I92" s="113" t="n">
        <f aca="false">IF(Need_1&lt;&gt;"","",IF(Withdrawal_Timing="Start of year",IF(H92&gt;=C92,1,0),IF(H92*(1+DD_Growth)&gt;=C92,1,0)))</f>
        <v>0</v>
      </c>
    </row>
    <row r="95" customFormat="false" ht="15" hidden="false" customHeight="true" outlineLevel="0" collapsed="false">
      <c r="B95" s="55" t="s">
        <v>2853</v>
      </c>
      <c r="C95" s="58"/>
      <c r="D95" s="58"/>
      <c r="E95" s="58"/>
      <c r="F95" s="58"/>
      <c r="G95" s="58"/>
    </row>
    <row r="96" customFormat="false" ht="27.75" hidden="false" customHeight="true" outlineLevel="0" collapsed="false">
      <c r="B96" s="80" t="s">
        <v>3490</v>
      </c>
      <c r="C96" s="80"/>
      <c r="D96" s="80"/>
      <c r="E96" s="80"/>
    </row>
    <row r="97" customFormat="false" ht="13.5" hidden="false" customHeight="true" outlineLevel="0" collapsed="false">
      <c r="B97" s="80" t="s">
        <v>3491</v>
      </c>
      <c r="C97" s="80"/>
      <c r="D97" s="80"/>
      <c r="E97" s="80"/>
    </row>
    <row r="98" customFormat="false" ht="13.5" hidden="false" customHeight="true" outlineLevel="0" collapsed="false">
      <c r="B98" s="81" t="s">
        <v>2856</v>
      </c>
      <c r="C98" s="81"/>
      <c r="D98" s="81"/>
      <c r="E98" s="81"/>
    </row>
    <row r="99" customFormat="false" ht="13.5" hidden="false" customHeight="true" outlineLevel="0" collapsed="false">
      <c r="B99" s="80" t="s">
        <v>3492</v>
      </c>
      <c r="C99" s="80"/>
      <c r="D99" s="80"/>
      <c r="E99" s="80"/>
    </row>
    <row r="100" customFormat="false" ht="13.5" hidden="false" customHeight="true" outlineLevel="0" collapsed="false">
      <c r="B100" s="80" t="s">
        <v>3493</v>
      </c>
      <c r="C100" s="80"/>
      <c r="D100" s="80"/>
      <c r="E100" s="80"/>
    </row>
    <row r="102" customFormat="false" ht="15" hidden="false" customHeight="true" outlineLevel="0" collapsed="false">
      <c r="B102" s="55" t="s">
        <v>2861</v>
      </c>
      <c r="C102" s="58"/>
      <c r="D102" s="58"/>
      <c r="E102" s="58"/>
      <c r="F102" s="58"/>
      <c r="G102" s="58"/>
    </row>
    <row r="103" customFormat="false" ht="15" hidden="false" customHeight="true" outlineLevel="0" collapsed="false">
      <c r="B103" s="59" t="s">
        <v>1620</v>
      </c>
      <c r="C103" s="82" t="str">
        <f aca="false">"No goal"</f>
        <v>No goal</v>
      </c>
      <c r="E103" s="83" t="s">
        <v>3042</v>
      </c>
    </row>
    <row r="105" customFormat="false" ht="15" hidden="false" customHeight="true" outlineLevel="0" collapsed="false">
      <c r="B105" s="55" t="s">
        <v>2869</v>
      </c>
      <c r="C105" s="58"/>
      <c r="D105" s="58"/>
      <c r="E105" s="58"/>
      <c r="F105" s="58"/>
      <c r="G105" s="58"/>
    </row>
    <row r="106" customFormat="false" ht="15" hidden="false" customHeight="true" outlineLevel="0" collapsed="false">
      <c r="B106" s="86" t="s">
        <v>3494</v>
      </c>
      <c r="C106" s="86" t="str">
        <f aca="false">IF(Yearly_Withdrawal="","Choose your yearly withdrawal to see this",IF(NOT(ISNUMBER(Used_Retirement_Savings)),IF(Used_Retirement_Savings="",IF(Retirement_Savings="","Choose your retirement savings to see this",""),Used_Retirement_Savings),IF(Inflation_Choice="","Choose your inflation rate to see this","")))</f>
        <v/>
      </c>
    </row>
  </sheetData>
  <mergeCells count="7">
    <mergeCell ref="B7:E7"/>
    <mergeCell ref="B10:E10"/>
    <mergeCell ref="B96:E96"/>
    <mergeCell ref="B97:E97"/>
    <mergeCell ref="B98:E98"/>
    <mergeCell ref="B99:E99"/>
    <mergeCell ref="B100:E100"/>
  </mergeCells>
  <dataValidations count="10">
    <dataValidation allowBlank="true" error="Please enter a date (dd/mm/yyyy)." errorStyle="stop" errorTitle="Outside the allowed range" operator="greaterThan" prompt="Unit: date. Allowed: a date (dd/mm/yyyy)." promptTitle="Statement date" showDropDown="false" showErrorMessage="true" showInputMessage="true" sqref="C13" type="date">
      <formula1>36526</formula1>
      <formula2>0</formula2>
    </dataValidation>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0 to €50,000,000." errorStyle="stop" errorTitle="Outside the allowed range" operator="between" prompt="Unit: €. Allowed: €0 to €50,000,000." promptTitle="Fund value today" showDropDown="false" showErrorMessage="true" showInputMessage="true" sqref="C12" type="decimal">
      <formula1>0</formula1>
      <formula2>50000000</formula2>
    </dataValidation>
    <dataValidation allowBlank="true" error="Please enter €0 to €100,000,000." errorStyle="stop" errorTitle="Outside the allowed range" operator="between" prompt="Unit: €. Allowed: €0 to €100,000,000." promptTitle="Projected fund at retirement (if" showDropDown="false" showErrorMessage="true" showInputMessage="true" sqref="C11" type="decimal">
      <formula1>0</formula1>
      <formula2>100000000</formula2>
    </dataValidation>
    <dataValidation allowBlank="true" error="Please enter €10,000 to €30,000,000 · steps of €10,000." errorStyle="stop" errorTitle="Outside the allowed range" operator="between" prompt="Your own figure. In the app it is pre-filled from Plan: pension projected to retirement.  Allowed: €10,000 to €30,000,000 · steps of €10,000." promptTitle="Retirement savings" showDropDown="false" showErrorMessage="true" showInputMessage="true" sqref="C16" type="decimal">
      <formula1>10000</formula1>
      <formula2>30000000</formula2>
    </dataValidation>
    <dataValidation allowBlank="true" error="Please enter €1,000 to €2,000,000 · steps of €1,000." errorStyle="stop" errorTitle="Outside the allowed range" operator="between" prompt="Your own figure.  Allowed: €1,000 to €2,000,000 · steps of €1,000." promptTitle="Yearly withdrawal (first year)" showDropDown="false" showErrorMessage="true" showInputMessage="true" sqref="C17" type="decimal">
      <formula1>1000</formula1>
      <formula2>2000000</formula2>
    </dataValidation>
    <dataValidation allowBlank="true" error="Please enter 0% to 8% · steps of 0.5%." errorStyle="stop" errorTitle="Outside the allowed range" operator="between" prompt="Generally the standard is 2% a year for a cautious mix (illustration). Choose what you want to use.  Allowed: 0% to 8% · steps of 0.5%." promptTitle="Cautious: growth a year" showDropDown="false" showErrorMessage="true" showInputMessage="true" sqref="C18" type="decimal">
      <formula1>0</formula1>
      <formula2>0.08</formula2>
    </dataValidation>
    <dataValidation allowBlank="true" error="Please enter 0% to 8% · steps of 0.5%." errorStyle="stop" errorTitle="Outside the allowed range" operator="between" prompt="Generally the standard is 4% a year for a balanced mix (illustration). Choose what you want to use.  Allowed: 0% to 8% · steps of 0.5%." promptTitle="Balanced: growth a year" showDropDown="false" showErrorMessage="true" showInputMessage="true" sqref="C19" type="decimal">
      <formula1>0</formula1>
      <formula2>0.08</formula2>
    </dataValidation>
    <dataValidation allowBlank="true" error="Please enter 0% to 8% · steps of 0.5%." errorStyle="stop" errorTitle="Outside the allowed range" operator="between" prompt="Generally the standard is 6% a year for a growth mix (illustration). Choose what you want to use.  Allowed: 0% to 8% · steps of 0.5%." promptTitle="Growth: growth a year" showDropDown="false" showErrorMessage="true" showInputMessage="true" sqref="C20" type="decimal">
      <formula1>0</formula1>
      <formula2>0.08</formula2>
    </dataValidation>
    <dataValidation allowBlank="true" error="Please enter Start of year or End of year." errorStyle="stop" errorTitle="Outside the allowed range" operator="between" prompt="Generally the standard is the start of the year (the prudent choice). Choose what you want to use.  Allowed: Start of year or End of year." promptTitle="Withdrawal taken at the" showDropDown="false" showErrorMessage="true" showInputMessage="true" sqref="C21" type="list">
      <formula1>"Start of year,End of year"</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2B134"/>
    <pageSetUpPr fitToPage="false"/>
  </sheetPr>
  <dimension ref="B1:G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20" width="2"/>
    <col collapsed="false" customWidth="true" hidden="false" outlineLevel="0" max="2" min="2" style="20" width="50"/>
    <col collapsed="false" customWidth="true" hidden="false" outlineLevel="0" max="3" min="3" style="20" width="26"/>
    <col collapsed="false" customWidth="true" hidden="false" outlineLevel="0" max="4" min="4" style="20" width="24"/>
    <col collapsed="false" customWidth="true" hidden="false" outlineLevel="0" max="5" min="5" style="20" width="78"/>
    <col collapsed="false" customWidth="true" hidden="false" outlineLevel="0" max="6" min="6" style="20" width="14"/>
    <col collapsed="false" customWidth="true" hidden="false" outlineLevel="0" max="7" min="7" style="20" width="16"/>
  </cols>
  <sheetData>
    <row r="1" customFormat="false" ht="19.5" hidden="false" customHeight="true" outlineLevel="0" collapsed="false">
      <c r="B1" s="50" t="s">
        <v>3495</v>
      </c>
      <c r="E1" s="51" t="s">
        <v>3496</v>
      </c>
    </row>
    <row r="2" customFormat="false" ht="15" hidden="false" customHeight="true" outlineLevel="0" collapsed="false">
      <c r="B2" s="52" t="s">
        <v>3497</v>
      </c>
      <c r="E2" s="53" t="str">
        <f aca="false">IF(Fill_Example="Yes","Example values are ON (README): grey Example only figures fill blank inputs.","Blank template: fill the yellow inputs (or switch on example values on the README).")</f>
        <v>Example values are ON (README): grey Example only figures fill blank inputs.</v>
      </c>
    </row>
    <row r="3" customFormat="false" ht="15" hidden="false" customHeight="true" outlineLevel="0" collapsed="false">
      <c r="B3" s="54" t="s">
        <v>3498</v>
      </c>
    </row>
    <row r="5" customFormat="false" ht="15" hidden="false" customHeight="true" outlineLevel="0" collapsed="false">
      <c r="B5" s="55" t="s">
        <v>3128</v>
      </c>
      <c r="C5" s="56" t="s">
        <v>912</v>
      </c>
      <c r="D5" s="56" t="s">
        <v>913</v>
      </c>
      <c r="E5" s="56" t="s">
        <v>2804</v>
      </c>
      <c r="F5" s="57" t="s">
        <v>2805</v>
      </c>
      <c r="G5" s="58"/>
    </row>
    <row r="6" customFormat="false" ht="21.75" hidden="false" customHeight="true" outlineLevel="0" collapsed="false">
      <c r="B6" s="59" t="s">
        <v>3129</v>
      </c>
      <c r="C6" s="68"/>
      <c r="D6" s="61" t="s">
        <v>2814</v>
      </c>
      <c r="E6" s="69" t="str">
        <f aca="false">"Type 3 · your choice · Generally the standard is 2% a year (ECB target); Ireland's prices are rising "&amp;TEXT(Set_inflNow,"0.0%")&amp;" now (CSO HICP flash, Sep 2026). Choose what you want to use. Allowed: 0% to 10% · steps of 0.25%"</f>
        <v>Type 3 · your choice · Generally the standard is 2% a year (ECB target); Ireland's prices are rising 3.9% now (CSO HICP flash, Sep 2026). Choose what you want to use. Allowed: 0% to 10% · steps of 0.25%</v>
      </c>
      <c r="F6" s="70" t="n">
        <v>0.02</v>
      </c>
      <c r="G6" s="71" t="n">
        <f aca="false">IF(ISBLANK(C6),IF(Fill_Example="Yes",F6,""),C6)</f>
        <v>0.02</v>
      </c>
    </row>
    <row r="7" customFormat="false" ht="27.75" hidden="false" customHeight="true" outlineLevel="0" collapsed="false">
      <c r="B7" s="87" t="str">
        <f aca="false">"Everyone sees this differently. Ireland's prices are rising "&amp;TEXT(Set_inflNow,"0.0%")&amp;" now (CSO HICP flash, Sep 2026), mostly because of energy. Over decades, 2%–2.5% is the usual planning range (ECB target 2%). Enter 0% if you don't want to adjust for prices."</f>
        <v>Everyone sees this differently. Ireland's prices are rising 3.9% now (CSO HICP flash, Sep 2026), mostly because of energy. Over decades, 2%–2.5% is the usual planning range (ECB target 2%). Enter 0% if you don't want to adjust for prices.</v>
      </c>
      <c r="C7" s="87"/>
      <c r="D7" s="87"/>
      <c r="E7" s="87"/>
    </row>
    <row r="9" customFormat="false" ht="15" hidden="false" customHeight="true" outlineLevel="0" collapsed="false">
      <c r="B9" s="55" t="s">
        <v>2882</v>
      </c>
      <c r="C9" s="58"/>
      <c r="D9" s="58"/>
      <c r="E9" s="58"/>
      <c r="F9" s="58"/>
      <c r="G9" s="58"/>
    </row>
    <row r="10" customFormat="false" ht="27.75" hidden="false" customHeight="true" outlineLevel="0" collapsed="false">
      <c r="B10" s="87" t="s">
        <v>3198</v>
      </c>
      <c r="C10" s="87"/>
      <c r="D10" s="87"/>
      <c r="E10" s="87"/>
    </row>
    <row r="11" customFormat="false" ht="15" hidden="false" customHeight="true" outlineLevel="0" collapsed="false">
      <c r="B11" s="59" t="s">
        <v>3199</v>
      </c>
      <c r="C11" s="88"/>
      <c r="D11" s="61" t="s">
        <v>964</v>
      </c>
      <c r="E11" s="62" t="s">
        <v>3200</v>
      </c>
      <c r="G11" s="86" t="s">
        <v>2886</v>
      </c>
    </row>
    <row r="12" customFormat="false" ht="15" hidden="false" customHeight="true" outlineLevel="0" collapsed="false">
      <c r="B12" s="59" t="s">
        <v>2891</v>
      </c>
      <c r="C12" s="91"/>
      <c r="D12" s="61" t="s">
        <v>922</v>
      </c>
      <c r="E12" s="62" t="s">
        <v>2892</v>
      </c>
      <c r="G12" s="86" t="s">
        <v>2886</v>
      </c>
    </row>
    <row r="14" customFormat="false" ht="15" hidden="false" customHeight="true" outlineLevel="0" collapsed="false">
      <c r="B14" s="55" t="s">
        <v>2893</v>
      </c>
      <c r="C14" s="56" t="s">
        <v>912</v>
      </c>
      <c r="D14" s="56" t="s">
        <v>913</v>
      </c>
      <c r="E14" s="56" t="s">
        <v>2804</v>
      </c>
      <c r="F14" s="57" t="s">
        <v>2805</v>
      </c>
      <c r="G14" s="58"/>
    </row>
    <row r="15" customFormat="false" ht="21.75" hidden="false" customHeight="true" outlineLevel="0" collapsed="false">
      <c r="B15" s="59" t="s">
        <v>3203</v>
      </c>
      <c r="C15" s="60"/>
      <c r="D15" s="61" t="s">
        <v>964</v>
      </c>
      <c r="E15" s="62" t="s">
        <v>3204</v>
      </c>
      <c r="F15" s="63" t="n">
        <v>20000</v>
      </c>
      <c r="G15" s="64" t="n">
        <f aca="false">IF(ISBLANK(C15),IF(Fill_Example="Yes",F15,""),C15)</f>
        <v>20000</v>
      </c>
    </row>
    <row r="16" customFormat="false" ht="21.75" hidden="false" customHeight="true" outlineLevel="0" collapsed="false">
      <c r="B16" s="59" t="s">
        <v>3499</v>
      </c>
      <c r="C16" s="68"/>
      <c r="D16" s="61" t="s">
        <v>2814</v>
      </c>
      <c r="E16" s="69" t="s">
        <v>3500</v>
      </c>
      <c r="F16" s="70" t="n">
        <f aca="false">Set_invGross</f>
        <v>0.05</v>
      </c>
      <c r="G16" s="71" t="n">
        <f aca="false">IF(ISBLANK(C16),F16,C16)</f>
        <v>0.05</v>
      </c>
    </row>
    <row r="17" customFormat="false" ht="15" hidden="false" customHeight="true" outlineLevel="0" collapsed="false">
      <c r="B17" s="59" t="s">
        <v>2487</v>
      </c>
      <c r="C17" s="72"/>
      <c r="D17" s="61" t="s">
        <v>1002</v>
      </c>
      <c r="E17" s="62" t="s">
        <v>3173</v>
      </c>
      <c r="F17" s="73" t="n">
        <v>15</v>
      </c>
      <c r="G17" s="74" t="n">
        <f aca="false">IF(ISBLANK(C17),IF(Fill_Example="Yes",F17,""),C17)</f>
        <v>15</v>
      </c>
    </row>
    <row r="19" customFormat="false" ht="15" hidden="false" customHeight="true" outlineLevel="0" collapsed="false">
      <c r="B19" s="55" t="s">
        <v>2902</v>
      </c>
      <c r="C19" s="58"/>
      <c r="D19" s="58"/>
      <c r="E19" s="58"/>
      <c r="F19" s="58"/>
      <c r="G19" s="58"/>
    </row>
    <row r="20" customFormat="false" ht="15" hidden="false" customHeight="true" outlineLevel="0" collapsed="false">
      <c r="B20" s="59" t="s">
        <v>3203</v>
      </c>
      <c r="C20" s="92" t="n">
        <f aca="false">IF(ISBLANK(Stmt_Total_Value),Amount,Stmt_Total_Value)</f>
        <v>20000</v>
      </c>
      <c r="D20" s="93" t="str">
        <f aca="false">IF(ISBLANK(Stmt_Total_Value),"Your figure","From your statement")</f>
        <v>Your figure</v>
      </c>
      <c r="E20" s="83" t="s">
        <v>3213</v>
      </c>
    </row>
    <row r="21" customFormat="false" ht="21.75" hidden="false" customHeight="true" outlineLevel="0" collapsed="false">
      <c r="B21" s="59" t="s">
        <v>2909</v>
      </c>
      <c r="C21" s="79" t="str">
        <f aca="true">IF(ISBLANK(Stmt_Statement_Date),"",IF(TODAY()-Stmt_Statement_Date&gt;Statement_Max_Age_Days,"Needs a look: statement is more than 12 months old","Up to date"))</f>
        <v/>
      </c>
      <c r="D21" s="61"/>
      <c r="E21" s="76" t="s">
        <v>2910</v>
      </c>
    </row>
    <row r="23" customFormat="false" ht="15" hidden="false" customHeight="true" outlineLevel="0" collapsed="false">
      <c r="B23" s="55" t="s">
        <v>2630</v>
      </c>
      <c r="C23" s="56" t="s">
        <v>327</v>
      </c>
      <c r="D23" s="56" t="s">
        <v>2822</v>
      </c>
      <c r="E23" s="56" t="s">
        <v>2823</v>
      </c>
      <c r="F23" s="58"/>
      <c r="G23" s="58"/>
    </row>
    <row r="24" customFormat="false" ht="17.25" hidden="false" customHeight="true" outlineLevel="0" collapsed="false">
      <c r="B24" s="52" t="s">
        <v>3501</v>
      </c>
      <c r="C24" s="75" t="n">
        <f aca="false">IF(Need_1&lt;&gt;"",Need_1,IF(Inflation_Choice="","Choose your inflation rate to see this",Future_Value/(1+Inflation_Choice)^Years))</f>
        <v>30893.4851978172</v>
      </c>
      <c r="D24" s="61" t="s">
        <v>964</v>
      </c>
      <c r="E24" s="76" t="s">
        <v>3502</v>
      </c>
    </row>
    <row r="25" customFormat="false" ht="17.25" hidden="false" customHeight="true" outlineLevel="0" collapsed="false">
      <c r="B25" s="52" t="s">
        <v>3503</v>
      </c>
      <c r="C25" s="75" t="n">
        <f aca="false">IF(Need_2&lt;&gt;"",Need_2,Used_Amount*(1+Nominal_Return)^Years)</f>
        <v>41578.5635882274</v>
      </c>
      <c r="D25" s="61" t="s">
        <v>964</v>
      </c>
      <c r="E25" s="76" t="s">
        <v>3504</v>
      </c>
    </row>
    <row r="26" customFormat="false" ht="17.25" hidden="false" customHeight="true" outlineLevel="0" collapsed="false">
      <c r="B26" s="52" t="s">
        <v>3505</v>
      </c>
      <c r="C26" s="115" t="n">
        <f aca="false">IF(Need_3&lt;&gt;"",Need_3,IF(Inflation_Choice="","Choose your inflation rate to see this",(1+Nominal_Return)/(1+Inflation_Choice)-1))</f>
        <v>0.0294117647058825</v>
      </c>
      <c r="D26" s="61"/>
      <c r="E26" s="76" t="s">
        <v>3506</v>
      </c>
    </row>
    <row r="27" customFormat="false" ht="15" hidden="false" customHeight="true" outlineLevel="0" collapsed="false">
      <c r="B27" s="102" t="str">
        <f aca="false">"Before tax: deposit interest is taxed at "&amp;TEXT(DIRT,"0%")&amp;" DIRT; investment funds and life policies pay "&amp;TEXT(Exit_Tax,"0%")&amp;" exit tax on gains, also charged every "&amp;Deemed_Disposal_Years&amp;" years (deemed disposal). Pension funds grow tax-free. No tax is taken off here."</f>
        <v>Before tax: deposit interest is taxed at 33% DIRT; investment funds and life policies pay 38% exit tax on gains, also charged every 8 years (deemed disposal). Pension funds grow tax-free. No tax is taken off here.</v>
      </c>
      <c r="C27" s="102"/>
      <c r="D27" s="102"/>
      <c r="E27" s="102"/>
    </row>
    <row r="29" customFormat="false" ht="15" hidden="false" customHeight="true" outlineLevel="0" collapsed="false">
      <c r="B29" s="55" t="s">
        <v>2853</v>
      </c>
      <c r="C29" s="58"/>
      <c r="D29" s="58"/>
      <c r="E29" s="58"/>
      <c r="F29" s="58"/>
      <c r="G29" s="58"/>
    </row>
    <row r="30" customFormat="false" ht="13.5" hidden="false" customHeight="true" outlineLevel="0" collapsed="false">
      <c r="B30" s="80" t="s">
        <v>3507</v>
      </c>
      <c r="C30" s="80"/>
      <c r="D30" s="80"/>
      <c r="E30" s="80"/>
    </row>
    <row r="31" customFormat="false" ht="13.5" hidden="false" customHeight="true" outlineLevel="0" collapsed="false">
      <c r="B31" s="80" t="s">
        <v>3508</v>
      </c>
      <c r="C31" s="80"/>
      <c r="D31" s="80"/>
      <c r="E31" s="80"/>
    </row>
    <row r="32" customFormat="false" ht="13.5" hidden="false" customHeight="true" outlineLevel="0" collapsed="false">
      <c r="B32" s="81" t="s">
        <v>2856</v>
      </c>
      <c r="C32" s="81"/>
      <c r="D32" s="81"/>
      <c r="E32" s="81"/>
    </row>
    <row r="33" customFormat="false" ht="13.5" hidden="false" customHeight="true" outlineLevel="0" collapsed="false">
      <c r="B33" s="80" t="s">
        <v>3509</v>
      </c>
      <c r="C33" s="80"/>
      <c r="D33" s="80"/>
      <c r="E33" s="80"/>
    </row>
    <row r="35" customFormat="false" ht="15" hidden="false" customHeight="true" outlineLevel="0" collapsed="false">
      <c r="B35" s="55" t="s">
        <v>2861</v>
      </c>
      <c r="C35" s="58"/>
      <c r="D35" s="58"/>
      <c r="E35" s="58"/>
      <c r="F35" s="58"/>
      <c r="G35" s="58"/>
    </row>
    <row r="36" customFormat="false" ht="15" hidden="false" customHeight="true" outlineLevel="0" collapsed="false">
      <c r="B36" s="59" t="s">
        <v>1620</v>
      </c>
      <c r="C36" s="82" t="str">
        <f aca="false">"No goal"</f>
        <v>No goal</v>
      </c>
      <c r="E36" s="83" t="s">
        <v>3042</v>
      </c>
    </row>
    <row r="38" customFormat="false" ht="15" hidden="false" customHeight="true" outlineLevel="0" collapsed="false">
      <c r="B38" s="55" t="s">
        <v>2869</v>
      </c>
      <c r="C38" s="58"/>
      <c r="D38" s="58"/>
      <c r="E38" s="58"/>
      <c r="F38" s="58"/>
      <c r="G38" s="58"/>
    </row>
    <row r="39" customFormat="false" ht="15" hidden="false" customHeight="true" outlineLevel="0" collapsed="false">
      <c r="B39" s="86" t="s">
        <v>3510</v>
      </c>
      <c r="C39" s="86" t="str">
        <f aca="false">IF(Years="","Choose your years to see this",IF(NOT(ISNUMBER(Used_Amount)),IF(Used_Amount="",IF(Amount="","Choose your amount to see this",""),Used_Amount),IF(Inflation_Choice="","Choose your inflation rate to see this","")))</f>
        <v/>
      </c>
    </row>
    <row r="40" customFormat="false" ht="15" hidden="false" customHeight="true" outlineLevel="0" collapsed="false">
      <c r="B40" s="86" t="s">
        <v>3511</v>
      </c>
      <c r="C40" s="86" t="str">
        <f aca="false">IF(Years="","Choose your years to see this",IF(NOT(ISNUMBER(Used_Amount)),IF(Used_Amount="",IF(Amount="","Choose your amount to see this",""),Used_Amount),""))</f>
        <v/>
      </c>
    </row>
    <row r="41" customFormat="false" ht="15" hidden="false" customHeight="true" outlineLevel="0" collapsed="false">
      <c r="B41" s="86" t="s">
        <v>3512</v>
      </c>
      <c r="C41" s="86" t="str">
        <f aca="false">IF(Inflation_Choice="","Choose your inflation rate to see this","")</f>
        <v/>
      </c>
    </row>
  </sheetData>
  <mergeCells count="7">
    <mergeCell ref="B7:E7"/>
    <mergeCell ref="B10:E10"/>
    <mergeCell ref="B27:E27"/>
    <mergeCell ref="B30:E30"/>
    <mergeCell ref="B31:E31"/>
    <mergeCell ref="B32:E32"/>
    <mergeCell ref="B33:E33"/>
  </mergeCells>
  <dataValidations count="6">
    <dataValidation allowBlank="true" error="Please enter a date (dd/mm/yyyy)." errorStyle="stop" errorTitle="Outside the allowed range" operator="greaterThan" prompt="Unit: date. Allowed: a date (dd/mm/yyyy)." promptTitle="Statement date" showDropDown="false" showErrorMessage="true" showInputMessage="true" sqref="C12" type="date">
      <formula1>36526</formula1>
      <formula2>0</formula2>
    </dataValidation>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1 to 40 · steps of 1." errorStyle="stop" errorTitle="Outside the allowed range" operator="between" prompt="Your own figure.  Allowed: 1 to 40 · steps of 1." promptTitle="Years" showDropDown="false" showErrorMessage="true" showInputMessage="true" sqref="C17" type="whole">
      <formula1>1</formula1>
      <formula2>40</formula2>
    </dataValidation>
    <dataValidation allowBlank="true" error="Please enter €0 to €100,000,000." errorStyle="stop" errorTitle="Outside the allowed range" operator="between" prompt="Unit: €. Allowed: €0 to €100,000,000." promptTitle="Total value" showDropDown="false" showErrorMessage="true" showInputMessage="true" sqref="C11" type="decimal">
      <formula1>0</formula1>
      <formula2>100000000</formula2>
    </dataValidation>
    <dataValidation allowBlank="true" error="Please enter €500 to €5,000,000 · steps of €100." errorStyle="stop" errorTitle="Outside the allowed range" operator="between" prompt="Your own figure. In the app it is pre-filled from Your finances / statement: investments.  Allowed: €500 to €5,000,000 · steps of €100." promptTitle="Amount" showDropDown="false" showErrorMessage="true" showInputMessage="true" sqref="C15" type="decimal">
      <formula1>500</formula1>
      <formula2>5000000</formula2>
    </dataValidation>
    <dataValidation allowBlank="true" error="Please enter 0% to 10% · steps of 0.25%." errorStyle="stop" errorTitle="Outside the allowed range" operator="between" prompt="Generally the standard is 5% a year before charges and tax for a mixed fund (LifeMap standard, not a forecast). Choose what you want to use.  Allowed: 0% to 10% · steps of 0.25%." promptTitle="Return a year (before inflation)" showDropDown="false" showErrorMessage="true" showInputMessage="true" sqref="C16" type="decimal">
      <formula1>0</formula1>
      <formula2>0.1</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2B134"/>
    <pageSetUpPr fitToPage="false"/>
  </sheetPr>
  <dimension ref="B1:G5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20" width="2"/>
    <col collapsed="false" customWidth="true" hidden="false" outlineLevel="0" max="2" min="2" style="20" width="50"/>
    <col collapsed="false" customWidth="true" hidden="false" outlineLevel="0" max="3" min="3" style="20" width="26"/>
    <col collapsed="false" customWidth="true" hidden="false" outlineLevel="0" max="4" min="4" style="20" width="24"/>
    <col collapsed="false" customWidth="true" hidden="false" outlineLevel="0" max="5" min="5" style="20" width="78"/>
    <col collapsed="false" customWidth="true" hidden="false" outlineLevel="0" max="6" min="6" style="20" width="14"/>
    <col collapsed="false" customWidth="true" hidden="false" outlineLevel="0" max="7" min="7" style="20" width="16"/>
  </cols>
  <sheetData>
    <row r="1" customFormat="false" ht="19.5" hidden="false" customHeight="true" outlineLevel="0" collapsed="false">
      <c r="B1" s="50" t="s">
        <v>3513</v>
      </c>
      <c r="E1" s="51" t="s">
        <v>3514</v>
      </c>
    </row>
    <row r="2" customFormat="false" ht="15" hidden="false" customHeight="true" outlineLevel="0" collapsed="false">
      <c r="B2" s="52" t="s">
        <v>3515</v>
      </c>
      <c r="E2" s="53" t="str">
        <f aca="false">IF(Fill_Example="Yes","Example values are ON (README): grey Example only figures fill blank inputs.","Blank template: fill the yellow inputs (or switch on example values on the README).")</f>
        <v>Example values are ON (README): grey Example only figures fill blank inputs.</v>
      </c>
    </row>
    <row r="3" customFormat="false" ht="15" hidden="false" customHeight="true" outlineLevel="0" collapsed="false">
      <c r="B3" s="54" t="s">
        <v>3516</v>
      </c>
    </row>
    <row r="5" customFormat="false" ht="15" hidden="false" customHeight="true" outlineLevel="0" collapsed="false">
      <c r="B5" s="55" t="s">
        <v>3128</v>
      </c>
      <c r="C5" s="56" t="s">
        <v>912</v>
      </c>
      <c r="D5" s="56" t="s">
        <v>913</v>
      </c>
      <c r="E5" s="56" t="s">
        <v>2804</v>
      </c>
      <c r="F5" s="57" t="s">
        <v>2805</v>
      </c>
      <c r="G5" s="58"/>
    </row>
    <row r="6" customFormat="false" ht="21.75" hidden="false" customHeight="true" outlineLevel="0" collapsed="false">
      <c r="B6" s="59" t="s">
        <v>3129</v>
      </c>
      <c r="C6" s="68"/>
      <c r="D6" s="61" t="s">
        <v>2814</v>
      </c>
      <c r="E6" s="69" t="str">
        <f aca="false">"Type 3 · your choice · Generally the standard is 2% a year (ECB target); Ireland's prices are rising "&amp;TEXT(Set_inflNow,"0.0%")&amp;" now (CSO HICP flash, Sep 2026). Choose what you want to use. Allowed: 0% to 10% · steps of 0.25%"</f>
        <v>Type 3 · your choice · Generally the standard is 2% a year (ECB target); Ireland's prices are rising 3.9% now (CSO HICP flash, Sep 2026). Choose what you want to use. Allowed: 0% to 10% · steps of 0.25%</v>
      </c>
      <c r="F6" s="70" t="n">
        <v>0.02</v>
      </c>
      <c r="G6" s="71" t="n">
        <f aca="false">IF(ISBLANK(C6),IF(Fill_Example="Yes",F6,""),C6)</f>
        <v>0.02</v>
      </c>
    </row>
    <row r="7" customFormat="false" ht="27.75" hidden="false" customHeight="true" outlineLevel="0" collapsed="false">
      <c r="B7" s="87" t="str">
        <f aca="false">"Everyone sees this differently. Ireland's prices are rising "&amp;TEXT(Set_inflNow,"0.0%")&amp;" now (CSO HICP flash, Sep 2026), mostly because of energy. Over decades, 2%–2.5% is the usual planning range (ECB target 2%). Enter 0% if you don't want to adjust for prices."</f>
        <v>Everyone sees this differently. Ireland's prices are rising 3.9% now (CSO HICP flash, Sep 2026), mostly because of energy. Over decades, 2%–2.5% is the usual planning range (ECB target 2%). Enter 0% if you don't want to adjust for prices.</v>
      </c>
      <c r="C7" s="87"/>
      <c r="D7" s="87"/>
      <c r="E7" s="87"/>
    </row>
    <row r="9" customFormat="false" ht="15" hidden="false" customHeight="true" outlineLevel="0" collapsed="false">
      <c r="B9" s="55" t="s">
        <v>2882</v>
      </c>
      <c r="C9" s="58"/>
      <c r="D9" s="58"/>
      <c r="E9" s="58"/>
      <c r="F9" s="58"/>
      <c r="G9" s="58"/>
    </row>
    <row r="10" customFormat="false" ht="27.75" hidden="false" customHeight="true" outlineLevel="0" collapsed="false">
      <c r="B10" s="87" t="s">
        <v>3198</v>
      </c>
      <c r="C10" s="87"/>
      <c r="D10" s="87"/>
      <c r="E10" s="87"/>
    </row>
    <row r="11" customFormat="false" ht="15" hidden="false" customHeight="true" outlineLevel="0" collapsed="false">
      <c r="B11" s="59" t="s">
        <v>3517</v>
      </c>
      <c r="C11" s="88"/>
      <c r="D11" s="61" t="s">
        <v>964</v>
      </c>
      <c r="E11" s="62" t="s">
        <v>3518</v>
      </c>
      <c r="G11" s="86" t="s">
        <v>2886</v>
      </c>
    </row>
    <row r="12" customFormat="false" ht="15" hidden="false" customHeight="true" outlineLevel="0" collapsed="false">
      <c r="B12" s="59" t="s">
        <v>3201</v>
      </c>
      <c r="C12" s="89"/>
      <c r="D12" s="61" t="s">
        <v>2814</v>
      </c>
      <c r="E12" s="62" t="s">
        <v>3202</v>
      </c>
      <c r="G12" s="86" t="s">
        <v>2886</v>
      </c>
    </row>
    <row r="13" customFormat="false" ht="15" hidden="false" customHeight="true" outlineLevel="0" collapsed="false">
      <c r="B13" s="59" t="s">
        <v>2891</v>
      </c>
      <c r="C13" s="91"/>
      <c r="D13" s="61" t="s">
        <v>922</v>
      </c>
      <c r="E13" s="62" t="s">
        <v>2892</v>
      </c>
      <c r="G13" s="86" t="s">
        <v>2886</v>
      </c>
    </row>
    <row r="15" customFormat="false" ht="15" hidden="false" customHeight="true" outlineLevel="0" collapsed="false">
      <c r="B15" s="55" t="s">
        <v>2893</v>
      </c>
      <c r="C15" s="56" t="s">
        <v>912</v>
      </c>
      <c r="D15" s="56" t="s">
        <v>913</v>
      </c>
      <c r="E15" s="56" t="s">
        <v>2804</v>
      </c>
      <c r="F15" s="57" t="s">
        <v>2805</v>
      </c>
      <c r="G15" s="58"/>
    </row>
    <row r="16" customFormat="false" ht="15" hidden="false" customHeight="true" outlineLevel="0" collapsed="false">
      <c r="B16" s="59" t="s">
        <v>3519</v>
      </c>
      <c r="C16" s="60"/>
      <c r="D16" s="61" t="s">
        <v>964</v>
      </c>
      <c r="E16" s="62" t="s">
        <v>3520</v>
      </c>
      <c r="F16" s="63" t="n">
        <v>300</v>
      </c>
      <c r="G16" s="64" t="n">
        <f aca="false">IF(ISBLANK(C16),IF(Fill_Example="Yes",F16,""),C16)</f>
        <v>300</v>
      </c>
    </row>
    <row r="17" customFormat="false" ht="15" hidden="false" customHeight="true" outlineLevel="0" collapsed="false">
      <c r="B17" s="59" t="s">
        <v>2487</v>
      </c>
      <c r="C17" s="72"/>
      <c r="D17" s="61" t="s">
        <v>1002</v>
      </c>
      <c r="E17" s="62" t="s">
        <v>3173</v>
      </c>
      <c r="F17" s="73" t="n">
        <v>15</v>
      </c>
      <c r="G17" s="74" t="n">
        <f aca="false">IF(ISBLANK(C17),IF(Fill_Example="Yes",F17,""),C17)</f>
        <v>15</v>
      </c>
    </row>
    <row r="18" customFormat="false" ht="21.75" hidden="false" customHeight="true" outlineLevel="0" collapsed="false">
      <c r="B18" s="59" t="s">
        <v>3521</v>
      </c>
      <c r="C18" s="68"/>
      <c r="D18" s="61" t="s">
        <v>2814</v>
      </c>
      <c r="E18" s="69" t="s">
        <v>3172</v>
      </c>
      <c r="F18" s="70" t="n">
        <f aca="false">Set_invGross</f>
        <v>0.05</v>
      </c>
      <c r="G18" s="71" t="n">
        <f aca="false">IF(ISBLANK(C18),F18,C18)</f>
        <v>0.05</v>
      </c>
    </row>
    <row r="19" customFormat="false" ht="21.75" hidden="false" customHeight="true" outlineLevel="0" collapsed="false">
      <c r="B19" s="59" t="s">
        <v>3206</v>
      </c>
      <c r="C19" s="68"/>
      <c r="D19" s="61" t="s">
        <v>2814</v>
      </c>
      <c r="E19" s="69" t="str">
        <f aca="false">"Type 2 · your figure · Fund charges a year (your statement shows yours). "&amp;IF(ISNUMBER(Suggest_Fund_Charges),"Suggested: "&amp;TEXT(Suggest_Fund_Charges,"0.00%")&amp;" · "&amp;Suggest_Fund_Charges_Label&amp;". ","No suggestion. ")&amp;"Enter your own figure."&amp;" Allowed: 0% to 3% · steps of 0.05%"</f>
        <v>Type 2 · your figure · Fund charges a year (your statement shows yours). Suggested: 1.00% · Pensions Authority pension calculator assumption. Enter your own figure. Allowed: 0% to 3% · steps of 0.05%</v>
      </c>
      <c r="F19" s="70" t="n">
        <f aca="false">IF(ISNUMBER(Suggest_Fund_Charges),Suggest_Fund_Charges,"")</f>
        <v>0.01</v>
      </c>
      <c r="G19" s="71" t="n">
        <f aca="false">IF(ISBLANK(C19),IF(Fill_Example="Yes",F19,""),C19)</f>
        <v>0.01</v>
      </c>
    </row>
    <row r="20" customFormat="false" ht="15" hidden="false" customHeight="true" outlineLevel="0" collapsed="false">
      <c r="B20" s="59" t="s">
        <v>3209</v>
      </c>
      <c r="C20" s="65"/>
      <c r="D20" s="61" t="s">
        <v>2811</v>
      </c>
      <c r="E20" s="62" t="s">
        <v>3210</v>
      </c>
      <c r="F20" s="66" t="s">
        <v>450</v>
      </c>
      <c r="G20" s="67" t="str">
        <f aca="false">IF(ISBLANK(C20),F20,C20)</f>
        <v>No</v>
      </c>
    </row>
    <row r="22" customFormat="false" ht="15" hidden="false" customHeight="true" outlineLevel="0" collapsed="false">
      <c r="B22" s="55" t="s">
        <v>2902</v>
      </c>
      <c r="C22" s="58"/>
      <c r="D22" s="58"/>
      <c r="E22" s="58"/>
      <c r="F22" s="58"/>
      <c r="G22" s="58"/>
    </row>
    <row r="23" customFormat="false" ht="15" hidden="false" customHeight="true" outlineLevel="0" collapsed="false">
      <c r="B23" s="59" t="s">
        <v>3211</v>
      </c>
      <c r="C23" s="79" t="str">
        <f aca="false">IF(COUNTA(Stmt_Monthly_Invested,Stmt_Charges,Stmt_Statement_Date)&gt;0,"Yes","No")</f>
        <v>No</v>
      </c>
      <c r="D23" s="61"/>
      <c r="E23" s="76" t="s">
        <v>3522</v>
      </c>
    </row>
    <row r="24" customFormat="false" ht="15" hidden="false" customHeight="true" outlineLevel="0" collapsed="false">
      <c r="B24" s="59" t="s">
        <v>3519</v>
      </c>
      <c r="C24" s="92" t="n">
        <f aca="false">IF(ISBLANK(Stmt_Monthly_Invested),Monthly_Amount,Stmt_Monthly_Invested)</f>
        <v>300</v>
      </c>
      <c r="D24" s="93" t="str">
        <f aca="false">IF(ISBLANK(Stmt_Monthly_Invested),"Your figure","From your statement")</f>
        <v>Your figure</v>
      </c>
      <c r="E24" s="83" t="s">
        <v>3523</v>
      </c>
    </row>
    <row r="25" customFormat="false" ht="15" hidden="false" customHeight="true" outlineLevel="0" collapsed="false">
      <c r="B25" s="59" t="s">
        <v>3206</v>
      </c>
      <c r="C25" s="94" t="n">
        <f aca="false">IF(NOT(ISBLANK(Stmt_Charges)),Stmt_Charges,IF(Statement_Uploaded="Yes",0,Yearly_Fees))</f>
        <v>0.01</v>
      </c>
      <c r="D25" s="93" t="str">
        <f aca="false">IF(NOT(ISBLANK(Stmt_Charges)),"From your statement",IF(Statement_Uploaded="Yes","None shown on your statement","Your figure"))</f>
        <v>Your figure</v>
      </c>
      <c r="E25" s="83" t="s">
        <v>3214</v>
      </c>
    </row>
    <row r="26" customFormat="false" ht="21.75" hidden="false" customHeight="true" outlineLevel="0" collapsed="false">
      <c r="B26" s="59" t="s">
        <v>2909</v>
      </c>
      <c r="C26" s="79" t="str">
        <f aca="true">IF(ISBLANK(Stmt_Statement_Date),"",IF(TODAY()-Stmt_Statement_Date&gt;Statement_Max_Age_Days,"Needs a look: statement is more than 12 months old","Up to date"))</f>
        <v/>
      </c>
      <c r="D26" s="61"/>
      <c r="E26" s="76" t="s">
        <v>2910</v>
      </c>
    </row>
    <row r="28" customFormat="false" ht="15" hidden="false" customHeight="true" outlineLevel="0" collapsed="false">
      <c r="B28" s="55" t="s">
        <v>2630</v>
      </c>
      <c r="C28" s="56" t="s">
        <v>327</v>
      </c>
      <c r="D28" s="56" t="s">
        <v>2822</v>
      </c>
      <c r="E28" s="56" t="s">
        <v>2823</v>
      </c>
      <c r="F28" s="58"/>
      <c r="G28" s="58"/>
    </row>
    <row r="29" customFormat="false" ht="17.25" hidden="false" customHeight="true" outlineLevel="0" collapsed="false">
      <c r="B29" s="52" t="s">
        <v>3524</v>
      </c>
      <c r="C29" s="75" t="n">
        <f aca="false">IF(Need_1&lt;&gt;"",Need_1,IF(Adjust_For_Inflation="Yes",Value_Today,Value_After_Fees))</f>
        <v>73108.7854450597</v>
      </c>
      <c r="D29" s="61" t="s">
        <v>964</v>
      </c>
      <c r="E29" s="76" t="s">
        <v>3525</v>
      </c>
    </row>
    <row r="30" customFormat="false" ht="15" hidden="false" customHeight="true" outlineLevel="0" collapsed="false">
      <c r="B30" s="59" t="s">
        <v>3526</v>
      </c>
      <c r="C30" s="77" t="n">
        <f aca="false">IF(Need_1&lt;&gt;"",Need_1,FV((1+Growth_After_Fees)^(1/12)-1,Years*12,-Used_Monthly_Amount))</f>
        <v>73108.7854450597</v>
      </c>
      <c r="D30" s="61" t="s">
        <v>964</v>
      </c>
      <c r="E30" s="76" t="s">
        <v>3527</v>
      </c>
    </row>
    <row r="31" customFormat="false" ht="15" hidden="false" customHeight="true" outlineLevel="0" collapsed="false">
      <c r="B31" s="59" t="s">
        <v>3528</v>
      </c>
      <c r="C31" s="77" t="n">
        <f aca="false">IF(Need_2&lt;&gt;"",Need_2,FV((1+Growth_Rate)^(1/12)-1,Years*12,-Used_Monthly_Amount))</f>
        <v>79447.3783841599</v>
      </c>
      <c r="D31" s="61" t="s">
        <v>964</v>
      </c>
      <c r="E31" s="76" t="s">
        <v>3529</v>
      </c>
    </row>
    <row r="32" customFormat="false" ht="17.25" hidden="false" customHeight="true" outlineLevel="0" collapsed="false">
      <c r="B32" s="52" t="s">
        <v>3223</v>
      </c>
      <c r="C32" s="75" t="n">
        <f aca="false">IF(Need_1&lt;&gt;"",Need_1,Value_Before_Fees-Value_After_Fees)</f>
        <v>6338.59293910017</v>
      </c>
      <c r="D32" s="61" t="s">
        <v>964</v>
      </c>
      <c r="E32" s="76" t="s">
        <v>3530</v>
      </c>
    </row>
    <row r="33" customFormat="false" ht="15" hidden="false" customHeight="true" outlineLevel="0" collapsed="false">
      <c r="B33" s="59" t="s">
        <v>3178</v>
      </c>
      <c r="C33" s="77" t="n">
        <f aca="false">IF(Need_3&lt;&gt;"",Need_3,Used_Monthly_Amount*12*Years)</f>
        <v>54000</v>
      </c>
      <c r="D33" s="61" t="s">
        <v>964</v>
      </c>
      <c r="E33" s="76" t="s">
        <v>3531</v>
      </c>
    </row>
    <row r="34" customFormat="false" ht="15" hidden="false" customHeight="true" outlineLevel="0" collapsed="false">
      <c r="B34" s="59" t="s">
        <v>3176</v>
      </c>
      <c r="C34" s="77" t="n">
        <f aca="false">IF(Need_4&lt;&gt;"",Need_4,IF(Inflation_Choice="","Choose your inflation rate to see this",Value_After_Fees/(1+Inflation_Choice)^Years))</f>
        <v>54320.9044772496</v>
      </c>
      <c r="D34" s="61" t="s">
        <v>964</v>
      </c>
      <c r="E34" s="76" t="s">
        <v>3532</v>
      </c>
    </row>
    <row r="35" customFormat="false" ht="15" hidden="false" customHeight="true" outlineLevel="0" collapsed="false">
      <c r="B35" s="59" t="s">
        <v>3225</v>
      </c>
      <c r="C35" s="98" t="n">
        <f aca="false">IF(Need_5&lt;&gt;"",Need_5,(1+Growth_Rate)*(1-Used_Yearly_Fees)-1)</f>
        <v>0.0395000000000001</v>
      </c>
      <c r="D35" s="61"/>
      <c r="E35" s="76" t="s">
        <v>3226</v>
      </c>
    </row>
    <row r="36" customFormat="false" ht="15" hidden="false" customHeight="true" outlineLevel="0" collapsed="false">
      <c r="B36" s="59" t="s">
        <v>3227</v>
      </c>
      <c r="C36" s="98" t="n">
        <f aca="false">IF(Need_6&lt;&gt;"",Need_6,IF(Inflation_Choice="","Choose your inflation rate to see this",(1+Growth_After_Fees)/(1+Inflation_Choice)-1))</f>
        <v>0.0191176470588237</v>
      </c>
      <c r="D36" s="61"/>
      <c r="E36" s="76" t="s">
        <v>3228</v>
      </c>
    </row>
    <row r="37" customFormat="false" ht="15" hidden="false" customHeight="true" outlineLevel="0" collapsed="false">
      <c r="B37" s="102" t="str">
        <f aca="false">"Before tax: deposit interest is taxed at "&amp;TEXT(DIRT,"0%")&amp;" DIRT; investment funds and life policies pay "&amp;TEXT(Exit_Tax,"0%")&amp;" exit tax on gains, also charged every "&amp;Deemed_Disposal_Years&amp;" years (deemed disposal). Pension funds grow tax-free. No tax is taken off here."</f>
        <v>Before tax: deposit interest is taxed at 33% DIRT; investment funds and life policies pay 38% exit tax on gains, also charged every 8 years (deemed disposal). Pension funds grow tax-free. No tax is taken off here.</v>
      </c>
      <c r="C37" s="102"/>
      <c r="D37" s="102"/>
      <c r="E37" s="102"/>
    </row>
    <row r="39" customFormat="false" ht="15" hidden="false" customHeight="true" outlineLevel="0" collapsed="false">
      <c r="B39" s="55" t="s">
        <v>2853</v>
      </c>
      <c r="C39" s="58"/>
      <c r="D39" s="58"/>
      <c r="E39" s="58"/>
      <c r="F39" s="58"/>
      <c r="G39" s="58"/>
    </row>
    <row r="40" customFormat="false" ht="27.75" hidden="false" customHeight="true" outlineLevel="0" collapsed="false">
      <c r="B40" s="80" t="s">
        <v>3533</v>
      </c>
      <c r="C40" s="80"/>
      <c r="D40" s="80"/>
      <c r="E40" s="80"/>
    </row>
    <row r="41" customFormat="false" ht="13.5" hidden="false" customHeight="true" outlineLevel="0" collapsed="false">
      <c r="B41" s="80" t="s">
        <v>3534</v>
      </c>
      <c r="C41" s="80"/>
      <c r="D41" s="80"/>
      <c r="E41" s="80"/>
    </row>
    <row r="42" customFormat="false" ht="13.5" hidden="false" customHeight="true" outlineLevel="0" collapsed="false">
      <c r="B42" s="81" t="s">
        <v>2856</v>
      </c>
      <c r="C42" s="81"/>
      <c r="D42" s="81"/>
      <c r="E42" s="81"/>
    </row>
    <row r="43" customFormat="false" ht="13.5" hidden="false" customHeight="true" outlineLevel="0" collapsed="false">
      <c r="B43" s="80" t="s">
        <v>3535</v>
      </c>
      <c r="C43" s="80"/>
      <c r="D43" s="80"/>
      <c r="E43" s="80"/>
    </row>
    <row r="45" customFormat="false" ht="15" hidden="false" customHeight="true" outlineLevel="0" collapsed="false">
      <c r="B45" s="55" t="s">
        <v>2861</v>
      </c>
      <c r="C45" s="58"/>
      <c r="D45" s="58"/>
      <c r="E45" s="58"/>
      <c r="F45" s="58"/>
      <c r="G45" s="58"/>
    </row>
    <row r="46" customFormat="false" ht="15" hidden="false" customHeight="true" outlineLevel="0" collapsed="false">
      <c r="B46" s="59" t="s">
        <v>1620</v>
      </c>
      <c r="C46" s="82" t="str">
        <f aca="false">"Grow my wealth (plan kind pot)"</f>
        <v>Grow my wealth (plan kind pot)</v>
      </c>
      <c r="E46" s="83" t="s">
        <v>3186</v>
      </c>
    </row>
    <row r="47" customFormat="false" ht="15" hidden="false" customHeight="true" outlineLevel="0" collapsed="false">
      <c r="B47" s="59" t="s">
        <v>3187</v>
      </c>
      <c r="C47" s="84" t="n">
        <f aca="false">IF(Need_1&lt;&gt;"",Need_1,IF(Inflation_Choice="","Choose an inflation rate first",ROUND(Value_Today,0)))</f>
        <v>54321</v>
      </c>
      <c r="E47" s="83" t="s">
        <v>3188</v>
      </c>
    </row>
    <row r="48" customFormat="false" ht="15" hidden="false" customHeight="true" outlineLevel="0" collapsed="false">
      <c r="B48" s="59" t="s">
        <v>2867</v>
      </c>
      <c r="C48" s="85" t="n">
        <f aca="false">IF(Need_7&lt;&gt;"",Need_7,Years)</f>
        <v>15</v>
      </c>
      <c r="E48" s="83" t="s">
        <v>3154</v>
      </c>
    </row>
    <row r="49" customFormat="false" ht="15" hidden="false" customHeight="true" outlineLevel="0" collapsed="false">
      <c r="B49" s="59" t="s">
        <v>3155</v>
      </c>
      <c r="C49" s="103" t="n">
        <f aca="false">IF(Inflation_Choice="","Choose an inflation rate first",Inflation_Choice)</f>
        <v>0.02</v>
      </c>
      <c r="E49" s="83" t="s">
        <v>3156</v>
      </c>
    </row>
    <row r="50" customFormat="false" ht="13.5" hidden="false" customHeight="true" outlineLevel="0" collapsed="false">
      <c r="B50" s="87" t="s">
        <v>3536</v>
      </c>
      <c r="C50" s="87"/>
      <c r="D50" s="87"/>
      <c r="E50" s="87"/>
    </row>
    <row r="52" customFormat="false" ht="15" hidden="false" customHeight="true" outlineLevel="0" collapsed="false">
      <c r="B52" s="55" t="s">
        <v>2869</v>
      </c>
      <c r="C52" s="58"/>
      <c r="D52" s="58"/>
      <c r="E52" s="58"/>
      <c r="F52" s="58"/>
      <c r="G52" s="58"/>
    </row>
    <row r="53" customFormat="false" ht="15" hidden="false" customHeight="true" outlineLevel="0" collapsed="false">
      <c r="B53" s="86" t="s">
        <v>3537</v>
      </c>
      <c r="C53" s="86" t="str">
        <f aca="false">IF(Years="","Choose your years to see this",IF(NOT(ISNUMBER(Used_Monthly_Amount)),IF(Used_Monthly_Amount="",IF(Monthly_Amount="","Choose your monthly amount to see this",""),Used_Monthly_Amount),IF(NOT(ISNUMBER(Used_Yearly_Fees)),IF(Used_Yearly_Fees="",IF(Yearly_Fees="","Choose your yearly fees to see this",""),Used_Yearly_Fees),"")))</f>
        <v/>
      </c>
    </row>
    <row r="54" customFormat="false" ht="15" hidden="false" customHeight="true" outlineLevel="0" collapsed="false">
      <c r="B54" s="86" t="s">
        <v>3538</v>
      </c>
      <c r="C54" s="86" t="str">
        <f aca="false">IF(Years="","Choose your years to see this",IF(NOT(ISNUMBER(Used_Monthly_Amount)),IF(Used_Monthly_Amount="",IF(Monthly_Amount="","Choose your monthly amount to see this",""),Used_Monthly_Amount),IF(NOT(ISNUMBER(Used_Yearly_Fees)),IF(Used_Yearly_Fees="",IF(Yearly_Fees="","Choose your yearly fees to see this",""),Used_Yearly_Fees),"")))</f>
        <v/>
      </c>
    </row>
    <row r="55" customFormat="false" ht="15" hidden="false" customHeight="true" outlineLevel="0" collapsed="false">
      <c r="B55" s="86" t="s">
        <v>3539</v>
      </c>
      <c r="C55" s="86" t="str">
        <f aca="false">IF(Years="","Choose your years to see this",IF(NOT(ISNUMBER(Used_Monthly_Amount)),IF(Used_Monthly_Amount="",IF(Monthly_Amount="","Choose your monthly amount to see this",""),Used_Monthly_Amount),IF(NOT(ISNUMBER(Used_Yearly_Fees)),IF(Used_Yearly_Fees="",IF(Yearly_Fees="","Choose your yearly fees to see this",""),Used_Yearly_Fees),"")))</f>
        <v/>
      </c>
    </row>
    <row r="56" customFormat="false" ht="15" hidden="false" customHeight="true" outlineLevel="0" collapsed="false">
      <c r="B56" s="86" t="s">
        <v>3540</v>
      </c>
      <c r="C56" s="86" t="str">
        <f aca="false">IF(Years="","Choose your years to see this",IF(NOT(ISNUMBER(Used_Monthly_Amount)),IF(Used_Monthly_Amount="",IF(Monthly_Amount="","Choose your monthly amount to see this",""),Used_Monthly_Amount),IF(NOT(ISNUMBER(Used_Yearly_Fees)),IF(Used_Yearly_Fees="",IF(Yearly_Fees="","Choose your yearly fees to see this",""),Used_Yearly_Fees),IF(Inflation_Choice="","Choose your inflation rate to see this",""))))</f>
        <v/>
      </c>
    </row>
    <row r="57" customFormat="false" ht="15" hidden="false" customHeight="true" outlineLevel="0" collapsed="false">
      <c r="B57" s="86" t="s">
        <v>3238</v>
      </c>
      <c r="C57" s="86" t="str">
        <f aca="false">IF(NOT(ISNUMBER(Used_Yearly_Fees)),IF(Used_Yearly_Fees="",IF(Yearly_Fees="","Choose your yearly fees to see this",""),Used_Yearly_Fees),"")</f>
        <v/>
      </c>
    </row>
    <row r="58" customFormat="false" ht="15" hidden="false" customHeight="true" outlineLevel="0" collapsed="false">
      <c r="B58" s="86" t="s">
        <v>3239</v>
      </c>
      <c r="C58" s="86" t="str">
        <f aca="false">IF(NOT(ISNUMBER(Used_Yearly_Fees)),IF(Used_Yearly_Fees="",IF(Yearly_Fees="","Choose your yearly fees to see this",""),Used_Yearly_Fees),IF(Inflation_Choice="","Choose your inflation rate to see this",""))</f>
        <v/>
      </c>
    </row>
    <row r="59" customFormat="false" ht="15" hidden="false" customHeight="true" outlineLevel="0" collapsed="false">
      <c r="B59" s="86" t="s">
        <v>3193</v>
      </c>
      <c r="C59" s="86" t="str">
        <f aca="false">IF(Years="","Choose your years to see this",IF(NOT(ISNUMBER(Used_Yearly_Fees)),IF(Used_Yearly_Fees="",IF(Yearly_Fees="","Choose your yearly fees to see this",""),Used_Yearly_Fees),""))</f>
        <v/>
      </c>
    </row>
  </sheetData>
  <mergeCells count="8">
    <mergeCell ref="B7:E7"/>
    <mergeCell ref="B10:E10"/>
    <mergeCell ref="B37:E37"/>
    <mergeCell ref="B40:E40"/>
    <mergeCell ref="B41:E41"/>
    <mergeCell ref="B42:E42"/>
    <mergeCell ref="B43:E43"/>
    <mergeCell ref="B50:E50"/>
  </mergeCells>
  <dataValidations count="9">
    <dataValidation allowBlank="true" error="Please enter a date (dd/mm/yyyy)." errorStyle="stop" errorTitle="Outside the allowed range" operator="greaterThan" prompt="Unit: date. Allowed: a date (dd/mm/yyyy)." promptTitle="Statement date" showDropDown="false" showErrorMessage="true" showInputMessage="true" sqref="C13" type="date">
      <formula1>36526</formula1>
      <formula2>0</formula2>
    </dataValidation>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1 to 40 · steps of 1." errorStyle="stop" errorTitle="Outside the allowed range" operator="between" prompt="Your own figure.  Allowed: 1 to 40 · steps of 1." promptTitle="Years" showDropDown="false" showErrorMessage="true" showInputMessage="true" sqref="C17" type="whole">
      <formula1>1</formula1>
      <formula2>40</formula2>
    </dataValidation>
    <dataValidation allowBlank="true" error="Please enter 0% to 5%." errorStyle="stop" errorTitle="Outside the allowed range" operator="between" prompt="Unit: %. Allowed: 0% to 5%." promptTitle="Annual charges % (if shown)" showDropDown="false" showErrorMessage="true" showInputMessage="true" sqref="C12" type="decimal">
      <formula1>0</formula1>
      <formula2>0.05</formula2>
    </dataValidation>
    <dataValidation allowBlank="true" error="Please enter 0% to 3% · steps of 0.05%." errorStyle="stop" errorTitle="Outside the allowed range" operator="between" prompt="Your own fund charges (your statement shows them). A suggested figure and its source are shown beside this cell (Partner rates, Assumptions sheet). CCPC: usually 0.5%–2% a year. Allowed: 0% to 3% · steps of 0.05%" promptTitle="Yearly fees" showDropDown="false" showErrorMessage="true" showInputMessage="true" sqref="C19" type="decimal">
      <formula1>0</formula1>
      <formula2>0.03</formula2>
    </dataValidation>
    <dataValidation allowBlank="true" error="Please enter 0% to 8% · steps of 0.5%." errorStyle="stop" errorTitle="Outside the allowed range" operator="between" prompt="Generally the standard is 5% a year before charges and tax for a mixed fund (LifeMap standard, not a forecast). Choose what you want to use.  Allowed: 0% to 8% · steps of 0.5%." promptTitle="Growth a year (before fees)" showDropDown="false" showErrorMessage="true" showInputMessage="true" sqref="C18" type="decimal">
      <formula1>0</formula1>
      <formula2>0.08</formula2>
    </dataValidation>
    <dataValidation allowBlank="true" error="Please enter €0 to €1,000,000." errorStyle="stop" errorTitle="Outside the allowed range" operator="between" prompt="Unit: €. Allowed: €0 to €1,000,000." promptTitle="Monthly amount invested" showDropDown="false" showErrorMessage="true" showInputMessage="true" sqref="C11" type="decimal">
      <formula1>0</formula1>
      <formula2>1000000</formula2>
    </dataValidation>
    <dataValidation allowBlank="true" error="Please enter €25 to €50,000 · steps of €25." errorStyle="stop" errorTitle="Outside the allowed range" operator="between" prompt="Your own figure.  Allowed: €25 to €50,000 · steps of €25." promptTitle="Monthly amount" showDropDown="false" showErrorMessage="true" showInputMessage="true" sqref="C16" type="decimal">
      <formula1>25</formula1>
      <formula2>50000</formula2>
    </dataValidation>
    <dataValidation allowBlank="true" error="Please enter Yes or No." errorStyle="stop" errorTitle="Outside the allowed range" operator="between" prompt="Optional: leave blank for none.  Allowed: Yes or No." promptTitle="Show in today's money?" showDropDown="false" showErrorMessage="true" showInputMessage="true" sqref="C20"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2B134"/>
    <pageSetUpPr fitToPage="false"/>
  </sheetPr>
  <dimension ref="B1:G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20" width="2"/>
    <col collapsed="false" customWidth="true" hidden="false" outlineLevel="0" max="2" min="2" style="20" width="50"/>
    <col collapsed="false" customWidth="true" hidden="false" outlineLevel="0" max="3" min="3" style="20" width="26"/>
    <col collapsed="false" customWidth="true" hidden="false" outlineLevel="0" max="4" min="4" style="20" width="24"/>
    <col collapsed="false" customWidth="true" hidden="false" outlineLevel="0" max="5" min="5" style="20" width="78"/>
    <col collapsed="false" customWidth="true" hidden="false" outlineLevel="0" max="6" min="6" style="20" width="14"/>
    <col collapsed="false" customWidth="true" hidden="false" outlineLevel="0" max="7" min="7" style="20" width="16"/>
  </cols>
  <sheetData>
    <row r="1" customFormat="false" ht="19.5" hidden="false" customHeight="true" outlineLevel="0" collapsed="false">
      <c r="B1" s="50" t="s">
        <v>3541</v>
      </c>
      <c r="E1" s="51" t="s">
        <v>3542</v>
      </c>
    </row>
    <row r="2" customFormat="false" ht="15" hidden="false" customHeight="true" outlineLevel="0" collapsed="false">
      <c r="B2" s="52" t="s">
        <v>3543</v>
      </c>
      <c r="E2" s="53" t="str">
        <f aca="false">IF(Fill_Example="Yes","Example values are ON (README): grey Example only figures fill blank inputs.","Blank template: fill the yellow inputs (or switch on example values on the README).")</f>
        <v>Example values are ON (README): grey Example only figures fill blank inputs.</v>
      </c>
    </row>
    <row r="3" customFormat="false" ht="15" hidden="false" customHeight="true" outlineLevel="0" collapsed="false">
      <c r="B3" s="54" t="s">
        <v>3544</v>
      </c>
    </row>
    <row r="5" customFormat="false" ht="15" hidden="false" customHeight="true" outlineLevel="0" collapsed="false">
      <c r="B5" s="55" t="s">
        <v>2882</v>
      </c>
      <c r="C5" s="58"/>
      <c r="D5" s="58"/>
      <c r="E5" s="58"/>
      <c r="F5" s="58"/>
      <c r="G5" s="58"/>
    </row>
    <row r="6" customFormat="false" ht="27.75" hidden="false" customHeight="true" outlineLevel="0" collapsed="false">
      <c r="B6" s="87" t="s">
        <v>3198</v>
      </c>
      <c r="C6" s="87"/>
      <c r="D6" s="87"/>
      <c r="E6" s="87"/>
    </row>
    <row r="7" customFormat="false" ht="15" hidden="false" customHeight="true" outlineLevel="0" collapsed="false">
      <c r="B7" s="59" t="s">
        <v>3199</v>
      </c>
      <c r="C7" s="88"/>
      <c r="D7" s="61" t="s">
        <v>964</v>
      </c>
      <c r="E7" s="62" t="s">
        <v>3200</v>
      </c>
      <c r="G7" s="86" t="s">
        <v>2886</v>
      </c>
    </row>
    <row r="8" customFormat="false" ht="15" hidden="false" customHeight="true" outlineLevel="0" collapsed="false">
      <c r="B8" s="59" t="s">
        <v>3201</v>
      </c>
      <c r="C8" s="89"/>
      <c r="D8" s="61" t="s">
        <v>2814</v>
      </c>
      <c r="E8" s="62" t="s">
        <v>3202</v>
      </c>
      <c r="G8" s="86" t="s">
        <v>2886</v>
      </c>
    </row>
    <row r="9" customFormat="false" ht="15" hidden="false" customHeight="true" outlineLevel="0" collapsed="false">
      <c r="B9" s="59" t="s">
        <v>2891</v>
      </c>
      <c r="C9" s="91"/>
      <c r="D9" s="61" t="s">
        <v>922</v>
      </c>
      <c r="E9" s="62" t="s">
        <v>2892</v>
      </c>
      <c r="G9" s="86" t="s">
        <v>2886</v>
      </c>
    </row>
    <row r="11" customFormat="false" ht="15" hidden="false" customHeight="true" outlineLevel="0" collapsed="false">
      <c r="B11" s="55" t="s">
        <v>2893</v>
      </c>
      <c r="C11" s="56" t="s">
        <v>912</v>
      </c>
      <c r="D11" s="56" t="s">
        <v>913</v>
      </c>
      <c r="E11" s="56" t="s">
        <v>2804</v>
      </c>
      <c r="F11" s="57" t="s">
        <v>2805</v>
      </c>
      <c r="G11" s="58"/>
    </row>
    <row r="12" customFormat="false" ht="21.75" hidden="false" customHeight="true" outlineLevel="0" collapsed="false">
      <c r="B12" s="59" t="s">
        <v>3545</v>
      </c>
      <c r="C12" s="60"/>
      <c r="D12" s="61" t="s">
        <v>964</v>
      </c>
      <c r="E12" s="62" t="s">
        <v>3546</v>
      </c>
      <c r="F12" s="63" t="n">
        <v>50000</v>
      </c>
      <c r="G12" s="64" t="n">
        <f aca="false">IF(ISBLANK(C12),IF(Fill_Example="Yes",F12,""),C12)</f>
        <v>50000</v>
      </c>
    </row>
    <row r="13" customFormat="false" ht="15" hidden="false" customHeight="true" outlineLevel="0" collapsed="false">
      <c r="B13" s="59" t="s">
        <v>2487</v>
      </c>
      <c r="C13" s="72"/>
      <c r="D13" s="61" t="s">
        <v>1002</v>
      </c>
      <c r="E13" s="62" t="s">
        <v>3173</v>
      </c>
      <c r="F13" s="73" t="n">
        <v>20</v>
      </c>
      <c r="G13" s="74" t="n">
        <f aca="false">IF(ISBLANK(C13),IF(Fill_Example="Yes",F13,""),C13)</f>
        <v>20</v>
      </c>
    </row>
    <row r="14" customFormat="false" ht="21.75" hidden="false" customHeight="true" outlineLevel="0" collapsed="false">
      <c r="B14" s="59" t="s">
        <v>3521</v>
      </c>
      <c r="C14" s="68"/>
      <c r="D14" s="61" t="s">
        <v>2814</v>
      </c>
      <c r="E14" s="69" t="s">
        <v>3172</v>
      </c>
      <c r="F14" s="70" t="n">
        <f aca="false">Set_invGross</f>
        <v>0.05</v>
      </c>
      <c r="G14" s="71" t="n">
        <f aca="false">IF(ISBLANK(C14),F14,C14)</f>
        <v>0.05</v>
      </c>
    </row>
    <row r="15" customFormat="false" ht="21.75" hidden="false" customHeight="true" outlineLevel="0" collapsed="false">
      <c r="B15" s="59" t="s">
        <v>3547</v>
      </c>
      <c r="C15" s="68"/>
      <c r="D15" s="61" t="s">
        <v>2814</v>
      </c>
      <c r="E15" s="69" t="str">
        <f aca="false">"Type 2 · your figure · Fund charges a year (your statement shows yours). "&amp;IF(ISNUMBER(Suggest_Fund_Charges),"Suggested: "&amp;TEXT(Suggest_Fund_Charges,"0.00%")&amp;" · "&amp;Suggest_Fund_Charges_Label&amp;". ","No suggestion. ")&amp;"Enter your own figure."&amp;" Allowed: 0% to 3% · steps of 0.05%"</f>
        <v>Type 2 · your figure · Fund charges a year (your statement shows yours). Suggested: 1.00% · Pensions Authority pension calculator assumption. Enter your own figure. Allowed: 0% to 3% · steps of 0.05%</v>
      </c>
      <c r="F15" s="70" t="n">
        <f aca="false">IF(ISNUMBER(Suggest_Fund_Charges),Suggest_Fund_Charges,"")</f>
        <v>0.01</v>
      </c>
      <c r="G15" s="71" t="n">
        <f aca="false">IF(ISBLANK(C15),IF(Fill_Example="Yes",F15,""),C15)</f>
        <v>0.01</v>
      </c>
    </row>
    <row r="16" customFormat="false" ht="21.75" hidden="false" customHeight="true" outlineLevel="0" collapsed="false">
      <c r="B16" s="59" t="s">
        <v>3548</v>
      </c>
      <c r="C16" s="68"/>
      <c r="D16" s="61" t="s">
        <v>2814</v>
      </c>
      <c r="E16" s="69" t="str">
        <f aca="false">"Type 2 · your figure · Fund charges a year (your statement shows yours). "&amp;IF(ISNUMBER(Suggest_Fund_Charges),"Suggested: "&amp;TEXT(Suggest_Fund_Charges,"0.00%")&amp;" · "&amp;Suggest_Fund_Charges_Label&amp;". ","No suggestion. ")&amp;"Enter your own figure."&amp;" Allowed: 0% to 3% · steps of 0.05%"</f>
        <v>Type 2 · your figure · Fund charges a year (your statement shows yours). Suggested: 1.00% · Pensions Authority pension calculator assumption. Enter your own figure. Allowed: 0% to 3% · steps of 0.05%</v>
      </c>
      <c r="F16" s="70" t="n">
        <f aca="false">IF(ISNUMBER(Suggest_Fund_Charges),Suggest_Fund_Charges,"")</f>
        <v>0.01</v>
      </c>
      <c r="G16" s="71" t="n">
        <f aca="false">IF(ISBLANK(C16),IF(Fill_Example="Yes",F16,""),C16)</f>
        <v>0.01</v>
      </c>
    </row>
    <row r="18" customFormat="false" ht="15" hidden="false" customHeight="true" outlineLevel="0" collapsed="false">
      <c r="B18" s="55" t="s">
        <v>2902</v>
      </c>
      <c r="C18" s="58"/>
      <c r="D18" s="58"/>
      <c r="E18" s="58"/>
      <c r="F18" s="58"/>
      <c r="G18" s="58"/>
    </row>
    <row r="19" customFormat="false" ht="15" hidden="false" customHeight="true" outlineLevel="0" collapsed="false">
      <c r="B19" s="59" t="s">
        <v>3211</v>
      </c>
      <c r="C19" s="79" t="str">
        <f aca="false">IF(COUNTA(Stmt_Total_Value,Stmt_Charges,Stmt_Statement_Date)&gt;0,"Yes","No")</f>
        <v>No</v>
      </c>
      <c r="D19" s="61"/>
      <c r="E19" s="76" t="s">
        <v>3212</v>
      </c>
    </row>
    <row r="20" customFormat="false" ht="15" hidden="false" customHeight="true" outlineLevel="0" collapsed="false">
      <c r="B20" s="59" t="s">
        <v>3545</v>
      </c>
      <c r="C20" s="92" t="n">
        <f aca="false">IF(ISBLANK(Stmt_Total_Value),Amount_Invested,Stmt_Total_Value)</f>
        <v>50000</v>
      </c>
      <c r="D20" s="93" t="str">
        <f aca="false">IF(ISBLANK(Stmt_Total_Value),"Your figure","From your statement")</f>
        <v>Your figure</v>
      </c>
      <c r="E20" s="83" t="s">
        <v>3549</v>
      </c>
    </row>
    <row r="21" customFormat="false" ht="15" hidden="false" customHeight="true" outlineLevel="0" collapsed="false">
      <c r="B21" s="59" t="s">
        <v>3550</v>
      </c>
      <c r="C21" s="94" t="n">
        <f aca="false">IF(NOT(ISBLANK(Stmt_Charges)),Stmt_Charges,IF(Statement_Uploaded="Yes",0,Fee_A))</f>
        <v>0.01</v>
      </c>
      <c r="D21" s="93" t="str">
        <f aca="false">IF(NOT(ISBLANK(Stmt_Charges)),"From your statement",IF(Statement_Uploaded="Yes","None shown on your statement","Your figure"))</f>
        <v>Your figure</v>
      </c>
      <c r="E21" s="83" t="s">
        <v>3551</v>
      </c>
    </row>
    <row r="22" customFormat="false" ht="21.75" hidden="false" customHeight="true" outlineLevel="0" collapsed="false">
      <c r="B22" s="59" t="s">
        <v>2909</v>
      </c>
      <c r="C22" s="79" t="str">
        <f aca="true">IF(ISBLANK(Stmt_Statement_Date),"",IF(TODAY()-Stmt_Statement_Date&gt;Statement_Max_Age_Days,"Needs a look: statement is more than 12 months old","Up to date"))</f>
        <v/>
      </c>
      <c r="D22" s="61"/>
      <c r="E22" s="76" t="s">
        <v>2910</v>
      </c>
    </row>
    <row r="24" customFormat="false" ht="15" hidden="false" customHeight="true" outlineLevel="0" collapsed="false">
      <c r="B24" s="55" t="s">
        <v>2630</v>
      </c>
      <c r="C24" s="56" t="s">
        <v>327</v>
      </c>
      <c r="D24" s="56" t="s">
        <v>2822</v>
      </c>
      <c r="E24" s="56" t="s">
        <v>2823</v>
      </c>
      <c r="F24" s="58"/>
      <c r="G24" s="58"/>
    </row>
    <row r="25" customFormat="false" ht="17.25" hidden="false" customHeight="true" outlineLevel="0" collapsed="false">
      <c r="B25" s="52" t="s">
        <v>3552</v>
      </c>
      <c r="C25" s="75" t="n">
        <f aca="false">IF(Need_1&lt;&gt;"",Need_1,ABS(Value_With_Fee_A-Value_With_Fee_B))</f>
        <v>0</v>
      </c>
      <c r="D25" s="61" t="s">
        <v>964</v>
      </c>
      <c r="E25" s="76" t="s">
        <v>3553</v>
      </c>
    </row>
    <row r="26" customFormat="false" ht="17.25" hidden="false" customHeight="true" outlineLevel="0" collapsed="false">
      <c r="B26" s="52" t="s">
        <v>3554</v>
      </c>
      <c r="C26" s="75" t="n">
        <f aca="false">IF(Need_2&lt;&gt;"",Need_2,Used_Amount_Invested*((1+Growth_Rate)*(1-Used_Fee_A))^Years)</f>
        <v>108507.530027422</v>
      </c>
      <c r="D26" s="61" t="s">
        <v>964</v>
      </c>
      <c r="E26" s="76" t="s">
        <v>3555</v>
      </c>
    </row>
    <row r="27" customFormat="false" ht="17.25" hidden="false" customHeight="true" outlineLevel="0" collapsed="false">
      <c r="B27" s="52" t="s">
        <v>3556</v>
      </c>
      <c r="C27" s="75" t="n">
        <f aca="false">IF(Need_3&lt;&gt;"",Need_3,Used_Amount_Invested*((1+Growth_Rate)*(1-Fee_B))^Years)</f>
        <v>108507.530027422</v>
      </c>
      <c r="D27" s="61" t="s">
        <v>964</v>
      </c>
      <c r="E27" s="76" t="s">
        <v>3557</v>
      </c>
    </row>
    <row r="28" customFormat="false" ht="15" hidden="false" customHeight="true" outlineLevel="0" collapsed="false">
      <c r="B28" s="59" t="s">
        <v>3558</v>
      </c>
      <c r="C28" s="99" t="n">
        <f aca="false">IF(Need_4&lt;&gt;"",Need_4,ABS(Fee_B-Used_Fee_A))</f>
        <v>0</v>
      </c>
      <c r="D28" s="61" t="s">
        <v>2814</v>
      </c>
      <c r="E28" s="76" t="s">
        <v>3559</v>
      </c>
    </row>
    <row r="30" customFormat="false" ht="15" hidden="false" customHeight="true" outlineLevel="0" collapsed="false">
      <c r="B30" s="55" t="s">
        <v>2853</v>
      </c>
      <c r="C30" s="58"/>
      <c r="D30" s="58"/>
      <c r="E30" s="58"/>
      <c r="F30" s="58"/>
      <c r="G30" s="58"/>
    </row>
    <row r="31" customFormat="false" ht="13.5" hidden="false" customHeight="true" outlineLevel="0" collapsed="false">
      <c r="B31" s="80" t="s">
        <v>3560</v>
      </c>
      <c r="C31" s="80"/>
      <c r="D31" s="80"/>
      <c r="E31" s="80"/>
    </row>
    <row r="32" customFormat="false" ht="13.5" hidden="false" customHeight="true" outlineLevel="0" collapsed="false">
      <c r="B32" s="81" t="s">
        <v>2856</v>
      </c>
      <c r="C32" s="81"/>
      <c r="D32" s="81"/>
      <c r="E32" s="81"/>
    </row>
    <row r="33" customFormat="false" ht="13.5" hidden="false" customHeight="true" outlineLevel="0" collapsed="false">
      <c r="B33" s="80" t="s">
        <v>3561</v>
      </c>
      <c r="C33" s="80"/>
      <c r="D33" s="80"/>
      <c r="E33" s="80"/>
    </row>
    <row r="35" customFormat="false" ht="15" hidden="false" customHeight="true" outlineLevel="0" collapsed="false">
      <c r="B35" s="55" t="s">
        <v>2861</v>
      </c>
      <c r="C35" s="58"/>
      <c r="D35" s="58"/>
      <c r="E35" s="58"/>
      <c r="F35" s="58"/>
      <c r="G35" s="58"/>
    </row>
    <row r="36" customFormat="false" ht="15" hidden="false" customHeight="true" outlineLevel="0" collapsed="false">
      <c r="B36" s="59" t="s">
        <v>1620</v>
      </c>
      <c r="C36" s="82" t="str">
        <f aca="false">"No goal"</f>
        <v>No goal</v>
      </c>
      <c r="E36" s="83" t="s">
        <v>3042</v>
      </c>
    </row>
    <row r="38" customFormat="false" ht="15" hidden="false" customHeight="true" outlineLevel="0" collapsed="false">
      <c r="B38" s="55" t="s">
        <v>2869</v>
      </c>
      <c r="C38" s="58"/>
      <c r="D38" s="58"/>
      <c r="E38" s="58"/>
      <c r="F38" s="58"/>
      <c r="G38" s="58"/>
    </row>
    <row r="39" customFormat="false" ht="15" hidden="false" customHeight="true" outlineLevel="0" collapsed="false">
      <c r="B39" s="86" t="s">
        <v>3562</v>
      </c>
      <c r="C39" s="86" t="str">
        <f aca="false">IF(Years="","Choose your years to see this",IF(NOT(ISNUMBER(Used_Amount_Invested)),IF(Used_Amount_Invested="",IF(Amount_Invested="","Choose your amount invested to see this",""),Used_Amount_Invested),IF(NOT(ISNUMBER(Used_Fee_A)),IF(Used_Fee_A="",IF(Fee_A="","Choose the first fee (fee A) to see this",""),Used_Fee_A),IF(Fee_B="","Choose the second fee (fee B) to see this",""))))</f>
        <v/>
      </c>
    </row>
    <row r="40" customFormat="false" ht="15" hidden="false" customHeight="true" outlineLevel="0" collapsed="false">
      <c r="B40" s="86" t="s">
        <v>3563</v>
      </c>
      <c r="C40" s="86" t="str">
        <f aca="false">IF(Years="","Choose your years to see this",IF(NOT(ISNUMBER(Used_Amount_Invested)),IF(Used_Amount_Invested="",IF(Amount_Invested="","Choose your amount invested to see this",""),Used_Amount_Invested),IF(NOT(ISNUMBER(Used_Fee_A)),IF(Used_Fee_A="",IF(Fee_A="","Choose the first fee (fee A) to see this",""),Used_Fee_A),IF(Fee_B="","Choose the second fee (fee B) to see this",""))))</f>
        <v/>
      </c>
    </row>
    <row r="41" customFormat="false" ht="15" hidden="false" customHeight="true" outlineLevel="0" collapsed="false">
      <c r="B41" s="86" t="s">
        <v>3564</v>
      </c>
      <c r="C41" s="86" t="str">
        <f aca="false">IF(Years="","Choose your years to see this",IF(NOT(ISNUMBER(Used_Amount_Invested)),IF(Used_Amount_Invested="",IF(Amount_Invested="","Choose your amount invested to see this",""),Used_Amount_Invested),IF(NOT(ISNUMBER(Used_Fee_A)),IF(Used_Fee_A="",IF(Fee_A="","Choose the first fee (fee A) to see this",""),Used_Fee_A),IF(Fee_B="","Choose the second fee (fee B) to see this",""))))</f>
        <v/>
      </c>
    </row>
    <row r="42" customFormat="false" ht="15" hidden="false" customHeight="true" outlineLevel="0" collapsed="false">
      <c r="B42" s="86" t="s">
        <v>3565</v>
      </c>
      <c r="C42" s="86" t="str">
        <f aca="false">IF(NOT(ISNUMBER(Used_Fee_A)),IF(Used_Fee_A="",IF(Fee_A="","Choose the first fee (fee A) to see this",""),Used_Fee_A),IF(Fee_B="","Choose the second fee (fee B) to see this",""))</f>
        <v/>
      </c>
    </row>
  </sheetData>
  <mergeCells count="4">
    <mergeCell ref="B6:E6"/>
    <mergeCell ref="B31:E31"/>
    <mergeCell ref="B32:E32"/>
    <mergeCell ref="B33:E33"/>
  </mergeCells>
  <dataValidations count="8">
    <dataValidation allowBlank="true" error="Please enter a date (dd/mm/yyyy)." errorStyle="stop" errorTitle="Outside the allowed range" operator="greaterThan" prompt="Unit: date. Allowed: a date (dd/mm/yyyy)." promptTitle="Statement date" showDropDown="false" showErrorMessage="true" showInputMessage="true" sqref="C9" type="date">
      <formula1>36526</formula1>
      <formula2>0</formula2>
    </dataValidation>
    <dataValidation allowBlank="true" error="Please enter 1 to 40 · steps of 1." errorStyle="stop" errorTitle="Outside the allowed range" operator="between" prompt="Your own figure.  Allowed: 1 to 40 · steps of 1." promptTitle="Years" showDropDown="false" showErrorMessage="true" showInputMessage="true" sqref="C13" type="whole">
      <formula1>1</formula1>
      <formula2>40</formula2>
    </dataValidation>
    <dataValidation allowBlank="true" error="Please enter 0% to 5%." errorStyle="stop" errorTitle="Outside the allowed range" operator="between" prompt="Unit: %. Allowed: 0% to 5%." promptTitle="Annual charges % (if shown)" showDropDown="false" showErrorMessage="true" showInputMessage="true" sqref="C8" type="decimal">
      <formula1>0</formula1>
      <formula2>0.05</formula2>
    </dataValidation>
    <dataValidation allowBlank="true" error="Please enter €0 to €100,000,000." errorStyle="stop" errorTitle="Outside the allowed range" operator="between" prompt="Unit: €. Allowed: €0 to €100,000,000." promptTitle="Total value" showDropDown="false" showErrorMessage="true" showInputMessage="true" sqref="C7" type="decimal">
      <formula1>0</formula1>
      <formula2>100000000</formula2>
    </dataValidation>
    <dataValidation allowBlank="true" error="Please enter 0% to 8% · steps of 0.5%." errorStyle="stop" errorTitle="Outside the allowed range" operator="between" prompt="Generally the standard is 5% a year before charges and tax for a mixed fund (LifeMap standard, not a forecast). Choose what you want to use.  Allowed: 0% to 8% · steps of 0.5%." promptTitle="Growth a year (before fees)" showDropDown="false" showErrorMessage="true" showInputMessage="true" sqref="C14" type="decimal">
      <formula1>0</formula1>
      <formula2>0.08</formula2>
    </dataValidation>
    <dataValidation allowBlank="true" error="Please enter €1,000 to €10,000,000 · steps of €100." errorStyle="stop" errorTitle="Outside the allowed range" operator="between" prompt="Your own figure. In the app it is pre-filled from Your finances / statement: investments.  Allowed: €1,000 to €10,000,000 · steps of €100." promptTitle="Amount invested" showDropDown="false" showErrorMessage="true" showInputMessage="true" sqref="C12" type="decimal">
      <formula1>1000</formula1>
      <formula2>10000000</formula2>
    </dataValidation>
    <dataValidation allowBlank="true" error="Please enter 0% to 3% · steps of 0.05%." errorStyle="stop" errorTitle="Outside the allowed range" operator="between" prompt="Your own fund charges (your statement shows them). A suggested figure and its source are shown beside this cell (Partner rates, Assumptions sheet). CCPC: usually 0.5%–2% a year. Allowed: 0% to 3% · steps of 0.1%" promptTitle="Fee A a year" showDropDown="false" showErrorMessage="true" showInputMessage="true" sqref="C15" type="decimal">
      <formula1>0</formula1>
      <formula2>0.03</formula2>
    </dataValidation>
    <dataValidation allowBlank="true" error="Please enter 0% to 3% · steps of 0.05%." errorStyle="stop" errorTitle="Outside the allowed range" operator="between" prompt="Your own fund charges (your statement shows them). A suggested figure and its source are shown beside this cell (Partner rates, Assumptions sheet). CCPC: usually 0.5%–2% a year. Allowed: 0% to 3% · steps of 0.1%" promptTitle="Fee B a year" showDropDown="false" showErrorMessage="true" showInputMessage="true" sqref="C16" type="decimal">
      <formula1>0</formula1>
      <formula2>0.03</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2B134"/>
    <pageSetUpPr fitToPage="false"/>
  </sheetPr>
  <dimension ref="B1:G5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20" width="2"/>
    <col collapsed="false" customWidth="true" hidden="false" outlineLevel="0" max="2" min="2" style="20" width="50"/>
    <col collapsed="false" customWidth="true" hidden="false" outlineLevel="0" max="3" min="3" style="20" width="26"/>
    <col collapsed="false" customWidth="true" hidden="false" outlineLevel="0" max="4" min="4" style="20" width="24"/>
    <col collapsed="false" customWidth="true" hidden="false" outlineLevel="0" max="5" min="5" style="20" width="78"/>
    <col collapsed="false" customWidth="true" hidden="false" outlineLevel="0" max="6" min="6" style="20" width="14"/>
    <col collapsed="false" customWidth="true" hidden="false" outlineLevel="0" max="7" min="7" style="20" width="16"/>
  </cols>
  <sheetData>
    <row r="1" customFormat="false" ht="19.5" hidden="false" customHeight="true" outlineLevel="0" collapsed="false">
      <c r="B1" s="50" t="s">
        <v>3566</v>
      </c>
      <c r="E1" s="51" t="s">
        <v>3567</v>
      </c>
    </row>
    <row r="2" customFormat="false" ht="15" hidden="false" customHeight="true" outlineLevel="0" collapsed="false">
      <c r="B2" s="52" t="s">
        <v>3568</v>
      </c>
      <c r="E2" s="53" t="str">
        <f aca="false">IF(Fill_Example="Yes","Example values are ON (README): grey Example only figures fill blank inputs.","Blank template: fill the yellow inputs (or switch on example values on the README).")</f>
        <v>Example values are ON (README): grey Example only figures fill blank inputs.</v>
      </c>
    </row>
    <row r="3" customFormat="false" ht="15" hidden="false" customHeight="true" outlineLevel="0" collapsed="false">
      <c r="B3" s="54" t="s">
        <v>3569</v>
      </c>
    </row>
    <row r="5" customFormat="false" ht="15" hidden="false" customHeight="true" outlineLevel="0" collapsed="false">
      <c r="B5" s="55" t="s">
        <v>2882</v>
      </c>
      <c r="C5" s="58"/>
      <c r="D5" s="58"/>
      <c r="E5" s="58"/>
      <c r="F5" s="58"/>
      <c r="G5" s="58"/>
    </row>
    <row r="6" customFormat="false" ht="27.75" hidden="false" customHeight="true" outlineLevel="0" collapsed="false">
      <c r="B6" s="87" t="s">
        <v>3198</v>
      </c>
      <c r="C6" s="87"/>
      <c r="D6" s="87"/>
      <c r="E6" s="87"/>
    </row>
    <row r="7" customFormat="false" ht="15" hidden="false" customHeight="true" outlineLevel="0" collapsed="false">
      <c r="B7" s="59" t="s">
        <v>3199</v>
      </c>
      <c r="C7" s="88"/>
      <c r="D7" s="61" t="s">
        <v>964</v>
      </c>
      <c r="E7" s="62" t="s">
        <v>3200</v>
      </c>
      <c r="G7" s="86" t="s">
        <v>2886</v>
      </c>
    </row>
    <row r="8" customFormat="false" ht="15" hidden="false" customHeight="true" outlineLevel="0" collapsed="false">
      <c r="B8" s="59" t="s">
        <v>3570</v>
      </c>
      <c r="C8" s="89"/>
      <c r="D8" s="61" t="s">
        <v>2814</v>
      </c>
      <c r="E8" s="62" t="s">
        <v>3571</v>
      </c>
      <c r="G8" s="86" t="s">
        <v>2886</v>
      </c>
    </row>
    <row r="9" customFormat="false" ht="15" hidden="false" customHeight="true" outlineLevel="0" collapsed="false">
      <c r="B9" s="59" t="s">
        <v>2891</v>
      </c>
      <c r="C9" s="91"/>
      <c r="D9" s="61" t="s">
        <v>922</v>
      </c>
      <c r="E9" s="62" t="s">
        <v>2892</v>
      </c>
      <c r="G9" s="86" t="s">
        <v>2886</v>
      </c>
    </row>
    <row r="11" customFormat="false" ht="15" hidden="false" customHeight="true" outlineLevel="0" collapsed="false">
      <c r="B11" s="55" t="s">
        <v>2893</v>
      </c>
      <c r="C11" s="56" t="s">
        <v>912</v>
      </c>
      <c r="D11" s="56" t="s">
        <v>913</v>
      </c>
      <c r="E11" s="56" t="s">
        <v>2804</v>
      </c>
      <c r="F11" s="57" t="s">
        <v>2805</v>
      </c>
      <c r="G11" s="58"/>
    </row>
    <row r="12" customFormat="false" ht="21.75" hidden="false" customHeight="true" outlineLevel="0" collapsed="false">
      <c r="B12" s="59" t="s">
        <v>3203</v>
      </c>
      <c r="C12" s="60"/>
      <c r="D12" s="61" t="s">
        <v>964</v>
      </c>
      <c r="E12" s="62" t="s">
        <v>3546</v>
      </c>
      <c r="F12" s="63" t="n">
        <v>20000</v>
      </c>
      <c r="G12" s="64" t="n">
        <f aca="false">IF(ISBLANK(C12),IF(Fill_Example="Yes",F12,""),C12)</f>
        <v>20000</v>
      </c>
    </row>
    <row r="13" customFormat="false" ht="15" hidden="false" customHeight="true" outlineLevel="0" collapsed="false">
      <c r="B13" s="59" t="s">
        <v>2487</v>
      </c>
      <c r="C13" s="72"/>
      <c r="D13" s="61" t="s">
        <v>1002</v>
      </c>
      <c r="E13" s="62" t="s">
        <v>3080</v>
      </c>
      <c r="F13" s="73" t="n">
        <v>10</v>
      </c>
      <c r="G13" s="74" t="n">
        <f aca="false">IF(AND(ISNUMBER(C13),N(C13)&lt;1),"",IF(ISBLANK(C13),IF(Fill_Example="Yes",F13,""),C13))</f>
        <v>10</v>
      </c>
    </row>
    <row r="14" customFormat="false" ht="21.75" hidden="false" customHeight="true" outlineLevel="0" collapsed="false">
      <c r="B14" s="59" t="s">
        <v>3572</v>
      </c>
      <c r="C14" s="72"/>
      <c r="D14" s="61" t="s">
        <v>3573</v>
      </c>
      <c r="E14" s="69" t="s">
        <v>3574</v>
      </c>
      <c r="F14" s="73" t="n">
        <f aca="false">Set_style</f>
        <v>2</v>
      </c>
      <c r="G14" s="74" t="n">
        <f aca="false">IF(AND(ISNUMBER(C14),OR(N(C14)&lt;1,N(C14)&gt;3)),"",IF(ISBLANK(C14),F14,C14))</f>
        <v>2</v>
      </c>
    </row>
    <row r="15" customFormat="false" ht="21.75" hidden="false" customHeight="true" outlineLevel="0" collapsed="false">
      <c r="B15" s="59" t="s">
        <v>3575</v>
      </c>
      <c r="C15" s="68"/>
      <c r="D15" s="61" t="s">
        <v>2814</v>
      </c>
      <c r="E15" s="69" t="s">
        <v>3576</v>
      </c>
      <c r="F15" s="70" t="n">
        <f aca="false">Set_riskMu_1</f>
        <v>0.02</v>
      </c>
      <c r="G15" s="71" t="n">
        <f aca="false">IF(ISBLANK(C15),F15,C15)</f>
        <v>0.02</v>
      </c>
    </row>
    <row r="16" customFormat="false" ht="21.75" hidden="false" customHeight="true" outlineLevel="0" collapsed="false">
      <c r="B16" s="59" t="s">
        <v>3577</v>
      </c>
      <c r="C16" s="68"/>
      <c r="D16" s="61" t="s">
        <v>2814</v>
      </c>
      <c r="E16" s="69" t="s">
        <v>3578</v>
      </c>
      <c r="F16" s="70" t="n">
        <f aca="false">Set_riskMu_2</f>
        <v>0.04</v>
      </c>
      <c r="G16" s="71" t="n">
        <f aca="false">IF(ISBLANK(C16),F16,C16)</f>
        <v>0.04</v>
      </c>
    </row>
    <row r="17" customFormat="false" ht="21.75" hidden="false" customHeight="true" outlineLevel="0" collapsed="false">
      <c r="B17" s="59" t="s">
        <v>3579</v>
      </c>
      <c r="C17" s="68"/>
      <c r="D17" s="61" t="s">
        <v>2814</v>
      </c>
      <c r="E17" s="69" t="s">
        <v>3580</v>
      </c>
      <c r="F17" s="70" t="n">
        <f aca="false">Set_riskMu_3</f>
        <v>0.06</v>
      </c>
      <c r="G17" s="71" t="n">
        <f aca="false">IF(ISBLANK(C17),F17,C17)</f>
        <v>0.06</v>
      </c>
    </row>
    <row r="18" customFormat="false" ht="21.75" hidden="false" customHeight="true" outlineLevel="0" collapsed="false">
      <c r="B18" s="59" t="s">
        <v>3581</v>
      </c>
      <c r="C18" s="68"/>
      <c r="D18" s="61" t="s">
        <v>2814</v>
      </c>
      <c r="E18" s="69" t="s">
        <v>3582</v>
      </c>
      <c r="F18" s="70" t="n">
        <f aca="false">Set_riskVol_1</f>
        <v>0.05</v>
      </c>
      <c r="G18" s="71" t="n">
        <f aca="false">IF(ISBLANK(C18),F18,C18)</f>
        <v>0.05</v>
      </c>
    </row>
    <row r="19" customFormat="false" ht="21.75" hidden="false" customHeight="true" outlineLevel="0" collapsed="false">
      <c r="B19" s="59" t="s">
        <v>3583</v>
      </c>
      <c r="C19" s="68"/>
      <c r="D19" s="61" t="s">
        <v>2814</v>
      </c>
      <c r="E19" s="69" t="s">
        <v>3584</v>
      </c>
      <c r="F19" s="70" t="n">
        <f aca="false">Set_riskVol_2</f>
        <v>0.1</v>
      </c>
      <c r="G19" s="71" t="n">
        <f aca="false">IF(ISBLANK(C19),F19,C19)</f>
        <v>0.1</v>
      </c>
    </row>
    <row r="20" customFormat="false" ht="21.75" hidden="false" customHeight="true" outlineLevel="0" collapsed="false">
      <c r="B20" s="59" t="s">
        <v>3585</v>
      </c>
      <c r="C20" s="68"/>
      <c r="D20" s="61" t="s">
        <v>2814</v>
      </c>
      <c r="E20" s="69" t="s">
        <v>3586</v>
      </c>
      <c r="F20" s="70" t="n">
        <f aca="false">Set_riskVol_3</f>
        <v>0.16</v>
      </c>
      <c r="G20" s="71" t="n">
        <f aca="false">IF(ISBLANK(C20),F20,C20)</f>
        <v>0.16</v>
      </c>
    </row>
    <row r="22" customFormat="false" ht="15" hidden="false" customHeight="true" outlineLevel="0" collapsed="false">
      <c r="B22" s="55" t="s">
        <v>2902</v>
      </c>
      <c r="C22" s="58"/>
      <c r="D22" s="58"/>
      <c r="E22" s="58"/>
      <c r="F22" s="58"/>
      <c r="G22" s="58"/>
    </row>
    <row r="23" customFormat="false" ht="15" hidden="false" customHeight="true" outlineLevel="0" collapsed="false">
      <c r="B23" s="59" t="s">
        <v>3203</v>
      </c>
      <c r="C23" s="92" t="n">
        <f aca="false">IF(ISBLANK(Stmt_Total_Value),Amount,Stmt_Total_Value)</f>
        <v>20000</v>
      </c>
      <c r="D23" s="93" t="str">
        <f aca="false">IF(ISBLANK(Stmt_Total_Value),"Your figure","From your statement")</f>
        <v>Your figure</v>
      </c>
      <c r="E23" s="83" t="s">
        <v>3213</v>
      </c>
    </row>
    <row r="24" customFormat="false" ht="15" hidden="false" customHeight="true" outlineLevel="0" collapsed="false">
      <c r="B24" s="59" t="s">
        <v>3587</v>
      </c>
      <c r="C24" s="95" t="n">
        <f aca="false">IF(ISBLANK(Stmt_Shares_Pct),Style,IF(Stmt_Shares_Pct&gt;=Shares_For_Growth,3,IF(Stmt_Shares_Pct&gt;=Shares_For_Balanced,2,1)))</f>
        <v>2</v>
      </c>
      <c r="D24" s="93" t="str">
        <f aca="false">IF(ISBLANK(Stmt_Shares_Pct),"Your figure","From your statement (holdings in shares)")</f>
        <v>Your figure</v>
      </c>
      <c r="E24" s="83" t="s">
        <v>3588</v>
      </c>
    </row>
    <row r="25" customFormat="false" ht="21.75" hidden="false" customHeight="true" outlineLevel="0" collapsed="false">
      <c r="B25" s="59" t="s">
        <v>2909</v>
      </c>
      <c r="C25" s="79" t="str">
        <f aca="true">IF(ISBLANK(Stmt_Statement_Date),"",IF(TODAY()-Stmt_Statement_Date&gt;Statement_Max_Age_Days,"Needs a look: statement is more than 12 months old","Up to date"))</f>
        <v/>
      </c>
      <c r="D25" s="61"/>
      <c r="E25" s="76" t="s">
        <v>2910</v>
      </c>
    </row>
    <row r="27" customFormat="false" ht="15" hidden="false" customHeight="true" outlineLevel="0" collapsed="false">
      <c r="B27" s="55" t="s">
        <v>2630</v>
      </c>
      <c r="C27" s="56" t="s">
        <v>327</v>
      </c>
      <c r="D27" s="56" t="s">
        <v>2822</v>
      </c>
      <c r="E27" s="56" t="s">
        <v>2823</v>
      </c>
      <c r="F27" s="58"/>
      <c r="G27" s="58"/>
    </row>
    <row r="28" customFormat="false" ht="17.25" hidden="false" customHeight="true" outlineLevel="0" collapsed="false">
      <c r="B28" s="52" t="s">
        <v>3589</v>
      </c>
      <c r="C28" s="75" t="n">
        <f aca="false">IF(Need_1&lt;&gt;"",Need_1,Used_Amount*(1+Middle_Growth)^Years)</f>
        <v>29604.8856983669</v>
      </c>
      <c r="D28" s="97" t="str">
        <f aca="false">IF(Need_1&lt;&gt;"",Need_1,Style_Name&amp;" · middle outcome")</f>
        <v>Balanced · middle outcome</v>
      </c>
      <c r="E28" s="76" t="s">
        <v>3590</v>
      </c>
    </row>
    <row r="29" customFormat="false" ht="17.25" hidden="false" customHeight="true" outlineLevel="0" collapsed="false">
      <c r="B29" s="52" t="s">
        <v>3591</v>
      </c>
      <c r="C29" s="75" t="n">
        <f aca="false">IF(Need_2&lt;&gt;"",Need_2,Used_Amount*(1+Middle_Growth-Spread)^Years)</f>
        <v>21740.0366081633</v>
      </c>
      <c r="D29" s="61" t="s">
        <v>964</v>
      </c>
      <c r="E29" s="76" t="s">
        <v>3592</v>
      </c>
    </row>
    <row r="30" customFormat="false" ht="17.25" hidden="false" customHeight="true" outlineLevel="0" collapsed="false">
      <c r="B30" s="52" t="s">
        <v>3593</v>
      </c>
      <c r="C30" s="75" t="n">
        <f aca="false">IF(Need_2&lt;&gt;"",Need_2,Used_Amount*(1+Middle_Growth+Spread)^Years)</f>
        <v>39943.7975878142</v>
      </c>
      <c r="D30" s="61" t="s">
        <v>964</v>
      </c>
      <c r="E30" s="76" t="s">
        <v>3594</v>
      </c>
    </row>
    <row r="31" customFormat="false" ht="15" hidden="false" customHeight="true" outlineLevel="0" collapsed="false">
      <c r="B31" s="59" t="s">
        <v>3595</v>
      </c>
      <c r="C31" s="99" t="n">
        <f aca="false">IF(Need_3&lt;&gt;"",Need_3,ROUND((Volatility*One_In_20_Z-Middle_Growth)*100,0)/100)</f>
        <v>0.12</v>
      </c>
      <c r="D31" s="61" t="s">
        <v>2814</v>
      </c>
      <c r="E31" s="76" t="s">
        <v>3596</v>
      </c>
    </row>
    <row r="32" customFormat="false" ht="15" hidden="false" customHeight="true" outlineLevel="0" collapsed="false">
      <c r="B32" s="59" t="s">
        <v>3587</v>
      </c>
      <c r="C32" s="79" t="str">
        <f aca="false">IF(Need_4&lt;&gt;"",Need_4,IF(OR(Used_Style&lt;1,Used_Style&gt;3,Used_Style&lt;&gt;INT(Used_Style)),"Choose 1, 2 or 3",INDEX(Risk_Names,Used_Style)))</f>
        <v>Balanced</v>
      </c>
      <c r="D32" s="61"/>
      <c r="E32" s="76" t="s">
        <v>3597</v>
      </c>
    </row>
    <row r="33" customFormat="false" ht="15" hidden="false" customHeight="true" outlineLevel="0" collapsed="false">
      <c r="B33" s="59" t="s">
        <v>3598</v>
      </c>
      <c r="C33" s="99" t="n">
        <f aca="false">IF(Need_5&lt;&gt;"",Need_5,CHOOSE(Used_Style,Mu_Cautious,Mu_Balanced,Mu_Growth))</f>
        <v>0.04</v>
      </c>
      <c r="D33" s="61" t="s">
        <v>2814</v>
      </c>
      <c r="E33" s="76" t="s">
        <v>3599</v>
      </c>
    </row>
    <row r="34" customFormat="false" ht="15" hidden="false" customHeight="true" outlineLevel="0" collapsed="false">
      <c r="B34" s="59" t="s">
        <v>3600</v>
      </c>
      <c r="C34" s="99" t="n">
        <f aca="false">IF(Need_6&lt;&gt;"",Need_6,CHOOSE(Used_Style,Vol_Cautious,Vol_Balanced,Vol_Growth))</f>
        <v>0.1</v>
      </c>
      <c r="D34" s="61" t="s">
        <v>2814</v>
      </c>
      <c r="E34" s="76" t="s">
        <v>3601</v>
      </c>
    </row>
    <row r="35" customFormat="false" ht="15" hidden="false" customHeight="true" outlineLevel="0" collapsed="false">
      <c r="B35" s="59" t="s">
        <v>3602</v>
      </c>
      <c r="C35" s="98" t="n">
        <f aca="false">IF(Need_7&lt;&gt;"",Need_7,Volatility/SQRT(Years))</f>
        <v>0.0316227766016838</v>
      </c>
      <c r="D35" s="61"/>
      <c r="E35" s="76" t="s">
        <v>3603</v>
      </c>
    </row>
    <row r="37" customFormat="false" ht="15" hidden="false" customHeight="true" outlineLevel="0" collapsed="false">
      <c r="B37" s="55" t="s">
        <v>2853</v>
      </c>
      <c r="C37" s="58"/>
      <c r="D37" s="58"/>
      <c r="E37" s="58"/>
      <c r="F37" s="58"/>
      <c r="G37" s="58"/>
    </row>
    <row r="38" customFormat="false" ht="27.75" hidden="false" customHeight="true" outlineLevel="0" collapsed="false">
      <c r="B38" s="80" t="s">
        <v>3604</v>
      </c>
      <c r="C38" s="80"/>
      <c r="D38" s="80"/>
      <c r="E38" s="80"/>
    </row>
    <row r="39" customFormat="false" ht="13.5" hidden="false" customHeight="true" outlineLevel="0" collapsed="false">
      <c r="B39" s="80" t="s">
        <v>3605</v>
      </c>
      <c r="C39" s="80"/>
      <c r="D39" s="80"/>
      <c r="E39" s="80"/>
    </row>
    <row r="40" customFormat="false" ht="13.5" hidden="false" customHeight="true" outlineLevel="0" collapsed="false">
      <c r="B40" s="81" t="s">
        <v>2856</v>
      </c>
      <c r="C40" s="81"/>
      <c r="D40" s="81"/>
      <c r="E40" s="81"/>
    </row>
    <row r="41" customFormat="false" ht="13.5" hidden="false" customHeight="true" outlineLevel="0" collapsed="false">
      <c r="B41" s="80" t="s">
        <v>3606</v>
      </c>
      <c r="C41" s="80"/>
      <c r="D41" s="80"/>
      <c r="E41" s="80"/>
    </row>
    <row r="42" customFormat="false" ht="13.5" hidden="false" customHeight="true" outlineLevel="0" collapsed="false">
      <c r="B42" s="80" t="s">
        <v>3607</v>
      </c>
      <c r="C42" s="80"/>
      <c r="D42" s="80"/>
      <c r="E42" s="80"/>
    </row>
    <row r="44" customFormat="false" ht="15" hidden="false" customHeight="true" outlineLevel="0" collapsed="false">
      <c r="B44" s="55" t="s">
        <v>2861</v>
      </c>
      <c r="C44" s="58"/>
      <c r="D44" s="58"/>
      <c r="E44" s="58"/>
      <c r="F44" s="58"/>
      <c r="G44" s="58"/>
    </row>
    <row r="45" customFormat="false" ht="15" hidden="false" customHeight="true" outlineLevel="0" collapsed="false">
      <c r="B45" s="59" t="s">
        <v>1620</v>
      </c>
      <c r="C45" s="82" t="str">
        <f aca="false">"No goal"</f>
        <v>No goal</v>
      </c>
      <c r="E45" s="83" t="s">
        <v>3042</v>
      </c>
    </row>
    <row r="47" customFormat="false" ht="15" hidden="false" customHeight="true" outlineLevel="0" collapsed="false">
      <c r="B47" s="55" t="s">
        <v>2869</v>
      </c>
      <c r="C47" s="58"/>
      <c r="D47" s="58"/>
      <c r="E47" s="58"/>
      <c r="F47" s="58"/>
      <c r="G47" s="58"/>
    </row>
    <row r="48" customFormat="false" ht="15" hidden="false" customHeight="true" outlineLevel="0" collapsed="false">
      <c r="B48" s="86" t="s">
        <v>3608</v>
      </c>
      <c r="C48" s="86" t="str">
        <f aca="false">IF(Years="","Choose your years to see this",IF(NOT(ISNUMBER(Used_Amount)),IF(Used_Amount="",IF(Amount="","Choose your amount to see this",""),Used_Amount),""))</f>
        <v/>
      </c>
    </row>
    <row r="49" customFormat="false" ht="15" hidden="false" customHeight="true" outlineLevel="0" collapsed="false">
      <c r="B49" s="86" t="s">
        <v>3609</v>
      </c>
      <c r="C49" s="86" t="str">
        <f aca="false">IF(Years="","Choose your years to see this",IF(NOT(ISNUMBER(Used_Amount)),IF(Used_Amount="",IF(Amount="","Choose your amount to see this",""),Used_Amount),""))</f>
        <v/>
      </c>
    </row>
    <row r="50" customFormat="false" ht="15" hidden="false" customHeight="true" outlineLevel="0" collapsed="false">
      <c r="B50" s="86" t="s">
        <v>3610</v>
      </c>
      <c r="C50" s="86" t="str">
        <f aca="false">""</f>
        <v/>
      </c>
    </row>
    <row r="51" customFormat="false" ht="15" hidden="false" customHeight="true" outlineLevel="0" collapsed="false">
      <c r="B51" s="86" t="s">
        <v>3611</v>
      </c>
      <c r="C51" s="86" t="str">
        <f aca="false">""</f>
        <v/>
      </c>
    </row>
    <row r="52" customFormat="false" ht="15" hidden="false" customHeight="true" outlineLevel="0" collapsed="false">
      <c r="B52" s="86" t="s">
        <v>3612</v>
      </c>
      <c r="C52" s="86" t="str">
        <f aca="false">""</f>
        <v/>
      </c>
    </row>
    <row r="53" customFormat="false" ht="15" hidden="false" customHeight="true" outlineLevel="0" collapsed="false">
      <c r="B53" s="86" t="s">
        <v>3613</v>
      </c>
      <c r="C53" s="86" t="str">
        <f aca="false">""</f>
        <v/>
      </c>
    </row>
    <row r="54" customFormat="false" ht="15" hidden="false" customHeight="true" outlineLevel="0" collapsed="false">
      <c r="B54" s="86" t="s">
        <v>3614</v>
      </c>
      <c r="C54" s="86" t="str">
        <f aca="false">IF(Years="","Choose your years to see this","")</f>
        <v/>
      </c>
    </row>
    <row r="56" customFormat="false" ht="15" hidden="false" customHeight="true" outlineLevel="0" collapsed="false">
      <c r="B56" s="25" t="s">
        <v>3615</v>
      </c>
    </row>
  </sheetData>
  <mergeCells count="6">
    <mergeCell ref="B6:E6"/>
    <mergeCell ref="B38:E38"/>
    <mergeCell ref="B39:E39"/>
    <mergeCell ref="B40:E40"/>
    <mergeCell ref="B41:E41"/>
    <mergeCell ref="B42:E42"/>
  </mergeCells>
  <dataValidations count="12">
    <dataValidation allowBlank="true" error="Please enter a date (dd/mm/yyyy)." errorStyle="stop" errorTitle="Outside the allowed range" operator="greaterThan" prompt="Unit: date. Allowed: a date (dd/mm/yyyy)." promptTitle="Statement date" showDropDown="false" showErrorMessage="true" showInputMessage="true" sqref="C9" type="date">
      <formula1>36526</formula1>
      <formula2>0</formula2>
    </dataValidation>
    <dataValidation allowBlank="true" error="Please enter €0 to €100,000,000." errorStyle="stop" errorTitle="Outside the allowed range" operator="between" prompt="Unit: €. Allowed: €0 to €100,000,000." promptTitle="Total value" showDropDown="false" showErrorMessage="true" showInputMessage="true" sqref="C7" type="decimal">
      <formula1>0</formula1>
      <formula2>100000000</formula2>
    </dataValidation>
    <dataValidation allowBlank="true" error="Please enter 0% to 100%." errorStyle="stop" errorTitle="Outside the allowed range" operator="between" prompt="Unit: %. Allowed: 0% to 100%." promptTitle="Holdings in shares % (if shown)" showDropDown="false" showErrorMessage="true" showInputMessage="true" sqref="C8" type="decimal">
      <formula1>0</formula1>
      <formula2>1</formula2>
    </dataValidation>
    <dataValidation allowBlank="true" error="Please enter €1,000 to €10,000,000 · steps of €100." errorStyle="stop" errorTitle="Outside the allowed range" operator="between" prompt="Your own figure. In the app it is pre-filled from Your finances / statement: investments.  Allowed: €1,000 to €10,000,000 · steps of €100." promptTitle="Amount" showDropDown="false" showErrorMessage="true" showInputMessage="true" sqref="C12" type="decimal">
      <formula1>1000</formula1>
      <formula2>10000000</formula2>
    </dataValidation>
    <dataValidation allowBlank="true" error="Please enter 1 to 30 · steps of 1." errorStyle="stop" errorTitle="Outside the allowed range" operator="between" prompt="Your own figure.  Allowed: 1 to 30 · steps of 1." promptTitle="Years" showDropDown="false" showErrorMessage="true" showInputMessage="true" sqref="C13" type="whole">
      <formula1>1</formula1>
      <formula2>30</formula2>
    </dataValidation>
    <dataValidation allowBlank="true" error="Please enter 1 or 2 or 3." errorStyle="stop" errorTitle="Outside the allowed range" operator="between" prompt="Generally the standard is 2 Balanced (an adviser checks your attitude to risk). Choose what you want to use.  Allowed: 1 or 2 or 3." promptTitle="Style: 1 Cautious · 2 Balanced ·" showDropDown="false" showErrorMessage="true" showInputMessage="true" sqref="C14" type="list">
      <formula1>"1,2,3"</formula1>
      <formula2>0</formula2>
    </dataValidation>
    <dataValidation allowBlank="true" error="Please enter 0% to 8% · steps of 0.5%." errorStyle="stop" errorTitle="Outside the allowed range" operator="between" prompt="Generally the standard is 2% a year for Cautious (illustration). Choose what you want to use.  Allowed: 0% to 8% · steps of 0.5%." promptTitle="Cautious: middle growth a year" showDropDown="false" showErrorMessage="true" showInputMessage="true" sqref="C15" type="decimal">
      <formula1>0</formula1>
      <formula2>0.08</formula2>
    </dataValidation>
    <dataValidation allowBlank="true" error="Please enter 0% to 8% · steps of 0.5%." errorStyle="stop" errorTitle="Outside the allowed range" operator="between" prompt="Generally the standard is 4% a year for Balanced (illustration). Choose what you want to use.  Allowed: 0% to 8% · steps of 0.5%." promptTitle="Balanced: middle growth a year" showDropDown="false" showErrorMessage="true" showInputMessage="true" sqref="C16" type="decimal">
      <formula1>0</formula1>
      <formula2>0.08</formula2>
    </dataValidation>
    <dataValidation allowBlank="true" error="Please enter 0% to 8% · steps of 0.5%." errorStyle="stop" errorTitle="Outside the allowed range" operator="between" prompt="Generally the standard is 6% a year for Growth (illustration). Choose what you want to use.  Allowed: 0% to 8% · steps of 0.5%." promptTitle="Growth: middle growth a year" showDropDown="false" showErrorMessage="true" showInputMessage="true" sqref="C17" type="decimal">
      <formula1>0</formula1>
      <formula2>0.08</formula2>
    </dataValidation>
    <dataValidation allowBlank="true" error="Please enter 0% to 25% · steps of 0.5%." errorStyle="stop" errorTitle="Outside the allowed range" operator="between" prompt="Generally the standard is 5% a year for Cautious (illustration). Choose what you want to use.  Allowed: 0% to 25% · steps of 0.5%." promptTitle="Cautious: volatility a year" showDropDown="false" showErrorMessage="true" showInputMessage="true" sqref="C18" type="decimal">
      <formula1>0</formula1>
      <formula2>0.25</formula2>
    </dataValidation>
    <dataValidation allowBlank="true" error="Please enter 0% to 25% · steps of 0.5%." errorStyle="stop" errorTitle="Outside the allowed range" operator="between" prompt="Generally the standard is 10% a year for Balanced (illustration). Choose what you want to use.  Allowed: 0% to 25% · steps of 0.5%." promptTitle="Balanced: volatility a year" showDropDown="false" showErrorMessage="true" showInputMessage="true" sqref="C19" type="decimal">
      <formula1>0</formula1>
      <formula2>0.25</formula2>
    </dataValidation>
    <dataValidation allowBlank="true" error="Please enter 0% to 25% · steps of 0.5%." errorStyle="stop" errorTitle="Outside the allowed range" operator="between" prompt="Generally the standard is 16% a year for Growth (illustration). Choose what you want to use.  Allowed: 0% to 25% · steps of 0.5%." promptTitle="Growth: volatility a year" showDropDown="false" showErrorMessage="true" showInputMessage="true" sqref="C20" type="decimal">
      <formula1>0</formula1>
      <formula2>0.25</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2B134"/>
    <pageSetUpPr fitToPage="false"/>
  </sheetPr>
  <dimension ref="B1:G5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20" width="2"/>
    <col collapsed="false" customWidth="true" hidden="false" outlineLevel="0" max="2" min="2" style="20" width="50"/>
    <col collapsed="false" customWidth="true" hidden="false" outlineLevel="0" max="3" min="3" style="20" width="26"/>
    <col collapsed="false" customWidth="true" hidden="false" outlineLevel="0" max="4" min="4" style="20" width="24"/>
    <col collapsed="false" customWidth="true" hidden="false" outlineLevel="0" max="5" min="5" style="20" width="78"/>
    <col collapsed="false" customWidth="true" hidden="false" outlineLevel="0" max="6" min="6" style="20" width="14"/>
    <col collapsed="false" customWidth="true" hidden="false" outlineLevel="0" max="7" min="7" style="20" width="16"/>
  </cols>
  <sheetData>
    <row r="1" customFormat="false" ht="19.5" hidden="false" customHeight="true" outlineLevel="0" collapsed="false">
      <c r="B1" s="50" t="s">
        <v>3616</v>
      </c>
      <c r="E1" s="51" t="s">
        <v>3617</v>
      </c>
    </row>
    <row r="2" customFormat="false" ht="15" hidden="false" customHeight="true" outlineLevel="0" collapsed="false">
      <c r="B2" s="52" t="s">
        <v>3618</v>
      </c>
      <c r="E2" s="53" t="str">
        <f aca="false">IF(Fill_Example="Yes","Example values are ON (README): grey Example only figures fill blank inputs.","Blank template: fill the yellow inputs (or switch on example values on the README).")</f>
        <v>Example values are ON (README): grey Example only figures fill blank inputs.</v>
      </c>
    </row>
    <row r="3" customFormat="false" ht="15" hidden="false" customHeight="true" outlineLevel="0" collapsed="false">
      <c r="B3" s="54" t="s">
        <v>3619</v>
      </c>
    </row>
    <row r="5" customFormat="false" ht="15" hidden="false" customHeight="true" outlineLevel="0" collapsed="false">
      <c r="B5" s="55" t="s">
        <v>2882</v>
      </c>
      <c r="C5" s="58"/>
      <c r="D5" s="58"/>
      <c r="E5" s="58"/>
      <c r="F5" s="58"/>
      <c r="G5" s="58"/>
    </row>
    <row r="6" customFormat="false" ht="27.75" hidden="false" customHeight="true" outlineLevel="0" collapsed="false">
      <c r="B6" s="87" t="s">
        <v>2883</v>
      </c>
      <c r="C6" s="87"/>
      <c r="D6" s="87"/>
      <c r="E6" s="87"/>
    </row>
    <row r="7" customFormat="false" ht="15" hidden="false" customHeight="true" outlineLevel="0" collapsed="false">
      <c r="B7" s="59" t="s">
        <v>2884</v>
      </c>
      <c r="C7" s="88"/>
      <c r="D7" s="61" t="s">
        <v>964</v>
      </c>
      <c r="E7" s="62" t="s">
        <v>2885</v>
      </c>
      <c r="G7" s="86" t="s">
        <v>2886</v>
      </c>
    </row>
    <row r="8" customFormat="false" ht="15" hidden="false" customHeight="true" outlineLevel="0" collapsed="false">
      <c r="B8" s="59" t="s">
        <v>2891</v>
      </c>
      <c r="C8" s="91"/>
      <c r="D8" s="61" t="s">
        <v>922</v>
      </c>
      <c r="E8" s="62" t="s">
        <v>2892</v>
      </c>
      <c r="G8" s="86" t="s">
        <v>2886</v>
      </c>
    </row>
    <row r="10" customFormat="false" ht="15" hidden="false" customHeight="true" outlineLevel="0" collapsed="false">
      <c r="B10" s="55" t="s">
        <v>2893</v>
      </c>
      <c r="C10" s="56" t="s">
        <v>912</v>
      </c>
      <c r="D10" s="56" t="s">
        <v>913</v>
      </c>
      <c r="E10" s="56" t="s">
        <v>2804</v>
      </c>
      <c r="F10" s="57" t="s">
        <v>2805</v>
      </c>
      <c r="G10" s="58"/>
    </row>
    <row r="11" customFormat="false" ht="21.75" hidden="false" customHeight="true" outlineLevel="0" collapsed="false">
      <c r="B11" s="59" t="s">
        <v>970</v>
      </c>
      <c r="C11" s="60"/>
      <c r="D11" s="61" t="s">
        <v>964</v>
      </c>
      <c r="E11" s="62" t="s">
        <v>3620</v>
      </c>
      <c r="F11" s="63" t="n">
        <v>60000</v>
      </c>
      <c r="G11" s="64" t="n">
        <f aca="false">IF(ISBLANK(C11),IF(Fill_Example="Yes",F11,""),C11)</f>
        <v>60000</v>
      </c>
    </row>
    <row r="12" customFormat="false" ht="21.75" hidden="false" customHeight="true" outlineLevel="0" collapsed="false">
      <c r="B12" s="59" t="s">
        <v>3621</v>
      </c>
      <c r="C12" s="72"/>
      <c r="D12" s="61" t="s">
        <v>1002</v>
      </c>
      <c r="E12" s="69" t="s">
        <v>3622</v>
      </c>
      <c r="F12" s="73" t="n">
        <f aca="false">Set_lifeYears</f>
        <v>15</v>
      </c>
      <c r="G12" s="74" t="n">
        <f aca="false">IF(ISBLANK(C12),F12,C12)</f>
        <v>15</v>
      </c>
    </row>
    <row r="13" customFormat="false" ht="21.75" hidden="false" customHeight="true" outlineLevel="0" collapsed="false">
      <c r="B13" s="59" t="s">
        <v>3623</v>
      </c>
      <c r="C13" s="68"/>
      <c r="D13" s="61" t="s">
        <v>2814</v>
      </c>
      <c r="E13" s="69" t="s">
        <v>3624</v>
      </c>
      <c r="F13" s="70" t="n">
        <f aca="false">Set_lifeShare</f>
        <v>0.6</v>
      </c>
      <c r="G13" s="71" t="n">
        <f aca="false">IF(ISBLANK(C13),F13,C13)</f>
        <v>0.6</v>
      </c>
    </row>
    <row r="14" customFormat="false" ht="21.75" hidden="false" customHeight="true" outlineLevel="0" collapsed="false">
      <c r="B14" s="59" t="s">
        <v>2982</v>
      </c>
      <c r="C14" s="60"/>
      <c r="D14" s="61" t="s">
        <v>964</v>
      </c>
      <c r="E14" s="62" t="s">
        <v>3625</v>
      </c>
      <c r="F14" s="63" t="n">
        <v>250000</v>
      </c>
      <c r="G14" s="64" t="n">
        <f aca="false">IF(ISBLANK(C14),IF(Fill_Example="Yes",F14,""),C14)</f>
        <v>250000</v>
      </c>
    </row>
    <row r="15" customFormat="false" ht="15" hidden="false" customHeight="true" outlineLevel="0" collapsed="false">
      <c r="B15" s="59" t="s">
        <v>3626</v>
      </c>
      <c r="C15" s="65"/>
      <c r="D15" s="61" t="s">
        <v>2811</v>
      </c>
      <c r="E15" s="62" t="s">
        <v>3627</v>
      </c>
      <c r="F15" s="66" t="s">
        <v>3</v>
      </c>
      <c r="G15" s="67" t="str">
        <f aca="false">IF(ISBLANK(C15),IF(Fill_Example="Yes",F15,""),C15)</f>
        <v>Yes</v>
      </c>
    </row>
    <row r="16" customFormat="false" ht="21.75" hidden="false" customHeight="true" outlineLevel="0" collapsed="false">
      <c r="B16" s="59" t="s">
        <v>3628</v>
      </c>
      <c r="C16" s="60"/>
      <c r="D16" s="61" t="s">
        <v>964</v>
      </c>
      <c r="E16" s="62" t="s">
        <v>3629</v>
      </c>
      <c r="F16" s="63" t="n">
        <v>10000</v>
      </c>
      <c r="G16" s="64" t="n">
        <f aca="false">IF(ISBLANK(C16),IF(Debts_Listed_Total&gt;0,Debts_Listed_Total,IF(Fill_Example="Yes",F16,"")),C16)</f>
        <v>10000</v>
      </c>
    </row>
    <row r="17" customFormat="false" ht="21.75" hidden="false" customHeight="true" outlineLevel="0" collapsed="false">
      <c r="B17" s="59" t="s">
        <v>3630</v>
      </c>
      <c r="C17" s="60"/>
      <c r="D17" s="61" t="s">
        <v>964</v>
      </c>
      <c r="E17" s="62" t="s">
        <v>3631</v>
      </c>
      <c r="F17" s="63" t="n">
        <v>20000</v>
      </c>
      <c r="G17" s="64" t="n">
        <f aca="false">IF(ISBLANK(C17),IF(Fill_Example="Yes",F17,""),C17)</f>
        <v>20000</v>
      </c>
    </row>
    <row r="18" customFormat="false" ht="15" hidden="false" customHeight="true" outlineLevel="0" collapsed="false">
      <c r="B18" s="59" t="s">
        <v>3632</v>
      </c>
      <c r="C18" s="60"/>
      <c r="D18" s="61" t="s">
        <v>964</v>
      </c>
      <c r="E18" s="62" t="s">
        <v>3633</v>
      </c>
      <c r="F18" s="63" t="n">
        <v>100000</v>
      </c>
      <c r="G18" s="64" t="n">
        <f aca="false">IF(ISBLANK(C18),IF(Cover_Existing_Total&gt;0,Cover_Existing_Total,IF(Fill_Example="Yes",F18,"")),C18)</f>
        <v>100000</v>
      </c>
    </row>
    <row r="19" customFormat="false" ht="33" hidden="false" customHeight="true" outlineLevel="0" collapsed="false">
      <c r="B19" s="59" t="s">
        <v>3634</v>
      </c>
      <c r="C19" s="116"/>
      <c r="D19" s="61" t="s">
        <v>1124</v>
      </c>
      <c r="E19" s="69" t="str">
        <f aca="false">"Type 2 · range · Usually between €0 and "&amp;"€"&amp;TEXT(State_Pension_Week,"0.00")&amp;" a week: "&amp;"€"&amp;TEXT(Survivor_Pension_Week,"0.00")&amp;" under 66, "&amp;"€"&amp;TEXT(State_Pension_Week,"0.00")&amp;" at 66+ (DSP 2026; depends on PRSI; cohabitants can qualify for the Bereaved Partner's Pension). Enter your own figure. Allowed: €0 to €1,000 · steps of €0.50"</f>
        <v>Type 2 · range · Usually between €0 and €299.30 a week: €259.50 under 66, €299.30 at 66+ (DSP 2026; depends on PRSI; cohabitants can qualify for the Bereaved Partner's Pension). Enter your own figure. Allowed: €0 to €1,000 · steps of €0.50</v>
      </c>
      <c r="F19" s="117" t="n">
        <f aca="false">Survivor_Pension_Week</f>
        <v>259.5</v>
      </c>
      <c r="G19" s="118" t="n">
        <f aca="false">IF(ISBLANK(C19),IF(Fill_Example="Yes",F19,""),C19)</f>
        <v>259.5</v>
      </c>
    </row>
    <row r="21" customFormat="false" ht="15" hidden="false" customHeight="true" outlineLevel="0" collapsed="false">
      <c r="B21" s="55" t="s">
        <v>2902</v>
      </c>
      <c r="C21" s="58"/>
      <c r="D21" s="58"/>
      <c r="E21" s="58"/>
      <c r="F21" s="58"/>
      <c r="G21" s="58"/>
    </row>
    <row r="22" customFormat="false" ht="15" hidden="false" customHeight="true" outlineLevel="0" collapsed="false">
      <c r="B22" s="59" t="s">
        <v>2982</v>
      </c>
      <c r="C22" s="92" t="n">
        <f aca="false">IF(ISBLANK(Stmt_Balance),Mortgage_Balance,Stmt_Balance)</f>
        <v>250000</v>
      </c>
      <c r="D22" s="93" t="str">
        <f aca="false">IF(ISBLANK(Stmt_Balance),"Your figure","From your statement")</f>
        <v>Your figure</v>
      </c>
      <c r="E22" s="83" t="s">
        <v>2987</v>
      </c>
    </row>
    <row r="23" customFormat="false" ht="21.75" hidden="false" customHeight="true" outlineLevel="0" collapsed="false">
      <c r="B23" s="59" t="s">
        <v>2909</v>
      </c>
      <c r="C23" s="79" t="str">
        <f aca="true">IF(ISBLANK(Stmt_Statement_Date),"",IF(TODAY()-Stmt_Statement_Date&gt;Statement_Max_Age_Days,"Needs a look: statement is more than 12 months old","Up to date"))</f>
        <v/>
      </c>
      <c r="D23" s="61"/>
      <c r="E23" s="76" t="s">
        <v>2910</v>
      </c>
    </row>
    <row r="25" customFormat="false" ht="15" hidden="false" customHeight="true" outlineLevel="0" collapsed="false">
      <c r="B25" s="55" t="s">
        <v>2630</v>
      </c>
      <c r="C25" s="56" t="s">
        <v>327</v>
      </c>
      <c r="D25" s="56" t="s">
        <v>2822</v>
      </c>
      <c r="E25" s="56" t="s">
        <v>2823</v>
      </c>
      <c r="F25" s="58"/>
      <c r="G25" s="58"/>
    </row>
    <row r="26" customFormat="false" ht="17.25" hidden="false" customHeight="true" outlineLevel="0" collapsed="false">
      <c r="B26" s="52" t="s">
        <v>3635</v>
      </c>
      <c r="C26" s="75" t="n">
        <f aca="false">IF(Need_1&lt;&gt;"",Need_1,MAX(0,Income_Need+Debts_To_Clear-Already_Have))</f>
        <v>227590</v>
      </c>
      <c r="D26" s="61" t="s">
        <v>964</v>
      </c>
      <c r="E26" s="76" t="s">
        <v>3636</v>
      </c>
    </row>
    <row r="27" customFormat="false" ht="17.25" hidden="false" customHeight="true" outlineLevel="0" collapsed="false">
      <c r="B27" s="52" t="s">
        <v>3637</v>
      </c>
      <c r="C27" s="75" t="n">
        <f aca="false">IF(Need_2&lt;&gt;"",Need_2,MAX(0,Yearly_Income*Life_Replace-Survivor_Pension*Weeks_Per_Year)*Years_Support)</f>
        <v>337590</v>
      </c>
      <c r="D27" s="61" t="s">
        <v>964</v>
      </c>
      <c r="E27" s="76" t="s">
        <v>3638</v>
      </c>
    </row>
    <row r="28" customFormat="false" ht="17.25" hidden="false" customHeight="true" outlineLevel="0" collapsed="false">
      <c r="B28" s="52" t="s">
        <v>3639</v>
      </c>
      <c r="C28" s="75" t="n">
        <f aca="false">IF(Need_3&lt;&gt;"",Need_3,IF(Mortgage_Protected="Yes",0,Used_Mortgage_Balance)+Other_Debts)</f>
        <v>10000</v>
      </c>
      <c r="D28" s="61" t="s">
        <v>964</v>
      </c>
      <c r="E28" s="76" t="s">
        <v>3640</v>
      </c>
    </row>
    <row r="29" customFormat="false" ht="15" hidden="false" customHeight="true" outlineLevel="0" collapsed="false">
      <c r="B29" s="59" t="s">
        <v>3641</v>
      </c>
      <c r="C29" s="77" t="n">
        <f aca="false">IF(Need_4&lt;&gt;"",Need_4,Existing_Cover+Savings)</f>
        <v>120000</v>
      </c>
      <c r="D29" s="61" t="s">
        <v>964</v>
      </c>
      <c r="E29" s="76" t="s">
        <v>3642</v>
      </c>
    </row>
    <row r="30" customFormat="false" ht="15" hidden="false" customHeight="true" outlineLevel="0" collapsed="false">
      <c r="B30" s="59" t="s">
        <v>3643</v>
      </c>
      <c r="C30" s="77" t="n">
        <f aca="false">IF(Need_5&lt;&gt;"",Need_5,Yearly_Income*Life_Replace*Years_Support)</f>
        <v>540000</v>
      </c>
      <c r="D30" s="61" t="s">
        <v>964</v>
      </c>
      <c r="E30" s="76" t="s">
        <v>3644</v>
      </c>
    </row>
    <row r="32" customFormat="false" ht="15" hidden="false" customHeight="true" outlineLevel="0" collapsed="false">
      <c r="B32" s="55" t="s">
        <v>2853</v>
      </c>
      <c r="C32" s="58"/>
      <c r="D32" s="58"/>
      <c r="E32" s="58"/>
      <c r="F32" s="58"/>
      <c r="G32" s="58"/>
    </row>
    <row r="33" customFormat="false" ht="13.5" hidden="false" customHeight="true" outlineLevel="0" collapsed="false">
      <c r="B33" s="80" t="s">
        <v>3645</v>
      </c>
      <c r="C33" s="80"/>
      <c r="D33" s="80"/>
      <c r="E33" s="80"/>
    </row>
    <row r="34" customFormat="false" ht="27.75" hidden="false" customHeight="true" outlineLevel="0" collapsed="false">
      <c r="B34" s="80" t="s">
        <v>3646</v>
      </c>
      <c r="C34" s="80"/>
      <c r="D34" s="80"/>
      <c r="E34" s="80"/>
    </row>
    <row r="35" customFormat="false" ht="13.5" hidden="false" customHeight="true" outlineLevel="0" collapsed="false">
      <c r="B35" s="80" t="s">
        <v>3647</v>
      </c>
      <c r="C35" s="80"/>
      <c r="D35" s="80"/>
      <c r="E35" s="80"/>
    </row>
    <row r="36" customFormat="false" ht="13.5" hidden="false" customHeight="true" outlineLevel="0" collapsed="false">
      <c r="B36" s="81" t="s">
        <v>2856</v>
      </c>
      <c r="C36" s="81"/>
      <c r="D36" s="81"/>
      <c r="E36" s="81"/>
    </row>
    <row r="37" customFormat="false" ht="13.5" hidden="false" customHeight="true" outlineLevel="0" collapsed="false">
      <c r="B37" s="80" t="s">
        <v>3648</v>
      </c>
      <c r="C37" s="80"/>
      <c r="D37" s="80"/>
      <c r="E37" s="80"/>
    </row>
    <row r="38" customFormat="false" ht="13.5" hidden="false" customHeight="true" outlineLevel="0" collapsed="false">
      <c r="B38" s="80" t="str">
        <f aca="false">"• Survivor's pension defaults to the 2026 rate under 66 ("&amp;"€"&amp;TEXT(Survivor_Pension_Week,"0.00")&amp;" a week); enter 0 if it would not be paid."</f>
        <v>• Survivor's pension defaults to the 2026 rate under 66 (€259.50 a week); enter 0 if it would not be paid.</v>
      </c>
      <c r="C38" s="80"/>
      <c r="D38" s="80"/>
      <c r="E38" s="80"/>
    </row>
    <row r="40" customFormat="false" ht="15" hidden="false" customHeight="true" outlineLevel="0" collapsed="false">
      <c r="B40" s="55" t="s">
        <v>2861</v>
      </c>
      <c r="C40" s="58"/>
      <c r="D40" s="58"/>
      <c r="E40" s="58"/>
      <c r="F40" s="58"/>
      <c r="G40" s="58"/>
    </row>
    <row r="41" customFormat="false" ht="15" hidden="false" customHeight="true" outlineLevel="0" collapsed="false">
      <c r="B41" s="59" t="s">
        <v>1620</v>
      </c>
      <c r="C41" s="82" t="str">
        <f aca="false">"No goal: record a protection need for the adviser"</f>
        <v>No goal: record a protection need for the adviser</v>
      </c>
      <c r="E41" s="83" t="s">
        <v>3649</v>
      </c>
    </row>
    <row r="42" customFormat="false" ht="15" hidden="false" customHeight="true" outlineLevel="0" collapsed="false">
      <c r="B42" s="59" t="s">
        <v>3650</v>
      </c>
      <c r="C42" s="84" t="n">
        <f aca="false">IF(Need_1&lt;&gt;"",Need_1,Cover_Gap)</f>
        <v>227590</v>
      </c>
      <c r="E42" s="83" t="s">
        <v>3651</v>
      </c>
    </row>
    <row r="43" customFormat="false" ht="13.5" hidden="false" customHeight="true" outlineLevel="0" collapsed="false">
      <c r="B43" s="87" t="s">
        <v>3652</v>
      </c>
      <c r="C43" s="87"/>
      <c r="D43" s="87"/>
      <c r="E43" s="87"/>
    </row>
    <row r="45" customFormat="false" ht="15" hidden="false" customHeight="true" outlineLevel="0" collapsed="false">
      <c r="B45" s="55" t="s">
        <v>2869</v>
      </c>
      <c r="C45" s="58"/>
      <c r="D45" s="58"/>
      <c r="E45" s="58"/>
      <c r="F45" s="58"/>
      <c r="G45" s="58"/>
    </row>
    <row r="46" customFormat="false" ht="15" hidden="false" customHeight="true" outlineLevel="0" collapsed="false">
      <c r="B46" s="86" t="s">
        <v>3653</v>
      </c>
      <c r="C46" s="86" t="str">
        <f aca="false">IF(Yearly_Income="","Choose your gross yearly income to see this",IF(Mortgage_Protected="","Choose your mortgage protection answer to see this",IF(Other_Debts="","Choose your other debts to see this",IF(Savings="","Choose your savings &amp; investments to see this",IF(Existing_Cover="","Choose your existing life cover to see this",IF(NOT(ISNUMBER(Used_Mortgage_Balance)),IF(Used_Mortgage_Balance="",IF(Mortgage_Balance="","Choose your mortgage balance to see this",""),Used_Mortgage_Balance),IF(Survivor_Pension="","Choose your survivor's pension to see this","")))))))</f>
        <v/>
      </c>
    </row>
    <row r="47" customFormat="false" ht="15" hidden="false" customHeight="true" outlineLevel="0" collapsed="false">
      <c r="B47" s="86" t="s">
        <v>3654</v>
      </c>
      <c r="C47" s="86" t="str">
        <f aca="false">IF(Yearly_Income="","Choose your gross yearly income to see this",IF(Survivor_Pension="","Choose your survivor's pension to see this",""))</f>
        <v/>
      </c>
    </row>
    <row r="48" customFormat="false" ht="15" hidden="false" customHeight="true" outlineLevel="0" collapsed="false">
      <c r="B48" s="86" t="s">
        <v>3655</v>
      </c>
      <c r="C48" s="86" t="str">
        <f aca="false">IF(Mortgage_Protected="","Choose your mortgage protection answer to see this",IF(Other_Debts="","Choose your other debts to see this",IF(NOT(ISNUMBER(Used_Mortgage_Balance)),IF(Used_Mortgage_Balance="",IF(Mortgage_Balance="","Choose your mortgage balance to see this",""),Used_Mortgage_Balance),IF(Survivor_Pension="","Choose your survivor's pension to see this",""))))</f>
        <v/>
      </c>
    </row>
    <row r="49" customFormat="false" ht="15" hidden="false" customHeight="true" outlineLevel="0" collapsed="false">
      <c r="B49" s="86" t="s">
        <v>3656</v>
      </c>
      <c r="C49" s="86" t="str">
        <f aca="false">IF(Savings="","Choose your savings &amp; investments to see this",IF(Existing_Cover="","Choose your existing life cover to see this",IF(Survivor_Pension="","Choose your survivor's pension to see this","")))</f>
        <v/>
      </c>
    </row>
    <row r="50" customFormat="false" ht="15" hidden="false" customHeight="true" outlineLevel="0" collapsed="false">
      <c r="B50" s="86" t="s">
        <v>3657</v>
      </c>
      <c r="C50" s="86" t="str">
        <f aca="false">IF(Yearly_Income="","Choose your gross yearly income to see this",IF(Survivor_Pension="","Choose your survivor's pension to see this",""))</f>
        <v/>
      </c>
    </row>
  </sheetData>
  <mergeCells count="8">
    <mergeCell ref="B6:E6"/>
    <mergeCell ref="B33:E33"/>
    <mergeCell ref="B34:E34"/>
    <mergeCell ref="B35:E35"/>
    <mergeCell ref="B36:E36"/>
    <mergeCell ref="B37:E37"/>
    <mergeCell ref="B38:E38"/>
    <mergeCell ref="B43:E43"/>
  </mergeCells>
  <dataValidations count="11">
    <dataValidation allowBlank="true" error="Please enter €0 to €10,000,000." errorStyle="stop" errorTitle="Outside the allowed range" operator="between" prompt="Unit: €. Allowed: €0 to €10,000,000." promptTitle="Outstanding balance" showDropDown="false" showErrorMessage="true" showInputMessage="true" sqref="C7" type="decimal">
      <formula1>0</formula1>
      <formula2>10000000</formula2>
    </dataValidation>
    <dataValidation allowBlank="true" error="Please enter a date (dd/mm/yyyy)." errorStyle="stop" errorTitle="Outside the allowed range" operator="greaterThan" prompt="Unit: date. Allowed: a date (dd/mm/yyyy)." promptTitle="Statement date" showDropDown="false" showErrorMessage="true" showInputMessage="true" sqref="C8" type="date">
      <formula1>36526</formula1>
      <formula2>0</formula2>
    </dataValidation>
    <dataValidation allowBlank="true" error="Please enter €0 to €3,000,000 · steps of €1,000." errorStyle="stop" errorTitle="Outside the allowed range" operator="between" prompt="Your own figure. In the app it is pre-filled from Your finances: income.  Allowed: €0 to €3,000,000 · steps of €1,000." promptTitle="Your gross yearly income" showDropDown="false" showErrorMessage="true" showInputMessage="true" sqref="C11" type="decimal">
      <formula1>0</formula1>
      <formula2>3000000</formula2>
    </dataValidation>
    <dataValidation allowBlank="true" error="Please enter 1 to 30 · steps of 1." errorStyle="stop" errorTitle="Outside the allowed range" operator="between" prompt="Generally the standard is until your youngest child is 23. Choose what you want to use.  Allowed: 1 to 30 · steps of 1." promptTitle="Years your family would need sup" showDropDown="false" showErrorMessage="true" showInputMessage="true" sqref="C12" type="whole">
      <formula1>1</formula1>
      <formula2>30</formula2>
    </dataValidation>
    <dataValidation allowBlank="true" error="Please enter 30% to 100% · steps of 5%." errorStyle="stop" errorTitle="Outside the allowed range" operator="between" prompt="Generally the standard is 60% of your income (families usually need less than full pay). Choose what you want to use.  Allowed: 30% to 100% · steps of 5%." promptTitle="Share of your income your family" showDropDown="false" showErrorMessage="true" showInputMessage="true" sqref="C13" type="decimal">
      <formula1>0.3</formula1>
      <formula2>1</formula2>
    </dataValidation>
    <dataValidation allowBlank="true" error="Please enter €0 to €10,000,000 · steps of €5,000." errorStyle="stop" errorTitle="Outside the allowed range" operator="between" prompt="Your own figure. In the app it is pre-filled from Your finances: mortgage balance.  Allowed: €0 to €10,000,000 · steps of €5,000." promptTitle="Mortgage balance" showDropDown="false" showErrorMessage="true" showInputMessage="true" sqref="C14" type="decimal">
      <formula1>0</formula1>
      <formula2>10000000</formula2>
    </dataValidation>
    <dataValidation allowBlank="true" error="Please enter Yes or No." errorStyle="stop" errorTitle="Outside the allowed range" operator="between" prompt="Your own figure.  Allowed: Yes or No." promptTitle="Is the mortgage cleared by mortg" showDropDown="false" showErrorMessage="true" showInputMessage="true" sqref="C15" type="list">
      <formula1>"Yes,No"</formula1>
      <formula2>0</formula2>
    </dataValidation>
    <dataValidation allowBlank="true" error="Please enter €0 to €2,000,000 · steps of €1,000." errorStyle="stop" errorTitle="Outside the allowed range" operator="between" prompt="Your own figure. In the app it is pre-filled from Your finances: debts.  Allowed: €0 to €2,000,000 · steps of €1,000." promptTitle="Other debts" showDropDown="false" showErrorMessage="true" showInputMessage="true" sqref="C16" type="decimal">
      <formula1>0</formula1>
      <formula2>2000000</formula2>
    </dataValidation>
    <dataValidation allowBlank="true" error="Please enter €0 to €10,000,000 · steps of €1,000." errorStyle="stop" errorTitle="Outside the allowed range" operator="between" prompt="Your own figure. In the app it is pre-filled from Your finances: cash + investments.  Allowed: €0 to €10,000,000 · steps of €1,000." promptTitle="Savings &amp; investments" showDropDown="false" showErrorMessage="true" showInputMessage="true" sqref="C17" type="decimal">
      <formula1>0</formula1>
      <formula2>10000000</formula2>
    </dataValidation>
    <dataValidation allowBlank="true" error="Please enter €0 to €20,000,000 · steps of €10,000." errorStyle="stop" errorTitle="Outside the allowed range" operator="between" prompt="Your own figure.  Allowed: €0 to €20,000,000 · steps of €10,000." promptTitle="Existing life cover (incl. throu" showDropDown="false" showErrorMessage="true" showInputMessage="true" sqref="C18" type="decimal">
      <formula1>0</formula1>
      <formula2>20000000</formula2>
    </dataValidation>
    <dataValidation allowBlank="true" error="Please enter €0 to €1,000 · steps of €0.50." errorStyle="stop" errorTitle="Outside the allowed range" operator="between" prompt="Usually between €0 and €299.30 a week: €259.50 under 66, €299.30 at 66+ (DSP 2026; depends on PRSI; cohabitants can qualify for the Bereaved Partner's Pension). Enter your own figure.  Allowed: €0 to €1,000 · steps of €0.50." promptTitle="State survivor's pension a week " showDropDown="false" showErrorMessage="true" showInputMessage="true" sqref="C19" type="decimal">
      <formula1>0</formula1>
      <formula2>1000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2B134"/>
    <pageSetUpPr fitToPage="false"/>
  </sheetPr>
  <dimension ref="B1:G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20" width="2"/>
    <col collapsed="false" customWidth="true" hidden="false" outlineLevel="0" max="2" min="2" style="20" width="50"/>
    <col collapsed="false" customWidth="true" hidden="false" outlineLevel="0" max="3" min="3" style="20" width="26"/>
    <col collapsed="false" customWidth="true" hidden="false" outlineLevel="0" max="4" min="4" style="20" width="24"/>
    <col collapsed="false" customWidth="true" hidden="false" outlineLevel="0" max="5" min="5" style="20" width="78"/>
    <col collapsed="false" customWidth="true" hidden="false" outlineLevel="0" max="6" min="6" style="20" width="14"/>
    <col collapsed="false" customWidth="true" hidden="false" outlineLevel="0" max="7" min="7" style="20" width="16"/>
  </cols>
  <sheetData>
    <row r="1" customFormat="false" ht="19.5" hidden="false" customHeight="true" outlineLevel="0" collapsed="false">
      <c r="B1" s="50" t="s">
        <v>3658</v>
      </c>
      <c r="E1" s="51" t="s">
        <v>3659</v>
      </c>
    </row>
    <row r="2" customFormat="false" ht="15" hidden="false" customHeight="true" outlineLevel="0" collapsed="false">
      <c r="B2" s="52" t="s">
        <v>3660</v>
      </c>
      <c r="E2" s="53" t="str">
        <f aca="false">IF(Fill_Example="Yes","Example values are ON (README): grey Example only figures fill blank inputs.","Blank template: fill the yellow inputs (or switch on example values on the README).")</f>
        <v>Example values are ON (README): grey Example only figures fill blank inputs.</v>
      </c>
    </row>
    <row r="3" customFormat="false" ht="15" hidden="false" customHeight="true" outlineLevel="0" collapsed="false">
      <c r="B3" s="54" t="s">
        <v>3661</v>
      </c>
    </row>
    <row r="5" customFormat="false" ht="15" hidden="false" customHeight="true" outlineLevel="0" collapsed="false">
      <c r="B5" s="55" t="s">
        <v>2803</v>
      </c>
      <c r="C5" s="56" t="s">
        <v>912</v>
      </c>
      <c r="D5" s="56" t="s">
        <v>913</v>
      </c>
      <c r="E5" s="56" t="s">
        <v>2804</v>
      </c>
      <c r="F5" s="57" t="s">
        <v>2805</v>
      </c>
      <c r="G5" s="58"/>
    </row>
    <row r="6" customFormat="false" ht="21.75" hidden="false" customHeight="true" outlineLevel="0" collapsed="false">
      <c r="B6" s="59" t="s">
        <v>3245</v>
      </c>
      <c r="C6" s="60"/>
      <c r="D6" s="61" t="s">
        <v>964</v>
      </c>
      <c r="E6" s="62" t="s">
        <v>3246</v>
      </c>
      <c r="F6" s="63" t="n">
        <v>2500</v>
      </c>
      <c r="G6" s="64" t="n">
        <f aca="false">IF(ISBLANK(C6),IF(Fill_Example="Yes",F6,""),C6)</f>
        <v>2500</v>
      </c>
    </row>
    <row r="7" customFormat="false" ht="15" hidden="false" customHeight="true" outlineLevel="0" collapsed="false">
      <c r="B7" s="59" t="s">
        <v>3662</v>
      </c>
      <c r="C7" s="72"/>
      <c r="D7" s="61" t="s">
        <v>1102</v>
      </c>
      <c r="E7" s="62" t="s">
        <v>3663</v>
      </c>
      <c r="F7" s="73" t="n">
        <v>3</v>
      </c>
      <c r="G7" s="74" t="n">
        <f aca="false">IF(ISBLANK(C7),IF(Fill_Example="Yes",F7,""),C7)</f>
        <v>3</v>
      </c>
    </row>
    <row r="8" customFormat="false" ht="21.75" hidden="false" customHeight="true" outlineLevel="0" collapsed="false">
      <c r="B8" s="59" t="s">
        <v>3251</v>
      </c>
      <c r="C8" s="60"/>
      <c r="D8" s="61" t="s">
        <v>964</v>
      </c>
      <c r="E8" s="62" t="s">
        <v>3664</v>
      </c>
      <c r="F8" s="63" t="n">
        <v>8000</v>
      </c>
      <c r="G8" s="64" t="n">
        <f aca="false">IF(ISBLANK(C8),IF(Fill_Example="Yes",F8,""),C8)</f>
        <v>8000</v>
      </c>
    </row>
    <row r="9" customFormat="false" ht="21.75" hidden="false" customHeight="true" outlineLevel="0" collapsed="false">
      <c r="B9" s="59" t="s">
        <v>970</v>
      </c>
      <c r="C9" s="60"/>
      <c r="D9" s="61" t="s">
        <v>964</v>
      </c>
      <c r="E9" s="62" t="s">
        <v>3620</v>
      </c>
      <c r="F9" s="63" t="n">
        <v>60000</v>
      </c>
      <c r="G9" s="64" t="n">
        <f aca="false">IF(ISBLANK(C9),IF(Fill_Example="Yes",F9,""),C9)</f>
        <v>60000</v>
      </c>
    </row>
    <row r="10" customFormat="false" ht="21.75" hidden="false" customHeight="true" outlineLevel="0" collapsed="false">
      <c r="B10" s="59" t="s">
        <v>3665</v>
      </c>
      <c r="C10" s="116"/>
      <c r="D10" s="61" t="s">
        <v>1124</v>
      </c>
      <c r="E10" s="69" t="str">
        <f aca="false">"Type 2 · range · Usually between €0 and "&amp;"€"&amp;TEXT(Illness_Benefit_Week,"0")&amp;" a week (DSP 2026 maximum; lower if you earned under €300 a week; needs enough PRSI). Enter your own figure. Allowed: €0 to €500 · steps of €0.50"</f>
        <v>Type 2 · range · Usually between €0 and €254 a week (DSP 2026 maximum; lower if you earned under €300 a week; needs enough PRSI). Enter your own figure. Allowed: €0 to €500 · steps of €0.50</v>
      </c>
      <c r="F10" s="117" t="n">
        <f aca="false">Illness_Benefit_Week</f>
        <v>254</v>
      </c>
      <c r="G10" s="118" t="n">
        <f aca="false">IF(ISBLANK(C10),IF(Fill_Example="Yes",F10,""),C10)</f>
        <v>254</v>
      </c>
    </row>
    <row r="12" customFormat="false" ht="15" hidden="false" customHeight="true" outlineLevel="0" collapsed="false">
      <c r="B12" s="55" t="s">
        <v>2630</v>
      </c>
      <c r="C12" s="56" t="s">
        <v>327</v>
      </c>
      <c r="D12" s="56" t="s">
        <v>2822</v>
      </c>
      <c r="E12" s="56" t="s">
        <v>2823</v>
      </c>
      <c r="F12" s="58"/>
      <c r="G12" s="58"/>
    </row>
    <row r="13" customFormat="false" ht="23.25" hidden="false" customHeight="true" outlineLevel="0" collapsed="false">
      <c r="B13" s="52" t="s">
        <v>3666</v>
      </c>
      <c r="C13" s="104" t="n">
        <f aca="false">IF(Need_1&lt;&gt;"",Need_1,IF(Monthly_Gap=0,24,MIN(24,Sick_Pay_Months+Savings/Monthly_Gap)))</f>
        <v>8.71700809909481</v>
      </c>
      <c r="D13" s="97" t="str">
        <f aca="false">IF(Need_1&lt;&gt;"",Need_1,IF(Monthly_Gap=0,"up to 2 years",IF(Sick_Pay_Months+Savings/Monthly_Gap&gt;=24,"up to 2 years",IF(ROUND(Months_Coping,1)=1,"1 month",FIXED(Months_Coping,1)&amp;" months"))))</f>
        <v>8.7 months</v>
      </c>
      <c r="E13" s="76" t="s">
        <v>3667</v>
      </c>
    </row>
    <row r="14" customFormat="false" ht="17.25" hidden="false" customHeight="true" outlineLevel="0" collapsed="false">
      <c r="B14" s="52" t="s">
        <v>3668</v>
      </c>
      <c r="C14" s="75" t="n">
        <f aca="false">IF(Need_2&lt;&gt;"",Need_2,MAX(0,Essential_Spending-Illness_Benefit_Month))</f>
        <v>1399.33333333333</v>
      </c>
      <c r="D14" s="61" t="s">
        <v>964</v>
      </c>
      <c r="E14" s="76" t="s">
        <v>3669</v>
      </c>
    </row>
    <row r="15" customFormat="false" ht="17.25" hidden="false" customHeight="true" outlineLevel="0" collapsed="false">
      <c r="B15" s="52" t="s">
        <v>3670</v>
      </c>
      <c r="C15" s="75" t="n">
        <f aca="false">IF(Need_3&lt;&gt;"",Need_3,MIN(Monthly_Gap,IP_Max))</f>
        <v>1399.33333333333</v>
      </c>
      <c r="D15" s="61" t="s">
        <v>964</v>
      </c>
      <c r="E15" s="76" t="s">
        <v>3671</v>
      </c>
    </row>
    <row r="16" customFormat="false" ht="15" hidden="false" customHeight="true" outlineLevel="0" collapsed="false">
      <c r="B16" s="59" t="s">
        <v>3672</v>
      </c>
      <c r="C16" s="77" t="n">
        <f aca="false">IF(Need_4&lt;&gt;"",Need_4,Illness_Benefit*Weeks_Per_Year/12)</f>
        <v>1100.66666666667</v>
      </c>
      <c r="D16" s="61" t="s">
        <v>964</v>
      </c>
      <c r="E16" s="76" t="s">
        <v>3673</v>
      </c>
    </row>
    <row r="17" customFormat="false" ht="23.25" hidden="false" customHeight="true" outlineLevel="0" collapsed="false">
      <c r="B17" s="59" t="s">
        <v>3674</v>
      </c>
      <c r="C17" s="119" t="n">
        <f aca="false">IF(Need_5&lt;&gt;"",Need_5,IF(Monthly_Gap=0,"Not needed",Savings/Monthly_Gap))</f>
        <v>5.71700809909481</v>
      </c>
      <c r="D17" s="101" t="str">
        <f aca="false">IF(Need_5&lt;&gt;"",Need_5,IF(Savings_Months="Not needed","Not needed while Illness Benefit covers your spending",IF(Savings_Months&gt;=24,"more than 2 years",IF(ROUND(Savings_Months,1)=1,"1 month",FIXED(Savings_Months,1)&amp;" months"))))</f>
        <v>5.7 months</v>
      </c>
      <c r="E17" s="76" t="s">
        <v>3675</v>
      </c>
    </row>
    <row r="18" customFormat="false" ht="15" hidden="false" customHeight="true" outlineLevel="0" collapsed="false">
      <c r="B18" s="59" t="s">
        <v>3676</v>
      </c>
      <c r="C18" s="77" t="n">
        <f aca="false">IF(Need_6&lt;&gt;"",Need_6,MAX(0,Gross_Income*IP_Max_Pct/12-Illness_Benefit_Month))</f>
        <v>2649.33333333333</v>
      </c>
      <c r="D18" s="61" t="s">
        <v>964</v>
      </c>
      <c r="E18" s="76" t="s">
        <v>3677</v>
      </c>
    </row>
    <row r="20" customFormat="false" ht="15" hidden="false" customHeight="true" outlineLevel="0" collapsed="false">
      <c r="B20" s="55" t="s">
        <v>2853</v>
      </c>
      <c r="C20" s="58"/>
      <c r="D20" s="58"/>
      <c r="E20" s="58"/>
      <c r="F20" s="58"/>
      <c r="G20" s="58"/>
    </row>
    <row r="21" customFormat="false" ht="27.75" hidden="false" customHeight="true" outlineLevel="0" collapsed="false">
      <c r="B21" s="80" t="s">
        <v>3678</v>
      </c>
      <c r="C21" s="80"/>
      <c r="D21" s="80"/>
      <c r="E21" s="80"/>
    </row>
    <row r="22" customFormat="false" ht="13.5" hidden="false" customHeight="true" outlineLevel="0" collapsed="false">
      <c r="B22" s="80" t="s">
        <v>3679</v>
      </c>
      <c r="C22" s="80"/>
      <c r="D22" s="80"/>
      <c r="E22" s="80"/>
    </row>
    <row r="23" customFormat="false" ht="13.5" hidden="false" customHeight="true" outlineLevel="0" collapsed="false">
      <c r="B23" s="80" t="s">
        <v>3680</v>
      </c>
      <c r="C23" s="80"/>
      <c r="D23" s="80"/>
      <c r="E23" s="80"/>
    </row>
    <row r="24" customFormat="false" ht="13.5" hidden="false" customHeight="true" outlineLevel="0" collapsed="false">
      <c r="B24" s="81" t="s">
        <v>2856</v>
      </c>
      <c r="C24" s="81"/>
      <c r="D24" s="81"/>
      <c r="E24" s="81"/>
    </row>
    <row r="25" customFormat="false" ht="13.5" hidden="false" customHeight="true" outlineLevel="0" collapsed="false">
      <c r="B25" s="80" t="s">
        <v>3681</v>
      </c>
      <c r="C25" s="80"/>
      <c r="D25" s="80"/>
      <c r="E25" s="80"/>
    </row>
    <row r="26" customFormat="false" ht="13.5" hidden="false" customHeight="true" outlineLevel="0" collapsed="false">
      <c r="B26" s="80" t="s">
        <v>3682</v>
      </c>
      <c r="C26" s="80"/>
      <c r="D26" s="80"/>
      <c r="E26" s="80"/>
    </row>
    <row r="28" customFormat="false" ht="15" hidden="false" customHeight="true" outlineLevel="0" collapsed="false">
      <c r="B28" s="55" t="s">
        <v>2861</v>
      </c>
      <c r="C28" s="58"/>
      <c r="D28" s="58"/>
      <c r="E28" s="58"/>
      <c r="F28" s="58"/>
      <c r="G28" s="58"/>
    </row>
    <row r="29" customFormat="false" ht="15" hidden="false" customHeight="true" outlineLevel="0" collapsed="false">
      <c r="B29" s="59" t="s">
        <v>1620</v>
      </c>
      <c r="C29" s="82" t="str">
        <f aca="false">"No goal: record an income protection need for the adviser"</f>
        <v>No goal: record an income protection need for the adviser</v>
      </c>
      <c r="E29" s="83" t="s">
        <v>3683</v>
      </c>
    </row>
    <row r="30" customFormat="false" ht="15" hidden="false" customHeight="true" outlineLevel="0" collapsed="false">
      <c r="B30" s="59" t="s">
        <v>3684</v>
      </c>
      <c r="C30" s="84" t="n">
        <f aca="false">IF(Need_3&lt;&gt;"",Need_3,IP_Needed)</f>
        <v>1399.33333333333</v>
      </c>
      <c r="E30" s="83" t="s">
        <v>3685</v>
      </c>
    </row>
    <row r="32" customFormat="false" ht="15" hidden="false" customHeight="true" outlineLevel="0" collapsed="false">
      <c r="B32" s="55" t="s">
        <v>2869</v>
      </c>
      <c r="C32" s="58"/>
      <c r="D32" s="58"/>
      <c r="E32" s="58"/>
      <c r="F32" s="58"/>
      <c r="G32" s="58"/>
    </row>
    <row r="33" customFormat="false" ht="15" hidden="false" customHeight="true" outlineLevel="0" collapsed="false">
      <c r="B33" s="86" t="s">
        <v>3686</v>
      </c>
      <c r="C33" s="86" t="str">
        <f aca="false">IF(Essential_Spending="","Choose your essential monthly spending to see this",IF(Sick_Pay_Months="","Choose your months of sick pay from your employer's scheme to see this",IF(Savings="","Choose your easy-access savings to see this",IF(Illness_Benefit="","Choose your Illness Benefit to see this",""))))</f>
        <v/>
      </c>
    </row>
    <row r="34" customFormat="false" ht="15" hidden="false" customHeight="true" outlineLevel="0" collapsed="false">
      <c r="B34" s="86" t="s">
        <v>3687</v>
      </c>
      <c r="C34" s="86" t="str">
        <f aca="false">IF(Essential_Spending="","Choose your essential monthly spending to see this",IF(Illness_Benefit="","Choose your Illness Benefit to see this",""))</f>
        <v/>
      </c>
    </row>
    <row r="35" customFormat="false" ht="15" hidden="false" customHeight="true" outlineLevel="0" collapsed="false">
      <c r="B35" s="86" t="s">
        <v>3688</v>
      </c>
      <c r="C35" s="86" t="str">
        <f aca="false">IF(Essential_Spending="","Choose your essential monthly spending to see this",IF(Gross_Income="","Choose your gross yearly income to see this",IF(Illness_Benefit="","Choose your Illness Benefit to see this","")))</f>
        <v/>
      </c>
    </row>
    <row r="36" customFormat="false" ht="15" hidden="false" customHeight="true" outlineLevel="0" collapsed="false">
      <c r="B36" s="86" t="s">
        <v>3689</v>
      </c>
      <c r="C36" s="86" t="str">
        <f aca="false">IF(Illness_Benefit="","Choose your Illness Benefit to see this","")</f>
        <v/>
      </c>
    </row>
    <row r="37" customFormat="false" ht="15" hidden="false" customHeight="true" outlineLevel="0" collapsed="false">
      <c r="B37" s="86" t="s">
        <v>3690</v>
      </c>
      <c r="C37" s="86" t="str">
        <f aca="false">IF(Essential_Spending="","Choose your essential monthly spending to see this",IF(Savings="","Choose your easy-access savings to see this",IF(Illness_Benefit="","Choose your Illness Benefit to see this","")))</f>
        <v/>
      </c>
    </row>
    <row r="38" customFormat="false" ht="15" hidden="false" customHeight="true" outlineLevel="0" collapsed="false">
      <c r="B38" s="86" t="s">
        <v>3691</v>
      </c>
      <c r="C38" s="86" t="str">
        <f aca="false">IF(Gross_Income="","Choose your gross yearly income to see this",IF(Illness_Benefit="","Choose your Illness Benefit to see this",""))</f>
        <v/>
      </c>
    </row>
  </sheetData>
  <mergeCells count="6">
    <mergeCell ref="B21:E21"/>
    <mergeCell ref="B22:E22"/>
    <mergeCell ref="B23:E23"/>
    <mergeCell ref="B24:E24"/>
    <mergeCell ref="B25:E25"/>
    <mergeCell ref="B26:E26"/>
  </mergeCells>
  <dataValidations count="5">
    <dataValidation allowBlank="true" error="Please enter €500 to €100,000 · steps of €100." errorStyle="stop" errorTitle="Outside the allowed range" operator="between" prompt="Your own figure. In the app it is pre-filled from Your finances: costs + mortgage + debt repayments.  Allowed: €500 to €100,000 · steps of €100." promptTitle="Essential monthly spending" showDropDown="false" showErrorMessage="true" showInputMessage="true" sqref="C6" type="decimal">
      <formula1>500</formula1>
      <formula2>100000</formula2>
    </dataValidation>
    <dataValidation allowBlank="true" error="Please enter €0 to €3,000,000 · steps of €1,000." errorStyle="stop" errorTitle="Outside the allowed range" operator="between" prompt="Your own figure. In the app it is pre-filled from Your finances: income.  Allowed: €0 to €3,000,000 · steps of €1,000." promptTitle="Your gross yearly income" showDropDown="false" showErrorMessage="true" showInputMessage="true" sqref="C9" type="decimal">
      <formula1>0</formula1>
      <formula2>3000000</formula2>
    </dataValidation>
    <dataValidation allowBlank="true" error="Please enter 0 to 12 · steps of 1." errorStyle="stop" errorTitle="Outside the allowed range" operator="between" prompt="Your own figure.  Allowed: 0 to 12 · steps of 1." promptTitle="Months of sick pay from your emp" showDropDown="false" showErrorMessage="true" showInputMessage="true" sqref="C7" type="whole">
      <formula1>0</formula1>
      <formula2>12</formula2>
    </dataValidation>
    <dataValidation allowBlank="true" error="Please enter €0 to €2,000,000 · steps of €500." errorStyle="stop" errorTitle="Outside the allowed range" operator="between" prompt="Your own figure. In the app it is pre-filled from Your finances: cash.  Allowed: €0 to €2,000,000 · steps of €500." promptTitle="Easy-access savings" showDropDown="false" showErrorMessage="true" showInputMessage="true" sqref="C8" type="decimal">
      <formula1>0</formula1>
      <formula2>2000000</formula2>
    </dataValidation>
    <dataValidation allowBlank="true" error="Please enter €0 to €500 · steps of €0.50." errorStyle="stop" errorTitle="Outside the allowed range" operator="between" prompt="Usually between €0 and €254 a week (DSP 2026 maximum; lower if you earned under €300 a week; needs enough PRSI). Enter your own figure.  Allowed: €0 to €500 · steps of €0.50." promptTitle="Illness Benefit a week" showDropDown="false" showErrorMessage="true" showInputMessage="true" sqref="C10" type="decimal">
      <formula1>0</formula1>
      <formula2>500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2B134"/>
    <pageSetUpPr fitToPage="false"/>
  </sheetPr>
  <dimension ref="B1:G4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20" width="2"/>
    <col collapsed="false" customWidth="true" hidden="false" outlineLevel="0" max="2" min="2" style="20" width="50"/>
    <col collapsed="false" customWidth="true" hidden="false" outlineLevel="0" max="3" min="3" style="20" width="26"/>
    <col collapsed="false" customWidth="true" hidden="false" outlineLevel="0" max="4" min="4" style="20" width="24"/>
    <col collapsed="false" customWidth="true" hidden="false" outlineLevel="0" max="5" min="5" style="20" width="78"/>
    <col collapsed="false" customWidth="true" hidden="false" outlineLevel="0" max="6" min="6" style="20" width="14"/>
    <col collapsed="false" customWidth="true" hidden="false" outlineLevel="0" max="7" min="7" style="20" width="16"/>
  </cols>
  <sheetData>
    <row r="1" customFormat="false" ht="19.5" hidden="false" customHeight="true" outlineLevel="0" collapsed="false">
      <c r="B1" s="50" t="s">
        <v>3692</v>
      </c>
      <c r="E1" s="51" t="s">
        <v>3693</v>
      </c>
    </row>
    <row r="2" customFormat="false" ht="15" hidden="false" customHeight="true" outlineLevel="0" collapsed="false">
      <c r="B2" s="52" t="s">
        <v>3694</v>
      </c>
      <c r="E2" s="53" t="str">
        <f aca="false">IF(Fill_Example="Yes","Example values are ON (README): grey Example only figures fill blank inputs.","Blank template: fill the yellow inputs (or switch on example values on the README).")</f>
        <v>Example values are ON (README): grey Example only figures fill blank inputs.</v>
      </c>
    </row>
    <row r="3" customFormat="false" ht="15" hidden="false" customHeight="true" outlineLevel="0" collapsed="false">
      <c r="B3" s="54" t="s">
        <v>3695</v>
      </c>
    </row>
    <row r="5" customFormat="false" ht="15" hidden="false" customHeight="true" outlineLevel="0" collapsed="false">
      <c r="B5" s="55" t="s">
        <v>2882</v>
      </c>
      <c r="C5" s="58"/>
      <c r="D5" s="58"/>
      <c r="E5" s="58"/>
      <c r="F5" s="58"/>
      <c r="G5" s="58"/>
    </row>
    <row r="6" customFormat="false" ht="27.75" hidden="false" customHeight="true" outlineLevel="0" collapsed="false">
      <c r="B6" s="87" t="s">
        <v>2883</v>
      </c>
      <c r="C6" s="87"/>
      <c r="D6" s="87"/>
      <c r="E6" s="87"/>
    </row>
    <row r="7" customFormat="false" ht="15" hidden="false" customHeight="true" outlineLevel="0" collapsed="false">
      <c r="B7" s="59" t="s">
        <v>2884</v>
      </c>
      <c r="C7" s="88"/>
      <c r="D7" s="61" t="s">
        <v>964</v>
      </c>
      <c r="E7" s="62" t="s">
        <v>2885</v>
      </c>
      <c r="G7" s="86" t="s">
        <v>2886</v>
      </c>
    </row>
    <row r="8" customFormat="false" ht="15" hidden="false" customHeight="true" outlineLevel="0" collapsed="false">
      <c r="B8" s="59" t="s">
        <v>2392</v>
      </c>
      <c r="C8" s="89"/>
      <c r="D8" s="61" t="s">
        <v>2814</v>
      </c>
      <c r="E8" s="62" t="s">
        <v>2887</v>
      </c>
      <c r="G8" s="86" t="s">
        <v>2886</v>
      </c>
    </row>
    <row r="9" customFormat="false" ht="15" hidden="false" customHeight="true" outlineLevel="0" collapsed="false">
      <c r="B9" s="59" t="s">
        <v>2888</v>
      </c>
      <c r="C9" s="90"/>
      <c r="D9" s="61" t="s">
        <v>1002</v>
      </c>
      <c r="E9" s="62" t="s">
        <v>2889</v>
      </c>
      <c r="G9" s="86" t="s">
        <v>2886</v>
      </c>
    </row>
    <row r="10" customFormat="false" ht="15" hidden="false" customHeight="true" outlineLevel="0" collapsed="false">
      <c r="B10" s="59" t="s">
        <v>2388</v>
      </c>
      <c r="C10" s="88"/>
      <c r="D10" s="61" t="s">
        <v>964</v>
      </c>
      <c r="E10" s="62" t="s">
        <v>2890</v>
      </c>
      <c r="G10" s="86" t="s">
        <v>2886</v>
      </c>
    </row>
    <row r="11" customFormat="false" ht="15" hidden="false" customHeight="true" outlineLevel="0" collapsed="false">
      <c r="B11" s="59" t="s">
        <v>2891</v>
      </c>
      <c r="C11" s="91"/>
      <c r="D11" s="61" t="s">
        <v>922</v>
      </c>
      <c r="E11" s="62" t="s">
        <v>2892</v>
      </c>
      <c r="G11" s="86" t="s">
        <v>2886</v>
      </c>
    </row>
    <row r="13" customFormat="false" ht="15" hidden="false" customHeight="true" outlineLevel="0" collapsed="false">
      <c r="B13" s="55" t="s">
        <v>2893</v>
      </c>
      <c r="C13" s="56" t="s">
        <v>912</v>
      </c>
      <c r="D13" s="56" t="s">
        <v>913</v>
      </c>
      <c r="E13" s="56" t="s">
        <v>2804</v>
      </c>
      <c r="F13" s="57" t="s">
        <v>2805</v>
      </c>
      <c r="G13" s="58"/>
    </row>
    <row r="14" customFormat="false" ht="21.75" hidden="false" customHeight="true" outlineLevel="0" collapsed="false">
      <c r="B14" s="59" t="s">
        <v>2982</v>
      </c>
      <c r="C14" s="60"/>
      <c r="D14" s="61" t="s">
        <v>964</v>
      </c>
      <c r="E14" s="62" t="s">
        <v>3696</v>
      </c>
      <c r="F14" s="63" t="n">
        <v>250000</v>
      </c>
      <c r="G14" s="64" t="n">
        <f aca="false">IF(ISBLANK(C14),IF(Fill_Example="Yes",F14,""),C14)</f>
        <v>250000</v>
      </c>
    </row>
    <row r="15" customFormat="false" ht="21.75" hidden="false" customHeight="true" outlineLevel="0" collapsed="false">
      <c r="B15" s="59" t="s">
        <v>2392</v>
      </c>
      <c r="C15" s="68"/>
      <c r="D15" s="61" t="s">
        <v>2814</v>
      </c>
      <c r="E15" s="62" t="str">
        <f aca="false">"Type 2 · your figure · Your own rate (your statement shows it; typing it is fine, no upload needed). "&amp;IF(ISNUMBER(Suggest_Mortgage_Rate),"Suggested: "&amp;TEXT(Suggest_Mortgage_Rate,"0.00%")&amp;" · "&amp;Suggest_Mortgage_Rate_Label&amp;". ","No suggestion. ")&amp;"Enter your own figure."&amp;" In the app it is pre-filled from Your finances / statement: rate. Allowed: 1% to 8% · steps of 0.05%"</f>
        <v>Type 2 · your figure · Your own rate (your statement shows it; typing it is fine, no upload needed). Suggested: 3.48% · Central Bank of Ireland: average rate on new mortgages, Jul 2026. Enter your own figure. In the app it is pre-filled from Your finances / statement: rate. Allowed: 1% to 8% · steps of 0.05%</v>
      </c>
      <c r="F15" s="70" t="n">
        <f aca="false">IF(ISNUMBER(Suggest_Mortgage_Rate),Suggest_Mortgage_Rate,"")</f>
        <v>0.0348</v>
      </c>
      <c r="G15" s="71" t="n">
        <f aca="false">IF(ISBLANK(C15),IF(Fill_Example="Yes",F15,""),C15)</f>
        <v>0.0348</v>
      </c>
    </row>
    <row r="16" customFormat="false" ht="21.75" hidden="false" customHeight="true" outlineLevel="0" collapsed="false">
      <c r="B16" s="59" t="s">
        <v>2390</v>
      </c>
      <c r="C16" s="72"/>
      <c r="D16" s="61" t="s">
        <v>1002</v>
      </c>
      <c r="E16" s="62" t="s">
        <v>2897</v>
      </c>
      <c r="F16" s="73" t="n">
        <v>25</v>
      </c>
      <c r="G16" s="74" t="n">
        <f aca="false">IF(AND(ISNUMBER(C16),N(C16)&lt;5),"",IF(ISBLANK(C16),IF(Fill_Example="Yes",F16,""),C16))</f>
        <v>25</v>
      </c>
    </row>
    <row r="17" customFormat="false" ht="21.75" hidden="false" customHeight="true" outlineLevel="0" collapsed="false">
      <c r="B17" s="59" t="s">
        <v>2898</v>
      </c>
      <c r="C17" s="60"/>
      <c r="D17" s="61" t="s">
        <v>964</v>
      </c>
      <c r="E17" s="62" t="s">
        <v>3697</v>
      </c>
      <c r="F17" s="63" t="n">
        <v>0</v>
      </c>
      <c r="G17" s="64" t="n">
        <f aca="false">IF(ISBLANK(C17),F17,C17)</f>
        <v>0</v>
      </c>
    </row>
    <row r="19" customFormat="false" ht="15" hidden="false" customHeight="true" outlineLevel="0" collapsed="false">
      <c r="B19" s="55" t="s">
        <v>2902</v>
      </c>
      <c r="C19" s="58"/>
      <c r="D19" s="58"/>
      <c r="E19" s="58"/>
      <c r="F19" s="58"/>
      <c r="G19" s="58"/>
    </row>
    <row r="20" customFormat="false" ht="15" hidden="false" customHeight="true" outlineLevel="0" collapsed="false">
      <c r="B20" s="59" t="s">
        <v>2982</v>
      </c>
      <c r="C20" s="92" t="n">
        <f aca="false">IF(ISBLANK(Stmt_Balance),Mortgage_Balance,Stmt_Balance)</f>
        <v>250000</v>
      </c>
      <c r="D20" s="93" t="str">
        <f aca="false">IF(ISBLANK(Stmt_Balance),"Your figure","From your statement")</f>
        <v>Your figure</v>
      </c>
      <c r="E20" s="83" t="s">
        <v>2987</v>
      </c>
    </row>
    <row r="21" customFormat="false" ht="15" hidden="false" customHeight="true" outlineLevel="0" collapsed="false">
      <c r="B21" s="59" t="s">
        <v>2392</v>
      </c>
      <c r="C21" s="94" t="n">
        <f aca="false">IF(ISBLANK(Stmt_Rate),Interest_Rate,Stmt_Rate)</f>
        <v>0.0348</v>
      </c>
      <c r="D21" s="93" t="str">
        <f aca="false">IF(ISBLANK(Stmt_Rate),"Your figure","From your statement")</f>
        <v>Your figure</v>
      </c>
      <c r="E21" s="83" t="s">
        <v>2904</v>
      </c>
    </row>
    <row r="22" customFormat="false" ht="15" hidden="false" customHeight="true" outlineLevel="0" collapsed="false">
      <c r="B22" s="59" t="s">
        <v>2390</v>
      </c>
      <c r="C22" s="95" t="n">
        <f aca="false">IF(ISBLANK(Stmt_Term),Years_Left,Stmt_Term)</f>
        <v>25</v>
      </c>
      <c r="D22" s="93" t="str">
        <f aca="false">IF(ISBLANK(Stmt_Term),"Your figure","From your statement")</f>
        <v>Your figure</v>
      </c>
      <c r="E22" s="83" t="s">
        <v>2988</v>
      </c>
    </row>
    <row r="23" customFormat="false" ht="15" hidden="false" customHeight="true" outlineLevel="0" collapsed="false">
      <c r="B23" s="59" t="s">
        <v>2907</v>
      </c>
      <c r="C23" s="92" t="n">
        <f aca="false">IF(ISBLANK(Stmt_Repayment),Actual_Repayment,Stmt_Repayment)</f>
        <v>0</v>
      </c>
      <c r="D23" s="93" t="str">
        <f aca="false">IF(ISBLANK(Stmt_Repayment),"Your figure","From your statement")</f>
        <v>Your figure</v>
      </c>
      <c r="E23" s="83" t="s">
        <v>2908</v>
      </c>
    </row>
    <row r="24" customFormat="false" ht="21.75" hidden="false" customHeight="true" outlineLevel="0" collapsed="false">
      <c r="B24" s="59" t="s">
        <v>2909</v>
      </c>
      <c r="C24" s="79" t="str">
        <f aca="true">IF(ISBLANK(Stmt_Statement_Date),"",IF(TODAY()-Stmt_Statement_Date&gt;Statement_Max_Age_Days,"Needs a look: statement is more than 12 months old","Up to date"))</f>
        <v/>
      </c>
      <c r="D24" s="61"/>
      <c r="E24" s="76" t="s">
        <v>2910</v>
      </c>
    </row>
    <row r="26" customFormat="false" ht="15" hidden="false" customHeight="true" outlineLevel="0" collapsed="false">
      <c r="B26" s="55" t="s">
        <v>2630</v>
      </c>
      <c r="C26" s="56" t="s">
        <v>327</v>
      </c>
      <c r="D26" s="56" t="s">
        <v>2822</v>
      </c>
      <c r="E26" s="56" t="s">
        <v>2823</v>
      </c>
      <c r="F26" s="58"/>
      <c r="G26" s="58"/>
    </row>
    <row r="27" customFormat="false" ht="17.25" hidden="false" customHeight="true" outlineLevel="0" collapsed="false">
      <c r="B27" s="52" t="s">
        <v>3698</v>
      </c>
      <c r="C27" s="75" t="n">
        <f aca="false">IF(Need_1&lt;&gt;"",Need_1,Used_Mortgage_Balance)</f>
        <v>250000</v>
      </c>
      <c r="D27" s="61" t="s">
        <v>964</v>
      </c>
      <c r="E27" s="76" t="s">
        <v>3699</v>
      </c>
    </row>
    <row r="28" customFormat="false" ht="15" hidden="false" customHeight="true" outlineLevel="0" collapsed="false">
      <c r="B28" s="106" t="s">
        <v>3330</v>
      </c>
      <c r="C28" s="107" t="str">
        <f aca="false">IF(Need_2&lt;&gt;"","",IF(Repayment&lt;=Used_Mortgage_Balance*Monthly_Rate,"Your repayment doesn't cover the interest: please check the figures.",""))</f>
        <v/>
      </c>
      <c r="D28" s="107"/>
      <c r="E28" s="107"/>
    </row>
    <row r="29" customFormat="false" ht="17.25" hidden="false" customHeight="true" outlineLevel="0" collapsed="false">
      <c r="B29" s="52" t="s">
        <v>3700</v>
      </c>
      <c r="C29" s="75" t="n">
        <f aca="false">IF(Need_2&lt;&gt;"",Need_2,IF(Warning&lt;&gt;"","—",MAX(0,-FV(Monthly_Rate,MP_Year_1*12,-Repayment,Used_Mortgage_Balance))))</f>
        <v>215720.986320213</v>
      </c>
      <c r="D29" s="61" t="s">
        <v>964</v>
      </c>
      <c r="E29" s="76" t="s">
        <v>3701</v>
      </c>
    </row>
    <row r="30" customFormat="false" ht="17.25" hidden="false" customHeight="true" outlineLevel="0" collapsed="false">
      <c r="B30" s="52" t="s">
        <v>3702</v>
      </c>
      <c r="C30" s="75" t="n">
        <f aca="false">IF(Need_2&lt;&gt;"",Need_2,IF(Warning&lt;&gt;"","—",MAX(0,-FV(Monthly_Rate,MP_Year_2*12,-Repayment,Used_Mortgage_Balance))))</f>
        <v>174937.326460001</v>
      </c>
      <c r="D30" s="61" t="s">
        <v>964</v>
      </c>
      <c r="E30" s="76" t="s">
        <v>3703</v>
      </c>
    </row>
    <row r="31" customFormat="false" ht="17.25" hidden="false" customHeight="true" outlineLevel="0" collapsed="false">
      <c r="B31" s="52" t="s">
        <v>3704</v>
      </c>
      <c r="C31" s="75" t="n">
        <f aca="false">IF(Need_2&lt;&gt;"",Need_2,IF(Warning&lt;&gt;"","—",MAX(0,-FV(Monthly_Rate,MP_Year_3*12,-Repayment,Used_Mortgage_Balance))))</f>
        <v>126414.725222664</v>
      </c>
      <c r="D31" s="61" t="s">
        <v>964</v>
      </c>
      <c r="E31" s="76" t="s">
        <v>3705</v>
      </c>
    </row>
    <row r="32" customFormat="false" ht="15" hidden="false" customHeight="true" outlineLevel="0" collapsed="false">
      <c r="B32" s="59" t="s">
        <v>2918</v>
      </c>
      <c r="C32" s="98" t="n">
        <f aca="false">IF(Need_3&lt;&gt;"",Need_3,Used_Interest_Rate/12)</f>
        <v>0.0029</v>
      </c>
      <c r="D32" s="61"/>
      <c r="E32" s="76" t="s">
        <v>2919</v>
      </c>
    </row>
    <row r="33" customFormat="false" ht="15" hidden="false" customHeight="true" outlineLevel="0" collapsed="false">
      <c r="B33" s="59" t="s">
        <v>3706</v>
      </c>
      <c r="C33" s="77" t="n">
        <f aca="false">IF(Need_2&lt;&gt;"",Need_2,IF(Used_Actual_Repayment&gt;0,Used_Actual_Repayment,PMT(Monthly_Rate,Used_Years_Left*12,-Used_Mortgage_Balance)))</f>
        <v>1248.87895731299</v>
      </c>
      <c r="D33" s="61" t="s">
        <v>964</v>
      </c>
      <c r="E33" s="76" t="s">
        <v>2998</v>
      </c>
    </row>
    <row r="35" customFormat="false" ht="15" hidden="false" customHeight="true" outlineLevel="0" collapsed="false">
      <c r="B35" s="55" t="s">
        <v>2853</v>
      </c>
      <c r="C35" s="58"/>
      <c r="D35" s="58"/>
      <c r="E35" s="58"/>
      <c r="F35" s="58"/>
      <c r="G35" s="58"/>
    </row>
    <row r="36" customFormat="false" ht="13.5" hidden="false" customHeight="true" outlineLevel="0" collapsed="false">
      <c r="B36" s="80" t="s">
        <v>3707</v>
      </c>
      <c r="C36" s="80"/>
      <c r="D36" s="80"/>
      <c r="E36" s="80"/>
    </row>
    <row r="37" customFormat="false" ht="13.5" hidden="false" customHeight="true" outlineLevel="0" collapsed="false">
      <c r="B37" s="81" t="s">
        <v>2856</v>
      </c>
      <c r="C37" s="81"/>
      <c r="D37" s="81"/>
      <c r="E37" s="81"/>
    </row>
    <row r="38" customFormat="false" ht="13.5" hidden="false" customHeight="true" outlineLevel="0" collapsed="false">
      <c r="B38" s="80" t="s">
        <v>3708</v>
      </c>
      <c r="C38" s="80"/>
      <c r="D38" s="80"/>
      <c r="E38" s="80"/>
    </row>
    <row r="40" customFormat="false" ht="15" hidden="false" customHeight="true" outlineLevel="0" collapsed="false">
      <c r="B40" s="55" t="s">
        <v>2861</v>
      </c>
      <c r="C40" s="58"/>
      <c r="D40" s="58"/>
      <c r="E40" s="58"/>
      <c r="F40" s="58"/>
      <c r="G40" s="58"/>
    </row>
    <row r="41" customFormat="false" ht="15" hidden="false" customHeight="true" outlineLevel="0" collapsed="false">
      <c r="B41" s="59" t="s">
        <v>1620</v>
      </c>
      <c r="C41" s="82" t="str">
        <f aca="false">"No goal"</f>
        <v>No goal</v>
      </c>
      <c r="E41" s="83" t="s">
        <v>3042</v>
      </c>
    </row>
    <row r="43" customFormat="false" ht="15" hidden="false" customHeight="true" outlineLevel="0" collapsed="false">
      <c r="B43" s="55" t="s">
        <v>2869</v>
      </c>
      <c r="C43" s="58"/>
      <c r="D43" s="58"/>
      <c r="E43" s="58"/>
      <c r="F43" s="58"/>
      <c r="G43" s="58"/>
    </row>
    <row r="44" customFormat="false" ht="15" hidden="false" customHeight="true" outlineLevel="0" collapsed="false">
      <c r="B44" s="86" t="s">
        <v>3709</v>
      </c>
      <c r="C44" s="86" t="str">
        <f aca="false">IF(NOT(ISNUMBER(Used_Mortgage_Balance)),IF(Used_Mortgage_Balance="",IF(Mortgage_Balance="","Choose your mortgage balance to see this",""),Used_Mortgage_Balance),IF(NOT(ISNUMBER(Used_Interest_Rate)),IF(Used_Interest_Rate="",IF(Interest_Rate="","Choose your mortgage rate to see this",""),Used_Interest_Rate),""))</f>
        <v/>
      </c>
    </row>
    <row r="45" customFormat="false" ht="15" hidden="false" customHeight="true" outlineLevel="0" collapsed="false">
      <c r="B45" s="86" t="s">
        <v>3018</v>
      </c>
      <c r="C45" s="86" t="str">
        <f aca="false">IF(NOT(ISNUMBER(Used_Mortgage_Balance)),IF(Used_Mortgage_Balance="",IF(Mortgage_Balance="","Choose your mortgage balance to see this",""),Used_Mortgage_Balance),IF(NOT(ISNUMBER(Used_Years_Left)),IF(Used_Years_Left="",IF(Years_Left="","Choose your years left to see this",""),Used_Years_Left),IF(NOT(ISNUMBER(Used_Interest_Rate)),IF(Used_Interest_Rate="",IF(Interest_Rate="","Choose your mortgage rate to see this",""),Used_Interest_Rate),"")))</f>
        <v/>
      </c>
    </row>
    <row r="46" customFormat="false" ht="15" hidden="false" customHeight="true" outlineLevel="0" collapsed="false">
      <c r="B46" s="86" t="s">
        <v>2939</v>
      </c>
      <c r="C46" s="86" t="str">
        <f aca="false">IF(NOT(ISNUMBER(Used_Interest_Rate)),IF(Used_Interest_Rate="",IF(Interest_Rate="","Choose your mortgage rate to see this",""),Used_Interest_Rate),"")</f>
        <v/>
      </c>
    </row>
  </sheetData>
  <mergeCells count="5">
    <mergeCell ref="B6:E6"/>
    <mergeCell ref="C28:E28"/>
    <mergeCell ref="B36:E36"/>
    <mergeCell ref="B37:E37"/>
    <mergeCell ref="B38:E38"/>
  </mergeCells>
  <dataValidations count="9">
    <dataValidation allowBlank="true" error="Please enter €0 to €10,000,000." errorStyle="stop" errorTitle="Outside the allowed range" operator="between" prompt="Unit: €. Allowed: €0 to €10,000,000." promptTitle="Outstanding balance" showDropDown="false" showErrorMessage="true" showInputMessage="true" sqref="C7" type="decimal">
      <formula1>0</formula1>
      <formula2>10000000</formula2>
    </dataValidation>
    <dataValidation allowBlank="true" error="Please enter 0% to 15%." errorStyle="stop" errorTitle="Outside the allowed range" operator="between" prompt="Unit: %. Allowed: 0% to 15%." promptTitle="Interest rate" showDropDown="false" showErrorMessage="true" showInputMessage="true" sqref="C8" type="decimal">
      <formula1>0</formula1>
      <formula2>0.15</formula2>
    </dataValidation>
    <dataValidation allowBlank="true" error="Please enter 0 to 40." errorStyle="stop" errorTitle="Outside the allowed range" operator="between" prompt="Unit: years. Allowed: 0 to 40." promptTitle="Term remaining" showDropDown="false" showErrorMessage="true" showInputMessage="true" sqref="C9" type="whole">
      <formula1>0</formula1>
      <formula2>40</formula2>
    </dataValidation>
    <dataValidation allowBlank="true" error="Please enter €0 to €100,000." errorStyle="stop" errorTitle="Outside the allowed range" operator="between" prompt="Unit: €. Allowed: €0 to €100,000." promptTitle="Monthly repayment" showDropDown="false" showErrorMessage="true" showInputMessage="true" sqref="C10" type="decimal">
      <formula1>0</formula1>
      <formula2>100000</formula2>
    </dataValidation>
    <dataValidation allowBlank="true" error="Please enter a date (dd/mm/yyyy)." errorStyle="stop" errorTitle="Outside the allowed range" operator="greaterThan" prompt="Unit: date. Allowed: a date (dd/mm/yyyy)." promptTitle="Statement date" showDropDown="false" showErrorMessage="true" showInputMessage="true" sqref="C11" type="date">
      <formula1>36526</formula1>
      <formula2>0</formula2>
    </dataValidation>
    <dataValidation allowBlank="true" error="Please enter 1% to 8% · steps of 0.05%." errorStyle="stop" errorTitle="Outside the allowed range" operator="between" prompt="Your own mortgage rate: your statement shows it. Typing it is fine; no upload needed. A suggested rate and its source are shown beside this cell (Partner rates, Assumptions sheet). Allowed: 1% to 8% · steps of 0.05%" promptTitle="Interest rate" showDropDown="false" showErrorMessage="true" showInputMessage="true" sqref="C15" type="decimal">
      <formula1>0.01</formula1>
      <formula2>0.08</formula2>
    </dataValidation>
    <dataValidation allowBlank="true" error="Please enter 5 to 35 · steps of 1." errorStyle="stop" errorTitle="Outside the allowed range" operator="between" prompt="Your own figure. In the app it is pre-filled from Years left (25 if not given).  Allowed: 5 to 35 · steps of 1." promptTitle="Years left" showDropDown="false" showErrorMessage="true" showInputMessage="true" sqref="C16" type="whole">
      <formula1>5</formula1>
      <formula2>35</formula2>
    </dataValidation>
    <dataValidation allowBlank="true" error="Please enter €20,000 to €10,000,000 · steps of €5,000." errorStyle="stop" errorTitle="Outside the allowed range" operator="between" prompt="Your own figure. In the app it is pre-filled from Your finances / statement: balance.  Allowed: €20,000 to €10,000,000 · steps of €5,000." promptTitle="Mortgage balance" showDropDown="false" showErrorMessage="true" showInputMessage="true" sqref="C14" type="decimal">
      <formula1>20000</formula1>
      <formula2>10000000</formula2>
    </dataValidation>
    <dataValidation allowBlank="true" error="Please enter €0 to €100,000 · steps of €1." errorStyle="stop" errorTitle="Outside the allowed range" operator="between" prompt="Your own figure. In the app it is pre-filled from Your finances / statement: stated repayment.  Allowed: €0 to €100,000 · steps of €1." promptTitle="Your actual monthly repayment (o" showDropDown="false" showErrorMessage="true" showInputMessage="true" sqref="C17" type="decimal">
      <formula1>0</formula1>
      <formula2>100000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2B134"/>
    <pageSetUpPr fitToPage="false"/>
  </sheetPr>
  <dimension ref="B1:G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20" width="2"/>
    <col collapsed="false" customWidth="true" hidden="false" outlineLevel="0" max="2" min="2" style="20" width="50"/>
    <col collapsed="false" customWidth="true" hidden="false" outlineLevel="0" max="3" min="3" style="20" width="26"/>
    <col collapsed="false" customWidth="true" hidden="false" outlineLevel="0" max="4" min="4" style="20" width="24"/>
    <col collapsed="false" customWidth="true" hidden="false" outlineLevel="0" max="5" min="5" style="20" width="78"/>
    <col collapsed="false" customWidth="true" hidden="false" outlineLevel="0" max="6" min="6" style="20" width="14"/>
    <col collapsed="false" customWidth="true" hidden="false" outlineLevel="0" max="7" min="7" style="20" width="16"/>
  </cols>
  <sheetData>
    <row r="1" customFormat="false" ht="19.5" hidden="false" customHeight="true" outlineLevel="0" collapsed="false">
      <c r="B1" s="50" t="s">
        <v>3710</v>
      </c>
      <c r="E1" s="51" t="s">
        <v>3711</v>
      </c>
    </row>
    <row r="2" customFormat="false" ht="15" hidden="false" customHeight="true" outlineLevel="0" collapsed="false">
      <c r="B2" s="52" t="s">
        <v>3712</v>
      </c>
      <c r="E2" s="53" t="str">
        <f aca="false">IF(Fill_Example="Yes","Example values are ON (README): grey Example only figures fill blank inputs.","Blank template: fill the yellow inputs (or switch on example values on the README).")</f>
        <v>Example values are ON (README): grey Example only figures fill blank inputs.</v>
      </c>
    </row>
    <row r="3" customFormat="false" ht="15" hidden="false" customHeight="true" outlineLevel="0" collapsed="false">
      <c r="B3" s="54" t="s">
        <v>3713</v>
      </c>
    </row>
    <row r="5" customFormat="false" ht="15" hidden="false" customHeight="true" outlineLevel="0" collapsed="false">
      <c r="B5" s="55" t="s">
        <v>2882</v>
      </c>
      <c r="C5" s="58"/>
      <c r="D5" s="58"/>
      <c r="E5" s="58"/>
      <c r="F5" s="58"/>
      <c r="G5" s="58"/>
    </row>
    <row r="6" customFormat="false" ht="27.75" hidden="false" customHeight="true" outlineLevel="0" collapsed="false">
      <c r="B6" s="87" t="s">
        <v>3714</v>
      </c>
      <c r="C6" s="87"/>
      <c r="D6" s="87"/>
      <c r="E6" s="87"/>
    </row>
    <row r="7" customFormat="false" ht="15" hidden="false" customHeight="true" outlineLevel="0" collapsed="false">
      <c r="B7" s="59" t="s">
        <v>2884</v>
      </c>
      <c r="C7" s="88"/>
      <c r="D7" s="61" t="s">
        <v>964</v>
      </c>
      <c r="E7" s="62" t="s">
        <v>2885</v>
      </c>
      <c r="G7" s="86" t="s">
        <v>2886</v>
      </c>
    </row>
    <row r="8" customFormat="false" ht="15" hidden="false" customHeight="true" outlineLevel="0" collapsed="false">
      <c r="B8" s="59" t="s">
        <v>3715</v>
      </c>
      <c r="C8" s="88"/>
      <c r="D8" s="61" t="s">
        <v>964</v>
      </c>
      <c r="E8" s="62" t="s">
        <v>3200</v>
      </c>
      <c r="G8" s="86" t="s">
        <v>2886</v>
      </c>
    </row>
    <row r="9" customFormat="false" ht="15" hidden="false" customHeight="true" outlineLevel="0" collapsed="false">
      <c r="B9" s="59" t="s">
        <v>3275</v>
      </c>
      <c r="C9" s="88"/>
      <c r="D9" s="61" t="s">
        <v>964</v>
      </c>
      <c r="E9" s="62" t="s">
        <v>3276</v>
      </c>
      <c r="G9" s="86" t="s">
        <v>2886</v>
      </c>
    </row>
    <row r="10" customFormat="false" ht="15" hidden="false" customHeight="true" outlineLevel="0" collapsed="false">
      <c r="B10" s="59" t="s">
        <v>3199</v>
      </c>
      <c r="C10" s="88"/>
      <c r="D10" s="61" t="s">
        <v>964</v>
      </c>
      <c r="E10" s="62" t="s">
        <v>3200</v>
      </c>
      <c r="G10" s="86" t="s">
        <v>2886</v>
      </c>
    </row>
    <row r="12" customFormat="false" ht="15" hidden="false" customHeight="true" outlineLevel="0" collapsed="false">
      <c r="B12" s="55" t="s">
        <v>2893</v>
      </c>
      <c r="C12" s="56" t="s">
        <v>912</v>
      </c>
      <c r="D12" s="56" t="s">
        <v>913</v>
      </c>
      <c r="E12" s="56" t="s">
        <v>2804</v>
      </c>
      <c r="F12" s="57" t="s">
        <v>2805</v>
      </c>
      <c r="G12" s="58"/>
    </row>
    <row r="13" customFormat="false" ht="21.75" hidden="false" customHeight="true" outlineLevel="0" collapsed="false">
      <c r="B13" s="59" t="s">
        <v>3716</v>
      </c>
      <c r="C13" s="60"/>
      <c r="D13" s="61" t="s">
        <v>964</v>
      </c>
      <c r="E13" s="62" t="s">
        <v>3717</v>
      </c>
      <c r="F13" s="63" t="n">
        <v>15000</v>
      </c>
      <c r="G13" s="64" t="n">
        <f aca="false">IF(ISBLANK(C13),IF(Fill_Example="Yes",F13,""),C13)</f>
        <v>15000</v>
      </c>
    </row>
    <row r="14" customFormat="false" ht="21.75" hidden="false" customHeight="true" outlineLevel="0" collapsed="false">
      <c r="B14" s="59" t="s">
        <v>993</v>
      </c>
      <c r="C14" s="60"/>
      <c r="D14" s="61" t="s">
        <v>964</v>
      </c>
      <c r="E14" s="62" t="s">
        <v>3718</v>
      </c>
      <c r="F14" s="63" t="n">
        <v>10000</v>
      </c>
      <c r="G14" s="64" t="n">
        <f aca="false">IF(ISBLANK(C14),IF(Fill_Example="Yes",F14,""),C14)</f>
        <v>10000</v>
      </c>
    </row>
    <row r="15" customFormat="false" ht="21.75" hidden="false" customHeight="true" outlineLevel="0" collapsed="false">
      <c r="B15" s="59" t="s">
        <v>707</v>
      </c>
      <c r="C15" s="60"/>
      <c r="D15" s="61" t="s">
        <v>964</v>
      </c>
      <c r="E15" s="62" t="s">
        <v>3719</v>
      </c>
      <c r="F15" s="63" t="n">
        <v>60000</v>
      </c>
      <c r="G15" s="64" t="n">
        <f aca="false">IF(ISBLANK(C15),IF(Pens_Value_Total&gt;0,Pens_Value_Total,IF(Fill_Example="Yes",F15,"")),C15)</f>
        <v>60000</v>
      </c>
    </row>
    <row r="16" customFormat="false" ht="21.75" hidden="false" customHeight="true" outlineLevel="0" collapsed="false">
      <c r="B16" s="59" t="s">
        <v>3720</v>
      </c>
      <c r="C16" s="60"/>
      <c r="D16" s="61" t="s">
        <v>964</v>
      </c>
      <c r="E16" s="62" t="s">
        <v>3721</v>
      </c>
      <c r="F16" s="63" t="n">
        <v>350000</v>
      </c>
      <c r="G16" s="64" t="n">
        <f aca="false">IF(ISBLANK(C16),IF(Fill_Example="Yes",F16,""),C16)</f>
        <v>350000</v>
      </c>
    </row>
    <row r="17" customFormat="false" ht="21.75" hidden="false" customHeight="true" outlineLevel="0" collapsed="false">
      <c r="B17" s="59" t="s">
        <v>3096</v>
      </c>
      <c r="C17" s="60"/>
      <c r="D17" s="61" t="s">
        <v>964</v>
      </c>
      <c r="E17" s="62" t="s">
        <v>3722</v>
      </c>
      <c r="F17" s="63" t="n">
        <v>250000</v>
      </c>
      <c r="G17" s="64" t="n">
        <f aca="false">IF(ISBLANK(C17),IF(Fill_Example="Yes",F17,""),C17)</f>
        <v>250000</v>
      </c>
    </row>
    <row r="18" customFormat="false" ht="21.75" hidden="false" customHeight="true" outlineLevel="0" collapsed="false">
      <c r="B18" s="59" t="s">
        <v>3723</v>
      </c>
      <c r="C18" s="60"/>
      <c r="D18" s="61" t="s">
        <v>964</v>
      </c>
      <c r="E18" s="62" t="s">
        <v>3724</v>
      </c>
      <c r="F18" s="63" t="n">
        <v>8000</v>
      </c>
      <c r="G18" s="64" t="n">
        <f aca="false">IF(ISBLANK(C18),IF(Debts_Listed_Total&gt;0,Debts_Listed_Total,IF(Fill_Example="Yes",F18,"")),C18)</f>
        <v>8000</v>
      </c>
    </row>
    <row r="20" customFormat="false" ht="15" hidden="false" customHeight="true" outlineLevel="0" collapsed="false">
      <c r="B20" s="55" t="s">
        <v>2902</v>
      </c>
      <c r="C20" s="58"/>
      <c r="D20" s="58"/>
      <c r="E20" s="58"/>
      <c r="F20" s="58"/>
      <c r="G20" s="58"/>
    </row>
    <row r="21" customFormat="false" ht="15" hidden="false" customHeight="true" outlineLevel="0" collapsed="false">
      <c r="B21" s="59" t="s">
        <v>3096</v>
      </c>
      <c r="C21" s="92" t="n">
        <f aca="false">IF(ISBLANK(Stmt_Mortgage_Balance),Mortgage,Stmt_Mortgage_Balance)</f>
        <v>250000</v>
      </c>
      <c r="D21" s="93" t="str">
        <f aca="false">IF(ISBLANK(Stmt_Mortgage_Balance),"Your figure","From your statement")</f>
        <v>Your figure</v>
      </c>
      <c r="E21" s="83" t="s">
        <v>3725</v>
      </c>
    </row>
    <row r="22" customFormat="false" ht="15" hidden="false" customHeight="true" outlineLevel="0" collapsed="false">
      <c r="B22" s="59" t="s">
        <v>3720</v>
      </c>
      <c r="C22" s="92" t="n">
        <f aca="false">IF(ISBLANK(Stmt_Property_Value),Property,Stmt_Property_Value)</f>
        <v>350000</v>
      </c>
      <c r="D22" s="93" t="str">
        <f aca="false">IF(ISBLANK(Stmt_Property_Value),"Your figure","From your statement")</f>
        <v>Your figure</v>
      </c>
      <c r="E22" s="83" t="s">
        <v>3726</v>
      </c>
    </row>
    <row r="23" customFormat="false" ht="15" hidden="false" customHeight="true" outlineLevel="0" collapsed="false">
      <c r="B23" s="59" t="s">
        <v>707</v>
      </c>
      <c r="C23" s="92" t="n">
        <f aca="false">IF(ISBLANK(Stmt_Pension_Value),Pensions,Stmt_Pension_Value)</f>
        <v>60000</v>
      </c>
      <c r="D23" s="93" t="str">
        <f aca="false">IF(ISBLANK(Stmt_Pension_Value),"Your figure","From your statement")</f>
        <v>Your figure</v>
      </c>
      <c r="E23" s="83" t="s">
        <v>3727</v>
      </c>
    </row>
    <row r="24" customFormat="false" ht="15" hidden="false" customHeight="true" outlineLevel="0" collapsed="false">
      <c r="B24" s="59" t="s">
        <v>993</v>
      </c>
      <c r="C24" s="92" t="n">
        <f aca="false">IF(ISBLANK(Stmt_Investment_Value),Investments,Stmt_Investment_Value)</f>
        <v>10000</v>
      </c>
      <c r="D24" s="93" t="str">
        <f aca="false">IF(ISBLANK(Stmt_Investment_Value),"Your figure","From your statement")</f>
        <v>Your figure</v>
      </c>
      <c r="E24" s="83" t="s">
        <v>3728</v>
      </c>
    </row>
    <row r="26" customFormat="false" ht="15" hidden="false" customHeight="true" outlineLevel="0" collapsed="false">
      <c r="B26" s="55" t="s">
        <v>2630</v>
      </c>
      <c r="C26" s="56" t="s">
        <v>327</v>
      </c>
      <c r="D26" s="56" t="s">
        <v>2822</v>
      </c>
      <c r="E26" s="56" t="s">
        <v>2823</v>
      </c>
      <c r="F26" s="58"/>
      <c r="G26" s="58"/>
    </row>
    <row r="27" customFormat="false" ht="17.25" hidden="false" customHeight="true" outlineLevel="0" collapsed="false">
      <c r="B27" s="52" t="s">
        <v>3729</v>
      </c>
      <c r="C27" s="75" t="n">
        <f aca="false">IF(Need_1&lt;&gt;"",Need_1,You_Own-You_Owe)</f>
        <v>177000</v>
      </c>
      <c r="D27" s="61" t="s">
        <v>964</v>
      </c>
      <c r="E27" s="76" t="s">
        <v>3730</v>
      </c>
    </row>
    <row r="28" customFormat="false" ht="17.25" hidden="false" customHeight="true" outlineLevel="0" collapsed="false">
      <c r="B28" s="52" t="s">
        <v>3731</v>
      </c>
      <c r="C28" s="75" t="n">
        <f aca="false">IF(Need_2&lt;&gt;"",Need_2,Savings+Used_Investments+Used_Pensions+Used_Property)</f>
        <v>435000</v>
      </c>
      <c r="D28" s="61" t="s">
        <v>964</v>
      </c>
      <c r="E28" s="76" t="s">
        <v>3732</v>
      </c>
    </row>
    <row r="29" customFormat="false" ht="17.25" hidden="false" customHeight="true" outlineLevel="0" collapsed="false">
      <c r="B29" s="52" t="s">
        <v>3733</v>
      </c>
      <c r="C29" s="75" t="n">
        <f aca="false">IF(Need_3&lt;&gt;"",Need_3,Used_Mortgage+Other_Loans)</f>
        <v>258000</v>
      </c>
      <c r="D29" s="61" t="s">
        <v>964</v>
      </c>
      <c r="E29" s="76" t="s">
        <v>3734</v>
      </c>
    </row>
    <row r="31" customFormat="false" ht="15" hidden="false" customHeight="true" outlineLevel="0" collapsed="false">
      <c r="B31" s="55" t="s">
        <v>2853</v>
      </c>
      <c r="C31" s="58"/>
      <c r="D31" s="58"/>
      <c r="E31" s="58"/>
      <c r="F31" s="58"/>
      <c r="G31" s="58"/>
    </row>
    <row r="32" customFormat="false" ht="13.5" hidden="false" customHeight="true" outlineLevel="0" collapsed="false">
      <c r="B32" s="80" t="s">
        <v>3735</v>
      </c>
      <c r="C32" s="80"/>
      <c r="D32" s="80"/>
      <c r="E32" s="80"/>
    </row>
    <row r="33" customFormat="false" ht="13.5" hidden="false" customHeight="true" outlineLevel="0" collapsed="false">
      <c r="B33" s="81" t="s">
        <v>2856</v>
      </c>
      <c r="C33" s="81"/>
      <c r="D33" s="81"/>
      <c r="E33" s="81"/>
    </row>
    <row r="34" customFormat="false" ht="13.5" hidden="false" customHeight="true" outlineLevel="0" collapsed="false">
      <c r="B34" s="80" t="s">
        <v>3736</v>
      </c>
      <c r="C34" s="80"/>
      <c r="D34" s="80"/>
      <c r="E34" s="80"/>
    </row>
    <row r="36" customFormat="false" ht="15" hidden="false" customHeight="true" outlineLevel="0" collapsed="false">
      <c r="B36" s="55" t="s">
        <v>2861</v>
      </c>
      <c r="C36" s="58"/>
      <c r="D36" s="58"/>
      <c r="E36" s="58"/>
      <c r="F36" s="58"/>
      <c r="G36" s="58"/>
    </row>
    <row r="37" customFormat="false" ht="15" hidden="false" customHeight="true" outlineLevel="0" collapsed="false">
      <c r="B37" s="59" t="s">
        <v>1620</v>
      </c>
      <c r="C37" s="82" t="str">
        <f aca="false">"No goal"</f>
        <v>No goal</v>
      </c>
      <c r="E37" s="83" t="s">
        <v>3042</v>
      </c>
    </row>
    <row r="39" customFormat="false" ht="15" hidden="false" customHeight="true" outlineLevel="0" collapsed="false">
      <c r="B39" s="55" t="s">
        <v>2869</v>
      </c>
      <c r="C39" s="58"/>
      <c r="D39" s="58"/>
      <c r="E39" s="58"/>
      <c r="F39" s="58"/>
      <c r="G39" s="58"/>
    </row>
    <row r="40" customFormat="false" ht="15" hidden="false" customHeight="true" outlineLevel="0" collapsed="false">
      <c r="B40" s="86" t="s">
        <v>3737</v>
      </c>
      <c r="C40" s="86" t="str">
        <f aca="false">IF(Savings="","Choose your savings to see this",IF(Other_Loans="","Choose your other loans to see this",IF(NOT(ISNUMBER(Used_Mortgage)),IF(Used_Mortgage="",IF(Mortgage="","Choose your mortgage to see this",""),Used_Mortgage),IF(NOT(ISNUMBER(Used_Property)),IF(Used_Property="",IF(Property="","Choose your property value to see this",""),Used_Property),IF(NOT(ISNUMBER(Used_Pensions)),IF(Used_Pensions="",IF(Pensions="","Choose your pensions to see this",""),Used_Pensions),IF(NOT(ISNUMBER(Used_Investments)),IF(Used_Investments="",IF(Investments="","Choose your investments to see this",""),Used_Investments),""))))))</f>
        <v/>
      </c>
    </row>
    <row r="41" customFormat="false" ht="15" hidden="false" customHeight="true" outlineLevel="0" collapsed="false">
      <c r="B41" s="86" t="s">
        <v>3738</v>
      </c>
      <c r="C41" s="86" t="str">
        <f aca="false">IF(Savings="","Choose your savings to see this",IF(NOT(ISNUMBER(Used_Property)),IF(Used_Property="",IF(Property="","Choose your property value to see this",""),Used_Property),IF(NOT(ISNUMBER(Used_Pensions)),IF(Used_Pensions="",IF(Pensions="","Choose your pensions to see this",""),Used_Pensions),IF(NOT(ISNUMBER(Used_Investments)),IF(Used_Investments="",IF(Investments="","Choose your investments to see this",""),Used_Investments),""))))</f>
        <v/>
      </c>
    </row>
    <row r="42" customFormat="false" ht="15" hidden="false" customHeight="true" outlineLevel="0" collapsed="false">
      <c r="B42" s="86" t="s">
        <v>3739</v>
      </c>
      <c r="C42" s="86" t="str">
        <f aca="false">IF(Other_Loans="","Choose your other loans to see this",IF(NOT(ISNUMBER(Used_Mortgage)),IF(Used_Mortgage="",IF(Mortgage="","Choose your mortgage to see this",""),Used_Mortgage),""))</f>
        <v/>
      </c>
    </row>
  </sheetData>
  <mergeCells count="4">
    <mergeCell ref="B6:E6"/>
    <mergeCell ref="B32:E32"/>
    <mergeCell ref="B33:E33"/>
    <mergeCell ref="B34:E34"/>
  </mergeCells>
  <dataValidations count="10">
    <dataValidation allowBlank="true" error="Please enter €0 to €10,000,000." errorStyle="stop" errorTitle="Outside the allowed range" operator="between" prompt="Unit: €. Allowed: €0 to €10,000,000." promptTitle="Outstanding balance" showDropDown="false" showErrorMessage="true" showInputMessage="true" sqref="C7" type="decimal">
      <formula1>0</formula1>
      <formula2>10000000</formula2>
    </dataValidation>
    <dataValidation allowBlank="true" error="Please enter €0 to €100,000,000." errorStyle="stop" errorTitle="Outside the allowed range" operator="between" prompt="Unit: €. Allowed: €0 to €100,000,000." promptTitle="Total value" showDropDown="false" showErrorMessage="true" showInputMessage="true" sqref="C10" type="decimal">
      <formula1>0</formula1>
      <formula2>100000000</formula2>
    </dataValidation>
    <dataValidation allowBlank="true" error="Please enter €0 to €50,000,000." errorStyle="stop" errorTitle="Outside the allowed range" operator="between" prompt="Unit: €. Allowed: €0 to €50,000,000." promptTitle="Fund value today" showDropDown="false" showErrorMessage="true" showInputMessage="true" sqref="C9" type="decimal">
      <formula1>0</formula1>
      <formula2>50000000</formula2>
    </dataValidation>
    <dataValidation allowBlank="true" error="Please enter €0 to €100,000,000." errorStyle="stop" errorTitle="Outside the allowed range" operator="between" prompt="Unit: €. Allowed: €0 to €100,000,000." promptTitle="Property value (valuation)" showDropDown="false" showErrorMessage="true" showInputMessage="true" sqref="C8" type="decimal">
      <formula1>0</formula1>
      <formula2>100000000</formula2>
    </dataValidation>
    <dataValidation allowBlank="true" error="Please enter €0 to €10,000,000 · steps of €500." errorStyle="stop" errorTitle="Outside the allowed range" operator="between" prompt="Your own figure. In the app it is pre-filled from Your finances: cash.  Allowed: €0 to €10,000,000 · steps of €500." promptTitle="Savings" showDropDown="false" showErrorMessage="true" showInputMessage="true" sqref="C13" type="decimal">
      <formula1>0</formula1>
      <formula2>10000000</formula2>
    </dataValidation>
    <dataValidation allowBlank="true" error="Please enter €0 to €20,000,000 · steps of €1,000." errorStyle="stop" errorTitle="Outside the allowed range" operator="between" prompt="Your own figure. In the app it is pre-filled from Your finances: investments.  Allowed: €0 to €20,000,000 · steps of €1,000." promptTitle="Investments" showDropDown="false" showErrorMessage="true" showInputMessage="true" sqref="C14" type="decimal">
      <formula1>0</formula1>
      <formula2>20000000</formula2>
    </dataValidation>
    <dataValidation allowBlank="true" error="Please enter €0 to €30,000,000 · steps of €1,000." errorStyle="stop" errorTitle="Outside the allowed range" operator="between" prompt="Your own figure. In the app it is pre-filled from Your finances: pension.  Allowed: €0 to €30,000,000 · steps of €1,000." promptTitle="Pensions" showDropDown="false" showErrorMessage="true" showInputMessage="true" sqref="C15" type="decimal">
      <formula1>0</formula1>
      <formula2>30000000</formula2>
    </dataValidation>
    <dataValidation allowBlank="true" error="Please enter €0 to €50,000,000 · steps of €5,000." errorStyle="stop" errorTitle="Outside the allowed range" operator="between" prompt="Your own figure. In the app it is pre-filled from Your finances: home + other property.  Allowed: €0 to €50,000,000 · steps of €5,000." promptTitle="Property value" showDropDown="false" showErrorMessage="true" showInputMessage="true" sqref="C16" type="decimal">
      <formula1>0</formula1>
      <formula2>50000000</formula2>
    </dataValidation>
    <dataValidation allowBlank="true" error="Please enter €0 to €30,000,000 · steps of €5,000." errorStyle="stop" errorTitle="Outside the allowed range" operator="between" prompt="Your own figure. In the app it is pre-filled from Your finances: mortgage balance.  Allowed: €0 to €30,000,000 · steps of €5,000." promptTitle="Mortgage" showDropDown="false" showErrorMessage="true" showInputMessage="true" sqref="C17" type="decimal">
      <formula1>0</formula1>
      <formula2>30000000</formula2>
    </dataValidation>
    <dataValidation allowBlank="true" error="Please enter €0 to €5,000,000 · steps of €500." errorStyle="stop" errorTitle="Outside the allowed range" operator="between" prompt="Your own figure. In the app it is pre-filled from Your finances: debts.  Allowed: €0 to €5,000,000 · steps of €500." promptTitle="Other loans" showDropDown="false" showErrorMessage="true" showInputMessage="true" sqref="C18" type="decimal">
      <formula1>0</formula1>
      <formula2>5000000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2B134"/>
    <pageSetUpPr fitToPage="false"/>
  </sheetPr>
  <dimension ref="B1:G3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20" width="2"/>
    <col collapsed="false" customWidth="true" hidden="false" outlineLevel="0" max="2" min="2" style="20" width="50"/>
    <col collapsed="false" customWidth="true" hidden="false" outlineLevel="0" max="3" min="3" style="20" width="26"/>
    <col collapsed="false" customWidth="true" hidden="false" outlineLevel="0" max="4" min="4" style="20" width="24"/>
    <col collapsed="false" customWidth="true" hidden="false" outlineLevel="0" max="5" min="5" style="20" width="78"/>
    <col collapsed="false" customWidth="true" hidden="false" outlineLevel="0" max="6" min="6" style="20" width="14"/>
    <col collapsed="false" customWidth="true" hidden="false" outlineLevel="0" max="7" min="7" style="20" width="16"/>
  </cols>
  <sheetData>
    <row r="1" customFormat="false" ht="19.5" hidden="false" customHeight="true" outlineLevel="0" collapsed="false">
      <c r="B1" s="50" t="s">
        <v>3740</v>
      </c>
      <c r="E1" s="51" t="s">
        <v>3741</v>
      </c>
    </row>
    <row r="2" customFormat="false" ht="15" hidden="false" customHeight="true" outlineLevel="0" collapsed="false">
      <c r="B2" s="52" t="s">
        <v>3742</v>
      </c>
      <c r="E2" s="53" t="str">
        <f aca="false">IF(Fill_Example="Yes","Example values are ON (README): grey Example only figures fill blank inputs.","Blank template: fill the yellow inputs (or switch on example values on the README).")</f>
        <v>Example values are ON (README): grey Example only figures fill blank inputs.</v>
      </c>
    </row>
    <row r="3" customFormat="false" ht="15" hidden="false" customHeight="true" outlineLevel="0" collapsed="false">
      <c r="B3" s="54" t="s">
        <v>3743</v>
      </c>
    </row>
    <row r="5" customFormat="false" ht="15" hidden="false" customHeight="true" outlineLevel="0" collapsed="false">
      <c r="B5" s="55" t="s">
        <v>2803</v>
      </c>
      <c r="C5" s="56" t="s">
        <v>912</v>
      </c>
      <c r="D5" s="56" t="s">
        <v>913</v>
      </c>
      <c r="E5" s="56" t="s">
        <v>2804</v>
      </c>
      <c r="F5" s="57" t="s">
        <v>2805</v>
      </c>
      <c r="G5" s="58"/>
    </row>
    <row r="6" customFormat="false" ht="15" hidden="false" customHeight="true" outlineLevel="0" collapsed="false">
      <c r="B6" s="59" t="s">
        <v>3744</v>
      </c>
      <c r="C6" s="60"/>
      <c r="D6" s="61" t="s">
        <v>964</v>
      </c>
      <c r="E6" s="62" t="str">
        <f aca="false">"Type 3 · optional · Optional: leave blank for none. Allowed: €500 to "&amp;TEXT(Max_Money_Input,"€#,##0")&amp;" · steps of €50"</f>
        <v>Type 3 · optional · Optional: leave blank for none. Allowed: €500 to €200,000 · steps of €50</v>
      </c>
      <c r="F6" s="63" t="n">
        <v>3500</v>
      </c>
      <c r="G6" s="64" t="n">
        <f aca="false">IF(ISBLANK(C6),IF(Fill_Example="Yes",F6,""),C6)</f>
        <v>3500</v>
      </c>
    </row>
    <row r="7" customFormat="false" ht="21.75" hidden="false" customHeight="true" outlineLevel="0" collapsed="false">
      <c r="B7" s="59" t="s">
        <v>3745</v>
      </c>
      <c r="C7" s="60"/>
      <c r="D7" s="61" t="s">
        <v>964</v>
      </c>
      <c r="E7" s="62" t="s">
        <v>3746</v>
      </c>
      <c r="F7" s="63" t="n">
        <v>2000</v>
      </c>
      <c r="G7" s="64" t="n">
        <f aca="false">IF(ISBLANK(C7),IF(Fill_Example="Yes",F7,""),C7)</f>
        <v>2000</v>
      </c>
    </row>
    <row r="8" customFormat="false" ht="15" hidden="false" customHeight="true" outlineLevel="0" collapsed="false">
      <c r="B8" s="59" t="s">
        <v>3747</v>
      </c>
      <c r="C8" s="60"/>
      <c r="D8" s="61" t="s">
        <v>964</v>
      </c>
      <c r="E8" s="62" t="s">
        <v>3748</v>
      </c>
      <c r="F8" s="63" t="n">
        <v>800</v>
      </c>
      <c r="G8" s="64" t="n">
        <f aca="false">IF(ISBLANK(C8),IF(Fill_Example="Yes",F8,""),C8)</f>
        <v>800</v>
      </c>
    </row>
    <row r="9" customFormat="false" ht="21.75" hidden="false" customHeight="true" outlineLevel="0" collapsed="false">
      <c r="B9" s="59" t="s">
        <v>3749</v>
      </c>
      <c r="C9" s="60"/>
      <c r="D9" s="61" t="s">
        <v>964</v>
      </c>
      <c r="E9" s="62" t="s">
        <v>3750</v>
      </c>
      <c r="F9" s="63" t="n">
        <v>200</v>
      </c>
      <c r="G9" s="64" t="n">
        <f aca="false">IF(ISBLANK(C9),IF(Debts_Pay_Total&gt;0,Debts_Pay_Total,IF(Fill_Example="Yes",F9,"")),C9)</f>
        <v>200</v>
      </c>
    </row>
    <row r="11" customFormat="false" ht="15" hidden="false" customHeight="true" outlineLevel="0" collapsed="false">
      <c r="B11" s="55" t="s">
        <v>2902</v>
      </c>
      <c r="C11" s="58"/>
      <c r="D11" s="58"/>
      <c r="E11" s="58"/>
      <c r="F11" s="58"/>
      <c r="G11" s="58"/>
    </row>
    <row r="12" customFormat="false" ht="15" hidden="false" customHeight="true" outlineLevel="0" collapsed="false">
      <c r="B12" s="59" t="s">
        <v>3751</v>
      </c>
      <c r="C12" s="92" t="n">
        <f aca="false">IF(Take_Home="",TE_Take_Home_Month,Take_Home)</f>
        <v>3500</v>
      </c>
      <c r="D12" s="93" t="str">
        <f aca="false">IF(Take_Home="","From the Tax engine","Your figure")</f>
        <v>Your figure</v>
      </c>
      <c r="E12" s="83" t="s">
        <v>3752</v>
      </c>
    </row>
    <row r="14" customFormat="false" ht="15" hidden="false" customHeight="true" outlineLevel="0" collapsed="false">
      <c r="B14" s="55" t="s">
        <v>2630</v>
      </c>
      <c r="C14" s="56" t="s">
        <v>327</v>
      </c>
      <c r="D14" s="56" t="s">
        <v>2822</v>
      </c>
      <c r="E14" s="56" t="s">
        <v>2823</v>
      </c>
      <c r="F14" s="58"/>
      <c r="G14" s="58"/>
    </row>
    <row r="15" customFormat="false" ht="17.25" hidden="false" customHeight="true" outlineLevel="0" collapsed="false">
      <c r="B15" s="52" t="s">
        <v>3753</v>
      </c>
      <c r="C15" s="75" t="n">
        <f aca="false">IF(Need_1&lt;&gt;"",Need_1,Used_Take_Home-Essentials-Lifestyle-Debt_Repayments)</f>
        <v>500</v>
      </c>
      <c r="D15" s="97" t="str">
        <f aca="false">IF(Need_1&lt;&gt;"",Need_1,IF(Surplus&gt;0,"About "&amp;ROUND(Surplus/Used_Take_Home*100,0)&amp;"% of take-home is free for goals",IF(Surplus=0,"Nothing left over this month","Spending is above income")))</f>
        <v>About 14% of take-home is free for goals</v>
      </c>
      <c r="E15" s="76" t="s">
        <v>3754</v>
      </c>
    </row>
    <row r="16" customFormat="false" ht="17.25" hidden="false" customHeight="true" outlineLevel="0" collapsed="false">
      <c r="B16" s="52" t="s">
        <v>3755</v>
      </c>
      <c r="C16" s="75" t="n">
        <f aca="false">IF(Need_2&lt;&gt;"",Need_2,Essentials+Lifestyle+Debt_Repayments)</f>
        <v>3000</v>
      </c>
      <c r="D16" s="61" t="s">
        <v>964</v>
      </c>
      <c r="E16" s="76" t="s">
        <v>3756</v>
      </c>
    </row>
    <row r="18" customFormat="false" ht="15" hidden="false" customHeight="true" outlineLevel="0" collapsed="false">
      <c r="B18" s="55" t="s">
        <v>2853</v>
      </c>
      <c r="C18" s="58"/>
      <c r="D18" s="58"/>
      <c r="E18" s="58"/>
      <c r="F18" s="58"/>
      <c r="G18" s="58"/>
    </row>
    <row r="19" customFormat="false" ht="13.5" hidden="false" customHeight="true" outlineLevel="0" collapsed="false">
      <c r="B19" s="80" t="s">
        <v>3757</v>
      </c>
      <c r="C19" s="80"/>
      <c r="D19" s="80"/>
      <c r="E19" s="80"/>
    </row>
    <row r="20" customFormat="false" ht="13.5" hidden="false" customHeight="true" outlineLevel="0" collapsed="false">
      <c r="B20" s="81" t="s">
        <v>2856</v>
      </c>
      <c r="C20" s="81"/>
      <c r="D20" s="81"/>
      <c r="E20" s="81"/>
    </row>
    <row r="21" customFormat="false" ht="13.5" hidden="false" customHeight="true" outlineLevel="0" collapsed="false">
      <c r="B21" s="80" t="s">
        <v>3758</v>
      </c>
      <c r="C21" s="80"/>
      <c r="D21" s="80"/>
      <c r="E21" s="80"/>
    </row>
    <row r="23" customFormat="false" ht="15" hidden="false" customHeight="true" outlineLevel="0" collapsed="false">
      <c r="B23" s="55" t="s">
        <v>2861</v>
      </c>
      <c r="C23" s="58"/>
      <c r="D23" s="58"/>
      <c r="E23" s="58"/>
      <c r="F23" s="58"/>
      <c r="G23" s="58"/>
    </row>
    <row r="24" customFormat="false" ht="15" hidden="false" customHeight="true" outlineLevel="0" collapsed="false">
      <c r="B24" s="59" t="s">
        <v>1620</v>
      </c>
      <c r="C24" s="82" t="str">
        <f aca="false">IF(Need_1&lt;&gt;"",Need_1,IF(Surplus&gt;0,"Save my surplus (plan kind pot)","No goal"))</f>
        <v>Save my surplus (plan kind pot)</v>
      </c>
      <c r="E24" s="83" t="s">
        <v>3759</v>
      </c>
    </row>
    <row r="25" customFormat="false" ht="15" hidden="false" customHeight="true" outlineLevel="0" collapsed="false">
      <c r="B25" s="59" t="s">
        <v>3760</v>
      </c>
      <c r="C25" s="84" t="n">
        <f aca="false">IF(Need_1&lt;&gt;"",Need_1,IF(Surplus&gt;0,ROUND(Surplus*12,0),"—"))</f>
        <v>6000</v>
      </c>
      <c r="E25" s="83" t="s">
        <v>3761</v>
      </c>
    </row>
    <row r="26" customFormat="false" ht="15" hidden="false" customHeight="true" outlineLevel="0" collapsed="false">
      <c r="B26" s="59" t="s">
        <v>2867</v>
      </c>
      <c r="C26" s="85" t="n">
        <f aca="false">IF(Need_1&lt;&gt;"",Need_1,IF(Surplus&gt;0,1,"—"))</f>
        <v>1</v>
      </c>
      <c r="E26" s="83" t="s">
        <v>3762</v>
      </c>
    </row>
    <row r="28" customFormat="false" ht="15" hidden="false" customHeight="true" outlineLevel="0" collapsed="false">
      <c r="B28" s="55" t="s">
        <v>2869</v>
      </c>
      <c r="C28" s="58"/>
      <c r="D28" s="58"/>
      <c r="E28" s="58"/>
      <c r="F28" s="58"/>
      <c r="G28" s="58"/>
    </row>
    <row r="29" customFormat="false" ht="15" hidden="false" customHeight="true" outlineLevel="0" collapsed="false">
      <c r="B29" s="86" t="s">
        <v>3763</v>
      </c>
      <c r="C29" s="86" t="str">
        <f aca="false">IF(Essentials="","Choose your essentials to see this",IF(Lifestyle="","Choose your lifestyle spending to see this",IF(Debt_Repayments="","Choose your debt repayments to see this",IF(NOT(ISNUMBER(Used_Take_Home)),IF(Used_Take_Home="","Choose your take-home pay per month to see this",Used_Take_Home),""))))</f>
        <v/>
      </c>
    </row>
    <row r="30" customFormat="false" ht="15" hidden="false" customHeight="true" outlineLevel="0" collapsed="false">
      <c r="B30" s="86" t="s">
        <v>3764</v>
      </c>
      <c r="C30" s="86" t="str">
        <f aca="false">IF(Essentials="","Choose your essentials to see this",IF(Lifestyle="","Choose your lifestyle spending to see this",IF(Debt_Repayments="","Choose your debt repayments to see this","")))</f>
        <v/>
      </c>
    </row>
  </sheetData>
  <mergeCells count="3">
    <mergeCell ref="B19:E19"/>
    <mergeCell ref="B20:E20"/>
    <mergeCell ref="B21:E21"/>
  </mergeCells>
  <dataValidations count="4">
    <dataValidation allowBlank="true" error="Please enter €500 to €200,000 · steps of €50." errorStyle="stop" errorTitle="Outside the allowed range" operator="between" prompt="Optional: leave blank for none.  Allowed: €500 to €200,000 · steps of €50." promptTitle="Take-home pay per month (leave b" showDropDown="false" showErrorMessage="true" showInputMessage="true" sqref="C6" type="decimal">
      <formula1>500</formula1>
      <formula2>Max_Money_Input</formula2>
    </dataValidation>
    <dataValidation allowBlank="true" error="Please enter €0 to €150,000 · steps of €50." errorStyle="stop" errorTitle="Outside the allowed range" operator="between" prompt="Your own figure. In the app it is pre-filled from Your finances: costs + one-offs ÷ 12 + mortgage.  Allowed: €0 to €150,000 · steps of €50." promptTitle="Essentials (rent/mortgage, bills" showDropDown="false" showErrorMessage="true" showInputMessage="true" sqref="C7" type="decimal">
      <formula1>0</formula1>
      <formula2>150000</formula2>
    </dataValidation>
    <dataValidation allowBlank="true" error="Please enter €0 to €100,000 · steps of €50." errorStyle="stop" errorTitle="Outside the allowed range" operator="between" prompt="Your own figure.  Allowed: €0 to €100,000 · steps of €50." promptTitle="Lifestyle spending" showDropDown="false" showErrorMessage="true" showInputMessage="true" sqref="C8" type="decimal">
      <formula1>0</formula1>
      <formula2>100000</formula2>
    </dataValidation>
    <dataValidation allowBlank="true" error="Please enter €0 to €50,000 · steps of €25." errorStyle="stop" errorTitle="Outside the allowed range" operator="between" prompt="Your own figure. In the app it is pre-filled from Your finances: debt repayments.  Allowed: €0 to €50,000 · steps of €25." promptTitle="Debt repayments" showDropDown="false" showErrorMessage="true" showInputMessage="true" sqref="C9" type="decimal">
      <formula1>0</formula1>
      <formula2>50000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2B134"/>
    <pageSetUpPr fitToPage="false"/>
  </sheetPr>
  <dimension ref="B1:G3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20" width="2"/>
    <col collapsed="false" customWidth="true" hidden="false" outlineLevel="0" max="2" min="2" style="20" width="50"/>
    <col collapsed="false" customWidth="true" hidden="false" outlineLevel="0" max="3" min="3" style="20" width="26"/>
    <col collapsed="false" customWidth="true" hidden="false" outlineLevel="0" max="4" min="4" style="20" width="24"/>
    <col collapsed="false" customWidth="true" hidden="false" outlineLevel="0" max="5" min="5" style="20" width="78"/>
    <col collapsed="false" customWidth="true" hidden="false" outlineLevel="0" max="6" min="6" style="20" width="14"/>
    <col collapsed="false" customWidth="true" hidden="false" outlineLevel="0" max="7" min="7" style="20" width="16"/>
  </cols>
  <sheetData>
    <row r="1" customFormat="false" ht="19.5" hidden="false" customHeight="true" outlineLevel="0" collapsed="false">
      <c r="B1" s="50" t="s">
        <v>3765</v>
      </c>
      <c r="E1" s="51" t="s">
        <v>3766</v>
      </c>
    </row>
    <row r="2" customFormat="false" ht="15" hidden="false" customHeight="true" outlineLevel="0" collapsed="false">
      <c r="B2" s="52" t="s">
        <v>3767</v>
      </c>
      <c r="E2" s="53" t="str">
        <f aca="false">IF(Fill_Example="Yes","Example values are ON (README): grey Example only figures fill blank inputs.","Blank template: fill the yellow inputs (or switch on example values on the README).")</f>
        <v>Example values are ON (README): grey Example only figures fill blank inputs.</v>
      </c>
    </row>
    <row r="3" customFormat="false" ht="15" hidden="false" customHeight="true" outlineLevel="0" collapsed="false">
      <c r="B3" s="54" t="s">
        <v>3768</v>
      </c>
    </row>
    <row r="5" customFormat="false" ht="15" hidden="false" customHeight="true" outlineLevel="0" collapsed="false">
      <c r="B5" s="55" t="s">
        <v>2803</v>
      </c>
      <c r="C5" s="56" t="s">
        <v>912</v>
      </c>
      <c r="D5" s="56" t="s">
        <v>913</v>
      </c>
      <c r="E5" s="56" t="s">
        <v>2804</v>
      </c>
      <c r="F5" s="57" t="s">
        <v>2805</v>
      </c>
      <c r="G5" s="58"/>
    </row>
    <row r="6" customFormat="false" ht="15" hidden="false" customHeight="true" outlineLevel="0" collapsed="false">
      <c r="B6" s="59" t="s">
        <v>3744</v>
      </c>
      <c r="C6" s="60"/>
      <c r="D6" s="61" t="s">
        <v>964</v>
      </c>
      <c r="E6" s="62" t="str">
        <f aca="false">"Type 3 · optional · Optional: leave blank for none. Allowed: €500 to "&amp;TEXT(Max_Money_Input,"€#,##0")&amp;" · steps of €50"</f>
        <v>Type 3 · optional · Optional: leave blank for none. Allowed: €500 to €200,000 · steps of €50</v>
      </c>
      <c r="F6" s="63" t="n">
        <v>3500</v>
      </c>
      <c r="G6" s="64" t="n">
        <f aca="false">IF(ISBLANK(C6),IF(Fill_Example="Yes",F6,""),C6)</f>
        <v>3500</v>
      </c>
    </row>
    <row r="7" customFormat="false" ht="21.75" hidden="false" customHeight="true" outlineLevel="0" collapsed="false">
      <c r="B7" s="59" t="s">
        <v>3769</v>
      </c>
      <c r="C7" s="68"/>
      <c r="D7" s="61" t="s">
        <v>2814</v>
      </c>
      <c r="E7" s="69" t="s">
        <v>3770</v>
      </c>
      <c r="F7" s="70" t="n">
        <f aca="false">Set_budget_1</f>
        <v>0.5</v>
      </c>
      <c r="G7" s="71" t="n">
        <f aca="false">IF(ISBLANK(C7),F7,C7)</f>
        <v>0.5</v>
      </c>
    </row>
    <row r="8" customFormat="false" ht="21.75" hidden="false" customHeight="true" outlineLevel="0" collapsed="false">
      <c r="B8" s="59" t="s">
        <v>3771</v>
      </c>
      <c r="C8" s="68"/>
      <c r="D8" s="61" t="s">
        <v>2814</v>
      </c>
      <c r="E8" s="69" t="s">
        <v>3772</v>
      </c>
      <c r="F8" s="70" t="n">
        <f aca="false">Set_budget_2</f>
        <v>0.3</v>
      </c>
      <c r="G8" s="71" t="n">
        <f aca="false">IF(ISBLANK(C8),F8,C8)</f>
        <v>0.3</v>
      </c>
    </row>
    <row r="9" customFormat="false" ht="21.75" hidden="false" customHeight="true" outlineLevel="0" collapsed="false">
      <c r="B9" s="59" t="s">
        <v>3773</v>
      </c>
      <c r="C9" s="68"/>
      <c r="D9" s="61" t="s">
        <v>2814</v>
      </c>
      <c r="E9" s="69" t="s">
        <v>3774</v>
      </c>
      <c r="F9" s="70" t="n">
        <f aca="false">Set_budget_3</f>
        <v>0.2</v>
      </c>
      <c r="G9" s="71" t="n">
        <f aca="false">IF(ISBLANK(C9),F9,C9)</f>
        <v>0.2</v>
      </c>
    </row>
    <row r="11" customFormat="false" ht="15" hidden="false" customHeight="true" outlineLevel="0" collapsed="false">
      <c r="B11" s="55" t="s">
        <v>2902</v>
      </c>
      <c r="C11" s="58"/>
      <c r="D11" s="58"/>
      <c r="E11" s="58"/>
      <c r="F11" s="58"/>
      <c r="G11" s="58"/>
    </row>
    <row r="12" customFormat="false" ht="15" hidden="false" customHeight="true" outlineLevel="0" collapsed="false">
      <c r="B12" s="59" t="s">
        <v>3751</v>
      </c>
      <c r="C12" s="92" t="n">
        <f aca="false">IF(Take_Home="",TE_Take_Home_Month,Take_Home)</f>
        <v>3500</v>
      </c>
      <c r="D12" s="93" t="str">
        <f aca="false">IF(Take_Home="","From the Tax engine","Your figure")</f>
        <v>Your figure</v>
      </c>
      <c r="E12" s="83" t="s">
        <v>3752</v>
      </c>
    </row>
    <row r="14" customFormat="false" ht="15" hidden="false" customHeight="true" outlineLevel="0" collapsed="false">
      <c r="B14" s="55" t="s">
        <v>2630</v>
      </c>
      <c r="C14" s="56" t="s">
        <v>327</v>
      </c>
      <c r="D14" s="56" t="s">
        <v>2822</v>
      </c>
      <c r="E14" s="56" t="s">
        <v>2823</v>
      </c>
      <c r="F14" s="58"/>
      <c r="G14" s="58"/>
    </row>
    <row r="15" customFormat="false" ht="15" hidden="false" customHeight="true" outlineLevel="0" collapsed="false">
      <c r="B15" s="106" t="s">
        <v>3330</v>
      </c>
      <c r="C15" s="107" t="str">
        <f aca="false">IF(Need_1&lt;&gt;"","",IF(ROUND(Budget_Needs+Budget_Wants+Budget_Save,6)&lt;&gt;1,"Your shares add up to "&amp;TEXT(Budget_Needs+Budget_Wants+Budget_Save,"0%")&amp;", not 100%.",""))</f>
        <v/>
      </c>
      <c r="D15" s="107"/>
      <c r="E15" s="107"/>
    </row>
    <row r="16" customFormat="false" ht="17.25" hidden="false" customHeight="true" outlineLevel="0" collapsed="false">
      <c r="B16" s="52" t="s">
        <v>3775</v>
      </c>
      <c r="C16" s="75" t="n">
        <f aca="false">IF(Need_2&lt;&gt;"",Need_2,Used_Take_Home*Budget_Save)</f>
        <v>700</v>
      </c>
      <c r="D16" s="61" t="s">
        <v>964</v>
      </c>
      <c r="E16" s="76" t="s">
        <v>3776</v>
      </c>
    </row>
    <row r="17" customFormat="false" ht="17.25" hidden="false" customHeight="true" outlineLevel="0" collapsed="false">
      <c r="B17" s="52" t="s">
        <v>3777</v>
      </c>
      <c r="C17" s="75" t="n">
        <f aca="false">IF(Need_3&lt;&gt;"",Need_3,Used_Take_Home*Budget_Needs)</f>
        <v>1750</v>
      </c>
      <c r="D17" s="61" t="s">
        <v>964</v>
      </c>
      <c r="E17" s="76" t="s">
        <v>3778</v>
      </c>
    </row>
    <row r="18" customFormat="false" ht="17.25" hidden="false" customHeight="true" outlineLevel="0" collapsed="false">
      <c r="B18" s="52" t="s">
        <v>3779</v>
      </c>
      <c r="C18" s="75" t="n">
        <f aca="false">IF(Need_4&lt;&gt;"",Need_4,Used_Take_Home*Budget_Wants)</f>
        <v>1050</v>
      </c>
      <c r="D18" s="61" t="s">
        <v>964</v>
      </c>
      <c r="E18" s="76" t="s">
        <v>3780</v>
      </c>
    </row>
    <row r="20" customFormat="false" ht="15" hidden="false" customHeight="true" outlineLevel="0" collapsed="false">
      <c r="B20" s="55" t="s">
        <v>2853</v>
      </c>
      <c r="C20" s="58"/>
      <c r="D20" s="58"/>
      <c r="E20" s="58"/>
      <c r="F20" s="58"/>
      <c r="G20" s="58"/>
    </row>
    <row r="21" customFormat="false" ht="13.5" hidden="false" customHeight="true" outlineLevel="0" collapsed="false">
      <c r="B21" s="80" t="s">
        <v>3781</v>
      </c>
      <c r="C21" s="80"/>
      <c r="D21" s="80"/>
      <c r="E21" s="80"/>
    </row>
    <row r="22" customFormat="false" ht="13.5" hidden="false" customHeight="true" outlineLevel="0" collapsed="false">
      <c r="B22" s="81" t="s">
        <v>2856</v>
      </c>
      <c r="C22" s="81"/>
      <c r="D22" s="81"/>
      <c r="E22" s="81"/>
    </row>
    <row r="23" customFormat="false" ht="13.5" hidden="false" customHeight="true" outlineLevel="0" collapsed="false">
      <c r="B23" s="80" t="s">
        <v>3782</v>
      </c>
      <c r="C23" s="80"/>
      <c r="D23" s="80"/>
      <c r="E23" s="80"/>
    </row>
    <row r="25" customFormat="false" ht="15" hidden="false" customHeight="true" outlineLevel="0" collapsed="false">
      <c r="B25" s="55" t="s">
        <v>2861</v>
      </c>
      <c r="C25" s="58"/>
      <c r="D25" s="58"/>
      <c r="E25" s="58"/>
      <c r="F25" s="58"/>
      <c r="G25" s="58"/>
    </row>
    <row r="26" customFormat="false" ht="15" hidden="false" customHeight="true" outlineLevel="0" collapsed="false">
      <c r="B26" s="59" t="s">
        <v>1620</v>
      </c>
      <c r="C26" s="82" t="str">
        <f aca="false">"No goal"</f>
        <v>No goal</v>
      </c>
      <c r="E26" s="83" t="s">
        <v>3042</v>
      </c>
    </row>
    <row r="28" customFormat="false" ht="15" hidden="false" customHeight="true" outlineLevel="0" collapsed="false">
      <c r="B28" s="55" t="s">
        <v>2869</v>
      </c>
      <c r="C28" s="58"/>
      <c r="D28" s="58"/>
      <c r="E28" s="58"/>
      <c r="F28" s="58"/>
      <c r="G28" s="58"/>
    </row>
    <row r="29" customFormat="false" ht="15" hidden="false" customHeight="true" outlineLevel="0" collapsed="false">
      <c r="B29" s="86" t="s">
        <v>3783</v>
      </c>
      <c r="C29" s="86" t="str">
        <f aca="false">""</f>
        <v/>
      </c>
    </row>
    <row r="30" customFormat="false" ht="15" hidden="false" customHeight="true" outlineLevel="0" collapsed="false">
      <c r="B30" s="86" t="s">
        <v>3784</v>
      </c>
      <c r="C30" s="86" t="str">
        <f aca="false">IF(NOT(ISNUMBER(Used_Take_Home)),IF(Used_Take_Home="","Choose your take-home pay per month to see this",Used_Take_Home),"")</f>
        <v/>
      </c>
    </row>
    <row r="31" customFormat="false" ht="15" hidden="false" customHeight="true" outlineLevel="0" collapsed="false">
      <c r="B31" s="86" t="s">
        <v>3785</v>
      </c>
      <c r="C31" s="86" t="str">
        <f aca="false">IF(NOT(ISNUMBER(Used_Take_Home)),IF(Used_Take_Home="","Choose your take-home pay per month to see this",Used_Take_Home),"")</f>
        <v/>
      </c>
    </row>
    <row r="32" customFormat="false" ht="15" hidden="false" customHeight="true" outlineLevel="0" collapsed="false">
      <c r="B32" s="86" t="s">
        <v>3786</v>
      </c>
      <c r="C32" s="86" t="str">
        <f aca="false">IF(NOT(ISNUMBER(Used_Take_Home)),IF(Used_Take_Home="","Choose your take-home pay per month to see this",Used_Take_Home),"")</f>
        <v/>
      </c>
    </row>
  </sheetData>
  <mergeCells count="4">
    <mergeCell ref="C15:E15"/>
    <mergeCell ref="B21:E21"/>
    <mergeCell ref="B22:E22"/>
    <mergeCell ref="B23:E23"/>
  </mergeCells>
  <dataValidations count="4">
    <dataValidation allowBlank="true" error="Please enter €500 to €200,000 · steps of €50." errorStyle="stop" errorTitle="Outside the allowed range" operator="between" prompt="Optional: leave blank for none.  Allowed: €500 to €200,000 · steps of €50." promptTitle="Take-home pay per month (leave b" showDropDown="false" showErrorMessage="true" showInputMessage="true" sqref="C6" type="decimal">
      <formula1>500</formula1>
      <formula2>Max_Money_Input</formula2>
    </dataValidation>
    <dataValidation allowBlank="true" error="Please enter 0% to 100% · steps of 5%." errorStyle="stop" errorTitle="Outside the allowed range" operator="between" prompt="Generally the standard is 50% for needs (the 50/30/20 rule of thumb). Choose what you want to use.  Allowed: 0% to 100% · steps of 5%." promptTitle="Share for needs" showDropDown="false" showErrorMessage="true" showInputMessage="true" sqref="C7" type="decimal">
      <formula1>0</formula1>
      <formula2>1</formula2>
    </dataValidation>
    <dataValidation allowBlank="true" error="Please enter 0% to 100% · steps of 5%." errorStyle="stop" errorTitle="Outside the allowed range" operator="between" prompt="Generally the standard is 30% for wants (the 50/30/20 rule of thumb). Choose what you want to use.  Allowed: 0% to 100% · steps of 5%." promptTitle="Share for wants" showDropDown="false" showErrorMessage="true" showInputMessage="true" sqref="C8" type="decimal">
      <formula1>0</formula1>
      <formula2>1</formula2>
    </dataValidation>
    <dataValidation allowBlank="true" error="Please enter 0% to 100% · steps of 5%." errorStyle="stop" errorTitle="Outside the allowed range" operator="between" prompt="Generally the standard is 20% for savings and debt (the 50/30/20 rule of thumb). Choose what you want to use.  Allowed: 0% to 100% · steps of 5%." promptTitle="Share for savings and debt" showDropDown="false" showErrorMessage="true" showInputMessage="true" sqref="C9" type="decimal">
      <formula1>0</formula1>
      <formula2>1</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2B134"/>
    <pageSetUpPr fitToPage="false"/>
  </sheetPr>
  <dimension ref="B1:G3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20" width="2"/>
    <col collapsed="false" customWidth="true" hidden="false" outlineLevel="0" max="2" min="2" style="20" width="50"/>
    <col collapsed="false" customWidth="true" hidden="false" outlineLevel="0" max="3" min="3" style="20" width="26"/>
    <col collapsed="false" customWidth="true" hidden="false" outlineLevel="0" max="4" min="4" style="20" width="24"/>
    <col collapsed="false" customWidth="true" hidden="false" outlineLevel="0" max="5" min="5" style="20" width="78"/>
    <col collapsed="false" customWidth="true" hidden="false" outlineLevel="0" max="6" min="6" style="20" width="14"/>
    <col collapsed="false" customWidth="true" hidden="false" outlineLevel="0" max="7" min="7" style="20" width="16"/>
  </cols>
  <sheetData>
    <row r="1" customFormat="false" ht="19.5" hidden="false" customHeight="true" outlineLevel="0" collapsed="false">
      <c r="B1" s="50" t="s">
        <v>3787</v>
      </c>
      <c r="E1" s="51" t="s">
        <v>3788</v>
      </c>
    </row>
    <row r="2" customFormat="false" ht="15" hidden="false" customHeight="true" outlineLevel="0" collapsed="false">
      <c r="B2" s="52" t="s">
        <v>3789</v>
      </c>
      <c r="E2" s="53" t="str">
        <f aca="false">IF(Fill_Example="Yes","Example values are ON (README): grey Example only figures fill blank inputs.","Blank template: fill the yellow inputs (or switch on example values on the README).")</f>
        <v>Example values are ON (README): grey Example only figures fill blank inputs.</v>
      </c>
    </row>
    <row r="3" customFormat="false" ht="15" hidden="false" customHeight="true" outlineLevel="0" collapsed="false">
      <c r="B3" s="54" t="s">
        <v>3790</v>
      </c>
    </row>
    <row r="5" customFormat="false" ht="15" hidden="false" customHeight="true" outlineLevel="0" collapsed="false">
      <c r="B5" s="55" t="s">
        <v>2803</v>
      </c>
      <c r="C5" s="56" t="s">
        <v>912</v>
      </c>
      <c r="D5" s="56" t="s">
        <v>913</v>
      </c>
      <c r="E5" s="56" t="s">
        <v>2804</v>
      </c>
      <c r="F5" s="57" t="s">
        <v>2805</v>
      </c>
      <c r="G5" s="58"/>
    </row>
    <row r="6" customFormat="false" ht="21.75" hidden="false" customHeight="true" outlineLevel="0" collapsed="false">
      <c r="B6" s="59" t="s">
        <v>3791</v>
      </c>
      <c r="C6" s="60"/>
      <c r="D6" s="61" t="s">
        <v>964</v>
      </c>
      <c r="E6" s="62" t="s">
        <v>3792</v>
      </c>
      <c r="F6" s="63" t="n">
        <v>5000</v>
      </c>
      <c r="G6" s="64" t="n">
        <f aca="false">IF(ISBLANK(C6),IF(Fill_Example="Yes",F6,""),C6)</f>
        <v>5000</v>
      </c>
    </row>
    <row r="7" customFormat="false" ht="33" hidden="false" customHeight="true" outlineLevel="0" collapsed="false">
      <c r="B7" s="59" t="s">
        <v>3793</v>
      </c>
      <c r="C7" s="68"/>
      <c r="D7" s="61" t="s">
        <v>2814</v>
      </c>
      <c r="E7" s="69" t="str">
        <f aca="false">"Type 2 · your figure · Your card's APR: your statement shows it. New credit cards can't charge more than "&amp;TEXT(Card_APR_Cap,"0%")&amp;" APR (Central Bank); some older cards are higher. "&amp;IF(ISNUMBER(Suggest_Card_APR),"Suggested: "&amp;TEXT(Suggest_Card_APR,"0.00%")&amp;" · "&amp;Suggest_Card_APR_Label&amp;". ","")&amp;"Enter your own figure."&amp;" Allowed: 0% to 35% · steps of 0.5%"</f>
        <v>Type 2 · your figure · Your card's APR: your statement shows it. New credit cards can't charge more than 23% APR (Central Bank); some older cards are higher. Enter your own figure. Allowed: 0% to 35% · steps of 0.5%</v>
      </c>
      <c r="F7" s="70" t="str">
        <f aca="false">IF(ISNUMBER(Suggest_Card_APR),Suggest_Card_APR,"")</f>
        <v/>
      </c>
      <c r="G7" s="71" t="str">
        <f aca="false">IF(ISBLANK(C7),IF(Fill_Example="Yes",F7,""),C7)</f>
        <v/>
      </c>
    </row>
    <row r="8" customFormat="false" ht="21.75" hidden="false" customHeight="true" outlineLevel="0" collapsed="false">
      <c r="B8" s="59" t="s">
        <v>3794</v>
      </c>
      <c r="C8" s="60"/>
      <c r="D8" s="61" t="s">
        <v>964</v>
      </c>
      <c r="E8" s="62" t="s">
        <v>3795</v>
      </c>
      <c r="F8" s="63" t="n">
        <v>250</v>
      </c>
      <c r="G8" s="64" t="n">
        <f aca="false">IF(ISBLANK(C8),IF(Fill_Example="Yes",F8,""),C8)</f>
        <v>250</v>
      </c>
    </row>
    <row r="9" customFormat="false" ht="15" hidden="false" customHeight="true" outlineLevel="0" collapsed="false">
      <c r="B9" s="59" t="s">
        <v>3796</v>
      </c>
      <c r="C9" s="60"/>
      <c r="D9" s="61" t="s">
        <v>964</v>
      </c>
      <c r="E9" s="62" t="s">
        <v>3797</v>
      </c>
      <c r="F9" s="63" t="n">
        <v>0</v>
      </c>
      <c r="G9" s="64" t="n">
        <f aca="false">IF(ISBLANK(C9),F9,C9)</f>
        <v>0</v>
      </c>
    </row>
    <row r="11" customFormat="false" ht="15" hidden="false" customHeight="true" outlineLevel="0" collapsed="false">
      <c r="B11" s="55" t="s">
        <v>2630</v>
      </c>
      <c r="C11" s="56" t="s">
        <v>327</v>
      </c>
      <c r="D11" s="56" t="s">
        <v>2822</v>
      </c>
      <c r="E11" s="56" t="s">
        <v>2823</v>
      </c>
      <c r="F11" s="58"/>
      <c r="G11" s="58"/>
    </row>
    <row r="12" customFormat="false" ht="17.25" hidden="false" customHeight="true" outlineLevel="0" collapsed="false">
      <c r="B12" s="52" t="s">
        <v>3798</v>
      </c>
      <c r="C12" s="96" t="str">
        <f aca="false">IF(Need_1&lt;&gt;"",Need_1,IF(Payment&lt;=Balance*Monthly_Rate,"Never",ROUNDUP(ROUND(NPER(Monthly_Rate,-Payment,Balance),6),0)))</f>
        <v>Choose your credit-card rate to see this</v>
      </c>
      <c r="D12" s="97" t="str">
        <f aca="false">IF(Need_1&lt;&gt;"",Need_1,IF(Months_To_Clear="Never","Never at this repayment",IF(Months_To_Clear&gt;Cap_Months,"Payment too low to clear this debt in a reasonable time (over 100 years)",IF(INT(Months_To_Clear/12)=0,MOD(Months_To_Clear,12)&amp;IF(MOD(Months_To_Clear,12)=1," month"," months"),INT(Months_To_Clear/12)&amp;IF(INT(Months_To_Clear/12)=1," year"," years")&amp;IF(MOD(Months_To_Clear,12)=0,""," "&amp;MOD(Months_To_Clear,12)&amp;IF(MOD(Months_To_Clear,12)=1," month"," months"))))))</f>
        <v>Choose your credit-card rate to see this</v>
      </c>
      <c r="E12" s="76" t="s">
        <v>3799</v>
      </c>
    </row>
    <row r="13" customFormat="false" ht="17.25" hidden="false" customHeight="true" outlineLevel="0" collapsed="false">
      <c r="B13" s="52" t="s">
        <v>2914</v>
      </c>
      <c r="C13" s="75" t="str">
        <f aca="false">IF(Need_1&lt;&gt;"",Need_1,IF(Months_To_Clear="Never","—",Payment*(Months_To_Clear-1)+Final_Payment-Balance))</f>
        <v>Choose your credit-card rate to see this</v>
      </c>
      <c r="D13" s="61" t="s">
        <v>964</v>
      </c>
      <c r="E13" s="76" t="s">
        <v>3800</v>
      </c>
    </row>
    <row r="14" customFormat="false" ht="15" hidden="false" customHeight="true" outlineLevel="0" collapsed="false">
      <c r="B14" s="59" t="s">
        <v>3801</v>
      </c>
      <c r="C14" s="98" t="str">
        <f aca="false">IF(Need_2&lt;&gt;"",Need_2,(1+APR)^(1/12)-1)</f>
        <v>Choose your credit-card rate to see this</v>
      </c>
      <c r="D14" s="61"/>
      <c r="E14" s="76" t="s">
        <v>3802</v>
      </c>
    </row>
    <row r="15" customFormat="false" ht="15" hidden="false" customHeight="true" outlineLevel="0" collapsed="false">
      <c r="B15" s="59" t="s">
        <v>3803</v>
      </c>
      <c r="C15" s="77" t="str">
        <f aca="false">IF(Need_3&lt;&gt;"",Need_3,Monthly_Payment+Extra_Payment)</f>
        <v>Choose your credit-card rate to see this</v>
      </c>
      <c r="D15" s="61" t="s">
        <v>964</v>
      </c>
      <c r="E15" s="76" t="s">
        <v>3804</v>
      </c>
    </row>
    <row r="16" customFormat="false" ht="15" hidden="false" customHeight="true" outlineLevel="0" collapsed="false">
      <c r="B16" s="59" t="s">
        <v>2922</v>
      </c>
      <c r="C16" s="77" t="str">
        <f aca="false">IF(Need_1&lt;&gt;"",Need_1,IF(Months_To_Clear="Never","—",-FV(Monthly_Rate,Months_To_Clear-1,-Payment,Balance)*(1+Monthly_Rate)))</f>
        <v>Choose your credit-card rate to see this</v>
      </c>
      <c r="D16" s="61" t="s">
        <v>964</v>
      </c>
      <c r="E16" s="76" t="s">
        <v>3805</v>
      </c>
    </row>
    <row r="18" customFormat="false" ht="15" hidden="false" customHeight="true" outlineLevel="0" collapsed="false">
      <c r="B18" s="55" t="s">
        <v>2853</v>
      </c>
      <c r="C18" s="58"/>
      <c r="D18" s="58"/>
      <c r="E18" s="58"/>
      <c r="F18" s="58"/>
      <c r="G18" s="58"/>
    </row>
    <row r="19" customFormat="false" ht="13.5" hidden="false" customHeight="true" outlineLevel="0" collapsed="false">
      <c r="B19" s="80" t="s">
        <v>3806</v>
      </c>
      <c r="C19" s="80"/>
      <c r="D19" s="80"/>
      <c r="E19" s="80"/>
    </row>
    <row r="20" customFormat="false" ht="13.5" hidden="false" customHeight="true" outlineLevel="0" collapsed="false">
      <c r="B20" s="80" t="s">
        <v>3807</v>
      </c>
      <c r="C20" s="80"/>
      <c r="D20" s="80"/>
      <c r="E20" s="80"/>
    </row>
    <row r="21" customFormat="false" ht="13.5" hidden="false" customHeight="true" outlineLevel="0" collapsed="false">
      <c r="B21" s="81" t="s">
        <v>2856</v>
      </c>
      <c r="C21" s="81"/>
      <c r="D21" s="81"/>
      <c r="E21" s="81"/>
    </row>
    <row r="22" customFormat="false" ht="27.75" hidden="false" customHeight="true" outlineLevel="0" collapsed="false">
      <c r="B22" s="80" t="s">
        <v>2933</v>
      </c>
      <c r="C22" s="80"/>
      <c r="D22" s="80"/>
      <c r="E22" s="80"/>
    </row>
    <row r="23" customFormat="false" ht="13.5" hidden="false" customHeight="true" outlineLevel="0" collapsed="false">
      <c r="B23" s="80" t="s">
        <v>3808</v>
      </c>
      <c r="C23" s="80"/>
      <c r="D23" s="80"/>
      <c r="E23" s="80"/>
    </row>
    <row r="24" customFormat="false" ht="27.75" hidden="false" customHeight="true" outlineLevel="0" collapsed="false">
      <c r="B24" s="80" t="s">
        <v>2935</v>
      </c>
      <c r="C24" s="80"/>
      <c r="D24" s="80"/>
      <c r="E24" s="80"/>
    </row>
    <row r="25" customFormat="false" ht="13.5" hidden="false" customHeight="true" outlineLevel="0" collapsed="false">
      <c r="B25" s="80" t="s">
        <v>2860</v>
      </c>
      <c r="C25" s="80"/>
      <c r="D25" s="80"/>
      <c r="E25" s="80"/>
    </row>
    <row r="27" customFormat="false" ht="15" hidden="false" customHeight="true" outlineLevel="0" collapsed="false">
      <c r="B27" s="55" t="s">
        <v>2861</v>
      </c>
      <c r="C27" s="58"/>
      <c r="D27" s="58"/>
      <c r="E27" s="58"/>
      <c r="F27" s="58"/>
      <c r="G27" s="58"/>
    </row>
    <row r="28" customFormat="false" ht="15" hidden="false" customHeight="true" outlineLevel="0" collapsed="false">
      <c r="B28" s="59" t="s">
        <v>1620</v>
      </c>
      <c r="C28" s="82" t="str">
        <f aca="false">"No goal (the plan already repays this debt)"</f>
        <v>No goal (the plan already repays this debt)</v>
      </c>
      <c r="E28" s="83" t="s">
        <v>3809</v>
      </c>
    </row>
    <row r="29" customFormat="false" ht="13.5" hidden="false" customHeight="true" outlineLevel="0" collapsed="false">
      <c r="B29" s="87" t="s">
        <v>3810</v>
      </c>
      <c r="C29" s="87"/>
      <c r="D29" s="87"/>
      <c r="E29" s="87"/>
    </row>
    <row r="31" customFormat="false" ht="15" hidden="false" customHeight="true" outlineLevel="0" collapsed="false">
      <c r="B31" s="55" t="s">
        <v>2869</v>
      </c>
      <c r="C31" s="58"/>
      <c r="D31" s="58"/>
      <c r="E31" s="58"/>
      <c r="F31" s="58"/>
      <c r="G31" s="58"/>
    </row>
    <row r="32" customFormat="false" ht="15" hidden="false" customHeight="true" outlineLevel="0" collapsed="false">
      <c r="B32" s="86" t="s">
        <v>3811</v>
      </c>
      <c r="C32" s="86" t="str">
        <f aca="false">IF(Balance="","Choose your balance to see this",IF(Monthly_Payment="","Choose your monthly payment to see this",IF(APR="","Choose your credit-card rate to see this","")))</f>
        <v>Choose your credit-card rate to see this</v>
      </c>
    </row>
    <row r="33" customFormat="false" ht="15" hidden="false" customHeight="true" outlineLevel="0" collapsed="false">
      <c r="B33" s="86" t="s">
        <v>3812</v>
      </c>
      <c r="C33" s="86" t="str">
        <f aca="false">IF(APR="","Choose your credit-card rate to see this","")</f>
        <v>Choose your credit-card rate to see this</v>
      </c>
    </row>
    <row r="34" customFormat="false" ht="15" hidden="false" customHeight="true" outlineLevel="0" collapsed="false">
      <c r="B34" s="86" t="s">
        <v>3813</v>
      </c>
      <c r="C34" s="86" t="str">
        <f aca="false">IF(Monthly_Payment="","Choose your monthly payment to see this",IF(APR="","Choose your credit-card rate to see this",""))</f>
        <v>Choose your credit-card rate to see this</v>
      </c>
    </row>
  </sheetData>
  <mergeCells count="8">
    <mergeCell ref="B19:E19"/>
    <mergeCell ref="B20:E20"/>
    <mergeCell ref="B21:E21"/>
    <mergeCell ref="B22:E22"/>
    <mergeCell ref="B23:E23"/>
    <mergeCell ref="B24:E24"/>
    <mergeCell ref="B25:E25"/>
    <mergeCell ref="B29:E29"/>
  </mergeCells>
  <dataValidations count="4">
    <dataValidation allowBlank="true" error="Please enter €100 to €1,000,000 · steps of €100." errorStyle="stop" errorTitle="Outside the allowed range" operator="between" prompt="Your own figure. In the app it is pre-filled from Your finances: the debt that takes longest to clear.  Allowed: €100 to €1,000,000 · steps of €100." promptTitle="Balance" showDropDown="false" showErrorMessage="true" showInputMessage="true" sqref="C6" type="decimal">
      <formula1>100</formula1>
      <formula2>1000000</formula2>
    </dataValidation>
    <dataValidation allowBlank="true" error="Please enter 0% to 35% · steps of 0.5%." errorStyle="stop" errorTitle="Outside the allowed range" operator="between" prompt="Your card's APR: your statement shows it. New credit cards can't charge more than 23% APR (Central Bank); some older cards are higher. Allowed: 0% to 35% · steps of 0.5%" promptTitle="Interest (APR)" showDropDown="false" showErrorMessage="true" showInputMessage="true" sqref="C7" type="decimal">
      <formula1>0</formula1>
      <formula2>0.35</formula2>
    </dataValidation>
    <dataValidation allowBlank="true" error="Please enter €10 to €50,000 · steps of €10." errorStyle="stop" errorTitle="Outside the allowed range" operator="between" prompt="Your own figure. In the app it is pre-filled from Your finances: that debt's repayment.  Allowed: €10 to €50,000 · steps of €10." promptTitle="Monthly payment" showDropDown="false" showErrorMessage="true" showInputMessage="true" sqref="C8" type="decimal">
      <formula1>10</formula1>
      <formula2>50000</formula2>
    </dataValidation>
    <dataValidation allowBlank="true" error="Please enter €0 to €10,000 · steps of €10." errorStyle="stop" errorTitle="Outside the allowed range" operator="between" prompt="Optional: leave blank for none.  Allowed: €0 to €10,000 · steps of €10." promptTitle="What if: pay extra each month" showDropDown="false" showErrorMessage="true" showInputMessage="true" sqref="C9" type="decimal">
      <formula1>0</formula1>
      <formula2>10000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2B134"/>
    <pageSetUpPr fitToPage="false"/>
  </sheetPr>
  <dimension ref="B1:G2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20" width="2"/>
    <col collapsed="false" customWidth="true" hidden="false" outlineLevel="0" max="2" min="2" style="20" width="50"/>
    <col collapsed="false" customWidth="true" hidden="false" outlineLevel="0" max="3" min="3" style="20" width="26"/>
    <col collapsed="false" customWidth="true" hidden="false" outlineLevel="0" max="4" min="4" style="20" width="24"/>
    <col collapsed="false" customWidth="true" hidden="false" outlineLevel="0" max="5" min="5" style="20" width="78"/>
    <col collapsed="false" customWidth="true" hidden="false" outlineLevel="0" max="6" min="6" style="20" width="14"/>
    <col collapsed="false" customWidth="true" hidden="false" outlineLevel="0" max="7" min="7" style="20" width="16"/>
  </cols>
  <sheetData>
    <row r="1" customFormat="false" ht="19.5" hidden="false" customHeight="true" outlineLevel="0" collapsed="false">
      <c r="B1" s="50" t="s">
        <v>3814</v>
      </c>
      <c r="E1" s="51" t="s">
        <v>3815</v>
      </c>
    </row>
    <row r="2" customFormat="false" ht="15" hidden="false" customHeight="true" outlineLevel="0" collapsed="false">
      <c r="B2" s="52" t="s">
        <v>3816</v>
      </c>
      <c r="E2" s="53" t="str">
        <f aca="false">IF(Fill_Example="Yes","Example values are ON (README): grey Example only figures fill blank inputs.","Blank template: fill the yellow inputs (or switch on example values on the README).")</f>
        <v>Example values are ON (README): grey Example only figures fill blank inputs.</v>
      </c>
    </row>
    <row r="3" customFormat="false" ht="15" hidden="false" customHeight="true" outlineLevel="0" collapsed="false">
      <c r="B3" s="54" t="s">
        <v>3817</v>
      </c>
    </row>
    <row r="5" customFormat="false" ht="15" hidden="false" customHeight="true" outlineLevel="0" collapsed="false">
      <c r="B5" s="55" t="s">
        <v>2803</v>
      </c>
      <c r="C5" s="56" t="s">
        <v>912</v>
      </c>
      <c r="D5" s="56" t="s">
        <v>913</v>
      </c>
      <c r="E5" s="56" t="s">
        <v>2804</v>
      </c>
      <c r="F5" s="57" t="s">
        <v>2805</v>
      </c>
      <c r="G5" s="58"/>
    </row>
    <row r="6" customFormat="false" ht="15" hidden="false" customHeight="true" outlineLevel="0" collapsed="false">
      <c r="B6" s="59" t="s">
        <v>3818</v>
      </c>
      <c r="C6" s="60"/>
      <c r="D6" s="61" t="s">
        <v>964</v>
      </c>
      <c r="E6" s="62" t="s">
        <v>3819</v>
      </c>
      <c r="F6" s="63" t="n">
        <v>15000</v>
      </c>
      <c r="G6" s="64" t="n">
        <f aca="false">IF(ISBLANK(C6),IF(Fill_Example="Yes",F6,""),C6)</f>
        <v>15000</v>
      </c>
    </row>
    <row r="7" customFormat="false" ht="21.75" hidden="false" customHeight="true" outlineLevel="0" collapsed="false">
      <c r="B7" s="59" t="s">
        <v>3793</v>
      </c>
      <c r="C7" s="68"/>
      <c r="D7" s="61" t="s">
        <v>2814</v>
      </c>
      <c r="E7" s="69" t="str">
        <f aca="false">"Type 2 · your figure · Your loan's APR: your loan agreement shows it. "&amp;IF(ISNUMBER(Suggest_Loan_APR),"Suggested: "&amp;TEXT(Suggest_Loan_APR,"0.00%")&amp;" · "&amp;Suggest_Loan_APR_Label&amp;". ","No suggestion. ")&amp;"Enter your own figure."&amp;" Allowed: 0% to 25% · steps of 0.25%"</f>
        <v>Type 2 · your figure · Your loan's APR: your loan agreement shows it. Suggested: 6.72% · Central Bank of Ireland: average rate on new consumer loans, Jul 2026. Enter your own figure. Allowed: 0% to 25% · steps of 0.25%</v>
      </c>
      <c r="F7" s="70" t="n">
        <f aca="false">IF(ISNUMBER(Suggest_Loan_APR),Suggest_Loan_APR,"")</f>
        <v>0.0672</v>
      </c>
      <c r="G7" s="71" t="n">
        <f aca="false">IF(ISBLANK(C7),IF(Fill_Example="Yes",F7,""),C7)</f>
        <v>0.0672</v>
      </c>
    </row>
    <row r="8" customFormat="false" ht="15" hidden="false" customHeight="true" outlineLevel="0" collapsed="false">
      <c r="B8" s="59" t="s">
        <v>2487</v>
      </c>
      <c r="C8" s="72"/>
      <c r="D8" s="61" t="s">
        <v>1002</v>
      </c>
      <c r="E8" s="62" t="s">
        <v>3250</v>
      </c>
      <c r="F8" s="73" t="n">
        <v>5</v>
      </c>
      <c r="G8" s="74" t="n">
        <f aca="false">IF(AND(ISNUMBER(C8),N(C8)&lt;1),"",IF(ISBLANK(C8),IF(Fill_Example="Yes",F8,""),C8))</f>
        <v>5</v>
      </c>
    </row>
    <row r="10" customFormat="false" ht="15" hidden="false" customHeight="true" outlineLevel="0" collapsed="false">
      <c r="B10" s="55" t="s">
        <v>2630</v>
      </c>
      <c r="C10" s="56" t="s">
        <v>327</v>
      </c>
      <c r="D10" s="56" t="s">
        <v>2822</v>
      </c>
      <c r="E10" s="56" t="s">
        <v>2823</v>
      </c>
      <c r="F10" s="58"/>
      <c r="G10" s="58"/>
    </row>
    <row r="11" customFormat="false" ht="17.25" hidden="false" customHeight="true" outlineLevel="0" collapsed="false">
      <c r="B11" s="52" t="s">
        <v>2388</v>
      </c>
      <c r="C11" s="75" t="n">
        <f aca="false">IF(Need_1&lt;&gt;"",Need_1,PMT(Monthly_Rate,Years*12,-Loan_Amount))</f>
        <v>293.643280565239</v>
      </c>
      <c r="D11" s="61" t="s">
        <v>964</v>
      </c>
      <c r="E11" s="76" t="s">
        <v>3820</v>
      </c>
    </row>
    <row r="12" customFormat="false" ht="17.25" hidden="false" customHeight="true" outlineLevel="0" collapsed="false">
      <c r="B12" s="52" t="s">
        <v>2914</v>
      </c>
      <c r="C12" s="75" t="n">
        <f aca="false">IF(Need_1&lt;&gt;"",Need_1,Total_Repaid-Loan_Amount)</f>
        <v>2618.59683391432</v>
      </c>
      <c r="D12" s="61" t="s">
        <v>964</v>
      </c>
      <c r="E12" s="76" t="s">
        <v>3821</v>
      </c>
    </row>
    <row r="13" customFormat="false" ht="15" hidden="false" customHeight="true" outlineLevel="0" collapsed="false">
      <c r="B13" s="59" t="s">
        <v>2916</v>
      </c>
      <c r="C13" s="77" t="n">
        <f aca="false">IF(Need_1&lt;&gt;"",Need_1,Monthly_Repayment*Years*12)</f>
        <v>17618.5968339143</v>
      </c>
      <c r="D13" s="61" t="s">
        <v>964</v>
      </c>
      <c r="E13" s="76" t="s">
        <v>3822</v>
      </c>
    </row>
    <row r="14" customFormat="false" ht="15" hidden="false" customHeight="true" outlineLevel="0" collapsed="false">
      <c r="B14" s="59" t="s">
        <v>3801</v>
      </c>
      <c r="C14" s="98" t="n">
        <f aca="false">IF(Need_2&lt;&gt;"",Need_2,(1+APR)^(1/12)-1)</f>
        <v>0.0054345803945961</v>
      </c>
      <c r="D14" s="61"/>
      <c r="E14" s="76" t="s">
        <v>3802</v>
      </c>
    </row>
    <row r="16" customFormat="false" ht="15" hidden="false" customHeight="true" outlineLevel="0" collapsed="false">
      <c r="B16" s="55" t="s">
        <v>2853</v>
      </c>
      <c r="C16" s="58"/>
      <c r="D16" s="58"/>
      <c r="E16" s="58"/>
      <c r="F16" s="58"/>
      <c r="G16" s="58"/>
    </row>
    <row r="17" customFormat="false" ht="13.5" hidden="false" customHeight="true" outlineLevel="0" collapsed="false">
      <c r="B17" s="80" t="s">
        <v>3823</v>
      </c>
      <c r="C17" s="80"/>
      <c r="D17" s="80"/>
      <c r="E17" s="80"/>
    </row>
    <row r="18" customFormat="false" ht="13.5" hidden="false" customHeight="true" outlineLevel="0" collapsed="false">
      <c r="B18" s="80" t="s">
        <v>3824</v>
      </c>
      <c r="C18" s="80"/>
      <c r="D18" s="80"/>
      <c r="E18" s="80"/>
    </row>
    <row r="19" customFormat="false" ht="13.5" hidden="false" customHeight="true" outlineLevel="0" collapsed="false">
      <c r="B19" s="81" t="s">
        <v>2856</v>
      </c>
      <c r="C19" s="81"/>
      <c r="D19" s="81"/>
      <c r="E19" s="81"/>
    </row>
    <row r="20" customFormat="false" ht="13.5" hidden="false" customHeight="true" outlineLevel="0" collapsed="false">
      <c r="B20" s="80" t="s">
        <v>2860</v>
      </c>
      <c r="C20" s="80"/>
      <c r="D20" s="80"/>
      <c r="E20" s="80"/>
    </row>
    <row r="22" customFormat="false" ht="15" hidden="false" customHeight="true" outlineLevel="0" collapsed="false">
      <c r="B22" s="55" t="s">
        <v>2861</v>
      </c>
      <c r="C22" s="58"/>
      <c r="D22" s="58"/>
      <c r="E22" s="58"/>
      <c r="F22" s="58"/>
      <c r="G22" s="58"/>
    </row>
    <row r="23" customFormat="false" ht="15" hidden="false" customHeight="true" outlineLevel="0" collapsed="false">
      <c r="B23" s="59" t="s">
        <v>1620</v>
      </c>
      <c r="C23" s="82" t="str">
        <f aca="false">"No goal"</f>
        <v>No goal</v>
      </c>
      <c r="E23" s="83" t="s">
        <v>3042</v>
      </c>
    </row>
    <row r="25" customFormat="false" ht="15" hidden="false" customHeight="true" outlineLevel="0" collapsed="false">
      <c r="B25" s="55" t="s">
        <v>2869</v>
      </c>
      <c r="C25" s="58"/>
      <c r="D25" s="58"/>
      <c r="E25" s="58"/>
      <c r="F25" s="58"/>
      <c r="G25" s="58"/>
    </row>
    <row r="26" customFormat="false" ht="15" hidden="false" customHeight="true" outlineLevel="0" collapsed="false">
      <c r="B26" s="86" t="s">
        <v>3825</v>
      </c>
      <c r="C26" s="86" t="str">
        <f aca="false">IF(Loan_Amount="","Choose your loan amount to see this",IF(Years="","Choose your years to see this",IF(APR="","Choose your loan rate to see this","")))</f>
        <v/>
      </c>
    </row>
    <row r="27" customFormat="false" ht="15" hidden="false" customHeight="true" outlineLevel="0" collapsed="false">
      <c r="B27" s="86" t="s">
        <v>3812</v>
      </c>
      <c r="C27" s="86" t="str">
        <f aca="false">IF(APR="","Choose your loan rate to see this","")</f>
        <v/>
      </c>
    </row>
    <row r="29" customFormat="false" ht="15" hidden="false" customHeight="true" outlineLevel="0" collapsed="false">
      <c r="B29" s="25" t="s">
        <v>3826</v>
      </c>
    </row>
  </sheetData>
  <mergeCells count="4">
    <mergeCell ref="B17:E17"/>
    <mergeCell ref="B18:E18"/>
    <mergeCell ref="B19:E19"/>
    <mergeCell ref="B20:E20"/>
  </mergeCells>
  <dataValidations count="3">
    <dataValidation allowBlank="true" error="Please enter €500 to €1,000,000 · steps of €500." errorStyle="stop" errorTitle="Outside the allowed range" operator="between" prompt="Your own figure.  Allowed: €500 to €1,000,000 · steps of €500." promptTitle="Loan amount" showDropDown="false" showErrorMessage="true" showInputMessage="true" sqref="C6" type="decimal">
      <formula1>500</formula1>
      <formula2>1000000</formula2>
    </dataValidation>
    <dataValidation allowBlank="true" error="Please enter 0% to 25% · steps of 0.25%." errorStyle="stop" errorTitle="Outside the allowed range" operator="between" prompt="Your loan's APR: your loan agreement shows it. A suggested rate and its source are shown beside this cell (Partner rates, Assumptions sheet). Allowed: 0% to 25% · steps of 0.5%" promptTitle="Interest (APR)" showDropDown="false" showErrorMessage="true" showInputMessage="true" sqref="C7" type="decimal">
      <formula1>0</formula1>
      <formula2>0.25</formula2>
    </dataValidation>
    <dataValidation allowBlank="true" error="Please enter 1 to 10 · steps of 1." errorStyle="stop" errorTitle="Outside the allowed range" operator="between" prompt="Your own figure.  Allowed: 1 to 10 · steps of 1." promptTitle="Years" showDropDown="false" showErrorMessage="true" showInputMessage="true" sqref="C8" type="whole">
      <formula1>1</formula1>
      <formula2>10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2B134"/>
    <pageSetUpPr fitToPage="false"/>
  </sheetPr>
  <dimension ref="A1:M7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44"/>
    <col collapsed="false" customWidth="true" hidden="false" outlineLevel="0" max="2" min="2" style="0" width="18"/>
    <col collapsed="false" customWidth="true" hidden="false" outlineLevel="0" max="3" min="3" style="0" width="20"/>
    <col collapsed="false" customWidth="true" hidden="false" outlineLevel="0" max="6" min="4" style="0" width="18"/>
    <col collapsed="false" customWidth="true" hidden="false" outlineLevel="0" max="9" min="7" style="0" width="16"/>
    <col collapsed="false" customWidth="true" hidden="false" outlineLevel="0" max="11" min="10" style="0" width="18"/>
    <col collapsed="false" customWidth="true" hidden="false" outlineLevel="0" max="12" min="12" style="0" width="16"/>
    <col collapsed="false" customWidth="true" hidden="false" outlineLevel="0" max="13" min="13" style="0" width="18"/>
  </cols>
  <sheetData>
    <row r="1" customFormat="false" ht="19.7" hidden="false" customHeight="false" outlineLevel="0" collapsed="false">
      <c r="A1" s="1" t="s">
        <v>3827</v>
      </c>
    </row>
    <row r="2" customFormat="false" ht="99.75" hidden="false" customHeight="true" outlineLevel="0" collapsed="false">
      <c r="A2" s="2" t="s">
        <v>3828</v>
      </c>
      <c r="B2" s="2"/>
      <c r="C2" s="2"/>
      <c r="D2" s="3" t="s">
        <v>3829</v>
      </c>
      <c r="E2" s="4" t="s">
        <v>3830</v>
      </c>
    </row>
    <row r="3" customFormat="false" ht="28.35" hidden="false" customHeight="false" outlineLevel="0" collapsed="false">
      <c r="A3" s="7" t="s">
        <v>3831</v>
      </c>
      <c r="B3" s="7" t="s">
        <v>3832</v>
      </c>
      <c r="C3" s="7" t="s">
        <v>372</v>
      </c>
      <c r="D3" s="7" t="s">
        <v>3830</v>
      </c>
      <c r="E3" s="7" t="s">
        <v>3833</v>
      </c>
    </row>
    <row r="4" customFormat="false" ht="28.35" hidden="false" customHeight="false" outlineLevel="0" collapsed="false">
      <c r="A4" s="9" t="s">
        <v>3834</v>
      </c>
      <c r="B4" s="120" t="n">
        <f aca="false">IF($E$2="Sample example",D4,E4)</f>
        <v>100000</v>
      </c>
      <c r="C4" s="6" t="s">
        <v>3835</v>
      </c>
      <c r="D4" s="121" t="n">
        <v>100000</v>
      </c>
      <c r="E4" s="122" t="n">
        <v>100000</v>
      </c>
    </row>
    <row r="5" customFormat="false" ht="41.75" hidden="false" customHeight="false" outlineLevel="0" collapsed="false">
      <c r="A5" s="9" t="s">
        <v>3836</v>
      </c>
      <c r="B5" s="120" t="n">
        <f aca="false">IF($E$2="Sample example",D5,E5)</f>
        <v>100000</v>
      </c>
      <c r="C5" s="6" t="s">
        <v>3837</v>
      </c>
      <c r="D5" s="121" t="n">
        <v>100000</v>
      </c>
      <c r="E5" s="122" t="n">
        <v>100000</v>
      </c>
    </row>
    <row r="6" customFormat="false" ht="28.35" hidden="false" customHeight="false" outlineLevel="0" collapsed="false">
      <c r="A6" s="9" t="s">
        <v>3838</v>
      </c>
      <c r="B6" s="123" t="n">
        <f aca="false">IF($E$2="Sample example",D6,E6)</f>
        <v>0.05</v>
      </c>
      <c r="C6" s="6" t="s">
        <v>3839</v>
      </c>
      <c r="D6" s="124" t="n">
        <v>0.05</v>
      </c>
      <c r="E6" s="125" t="n">
        <v>0.05</v>
      </c>
    </row>
    <row r="7" customFormat="false" ht="28.35" hidden="false" customHeight="false" outlineLevel="0" collapsed="false">
      <c r="A7" s="9" t="s">
        <v>3840</v>
      </c>
      <c r="B7" s="123" t="n">
        <f aca="false">IF($E$2="Sample example",D7,E7)</f>
        <v>0.01</v>
      </c>
      <c r="C7" s="6" t="s">
        <v>3841</v>
      </c>
      <c r="D7" s="124" t="n">
        <v>0.01</v>
      </c>
      <c r="E7" s="125" t="n">
        <v>0.01</v>
      </c>
    </row>
    <row r="8" customFormat="false" ht="41.75" hidden="false" customHeight="false" outlineLevel="0" collapsed="false">
      <c r="A8" s="9" t="s">
        <v>3842</v>
      </c>
      <c r="B8" s="126" t="n">
        <f aca="false">IF($E$2="Sample example",D8,E8)</f>
        <v>0</v>
      </c>
      <c r="C8" s="6" t="s">
        <v>3843</v>
      </c>
      <c r="D8" s="127" t="n">
        <v>0</v>
      </c>
      <c r="E8" s="128" t="n">
        <v>0</v>
      </c>
    </row>
    <row r="9" customFormat="false" ht="41.75" hidden="false" customHeight="false" outlineLevel="0" collapsed="false">
      <c r="A9" s="9" t="s">
        <v>3844</v>
      </c>
      <c r="B9" s="129" t="str">
        <f aca="false">IF($E$2="Sample example",D9,E9)</f>
        <v>Fund or ETF</v>
      </c>
      <c r="C9" s="6" t="s">
        <v>3845</v>
      </c>
      <c r="D9" s="130" t="s">
        <v>3846</v>
      </c>
      <c r="E9" s="131" t="s">
        <v>3846</v>
      </c>
    </row>
    <row r="10" customFormat="false" ht="41.75" hidden="false" customHeight="false" outlineLevel="0" collapsed="false">
      <c r="A10" s="9" t="s">
        <v>3847</v>
      </c>
      <c r="B10" s="126" t="n">
        <f aca="false">IF($E$2="Sample example",D10,E10)</f>
        <v>20</v>
      </c>
      <c r="C10" s="6" t="s">
        <v>3848</v>
      </c>
      <c r="D10" s="127" t="n">
        <v>20</v>
      </c>
      <c r="E10" s="128" t="n">
        <v>20</v>
      </c>
    </row>
    <row r="11" customFormat="false" ht="55.2" hidden="false" customHeight="false" outlineLevel="0" collapsed="false">
      <c r="A11" s="9" t="s">
        <v>3849</v>
      </c>
      <c r="B11" s="132" t="n">
        <f aca="false">IF($E$2="Sample example",D11,E11)</f>
        <v>46316</v>
      </c>
      <c r="C11" s="6" t="s">
        <v>3850</v>
      </c>
      <c r="D11" s="133" t="n">
        <v>46316</v>
      </c>
      <c r="E11" s="134" t="n">
        <v>46316</v>
      </c>
    </row>
    <row r="12" customFormat="false" ht="41.75" hidden="false" customHeight="false" outlineLevel="0" collapsed="false">
      <c r="A12" s="9" t="s">
        <v>3851</v>
      </c>
      <c r="B12" s="126" t="n">
        <f aca="false">IF($E$2="Sample example",D12,E12)</f>
        <v>1</v>
      </c>
      <c r="C12" s="6" t="s">
        <v>3852</v>
      </c>
      <c r="D12" s="127" t="n">
        <v>1</v>
      </c>
      <c r="E12" s="128" t="n">
        <v>1</v>
      </c>
    </row>
    <row r="13" customFormat="false" ht="55.2" hidden="false" customHeight="false" outlineLevel="0" collapsed="false">
      <c r="A13" s="9" t="s">
        <v>3853</v>
      </c>
      <c r="B13" s="120" t="n">
        <f aca="false">IF($E$2="Sample example",D13,E13)</f>
        <v>0</v>
      </c>
      <c r="C13" s="6" t="s">
        <v>3854</v>
      </c>
      <c r="D13" s="121" t="n">
        <v>0</v>
      </c>
      <c r="E13" s="122" t="n">
        <v>0</v>
      </c>
    </row>
    <row r="15" customFormat="false" ht="15" hidden="false" customHeight="false" outlineLevel="0" collapsed="false">
      <c r="A15" s="7" t="s">
        <v>3855</v>
      </c>
      <c r="B15" s="7" t="s">
        <v>1173</v>
      </c>
      <c r="C15" s="7" t="s">
        <v>3856</v>
      </c>
    </row>
    <row r="16" customFormat="false" ht="15" hidden="false" customHeight="false" outlineLevel="0" collapsed="false">
      <c r="A16" s="9" t="s">
        <v>3857</v>
      </c>
      <c r="B16" s="124" t="n">
        <f aca="false">VLOOKUP("sav.exit",Tax!$A$55:$D$156,4,FALSE())</f>
        <v>0.38</v>
      </c>
      <c r="C16" s="6" t="s">
        <v>821</v>
      </c>
    </row>
    <row r="17" customFormat="false" ht="15" hidden="false" customHeight="false" outlineLevel="0" collapsed="false">
      <c r="A17" s="9" t="s">
        <v>825</v>
      </c>
      <c r="B17" s="127" t="n">
        <f aca="false">VLOOKUP("sav.deemed",Tax!$A$55:$D$156,4,FALSE())</f>
        <v>8</v>
      </c>
      <c r="C17" s="6" t="s">
        <v>824</v>
      </c>
    </row>
    <row r="18" customFormat="false" ht="15" hidden="false" customHeight="false" outlineLevel="0" collapsed="false">
      <c r="A18" s="9" t="s">
        <v>3858</v>
      </c>
      <c r="B18" s="124" t="n">
        <f aca="false">VLOOKUP("sav.cgtBefore",Tax!$A$55:$D$156,4,FALSE())</f>
        <v>0.33</v>
      </c>
      <c r="C18" s="6" t="s">
        <v>832</v>
      </c>
    </row>
    <row r="19" customFormat="false" ht="15" hidden="false" customHeight="false" outlineLevel="0" collapsed="false">
      <c r="A19" s="9" t="s">
        <v>3859</v>
      </c>
      <c r="B19" s="124" t="n">
        <f aca="false">VLOOKUP("sav.cgt",Tax!$A$55:$D$156,4,FALSE())</f>
        <v>0.31</v>
      </c>
      <c r="C19" s="6" t="s">
        <v>828</v>
      </c>
    </row>
    <row r="20" customFormat="false" ht="15" hidden="false" customHeight="false" outlineLevel="0" collapsed="false">
      <c r="A20" s="9" t="s">
        <v>3860</v>
      </c>
      <c r="B20" s="124" t="n">
        <f aca="false">IF(EDATE(B11,12*B10)&gt;=DATE(2026,10,7),B19,B18)</f>
        <v>0.31</v>
      </c>
      <c r="C20" s="6" t="s">
        <v>3861</v>
      </c>
    </row>
    <row r="21" customFormat="false" ht="28.35" hidden="false" customHeight="false" outlineLevel="0" collapsed="false">
      <c r="A21" s="9" t="s">
        <v>3862</v>
      </c>
      <c r="B21" s="121" t="n">
        <f aca="false">VLOOKUP("sav.cgtExempt",Tax!$A$55:$D$156,4,FALSE())</f>
        <v>1270</v>
      </c>
      <c r="C21" s="6" t="s">
        <v>3863</v>
      </c>
    </row>
    <row r="23" customFormat="false" ht="15" hidden="false" customHeight="false" outlineLevel="0" collapsed="false">
      <c r="A23" s="7" t="s">
        <v>3864</v>
      </c>
      <c r="B23" s="7" t="s">
        <v>1173</v>
      </c>
      <c r="C23" s="7" t="s">
        <v>1174</v>
      </c>
    </row>
    <row r="24" customFormat="false" ht="28.35" hidden="false" customHeight="false" outlineLevel="0" collapsed="false">
      <c r="A24" s="9" t="s">
        <v>3865</v>
      </c>
      <c r="B24" s="121" t="n">
        <f aca="false">B4*(1+B6-B7)^B10</f>
        <v>219112.314303342</v>
      </c>
      <c r="C24" s="6" t="s">
        <v>3866</v>
      </c>
    </row>
    <row r="25" customFormat="false" ht="28.35" hidden="false" customHeight="false" outlineLevel="0" collapsed="false">
      <c r="A25" s="9" t="s">
        <v>3867</v>
      </c>
      <c r="B25" s="121" t="n">
        <f aca="false">INDEX($J$36:$J$65,B10)</f>
        <v>176560.169363514</v>
      </c>
      <c r="C25" s="6" t="s">
        <v>3868</v>
      </c>
    </row>
    <row r="26" customFormat="false" ht="41.75" hidden="false" customHeight="false" outlineLevel="0" collapsed="false">
      <c r="A26" s="9" t="s">
        <v>3869</v>
      </c>
      <c r="B26" s="121" t="n">
        <f aca="false">INDEX($K$36:$K$65,B10)</f>
        <v>150924.37274085</v>
      </c>
      <c r="C26" s="6" t="s">
        <v>3870</v>
      </c>
    </row>
    <row r="27" customFormat="false" ht="28.35" hidden="false" customHeight="false" outlineLevel="0" collapsed="false">
      <c r="A27" s="9" t="s">
        <v>3871</v>
      </c>
      <c r="B27" s="121" t="n">
        <f aca="false">MAX(0,B25-B26)</f>
        <v>25635.796622664</v>
      </c>
      <c r="C27" s="6" t="s">
        <v>3872</v>
      </c>
    </row>
    <row r="28" customFormat="false" ht="28.35" hidden="false" customHeight="false" outlineLevel="0" collapsed="false">
      <c r="A28" s="9" t="s">
        <v>3873</v>
      </c>
      <c r="B28" s="121" t="n">
        <f aca="false">INDEX($M$36:$M$65,B10)</f>
        <v>31211.712325037</v>
      </c>
      <c r="C28" s="6" t="s">
        <v>3874</v>
      </c>
    </row>
    <row r="29" customFormat="false" ht="55.2" hidden="false" customHeight="false" outlineLevel="0" collapsed="false">
      <c r="A29" s="9" t="s">
        <v>3875</v>
      </c>
      <c r="B29" s="121" t="n">
        <f aca="false">IF(B9="Fund or ETF",B27*B16,B20*MAX(0,B27-B13-B21*B12))</f>
        <v>9741.60271661232</v>
      </c>
      <c r="C29" s="6" t="s">
        <v>3876</v>
      </c>
    </row>
    <row r="30" customFormat="false" ht="28.35" hidden="false" customHeight="false" outlineLevel="0" collapsed="false">
      <c r="A30" s="9" t="s">
        <v>3877</v>
      </c>
      <c r="B30" s="121" t="n">
        <f aca="false">B25-B29</f>
        <v>166818.566646901</v>
      </c>
      <c r="C30" s="6" t="s">
        <v>3878</v>
      </c>
    </row>
    <row r="31" customFormat="false" ht="28.35" hidden="false" customHeight="false" outlineLevel="0" collapsed="false">
      <c r="A31" s="9" t="s">
        <v>3879</v>
      </c>
      <c r="B31" s="121" t="n">
        <f aca="false">B28+B29</f>
        <v>40953.3150416493</v>
      </c>
      <c r="C31" s="6" t="s">
        <v>3880</v>
      </c>
    </row>
    <row r="32" customFormat="false" ht="15" hidden="false" customHeight="false" outlineLevel="0" collapsed="false">
      <c r="A32" s="9" t="s">
        <v>3881</v>
      </c>
      <c r="B32" s="135" t="n">
        <f aca="false">B6-B7</f>
        <v>0.04</v>
      </c>
      <c r="C32" s="6" t="s">
        <v>3882</v>
      </c>
    </row>
    <row r="33" customFormat="false" ht="41.75" hidden="false" customHeight="false" outlineLevel="0" collapsed="false">
      <c r="A33" s="9" t="s">
        <v>3883</v>
      </c>
      <c r="B33" s="135" t="n">
        <f aca="false">IF(B30&gt;0,(B30/B4)^(1/B10)-1,"n/a")</f>
        <v>0.0259169832145933</v>
      </c>
      <c r="C33" s="6" t="s">
        <v>3884</v>
      </c>
    </row>
    <row r="35" customFormat="false" ht="28.35" hidden="false" customHeight="false" outlineLevel="0" collapsed="false">
      <c r="A35" s="7" t="s">
        <v>1508</v>
      </c>
      <c r="B35" s="7" t="s">
        <v>3885</v>
      </c>
      <c r="C35" s="7" t="s">
        <v>3886</v>
      </c>
      <c r="D35" s="7" t="s">
        <v>3887</v>
      </c>
      <c r="E35" s="7" t="s">
        <v>3888</v>
      </c>
      <c r="F35" s="7" t="s">
        <v>3889</v>
      </c>
      <c r="G35" s="7" t="s">
        <v>3890</v>
      </c>
      <c r="H35" s="7" t="s">
        <v>3891</v>
      </c>
      <c r="I35" s="7" t="s">
        <v>3892</v>
      </c>
      <c r="J35" s="7" t="s">
        <v>3893</v>
      </c>
      <c r="K35" s="7" t="s">
        <v>3894</v>
      </c>
      <c r="L35" s="7" t="s">
        <v>3895</v>
      </c>
      <c r="M35" s="7" t="s">
        <v>3896</v>
      </c>
    </row>
    <row r="36" customFormat="false" ht="15" hidden="false" customHeight="false" outlineLevel="0" collapsed="false">
      <c r="A36" s="136" t="n">
        <v>1</v>
      </c>
      <c r="B36" s="121" t="n">
        <f aca="false">B4</f>
        <v>100000</v>
      </c>
      <c r="C36" s="121" t="n">
        <f aca="false">B5</f>
        <v>100000</v>
      </c>
      <c r="D36" s="136" t="n">
        <f aca="false">MOD(B8,$B$17)</f>
        <v>0</v>
      </c>
      <c r="E36" s="121" t="n">
        <f aca="false">B36*($B$6-$B$7)</f>
        <v>4000</v>
      </c>
      <c r="F36" s="121" t="n">
        <f aca="false">B36+E36</f>
        <v>104000</v>
      </c>
      <c r="G36" s="136" t="str">
        <f aca="false">IF(AND($B$9="Fund or ETF",D36+1&gt;=$B$17),"Yes","No")</f>
        <v>No</v>
      </c>
      <c r="H36" s="121" t="n">
        <f aca="false">IF(G36="Yes",MAX(0,F36-C36),0)</f>
        <v>0</v>
      </c>
      <c r="I36" s="121" t="n">
        <f aca="false">H36*$B$16</f>
        <v>0</v>
      </c>
      <c r="J36" s="121" t="n">
        <f aca="false">F36-I36</f>
        <v>104000</v>
      </c>
      <c r="K36" s="121" t="n">
        <f aca="false">IF(G36="Yes",J36,C36)</f>
        <v>100000</v>
      </c>
      <c r="L36" s="136" t="n">
        <f aca="false">IF(G36="Yes",0,D36+1)</f>
        <v>1</v>
      </c>
      <c r="M36" s="121" t="n">
        <f aca="false">I36</f>
        <v>0</v>
      </c>
    </row>
    <row r="37" customFormat="false" ht="15" hidden="false" customHeight="false" outlineLevel="0" collapsed="false">
      <c r="A37" s="136" t="n">
        <v>2</v>
      </c>
      <c r="B37" s="121" t="n">
        <f aca="false">J36</f>
        <v>104000</v>
      </c>
      <c r="C37" s="121" t="n">
        <f aca="false">K36</f>
        <v>100000</v>
      </c>
      <c r="D37" s="136" t="n">
        <f aca="false">L36</f>
        <v>1</v>
      </c>
      <c r="E37" s="121" t="n">
        <f aca="false">B37*($B$6-$B$7)</f>
        <v>4160</v>
      </c>
      <c r="F37" s="121" t="n">
        <f aca="false">B37+E37</f>
        <v>108160</v>
      </c>
      <c r="G37" s="136" t="str">
        <f aca="false">IF(AND($B$9="Fund or ETF",D37+1&gt;=$B$17),"Yes","No")</f>
        <v>No</v>
      </c>
      <c r="H37" s="121" t="n">
        <f aca="false">IF(G37="Yes",MAX(0,F37-C37),0)</f>
        <v>0</v>
      </c>
      <c r="I37" s="121" t="n">
        <f aca="false">H37*$B$16</f>
        <v>0</v>
      </c>
      <c r="J37" s="121" t="n">
        <f aca="false">F37-I37</f>
        <v>108160</v>
      </c>
      <c r="K37" s="121" t="n">
        <f aca="false">IF(G37="Yes",J37,C37)</f>
        <v>100000</v>
      </c>
      <c r="L37" s="136" t="n">
        <f aca="false">IF(G37="Yes",0,D37+1)</f>
        <v>2</v>
      </c>
      <c r="M37" s="121" t="n">
        <f aca="false">M36+I37</f>
        <v>0</v>
      </c>
    </row>
    <row r="38" customFormat="false" ht="15" hidden="false" customHeight="false" outlineLevel="0" collapsed="false">
      <c r="A38" s="136" t="n">
        <v>3</v>
      </c>
      <c r="B38" s="121" t="n">
        <f aca="false">J37</f>
        <v>108160</v>
      </c>
      <c r="C38" s="121" t="n">
        <f aca="false">K37</f>
        <v>100000</v>
      </c>
      <c r="D38" s="136" t="n">
        <f aca="false">L37</f>
        <v>2</v>
      </c>
      <c r="E38" s="121" t="n">
        <f aca="false">B38*($B$6-$B$7)</f>
        <v>4326.4</v>
      </c>
      <c r="F38" s="121" t="n">
        <f aca="false">B38+E38</f>
        <v>112486.4</v>
      </c>
      <c r="G38" s="136" t="str">
        <f aca="false">IF(AND($B$9="Fund or ETF",D38+1&gt;=$B$17),"Yes","No")</f>
        <v>No</v>
      </c>
      <c r="H38" s="121" t="n">
        <f aca="false">IF(G38="Yes",MAX(0,F38-C38),0)</f>
        <v>0</v>
      </c>
      <c r="I38" s="121" t="n">
        <f aca="false">H38*$B$16</f>
        <v>0</v>
      </c>
      <c r="J38" s="121" t="n">
        <f aca="false">F38-I38</f>
        <v>112486.4</v>
      </c>
      <c r="K38" s="121" t="n">
        <f aca="false">IF(G38="Yes",J38,C38)</f>
        <v>100000</v>
      </c>
      <c r="L38" s="136" t="n">
        <f aca="false">IF(G38="Yes",0,D38+1)</f>
        <v>3</v>
      </c>
      <c r="M38" s="121" t="n">
        <f aca="false">M37+I38</f>
        <v>0</v>
      </c>
    </row>
    <row r="39" customFormat="false" ht="15" hidden="false" customHeight="false" outlineLevel="0" collapsed="false">
      <c r="A39" s="136" t="n">
        <v>4</v>
      </c>
      <c r="B39" s="121" t="n">
        <f aca="false">J38</f>
        <v>112486.4</v>
      </c>
      <c r="C39" s="121" t="n">
        <f aca="false">K38</f>
        <v>100000</v>
      </c>
      <c r="D39" s="136" t="n">
        <f aca="false">L38</f>
        <v>3</v>
      </c>
      <c r="E39" s="121" t="n">
        <f aca="false">B39*($B$6-$B$7)</f>
        <v>4499.456</v>
      </c>
      <c r="F39" s="121" t="n">
        <f aca="false">B39+E39</f>
        <v>116985.856</v>
      </c>
      <c r="G39" s="136" t="str">
        <f aca="false">IF(AND($B$9="Fund or ETF",D39+1&gt;=$B$17),"Yes","No")</f>
        <v>No</v>
      </c>
      <c r="H39" s="121" t="n">
        <f aca="false">IF(G39="Yes",MAX(0,F39-C39),0)</f>
        <v>0</v>
      </c>
      <c r="I39" s="121" t="n">
        <f aca="false">H39*$B$16</f>
        <v>0</v>
      </c>
      <c r="J39" s="121" t="n">
        <f aca="false">F39-I39</f>
        <v>116985.856</v>
      </c>
      <c r="K39" s="121" t="n">
        <f aca="false">IF(G39="Yes",J39,C39)</f>
        <v>100000</v>
      </c>
      <c r="L39" s="136" t="n">
        <f aca="false">IF(G39="Yes",0,D39+1)</f>
        <v>4</v>
      </c>
      <c r="M39" s="121" t="n">
        <f aca="false">M38+I39</f>
        <v>0</v>
      </c>
    </row>
    <row r="40" customFormat="false" ht="15" hidden="false" customHeight="false" outlineLevel="0" collapsed="false">
      <c r="A40" s="136" t="n">
        <v>5</v>
      </c>
      <c r="B40" s="121" t="n">
        <f aca="false">J39</f>
        <v>116985.856</v>
      </c>
      <c r="C40" s="121" t="n">
        <f aca="false">K39</f>
        <v>100000</v>
      </c>
      <c r="D40" s="136" t="n">
        <f aca="false">L39</f>
        <v>4</v>
      </c>
      <c r="E40" s="121" t="n">
        <f aca="false">B40*($B$6-$B$7)</f>
        <v>4679.43424</v>
      </c>
      <c r="F40" s="121" t="n">
        <f aca="false">B40+E40</f>
        <v>121665.29024</v>
      </c>
      <c r="G40" s="136" t="str">
        <f aca="false">IF(AND($B$9="Fund or ETF",D40+1&gt;=$B$17),"Yes","No")</f>
        <v>No</v>
      </c>
      <c r="H40" s="121" t="n">
        <f aca="false">IF(G40="Yes",MAX(0,F40-C40),0)</f>
        <v>0</v>
      </c>
      <c r="I40" s="121" t="n">
        <f aca="false">H40*$B$16</f>
        <v>0</v>
      </c>
      <c r="J40" s="121" t="n">
        <f aca="false">F40-I40</f>
        <v>121665.29024</v>
      </c>
      <c r="K40" s="121" t="n">
        <f aca="false">IF(G40="Yes",J40,C40)</f>
        <v>100000</v>
      </c>
      <c r="L40" s="136" t="n">
        <f aca="false">IF(G40="Yes",0,D40+1)</f>
        <v>5</v>
      </c>
      <c r="M40" s="121" t="n">
        <f aca="false">M39+I40</f>
        <v>0</v>
      </c>
    </row>
    <row r="41" customFormat="false" ht="15" hidden="false" customHeight="false" outlineLevel="0" collapsed="false">
      <c r="A41" s="136" t="n">
        <v>6</v>
      </c>
      <c r="B41" s="121" t="n">
        <f aca="false">J40</f>
        <v>121665.29024</v>
      </c>
      <c r="C41" s="121" t="n">
        <f aca="false">K40</f>
        <v>100000</v>
      </c>
      <c r="D41" s="136" t="n">
        <f aca="false">L40</f>
        <v>5</v>
      </c>
      <c r="E41" s="121" t="n">
        <f aca="false">B41*($B$6-$B$7)</f>
        <v>4866.6116096</v>
      </c>
      <c r="F41" s="121" t="n">
        <f aca="false">B41+E41</f>
        <v>126531.9018496</v>
      </c>
      <c r="G41" s="136" t="str">
        <f aca="false">IF(AND($B$9="Fund or ETF",D41+1&gt;=$B$17),"Yes","No")</f>
        <v>No</v>
      </c>
      <c r="H41" s="121" t="n">
        <f aca="false">IF(G41="Yes",MAX(0,F41-C41),0)</f>
        <v>0</v>
      </c>
      <c r="I41" s="121" t="n">
        <f aca="false">H41*$B$16</f>
        <v>0</v>
      </c>
      <c r="J41" s="121" t="n">
        <f aca="false">F41-I41</f>
        <v>126531.9018496</v>
      </c>
      <c r="K41" s="121" t="n">
        <f aca="false">IF(G41="Yes",J41,C41)</f>
        <v>100000</v>
      </c>
      <c r="L41" s="136" t="n">
        <f aca="false">IF(G41="Yes",0,D41+1)</f>
        <v>6</v>
      </c>
      <c r="M41" s="121" t="n">
        <f aca="false">M40+I41</f>
        <v>0</v>
      </c>
    </row>
    <row r="42" customFormat="false" ht="15" hidden="false" customHeight="false" outlineLevel="0" collapsed="false">
      <c r="A42" s="136" t="n">
        <v>7</v>
      </c>
      <c r="B42" s="121" t="n">
        <f aca="false">J41</f>
        <v>126531.9018496</v>
      </c>
      <c r="C42" s="121" t="n">
        <f aca="false">K41</f>
        <v>100000</v>
      </c>
      <c r="D42" s="136" t="n">
        <f aca="false">L41</f>
        <v>6</v>
      </c>
      <c r="E42" s="121" t="n">
        <f aca="false">B42*($B$6-$B$7)</f>
        <v>5061.276073984</v>
      </c>
      <c r="F42" s="121" t="n">
        <f aca="false">B42+E42</f>
        <v>131593.177923584</v>
      </c>
      <c r="G42" s="136" t="str">
        <f aca="false">IF(AND($B$9="Fund or ETF",D42+1&gt;=$B$17),"Yes","No")</f>
        <v>No</v>
      </c>
      <c r="H42" s="121" t="n">
        <f aca="false">IF(G42="Yes",MAX(0,F42-C42),0)</f>
        <v>0</v>
      </c>
      <c r="I42" s="121" t="n">
        <f aca="false">H42*$B$16</f>
        <v>0</v>
      </c>
      <c r="J42" s="121" t="n">
        <f aca="false">F42-I42</f>
        <v>131593.177923584</v>
      </c>
      <c r="K42" s="121" t="n">
        <f aca="false">IF(G42="Yes",J42,C42)</f>
        <v>100000</v>
      </c>
      <c r="L42" s="136" t="n">
        <f aca="false">IF(G42="Yes",0,D42+1)</f>
        <v>7</v>
      </c>
      <c r="M42" s="121" t="n">
        <f aca="false">M41+I42</f>
        <v>0</v>
      </c>
    </row>
    <row r="43" customFormat="false" ht="15" hidden="false" customHeight="false" outlineLevel="0" collapsed="false">
      <c r="A43" s="136" t="n">
        <v>8</v>
      </c>
      <c r="B43" s="121" t="n">
        <f aca="false">J42</f>
        <v>131593.177923584</v>
      </c>
      <c r="C43" s="121" t="n">
        <f aca="false">K42</f>
        <v>100000</v>
      </c>
      <c r="D43" s="136" t="n">
        <f aca="false">L42</f>
        <v>7</v>
      </c>
      <c r="E43" s="121" t="n">
        <f aca="false">B43*($B$6-$B$7)</f>
        <v>5263.72711694336</v>
      </c>
      <c r="F43" s="121" t="n">
        <f aca="false">B43+E43</f>
        <v>136856.905040527</v>
      </c>
      <c r="G43" s="136" t="str">
        <f aca="false">IF(AND($B$9="Fund or ETF",D43+1&gt;=$B$17),"Yes","No")</f>
        <v>Yes</v>
      </c>
      <c r="H43" s="121" t="n">
        <f aca="false">IF(G43="Yes",MAX(0,F43-C43),0)</f>
        <v>36856.9050405274</v>
      </c>
      <c r="I43" s="121" t="n">
        <f aca="false">H43*$B$16</f>
        <v>14005.6239154004</v>
      </c>
      <c r="J43" s="121" t="n">
        <f aca="false">F43-I43</f>
        <v>122851.281125127</v>
      </c>
      <c r="K43" s="121" t="n">
        <f aca="false">IF(G43="Yes",J43,C43)</f>
        <v>122851.281125127</v>
      </c>
      <c r="L43" s="136" t="n">
        <f aca="false">IF(G43="Yes",0,D43+1)</f>
        <v>0</v>
      </c>
      <c r="M43" s="121" t="n">
        <f aca="false">M42+I43</f>
        <v>14005.6239154004</v>
      </c>
    </row>
    <row r="44" customFormat="false" ht="15" hidden="false" customHeight="false" outlineLevel="0" collapsed="false">
      <c r="A44" s="136" t="n">
        <v>9</v>
      </c>
      <c r="B44" s="121" t="n">
        <f aca="false">J43</f>
        <v>122851.281125127</v>
      </c>
      <c r="C44" s="121" t="n">
        <f aca="false">K43</f>
        <v>122851.281125127</v>
      </c>
      <c r="D44" s="136" t="n">
        <f aca="false">L43</f>
        <v>0</v>
      </c>
      <c r="E44" s="121" t="n">
        <f aca="false">B44*($B$6-$B$7)</f>
        <v>4914.05124500508</v>
      </c>
      <c r="F44" s="121" t="n">
        <f aca="false">B44+E44</f>
        <v>127765.332370132</v>
      </c>
      <c r="G44" s="136" t="str">
        <f aca="false">IF(AND($B$9="Fund or ETF",D44+1&gt;=$B$17),"Yes","No")</f>
        <v>No</v>
      </c>
      <c r="H44" s="121" t="n">
        <f aca="false">IF(G44="Yes",MAX(0,F44-C44),0)</f>
        <v>0</v>
      </c>
      <c r="I44" s="121" t="n">
        <f aca="false">H44*$B$16</f>
        <v>0</v>
      </c>
      <c r="J44" s="121" t="n">
        <f aca="false">F44-I44</f>
        <v>127765.332370132</v>
      </c>
      <c r="K44" s="121" t="n">
        <f aca="false">IF(G44="Yes",J44,C44)</f>
        <v>122851.281125127</v>
      </c>
      <c r="L44" s="136" t="n">
        <f aca="false">IF(G44="Yes",0,D44+1)</f>
        <v>1</v>
      </c>
      <c r="M44" s="121" t="n">
        <f aca="false">M43+I44</f>
        <v>14005.6239154004</v>
      </c>
    </row>
    <row r="45" customFormat="false" ht="15" hidden="false" customHeight="false" outlineLevel="0" collapsed="false">
      <c r="A45" s="136" t="n">
        <v>10</v>
      </c>
      <c r="B45" s="121" t="n">
        <f aca="false">J44</f>
        <v>127765.332370132</v>
      </c>
      <c r="C45" s="121" t="n">
        <f aca="false">K44</f>
        <v>122851.281125127</v>
      </c>
      <c r="D45" s="136" t="n">
        <f aca="false">L44</f>
        <v>1</v>
      </c>
      <c r="E45" s="121" t="n">
        <f aca="false">B45*($B$6-$B$7)</f>
        <v>5110.61329480528</v>
      </c>
      <c r="F45" s="121" t="n">
        <f aca="false">B45+E45</f>
        <v>132875.945664937</v>
      </c>
      <c r="G45" s="136" t="str">
        <f aca="false">IF(AND($B$9="Fund or ETF",D45+1&gt;=$B$17),"Yes","No")</f>
        <v>No</v>
      </c>
      <c r="H45" s="121" t="n">
        <f aca="false">IF(G45="Yes",MAX(0,F45-C45),0)</f>
        <v>0</v>
      </c>
      <c r="I45" s="121" t="n">
        <f aca="false">H45*$B$16</f>
        <v>0</v>
      </c>
      <c r="J45" s="121" t="n">
        <f aca="false">F45-I45</f>
        <v>132875.945664937</v>
      </c>
      <c r="K45" s="121" t="n">
        <f aca="false">IF(G45="Yes",J45,C45)</f>
        <v>122851.281125127</v>
      </c>
      <c r="L45" s="136" t="n">
        <f aca="false">IF(G45="Yes",0,D45+1)</f>
        <v>2</v>
      </c>
      <c r="M45" s="121" t="n">
        <f aca="false">M44+I45</f>
        <v>14005.6239154004</v>
      </c>
    </row>
    <row r="46" customFormat="false" ht="15" hidden="false" customHeight="false" outlineLevel="0" collapsed="false">
      <c r="A46" s="136" t="n">
        <v>11</v>
      </c>
      <c r="B46" s="121" t="n">
        <f aca="false">J45</f>
        <v>132875.945664937</v>
      </c>
      <c r="C46" s="121" t="n">
        <f aca="false">K45</f>
        <v>122851.281125127</v>
      </c>
      <c r="D46" s="136" t="n">
        <f aca="false">L45</f>
        <v>2</v>
      </c>
      <c r="E46" s="121" t="n">
        <f aca="false">B46*($B$6-$B$7)</f>
        <v>5315.03782659749</v>
      </c>
      <c r="F46" s="121" t="n">
        <f aca="false">B46+E46</f>
        <v>138190.983491535</v>
      </c>
      <c r="G46" s="136" t="str">
        <f aca="false">IF(AND($B$9="Fund or ETF",D46+1&gt;=$B$17),"Yes","No")</f>
        <v>No</v>
      </c>
      <c r="H46" s="121" t="n">
        <f aca="false">IF(G46="Yes",MAX(0,F46-C46),0)</f>
        <v>0</v>
      </c>
      <c r="I46" s="121" t="n">
        <f aca="false">H46*$B$16</f>
        <v>0</v>
      </c>
      <c r="J46" s="121" t="n">
        <f aca="false">F46-I46</f>
        <v>138190.983491535</v>
      </c>
      <c r="K46" s="121" t="n">
        <f aca="false">IF(G46="Yes",J46,C46)</f>
        <v>122851.281125127</v>
      </c>
      <c r="L46" s="136" t="n">
        <f aca="false">IF(G46="Yes",0,D46+1)</f>
        <v>3</v>
      </c>
      <c r="M46" s="121" t="n">
        <f aca="false">M45+I46</f>
        <v>14005.6239154004</v>
      </c>
    </row>
    <row r="47" customFormat="false" ht="15" hidden="false" customHeight="false" outlineLevel="0" collapsed="false">
      <c r="A47" s="136" t="n">
        <v>12</v>
      </c>
      <c r="B47" s="121" t="n">
        <f aca="false">J46</f>
        <v>138190.983491535</v>
      </c>
      <c r="C47" s="121" t="n">
        <f aca="false">K46</f>
        <v>122851.281125127</v>
      </c>
      <c r="D47" s="136" t="n">
        <f aca="false">L46</f>
        <v>3</v>
      </c>
      <c r="E47" s="121" t="n">
        <f aca="false">B47*($B$6-$B$7)</f>
        <v>5527.63933966139</v>
      </c>
      <c r="F47" s="121" t="n">
        <f aca="false">B47+E47</f>
        <v>143718.622831196</v>
      </c>
      <c r="G47" s="136" t="str">
        <f aca="false">IF(AND($B$9="Fund or ETF",D47+1&gt;=$B$17),"Yes","No")</f>
        <v>No</v>
      </c>
      <c r="H47" s="121" t="n">
        <f aca="false">IF(G47="Yes",MAX(0,F47-C47),0)</f>
        <v>0</v>
      </c>
      <c r="I47" s="121" t="n">
        <f aca="false">H47*$B$16</f>
        <v>0</v>
      </c>
      <c r="J47" s="121" t="n">
        <f aca="false">F47-I47</f>
        <v>143718.622831196</v>
      </c>
      <c r="K47" s="121" t="n">
        <f aca="false">IF(G47="Yes",J47,C47)</f>
        <v>122851.281125127</v>
      </c>
      <c r="L47" s="136" t="n">
        <f aca="false">IF(G47="Yes",0,D47+1)</f>
        <v>4</v>
      </c>
      <c r="M47" s="121" t="n">
        <f aca="false">M46+I47</f>
        <v>14005.6239154004</v>
      </c>
    </row>
    <row r="48" customFormat="false" ht="15" hidden="false" customHeight="false" outlineLevel="0" collapsed="false">
      <c r="A48" s="136" t="n">
        <v>13</v>
      </c>
      <c r="B48" s="121" t="n">
        <f aca="false">J47</f>
        <v>143718.622831196</v>
      </c>
      <c r="C48" s="121" t="n">
        <f aca="false">K47</f>
        <v>122851.281125127</v>
      </c>
      <c r="D48" s="136" t="n">
        <f aca="false">L47</f>
        <v>4</v>
      </c>
      <c r="E48" s="121" t="n">
        <f aca="false">B48*($B$6-$B$7)</f>
        <v>5748.74491324785</v>
      </c>
      <c r="F48" s="121" t="n">
        <f aca="false">B48+E48</f>
        <v>149467.367744444</v>
      </c>
      <c r="G48" s="136" t="str">
        <f aca="false">IF(AND($B$9="Fund or ETF",D48+1&gt;=$B$17),"Yes","No")</f>
        <v>No</v>
      </c>
      <c r="H48" s="121" t="n">
        <f aca="false">IF(G48="Yes",MAX(0,F48-C48),0)</f>
        <v>0</v>
      </c>
      <c r="I48" s="121" t="n">
        <f aca="false">H48*$B$16</f>
        <v>0</v>
      </c>
      <c r="J48" s="121" t="n">
        <f aca="false">F48-I48</f>
        <v>149467.367744444</v>
      </c>
      <c r="K48" s="121" t="n">
        <f aca="false">IF(G48="Yes",J48,C48)</f>
        <v>122851.281125127</v>
      </c>
      <c r="L48" s="136" t="n">
        <f aca="false">IF(G48="Yes",0,D48+1)</f>
        <v>5</v>
      </c>
      <c r="M48" s="121" t="n">
        <f aca="false">M47+I48</f>
        <v>14005.6239154004</v>
      </c>
    </row>
    <row r="49" customFormat="false" ht="15" hidden="false" customHeight="false" outlineLevel="0" collapsed="false">
      <c r="A49" s="136" t="n">
        <v>14</v>
      </c>
      <c r="B49" s="121" t="n">
        <f aca="false">J48</f>
        <v>149467.367744444</v>
      </c>
      <c r="C49" s="121" t="n">
        <f aca="false">K48</f>
        <v>122851.281125127</v>
      </c>
      <c r="D49" s="136" t="n">
        <f aca="false">L48</f>
        <v>5</v>
      </c>
      <c r="E49" s="121" t="n">
        <f aca="false">B49*($B$6-$B$7)</f>
        <v>5978.69470977776</v>
      </c>
      <c r="F49" s="121" t="n">
        <f aca="false">B49+E49</f>
        <v>155446.062454222</v>
      </c>
      <c r="G49" s="136" t="str">
        <f aca="false">IF(AND($B$9="Fund or ETF",D49+1&gt;=$B$17),"Yes","No")</f>
        <v>No</v>
      </c>
      <c r="H49" s="121" t="n">
        <f aca="false">IF(G49="Yes",MAX(0,F49-C49),0)</f>
        <v>0</v>
      </c>
      <c r="I49" s="121" t="n">
        <f aca="false">H49*$B$16</f>
        <v>0</v>
      </c>
      <c r="J49" s="121" t="n">
        <f aca="false">F49-I49</f>
        <v>155446.062454222</v>
      </c>
      <c r="K49" s="121" t="n">
        <f aca="false">IF(G49="Yes",J49,C49)</f>
        <v>122851.281125127</v>
      </c>
      <c r="L49" s="136" t="n">
        <f aca="false">IF(G49="Yes",0,D49+1)</f>
        <v>6</v>
      </c>
      <c r="M49" s="121" t="n">
        <f aca="false">M48+I49</f>
        <v>14005.6239154004</v>
      </c>
    </row>
    <row r="50" customFormat="false" ht="15" hidden="false" customHeight="false" outlineLevel="0" collapsed="false">
      <c r="A50" s="136" t="n">
        <v>15</v>
      </c>
      <c r="B50" s="121" t="n">
        <f aca="false">J49</f>
        <v>155446.062454222</v>
      </c>
      <c r="C50" s="121" t="n">
        <f aca="false">K49</f>
        <v>122851.281125127</v>
      </c>
      <c r="D50" s="136" t="n">
        <f aca="false">L49</f>
        <v>6</v>
      </c>
      <c r="E50" s="121" t="n">
        <f aca="false">B50*($B$6-$B$7)</f>
        <v>6217.84249816887</v>
      </c>
      <c r="F50" s="121" t="n">
        <f aca="false">B50+E50</f>
        <v>161663.904952391</v>
      </c>
      <c r="G50" s="136" t="str">
        <f aca="false">IF(AND($B$9="Fund or ETF",D50+1&gt;=$B$17),"Yes","No")</f>
        <v>No</v>
      </c>
      <c r="H50" s="121" t="n">
        <f aca="false">IF(G50="Yes",MAX(0,F50-C50),0)</f>
        <v>0</v>
      </c>
      <c r="I50" s="121" t="n">
        <f aca="false">H50*$B$16</f>
        <v>0</v>
      </c>
      <c r="J50" s="121" t="n">
        <f aca="false">F50-I50</f>
        <v>161663.904952391</v>
      </c>
      <c r="K50" s="121" t="n">
        <f aca="false">IF(G50="Yes",J50,C50)</f>
        <v>122851.281125127</v>
      </c>
      <c r="L50" s="136" t="n">
        <f aca="false">IF(G50="Yes",0,D50+1)</f>
        <v>7</v>
      </c>
      <c r="M50" s="121" t="n">
        <f aca="false">M49+I50</f>
        <v>14005.6239154004</v>
      </c>
    </row>
    <row r="51" customFormat="false" ht="15" hidden="false" customHeight="false" outlineLevel="0" collapsed="false">
      <c r="A51" s="136" t="n">
        <v>16</v>
      </c>
      <c r="B51" s="121" t="n">
        <f aca="false">J50</f>
        <v>161663.904952391</v>
      </c>
      <c r="C51" s="121" t="n">
        <f aca="false">K50</f>
        <v>122851.281125127</v>
      </c>
      <c r="D51" s="136" t="n">
        <f aca="false">L50</f>
        <v>7</v>
      </c>
      <c r="E51" s="121" t="n">
        <f aca="false">B51*($B$6-$B$7)</f>
        <v>6466.55619809563</v>
      </c>
      <c r="F51" s="121" t="n">
        <f aca="false">B51+E51</f>
        <v>168130.461150486</v>
      </c>
      <c r="G51" s="136" t="str">
        <f aca="false">IF(AND($B$9="Fund or ETF",D51+1&gt;=$B$17),"Yes","No")</f>
        <v>Yes</v>
      </c>
      <c r="H51" s="121" t="n">
        <f aca="false">IF(G51="Yes",MAX(0,F51-C51),0)</f>
        <v>45279.1800253594</v>
      </c>
      <c r="I51" s="121" t="n">
        <f aca="false">H51*$B$16</f>
        <v>17206.0884096366</v>
      </c>
      <c r="J51" s="121" t="n">
        <f aca="false">F51-I51</f>
        <v>150924.37274085</v>
      </c>
      <c r="K51" s="121" t="n">
        <f aca="false">IF(G51="Yes",J51,C51)</f>
        <v>150924.37274085</v>
      </c>
      <c r="L51" s="136" t="n">
        <f aca="false">IF(G51="Yes",0,D51+1)</f>
        <v>0</v>
      </c>
      <c r="M51" s="121" t="n">
        <f aca="false">M50+I51</f>
        <v>31211.712325037</v>
      </c>
    </row>
    <row r="52" customFormat="false" ht="15" hidden="false" customHeight="false" outlineLevel="0" collapsed="false">
      <c r="A52" s="136" t="n">
        <v>17</v>
      </c>
      <c r="B52" s="121" t="n">
        <f aca="false">J51</f>
        <v>150924.37274085</v>
      </c>
      <c r="C52" s="121" t="n">
        <f aca="false">K51</f>
        <v>150924.37274085</v>
      </c>
      <c r="D52" s="136" t="n">
        <f aca="false">L51</f>
        <v>0</v>
      </c>
      <c r="E52" s="121" t="n">
        <f aca="false">B52*($B$6-$B$7)</f>
        <v>6036.97490963399</v>
      </c>
      <c r="F52" s="121" t="n">
        <f aca="false">B52+E52</f>
        <v>156961.347650484</v>
      </c>
      <c r="G52" s="136" t="str">
        <f aca="false">IF(AND($B$9="Fund or ETF",D52+1&gt;=$B$17),"Yes","No")</f>
        <v>No</v>
      </c>
      <c r="H52" s="121" t="n">
        <f aca="false">IF(G52="Yes",MAX(0,F52-C52),0)</f>
        <v>0</v>
      </c>
      <c r="I52" s="121" t="n">
        <f aca="false">H52*$B$16</f>
        <v>0</v>
      </c>
      <c r="J52" s="121" t="n">
        <f aca="false">F52-I52</f>
        <v>156961.347650484</v>
      </c>
      <c r="K52" s="121" t="n">
        <f aca="false">IF(G52="Yes",J52,C52)</f>
        <v>150924.37274085</v>
      </c>
      <c r="L52" s="136" t="n">
        <f aca="false">IF(G52="Yes",0,D52+1)</f>
        <v>1</v>
      </c>
      <c r="M52" s="121" t="n">
        <f aca="false">M51+I52</f>
        <v>31211.712325037</v>
      </c>
    </row>
    <row r="53" customFormat="false" ht="15" hidden="false" customHeight="false" outlineLevel="0" collapsed="false">
      <c r="A53" s="136" t="n">
        <v>18</v>
      </c>
      <c r="B53" s="121" t="n">
        <f aca="false">J52</f>
        <v>156961.347650484</v>
      </c>
      <c r="C53" s="121" t="n">
        <f aca="false">K52</f>
        <v>150924.37274085</v>
      </c>
      <c r="D53" s="136" t="n">
        <f aca="false">L52</f>
        <v>1</v>
      </c>
      <c r="E53" s="121" t="n">
        <f aca="false">B53*($B$6-$B$7)</f>
        <v>6278.45390601935</v>
      </c>
      <c r="F53" s="121" t="n">
        <f aca="false">B53+E53</f>
        <v>163239.801556503</v>
      </c>
      <c r="G53" s="136" t="str">
        <f aca="false">IF(AND($B$9="Fund or ETF",D53+1&gt;=$B$17),"Yes","No")</f>
        <v>No</v>
      </c>
      <c r="H53" s="121" t="n">
        <f aca="false">IF(G53="Yes",MAX(0,F53-C53),0)</f>
        <v>0</v>
      </c>
      <c r="I53" s="121" t="n">
        <f aca="false">H53*$B$16</f>
        <v>0</v>
      </c>
      <c r="J53" s="121" t="n">
        <f aca="false">F53-I53</f>
        <v>163239.801556503</v>
      </c>
      <c r="K53" s="121" t="n">
        <f aca="false">IF(G53="Yes",J53,C53)</f>
        <v>150924.37274085</v>
      </c>
      <c r="L53" s="136" t="n">
        <f aca="false">IF(G53="Yes",0,D53+1)</f>
        <v>2</v>
      </c>
      <c r="M53" s="121" t="n">
        <f aca="false">M52+I53</f>
        <v>31211.712325037</v>
      </c>
    </row>
    <row r="54" customFormat="false" ht="15" hidden="false" customHeight="false" outlineLevel="0" collapsed="false">
      <c r="A54" s="136" t="n">
        <v>19</v>
      </c>
      <c r="B54" s="121" t="n">
        <f aca="false">J53</f>
        <v>163239.801556503</v>
      </c>
      <c r="C54" s="121" t="n">
        <f aca="false">K53</f>
        <v>150924.37274085</v>
      </c>
      <c r="D54" s="136" t="n">
        <f aca="false">L53</f>
        <v>2</v>
      </c>
      <c r="E54" s="121" t="n">
        <f aca="false">B54*($B$6-$B$7)</f>
        <v>6529.59206226013</v>
      </c>
      <c r="F54" s="121" t="n">
        <f aca="false">B54+E54</f>
        <v>169769.393618763</v>
      </c>
      <c r="G54" s="136" t="str">
        <f aca="false">IF(AND($B$9="Fund or ETF",D54+1&gt;=$B$17),"Yes","No")</f>
        <v>No</v>
      </c>
      <c r="H54" s="121" t="n">
        <f aca="false">IF(G54="Yes",MAX(0,F54-C54),0)</f>
        <v>0</v>
      </c>
      <c r="I54" s="121" t="n">
        <f aca="false">H54*$B$16</f>
        <v>0</v>
      </c>
      <c r="J54" s="121" t="n">
        <f aca="false">F54-I54</f>
        <v>169769.393618763</v>
      </c>
      <c r="K54" s="121" t="n">
        <f aca="false">IF(G54="Yes",J54,C54)</f>
        <v>150924.37274085</v>
      </c>
      <c r="L54" s="136" t="n">
        <f aca="false">IF(G54="Yes",0,D54+1)</f>
        <v>3</v>
      </c>
      <c r="M54" s="121" t="n">
        <f aca="false">M53+I54</f>
        <v>31211.712325037</v>
      </c>
    </row>
    <row r="55" customFormat="false" ht="15" hidden="false" customHeight="false" outlineLevel="0" collapsed="false">
      <c r="A55" s="136" t="n">
        <v>20</v>
      </c>
      <c r="B55" s="121" t="n">
        <f aca="false">J54</f>
        <v>169769.393618763</v>
      </c>
      <c r="C55" s="121" t="n">
        <f aca="false">K54</f>
        <v>150924.37274085</v>
      </c>
      <c r="D55" s="136" t="n">
        <f aca="false">L54</f>
        <v>3</v>
      </c>
      <c r="E55" s="121" t="n">
        <f aca="false">B55*($B$6-$B$7)</f>
        <v>6790.77574475053</v>
      </c>
      <c r="F55" s="121" t="n">
        <f aca="false">B55+E55</f>
        <v>176560.169363514</v>
      </c>
      <c r="G55" s="136" t="str">
        <f aca="false">IF(AND($B$9="Fund or ETF",D55+1&gt;=$B$17),"Yes","No")</f>
        <v>No</v>
      </c>
      <c r="H55" s="121" t="n">
        <f aca="false">IF(G55="Yes",MAX(0,F55-C55),0)</f>
        <v>0</v>
      </c>
      <c r="I55" s="121" t="n">
        <f aca="false">H55*$B$16</f>
        <v>0</v>
      </c>
      <c r="J55" s="121" t="n">
        <f aca="false">F55-I55</f>
        <v>176560.169363514</v>
      </c>
      <c r="K55" s="121" t="n">
        <f aca="false">IF(G55="Yes",J55,C55)</f>
        <v>150924.37274085</v>
      </c>
      <c r="L55" s="136" t="n">
        <f aca="false">IF(G55="Yes",0,D55+1)</f>
        <v>4</v>
      </c>
      <c r="M55" s="121" t="n">
        <f aca="false">M54+I55</f>
        <v>31211.712325037</v>
      </c>
    </row>
    <row r="56" customFormat="false" ht="15" hidden="false" customHeight="false" outlineLevel="0" collapsed="false">
      <c r="A56" s="136" t="n">
        <v>21</v>
      </c>
      <c r="B56" s="121" t="n">
        <f aca="false">J55</f>
        <v>176560.169363514</v>
      </c>
      <c r="C56" s="121" t="n">
        <f aca="false">K55</f>
        <v>150924.37274085</v>
      </c>
      <c r="D56" s="136" t="n">
        <f aca="false">L55</f>
        <v>4</v>
      </c>
      <c r="E56" s="121" t="n">
        <f aca="false">B56*($B$6-$B$7)</f>
        <v>7062.40677454055</v>
      </c>
      <c r="F56" s="121" t="n">
        <f aca="false">B56+E56</f>
        <v>183622.576138054</v>
      </c>
      <c r="G56" s="136" t="str">
        <f aca="false">IF(AND($B$9="Fund or ETF",D56+1&gt;=$B$17),"Yes","No")</f>
        <v>No</v>
      </c>
      <c r="H56" s="121" t="n">
        <f aca="false">IF(G56="Yes",MAX(0,F56-C56),0)</f>
        <v>0</v>
      </c>
      <c r="I56" s="121" t="n">
        <f aca="false">H56*$B$16</f>
        <v>0</v>
      </c>
      <c r="J56" s="121" t="n">
        <f aca="false">F56-I56</f>
        <v>183622.576138054</v>
      </c>
      <c r="K56" s="121" t="n">
        <f aca="false">IF(G56="Yes",J56,C56)</f>
        <v>150924.37274085</v>
      </c>
      <c r="L56" s="136" t="n">
        <f aca="false">IF(G56="Yes",0,D56+1)</f>
        <v>5</v>
      </c>
      <c r="M56" s="121" t="n">
        <f aca="false">M55+I56</f>
        <v>31211.712325037</v>
      </c>
    </row>
    <row r="57" customFormat="false" ht="15" hidden="false" customHeight="false" outlineLevel="0" collapsed="false">
      <c r="A57" s="136" t="n">
        <v>22</v>
      </c>
      <c r="B57" s="121" t="n">
        <f aca="false">J56</f>
        <v>183622.576138054</v>
      </c>
      <c r="C57" s="121" t="n">
        <f aca="false">K56</f>
        <v>150924.37274085</v>
      </c>
      <c r="D57" s="136" t="n">
        <f aca="false">L56</f>
        <v>5</v>
      </c>
      <c r="E57" s="121" t="n">
        <f aca="false">B57*($B$6-$B$7)</f>
        <v>7344.90304552217</v>
      </c>
      <c r="F57" s="121" t="n">
        <f aca="false">B57+E57</f>
        <v>190967.479183577</v>
      </c>
      <c r="G57" s="136" t="str">
        <f aca="false">IF(AND($B$9="Fund or ETF",D57+1&gt;=$B$17),"Yes","No")</f>
        <v>No</v>
      </c>
      <c r="H57" s="121" t="n">
        <f aca="false">IF(G57="Yes",MAX(0,F57-C57),0)</f>
        <v>0</v>
      </c>
      <c r="I57" s="121" t="n">
        <f aca="false">H57*$B$16</f>
        <v>0</v>
      </c>
      <c r="J57" s="121" t="n">
        <f aca="false">F57-I57</f>
        <v>190967.479183577</v>
      </c>
      <c r="K57" s="121" t="n">
        <f aca="false">IF(G57="Yes",J57,C57)</f>
        <v>150924.37274085</v>
      </c>
      <c r="L57" s="136" t="n">
        <f aca="false">IF(G57="Yes",0,D57+1)</f>
        <v>6</v>
      </c>
      <c r="M57" s="121" t="n">
        <f aca="false">M56+I57</f>
        <v>31211.712325037</v>
      </c>
    </row>
    <row r="58" customFormat="false" ht="15" hidden="false" customHeight="false" outlineLevel="0" collapsed="false">
      <c r="A58" s="136" t="n">
        <v>23</v>
      </c>
      <c r="B58" s="121" t="n">
        <f aca="false">J57</f>
        <v>190967.479183577</v>
      </c>
      <c r="C58" s="121" t="n">
        <f aca="false">K57</f>
        <v>150924.37274085</v>
      </c>
      <c r="D58" s="136" t="n">
        <f aca="false">L57</f>
        <v>6</v>
      </c>
      <c r="E58" s="121" t="n">
        <f aca="false">B58*($B$6-$B$7)</f>
        <v>7638.69916734306</v>
      </c>
      <c r="F58" s="121" t="n">
        <f aca="false">B58+E58</f>
        <v>198606.17835092</v>
      </c>
      <c r="G58" s="136" t="str">
        <f aca="false">IF(AND($B$9="Fund or ETF",D58+1&gt;=$B$17),"Yes","No")</f>
        <v>No</v>
      </c>
      <c r="H58" s="121" t="n">
        <f aca="false">IF(G58="Yes",MAX(0,F58-C58),0)</f>
        <v>0</v>
      </c>
      <c r="I58" s="121" t="n">
        <f aca="false">H58*$B$16</f>
        <v>0</v>
      </c>
      <c r="J58" s="121" t="n">
        <f aca="false">F58-I58</f>
        <v>198606.17835092</v>
      </c>
      <c r="K58" s="121" t="n">
        <f aca="false">IF(G58="Yes",J58,C58)</f>
        <v>150924.37274085</v>
      </c>
      <c r="L58" s="136" t="n">
        <f aca="false">IF(G58="Yes",0,D58+1)</f>
        <v>7</v>
      </c>
      <c r="M58" s="121" t="n">
        <f aca="false">M57+I58</f>
        <v>31211.712325037</v>
      </c>
    </row>
    <row r="59" customFormat="false" ht="15" hidden="false" customHeight="false" outlineLevel="0" collapsed="false">
      <c r="A59" s="136" t="n">
        <v>24</v>
      </c>
      <c r="B59" s="121" t="n">
        <f aca="false">J58</f>
        <v>198606.17835092</v>
      </c>
      <c r="C59" s="121" t="n">
        <f aca="false">K58</f>
        <v>150924.37274085</v>
      </c>
      <c r="D59" s="136" t="n">
        <f aca="false">L58</f>
        <v>7</v>
      </c>
      <c r="E59" s="121" t="n">
        <f aca="false">B59*($B$6-$B$7)</f>
        <v>7944.24713403678</v>
      </c>
      <c r="F59" s="121" t="n">
        <f aca="false">B59+E59</f>
        <v>206550.425484956</v>
      </c>
      <c r="G59" s="136" t="str">
        <f aca="false">IF(AND($B$9="Fund or ETF",D59+1&gt;=$B$17),"Yes","No")</f>
        <v>Yes</v>
      </c>
      <c r="H59" s="121" t="n">
        <f aca="false">IF(G59="Yes",MAX(0,F59-C59),0)</f>
        <v>55626.0527441066</v>
      </c>
      <c r="I59" s="121" t="n">
        <f aca="false">H59*$B$16</f>
        <v>21137.9000427605</v>
      </c>
      <c r="J59" s="121" t="n">
        <f aca="false">F59-I59</f>
        <v>185412.525442196</v>
      </c>
      <c r="K59" s="121" t="n">
        <f aca="false">IF(G59="Yes",J59,C59)</f>
        <v>185412.525442196</v>
      </c>
      <c r="L59" s="136" t="n">
        <f aca="false">IF(G59="Yes",0,D59+1)</f>
        <v>0</v>
      </c>
      <c r="M59" s="121" t="n">
        <f aca="false">M58+I59</f>
        <v>52349.6123677975</v>
      </c>
    </row>
    <row r="60" customFormat="false" ht="15" hidden="false" customHeight="false" outlineLevel="0" collapsed="false">
      <c r="A60" s="136" t="n">
        <v>25</v>
      </c>
      <c r="B60" s="121" t="n">
        <f aca="false">J59</f>
        <v>185412.525442196</v>
      </c>
      <c r="C60" s="121" t="n">
        <f aca="false">K59</f>
        <v>185412.525442196</v>
      </c>
      <c r="D60" s="136" t="n">
        <f aca="false">L59</f>
        <v>0</v>
      </c>
      <c r="E60" s="121" t="n">
        <f aca="false">B60*($B$6-$B$7)</f>
        <v>7416.50101768783</v>
      </c>
      <c r="F60" s="121" t="n">
        <f aca="false">B60+E60</f>
        <v>192829.026459884</v>
      </c>
      <c r="G60" s="136" t="str">
        <f aca="false">IF(AND($B$9="Fund or ETF",D60+1&gt;=$B$17),"Yes","No")</f>
        <v>No</v>
      </c>
      <c r="H60" s="121" t="n">
        <f aca="false">IF(G60="Yes",MAX(0,F60-C60),0)</f>
        <v>0</v>
      </c>
      <c r="I60" s="121" t="n">
        <f aca="false">H60*$B$16</f>
        <v>0</v>
      </c>
      <c r="J60" s="121" t="n">
        <f aca="false">F60-I60</f>
        <v>192829.026459884</v>
      </c>
      <c r="K60" s="121" t="n">
        <f aca="false">IF(G60="Yes",J60,C60)</f>
        <v>185412.525442196</v>
      </c>
      <c r="L60" s="136" t="n">
        <f aca="false">IF(G60="Yes",0,D60+1)</f>
        <v>1</v>
      </c>
      <c r="M60" s="121" t="n">
        <f aca="false">M59+I60</f>
        <v>52349.6123677975</v>
      </c>
    </row>
    <row r="61" customFormat="false" ht="15" hidden="false" customHeight="false" outlineLevel="0" collapsed="false">
      <c r="A61" s="136" t="n">
        <v>26</v>
      </c>
      <c r="B61" s="121" t="n">
        <f aca="false">J60</f>
        <v>192829.026459884</v>
      </c>
      <c r="C61" s="121" t="n">
        <f aca="false">K60</f>
        <v>185412.525442196</v>
      </c>
      <c r="D61" s="136" t="n">
        <f aca="false">L60</f>
        <v>1</v>
      </c>
      <c r="E61" s="121" t="n">
        <f aca="false">B61*($B$6-$B$7)</f>
        <v>7713.16105839535</v>
      </c>
      <c r="F61" s="121" t="n">
        <f aca="false">B61+E61</f>
        <v>200542.187518279</v>
      </c>
      <c r="G61" s="136" t="str">
        <f aca="false">IF(AND($B$9="Fund or ETF",D61+1&gt;=$B$17),"Yes","No")</f>
        <v>No</v>
      </c>
      <c r="H61" s="121" t="n">
        <f aca="false">IF(G61="Yes",MAX(0,F61-C61),0)</f>
        <v>0</v>
      </c>
      <c r="I61" s="121" t="n">
        <f aca="false">H61*$B$16</f>
        <v>0</v>
      </c>
      <c r="J61" s="121" t="n">
        <f aca="false">F61-I61</f>
        <v>200542.187518279</v>
      </c>
      <c r="K61" s="121" t="n">
        <f aca="false">IF(G61="Yes",J61,C61)</f>
        <v>185412.525442196</v>
      </c>
      <c r="L61" s="136" t="n">
        <f aca="false">IF(G61="Yes",0,D61+1)</f>
        <v>2</v>
      </c>
      <c r="M61" s="121" t="n">
        <f aca="false">M60+I61</f>
        <v>52349.6123677975</v>
      </c>
    </row>
    <row r="62" customFormat="false" ht="15" hidden="false" customHeight="false" outlineLevel="0" collapsed="false">
      <c r="A62" s="136" t="n">
        <v>27</v>
      </c>
      <c r="B62" s="121" t="n">
        <f aca="false">J61</f>
        <v>200542.187518279</v>
      </c>
      <c r="C62" s="121" t="n">
        <f aca="false">K61</f>
        <v>185412.525442196</v>
      </c>
      <c r="D62" s="136" t="n">
        <f aca="false">L61</f>
        <v>2</v>
      </c>
      <c r="E62" s="121" t="n">
        <f aca="false">B62*($B$6-$B$7)</f>
        <v>8021.68750073116</v>
      </c>
      <c r="F62" s="121" t="n">
        <f aca="false">B62+E62</f>
        <v>208563.87501901</v>
      </c>
      <c r="G62" s="136" t="str">
        <f aca="false">IF(AND($B$9="Fund or ETF",D62+1&gt;=$B$17),"Yes","No")</f>
        <v>No</v>
      </c>
      <c r="H62" s="121" t="n">
        <f aca="false">IF(G62="Yes",MAX(0,F62-C62),0)</f>
        <v>0</v>
      </c>
      <c r="I62" s="121" t="n">
        <f aca="false">H62*$B$16</f>
        <v>0</v>
      </c>
      <c r="J62" s="121" t="n">
        <f aca="false">F62-I62</f>
        <v>208563.87501901</v>
      </c>
      <c r="K62" s="121" t="n">
        <f aca="false">IF(G62="Yes",J62,C62)</f>
        <v>185412.525442196</v>
      </c>
      <c r="L62" s="136" t="n">
        <f aca="false">IF(G62="Yes",0,D62+1)</f>
        <v>3</v>
      </c>
      <c r="M62" s="121" t="n">
        <f aca="false">M61+I62</f>
        <v>52349.6123677975</v>
      </c>
    </row>
    <row r="63" customFormat="false" ht="15" hidden="false" customHeight="false" outlineLevel="0" collapsed="false">
      <c r="A63" s="136" t="n">
        <v>28</v>
      </c>
      <c r="B63" s="121" t="n">
        <f aca="false">J62</f>
        <v>208563.87501901</v>
      </c>
      <c r="C63" s="121" t="n">
        <f aca="false">K62</f>
        <v>185412.525442196</v>
      </c>
      <c r="D63" s="136" t="n">
        <f aca="false">L62</f>
        <v>3</v>
      </c>
      <c r="E63" s="121" t="n">
        <f aca="false">B63*($B$6-$B$7)</f>
        <v>8342.55500076041</v>
      </c>
      <c r="F63" s="121" t="n">
        <f aca="false">B63+E63</f>
        <v>216906.430019771</v>
      </c>
      <c r="G63" s="136" t="str">
        <f aca="false">IF(AND($B$9="Fund or ETF",D63+1&gt;=$B$17),"Yes","No")</f>
        <v>No</v>
      </c>
      <c r="H63" s="121" t="n">
        <f aca="false">IF(G63="Yes",MAX(0,F63-C63),0)</f>
        <v>0</v>
      </c>
      <c r="I63" s="121" t="n">
        <f aca="false">H63*$B$16</f>
        <v>0</v>
      </c>
      <c r="J63" s="121" t="n">
        <f aca="false">F63-I63</f>
        <v>216906.430019771</v>
      </c>
      <c r="K63" s="121" t="n">
        <f aca="false">IF(G63="Yes",J63,C63)</f>
        <v>185412.525442196</v>
      </c>
      <c r="L63" s="136" t="n">
        <f aca="false">IF(G63="Yes",0,D63+1)</f>
        <v>4</v>
      </c>
      <c r="M63" s="121" t="n">
        <f aca="false">M62+I63</f>
        <v>52349.6123677975</v>
      </c>
    </row>
    <row r="64" customFormat="false" ht="15" hidden="false" customHeight="false" outlineLevel="0" collapsed="false">
      <c r="A64" s="136" t="n">
        <v>29</v>
      </c>
      <c r="B64" s="121" t="n">
        <f aca="false">J63</f>
        <v>216906.430019771</v>
      </c>
      <c r="C64" s="121" t="n">
        <f aca="false">K63</f>
        <v>185412.525442196</v>
      </c>
      <c r="D64" s="136" t="n">
        <f aca="false">L63</f>
        <v>4</v>
      </c>
      <c r="E64" s="121" t="n">
        <f aca="false">B64*($B$6-$B$7)</f>
        <v>8676.25720079083</v>
      </c>
      <c r="F64" s="121" t="n">
        <f aca="false">B64+E64</f>
        <v>225582.687220561</v>
      </c>
      <c r="G64" s="136" t="str">
        <f aca="false">IF(AND($B$9="Fund or ETF",D64+1&gt;=$B$17),"Yes","No")</f>
        <v>No</v>
      </c>
      <c r="H64" s="121" t="n">
        <f aca="false">IF(G64="Yes",MAX(0,F64-C64),0)</f>
        <v>0</v>
      </c>
      <c r="I64" s="121" t="n">
        <f aca="false">H64*$B$16</f>
        <v>0</v>
      </c>
      <c r="J64" s="121" t="n">
        <f aca="false">F64-I64</f>
        <v>225582.687220561</v>
      </c>
      <c r="K64" s="121" t="n">
        <f aca="false">IF(G64="Yes",J64,C64)</f>
        <v>185412.525442196</v>
      </c>
      <c r="L64" s="136" t="n">
        <f aca="false">IF(G64="Yes",0,D64+1)</f>
        <v>5</v>
      </c>
      <c r="M64" s="121" t="n">
        <f aca="false">M63+I64</f>
        <v>52349.6123677975</v>
      </c>
    </row>
    <row r="65" customFormat="false" ht="15" hidden="false" customHeight="false" outlineLevel="0" collapsed="false">
      <c r="A65" s="136" t="n">
        <v>30</v>
      </c>
      <c r="B65" s="121" t="n">
        <f aca="false">J64</f>
        <v>225582.687220561</v>
      </c>
      <c r="C65" s="121" t="n">
        <f aca="false">K64</f>
        <v>185412.525442196</v>
      </c>
      <c r="D65" s="136" t="n">
        <f aca="false">L64</f>
        <v>5</v>
      </c>
      <c r="E65" s="121" t="n">
        <f aca="false">B65*($B$6-$B$7)</f>
        <v>9023.30748882246</v>
      </c>
      <c r="F65" s="121" t="n">
        <f aca="false">B65+E65</f>
        <v>234605.994709384</v>
      </c>
      <c r="G65" s="136" t="str">
        <f aca="false">IF(AND($B$9="Fund or ETF",D65+1&gt;=$B$17),"Yes","No")</f>
        <v>No</v>
      </c>
      <c r="H65" s="121" t="n">
        <f aca="false">IF(G65="Yes",MAX(0,F65-C65),0)</f>
        <v>0</v>
      </c>
      <c r="I65" s="121" t="n">
        <f aca="false">H65*$B$16</f>
        <v>0</v>
      </c>
      <c r="J65" s="121" t="n">
        <f aca="false">F65-I65</f>
        <v>234605.994709384</v>
      </c>
      <c r="K65" s="121" t="n">
        <f aca="false">IF(G65="Yes",J65,C65)</f>
        <v>185412.525442196</v>
      </c>
      <c r="L65" s="136" t="n">
        <f aca="false">IF(G65="Yes",0,D65+1)</f>
        <v>6</v>
      </c>
      <c r="M65" s="121" t="n">
        <f aca="false">M64+I65</f>
        <v>52349.6123677975</v>
      </c>
    </row>
    <row r="67" customFormat="false" ht="33.75" hidden="false" customHeight="true" outlineLevel="0" collapsed="false">
      <c r="A67" s="2" t="s">
        <v>3897</v>
      </c>
      <c r="B67" s="2"/>
      <c r="C67" s="2"/>
      <c r="D67" s="2"/>
      <c r="E67" s="2"/>
      <c r="F67" s="2"/>
      <c r="G67" s="2"/>
      <c r="H67" s="2"/>
      <c r="I67" s="2"/>
      <c r="J67" s="2"/>
      <c r="K67" s="2"/>
      <c r="L67" s="2"/>
      <c r="M67" s="2"/>
    </row>
    <row r="68" customFormat="false" ht="33.75" hidden="false" customHeight="true" outlineLevel="0" collapsed="false">
      <c r="A68" s="2" t="s">
        <v>3898</v>
      </c>
      <c r="B68" s="2"/>
      <c r="C68" s="2"/>
      <c r="D68" s="2"/>
      <c r="E68" s="2"/>
      <c r="F68" s="2"/>
      <c r="G68" s="2"/>
      <c r="H68" s="2"/>
      <c r="I68" s="2"/>
      <c r="J68" s="2"/>
      <c r="K68" s="2"/>
      <c r="L68" s="2"/>
      <c r="M68" s="2"/>
    </row>
    <row r="69" customFormat="false" ht="33.75" hidden="false" customHeight="true" outlineLevel="0" collapsed="false">
      <c r="A69" s="2" t="s">
        <v>3899</v>
      </c>
      <c r="B69" s="2"/>
      <c r="C69" s="2"/>
      <c r="D69" s="2"/>
      <c r="E69" s="2"/>
      <c r="F69" s="2"/>
      <c r="G69" s="2"/>
      <c r="H69" s="2"/>
      <c r="I69" s="2"/>
      <c r="J69" s="2"/>
      <c r="K69" s="2"/>
      <c r="L69" s="2"/>
      <c r="M69" s="2"/>
    </row>
    <row r="70" customFormat="false" ht="33.75" hidden="false" customHeight="true" outlineLevel="0" collapsed="false">
      <c r="A70" s="2" t="s">
        <v>3900</v>
      </c>
      <c r="B70" s="2"/>
      <c r="C70" s="2"/>
      <c r="D70" s="2"/>
      <c r="E70" s="2"/>
      <c r="F70" s="2"/>
      <c r="G70" s="2"/>
      <c r="H70" s="2"/>
      <c r="I70" s="2"/>
      <c r="J70" s="2"/>
      <c r="K70" s="2"/>
      <c r="L70" s="2"/>
      <c r="M70" s="2"/>
    </row>
  </sheetData>
  <mergeCells count="5">
    <mergeCell ref="A2:C2"/>
    <mergeCell ref="A67:M67"/>
    <mergeCell ref="A68:M68"/>
    <mergeCell ref="A69:M69"/>
    <mergeCell ref="A70:M70"/>
  </mergeCells>
  <dataValidations count="4">
    <dataValidation allowBlank="false" errorStyle="stop" operator="between" showDropDown="false" showErrorMessage="false" showInputMessage="false" sqref="E2" type="list">
      <formula1>"Sample example,My own numbers"</formula1>
      <formula2>0</formula2>
    </dataValidation>
    <dataValidation allowBlank="false" errorStyle="stop" operator="between" showDropDown="false" showErrorMessage="false" showInputMessage="false" sqref="D9:E9" type="list">
      <formula1>"Fund or ETF,Shares held directly"</formula1>
      <formula2>0</formula2>
    </dataValidation>
    <dataValidation allowBlank="false" errorStyle="stop" operator="between" showDropDown="false" showErrorMessage="false" showInputMessage="false" sqref="D10:E10" type="whole">
      <formula1>1</formula1>
      <formula2>30</formula2>
    </dataValidation>
    <dataValidation allowBlank="false" errorStyle="stop" operator="between" showDropDown="false" showErrorMessage="false" showInputMessage="false" sqref="D12:E12" type="whole">
      <formula1>1</formula1>
      <formula2>2</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2B134"/>
    <pageSetUpPr fitToPage="false"/>
  </sheetPr>
  <dimension ref="A1:E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56"/>
    <col collapsed="false" customWidth="true" hidden="false" outlineLevel="0" max="2" min="2" style="0" width="30"/>
    <col collapsed="false" customWidth="true" hidden="false" outlineLevel="0" max="3" min="3" style="0" width="60"/>
    <col collapsed="false" customWidth="true" hidden="false" outlineLevel="0" max="5" min="4" style="0" width="30"/>
  </cols>
  <sheetData>
    <row r="1" customFormat="false" ht="19.7" hidden="false" customHeight="false" outlineLevel="0" collapsed="false">
      <c r="A1" s="1" t="s">
        <v>3901</v>
      </c>
    </row>
    <row r="2" customFormat="false" ht="61.5" hidden="false" customHeight="true" outlineLevel="0" collapsed="false">
      <c r="A2" s="2" t="s">
        <v>3902</v>
      </c>
      <c r="B2" s="2"/>
      <c r="C2" s="2"/>
      <c r="D2" s="3" t="s">
        <v>3829</v>
      </c>
      <c r="E2" s="4" t="s">
        <v>3830</v>
      </c>
    </row>
    <row r="4" customFormat="false" ht="15" hidden="false" customHeight="false" outlineLevel="0" collapsed="false">
      <c r="A4" s="5" t="s">
        <v>3903</v>
      </c>
      <c r="B4" s="5" t="s">
        <v>3832</v>
      </c>
      <c r="C4" s="5" t="s">
        <v>372</v>
      </c>
      <c r="D4" s="5" t="s">
        <v>3830</v>
      </c>
      <c r="E4" s="5" t="s">
        <v>3833</v>
      </c>
    </row>
    <row r="5" customFormat="false" ht="15" hidden="false" customHeight="false" outlineLevel="0" collapsed="false">
      <c r="A5" s="9" t="s">
        <v>3904</v>
      </c>
      <c r="B5" s="129" t="str">
        <f aca="false">IF($E$2="Sample example",D5,E5)</f>
        <v>Other property or land</v>
      </c>
      <c r="C5" s="6" t="s">
        <v>3905</v>
      </c>
      <c r="D5" s="130" t="s">
        <v>3906</v>
      </c>
      <c r="E5" s="131" t="s">
        <v>3906</v>
      </c>
    </row>
    <row r="6" customFormat="false" ht="15" hidden="false" customHeight="false" outlineLevel="0" collapsed="false">
      <c r="A6" s="9" t="s">
        <v>3907</v>
      </c>
      <c r="B6" s="120" t="n">
        <f aca="false">IF($E$2="Sample example",D6,E6)</f>
        <v>400000</v>
      </c>
      <c r="C6" s="6" t="s">
        <v>3908</v>
      </c>
      <c r="D6" s="121" t="n">
        <v>400000</v>
      </c>
      <c r="E6" s="122" t="n">
        <v>400000</v>
      </c>
    </row>
    <row r="7" customFormat="false" ht="15" hidden="false" customHeight="false" outlineLevel="0" collapsed="false">
      <c r="A7" s="9" t="s">
        <v>3909</v>
      </c>
      <c r="B7" s="120" t="n">
        <f aca="false">IF($E$2="Sample example",D7,E7)</f>
        <v>250000</v>
      </c>
      <c r="C7" s="6" t="s">
        <v>3910</v>
      </c>
      <c r="D7" s="121" t="n">
        <v>250000</v>
      </c>
      <c r="E7" s="122" t="n">
        <v>250000</v>
      </c>
    </row>
    <row r="8" customFormat="false" ht="28.35" hidden="false" customHeight="false" outlineLevel="0" collapsed="false">
      <c r="A8" s="9" t="s">
        <v>3911</v>
      </c>
      <c r="B8" s="120" t="n">
        <f aca="false">IF($E$2="Sample example",D8,E8)</f>
        <v>15000</v>
      </c>
      <c r="C8" s="6" t="s">
        <v>3912</v>
      </c>
      <c r="D8" s="121" t="n">
        <v>15000</v>
      </c>
      <c r="E8" s="122" t="n">
        <v>15000</v>
      </c>
    </row>
    <row r="9" customFormat="false" ht="15" hidden="false" customHeight="false" outlineLevel="0" collapsed="false">
      <c r="A9" s="9" t="s">
        <v>3913</v>
      </c>
      <c r="B9" s="120" t="n">
        <f aca="false">IF($E$2="Sample example",D9,E9)</f>
        <v>0</v>
      </c>
      <c r="C9" s="6" t="s">
        <v>3914</v>
      </c>
      <c r="D9" s="121" t="n">
        <v>0</v>
      </c>
      <c r="E9" s="122" t="n">
        <v>0</v>
      </c>
    </row>
    <row r="10" customFormat="false" ht="15" hidden="false" customHeight="false" outlineLevel="0" collapsed="false">
      <c r="A10" s="9" t="s">
        <v>3915</v>
      </c>
      <c r="B10" s="126" t="n">
        <f aca="false">IF($E$2="Sample example",D10,E10)</f>
        <v>1</v>
      </c>
      <c r="C10" s="6" t="s">
        <v>3916</v>
      </c>
      <c r="D10" s="127" t="n">
        <v>1</v>
      </c>
      <c r="E10" s="128" t="n">
        <v>1</v>
      </c>
    </row>
    <row r="11" customFormat="false" ht="28.35" hidden="false" customHeight="false" outlineLevel="0" collapsed="false">
      <c r="A11" s="9" t="s">
        <v>3917</v>
      </c>
      <c r="B11" s="132" t="n">
        <f aca="false">IF($E$2="Sample example",D11,E11)</f>
        <v>46357</v>
      </c>
      <c r="C11" s="6" t="s">
        <v>3918</v>
      </c>
      <c r="D11" s="133" t="n">
        <v>46357</v>
      </c>
      <c r="E11" s="134" t="n">
        <v>46357</v>
      </c>
    </row>
    <row r="12" customFormat="false" ht="15" hidden="false" customHeight="false" outlineLevel="0" collapsed="false">
      <c r="A12" s="9" t="s">
        <v>3919</v>
      </c>
      <c r="B12" s="120" t="n">
        <f aca="false">B6-B7-B8</f>
        <v>135000</v>
      </c>
      <c r="C12" s="6" t="s">
        <v>477</v>
      </c>
    </row>
    <row r="13" customFormat="false" ht="28.35" hidden="false" customHeight="false" outlineLevel="0" collapsed="false">
      <c r="A13" s="9" t="s">
        <v>3920</v>
      </c>
      <c r="B13" s="123" t="n">
        <f aca="false">IF(B5="Main home (principal private residence)",0,IF(B5="Fund or ETF (exit tax)",VLOOKUP("sav.exit",Tax!$A$55:$D$156,4,FALSE()),IF(B5="Development land",0.33,IF(B11&gt;=DATE(2026,10,7),VLOOKUP("sav.cgt",Tax!$A$55:$D$156,4,FALSE()),VLOOKUP("sav.cgtBefore",Tax!$A$55:$D$156,4,FALSE())))))</f>
        <v>0.31</v>
      </c>
      <c r="C13" s="6" t="s">
        <v>3921</v>
      </c>
    </row>
    <row r="14" customFormat="false" ht="15" hidden="false" customHeight="false" outlineLevel="0" collapsed="false">
      <c r="A14" s="9" t="s">
        <v>3922</v>
      </c>
      <c r="B14" s="120" t="n">
        <f aca="false">IF(OR(B5="Main home (principal private residence)",B5="Fund or ETF (exit tax)"),0,VLOOKUP("sav.cgtExempt",Tax!$A$55:$D$156,4,FALSE())*B10)</f>
        <v>1270</v>
      </c>
      <c r="C14" s="6" t="s">
        <v>3923</v>
      </c>
    </row>
    <row r="15" customFormat="false" ht="28.35" hidden="false" customHeight="false" outlineLevel="0" collapsed="false">
      <c r="A15" s="9" t="s">
        <v>3924</v>
      </c>
      <c r="B15" s="120" t="n">
        <f aca="false">IF(B5="Main home (principal private residence)",0,IF(B5="Fund or ETF (exit tax)",MAX(0,B12)*B13,B13*MAX(0,B12-B9-B14)))</f>
        <v>41456.3</v>
      </c>
      <c r="C15" s="6" t="s">
        <v>3925</v>
      </c>
    </row>
    <row r="16" customFormat="false" ht="15" hidden="false" customHeight="false" outlineLevel="0" collapsed="false">
      <c r="A16" s="9" t="s">
        <v>3926</v>
      </c>
      <c r="B16" s="120" t="n">
        <f aca="false">B6-B15</f>
        <v>358543.7</v>
      </c>
      <c r="C16" s="6" t="s">
        <v>3927</v>
      </c>
    </row>
    <row r="19" customFormat="false" ht="15" hidden="false" customHeight="false" outlineLevel="0" collapsed="false">
      <c r="A19" s="5" t="s">
        <v>3928</v>
      </c>
      <c r="B19" s="5" t="s">
        <v>3832</v>
      </c>
      <c r="C19" s="5" t="s">
        <v>372</v>
      </c>
      <c r="D19" s="5" t="s">
        <v>3830</v>
      </c>
      <c r="E19" s="5" t="s">
        <v>3833</v>
      </c>
    </row>
    <row r="20" customFormat="false" ht="28.35" hidden="false" customHeight="false" outlineLevel="0" collapsed="false">
      <c r="A20" s="9" t="s">
        <v>3929</v>
      </c>
      <c r="B20" s="129" t="str">
        <f aca="false">IF($E$2="Sample example",D20,E20)</f>
        <v>No</v>
      </c>
      <c r="C20" s="6" t="s">
        <v>3930</v>
      </c>
      <c r="D20" s="130" t="s">
        <v>450</v>
      </c>
      <c r="E20" s="131" t="s">
        <v>450</v>
      </c>
    </row>
    <row r="21" customFormat="false" ht="15" hidden="false" customHeight="false" outlineLevel="0" collapsed="false">
      <c r="A21" s="9" t="s">
        <v>3931</v>
      </c>
      <c r="B21" s="120" t="n">
        <f aca="false">IF($E$2="Sample example",D21,E21)</f>
        <v>300000</v>
      </c>
      <c r="C21" s="6" t="s">
        <v>3932</v>
      </c>
      <c r="D21" s="121" t="n">
        <v>300000</v>
      </c>
      <c r="E21" s="122" t="n">
        <v>300000</v>
      </c>
    </row>
    <row r="22" customFormat="false" ht="15" hidden="false" customHeight="false" outlineLevel="0" collapsed="false">
      <c r="A22" s="9" t="s">
        <v>3909</v>
      </c>
      <c r="B22" s="120" t="n">
        <f aca="false">IF($E$2="Sample example",D22,E22)</f>
        <v>150000</v>
      </c>
      <c r="C22" s="6" t="s">
        <v>3910</v>
      </c>
      <c r="D22" s="121" t="n">
        <v>150000</v>
      </c>
      <c r="E22" s="122" t="n">
        <v>150000</v>
      </c>
    </row>
    <row r="23" customFormat="false" ht="15" hidden="false" customHeight="false" outlineLevel="0" collapsed="false">
      <c r="A23" s="9" t="s">
        <v>3911</v>
      </c>
      <c r="B23" s="120" t="n">
        <f aca="false">IF($E$2="Sample example",D23,E23)</f>
        <v>10000</v>
      </c>
      <c r="C23" s="6" t="s">
        <v>3933</v>
      </c>
      <c r="D23" s="121" t="n">
        <v>10000</v>
      </c>
      <c r="E23" s="122" t="n">
        <v>10000</v>
      </c>
    </row>
    <row r="24" customFormat="false" ht="15" hidden="false" customHeight="false" outlineLevel="0" collapsed="false">
      <c r="A24" s="9" t="s">
        <v>3913</v>
      </c>
      <c r="B24" s="120" t="n">
        <f aca="false">IF($E$2="Sample example",D24,E24)</f>
        <v>0</v>
      </c>
      <c r="C24" s="6"/>
      <c r="D24" s="121" t="n">
        <v>0</v>
      </c>
      <c r="E24" s="122" t="n">
        <v>0</v>
      </c>
    </row>
    <row r="25" customFormat="false" ht="15" hidden="false" customHeight="false" outlineLevel="0" collapsed="false">
      <c r="A25" s="9" t="s">
        <v>3934</v>
      </c>
      <c r="B25" s="132" t="n">
        <f aca="false">IF($E$2="Sample example",D25,E25)</f>
        <v>46357</v>
      </c>
      <c r="C25" s="6"/>
      <c r="D25" s="133" t="n">
        <v>46357</v>
      </c>
      <c r="E25" s="134" t="n">
        <v>46357</v>
      </c>
    </row>
    <row r="26" customFormat="false" ht="15" hidden="false" customHeight="false" outlineLevel="0" collapsed="false">
      <c r="A26" s="9" t="s">
        <v>3935</v>
      </c>
      <c r="B26" s="120" t="n">
        <f aca="false">B21-B22-B23</f>
        <v>140000</v>
      </c>
      <c r="C26" s="6" t="s">
        <v>3936</v>
      </c>
    </row>
    <row r="27" customFormat="false" ht="15" hidden="false" customHeight="false" outlineLevel="0" collapsed="false">
      <c r="A27" s="9" t="s">
        <v>3937</v>
      </c>
      <c r="B27" s="123" t="n">
        <f aca="false">IF(B20="Yes",0,IF(B25&gt;=DATE(2026,10,7),VLOOKUP("sav.cgt",Tax!$A$55:$D$156,4,FALSE()),VLOOKUP("sav.cgtBefore",Tax!$A$55:$D$156,4,FALSE())))</f>
        <v>0.31</v>
      </c>
      <c r="C27" s="6" t="s">
        <v>3938</v>
      </c>
    </row>
    <row r="28" customFormat="false" ht="15" hidden="false" customHeight="false" outlineLevel="0" collapsed="false">
      <c r="A28" s="9" t="s">
        <v>3939</v>
      </c>
      <c r="B28" s="120" t="n">
        <f aca="false">IF(B20="Yes",0,B27*MAX(0,B26-B24-VLOOKUP("sav.cgtExempt",Tax!$A$55:$D$156,4,FALSE())))</f>
        <v>43006.3</v>
      </c>
      <c r="C28" s="6" t="s">
        <v>3940</v>
      </c>
    </row>
    <row r="30" customFormat="false" ht="28.35" hidden="false" customHeight="false" outlineLevel="0" collapsed="false">
      <c r="A30" s="5" t="s">
        <v>3941</v>
      </c>
      <c r="B30" s="5" t="s">
        <v>3832</v>
      </c>
      <c r="C30" s="5" t="s">
        <v>372</v>
      </c>
      <c r="D30" s="5" t="s">
        <v>3830</v>
      </c>
      <c r="E30" s="5" t="s">
        <v>3833</v>
      </c>
    </row>
    <row r="31" customFormat="false" ht="41.75" hidden="false" customHeight="false" outlineLevel="0" collapsed="false">
      <c r="A31" s="9" t="s">
        <v>3942</v>
      </c>
      <c r="B31" s="129" t="str">
        <f aca="false">IF($E$2="Sample example",D31,E31)</f>
        <v>Group A: child receiving from a parent</v>
      </c>
      <c r="C31" s="6" t="s">
        <v>3943</v>
      </c>
      <c r="D31" s="130" t="s">
        <v>3944</v>
      </c>
      <c r="E31" s="131" t="s">
        <v>3944</v>
      </c>
    </row>
    <row r="32" customFormat="false" ht="15" hidden="false" customHeight="false" outlineLevel="0" collapsed="false">
      <c r="A32" s="9" t="s">
        <v>3945</v>
      </c>
      <c r="B32" s="120" t="n">
        <f aca="false">IF($E$2="Sample example",D32,E32)</f>
        <v>500000</v>
      </c>
      <c r="C32" s="6" t="s">
        <v>3946</v>
      </c>
      <c r="D32" s="121" t="n">
        <v>500000</v>
      </c>
      <c r="E32" s="122" t="n">
        <v>500000</v>
      </c>
    </row>
    <row r="33" customFormat="false" ht="28.35" hidden="false" customHeight="false" outlineLevel="0" collapsed="false">
      <c r="A33" s="9" t="s">
        <v>3947</v>
      </c>
      <c r="B33" s="129" t="str">
        <f aca="false">IF($E$2="Sample example",D33,E33)</f>
        <v>No</v>
      </c>
      <c r="C33" s="6" t="s">
        <v>3948</v>
      </c>
      <c r="D33" s="130" t="s">
        <v>450</v>
      </c>
      <c r="E33" s="131" t="s">
        <v>450</v>
      </c>
    </row>
    <row r="34" customFormat="false" ht="28.35" hidden="false" customHeight="false" outlineLevel="0" collapsed="false">
      <c r="A34" s="9" t="s">
        <v>3949</v>
      </c>
      <c r="B34" s="120" t="n">
        <f aca="false">IF($E$2="Sample example",D34,E34)</f>
        <v>0</v>
      </c>
      <c r="C34" s="6" t="s">
        <v>3950</v>
      </c>
      <c r="D34" s="121" t="n">
        <v>0</v>
      </c>
      <c r="E34" s="122" t="n">
        <v>0</v>
      </c>
    </row>
    <row r="35" customFormat="false" ht="15" hidden="false" customHeight="false" outlineLevel="0" collapsed="false">
      <c r="A35" s="9" t="s">
        <v>3951</v>
      </c>
      <c r="B35" s="132" t="n">
        <f aca="false">IF($E$2="Sample example",D35,E35)</f>
        <v>46357</v>
      </c>
      <c r="C35" s="6" t="s">
        <v>3952</v>
      </c>
      <c r="D35" s="133" t="n">
        <v>46357</v>
      </c>
      <c r="E35" s="134" t="n">
        <v>46357</v>
      </c>
    </row>
    <row r="36" customFormat="false" ht="15" hidden="false" customHeight="false" outlineLevel="0" collapsed="false">
      <c r="A36" s="9" t="s">
        <v>3953</v>
      </c>
      <c r="B36" s="120" t="n">
        <f aca="false">IF(LEFT(B31,7)="Spouse ",1E+099,IF(LEFT(B31,7)="Group A",IF(B35&gt;=DATE(2026,10,7),VLOOKUP("cat.a.after",Tax!$A$55:$D$156,4,FALSE()),VLOOKUP("cat.a.before",Tax!$A$55:$D$156,4,FALSE())),IF(LEFT(B31,7)="Group B",IF(B35&gt;=DATE(2026,10,7),VLOOKUP("cat.b.after",Tax!$A$55:$D$156,4,FALSE()),VLOOKUP("cat.b.before",Tax!$A$55:$D$156,4,FALSE())),IF(B35&gt;=DATE(2026,10,7),VLOOKUP("cat.c.after",Tax!$A$55:$D$156,4,FALSE()),VLOOKUP("cat.c.before",Tax!$A$55:$D$156,4,FALSE())))))</f>
        <v>420000</v>
      </c>
      <c r="C36" s="6" t="s">
        <v>3954</v>
      </c>
    </row>
    <row r="37" customFormat="false" ht="15" hidden="false" customHeight="false" outlineLevel="0" collapsed="false">
      <c r="A37" s="9" t="s">
        <v>3955</v>
      </c>
      <c r="B37" s="120" t="n">
        <f aca="false">MAX(0,B32-IF(B33="Yes",VLOOKUP("cat.small",Tax!$A$55:$D$156,4,FALSE()),0))</f>
        <v>500000</v>
      </c>
      <c r="C37" s="6"/>
    </row>
    <row r="38" customFormat="false" ht="15" hidden="false" customHeight="false" outlineLevel="0" collapsed="false">
      <c r="A38" s="9" t="s">
        <v>3956</v>
      </c>
      <c r="B38" s="120" t="n">
        <f aca="false">MAX(0,B36-B34)</f>
        <v>420000</v>
      </c>
      <c r="C38" s="6" t="s">
        <v>3957</v>
      </c>
    </row>
    <row r="39" customFormat="false" ht="15" hidden="false" customHeight="false" outlineLevel="0" collapsed="false">
      <c r="A39" s="9" t="s">
        <v>3958</v>
      </c>
      <c r="B39" s="120" t="n">
        <f aca="false">IF(LEFT(B31,7)="Spouse ",0,VLOOKUP("cat.rate",Tax!$A$55:$D$156,4,FALSE())*MAX(0,B37-B38))</f>
        <v>26400</v>
      </c>
      <c r="C39" s="6" t="s">
        <v>3959</v>
      </c>
    </row>
    <row r="40" customFormat="false" ht="15" hidden="false" customHeight="false" outlineLevel="0" collapsed="false">
      <c r="A40" s="9" t="s">
        <v>3960</v>
      </c>
      <c r="B40" s="120" t="n">
        <f aca="false">B32-B39</f>
        <v>473600</v>
      </c>
      <c r="C40" s="6" t="s">
        <v>3961</v>
      </c>
    </row>
    <row r="43" customFormat="false" ht="18" hidden="false" customHeight="true" outlineLevel="0" collapsed="false">
      <c r="A43" s="137" t="s">
        <v>3962</v>
      </c>
      <c r="B43" s="137"/>
      <c r="C43" s="137"/>
      <c r="D43" s="137"/>
      <c r="E43" s="137"/>
    </row>
    <row r="44" customFormat="false" ht="43.5" hidden="false" customHeight="true" outlineLevel="0" collapsed="false">
      <c r="A44" s="2" t="s">
        <v>3963</v>
      </c>
      <c r="B44" s="2"/>
      <c r="C44" s="2"/>
      <c r="D44" s="2"/>
      <c r="E44" s="2"/>
    </row>
    <row r="45" customFormat="false" ht="43.5" hidden="false" customHeight="true" outlineLevel="0" collapsed="false">
      <c r="A45" s="2" t="s">
        <v>3964</v>
      </c>
      <c r="B45" s="2"/>
      <c r="C45" s="2"/>
      <c r="D45" s="2"/>
      <c r="E45" s="2"/>
    </row>
    <row r="46" customFormat="false" ht="43.5" hidden="false" customHeight="true" outlineLevel="0" collapsed="false">
      <c r="A46" s="2" t="s">
        <v>3965</v>
      </c>
      <c r="B46" s="2"/>
      <c r="C46" s="2"/>
      <c r="D46" s="2"/>
      <c r="E46" s="2"/>
    </row>
    <row r="47" customFormat="false" ht="43.5" hidden="false" customHeight="true" outlineLevel="0" collapsed="false">
      <c r="A47" s="2" t="s">
        <v>3966</v>
      </c>
      <c r="B47" s="2"/>
      <c r="C47" s="2"/>
      <c r="D47" s="2"/>
      <c r="E47" s="2"/>
    </row>
    <row r="48" customFormat="false" ht="43.5" hidden="false" customHeight="true" outlineLevel="0" collapsed="false">
      <c r="A48" s="2" t="s">
        <v>3967</v>
      </c>
      <c r="B48" s="2"/>
      <c r="C48" s="2"/>
      <c r="D48" s="2"/>
      <c r="E48" s="2"/>
    </row>
  </sheetData>
  <mergeCells count="7">
    <mergeCell ref="A2:C2"/>
    <mergeCell ref="A43:E43"/>
    <mergeCell ref="A44:E44"/>
    <mergeCell ref="A45:E45"/>
    <mergeCell ref="A46:E46"/>
    <mergeCell ref="A47:E47"/>
    <mergeCell ref="A48:E48"/>
  </mergeCells>
  <dataValidations count="6">
    <dataValidation allowBlank="false" errorStyle="stop" operator="between" showDropDown="false" showErrorMessage="false" showInputMessage="false" sqref="D10:E10" type="whole">
      <formula1>1</formula1>
      <formula2>2</formula2>
    </dataValidation>
    <dataValidation allowBlank="false" errorStyle="stop" operator="between" showDropDown="false" showErrorMessage="false" showInputMessage="false" sqref="E2" type="list">
      <formula1>"Sample example,My own numbers"</formula1>
      <formula2>0</formula2>
    </dataValidation>
    <dataValidation allowBlank="false" errorStyle="stop" operator="between" showDropDown="false" showErrorMessage="false" showInputMessage="false" sqref="D5:E5" type="list">
      <formula1>"Main home (principal private residence),Other property or land,Shares held directly,Crypto gold art or other assets,Fund or ETF (exit tax),Development land"</formula1>
      <formula2>0</formula2>
    </dataValidation>
    <dataValidation allowBlank="false" errorStyle="stop" operator="between" showDropDown="false" showErrorMessage="false" showInputMessage="false" sqref="D20:E20" type="list">
      <formula1>"Yes,No"</formula1>
      <formula2>0</formula2>
    </dataValidation>
    <dataValidation allowBlank="false" errorStyle="stop" operator="between" showDropDown="false" showErrorMessage="false" showInputMessage="false" sqref="D31:E31" type="list">
      <formula1>"Group A: child receiving from a parent,Group B: parent / sibling / niece / nephew / grandchild,Group C: everyone else,Spouse or civil partner (exempt)"</formula1>
      <formula2>0</formula2>
    </dataValidation>
    <dataValidation allowBlank="false" errorStyle="stop" operator="between" showDropDown="false" showErrorMessage="false" showInputMessage="false" sqref="D33:E33"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6000"/>
    <pageSetUpPr fitToPage="false"/>
  </sheetPr>
  <dimension ref="B1:M5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5390625" defaultRowHeight="15" zeroHeight="false" outlineLevelRow="0" outlineLevelCol="0"/>
  <cols>
    <col collapsed="false" customWidth="true" hidden="false" outlineLevel="0" max="1" min="1" style="20" width="2"/>
    <col collapsed="false" customWidth="true" hidden="false" outlineLevel="0" max="2" min="2" style="20" width="62"/>
    <col collapsed="false" customWidth="true" hidden="false" outlineLevel="0" max="3" min="3" style="20" width="14"/>
    <col collapsed="false" customWidth="true" hidden="false" outlineLevel="0" max="5" min="4" style="20" width="10"/>
    <col collapsed="false" customWidth="true" hidden="false" outlineLevel="0" max="6" min="6" style="20" width="12"/>
    <col collapsed="false" customWidth="true" hidden="false" outlineLevel="0" max="7" min="7" style="20" width="50"/>
    <col collapsed="false" customWidth="true" hidden="false" outlineLevel="0" max="8" min="8" style="20" width="48"/>
    <col collapsed="false" customWidth="true" hidden="false" outlineLevel="0" max="9" min="9" style="20" width="16"/>
    <col collapsed="false" customWidth="true" hidden="false" outlineLevel="0" max="10" min="10" style="20" width="50"/>
    <col collapsed="false" customWidth="true" hidden="false" outlineLevel="0" max="11" min="11" style="20" width="24"/>
    <col collapsed="false" customWidth="true" hidden="false" outlineLevel="0" max="12" min="12" style="20" width="34"/>
    <col collapsed="false" customWidth="true" hidden="false" outlineLevel="0" max="13" min="13" style="20" width="26"/>
  </cols>
  <sheetData>
    <row r="1" customFormat="false" ht="17.25" hidden="false" customHeight="true" outlineLevel="0" collapsed="false">
      <c r="B1" s="21" t="s">
        <v>3968</v>
      </c>
    </row>
    <row r="2" customFormat="false" ht="75" hidden="false" customHeight="true" outlineLevel="0" collapsed="false">
      <c r="B2" s="2" t="s">
        <v>3969</v>
      </c>
      <c r="C2" s="2"/>
      <c r="D2" s="2"/>
      <c r="E2" s="2"/>
      <c r="F2" s="2"/>
      <c r="G2" s="2"/>
      <c r="H2" s="2"/>
      <c r="I2" s="2"/>
      <c r="J2" s="2"/>
      <c r="K2" s="2"/>
    </row>
    <row r="3" customFormat="false" ht="15" hidden="false" customHeight="true" outlineLevel="0" collapsed="false">
      <c r="B3" s="25" t="s">
        <v>3970</v>
      </c>
    </row>
    <row r="4" customFormat="false" ht="15" hidden="false" customHeight="true" outlineLevel="0" collapsed="false">
      <c r="B4" s="46" t="s">
        <v>3971</v>
      </c>
      <c r="C4" s="24"/>
    </row>
    <row r="6" customFormat="false" ht="81.75" hidden="false" customHeight="true" outlineLevel="0" collapsed="false">
      <c r="B6" s="33" t="s">
        <v>3972</v>
      </c>
      <c r="C6" s="33" t="s">
        <v>3973</v>
      </c>
      <c r="D6" s="33" t="s">
        <v>3974</v>
      </c>
      <c r="E6" s="33" t="s">
        <v>3975</v>
      </c>
      <c r="F6" s="33" t="s">
        <v>3976</v>
      </c>
      <c r="G6" s="33" t="s">
        <v>3977</v>
      </c>
      <c r="H6" s="33" t="s">
        <v>172</v>
      </c>
      <c r="I6" s="33" t="s">
        <v>171</v>
      </c>
      <c r="J6" s="33" t="s">
        <v>3978</v>
      </c>
      <c r="K6" s="33" t="s">
        <v>3979</v>
      </c>
      <c r="L6" s="23" t="s">
        <v>3980</v>
      </c>
      <c r="M6" s="23" t="s">
        <v>3981</v>
      </c>
    </row>
    <row r="7" customFormat="false" ht="15" hidden="false" customHeight="true" outlineLevel="0" collapsed="false">
      <c r="B7" s="138" t="s">
        <v>3982</v>
      </c>
    </row>
    <row r="8" customFormat="false" ht="15" hidden="false" customHeight="true" outlineLevel="0" collapsed="false">
      <c r="B8" s="20" t="s">
        <v>3983</v>
      </c>
      <c r="C8" s="139" t="n">
        <v>0.02</v>
      </c>
      <c r="G8" s="24" t="s">
        <v>3984</v>
      </c>
      <c r="H8" s="25" t="s">
        <v>176</v>
      </c>
      <c r="I8" s="25" t="s">
        <v>175</v>
      </c>
      <c r="J8" s="25"/>
      <c r="K8" s="25" t="s">
        <v>3985</v>
      </c>
    </row>
    <row r="9" customFormat="false" ht="15" hidden="false" customHeight="true" outlineLevel="0" collapsed="false">
      <c r="B9" s="20" t="s">
        <v>3986</v>
      </c>
      <c r="C9" s="139" t="n">
        <v>0.03</v>
      </c>
      <c r="F9" s="139" t="n">
        <v>0.025</v>
      </c>
      <c r="G9" s="24" t="s">
        <v>3987</v>
      </c>
      <c r="H9" s="25" t="s">
        <v>179</v>
      </c>
      <c r="I9" s="25" t="s">
        <v>119</v>
      </c>
      <c r="J9" s="25" t="s">
        <v>3988</v>
      </c>
      <c r="K9" s="25" t="s">
        <v>3985</v>
      </c>
    </row>
    <row r="10" customFormat="false" ht="15" hidden="false" customHeight="true" outlineLevel="0" collapsed="false">
      <c r="B10" s="20" t="s">
        <v>3989</v>
      </c>
      <c r="C10" s="139" t="n">
        <v>0.01</v>
      </c>
      <c r="F10" s="139" t="n">
        <v>0.007</v>
      </c>
      <c r="G10" s="24" t="s">
        <v>3990</v>
      </c>
      <c r="H10" s="25" t="s">
        <v>183</v>
      </c>
      <c r="I10" s="25" t="s">
        <v>182</v>
      </c>
      <c r="J10" s="25"/>
      <c r="K10" s="25" t="s">
        <v>3985</v>
      </c>
    </row>
    <row r="11" customFormat="false" ht="15" hidden="false" customHeight="true" outlineLevel="0" collapsed="false">
      <c r="B11" s="20" t="s">
        <v>3991</v>
      </c>
      <c r="C11" s="140" t="n">
        <f aca="false">ROUND(((1+Set_invGross-IF(ISNUMBER(Suggest_Fund_Charges),Suggest_Fund_Charges,0.01))^Deemed_Disposal_Years-Exit_Tax*((1+Set_invGross-IF(ISNUMBER(Suggest_Fund_Charges),Suggest_Fund_Charges,0.01))^Deemed_Disposal_Years-1))^(1/Deemed_Disposal_Years)-1,3)</f>
        <v>0.026</v>
      </c>
      <c r="F11" s="140" t="n">
        <f aca="false">ROUND(((1+Set_invGross-0.01-IF(ISNUMBER(Suggest_Fund_Charges),Suggest_Fund_Charges,0.01))^Deemed_Disposal_Years-Exit_Tax*((1+Set_invGross-0.01-IF(ISNUMBER(Suggest_Fund_Charges),Suggest_Fund_Charges,0.01))^Deemed_Disposal_Years-1))^(1/Deemed_Disposal_Years)-1,3)</f>
        <v>0.019</v>
      </c>
      <c r="G11" s="24" t="str">
        <f aca="false">"a planning assumption, not a prediction: "&amp;ROUND(Set_invGross*1000,0)/10&amp;"% before fees and tax, less about "&amp;ROUND(IF(ISNUMBER(Suggest_Fund_Charges),Suggest_Fund_Charges,0.01)*1000,0)/10&amp;"% charges, less "&amp;ROUND(Exit_Tax*100,0)&amp;"% exit tax taken every "&amp;Deemed_Disposal_Years&amp;" years"</f>
        <v>a planning assumption, not a prediction: 5% before fees and tax, less about 1% charges, less 38% exit tax taken every 8 years</v>
      </c>
      <c r="H11" s="25" t="s">
        <v>186</v>
      </c>
      <c r="I11" s="25" t="s">
        <v>119</v>
      </c>
      <c r="J11" s="25" t="s">
        <v>3992</v>
      </c>
      <c r="K11" s="25" t="s">
        <v>3985</v>
      </c>
    </row>
    <row r="12" customFormat="false" ht="15" hidden="false" customHeight="true" outlineLevel="0" collapsed="false">
      <c r="B12" s="20" t="s">
        <v>3993</v>
      </c>
      <c r="C12" s="139" t="n">
        <v>0.05</v>
      </c>
      <c r="G12" s="24" t="s">
        <v>3994</v>
      </c>
      <c r="H12" s="25" t="s">
        <v>189</v>
      </c>
      <c r="I12" s="25" t="s">
        <v>119</v>
      </c>
      <c r="J12" s="25" t="s">
        <v>3995</v>
      </c>
      <c r="K12" s="25" t="s">
        <v>3985</v>
      </c>
    </row>
    <row r="13" customFormat="false" ht="15" hidden="false" customHeight="true" outlineLevel="0" collapsed="false">
      <c r="B13" s="20" t="s">
        <v>3996</v>
      </c>
      <c r="C13" s="139" t="n">
        <v>0.045</v>
      </c>
      <c r="F13" s="139" t="n">
        <v>0.04</v>
      </c>
      <c r="G13" s="24" t="s">
        <v>3997</v>
      </c>
      <c r="H13" s="25" t="s">
        <v>192</v>
      </c>
      <c r="I13" s="25" t="s">
        <v>119</v>
      </c>
      <c r="J13" s="25" t="s">
        <v>3998</v>
      </c>
      <c r="K13" s="25" t="s">
        <v>3985</v>
      </c>
    </row>
    <row r="14" customFormat="false" ht="15" hidden="false" customHeight="true" outlineLevel="0" collapsed="false">
      <c r="B14" s="20" t="s">
        <v>3999</v>
      </c>
      <c r="C14" s="139" t="n">
        <v>0.0315</v>
      </c>
      <c r="F14" s="139" t="n">
        <v>0.028</v>
      </c>
      <c r="G14" s="24" t="s">
        <v>4000</v>
      </c>
      <c r="H14" s="25" t="s">
        <v>192</v>
      </c>
      <c r="I14" s="25" t="s">
        <v>119</v>
      </c>
      <c r="J14" s="25" t="s">
        <v>4001</v>
      </c>
      <c r="K14" s="25" t="s">
        <v>3985</v>
      </c>
    </row>
    <row r="15" customFormat="false" ht="15" hidden="false" customHeight="true" outlineLevel="0" collapsed="false">
      <c r="B15" s="138" t="s">
        <v>850</v>
      </c>
    </row>
    <row r="16" customFormat="false" ht="15" hidden="false" customHeight="true" outlineLevel="0" collapsed="false">
      <c r="B16" s="20" t="s">
        <v>4002</v>
      </c>
      <c r="C16" s="139" t="n">
        <v>0.03</v>
      </c>
      <c r="G16" s="24" t="s">
        <v>4003</v>
      </c>
      <c r="H16" s="25" t="s">
        <v>197</v>
      </c>
      <c r="I16" s="25" t="s">
        <v>119</v>
      </c>
      <c r="J16" s="25" t="s">
        <v>4004</v>
      </c>
      <c r="K16" s="25" t="s">
        <v>4005</v>
      </c>
    </row>
    <row r="17" customFormat="false" ht="15" hidden="false" customHeight="true" outlineLevel="0" collapsed="false">
      <c r="B17" s="20" t="s">
        <v>4006</v>
      </c>
      <c r="C17" s="139" t="n">
        <v>0.02</v>
      </c>
      <c r="G17" s="24" t="s">
        <v>4007</v>
      </c>
      <c r="H17" s="25" t="s">
        <v>200</v>
      </c>
      <c r="I17" s="25" t="s">
        <v>119</v>
      </c>
      <c r="J17" s="25" t="s">
        <v>4008</v>
      </c>
      <c r="K17" s="25" t="s">
        <v>4005</v>
      </c>
    </row>
    <row r="18" customFormat="false" ht="15" hidden="false" customHeight="true" outlineLevel="0" collapsed="false">
      <c r="B18" s="20" t="s">
        <v>4009</v>
      </c>
      <c r="C18" s="139" t="n">
        <v>0.01</v>
      </c>
      <c r="G18" s="24" t="s">
        <v>4010</v>
      </c>
      <c r="H18" s="25" t="s">
        <v>203</v>
      </c>
      <c r="I18" s="25" t="s">
        <v>119</v>
      </c>
      <c r="J18" s="25"/>
      <c r="K18" s="25" t="s">
        <v>4005</v>
      </c>
    </row>
    <row r="19" customFormat="false" ht="15" hidden="false" customHeight="true" outlineLevel="0" collapsed="false">
      <c r="B19" s="138" t="s">
        <v>4011</v>
      </c>
    </row>
    <row r="20" customFormat="false" ht="15" hidden="false" customHeight="true" outlineLevel="0" collapsed="false">
      <c r="B20" s="20" t="s">
        <v>4012</v>
      </c>
      <c r="C20" s="139" t="n">
        <v>0.5</v>
      </c>
      <c r="G20" s="24" t="s">
        <v>4013</v>
      </c>
      <c r="H20" s="25" t="s">
        <v>206</v>
      </c>
      <c r="I20" s="25" t="s">
        <v>119</v>
      </c>
      <c r="J20" s="25" t="s">
        <v>4014</v>
      </c>
      <c r="K20" s="25" t="s">
        <v>4015</v>
      </c>
    </row>
    <row r="21" customFormat="false" ht="15" hidden="false" customHeight="true" outlineLevel="0" collapsed="false">
      <c r="B21" s="20" t="s">
        <v>4016</v>
      </c>
      <c r="C21" s="24" t="n">
        <v>25</v>
      </c>
      <c r="G21" s="24" t="s">
        <v>4017</v>
      </c>
      <c r="H21" s="25" t="s">
        <v>209</v>
      </c>
      <c r="I21" s="25" t="s">
        <v>119</v>
      </c>
      <c r="J21" s="25" t="s">
        <v>4018</v>
      </c>
      <c r="K21" s="25" t="s">
        <v>4019</v>
      </c>
    </row>
    <row r="22" customFormat="false" ht="15" hidden="false" customHeight="true" outlineLevel="0" collapsed="false">
      <c r="B22" s="20" t="s">
        <v>4020</v>
      </c>
      <c r="C22" s="139" t="n">
        <v>0.8</v>
      </c>
      <c r="G22" s="24" t="s">
        <v>4021</v>
      </c>
      <c r="H22" s="25" t="s">
        <v>212</v>
      </c>
      <c r="I22" s="25" t="s">
        <v>119</v>
      </c>
      <c r="J22" s="25"/>
      <c r="K22" s="25" t="s">
        <v>4015</v>
      </c>
    </row>
    <row r="23" customFormat="false" ht="15" hidden="false" customHeight="true" outlineLevel="0" collapsed="false">
      <c r="B23" s="20" t="s">
        <v>4022</v>
      </c>
      <c r="C23" s="139" t="n">
        <v>0.25</v>
      </c>
      <c r="G23" s="24" t="s">
        <v>4023</v>
      </c>
      <c r="H23" s="25" t="s">
        <v>219</v>
      </c>
      <c r="I23" s="25" t="s">
        <v>218</v>
      </c>
      <c r="J23" s="25"/>
      <c r="K23" s="25" t="s">
        <v>4015</v>
      </c>
    </row>
    <row r="24" customFormat="false" ht="15" hidden="false" customHeight="true" outlineLevel="0" collapsed="false">
      <c r="B24" s="138" t="s">
        <v>4024</v>
      </c>
    </row>
    <row r="25" customFormat="false" ht="15" hidden="false" customHeight="true" outlineLevel="0" collapsed="false">
      <c r="B25" s="20" t="s">
        <v>4025</v>
      </c>
      <c r="C25" s="24" t="n">
        <v>6</v>
      </c>
      <c r="G25" s="24" t="s">
        <v>4026</v>
      </c>
      <c r="H25" s="25" t="s">
        <v>222</v>
      </c>
      <c r="I25" s="25" t="s">
        <v>119</v>
      </c>
      <c r="J25" s="25" t="s">
        <v>4027</v>
      </c>
      <c r="K25" s="25" t="s">
        <v>4028</v>
      </c>
    </row>
    <row r="26" customFormat="false" ht="15" hidden="false" customHeight="true" outlineLevel="0" collapsed="false">
      <c r="B26" s="20" t="s">
        <v>4029</v>
      </c>
      <c r="C26" s="24" t="n">
        <v>3</v>
      </c>
      <c r="G26" s="24" t="s">
        <v>4030</v>
      </c>
      <c r="H26" s="25" t="s">
        <v>225</v>
      </c>
      <c r="I26" s="25" t="s">
        <v>119</v>
      </c>
      <c r="J26" s="25"/>
      <c r="K26" s="25" t="s">
        <v>4028</v>
      </c>
    </row>
    <row r="27" customFormat="false" ht="15" hidden="false" customHeight="true" outlineLevel="0" collapsed="false">
      <c r="B27" s="20" t="s">
        <v>4031</v>
      </c>
      <c r="C27" s="24" t="n">
        <v>5</v>
      </c>
      <c r="G27" s="24" t="s">
        <v>4032</v>
      </c>
      <c r="H27" s="25" t="s">
        <v>228</v>
      </c>
      <c r="I27" s="25" t="s">
        <v>119</v>
      </c>
      <c r="J27" s="25" t="s">
        <v>4033</v>
      </c>
      <c r="K27" s="25" t="s">
        <v>4034</v>
      </c>
    </row>
    <row r="28" customFormat="false" ht="15" hidden="false" customHeight="true" outlineLevel="0" collapsed="false">
      <c r="B28" s="20" t="s">
        <v>4035</v>
      </c>
      <c r="C28" s="139" t="n">
        <v>0.4</v>
      </c>
      <c r="G28" s="24" t="s">
        <v>4036</v>
      </c>
      <c r="H28" s="25" t="s">
        <v>231</v>
      </c>
      <c r="I28" s="25" t="s">
        <v>119</v>
      </c>
      <c r="J28" s="25"/>
      <c r="K28" s="25" t="s">
        <v>4037</v>
      </c>
    </row>
    <row r="29" customFormat="false" ht="15" hidden="false" customHeight="true" outlineLevel="0" collapsed="false">
      <c r="B29" s="20" t="s">
        <v>4038</v>
      </c>
      <c r="C29" s="139" t="n">
        <v>0.5</v>
      </c>
      <c r="G29" s="24" t="s">
        <v>4039</v>
      </c>
      <c r="H29" s="25" t="s">
        <v>240</v>
      </c>
      <c r="I29" s="25" t="s">
        <v>119</v>
      </c>
      <c r="J29" s="25" t="s">
        <v>4040</v>
      </c>
      <c r="K29" s="25" t="s">
        <v>4037</v>
      </c>
    </row>
    <row r="30" customFormat="false" ht="15" hidden="false" customHeight="true" outlineLevel="0" collapsed="false">
      <c r="B30" s="20" t="s">
        <v>4041</v>
      </c>
      <c r="C30" s="141" t="n">
        <v>300</v>
      </c>
      <c r="G30" s="24" t="s">
        <v>4042</v>
      </c>
      <c r="H30" s="25" t="s">
        <v>240</v>
      </c>
      <c r="I30" s="25" t="s">
        <v>119</v>
      </c>
      <c r="J30" s="25" t="s">
        <v>4043</v>
      </c>
      <c r="K30" s="25" t="s">
        <v>4044</v>
      </c>
    </row>
    <row r="31" customFormat="false" ht="15" hidden="false" customHeight="true" outlineLevel="0" collapsed="false">
      <c r="B31" s="138" t="s">
        <v>4045</v>
      </c>
    </row>
    <row r="32" customFormat="false" ht="15" hidden="false" customHeight="true" outlineLevel="0" collapsed="false">
      <c r="B32" s="20" t="s">
        <v>4046</v>
      </c>
      <c r="C32" s="139" t="n">
        <v>0.6</v>
      </c>
      <c r="G32" s="24" t="s">
        <v>4047</v>
      </c>
      <c r="H32" s="25" t="s">
        <v>245</v>
      </c>
      <c r="I32" s="25" t="s">
        <v>119</v>
      </c>
      <c r="J32" s="25"/>
      <c r="K32" s="25" t="s">
        <v>4048</v>
      </c>
    </row>
    <row r="33" customFormat="false" ht="15" hidden="false" customHeight="true" outlineLevel="0" collapsed="false">
      <c r="B33" s="20" t="s">
        <v>4049</v>
      </c>
      <c r="C33" s="24" t="n">
        <v>15</v>
      </c>
      <c r="G33" s="24" t="s">
        <v>4050</v>
      </c>
      <c r="H33" s="25" t="s">
        <v>245</v>
      </c>
      <c r="I33" s="25" t="s">
        <v>119</v>
      </c>
      <c r="J33" s="25"/>
      <c r="K33" s="25" t="s">
        <v>4051</v>
      </c>
    </row>
    <row r="34" customFormat="false" ht="15" hidden="false" customHeight="true" outlineLevel="0" collapsed="false">
      <c r="B34" s="138" t="s">
        <v>4052</v>
      </c>
    </row>
    <row r="35" customFormat="false" ht="15" hidden="false" customHeight="true" outlineLevel="0" collapsed="false">
      <c r="B35" s="20" t="s">
        <v>4053</v>
      </c>
      <c r="C35" s="142" t="n">
        <v>0.02</v>
      </c>
      <c r="D35" s="142" t="n">
        <v>0.04</v>
      </c>
      <c r="E35" s="142" t="n">
        <v>0.06</v>
      </c>
      <c r="G35" s="24" t="s">
        <v>4054</v>
      </c>
      <c r="H35" s="25" t="s">
        <v>250</v>
      </c>
      <c r="I35" s="25" t="s">
        <v>119</v>
      </c>
      <c r="J35" s="25" t="s">
        <v>4055</v>
      </c>
      <c r="K35" s="25" t="s">
        <v>4056</v>
      </c>
    </row>
    <row r="36" customFormat="false" ht="15" hidden="false" customHeight="true" outlineLevel="0" collapsed="false">
      <c r="B36" s="20" t="s">
        <v>4057</v>
      </c>
      <c r="C36" s="142" t="n">
        <v>0.05</v>
      </c>
      <c r="D36" s="142" t="n">
        <v>0.1</v>
      </c>
      <c r="E36" s="142" t="n">
        <v>0.16</v>
      </c>
      <c r="G36" s="24" t="s">
        <v>4054</v>
      </c>
      <c r="H36" s="25" t="s">
        <v>250</v>
      </c>
      <c r="I36" s="25" t="s">
        <v>119</v>
      </c>
      <c r="J36" s="25" t="s">
        <v>4058</v>
      </c>
      <c r="K36" s="25" t="s">
        <v>4056</v>
      </c>
    </row>
    <row r="37" customFormat="false" ht="15" hidden="false" customHeight="true" outlineLevel="0" collapsed="false">
      <c r="B37" s="20" t="s">
        <v>4059</v>
      </c>
      <c r="C37" s="142" t="n">
        <v>0.5</v>
      </c>
      <c r="D37" s="142" t="n">
        <v>0.3</v>
      </c>
      <c r="E37" s="142" t="n">
        <v>0.2</v>
      </c>
      <c r="G37" s="24" t="s">
        <v>4060</v>
      </c>
      <c r="H37" s="25" t="s">
        <v>255</v>
      </c>
      <c r="I37" s="25" t="s">
        <v>119</v>
      </c>
      <c r="J37" s="25"/>
      <c r="K37" s="25" t="s">
        <v>4056</v>
      </c>
    </row>
    <row r="38" customFormat="false" ht="15" hidden="false" customHeight="true" outlineLevel="0" collapsed="false">
      <c r="B38" s="138" t="s">
        <v>4061</v>
      </c>
    </row>
    <row r="39" customFormat="false" ht="15" hidden="false" customHeight="true" outlineLevel="0" collapsed="false">
      <c r="B39" s="20" t="s">
        <v>4062</v>
      </c>
      <c r="C39" s="24" t="s">
        <v>4063</v>
      </c>
      <c r="G39" s="24" t="s">
        <v>4064</v>
      </c>
      <c r="H39" s="25" t="s">
        <v>258</v>
      </c>
      <c r="I39" s="25" t="s">
        <v>119</v>
      </c>
      <c r="J39" s="25" t="s">
        <v>4065</v>
      </c>
      <c r="K39" s="25" t="s">
        <v>4066</v>
      </c>
    </row>
    <row r="40" customFormat="false" ht="15" hidden="false" customHeight="true" outlineLevel="0" collapsed="false">
      <c r="B40" s="20" t="s">
        <v>4067</v>
      </c>
      <c r="C40" s="24" t="s">
        <v>4063</v>
      </c>
      <c r="G40" s="24" t="s">
        <v>4068</v>
      </c>
      <c r="H40" s="25" t="s">
        <v>261</v>
      </c>
      <c r="I40" s="25" t="s">
        <v>119</v>
      </c>
      <c r="J40" s="25" t="s">
        <v>4069</v>
      </c>
      <c r="K40" s="25" t="s">
        <v>4066</v>
      </c>
    </row>
    <row r="41" customFormat="false" ht="15" hidden="false" customHeight="true" outlineLevel="0" collapsed="false">
      <c r="B41" s="20" t="s">
        <v>4070</v>
      </c>
      <c r="C41" s="24" t="s">
        <v>4071</v>
      </c>
      <c r="G41" s="24" t="s">
        <v>4072</v>
      </c>
      <c r="H41" s="25" t="s">
        <v>264</v>
      </c>
      <c r="I41" s="25" t="s">
        <v>119</v>
      </c>
      <c r="J41" s="25"/>
      <c r="K41" s="25" t="s">
        <v>4066</v>
      </c>
    </row>
    <row r="42" customFormat="false" ht="15" hidden="false" customHeight="true" outlineLevel="0" collapsed="false">
      <c r="B42" s="20" t="s">
        <v>4073</v>
      </c>
      <c r="C42" s="24" t="s">
        <v>1575</v>
      </c>
      <c r="G42" s="24" t="s">
        <v>4074</v>
      </c>
      <c r="H42" s="25" t="s">
        <v>267</v>
      </c>
      <c r="I42" s="25" t="s">
        <v>119</v>
      </c>
      <c r="J42" s="25"/>
      <c r="K42" s="25" t="s">
        <v>4066</v>
      </c>
    </row>
    <row r="43" customFormat="false" ht="15" hidden="false" customHeight="true" outlineLevel="0" collapsed="false">
      <c r="B43" s="20" t="s">
        <v>4075</v>
      </c>
      <c r="C43" s="24" t="n">
        <v>5</v>
      </c>
      <c r="G43" s="24" t="s">
        <v>4076</v>
      </c>
      <c r="H43" s="25" t="s">
        <v>270</v>
      </c>
      <c r="I43" s="25" t="s">
        <v>119</v>
      </c>
      <c r="J43" s="25"/>
      <c r="K43" s="25" t="s">
        <v>4077</v>
      </c>
    </row>
    <row r="44" customFormat="false" ht="15" hidden="false" customHeight="true" outlineLevel="0" collapsed="false">
      <c r="B44" s="20" t="s">
        <v>4078</v>
      </c>
      <c r="C44" s="24" t="n">
        <v>2</v>
      </c>
      <c r="G44" s="24" t="s">
        <v>4079</v>
      </c>
      <c r="H44" s="25" t="s">
        <v>273</v>
      </c>
      <c r="I44" s="25" t="s">
        <v>119</v>
      </c>
      <c r="J44" s="25"/>
      <c r="K44" s="25" t="s">
        <v>4080</v>
      </c>
    </row>
    <row r="45" customFormat="false" ht="15" hidden="false" customHeight="true" outlineLevel="0" collapsed="false">
      <c r="B45" s="138" t="s">
        <v>4081</v>
      </c>
    </row>
    <row r="46" customFormat="false" ht="15" hidden="false" customHeight="true" outlineLevel="0" collapsed="false">
      <c r="B46" s="20" t="s">
        <v>4082</v>
      </c>
      <c r="C46" s="139" t="n">
        <v>0.0348</v>
      </c>
      <c r="D46" s="139"/>
      <c r="G46" s="24" t="s">
        <v>4083</v>
      </c>
      <c r="H46" s="25" t="s">
        <v>277</v>
      </c>
      <c r="I46" s="25" t="s">
        <v>276</v>
      </c>
      <c r="J46" s="25" t="s">
        <v>4084</v>
      </c>
      <c r="K46" s="25" t="s">
        <v>4085</v>
      </c>
      <c r="L46" s="25" t="str">
        <f aca="false">IF(D46&lt;&gt;"","Suggested by "&amp;IF(Partner_Name="","your provider",Partner_Name),G46)</f>
        <v>Central Bank of Ireland: average rate on new mortgages, Jul 2026</v>
      </c>
      <c r="M46" s="29" t="n">
        <f aca="false">IF(D46&lt;&gt;"",D46,IF(C46&lt;&gt;"",C46,""))</f>
        <v>0.0348</v>
      </c>
    </row>
    <row r="47" customFormat="false" ht="15" hidden="false" customHeight="true" outlineLevel="0" collapsed="false">
      <c r="B47" s="20" t="s">
        <v>4086</v>
      </c>
      <c r="C47" s="139" t="n">
        <v>0.0672</v>
      </c>
      <c r="D47" s="139"/>
      <c r="G47" s="24" t="s">
        <v>4087</v>
      </c>
      <c r="H47" s="25" t="s">
        <v>277</v>
      </c>
      <c r="I47" s="25" t="s">
        <v>276</v>
      </c>
      <c r="J47" s="25" t="s">
        <v>4088</v>
      </c>
      <c r="K47" s="25" t="s">
        <v>4085</v>
      </c>
      <c r="L47" s="25" t="str">
        <f aca="false">IF(D47&lt;&gt;"","Suggested by "&amp;IF(Partner_Name="","your provider",Partner_Name),G47)</f>
        <v>Central Bank of Ireland: average rate on new consumer loans, Jul 2026</v>
      </c>
      <c r="M47" s="29" t="n">
        <f aca="false">IF(D47&lt;&gt;"",D47,IF(C47&lt;&gt;"",C47,""))</f>
        <v>0.0672</v>
      </c>
    </row>
    <row r="48" customFormat="false" ht="15" hidden="false" customHeight="true" outlineLevel="0" collapsed="false">
      <c r="B48" s="20" t="s">
        <v>4089</v>
      </c>
      <c r="C48" s="139"/>
      <c r="D48" s="139"/>
      <c r="G48" s="24" t="s">
        <v>4090</v>
      </c>
      <c r="H48" s="25" t="s">
        <v>277</v>
      </c>
      <c r="I48" s="25" t="s">
        <v>282</v>
      </c>
      <c r="J48" s="25" t="s">
        <v>4091</v>
      </c>
      <c r="K48" s="25" t="s">
        <v>4085</v>
      </c>
      <c r="L48" s="25" t="str">
        <f aca="false">IF(D48&lt;&gt;"","Suggested by "&amp;IF(Partner_Name="","your provider",Partner_Name),G48)</f>
        <v>No published average</v>
      </c>
      <c r="M48" s="29" t="str">
        <f aca="false">IF(D48&lt;&gt;"",D48,IF(C48&lt;&gt;"",C48,""))</f>
        <v/>
      </c>
    </row>
    <row r="49" customFormat="false" ht="15" hidden="false" customHeight="true" outlineLevel="0" collapsed="false">
      <c r="B49" s="20" t="s">
        <v>4092</v>
      </c>
      <c r="C49" s="139" t="n">
        <v>0.0192</v>
      </c>
      <c r="D49" s="139"/>
      <c r="G49" s="24" t="s">
        <v>4093</v>
      </c>
      <c r="H49" s="25" t="s">
        <v>277</v>
      </c>
      <c r="I49" s="25" t="s">
        <v>276</v>
      </c>
      <c r="J49" s="25" t="s">
        <v>4094</v>
      </c>
      <c r="K49" s="25" t="s">
        <v>4085</v>
      </c>
      <c r="L49" s="25" t="str">
        <f aca="false">IF(D49&lt;&gt;"","Suggested by "&amp;IF(Partner_Name="","your provider",Partner_Name),G49)</f>
        <v>Central Bank of Ireland: average rate on new fixed-term household deposits, Jul 2026</v>
      </c>
      <c r="M49" s="29" t="n">
        <f aca="false">IF(D49&lt;&gt;"",D49,IF(C49&lt;&gt;"",C49,""))</f>
        <v>0.0192</v>
      </c>
    </row>
    <row r="50" customFormat="false" ht="15" hidden="false" customHeight="true" outlineLevel="0" collapsed="false">
      <c r="B50" s="20" t="s">
        <v>4095</v>
      </c>
      <c r="C50" s="141"/>
      <c r="D50" s="141"/>
      <c r="G50" s="24" t="s">
        <v>287</v>
      </c>
      <c r="H50" s="25" t="s">
        <v>287</v>
      </c>
      <c r="I50" s="25" t="s">
        <v>282</v>
      </c>
      <c r="J50" s="25"/>
      <c r="K50" s="25" t="s">
        <v>4096</v>
      </c>
      <c r="L50" s="25" t="str">
        <f aca="false">IF(D50&lt;&gt;"","Suggested by "&amp;IF(Partner_Name="","your provider",Partner_Name),G50)</f>
        <v>No published figure</v>
      </c>
      <c r="M50" s="31" t="str">
        <f aca="false">IF(D50&lt;&gt;"",D50,IF(C50&lt;&gt;"",C50,""))</f>
        <v/>
      </c>
    </row>
    <row r="51" customFormat="false" ht="15" hidden="false" customHeight="true" outlineLevel="0" collapsed="false">
      <c r="B51" s="20" t="s">
        <v>4097</v>
      </c>
      <c r="C51" s="139" t="n">
        <v>0.01</v>
      </c>
      <c r="D51" s="139"/>
      <c r="G51" s="24" t="s">
        <v>4098</v>
      </c>
      <c r="H51" s="25" t="s">
        <v>290</v>
      </c>
      <c r="I51" s="25" t="s">
        <v>119</v>
      </c>
      <c r="J51" s="25" t="s">
        <v>4099</v>
      </c>
      <c r="K51" s="25" t="s">
        <v>4085</v>
      </c>
      <c r="L51" s="25" t="str">
        <f aca="false">IF(D51&lt;&gt;"","Suggested by "&amp;IF(Partner_Name="","your provider",Partner_Name),G51)</f>
        <v>Pensions Authority pension calculator assumption</v>
      </c>
      <c r="M51" s="29" t="n">
        <f aca="false">IF(D51&lt;&gt;"",D51,IF(C51&lt;&gt;"",C51,""))</f>
        <v>0.01</v>
      </c>
    </row>
    <row r="52" customFormat="false" ht="15" hidden="false" customHeight="true" outlineLevel="0" collapsed="false">
      <c r="B52" s="138" t="s">
        <v>4100</v>
      </c>
    </row>
    <row r="53" customFormat="false" ht="15" hidden="false" customHeight="true" outlineLevel="0" collapsed="false">
      <c r="B53" s="20" t="s">
        <v>4101</v>
      </c>
      <c r="C53" s="24" t="n">
        <v>83</v>
      </c>
      <c r="G53" s="24" t="s">
        <v>4102</v>
      </c>
      <c r="H53" s="25" t="s">
        <v>4103</v>
      </c>
      <c r="I53" s="25" t="s">
        <v>4104</v>
      </c>
      <c r="J53" s="25"/>
      <c r="K53" s="25" t="s">
        <v>4105</v>
      </c>
    </row>
    <row r="54" customFormat="false" ht="15" hidden="false" customHeight="true" outlineLevel="0" collapsed="false">
      <c r="B54" s="20" t="s">
        <v>4106</v>
      </c>
      <c r="C54" s="24" t="n">
        <v>86</v>
      </c>
      <c r="G54" s="24" t="s">
        <v>4102</v>
      </c>
      <c r="H54" s="25" t="s">
        <v>4103</v>
      </c>
      <c r="I54" s="25" t="s">
        <v>4107</v>
      </c>
      <c r="J54" s="25"/>
      <c r="K54" s="25" t="s">
        <v>4105</v>
      </c>
    </row>
    <row r="55" customFormat="false" ht="15" hidden="false" customHeight="true" outlineLevel="0" collapsed="false">
      <c r="B55" s="138" t="s">
        <v>4108</v>
      </c>
    </row>
    <row r="56" customFormat="false" ht="15" hidden="false" customHeight="true" outlineLevel="0" collapsed="false">
      <c r="B56" s="20" t="s">
        <v>4109</v>
      </c>
      <c r="C56" s="47" t="n">
        <v>0.039</v>
      </c>
      <c r="G56" s="20" t="s">
        <v>873</v>
      </c>
    </row>
    <row r="57" customFormat="false" ht="15" hidden="false" customHeight="true" outlineLevel="0" collapsed="false">
      <c r="B57" s="20" t="s">
        <v>4110</v>
      </c>
      <c r="C57" s="143" t="n">
        <v>0.23</v>
      </c>
      <c r="G57" s="20" t="s">
        <v>4111</v>
      </c>
      <c r="H57" s="20" t="s">
        <v>880</v>
      </c>
      <c r="I57" s="20" t="s">
        <v>4112</v>
      </c>
    </row>
    <row r="59" customFormat="false" ht="15" hidden="false" customHeight="true" outlineLevel="0" collapsed="false">
      <c r="B59" s="20" t="s">
        <v>4113</v>
      </c>
      <c r="C59" s="24" t="n">
        <v>60</v>
      </c>
      <c r="G59" s="24" t="s">
        <v>4114</v>
      </c>
      <c r="H59" s="25" t="s">
        <v>4115</v>
      </c>
      <c r="I59" s="25" t="s">
        <v>119</v>
      </c>
      <c r="J59" s="25" t="s">
        <v>4116</v>
      </c>
      <c r="K59" s="25" t="s">
        <v>4117</v>
      </c>
    </row>
  </sheetData>
  <mergeCells count="1">
    <mergeCell ref="B2:K2"/>
  </mergeCells>
  <dataValidations count="39">
    <dataValidation allowBlank="true" error="Pay rises (a year): allowed 0 to 0.06" errorStyle="stop" errorTitle="Outside the allowed range" operator="between" showDropDown="false" showErrorMessage="true" showInputMessage="false" sqref="C9 F9" type="decimal">
      <formula1>0</formula1>
      <formula2>0.06</formula2>
    </dataValidation>
    <dataValidation allowBlank="true" error="Money for goals sooner than this is kept as cash (years): allowed 1 to 10 (whole numbers)" errorStyle="stop" errorTitle="Outside the allowed range" operator="between" showDropDown="false" showErrorMessage="true" showInputMessage="false" sqref="C27" type="whole">
      <formula1>1</formula1>
      <formula2>10</formula2>
    </dataValidation>
    <dataValidation allowBlank="true" error="Spare savings: share invested: allowed 0 to 1" errorStyle="stop" errorTitle="Outside the allowed range" operator="between" showDropDown="false" showErrorMessage="true" showInputMessage="false" sqref="C28" type="decimal">
      <formula1>0</formula1>
      <formula2>1</formula2>
    </dataValidation>
    <dataValidation allowBlank="true" error="Share of spare money saved, at most: allowed 0 to 1" errorStyle="stop" errorTitle="Outside the allowed range" operator="between" showDropDown="false" showErrorMessage="true" showInputMessage="false" sqref="C29" type="decimal">
      <formula1>0</formula1>
      <formula2>1</formula2>
    </dataValidation>
    <dataValidation allowBlank="true" error="Choose 50 or 60" errorStyle="stop" errorTitle="Pension access age" operator="between" showDropDown="false" showErrorMessage="true" showInputMessage="false" sqref="C59" type="list">
      <formula1>"50,60"</formula1>
      <formula2>0</formula2>
    </dataValidation>
    <dataValidation allowBlank="true" error="Inflation: prices rise (a year): allowed 0 to 0.1" errorStyle="stop" errorTitle="Outside the allowed range" operator="between" showDropDown="false" showErrorMessage="true" showInputMessage="false" sqref="C8" type="decimal">
      <formula1>0</formula1>
      <formula2>0.1</formula2>
    </dataValidation>
    <dataValidation allowBlank="true" error="Cash savings earn (a year, after DIRT): allowed 0 to 0.04" errorStyle="stop" errorTitle="Outside the allowed range" operator="between" showDropDown="false" showErrorMessage="true" showInputMessage="false" sqref="C10 F10" type="decimal">
      <formula1>0</formula1>
      <formula2>0.04</formula2>
    </dataValidation>
    <dataValidation allowBlank="true" error="Investments grow before fees and tax (a year; growth and fees tools): allowed 0 to 0.1" errorStyle="stop" errorTitle="Outside the allowed range" operator="between" showDropDown="false" showErrorMessage="true" showInputMessage="false" sqref="C12" type="decimal">
      <formula1>0</formula1>
      <formula2>0.1</formula2>
    </dataValidation>
    <dataValidation allowBlank="true" error="Pension grows while you work (a year, after charges): allowed 0 to 0.07" errorStyle="stop" errorTitle="Outside the allowed range" operator="between" showDropDown="false" showErrorMessage="true" showInputMessage="false" sqref="C13 F13" type="decimal">
      <formula1>0</formula1>
      <formula2>0.07</formula2>
    </dataValidation>
    <dataValidation allowBlank="true" error="Pension grows once retired (a year, after charges): allowed 0 to 0.07" errorStyle="stop" errorTitle="Outside the allowed range" operator="between" showDropDown="false" showErrorMessage="true" showInputMessage="false" sqref="C14 F14" type="decimal">
      <formula1>0</formula1>
      <formula2>0.07</formula2>
    </dataValidation>
    <dataValidation allowBlank="true" error="Rent vs buy: rent rises (a year): allowed 0 to 0.08" errorStyle="stop" errorTitle="Outside the allowed range" operator="between" showDropDown="false" showErrorMessage="true" showInputMessage="false" sqref="C16" type="decimal">
      <formula1>0</formula1>
      <formula2>0.08</formula2>
    </dataValidation>
    <dataValidation allowBlank="true" error="Rent vs buy: house prices rise (a year): allowed 0 to 0.06" errorStyle="stop" errorTitle="Outside the allowed range" operator="between" showDropDown="false" showErrorMessage="true" showInputMessage="false" sqref="C17" type="decimal">
      <formula1>0</formula1>
      <formula2>0.06</formula2>
    </dataValidation>
    <dataValidation allowBlank="true" error="Rent vs buy: upkeep a year (share of home value): allowed 0 to 0.03" errorStyle="stop" errorTitle="Outside the allowed range" operator="between" showDropDown="false" showErrorMessage="true" showInputMessage="false" sqref="C18" type="decimal">
      <formula1>0</formula1>
      <formula2>0.03</formula2>
    </dataValidation>
    <dataValidation allowBlank="true" error="Share of pension contributions you pay yourself: allowed 0 to 1" errorStyle="stop" errorTitle="Outside the allowed range" operator="between" showDropDown="false" showErrorMessage="true" showInputMessage="false" sqref="C20" type="decimal">
      <formula1>0</formula1>
      <formula2>1</formula2>
    </dataValidation>
    <dataValidation allowBlank="true" error="Retirement savings target: times the yearly income needed: allowed 20 to 33 (whole numbers)" errorStyle="stop" errorTitle="Outside the allowed range" operator="between" showDropDown="false" showErrorMessage="true" showInputMessage="false" sqref="C21" type="whole">
      <formula1>20</formula1>
      <formula2>33</formula2>
    </dataValidation>
    <dataValidation allowBlank="true" error="Retirement spending if no goal (share of today's spending): allowed 0.5 to 1.2" errorStyle="stop" errorTitle="Outside the allowed range" operator="between" showDropDown="false" showErrorMessage="true" showInputMessage="false" sqref="C22" type="decimal">
      <formula1>0.5</formula1>
      <formula2>1.2</formula2>
    </dataValidation>
    <dataValidation allowBlank="true" error="Tax-free lump sum to take (share of pension; law limit 25%): allowed 0 to 0.25" errorStyle="stop" errorTitle="Outside the allowed range" operator="between" showDropDown="false" showErrorMessage="true" showInputMessage="false" sqref="C23" type="decimal">
      <formula1>0</formula1>
      <formula2>0.25</formula2>
    </dataValidation>
    <dataValidation allowBlank="true" error="Emergency fund: months of essential spending: allowed 1 to 12 (whole numbers)" errorStyle="stop" errorTitle="Outside the allowed range" operator="between" showDropDown="false" showErrorMessage="true" showInputMessage="false" sqref="C25" type="whole">
      <formula1>1</formula1>
      <formula2>12</formula2>
    </dataValidation>
    <dataValidation allowBlank="true" error="Emergency fund: months with two secure incomes: allowed 1 to 12 (whole numbers)" errorStyle="stop" errorTitle="Outside the allowed range" operator="between" showDropDown="false" showErrorMessage="true" showInputMessage="false" sqref="C26" type="whole">
      <formula1>1</formula1>
      <formula2>12</formula2>
    </dataValidation>
    <dataValidation allowBlank="true" error="Monthly saving if not answered: allowed 0 to 5000" errorStyle="stop" errorTitle="Outside the allowed range" operator="between" showDropDown="false" showErrorMessage="true" showInputMessage="false" sqref="C30" type="decimal">
      <formula1>0</formula1>
      <formula2>5000</formula2>
    </dataValidation>
    <dataValidation allowBlank="true" error="Life cover: share of income the family needs: allowed 0.3 to 1" errorStyle="stop" errorTitle="Outside the allowed range" operator="between" showDropDown="false" showErrorMessage="true" showInputMessage="false" sqref="C32" type="decimal">
      <formula1>0.3</formula1>
      <formula2>1</formula2>
    </dataValidation>
    <dataValidation allowBlank="true" error="Life cover: years of support: allowed 1 to 30 (whole numbers)" errorStyle="stop" errorTitle="Outside the allowed range" operator="between" showDropDown="false" showErrorMessage="true" showInputMessage="false" sqref="C33" type="whole">
      <formula1>1</formula1>
      <formula2>30</formula2>
    </dataValidation>
    <dataValidation allowBlank="true" error="Risk and return: growth a year, Cautious / Balanced / Growth: allowed 0 to 0.08" errorStyle="stop" errorTitle="Outside the allowed range" operator="between" showDropDown="false" showErrorMessage="true" showInputMessage="false" sqref="C35:E35" type="decimal">
      <formula1>0</formula1>
      <formula2>0.08</formula2>
    </dataValidation>
    <dataValidation allowBlank="true" error="Risk and return: ups and downs (volatility), Cautious / Balanced / Growth: allowed 0 to 0.25" errorStyle="stop" errorTitle="Outside the allowed range" operator="between" showDropDown="false" showErrorMessage="true" showInputMessage="false" sqref="C36:E36" type="decimal">
      <formula1>0</formula1>
      <formula2>0.25</formula2>
    </dataValidation>
    <dataValidation allowBlank="true" error="Budget split: needs / wants / savings and debt: allowed 0 to 1" errorStyle="stop" errorTitle="Outside the allowed range" operator="between" showDropDown="false" showErrorMessage="true" showInputMessage="false" sqref="C37:E37" type="decimal">
      <formula1>0</formula1>
      <formula2>1</formula2>
    </dataValidation>
    <dataValidation allowBlank="true" error="Choose one of: prices,flat" errorStyle="stop" errorTitle="Not in the list" operator="between" showDropDown="false" showErrorMessage="true" showInputMessage="false" sqref="C39" type="list">
      <formula1>"prices,flat"</formula1>
      <formula2>0</formula2>
    </dataValidation>
    <dataValidation allowBlank="true" error="Choose one of: prices,pay,flat" errorStyle="stop" errorTitle="Not in the list" operator="between" showDropDown="false" showErrorMessage="true" showInputMessage="false" sqref="C40" type="list">
      <formula1>"prices,pay,flat"</formula1>
      <formula2>0</formula2>
    </dataValidation>
    <dataValidation allowBlank="true" error="Choose one of: spread,min,fixed" errorStyle="stop" errorTitle="Not in the list" operator="between" showDropDown="false" showErrorMessage="true" showInputMessage="false" sqref="C41" type="list">
      <formula1>"spread,min,fixed"</formula1>
      <formula2>0</formula2>
    </dataValidation>
    <dataValidation allowBlank="true" error="Choose one of: start,end" errorStyle="stop" errorTitle="Not in the list" operator="between" showDropDown="false" showErrorMessage="true" showInputMessage="false" sqref="C42" type="list">
      <formula1>"start,end"</formula1>
      <formula2>0</formula2>
    </dataValidation>
    <dataValidation allowBlank="true" error="Lump sum tool: years you might wait before investing: allowed 1 to 20 (whole numbers)" errorStyle="stop" errorTitle="Outside the allowed range" operator="between" showDropDown="false" showErrorMessage="true" showInputMessage="false" sqref="C43" type="whole">
      <formula1>1</formula1>
      <formula2>20</formula2>
    </dataValidation>
    <dataValidation allowBlank="true" error="Risk and return tool: investment style (1 Cautious, 2 Balanced, 3 Growth): allowed 1 to 3 (whole numbers)" errorStyle="stop" errorTitle="Outside the allowed range" operator="between" showDropDown="false" showErrorMessage="true" showInputMessage="false" sqref="C44" type="whole">
      <formula1>1</formula1>
      <formula2>3</formula2>
    </dataValidation>
    <dataValidation allowBlank="true" error="Suggested mortgage rate: allowed 0.01 to 0.08" errorStyle="stop" errorTitle="Outside the allowed range" operator="between" showDropDown="false" showErrorMessage="true" showInputMessage="false" sqref="C46:D46" type="decimal">
      <formula1>0.01</formula1>
      <formula2>0.08</formula2>
    </dataValidation>
    <dataValidation allowBlank="true" error="Suggested personal and car loan rate (APR): allowed 0 to 0.25" errorStyle="stop" errorTitle="Outside the allowed range" operator="between" showDropDown="false" showErrorMessage="true" showInputMessage="false" sqref="C47:D47" type="decimal">
      <formula1>0</formula1>
      <formula2>0.25</formula2>
    </dataValidation>
    <dataValidation allowBlank="true" error="Suggested credit card rate (APR): allowed 0 to 0.35" errorStyle="stop" errorTitle="Outside the allowed range" operator="between" showDropDown="false" showErrorMessage="true" showInputMessage="false" sqref="C48:D48" type="decimal">
      <formula1>0</formula1>
      <formula2>0.35</formula2>
    </dataValidation>
    <dataValidation allowBlank="true" error="Suggested deposit rate (fixed term, before 33% DIRT): allowed 0 to 0.06" errorStyle="stop" errorTitle="Outside the allowed range" operator="between" showDropDown="false" showErrorMessage="true" showInputMessage="false" sqref="C49:D49" type="decimal">
      <formula1>0</formula1>
      <formula2>0.06</formula2>
    </dataValidation>
    <dataValidation allowBlank="true" error="Suggested buying fees (legal and survey): allowed 0 to 10000" errorStyle="stop" errorTitle="Outside the allowed range" operator="between" showDropDown="false" showErrorMessage="true" showInputMessage="false" sqref="C50:D50" type="decimal">
      <formula1>0</formula1>
      <formula2>10000</formula2>
    </dataValidation>
    <dataValidation allowBlank="true" error="Suggested fund and pension charges (a year): allowed 0 to 0.025" errorStyle="stop" errorTitle="Outside the allowed range" operator="between" showDropDown="false" showErrorMessage="true" showInputMessage="false" sqref="C51:D51" type="decimal">
      <formula1>0</formula1>
      <formula2>0.025</formula2>
    </dataValidation>
    <dataValidation allowBlank="true" error="Life expectancy at 65, men (years): guidance only: allowed 60 to 110 (whole numbers)" errorStyle="stop" errorTitle="Outside the allowed range" operator="between" showDropDown="false" showErrorMessage="true" showInputMessage="false" sqref="C53" type="whole">
      <formula1>60</formula1>
      <formula2>110</formula2>
    </dataValidation>
    <dataValidation allowBlank="true" error="Life expectancy at 65, women (years): guidance only: allowed 60 to 110 (whole numbers)" errorStyle="stop" errorTitle="Outside the allowed range" operator="between" showDropDown="false" showErrorMessage="true" showInputMessage="false" sqref="C54" type="whole">
      <formula1>60</formula1>
      <formula2>110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H13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20" width="2"/>
    <col collapsed="false" customWidth="true" hidden="false" outlineLevel="0" max="2" min="2" style="20" width="66"/>
    <col collapsed="false" customWidth="true" hidden="false" outlineLevel="0" max="3" min="3" style="20" width="14"/>
    <col collapsed="false" customWidth="true" hidden="false" outlineLevel="0" max="4" min="4" style="20" width="26"/>
    <col collapsed="false" customWidth="true" hidden="false" outlineLevel="0" max="5" min="5" style="20" width="64"/>
    <col collapsed="false" customWidth="true" hidden="false" outlineLevel="0" max="6" min="6" style="20" width="16"/>
    <col collapsed="false" customWidth="true" hidden="false" outlineLevel="0" max="7" min="7" style="20" width="26"/>
    <col collapsed="false" customWidth="true" hidden="false" outlineLevel="0" max="8" min="8" style="20" width="8"/>
  </cols>
  <sheetData>
    <row r="1" customFormat="false" ht="19.5" hidden="false" customHeight="true" outlineLevel="0" collapsed="false">
      <c r="B1" s="50" t="s">
        <v>4118</v>
      </c>
    </row>
    <row r="2" customFormat="false" ht="15" hidden="false" customHeight="true" outlineLevel="0" collapsed="false">
      <c r="B2" s="144" t="s">
        <v>4119</v>
      </c>
    </row>
    <row r="3" customFormat="false" ht="39.75" hidden="false" customHeight="true" outlineLevel="0" collapsed="false">
      <c r="B3" s="145" t="s">
        <v>4120</v>
      </c>
      <c r="C3" s="145"/>
      <c r="D3" s="145"/>
      <c r="E3" s="145"/>
      <c r="F3" s="145"/>
      <c r="G3" s="145"/>
    </row>
    <row r="4" customFormat="false" ht="15" hidden="false" customHeight="true" outlineLevel="0" collapsed="false">
      <c r="B4" s="25" t="s">
        <v>4121</v>
      </c>
    </row>
    <row r="5" customFormat="false" ht="15" hidden="false" customHeight="true" outlineLevel="0" collapsed="false">
      <c r="B5" s="55" t="s">
        <v>4122</v>
      </c>
      <c r="C5" s="58"/>
      <c r="D5" s="58"/>
      <c r="E5" s="58"/>
      <c r="F5" s="58"/>
      <c r="G5" s="58"/>
      <c r="H5" s="58"/>
    </row>
    <row r="6" customFormat="false" ht="15" hidden="false" customHeight="true" outlineLevel="0" collapsed="false">
      <c r="B6" s="146" t="s">
        <v>4123</v>
      </c>
      <c r="C6" s="146" t="s">
        <v>1173</v>
      </c>
      <c r="D6" s="146" t="s">
        <v>4124</v>
      </c>
      <c r="E6" s="146" t="s">
        <v>4125</v>
      </c>
      <c r="F6" s="146" t="s">
        <v>588</v>
      </c>
      <c r="G6" s="146" t="s">
        <v>4126</v>
      </c>
      <c r="H6" s="146" t="s">
        <v>4127</v>
      </c>
    </row>
    <row r="7" customFormat="false" ht="39.75" hidden="false" customHeight="true" outlineLevel="0" collapsed="false">
      <c r="B7" s="147" t="str">
        <f aca="false">"Ireland's prices are rising "&amp;TEXT(Set_inflNow,"0.0%")&amp;" a year right now (CSO HICP flash estimate, September 2026, published 1 Oct 2026), mostly because of energy. HICP Aug 2026: 3.4%; CPI Aug 2026: 3.7%. Over decades, planners usually use 2%–2.5% (ECB target 2%). This is the one Ireland-today "&amp;"figure quoted everywhere (same as the prototype RULES_IE_2026.infl.ie)."</f>
        <v>Ireland's prices are rising 3.9% a year right now (CSO HICP flash estimate, September 2026, published 1 Oct 2026), mostly because of energy. HICP Aug 2026: 3.4%; CPI Aug 2026: 3.7%. Over decades, planners usually use 2%–2.5% (ECB target 2%). This is the one Ireland-today figure quoted everywhere (same as the prototype RULES_IE_2026.infl.ie).</v>
      </c>
      <c r="C7" s="147"/>
      <c r="D7" s="147"/>
      <c r="E7" s="148" t="s">
        <v>4128</v>
      </c>
    </row>
    <row r="8" customFormat="false" ht="15" hidden="false" customHeight="true" outlineLevel="0" collapsed="false">
      <c r="B8" s="55" t="s">
        <v>4129</v>
      </c>
      <c r="C8" s="58"/>
      <c r="D8" s="58"/>
      <c r="E8" s="58"/>
      <c r="F8" s="58"/>
      <c r="G8" s="58"/>
      <c r="H8" s="58"/>
    </row>
    <row r="9" customFormat="false" ht="15" hidden="false" customHeight="true" outlineLevel="0" collapsed="false">
      <c r="B9" s="146" t="s">
        <v>4123</v>
      </c>
      <c r="C9" s="146" t="s">
        <v>1173</v>
      </c>
      <c r="D9" s="146" t="s">
        <v>4124</v>
      </c>
      <c r="E9" s="146" t="s">
        <v>4125</v>
      </c>
      <c r="F9" s="146" t="s">
        <v>588</v>
      </c>
      <c r="G9" s="146" t="s">
        <v>4126</v>
      </c>
      <c r="H9" s="146" t="s">
        <v>4127</v>
      </c>
    </row>
    <row r="10" customFormat="false" ht="24" hidden="false" customHeight="true" outlineLevel="0" collapsed="false">
      <c r="B10" s="59" t="s">
        <v>4130</v>
      </c>
      <c r="C10" s="149" t="n">
        <v>44000</v>
      </c>
      <c r="D10" s="150" t="s">
        <v>4131</v>
      </c>
      <c r="E10" s="148" t="s">
        <v>4132</v>
      </c>
      <c r="F10" s="150" t="s">
        <v>638</v>
      </c>
      <c r="G10" s="151" t="s">
        <v>4133</v>
      </c>
      <c r="H10" s="148" t="s">
        <v>4134</v>
      </c>
    </row>
    <row r="11" customFormat="false" ht="24" hidden="false" customHeight="true" outlineLevel="0" collapsed="false">
      <c r="B11" s="59" t="s">
        <v>4135</v>
      </c>
      <c r="C11" s="149" t="n">
        <v>48000</v>
      </c>
      <c r="D11" s="150" t="s">
        <v>4136</v>
      </c>
      <c r="E11" s="148" t="s">
        <v>4137</v>
      </c>
      <c r="F11" s="150" t="s">
        <v>638</v>
      </c>
      <c r="G11" s="151" t="s">
        <v>4138</v>
      </c>
      <c r="H11" s="148" t="s">
        <v>4139</v>
      </c>
    </row>
    <row r="12" customFormat="false" ht="24" hidden="false" customHeight="true" outlineLevel="0" collapsed="false">
      <c r="B12" s="59" t="s">
        <v>4140</v>
      </c>
      <c r="C12" s="149" t="n">
        <v>53000</v>
      </c>
      <c r="D12" s="150" t="s">
        <v>4136</v>
      </c>
      <c r="E12" s="148" t="s">
        <v>4132</v>
      </c>
      <c r="F12" s="150" t="s">
        <v>638</v>
      </c>
      <c r="G12" s="151" t="s">
        <v>4133</v>
      </c>
      <c r="H12" s="148" t="s">
        <v>4141</v>
      </c>
    </row>
    <row r="13" customFormat="false" ht="24" hidden="false" customHeight="true" outlineLevel="0" collapsed="false">
      <c r="B13" s="59" t="s">
        <v>4142</v>
      </c>
      <c r="C13" s="149" t="n">
        <v>35000</v>
      </c>
      <c r="D13" s="150" t="s">
        <v>4136</v>
      </c>
      <c r="E13" s="148" t="s">
        <v>4132</v>
      </c>
      <c r="F13" s="150" t="s">
        <v>638</v>
      </c>
      <c r="G13" s="151" t="s">
        <v>4133</v>
      </c>
      <c r="H13" s="148" t="s">
        <v>4143</v>
      </c>
    </row>
    <row r="14" customFormat="false" ht="24" hidden="false" customHeight="true" outlineLevel="0" collapsed="false">
      <c r="B14" s="59" t="s">
        <v>4144</v>
      </c>
      <c r="C14" s="152" t="n">
        <v>0.2</v>
      </c>
      <c r="D14" s="150" t="s">
        <v>4136</v>
      </c>
      <c r="E14" s="148" t="s">
        <v>4132</v>
      </c>
      <c r="F14" s="150" t="s">
        <v>119</v>
      </c>
      <c r="G14" s="151" t="s">
        <v>4133</v>
      </c>
      <c r="H14" s="148" t="s">
        <v>4145</v>
      </c>
    </row>
    <row r="15" customFormat="false" ht="24" hidden="false" customHeight="true" outlineLevel="0" collapsed="false">
      <c r="B15" s="59" t="s">
        <v>4146</v>
      </c>
      <c r="C15" s="152" t="n">
        <v>0.4</v>
      </c>
      <c r="D15" s="150" t="s">
        <v>4147</v>
      </c>
      <c r="E15" s="148" t="s">
        <v>4132</v>
      </c>
      <c r="F15" s="150" t="s">
        <v>119</v>
      </c>
      <c r="G15" s="151" t="s">
        <v>4133</v>
      </c>
      <c r="H15" s="148" t="s">
        <v>4145</v>
      </c>
    </row>
    <row r="16" customFormat="false" ht="24" hidden="false" customHeight="true" outlineLevel="0" collapsed="false">
      <c r="B16" s="59" t="s">
        <v>4148</v>
      </c>
      <c r="C16" s="149" t="n">
        <v>2000</v>
      </c>
      <c r="D16" s="150" t="s">
        <v>4136</v>
      </c>
      <c r="E16" s="148" t="s">
        <v>4132</v>
      </c>
      <c r="F16" s="150" t="s">
        <v>119</v>
      </c>
      <c r="G16" s="151" t="s">
        <v>4133</v>
      </c>
      <c r="H16" s="148" t="s">
        <v>4149</v>
      </c>
    </row>
    <row r="17" customFormat="false" ht="24" hidden="false" customHeight="true" outlineLevel="0" collapsed="false">
      <c r="B17" s="59" t="s">
        <v>4150</v>
      </c>
      <c r="C17" s="149" t="n">
        <v>4000</v>
      </c>
      <c r="D17" s="150" t="s">
        <v>4136</v>
      </c>
      <c r="E17" s="148" t="s">
        <v>4132</v>
      </c>
      <c r="F17" s="150" t="s">
        <v>119</v>
      </c>
      <c r="G17" s="151" t="s">
        <v>4133</v>
      </c>
      <c r="H17" s="148" t="s">
        <v>4149</v>
      </c>
    </row>
    <row r="18" customFormat="false" ht="24" hidden="false" customHeight="true" outlineLevel="0" collapsed="false">
      <c r="B18" s="59" t="s">
        <v>4151</v>
      </c>
      <c r="C18" s="149" t="n">
        <v>2000</v>
      </c>
      <c r="D18" s="150" t="s">
        <v>4136</v>
      </c>
      <c r="E18" s="148" t="s">
        <v>624</v>
      </c>
      <c r="F18" s="150" t="s">
        <v>119</v>
      </c>
      <c r="G18" s="151" t="s">
        <v>4133</v>
      </c>
      <c r="H18" s="148" t="s">
        <v>4152</v>
      </c>
    </row>
    <row r="19" customFormat="false" ht="24" hidden="false" customHeight="true" outlineLevel="0" collapsed="false">
      <c r="B19" s="59" t="s">
        <v>4153</v>
      </c>
      <c r="C19" s="152" t="n">
        <v>0.2</v>
      </c>
      <c r="D19" s="150" t="s">
        <v>4136</v>
      </c>
      <c r="E19" s="148" t="s">
        <v>3933</v>
      </c>
      <c r="F19" s="150" t="s">
        <v>119</v>
      </c>
      <c r="G19" s="151" t="s">
        <v>4133</v>
      </c>
      <c r="H19" s="148" t="s">
        <v>4152</v>
      </c>
    </row>
    <row r="20" customFormat="false" ht="24" hidden="false" customHeight="true" outlineLevel="0" collapsed="false">
      <c r="B20" s="59" t="s">
        <v>4154</v>
      </c>
      <c r="C20" s="149" t="n">
        <v>1900</v>
      </c>
      <c r="D20" s="150" t="s">
        <v>4136</v>
      </c>
      <c r="E20" s="148" t="s">
        <v>4137</v>
      </c>
      <c r="F20" s="150" t="s">
        <v>638</v>
      </c>
      <c r="G20" s="151" t="s">
        <v>4138</v>
      </c>
      <c r="H20" s="148" t="s">
        <v>4139</v>
      </c>
    </row>
    <row r="21" customFormat="false" ht="24" hidden="false" customHeight="true" outlineLevel="0" collapsed="false">
      <c r="B21" s="59" t="s">
        <v>4155</v>
      </c>
      <c r="C21" s="149" t="n">
        <v>1000</v>
      </c>
      <c r="D21" s="150" t="s">
        <v>4136</v>
      </c>
      <c r="E21" s="148" t="s">
        <v>4137</v>
      </c>
      <c r="F21" s="150" t="s">
        <v>4156</v>
      </c>
      <c r="G21" s="151" t="s">
        <v>4138</v>
      </c>
      <c r="H21" s="148" t="s">
        <v>4157</v>
      </c>
    </row>
    <row r="22" customFormat="false" ht="24" hidden="false" customHeight="true" outlineLevel="0" collapsed="false">
      <c r="B22" s="59" t="s">
        <v>4158</v>
      </c>
      <c r="C22" s="149" t="n">
        <v>2000</v>
      </c>
      <c r="D22" s="150" t="s">
        <v>4136</v>
      </c>
      <c r="E22" s="148" t="s">
        <v>4137</v>
      </c>
      <c r="F22" s="150" t="s">
        <v>4156</v>
      </c>
      <c r="G22" s="151" t="s">
        <v>4138</v>
      </c>
      <c r="H22" s="148" t="s">
        <v>4157</v>
      </c>
    </row>
    <row r="23" customFormat="false" ht="24" hidden="false" customHeight="true" outlineLevel="0" collapsed="false">
      <c r="B23" s="59" t="s">
        <v>4159</v>
      </c>
      <c r="C23" s="149" t="n">
        <v>1950</v>
      </c>
      <c r="D23" s="150" t="s">
        <v>4136</v>
      </c>
      <c r="E23" s="148" t="s">
        <v>4137</v>
      </c>
      <c r="F23" s="150" t="s">
        <v>119</v>
      </c>
      <c r="G23" s="151" t="s">
        <v>4160</v>
      </c>
      <c r="H23" s="148" t="s">
        <v>4161</v>
      </c>
    </row>
    <row r="24" customFormat="false" ht="15" hidden="false" customHeight="true" outlineLevel="0" collapsed="false">
      <c r="B24" s="55" t="s">
        <v>4162</v>
      </c>
      <c r="C24" s="58"/>
      <c r="D24" s="58"/>
      <c r="E24" s="58"/>
      <c r="F24" s="58"/>
      <c r="G24" s="58"/>
      <c r="H24" s="58"/>
    </row>
    <row r="25" customFormat="false" ht="15" hidden="false" customHeight="true" outlineLevel="0" collapsed="false">
      <c r="B25" s="146" t="s">
        <v>4123</v>
      </c>
      <c r="C25" s="146" t="s">
        <v>1173</v>
      </c>
      <c r="D25" s="146" t="s">
        <v>4124</v>
      </c>
      <c r="E25" s="146" t="s">
        <v>4125</v>
      </c>
      <c r="F25" s="146" t="s">
        <v>588</v>
      </c>
      <c r="G25" s="146" t="s">
        <v>4126</v>
      </c>
      <c r="H25" s="146" t="s">
        <v>4127</v>
      </c>
    </row>
    <row r="26" customFormat="false" ht="24" hidden="false" customHeight="true" outlineLevel="0" collapsed="false">
      <c r="B26" s="59" t="s">
        <v>4163</v>
      </c>
      <c r="C26" s="149" t="n">
        <v>13000</v>
      </c>
      <c r="D26" s="150" t="s">
        <v>4136</v>
      </c>
      <c r="E26" s="148" t="s">
        <v>4132</v>
      </c>
      <c r="F26" s="150" t="s">
        <v>119</v>
      </c>
      <c r="G26" s="151" t="s">
        <v>4133</v>
      </c>
      <c r="H26" s="148" t="s">
        <v>4164</v>
      </c>
    </row>
    <row r="27" customFormat="false" ht="24" hidden="false" customHeight="true" outlineLevel="0" collapsed="false">
      <c r="B27" s="59" t="s">
        <v>4165</v>
      </c>
      <c r="C27" s="149" t="n">
        <v>12012</v>
      </c>
      <c r="D27" s="150" t="s">
        <v>4136</v>
      </c>
      <c r="E27" s="148" t="s">
        <v>4132</v>
      </c>
      <c r="F27" s="150" t="s">
        <v>638</v>
      </c>
      <c r="G27" s="151" t="s">
        <v>4133</v>
      </c>
      <c r="H27" s="148" t="s">
        <v>4166</v>
      </c>
    </row>
    <row r="28" customFormat="false" ht="24" hidden="false" customHeight="true" outlineLevel="0" collapsed="false">
      <c r="B28" s="59" t="s">
        <v>4167</v>
      </c>
      <c r="C28" s="149" t="n">
        <v>28700</v>
      </c>
      <c r="D28" s="150" t="s">
        <v>4136</v>
      </c>
      <c r="E28" s="148" t="s">
        <v>4132</v>
      </c>
      <c r="F28" s="150" t="s">
        <v>638</v>
      </c>
      <c r="G28" s="151" t="s">
        <v>4133</v>
      </c>
      <c r="H28" s="148" t="s">
        <v>4166</v>
      </c>
    </row>
    <row r="29" customFormat="false" ht="24" hidden="false" customHeight="true" outlineLevel="0" collapsed="false">
      <c r="B29" s="59" t="s">
        <v>4168</v>
      </c>
      <c r="C29" s="149" t="n">
        <v>70044</v>
      </c>
      <c r="D29" s="150" t="s">
        <v>4136</v>
      </c>
      <c r="E29" s="148" t="s">
        <v>4132</v>
      </c>
      <c r="F29" s="150" t="s">
        <v>638</v>
      </c>
      <c r="G29" s="151" t="s">
        <v>4133</v>
      </c>
      <c r="H29" s="148" t="s">
        <v>4166</v>
      </c>
    </row>
    <row r="30" customFormat="false" ht="24" hidden="false" customHeight="true" outlineLevel="0" collapsed="false">
      <c r="B30" s="59" t="s">
        <v>4169</v>
      </c>
      <c r="C30" s="153" t="n">
        <v>0.005</v>
      </c>
      <c r="D30" s="150" t="s">
        <v>4136</v>
      </c>
      <c r="E30" s="148" t="s">
        <v>4132</v>
      </c>
      <c r="F30" s="150" t="s">
        <v>119</v>
      </c>
      <c r="G30" s="151" t="s">
        <v>4133</v>
      </c>
      <c r="H30" s="148" t="s">
        <v>4166</v>
      </c>
    </row>
    <row r="31" customFormat="false" ht="24" hidden="false" customHeight="true" outlineLevel="0" collapsed="false">
      <c r="B31" s="59" t="s">
        <v>4170</v>
      </c>
      <c r="C31" s="153" t="n">
        <v>0.02</v>
      </c>
      <c r="D31" s="150" t="s">
        <v>4136</v>
      </c>
      <c r="E31" s="148" t="s">
        <v>4132</v>
      </c>
      <c r="F31" s="150" t="s">
        <v>119</v>
      </c>
      <c r="G31" s="151" t="s">
        <v>4133</v>
      </c>
      <c r="H31" s="148" t="s">
        <v>4166</v>
      </c>
    </row>
    <row r="32" customFormat="false" ht="24" hidden="false" customHeight="true" outlineLevel="0" collapsed="false">
      <c r="B32" s="59" t="s">
        <v>4171</v>
      </c>
      <c r="C32" s="153" t="n">
        <v>0.03</v>
      </c>
      <c r="D32" s="150" t="s">
        <v>4136</v>
      </c>
      <c r="E32" s="148" t="s">
        <v>4132</v>
      </c>
      <c r="F32" s="150" t="s">
        <v>119</v>
      </c>
      <c r="G32" s="151" t="s">
        <v>4133</v>
      </c>
      <c r="H32" s="148" t="s">
        <v>4166</v>
      </c>
    </row>
    <row r="33" customFormat="false" ht="24" hidden="false" customHeight="true" outlineLevel="0" collapsed="false">
      <c r="B33" s="59" t="s">
        <v>4172</v>
      </c>
      <c r="C33" s="153" t="n">
        <v>0.08</v>
      </c>
      <c r="D33" s="150" t="s">
        <v>4136</v>
      </c>
      <c r="E33" s="148" t="s">
        <v>4132</v>
      </c>
      <c r="F33" s="150" t="s">
        <v>119</v>
      </c>
      <c r="G33" s="151" t="s">
        <v>4133</v>
      </c>
      <c r="H33" s="148" t="s">
        <v>4166</v>
      </c>
    </row>
    <row r="34" customFormat="false" ht="39.75" hidden="false" customHeight="true" outlineLevel="0" collapsed="false">
      <c r="B34" s="147" t="s">
        <v>4173</v>
      </c>
      <c r="C34" s="147"/>
      <c r="D34" s="147"/>
      <c r="E34" s="148" t="s">
        <v>4132</v>
      </c>
    </row>
    <row r="35" customFormat="false" ht="15" hidden="false" customHeight="true" outlineLevel="0" collapsed="false">
      <c r="B35" s="55" t="s">
        <v>4174</v>
      </c>
      <c r="C35" s="58"/>
      <c r="D35" s="58"/>
      <c r="E35" s="58"/>
      <c r="F35" s="58"/>
      <c r="G35" s="58"/>
      <c r="H35" s="58"/>
    </row>
    <row r="36" customFormat="false" ht="15" hidden="false" customHeight="true" outlineLevel="0" collapsed="false">
      <c r="B36" s="146" t="s">
        <v>4123</v>
      </c>
      <c r="C36" s="146" t="s">
        <v>1173</v>
      </c>
      <c r="D36" s="146" t="s">
        <v>4124</v>
      </c>
      <c r="E36" s="146" t="s">
        <v>4125</v>
      </c>
      <c r="F36" s="146" t="s">
        <v>588</v>
      </c>
      <c r="G36" s="146" t="s">
        <v>4126</v>
      </c>
      <c r="H36" s="146" t="s">
        <v>4127</v>
      </c>
    </row>
    <row r="37" customFormat="false" ht="24" hidden="false" customHeight="true" outlineLevel="0" collapsed="false">
      <c r="B37" s="59" t="s">
        <v>4175</v>
      </c>
      <c r="C37" s="154" t="n">
        <v>0.0435</v>
      </c>
      <c r="D37" s="150" t="s">
        <v>4136</v>
      </c>
      <c r="E37" s="148" t="s">
        <v>4176</v>
      </c>
      <c r="F37" s="150" t="s">
        <v>874</v>
      </c>
      <c r="G37" s="151" t="s">
        <v>4133</v>
      </c>
      <c r="H37" s="148" t="s">
        <v>4177</v>
      </c>
    </row>
    <row r="38" customFormat="false" ht="24" hidden="false" customHeight="true" outlineLevel="0" collapsed="false">
      <c r="B38" s="59" t="s">
        <v>4178</v>
      </c>
      <c r="C38" s="155" t="n">
        <v>0.042375</v>
      </c>
      <c r="D38" s="150" t="s">
        <v>4179</v>
      </c>
      <c r="E38" s="148" t="s">
        <v>4176</v>
      </c>
      <c r="F38" s="150" t="s">
        <v>119</v>
      </c>
      <c r="G38" s="151" t="s">
        <v>4133</v>
      </c>
      <c r="H38" s="148" t="s">
        <v>4180</v>
      </c>
    </row>
    <row r="39" customFormat="false" ht="24" hidden="false" customHeight="true" outlineLevel="0" collapsed="false">
      <c r="B39" s="59" t="s">
        <v>4181</v>
      </c>
      <c r="C39" s="149" t="n">
        <v>352</v>
      </c>
      <c r="D39" s="150" t="s">
        <v>4136</v>
      </c>
      <c r="E39" s="148" t="s">
        <v>4182</v>
      </c>
      <c r="F39" s="150" t="s">
        <v>119</v>
      </c>
      <c r="G39" s="151" t="s">
        <v>4133</v>
      </c>
      <c r="H39" s="148" t="s">
        <v>4183</v>
      </c>
    </row>
    <row r="40" customFormat="false" ht="24" hidden="false" customHeight="true" outlineLevel="0" collapsed="false">
      <c r="B40" s="59" t="s">
        <v>4184</v>
      </c>
      <c r="C40" s="149" t="n">
        <v>12</v>
      </c>
      <c r="D40" s="150" t="s">
        <v>4136</v>
      </c>
      <c r="E40" s="148" t="s">
        <v>3933</v>
      </c>
      <c r="F40" s="150" t="s">
        <v>119</v>
      </c>
      <c r="G40" s="151" t="s">
        <v>4133</v>
      </c>
      <c r="H40" s="148" t="s">
        <v>4183</v>
      </c>
    </row>
    <row r="41" customFormat="false" ht="24" hidden="false" customHeight="true" outlineLevel="0" collapsed="false">
      <c r="B41" s="59" t="s">
        <v>4185</v>
      </c>
      <c r="C41" s="149" t="n">
        <v>424</v>
      </c>
      <c r="D41" s="150" t="s">
        <v>4136</v>
      </c>
      <c r="E41" s="148" t="s">
        <v>3933</v>
      </c>
      <c r="F41" s="150" t="s">
        <v>119</v>
      </c>
      <c r="G41" s="151" t="s">
        <v>4133</v>
      </c>
      <c r="H41" s="148" t="s">
        <v>4183</v>
      </c>
    </row>
    <row r="42" customFormat="false" ht="24" hidden="false" customHeight="true" outlineLevel="0" collapsed="false">
      <c r="B42" s="59" t="s">
        <v>4186</v>
      </c>
      <c r="C42" s="156" t="n">
        <v>6</v>
      </c>
      <c r="D42" s="150" t="s">
        <v>4136</v>
      </c>
      <c r="E42" s="148" t="s">
        <v>3933</v>
      </c>
      <c r="F42" s="150" t="s">
        <v>119</v>
      </c>
      <c r="G42" s="151" t="s">
        <v>4133</v>
      </c>
      <c r="H42" s="148" t="s">
        <v>4183</v>
      </c>
    </row>
    <row r="43" customFormat="false" ht="39.75" hidden="false" customHeight="true" outlineLevel="0" collapsed="false">
      <c r="B43" s="147" t="s">
        <v>4187</v>
      </c>
      <c r="C43" s="147"/>
      <c r="D43" s="147"/>
      <c r="E43" s="148" t="s">
        <v>4188</v>
      </c>
    </row>
    <row r="44" customFormat="false" ht="15" hidden="false" customHeight="true" outlineLevel="0" collapsed="false">
      <c r="B44" s="55" t="s">
        <v>4189</v>
      </c>
      <c r="C44" s="58"/>
      <c r="D44" s="58"/>
      <c r="E44" s="58"/>
      <c r="F44" s="58"/>
      <c r="G44" s="58"/>
      <c r="H44" s="58"/>
    </row>
    <row r="45" customFormat="false" ht="15" hidden="false" customHeight="true" outlineLevel="0" collapsed="false">
      <c r="B45" s="146" t="s">
        <v>4123</v>
      </c>
      <c r="C45" s="146" t="s">
        <v>1173</v>
      </c>
      <c r="D45" s="146" t="s">
        <v>4124</v>
      </c>
      <c r="E45" s="146" t="s">
        <v>4125</v>
      </c>
      <c r="F45" s="146" t="s">
        <v>588</v>
      </c>
      <c r="G45" s="146" t="s">
        <v>4126</v>
      </c>
      <c r="H45" s="146" t="s">
        <v>4127</v>
      </c>
    </row>
    <row r="46" customFormat="false" ht="15" hidden="false" customHeight="true" outlineLevel="0" collapsed="false">
      <c r="B46" s="59" t="s">
        <v>4190</v>
      </c>
      <c r="C46" s="157" t="n">
        <v>0</v>
      </c>
      <c r="D46" s="152" t="n">
        <v>0.15</v>
      </c>
      <c r="E46" s="158" t="s">
        <v>4191</v>
      </c>
      <c r="F46" s="159" t="s">
        <v>710</v>
      </c>
      <c r="G46" s="160" t="s">
        <v>4138</v>
      </c>
      <c r="H46" s="158" t="s">
        <v>4192</v>
      </c>
    </row>
    <row r="47" customFormat="false" ht="15" hidden="false" customHeight="true" outlineLevel="0" collapsed="false">
      <c r="B47" s="59" t="s">
        <v>4193</v>
      </c>
      <c r="C47" s="157" t="n">
        <v>30</v>
      </c>
      <c r="D47" s="152" t="n">
        <v>0.2</v>
      </c>
      <c r="E47" s="158" t="s">
        <v>4191</v>
      </c>
      <c r="F47" s="159" t="s">
        <v>710</v>
      </c>
      <c r="G47" s="160" t="s">
        <v>4138</v>
      </c>
      <c r="H47" s="158" t="s">
        <v>4192</v>
      </c>
    </row>
    <row r="48" customFormat="false" ht="15" hidden="false" customHeight="true" outlineLevel="0" collapsed="false">
      <c r="B48" s="59" t="s">
        <v>4194</v>
      </c>
      <c r="C48" s="157" t="n">
        <v>40</v>
      </c>
      <c r="D48" s="152" t="n">
        <v>0.25</v>
      </c>
      <c r="E48" s="158" t="s">
        <v>4191</v>
      </c>
      <c r="F48" s="159" t="s">
        <v>710</v>
      </c>
      <c r="G48" s="160" t="s">
        <v>4138</v>
      </c>
      <c r="H48" s="158" t="s">
        <v>4192</v>
      </c>
    </row>
    <row r="49" customFormat="false" ht="15" hidden="false" customHeight="true" outlineLevel="0" collapsed="false">
      <c r="B49" s="59" t="s">
        <v>4195</v>
      </c>
      <c r="C49" s="157" t="n">
        <v>50</v>
      </c>
      <c r="D49" s="152" t="n">
        <v>0.3</v>
      </c>
      <c r="E49" s="158" t="s">
        <v>4191</v>
      </c>
      <c r="F49" s="159" t="s">
        <v>710</v>
      </c>
      <c r="G49" s="160" t="s">
        <v>4138</v>
      </c>
      <c r="H49" s="158" t="s">
        <v>4192</v>
      </c>
    </row>
    <row r="50" customFormat="false" ht="15" hidden="false" customHeight="true" outlineLevel="0" collapsed="false">
      <c r="B50" s="59" t="s">
        <v>4196</v>
      </c>
      <c r="C50" s="157" t="n">
        <v>55</v>
      </c>
      <c r="D50" s="152" t="n">
        <v>0.35</v>
      </c>
      <c r="E50" s="158" t="s">
        <v>4191</v>
      </c>
      <c r="F50" s="159" t="s">
        <v>710</v>
      </c>
      <c r="G50" s="160" t="s">
        <v>4138</v>
      </c>
      <c r="H50" s="158" t="s">
        <v>4192</v>
      </c>
    </row>
    <row r="51" customFormat="false" ht="15" hidden="false" customHeight="true" outlineLevel="0" collapsed="false">
      <c r="B51" s="59" t="s">
        <v>4197</v>
      </c>
      <c r="C51" s="157" t="n">
        <v>60</v>
      </c>
      <c r="D51" s="152" t="n">
        <v>0.4</v>
      </c>
      <c r="E51" s="158" t="s">
        <v>4191</v>
      </c>
      <c r="F51" s="159" t="s">
        <v>710</v>
      </c>
      <c r="G51" s="160" t="s">
        <v>4138</v>
      </c>
      <c r="H51" s="158" t="s">
        <v>4192</v>
      </c>
    </row>
    <row r="52" customFormat="false" ht="24" hidden="false" customHeight="true" outlineLevel="0" collapsed="false">
      <c r="B52" s="59" t="s">
        <v>4198</v>
      </c>
      <c r="C52" s="149" t="n">
        <v>115000</v>
      </c>
      <c r="D52" s="150" t="s">
        <v>4199</v>
      </c>
      <c r="E52" s="148" t="s">
        <v>4191</v>
      </c>
      <c r="F52" s="150" t="s">
        <v>710</v>
      </c>
      <c r="G52" s="151" t="s">
        <v>4138</v>
      </c>
      <c r="H52" s="148" t="s">
        <v>4200</v>
      </c>
    </row>
    <row r="53" customFormat="false" ht="24" hidden="false" customHeight="true" outlineLevel="0" collapsed="false">
      <c r="B53" s="59" t="s">
        <v>4201</v>
      </c>
      <c r="C53" s="152" t="n">
        <v>0.25</v>
      </c>
      <c r="D53" s="150" t="s">
        <v>303</v>
      </c>
      <c r="E53" s="148" t="s">
        <v>4202</v>
      </c>
      <c r="F53" s="150" t="s">
        <v>716</v>
      </c>
      <c r="G53" s="151" t="s">
        <v>4138</v>
      </c>
      <c r="H53" s="148" t="s">
        <v>4203</v>
      </c>
    </row>
    <row r="54" customFormat="false" ht="24" hidden="false" customHeight="true" outlineLevel="0" collapsed="false">
      <c r="B54" s="59" t="s">
        <v>4204</v>
      </c>
      <c r="C54" s="149" t="n">
        <v>200000</v>
      </c>
      <c r="D54" s="150" t="s">
        <v>303</v>
      </c>
      <c r="E54" s="148" t="s">
        <v>4202</v>
      </c>
      <c r="F54" s="150" t="s">
        <v>716</v>
      </c>
      <c r="G54" s="151" t="s">
        <v>4138</v>
      </c>
      <c r="H54" s="148" t="s">
        <v>4203</v>
      </c>
    </row>
    <row r="55" customFormat="false" ht="24" hidden="false" customHeight="true" outlineLevel="0" collapsed="false">
      <c r="B55" s="59" t="s">
        <v>4205</v>
      </c>
      <c r="C55" s="149" t="n">
        <v>500000</v>
      </c>
      <c r="D55" s="150" t="s">
        <v>303</v>
      </c>
      <c r="E55" s="148" t="s">
        <v>4202</v>
      </c>
      <c r="F55" s="150" t="s">
        <v>716</v>
      </c>
      <c r="G55" s="151" t="s">
        <v>4138</v>
      </c>
      <c r="H55" s="148" t="s">
        <v>4203</v>
      </c>
    </row>
    <row r="56" customFormat="false" ht="24" hidden="false" customHeight="true" outlineLevel="0" collapsed="false">
      <c r="B56" s="59" t="s">
        <v>4206</v>
      </c>
      <c r="C56" s="152" t="n">
        <v>0.2</v>
      </c>
      <c r="D56" s="150" t="s">
        <v>303</v>
      </c>
      <c r="E56" s="148" t="s">
        <v>4202</v>
      </c>
      <c r="F56" s="150" t="s">
        <v>716</v>
      </c>
      <c r="G56" s="151" t="s">
        <v>4138</v>
      </c>
      <c r="H56" s="148" t="s">
        <v>4203</v>
      </c>
    </row>
    <row r="57" customFormat="false" ht="24" hidden="false" customHeight="true" outlineLevel="0" collapsed="false">
      <c r="B57" s="59" t="s">
        <v>4207</v>
      </c>
      <c r="C57" s="149" t="n">
        <v>2200000</v>
      </c>
      <c r="D57" s="150" t="s">
        <v>4208</v>
      </c>
      <c r="E57" s="148" t="s">
        <v>4202</v>
      </c>
      <c r="F57" s="150" t="s">
        <v>638</v>
      </c>
      <c r="G57" s="151" t="s">
        <v>4138</v>
      </c>
      <c r="H57" s="148" t="s">
        <v>4209</v>
      </c>
    </row>
    <row r="58" customFormat="false" ht="24" hidden="false" customHeight="true" outlineLevel="0" collapsed="false">
      <c r="B58" s="59" t="s">
        <v>4210</v>
      </c>
      <c r="C58" s="152" t="n">
        <v>0.4</v>
      </c>
      <c r="D58" s="150" t="s">
        <v>4208</v>
      </c>
      <c r="E58" s="148" t="s">
        <v>4202</v>
      </c>
      <c r="F58" s="150" t="s">
        <v>657</v>
      </c>
      <c r="G58" s="151" t="s">
        <v>4138</v>
      </c>
      <c r="H58" s="148" t="s">
        <v>4209</v>
      </c>
    </row>
    <row r="59" customFormat="false" ht="24" hidden="false" customHeight="true" outlineLevel="0" collapsed="false">
      <c r="B59" s="59" t="s">
        <v>4211</v>
      </c>
      <c r="C59" s="156" t="n">
        <v>60</v>
      </c>
      <c r="D59" s="150" t="s">
        <v>4208</v>
      </c>
      <c r="E59" s="148" t="s">
        <v>4212</v>
      </c>
      <c r="F59" s="150" t="s">
        <v>657</v>
      </c>
      <c r="G59" s="151" t="s">
        <v>4213</v>
      </c>
      <c r="H59" s="148" t="s">
        <v>4214</v>
      </c>
    </row>
    <row r="60" customFormat="false" ht="39.75" hidden="false" customHeight="true" outlineLevel="0" collapsed="false">
      <c r="B60" s="147" t="s">
        <v>4215</v>
      </c>
      <c r="C60" s="147"/>
      <c r="D60" s="147"/>
      <c r="E60" s="148" t="s">
        <v>4216</v>
      </c>
    </row>
    <row r="61" customFormat="false" ht="15" hidden="false" customHeight="true" outlineLevel="0" collapsed="false">
      <c r="B61" s="55" t="s">
        <v>4217</v>
      </c>
      <c r="C61" s="58"/>
      <c r="D61" s="58"/>
      <c r="E61" s="58"/>
      <c r="F61" s="58"/>
      <c r="G61" s="58"/>
      <c r="H61" s="58"/>
    </row>
    <row r="62" customFormat="false" ht="15" hidden="false" customHeight="true" outlineLevel="0" collapsed="false">
      <c r="B62" s="146" t="s">
        <v>4123</v>
      </c>
      <c r="C62" s="146" t="s">
        <v>1173</v>
      </c>
      <c r="D62" s="146" t="s">
        <v>4124</v>
      </c>
      <c r="E62" s="146" t="s">
        <v>4125</v>
      </c>
      <c r="F62" s="146" t="s">
        <v>588</v>
      </c>
      <c r="G62" s="146" t="s">
        <v>4126</v>
      </c>
      <c r="H62" s="146" t="s">
        <v>4127</v>
      </c>
    </row>
    <row r="63" customFormat="false" ht="24" hidden="false" customHeight="true" outlineLevel="0" collapsed="false">
      <c r="B63" s="59" t="s">
        <v>4218</v>
      </c>
      <c r="C63" s="161" t="n">
        <v>299.3</v>
      </c>
      <c r="D63" s="150" t="s">
        <v>4219</v>
      </c>
      <c r="E63" s="148" t="s">
        <v>4220</v>
      </c>
      <c r="F63" s="150" t="s">
        <v>638</v>
      </c>
      <c r="G63" s="151" t="s">
        <v>4133</v>
      </c>
      <c r="H63" s="148" t="s">
        <v>4221</v>
      </c>
    </row>
    <row r="64" customFormat="false" ht="24" hidden="false" customHeight="true" outlineLevel="0" collapsed="false">
      <c r="B64" s="59" t="s">
        <v>4222</v>
      </c>
      <c r="C64" s="161" t="n">
        <f aca="false">State_Pension_Week*Weeks_Per_Year</f>
        <v>15563.6</v>
      </c>
      <c r="D64" s="150" t="s">
        <v>4223</v>
      </c>
      <c r="E64" s="148" t="s">
        <v>4220</v>
      </c>
      <c r="F64" s="150" t="s">
        <v>638</v>
      </c>
      <c r="G64" s="151" t="s">
        <v>4133</v>
      </c>
      <c r="H64" s="148" t="s">
        <v>4221</v>
      </c>
    </row>
    <row r="65" customFormat="false" ht="24" hidden="false" customHeight="true" outlineLevel="0" collapsed="false">
      <c r="B65" s="59" t="s">
        <v>4224</v>
      </c>
      <c r="C65" s="156" t="n">
        <v>66</v>
      </c>
      <c r="D65" s="150" t="s">
        <v>4225</v>
      </c>
      <c r="E65" s="148" t="s">
        <v>772</v>
      </c>
      <c r="F65" s="150" t="s">
        <v>657</v>
      </c>
      <c r="G65" s="151" t="s">
        <v>4133</v>
      </c>
      <c r="H65" s="148" t="s">
        <v>4226</v>
      </c>
    </row>
    <row r="66" customFormat="false" ht="24" hidden="false" customHeight="true" outlineLevel="0" collapsed="false">
      <c r="B66" s="59" t="s">
        <v>4227</v>
      </c>
      <c r="C66" s="161" t="n">
        <v>259.5</v>
      </c>
      <c r="D66" s="150" t="s">
        <v>312</v>
      </c>
      <c r="E66" s="148" t="s">
        <v>4228</v>
      </c>
      <c r="F66" s="150" t="s">
        <v>638</v>
      </c>
      <c r="G66" s="151" t="s">
        <v>4138</v>
      </c>
      <c r="H66" s="148" t="s">
        <v>4229</v>
      </c>
    </row>
    <row r="67" customFormat="false" ht="24" hidden="false" customHeight="true" outlineLevel="0" collapsed="false">
      <c r="B67" s="59" t="s">
        <v>4230</v>
      </c>
      <c r="C67" s="161" t="n">
        <v>299.3</v>
      </c>
      <c r="D67" s="150" t="s">
        <v>4231</v>
      </c>
      <c r="E67" s="148" t="s">
        <v>3933</v>
      </c>
      <c r="F67" s="150" t="s">
        <v>638</v>
      </c>
      <c r="G67" s="151" t="s">
        <v>4138</v>
      </c>
      <c r="H67" s="148" t="s">
        <v>4229</v>
      </c>
    </row>
    <row r="68" customFormat="false" ht="24" hidden="false" customHeight="true" outlineLevel="0" collapsed="false">
      <c r="B68" s="59" t="s">
        <v>4232</v>
      </c>
      <c r="C68" s="161" t="n">
        <v>254</v>
      </c>
      <c r="D68" s="150" t="s">
        <v>313</v>
      </c>
      <c r="E68" s="148" t="s">
        <v>781</v>
      </c>
      <c r="F68" s="150" t="s">
        <v>638</v>
      </c>
      <c r="G68" s="151" t="s">
        <v>4138</v>
      </c>
      <c r="H68" s="148" t="s">
        <v>4233</v>
      </c>
    </row>
    <row r="69" customFormat="false" ht="24" hidden="false" customHeight="true" outlineLevel="0" collapsed="false">
      <c r="B69" s="59" t="s">
        <v>4234</v>
      </c>
      <c r="C69" s="152" t="n">
        <v>0.75</v>
      </c>
      <c r="D69" s="150" t="s">
        <v>313</v>
      </c>
      <c r="E69" s="148" t="s">
        <v>4235</v>
      </c>
      <c r="F69" s="150" t="s">
        <v>4236</v>
      </c>
      <c r="G69" s="151" t="s">
        <v>4237</v>
      </c>
      <c r="H69" s="148" t="s">
        <v>4238</v>
      </c>
    </row>
    <row r="70" customFormat="false" ht="24" hidden="false" customHeight="true" outlineLevel="0" collapsed="false">
      <c r="B70" s="59" t="s">
        <v>4239</v>
      </c>
      <c r="C70" s="156" t="n">
        <v>52</v>
      </c>
      <c r="D70" s="150" t="s">
        <v>4240</v>
      </c>
      <c r="E70" s="148" t="s">
        <v>801</v>
      </c>
      <c r="F70" s="150" t="s">
        <v>282</v>
      </c>
      <c r="G70" s="148" t="s">
        <v>450</v>
      </c>
      <c r="H70" s="148" t="s">
        <v>282</v>
      </c>
    </row>
    <row r="71" customFormat="false" ht="15" hidden="false" customHeight="true" outlineLevel="0" collapsed="false">
      <c r="B71" s="55" t="s">
        <v>4241</v>
      </c>
      <c r="C71" s="58"/>
      <c r="D71" s="58"/>
      <c r="E71" s="58"/>
      <c r="F71" s="58"/>
      <c r="G71" s="58"/>
      <c r="H71" s="58"/>
    </row>
    <row r="72" customFormat="false" ht="15" hidden="false" customHeight="true" outlineLevel="0" collapsed="false">
      <c r="B72" s="146" t="s">
        <v>4123</v>
      </c>
      <c r="C72" s="146" t="s">
        <v>1173</v>
      </c>
      <c r="D72" s="146" t="s">
        <v>4124</v>
      </c>
      <c r="E72" s="146" t="s">
        <v>4125</v>
      </c>
      <c r="F72" s="146" t="s">
        <v>588</v>
      </c>
      <c r="G72" s="146" t="s">
        <v>4126</v>
      </c>
      <c r="H72" s="146" t="s">
        <v>4127</v>
      </c>
    </row>
    <row r="73" customFormat="false" ht="24" hidden="false" customHeight="true" outlineLevel="0" collapsed="false">
      <c r="B73" s="59" t="s">
        <v>4242</v>
      </c>
      <c r="C73" s="152" t="n">
        <v>0.33</v>
      </c>
      <c r="D73" s="150" t="s">
        <v>4243</v>
      </c>
      <c r="E73" s="148" t="s">
        <v>819</v>
      </c>
      <c r="F73" s="150" t="s">
        <v>119</v>
      </c>
      <c r="G73" s="151" t="s">
        <v>4138</v>
      </c>
      <c r="H73" s="148" t="s">
        <v>4244</v>
      </c>
    </row>
    <row r="74" customFormat="false" ht="24" hidden="false" customHeight="true" outlineLevel="0" collapsed="false">
      <c r="B74" s="59" t="s">
        <v>4245</v>
      </c>
      <c r="C74" s="152" t="n">
        <v>0.38</v>
      </c>
      <c r="D74" s="150" t="s">
        <v>4243</v>
      </c>
      <c r="E74" s="148" t="s">
        <v>4246</v>
      </c>
      <c r="F74" s="150" t="s">
        <v>638</v>
      </c>
      <c r="G74" s="151" t="s">
        <v>4133</v>
      </c>
      <c r="H74" s="148" t="s">
        <v>4247</v>
      </c>
    </row>
    <row r="75" customFormat="false" ht="24" hidden="false" customHeight="true" outlineLevel="0" collapsed="false">
      <c r="B75" s="59" t="s">
        <v>4248</v>
      </c>
      <c r="C75" s="156" t="n">
        <v>8</v>
      </c>
      <c r="D75" s="150" t="s">
        <v>4249</v>
      </c>
      <c r="E75" s="148" t="s">
        <v>826</v>
      </c>
      <c r="F75" s="150" t="s">
        <v>119</v>
      </c>
      <c r="G75" s="151" t="s">
        <v>4138</v>
      </c>
      <c r="H75" s="148" t="s">
        <v>4250</v>
      </c>
    </row>
    <row r="76" customFormat="false" ht="24" hidden="false" customHeight="true" outlineLevel="0" collapsed="false">
      <c r="B76" s="59" t="s">
        <v>4251</v>
      </c>
      <c r="C76" s="152" t="n">
        <v>0.01</v>
      </c>
      <c r="D76" s="150" t="s">
        <v>4252</v>
      </c>
      <c r="E76" s="148" t="s">
        <v>4253</v>
      </c>
      <c r="F76" s="150" t="s">
        <v>119</v>
      </c>
      <c r="G76" s="151" t="s">
        <v>4133</v>
      </c>
      <c r="H76" s="148" t="s">
        <v>4254</v>
      </c>
    </row>
    <row r="77" customFormat="false" ht="15" hidden="false" customHeight="true" outlineLevel="0" collapsed="false">
      <c r="B77" s="55" t="s">
        <v>4255</v>
      </c>
      <c r="C77" s="58"/>
      <c r="D77" s="58"/>
      <c r="E77" s="58"/>
      <c r="F77" s="58"/>
      <c r="G77" s="58"/>
      <c r="H77" s="58"/>
    </row>
    <row r="78" customFormat="false" ht="15" hidden="false" customHeight="true" outlineLevel="0" collapsed="false">
      <c r="B78" s="146" t="s">
        <v>4123</v>
      </c>
      <c r="C78" s="146" t="s">
        <v>1173</v>
      </c>
      <c r="D78" s="146" t="s">
        <v>4124</v>
      </c>
      <c r="E78" s="146" t="s">
        <v>4125</v>
      </c>
      <c r="F78" s="146" t="s">
        <v>588</v>
      </c>
      <c r="G78" s="146" t="s">
        <v>4126</v>
      </c>
      <c r="H78" s="146" t="s">
        <v>4127</v>
      </c>
    </row>
    <row r="79" customFormat="false" ht="24" hidden="false" customHeight="true" outlineLevel="0" collapsed="false">
      <c r="B79" s="59" t="s">
        <v>4256</v>
      </c>
      <c r="C79" s="162" t="n">
        <v>4</v>
      </c>
      <c r="D79" s="150" t="s">
        <v>292</v>
      </c>
      <c r="E79" s="148" t="s">
        <v>853</v>
      </c>
      <c r="F79" s="150" t="s">
        <v>852</v>
      </c>
      <c r="G79" s="151" t="s">
        <v>4133</v>
      </c>
      <c r="H79" s="148" t="s">
        <v>4257</v>
      </c>
    </row>
    <row r="80" customFormat="false" ht="24" hidden="false" customHeight="true" outlineLevel="0" collapsed="false">
      <c r="B80" s="59" t="s">
        <v>4258</v>
      </c>
      <c r="C80" s="162" t="n">
        <v>3.5</v>
      </c>
      <c r="D80" s="150" t="s">
        <v>292</v>
      </c>
      <c r="E80" s="148" t="s">
        <v>853</v>
      </c>
      <c r="F80" s="150" t="s">
        <v>852</v>
      </c>
      <c r="G80" s="151" t="s">
        <v>4133</v>
      </c>
      <c r="H80" s="148" t="s">
        <v>4257</v>
      </c>
    </row>
    <row r="81" customFormat="false" ht="24" hidden="false" customHeight="true" outlineLevel="0" collapsed="false">
      <c r="B81" s="59" t="s">
        <v>4259</v>
      </c>
      <c r="C81" s="152" t="n">
        <v>0.9</v>
      </c>
      <c r="D81" s="150" t="s">
        <v>4260</v>
      </c>
      <c r="E81" s="148" t="s">
        <v>853</v>
      </c>
      <c r="F81" s="150" t="s">
        <v>852</v>
      </c>
      <c r="G81" s="151" t="s">
        <v>4133</v>
      </c>
      <c r="H81" s="148" t="s">
        <v>4261</v>
      </c>
    </row>
    <row r="82" customFormat="false" ht="24" hidden="false" customHeight="true" outlineLevel="0" collapsed="false">
      <c r="B82" s="59" t="s">
        <v>4262</v>
      </c>
      <c r="C82" s="152" t="n">
        <f aca="false">1-LTV_Max</f>
        <v>0.1</v>
      </c>
      <c r="D82" s="150" t="s">
        <v>4263</v>
      </c>
      <c r="E82" s="148" t="s">
        <v>4264</v>
      </c>
      <c r="F82" s="150" t="s">
        <v>852</v>
      </c>
      <c r="G82" s="151" t="s">
        <v>4133</v>
      </c>
      <c r="H82" s="148" t="s">
        <v>4265</v>
      </c>
    </row>
    <row r="83" customFormat="false" ht="39.75" hidden="false" customHeight="true" outlineLevel="0" collapsed="false">
      <c r="B83" s="147" t="s">
        <v>4266</v>
      </c>
      <c r="C83" s="147"/>
      <c r="D83" s="147"/>
      <c r="E83" s="148" t="s">
        <v>4267</v>
      </c>
    </row>
    <row r="84" customFormat="false" ht="24" hidden="false" customHeight="true" outlineLevel="0" collapsed="false">
      <c r="B84" s="59" t="s">
        <v>4268</v>
      </c>
      <c r="C84" s="152" t="n">
        <v>0.01</v>
      </c>
      <c r="D84" s="150" t="s">
        <v>4269</v>
      </c>
      <c r="E84" s="148" t="s">
        <v>862</v>
      </c>
      <c r="F84" s="150" t="s">
        <v>861</v>
      </c>
      <c r="G84" s="151" t="s">
        <v>4138</v>
      </c>
      <c r="H84" s="148" t="s">
        <v>4270</v>
      </c>
    </row>
    <row r="85" customFormat="false" ht="24" hidden="false" customHeight="true" outlineLevel="0" collapsed="false">
      <c r="B85" s="59" t="s">
        <v>4271</v>
      </c>
      <c r="C85" s="149" t="n">
        <v>1000000</v>
      </c>
      <c r="D85" s="150" t="s">
        <v>4269</v>
      </c>
      <c r="E85" s="148" t="s">
        <v>862</v>
      </c>
      <c r="F85" s="150" t="s">
        <v>861</v>
      </c>
      <c r="G85" s="151" t="s">
        <v>4138</v>
      </c>
      <c r="H85" s="148" t="s">
        <v>4270</v>
      </c>
    </row>
    <row r="86" customFormat="false" ht="24" hidden="false" customHeight="true" outlineLevel="0" collapsed="false">
      <c r="B86" s="59" t="s">
        <v>4272</v>
      </c>
      <c r="C86" s="152" t="n">
        <v>0.02</v>
      </c>
      <c r="D86" s="150" t="s">
        <v>4269</v>
      </c>
      <c r="E86" s="148" t="s">
        <v>862</v>
      </c>
      <c r="F86" s="150" t="s">
        <v>861</v>
      </c>
      <c r="G86" s="151" t="s">
        <v>4138</v>
      </c>
      <c r="H86" s="148" t="s">
        <v>4270</v>
      </c>
    </row>
    <row r="87" customFormat="false" ht="24" hidden="false" customHeight="true" outlineLevel="0" collapsed="false">
      <c r="B87" s="59" t="s">
        <v>4273</v>
      </c>
      <c r="C87" s="149" t="n">
        <v>1500000</v>
      </c>
      <c r="D87" s="150" t="s">
        <v>4269</v>
      </c>
      <c r="E87" s="148" t="s">
        <v>862</v>
      </c>
      <c r="F87" s="150" t="s">
        <v>861</v>
      </c>
      <c r="G87" s="151" t="s">
        <v>4138</v>
      </c>
      <c r="H87" s="148" t="s">
        <v>4270</v>
      </c>
    </row>
    <row r="88" customFormat="false" ht="24" hidden="false" customHeight="true" outlineLevel="0" collapsed="false">
      <c r="B88" s="59" t="s">
        <v>4274</v>
      </c>
      <c r="C88" s="152" t="n">
        <v>0.06</v>
      </c>
      <c r="D88" s="150" t="s">
        <v>4269</v>
      </c>
      <c r="E88" s="148" t="s">
        <v>862</v>
      </c>
      <c r="F88" s="150" t="s">
        <v>861</v>
      </c>
      <c r="G88" s="151" t="s">
        <v>4138</v>
      </c>
      <c r="H88" s="148" t="s">
        <v>4270</v>
      </c>
    </row>
    <row r="89" customFormat="false" ht="39.75" hidden="false" customHeight="true" outlineLevel="0" collapsed="false">
      <c r="B89" s="147" t="s">
        <v>4275</v>
      </c>
      <c r="C89" s="147"/>
      <c r="D89" s="147"/>
      <c r="E89" s="148" t="s">
        <v>4276</v>
      </c>
    </row>
    <row r="90" customFormat="false" ht="15" hidden="false" customHeight="true" outlineLevel="0" collapsed="false">
      <c r="B90" s="55" t="s">
        <v>4277</v>
      </c>
      <c r="C90" s="58"/>
      <c r="D90" s="58"/>
      <c r="E90" s="58"/>
      <c r="F90" s="58"/>
      <c r="G90" s="58"/>
      <c r="H90" s="58"/>
    </row>
    <row r="91" customFormat="false" ht="15" hidden="false" customHeight="true" outlineLevel="0" collapsed="false">
      <c r="B91" s="146" t="s">
        <v>4123</v>
      </c>
      <c r="C91" s="146" t="s">
        <v>1173</v>
      </c>
      <c r="D91" s="146" t="s">
        <v>4124</v>
      </c>
      <c r="E91" s="146" t="s">
        <v>4125</v>
      </c>
      <c r="F91" s="146" t="s">
        <v>588</v>
      </c>
      <c r="G91" s="146" t="s">
        <v>4126</v>
      </c>
      <c r="H91" s="146" t="s">
        <v>4127</v>
      </c>
    </row>
    <row r="92" customFormat="false" ht="24" hidden="false" customHeight="true" outlineLevel="0" collapsed="false">
      <c r="B92" s="59" t="s">
        <v>4278</v>
      </c>
      <c r="C92" s="152" t="n">
        <v>0.7</v>
      </c>
      <c r="D92" s="150" t="s">
        <v>311</v>
      </c>
      <c r="E92" s="148" t="s">
        <v>4279</v>
      </c>
      <c r="F92" s="150" t="s">
        <v>282</v>
      </c>
      <c r="G92" s="148" t="s">
        <v>450</v>
      </c>
      <c r="H92" s="148" t="s">
        <v>282</v>
      </c>
    </row>
    <row r="93" customFormat="false" ht="24" hidden="false" customHeight="true" outlineLevel="0" collapsed="false">
      <c r="B93" s="59" t="s">
        <v>4280</v>
      </c>
      <c r="C93" s="152" t="n">
        <v>0.4</v>
      </c>
      <c r="D93" s="150" t="s">
        <v>311</v>
      </c>
      <c r="E93" s="148" t="s">
        <v>4281</v>
      </c>
      <c r="F93" s="150" t="s">
        <v>282</v>
      </c>
      <c r="G93" s="148" t="s">
        <v>450</v>
      </c>
      <c r="H93" s="148" t="s">
        <v>282</v>
      </c>
    </row>
    <row r="94" customFormat="false" ht="24" hidden="false" customHeight="true" outlineLevel="0" collapsed="false">
      <c r="B94" s="59" t="s">
        <v>4282</v>
      </c>
      <c r="C94" s="156" t="n">
        <v>365</v>
      </c>
      <c r="D94" s="150" t="s">
        <v>4283</v>
      </c>
      <c r="E94" s="148" t="s">
        <v>4284</v>
      </c>
      <c r="F94" s="150" t="s">
        <v>282</v>
      </c>
      <c r="G94" s="148" t="s">
        <v>450</v>
      </c>
      <c r="H94" s="148" t="s">
        <v>282</v>
      </c>
    </row>
    <row r="95" customFormat="false" ht="24" hidden="false" customHeight="true" outlineLevel="0" collapsed="false">
      <c r="B95" s="59" t="s">
        <v>4285</v>
      </c>
      <c r="C95" s="152" t="n">
        <v>0.8</v>
      </c>
      <c r="D95" s="150" t="s">
        <v>4286</v>
      </c>
      <c r="E95" s="148" t="s">
        <v>4284</v>
      </c>
      <c r="F95" s="150" t="s">
        <v>282</v>
      </c>
      <c r="G95" s="148" t="s">
        <v>450</v>
      </c>
      <c r="H95" s="148" t="s">
        <v>282</v>
      </c>
    </row>
    <row r="96" customFormat="false" ht="15" hidden="false" customHeight="true" outlineLevel="0" collapsed="false">
      <c r="B96" s="55" t="s">
        <v>4287</v>
      </c>
      <c r="C96" s="58"/>
      <c r="D96" s="58"/>
      <c r="E96" s="58"/>
      <c r="F96" s="58"/>
      <c r="G96" s="58"/>
      <c r="H96" s="58"/>
    </row>
    <row r="97" customFormat="false" ht="15" hidden="false" customHeight="true" outlineLevel="0" collapsed="false">
      <c r="B97" s="146" t="s">
        <v>4123</v>
      </c>
      <c r="C97" s="146" t="s">
        <v>1173</v>
      </c>
      <c r="D97" s="146" t="s">
        <v>4124</v>
      </c>
      <c r="E97" s="146" t="s">
        <v>4125</v>
      </c>
      <c r="F97" s="146" t="s">
        <v>588</v>
      </c>
      <c r="G97" s="146" t="s">
        <v>4126</v>
      </c>
      <c r="H97" s="146" t="s">
        <v>4127</v>
      </c>
    </row>
    <row r="98" customFormat="false" ht="24" hidden="false" customHeight="true" outlineLevel="0" collapsed="false">
      <c r="B98" s="59" t="s">
        <v>4288</v>
      </c>
      <c r="C98" s="156" t="n">
        <v>1200</v>
      </c>
      <c r="D98" s="150" t="s">
        <v>4289</v>
      </c>
      <c r="E98" s="148" t="s">
        <v>4290</v>
      </c>
      <c r="F98" s="150" t="s">
        <v>282</v>
      </c>
      <c r="G98" s="148" t="s">
        <v>450</v>
      </c>
      <c r="H98" s="148" t="s">
        <v>282</v>
      </c>
    </row>
    <row r="99" customFormat="false" ht="24" hidden="false" customHeight="true" outlineLevel="0" collapsed="false">
      <c r="B99" s="59" t="s">
        <v>4291</v>
      </c>
      <c r="C99" s="156" t="n">
        <v>60</v>
      </c>
      <c r="D99" s="150" t="s">
        <v>4292</v>
      </c>
      <c r="E99" s="148" t="s">
        <v>4290</v>
      </c>
      <c r="F99" s="150" t="s">
        <v>282</v>
      </c>
      <c r="G99" s="148" t="s">
        <v>450</v>
      </c>
      <c r="H99" s="148" t="s">
        <v>282</v>
      </c>
    </row>
    <row r="100" customFormat="false" ht="24" hidden="false" customHeight="true" outlineLevel="0" collapsed="false">
      <c r="B100" s="59" t="s">
        <v>4293</v>
      </c>
      <c r="C100" s="156" t="n">
        <v>5</v>
      </c>
      <c r="D100" s="150" t="s">
        <v>314</v>
      </c>
      <c r="E100" s="148" t="s">
        <v>4290</v>
      </c>
      <c r="F100" s="150" t="s">
        <v>282</v>
      </c>
      <c r="G100" s="148" t="s">
        <v>450</v>
      </c>
      <c r="H100" s="148" t="s">
        <v>282</v>
      </c>
    </row>
    <row r="101" customFormat="false" ht="24" hidden="false" customHeight="true" outlineLevel="0" collapsed="false">
      <c r="B101" s="59" t="s">
        <v>4294</v>
      </c>
      <c r="C101" s="156" t="n">
        <v>10</v>
      </c>
      <c r="D101" s="150" t="s">
        <v>314</v>
      </c>
      <c r="E101" s="148" t="s">
        <v>4290</v>
      </c>
      <c r="F101" s="150" t="s">
        <v>282</v>
      </c>
      <c r="G101" s="148" t="s">
        <v>450</v>
      </c>
      <c r="H101" s="148" t="s">
        <v>282</v>
      </c>
    </row>
    <row r="102" customFormat="false" ht="24" hidden="false" customHeight="true" outlineLevel="0" collapsed="false">
      <c r="B102" s="59" t="s">
        <v>4295</v>
      </c>
      <c r="C102" s="156" t="n">
        <v>15</v>
      </c>
      <c r="D102" s="150" t="s">
        <v>314</v>
      </c>
      <c r="E102" s="148" t="s">
        <v>4290</v>
      </c>
      <c r="F102" s="150" t="s">
        <v>282</v>
      </c>
      <c r="G102" s="148" t="s">
        <v>450</v>
      </c>
      <c r="H102" s="148" t="s">
        <v>282</v>
      </c>
    </row>
    <row r="103" customFormat="false" ht="24" hidden="false" customHeight="true" outlineLevel="0" collapsed="false">
      <c r="B103" s="59" t="s">
        <v>4296</v>
      </c>
      <c r="C103" s="163" t="n">
        <v>1.645</v>
      </c>
      <c r="D103" s="150" t="s">
        <v>311</v>
      </c>
      <c r="E103" s="148" t="s">
        <v>4297</v>
      </c>
      <c r="F103" s="150" t="s">
        <v>282</v>
      </c>
      <c r="G103" s="148" t="s">
        <v>450</v>
      </c>
      <c r="H103" s="148" t="s">
        <v>4298</v>
      </c>
    </row>
    <row r="104" customFormat="false" ht="15" hidden="false" customHeight="true" outlineLevel="0" collapsed="false">
      <c r="B104" s="59" t="s">
        <v>4299</v>
      </c>
      <c r="C104" s="157" t="s">
        <v>2583</v>
      </c>
      <c r="D104" s="159" t="s">
        <v>311</v>
      </c>
      <c r="E104" s="158" t="s">
        <v>4300</v>
      </c>
      <c r="G104" s="86" t="s">
        <v>450</v>
      </c>
    </row>
    <row r="105" customFormat="false" ht="15" hidden="false" customHeight="true" outlineLevel="0" collapsed="false">
      <c r="B105" s="59" t="s">
        <v>4301</v>
      </c>
      <c r="C105" s="157" t="s">
        <v>2585</v>
      </c>
      <c r="D105" s="159" t="s">
        <v>311</v>
      </c>
      <c r="E105" s="158" t="s">
        <v>4300</v>
      </c>
      <c r="G105" s="86" t="s">
        <v>450</v>
      </c>
    </row>
    <row r="106" customFormat="false" ht="15" hidden="false" customHeight="true" outlineLevel="0" collapsed="false">
      <c r="B106" s="59" t="s">
        <v>4302</v>
      </c>
      <c r="C106" s="157" t="s">
        <v>4303</v>
      </c>
      <c r="D106" s="159" t="s">
        <v>311</v>
      </c>
      <c r="E106" s="158" t="s">
        <v>4300</v>
      </c>
      <c r="G106" s="86" t="s">
        <v>450</v>
      </c>
    </row>
    <row r="108" customFormat="false" ht="15" hidden="false" customHeight="true" outlineLevel="0" collapsed="false">
      <c r="B108" s="55" t="s">
        <v>4304</v>
      </c>
      <c r="C108" s="58"/>
      <c r="D108" s="58"/>
      <c r="E108" s="58"/>
      <c r="F108" s="58"/>
      <c r="G108" s="58"/>
      <c r="H108" s="58"/>
    </row>
    <row r="109" customFormat="false" ht="42" hidden="false" customHeight="true" outlineLevel="0" collapsed="false">
      <c r="B109" s="147" t="s">
        <v>4305</v>
      </c>
      <c r="C109" s="147"/>
      <c r="D109" s="147"/>
      <c r="E109" s="147"/>
      <c r="F109" s="147"/>
      <c r="G109" s="147"/>
    </row>
    <row r="110" customFormat="false" ht="15" hidden="false" customHeight="true" outlineLevel="0" collapsed="false">
      <c r="B110" s="146" t="s">
        <v>4306</v>
      </c>
      <c r="D110" s="146" t="s">
        <v>4307</v>
      </c>
      <c r="E110" s="146" t="s">
        <v>383</v>
      </c>
    </row>
    <row r="111" customFormat="false" ht="25.5" hidden="false" customHeight="true" outlineLevel="0" collapsed="false">
      <c r="B111" s="150" t="s">
        <v>4308</v>
      </c>
      <c r="D111" s="150" t="s">
        <v>4309</v>
      </c>
      <c r="E111" s="150" t="s">
        <v>4310</v>
      </c>
    </row>
    <row r="112" customFormat="false" ht="25.5" hidden="false" customHeight="true" outlineLevel="0" collapsed="false">
      <c r="B112" s="150" t="s">
        <v>4311</v>
      </c>
      <c r="D112" s="150" t="s">
        <v>4312</v>
      </c>
      <c r="E112" s="150" t="s">
        <v>4310</v>
      </c>
    </row>
    <row r="113" customFormat="false" ht="25.5" hidden="false" customHeight="true" outlineLevel="0" collapsed="false">
      <c r="B113" s="150" t="s">
        <v>4313</v>
      </c>
      <c r="D113" s="150" t="s">
        <v>4314</v>
      </c>
      <c r="E113" s="150" t="s">
        <v>4310</v>
      </c>
    </row>
    <row r="114" customFormat="false" ht="25.5" hidden="false" customHeight="true" outlineLevel="0" collapsed="false">
      <c r="B114" s="150" t="s">
        <v>4315</v>
      </c>
      <c r="D114" s="150" t="s">
        <v>4316</v>
      </c>
      <c r="E114" s="150" t="s">
        <v>4310</v>
      </c>
    </row>
    <row r="115" customFormat="false" ht="25.5" hidden="false" customHeight="true" outlineLevel="0" collapsed="false">
      <c r="B115" s="150" t="s">
        <v>4317</v>
      </c>
      <c r="D115" s="150" t="s">
        <v>4318</v>
      </c>
      <c r="E115" s="150" t="s">
        <v>4310</v>
      </c>
    </row>
    <row r="116" customFormat="false" ht="25.5" hidden="false" customHeight="true" outlineLevel="0" collapsed="false">
      <c r="B116" s="150" t="s">
        <v>4319</v>
      </c>
      <c r="D116" s="150" t="s">
        <v>4320</v>
      </c>
      <c r="E116" s="150" t="s">
        <v>4310</v>
      </c>
    </row>
    <row r="117" customFormat="false" ht="25.5" hidden="false" customHeight="true" outlineLevel="0" collapsed="false">
      <c r="B117" s="150" t="s">
        <v>4321</v>
      </c>
      <c r="D117" s="150" t="s">
        <v>4322</v>
      </c>
      <c r="E117" s="150" t="s">
        <v>4310</v>
      </c>
    </row>
    <row r="118" customFormat="false" ht="25.5" hidden="false" customHeight="true" outlineLevel="0" collapsed="false">
      <c r="B118" s="150" t="s">
        <v>4323</v>
      </c>
      <c r="D118" s="150" t="s">
        <v>4324</v>
      </c>
      <c r="E118" s="150" t="s">
        <v>4310</v>
      </c>
    </row>
    <row r="119" customFormat="false" ht="25.5" hidden="false" customHeight="true" outlineLevel="0" collapsed="false">
      <c r="B119" s="150" t="s">
        <v>4325</v>
      </c>
      <c r="D119" s="150" t="s">
        <v>4326</v>
      </c>
      <c r="E119" s="150" t="s">
        <v>4310</v>
      </c>
    </row>
    <row r="120" customFormat="false" ht="25.5" hidden="false" customHeight="true" outlineLevel="0" collapsed="false">
      <c r="B120" s="150" t="s">
        <v>4327</v>
      </c>
      <c r="D120" s="150" t="s">
        <v>4328</v>
      </c>
      <c r="E120" s="150" t="s">
        <v>4310</v>
      </c>
    </row>
    <row r="121" customFormat="false" ht="25.5" hidden="false" customHeight="true" outlineLevel="0" collapsed="false">
      <c r="B121" s="150" t="s">
        <v>4329</v>
      </c>
      <c r="D121" s="150" t="s">
        <v>4330</v>
      </c>
      <c r="E121" s="150" t="s">
        <v>4331</v>
      </c>
    </row>
    <row r="123" customFormat="false" ht="15" hidden="false" customHeight="true" outlineLevel="0" collapsed="false">
      <c r="B123" s="55" t="s">
        <v>4332</v>
      </c>
    </row>
    <row r="124" customFormat="false" ht="81.75" hidden="false" customHeight="true" outlineLevel="0" collapsed="false">
      <c r="B124" s="164"/>
    </row>
    <row r="125" customFormat="false" ht="15" hidden="false" customHeight="true" outlineLevel="0" collapsed="false">
      <c r="B125" s="59" t="s">
        <v>4333</v>
      </c>
      <c r="C125" s="157" t="n">
        <v>2026</v>
      </c>
      <c r="D125" s="159" t="s">
        <v>35</v>
      </c>
      <c r="E125" s="158"/>
      <c r="G125" s="86"/>
    </row>
    <row r="126" customFormat="false" ht="15" hidden="false" customHeight="true" outlineLevel="0" collapsed="false">
      <c r="B126" s="59" t="s">
        <v>4334</v>
      </c>
      <c r="C126" s="157" t="n">
        <v>2027</v>
      </c>
      <c r="D126" s="159" t="s">
        <v>35</v>
      </c>
      <c r="E126" s="158"/>
      <c r="G126" s="86"/>
    </row>
    <row r="127" customFormat="false" ht="15" hidden="false" customHeight="true" outlineLevel="0" collapsed="false">
      <c r="B127" s="59" t="s">
        <v>4335</v>
      </c>
      <c r="C127" s="157" t="n">
        <v>50</v>
      </c>
      <c r="D127" s="159" t="s">
        <v>4336</v>
      </c>
      <c r="E127" s="158"/>
      <c r="G127" s="86"/>
    </row>
    <row r="128" customFormat="false" ht="15" hidden="false" customHeight="true" outlineLevel="0" collapsed="false">
      <c r="B128" s="59" t="s">
        <v>4337</v>
      </c>
      <c r="C128" s="165" t="n">
        <v>200000</v>
      </c>
      <c r="D128" s="159" t="s">
        <v>4338</v>
      </c>
      <c r="E128" s="158"/>
      <c r="G128" s="86"/>
    </row>
    <row r="129" customFormat="false" ht="15" hidden="false" customHeight="true" outlineLevel="0" collapsed="false">
      <c r="C129" s="166"/>
    </row>
    <row r="130" customFormat="false" ht="15" hidden="false" customHeight="true" outlineLevel="0" collapsed="false">
      <c r="C130" s="166"/>
    </row>
    <row r="131" customFormat="false" ht="15" hidden="false" customHeight="true" outlineLevel="0" collapsed="false">
      <c r="C131" s="167"/>
    </row>
    <row r="132" customFormat="false" ht="15" hidden="false" customHeight="true" outlineLevel="0" collapsed="false">
      <c r="C132" s="166"/>
    </row>
    <row r="133" customFormat="false" ht="15" hidden="false" customHeight="true" outlineLevel="0" collapsed="false">
      <c r="C133" s="143"/>
    </row>
  </sheetData>
  <mergeCells count="8">
    <mergeCell ref="B3:G3"/>
    <mergeCell ref="B7:D7"/>
    <mergeCell ref="B34:D34"/>
    <mergeCell ref="B43:D43"/>
    <mergeCell ref="B60:D60"/>
    <mergeCell ref="B83:D83"/>
    <mergeCell ref="B89:D89"/>
    <mergeCell ref="B109:G10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75B6"/>
    <pageSetUpPr fitToPage="false"/>
  </sheetPr>
  <dimension ref="B1:I9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20" width="2"/>
    <col collapsed="false" customWidth="true" hidden="false" outlineLevel="0" max="2" min="2" style="20" width="70"/>
    <col collapsed="false" customWidth="true" hidden="false" outlineLevel="0" max="3" min="3" style="20" width="22"/>
    <col collapsed="false" customWidth="true" hidden="false" outlineLevel="0" max="4" min="4" style="20" width="18"/>
    <col collapsed="false" customWidth="true" hidden="false" outlineLevel="0" max="5" min="5" style="20" width="24"/>
    <col collapsed="false" customWidth="true" hidden="false" outlineLevel="0" max="6" min="6" style="20" width="26"/>
    <col collapsed="false" customWidth="true" hidden="false" outlineLevel="0" max="7" min="7" style="20" width="22"/>
  </cols>
  <sheetData>
    <row r="1" customFormat="false" ht="17.25" hidden="false" customHeight="true" outlineLevel="0" collapsed="false">
      <c r="B1" s="21" t="s">
        <v>4339</v>
      </c>
    </row>
    <row r="2" customFormat="false" ht="48" hidden="false" customHeight="true" outlineLevel="0" collapsed="false">
      <c r="B2" s="2" t="s">
        <v>4340</v>
      </c>
      <c r="C2" s="2"/>
      <c r="D2" s="2"/>
      <c r="E2" s="2"/>
      <c r="F2" s="2"/>
      <c r="G2" s="2"/>
    </row>
    <row r="4" customFormat="false" ht="15" hidden="false" customHeight="true" outlineLevel="0" collapsed="false">
      <c r="B4" s="46" t="s">
        <v>4341</v>
      </c>
    </row>
    <row r="5" customFormat="false" ht="15" hidden="false" customHeight="true" outlineLevel="0" collapsed="false">
      <c r="B5" s="168" t="s">
        <v>4342</v>
      </c>
      <c r="C5" s="168" t="s">
        <v>4343</v>
      </c>
      <c r="D5" s="168" t="s">
        <v>4344</v>
      </c>
      <c r="E5" s="168" t="s">
        <v>4345</v>
      </c>
      <c r="F5" s="168" t="s">
        <v>4346</v>
      </c>
    </row>
    <row r="6" customFormat="false" ht="15" hidden="false" customHeight="true" outlineLevel="0" collapsed="false">
      <c r="B6" s="20" t="s">
        <v>4347</v>
      </c>
      <c r="C6" s="24"/>
      <c r="D6" s="141"/>
      <c r="E6" s="141"/>
      <c r="F6" s="139"/>
    </row>
    <row r="7" customFormat="false" ht="15" hidden="false" customHeight="true" outlineLevel="0" collapsed="false">
      <c r="B7" s="20" t="s">
        <v>4348</v>
      </c>
      <c r="C7" s="24"/>
      <c r="D7" s="141"/>
      <c r="E7" s="141"/>
      <c r="F7" s="139"/>
    </row>
    <row r="8" customFormat="false" ht="15" hidden="false" customHeight="true" outlineLevel="0" collapsed="false">
      <c r="B8" s="20" t="s">
        <v>4349</v>
      </c>
      <c r="C8" s="24"/>
      <c r="D8" s="141"/>
      <c r="E8" s="141"/>
      <c r="F8" s="139"/>
    </row>
    <row r="9" customFormat="false" ht="15" hidden="false" customHeight="true" outlineLevel="0" collapsed="false">
      <c r="B9" s="20" t="s">
        <v>4350</v>
      </c>
      <c r="C9" s="24"/>
      <c r="D9" s="141"/>
      <c r="E9" s="141"/>
      <c r="F9" s="139"/>
    </row>
    <row r="10" customFormat="false" ht="15" hidden="false" customHeight="true" outlineLevel="0" collapsed="false">
      <c r="B10" s="20" t="s">
        <v>4351</v>
      </c>
      <c r="C10" s="24"/>
      <c r="D10" s="141"/>
      <c r="E10" s="141"/>
      <c r="F10" s="139"/>
    </row>
    <row r="11" customFormat="false" ht="15" hidden="false" customHeight="true" outlineLevel="0" collapsed="false">
      <c r="B11" s="20" t="s">
        <v>4352</v>
      </c>
      <c r="C11" s="24"/>
      <c r="D11" s="141"/>
      <c r="E11" s="141"/>
      <c r="F11" s="139"/>
    </row>
    <row r="12" customFormat="false" ht="15" hidden="false" customHeight="true" outlineLevel="0" collapsed="false">
      <c r="B12" s="20" t="s">
        <v>4353</v>
      </c>
      <c r="C12" s="24"/>
      <c r="D12" s="141"/>
      <c r="E12" s="141"/>
      <c r="F12" s="139"/>
    </row>
    <row r="13" customFormat="false" ht="15" hidden="false" customHeight="true" outlineLevel="0" collapsed="false">
      <c r="B13" s="20" t="s">
        <v>4354</v>
      </c>
      <c r="C13" s="24"/>
      <c r="D13" s="141"/>
      <c r="E13" s="141"/>
      <c r="F13" s="139"/>
    </row>
    <row r="15" customFormat="false" ht="15" hidden="false" customHeight="true" outlineLevel="0" collapsed="false">
      <c r="B15" s="46" t="s">
        <v>4355</v>
      </c>
      <c r="D15" s="32" t="n">
        <f aca="false">SUM(D6:D13)</f>
        <v>0</v>
      </c>
    </row>
    <row r="16" customFormat="false" ht="15" hidden="false" customHeight="true" outlineLevel="0" collapsed="false">
      <c r="B16" s="20" t="s">
        <v>4356</v>
      </c>
      <c r="D16" s="32" t="n">
        <f aca="false">SUM(E6:E13)</f>
        <v>0</v>
      </c>
    </row>
    <row r="17" customFormat="false" ht="15" hidden="false" customHeight="true" outlineLevel="0" collapsed="false">
      <c r="B17" s="20" t="s">
        <v>4357</v>
      </c>
      <c r="D17" s="30" t="str">
        <f aca="false">IF(COUNT(F6:F13)=0,"",SUMPRODUCT(F6:F13,(D6:D13&gt;0)*D6:D13+(1-(D6:D13&gt;0)))/SUMPRODUCT((F6:F13&lt;&gt;"")*((D6:D13&gt;0)*D6:D13+(1-(D6:D13&gt;0)))))</f>
        <v/>
      </c>
    </row>
    <row r="19" customFormat="false" ht="15" hidden="false" customHeight="true" outlineLevel="0" collapsed="false">
      <c r="B19" s="46" t="s">
        <v>4358</v>
      </c>
    </row>
    <row r="20" customFormat="false" ht="15" hidden="false" customHeight="true" outlineLevel="0" collapsed="false">
      <c r="B20" s="168" t="s">
        <v>4359</v>
      </c>
      <c r="C20" s="168" t="s">
        <v>4343</v>
      </c>
      <c r="D20" s="168" t="s">
        <v>4344</v>
      </c>
      <c r="E20" s="168" t="s">
        <v>4345</v>
      </c>
      <c r="F20" s="168" t="s">
        <v>4346</v>
      </c>
    </row>
    <row r="21" customFormat="false" ht="15" hidden="false" customHeight="true" outlineLevel="0" collapsed="false">
      <c r="B21" s="20" t="s">
        <v>4360</v>
      </c>
      <c r="C21" s="24"/>
      <c r="D21" s="141"/>
      <c r="E21" s="141"/>
      <c r="F21" s="139"/>
    </row>
    <row r="22" customFormat="false" ht="15" hidden="false" customHeight="true" outlineLevel="0" collapsed="false">
      <c r="B22" s="20" t="s">
        <v>4361</v>
      </c>
      <c r="C22" s="24"/>
      <c r="D22" s="141"/>
      <c r="E22" s="141"/>
      <c r="F22" s="139"/>
    </row>
    <row r="23" customFormat="false" ht="15" hidden="false" customHeight="true" outlineLevel="0" collapsed="false">
      <c r="B23" s="20" t="s">
        <v>4362</v>
      </c>
      <c r="C23" s="24"/>
      <c r="D23" s="141"/>
      <c r="E23" s="141"/>
      <c r="F23" s="139"/>
    </row>
    <row r="24" customFormat="false" ht="15" hidden="false" customHeight="true" outlineLevel="0" collapsed="false">
      <c r="B24" s="20" t="s">
        <v>4363</v>
      </c>
      <c r="C24" s="24"/>
      <c r="D24" s="141"/>
      <c r="E24" s="141"/>
      <c r="F24" s="139"/>
    </row>
    <row r="25" customFormat="false" ht="15" hidden="false" customHeight="true" outlineLevel="0" collapsed="false">
      <c r="B25" s="20" t="s">
        <v>4364</v>
      </c>
      <c r="C25" s="24"/>
      <c r="D25" s="141"/>
      <c r="E25" s="141"/>
      <c r="F25" s="139"/>
    </row>
    <row r="26" customFormat="false" ht="15" hidden="false" customHeight="true" outlineLevel="0" collapsed="false">
      <c r="B26" s="20" t="s">
        <v>4365</v>
      </c>
      <c r="C26" s="24"/>
      <c r="D26" s="141"/>
      <c r="E26" s="141"/>
      <c r="F26" s="139"/>
    </row>
    <row r="27" customFormat="false" ht="15" hidden="false" customHeight="true" outlineLevel="0" collapsed="false">
      <c r="B27" s="20" t="s">
        <v>4366</v>
      </c>
      <c r="C27" s="24"/>
      <c r="D27" s="141"/>
      <c r="E27" s="141"/>
      <c r="F27" s="139"/>
    </row>
    <row r="28" customFormat="false" ht="15" hidden="false" customHeight="true" outlineLevel="0" collapsed="false">
      <c r="B28" s="20" t="s">
        <v>4367</v>
      </c>
      <c r="C28" s="24"/>
      <c r="D28" s="141"/>
      <c r="E28" s="141"/>
      <c r="F28" s="139"/>
    </row>
    <row r="30" customFormat="false" ht="15" hidden="false" customHeight="true" outlineLevel="0" collapsed="false">
      <c r="B30" s="20" t="s">
        <v>4368</v>
      </c>
      <c r="D30" s="32" t="n">
        <f aca="false">SUM(D21:D28)</f>
        <v>0</v>
      </c>
    </row>
    <row r="31" customFormat="false" ht="15" hidden="false" customHeight="true" outlineLevel="0" collapsed="false">
      <c r="B31" s="20" t="s">
        <v>4369</v>
      </c>
      <c r="D31" s="32" t="n">
        <f aca="false">SUM(E21:E28)</f>
        <v>0</v>
      </c>
    </row>
    <row r="32" customFormat="false" ht="15" hidden="false" customHeight="true" outlineLevel="0" collapsed="false">
      <c r="B32" s="20" t="s">
        <v>4370</v>
      </c>
      <c r="D32" s="32" t="n">
        <f aca="false">Cards_Owed_Total+Loans_Owed_Total</f>
        <v>0</v>
      </c>
    </row>
    <row r="33" customFormat="false" ht="15" hidden="false" customHeight="true" outlineLevel="0" collapsed="false">
      <c r="B33" s="20" t="s">
        <v>4371</v>
      </c>
      <c r="D33" s="32" t="n">
        <f aca="false">Cards_Pay_Total+Loans_Pay_Total</f>
        <v>0</v>
      </c>
    </row>
    <row r="34" customFormat="false" ht="15" hidden="false" customHeight="true" outlineLevel="0" collapsed="false">
      <c r="B34" s="20" t="s">
        <v>4372</v>
      </c>
      <c r="D34" s="30" t="str">
        <f aca="false">IF(COUNT(F21:F28)=0,"",SUMPRODUCT(F21:F28,(D21:D28&gt;0)*D21:D28+(1-(D21:D28&gt;0)))/SUMPRODUCT((F21:F28&lt;&gt;"")*((D21:D28&gt;0)*D21:D28+(1-(D21:D28&gt;0)))))</f>
        <v/>
      </c>
    </row>
    <row r="35" customFormat="false" ht="15" hidden="false" customHeight="true" outlineLevel="0" collapsed="false">
      <c r="B35" s="46" t="s">
        <v>707</v>
      </c>
    </row>
    <row r="36" customFormat="false" ht="27.75" hidden="false" customHeight="true" outlineLevel="0" collapsed="false">
      <c r="B36" s="168" t="s">
        <v>4373</v>
      </c>
      <c r="C36" s="168" t="s">
        <v>4374</v>
      </c>
      <c r="D36" s="168" t="s">
        <v>4375</v>
      </c>
      <c r="E36" s="168" t="s">
        <v>4376</v>
      </c>
      <c r="F36" s="168" t="s">
        <v>4377</v>
      </c>
      <c r="G36" s="168" t="s">
        <v>4378</v>
      </c>
    </row>
    <row r="37" customFormat="false" ht="15" hidden="false" customHeight="true" outlineLevel="0" collapsed="false">
      <c r="B37" s="20" t="s">
        <v>4379</v>
      </c>
      <c r="C37" s="24"/>
      <c r="D37" s="141"/>
      <c r="E37" s="141"/>
      <c r="F37" s="141"/>
      <c r="G37" s="169" t="str">
        <f aca="false">IF(E37="","",IF(E37&gt;0,IF(F37&lt;&gt;"",MIN(F37,E37),E37*AS_OwnShare),0))</f>
        <v/>
      </c>
    </row>
    <row r="38" customFormat="false" ht="15" hidden="false" customHeight="true" outlineLevel="0" collapsed="false">
      <c r="B38" s="20" t="s">
        <v>4380</v>
      </c>
      <c r="C38" s="24"/>
      <c r="D38" s="141"/>
      <c r="E38" s="141"/>
      <c r="F38" s="141"/>
      <c r="G38" s="169" t="str">
        <f aca="false">IF(E38="","",IF(E38&gt;0,IF(F38&lt;&gt;"",MIN(F38,E38),E38*AS_OwnShare),0))</f>
        <v/>
      </c>
    </row>
    <row r="39" customFormat="false" ht="15" hidden="false" customHeight="true" outlineLevel="0" collapsed="false">
      <c r="B39" s="20" t="s">
        <v>4381</v>
      </c>
      <c r="C39" s="24"/>
      <c r="D39" s="141"/>
      <c r="E39" s="141"/>
      <c r="F39" s="141"/>
      <c r="G39" s="169" t="str">
        <f aca="false">IF(E39="","",IF(E39&gt;0,IF(F39&lt;&gt;"",MIN(F39,E39),E39*AS_OwnShare),0))</f>
        <v/>
      </c>
    </row>
    <row r="40" customFormat="false" ht="15" hidden="false" customHeight="true" outlineLevel="0" collapsed="false">
      <c r="B40" s="20" t="s">
        <v>4382</v>
      </c>
      <c r="C40" s="24"/>
      <c r="D40" s="141"/>
      <c r="E40" s="141"/>
      <c r="F40" s="141"/>
      <c r="G40" s="169" t="str">
        <f aca="false">IF(E40="","",IF(E40&gt;0,IF(F40&lt;&gt;"",MIN(F40,E40),E40*AS_OwnShare),0))</f>
        <v/>
      </c>
    </row>
    <row r="41" customFormat="false" ht="15" hidden="false" customHeight="true" outlineLevel="0" collapsed="false">
      <c r="B41" s="20" t="s">
        <v>4383</v>
      </c>
      <c r="C41" s="24"/>
      <c r="D41" s="141"/>
      <c r="E41" s="141"/>
      <c r="F41" s="141"/>
      <c r="G41" s="169" t="str">
        <f aca="false">IF(E41="","",IF(E41&gt;0,IF(F41&lt;&gt;"",MIN(F41,E41),E41*AS_OwnShare),0))</f>
        <v/>
      </c>
    </row>
    <row r="42" customFormat="false" ht="15" hidden="false" customHeight="true" outlineLevel="0" collapsed="false">
      <c r="B42" s="20" t="s">
        <v>4384</v>
      </c>
      <c r="C42" s="24"/>
      <c r="D42" s="141"/>
      <c r="E42" s="141"/>
      <c r="F42" s="141"/>
      <c r="G42" s="169" t="str">
        <f aca="false">IF(E42="","",IF(E42&gt;0,IF(F42&lt;&gt;"",MIN(F42,E42),E42*AS_OwnShare),0))</f>
        <v/>
      </c>
    </row>
    <row r="43" customFormat="false" ht="15" hidden="false" customHeight="true" outlineLevel="0" collapsed="false">
      <c r="B43" s="20" t="s">
        <v>4385</v>
      </c>
      <c r="C43" s="24"/>
      <c r="D43" s="141"/>
      <c r="E43" s="141"/>
      <c r="F43" s="141"/>
      <c r="G43" s="169" t="str">
        <f aca="false">IF(E43="","",IF(E43&gt;0,IF(F43&lt;&gt;"",MIN(F43,E43),E43*AS_OwnShare),0))</f>
        <v/>
      </c>
    </row>
    <row r="44" customFormat="false" ht="15" hidden="false" customHeight="true" outlineLevel="0" collapsed="false">
      <c r="B44" s="20" t="s">
        <v>4386</v>
      </c>
      <c r="C44" s="24"/>
      <c r="D44" s="141"/>
      <c r="E44" s="141"/>
      <c r="F44" s="141"/>
      <c r="G44" s="169" t="str">
        <f aca="false">IF(E44="","",IF(E44&gt;0,IF(F44&lt;&gt;"",MIN(F44,E44),E44*AS_OwnShare),0))</f>
        <v/>
      </c>
    </row>
    <row r="46" customFormat="false" ht="15" hidden="false" customHeight="true" outlineLevel="0" collapsed="false">
      <c r="B46" s="20" t="s">
        <v>4387</v>
      </c>
      <c r="D46" s="32" t="n">
        <f aca="false">SUM(D37:D44)</f>
        <v>0</v>
      </c>
    </row>
    <row r="47" customFormat="false" ht="15" hidden="false" customHeight="true" outlineLevel="0" collapsed="false">
      <c r="B47" s="20" t="s">
        <v>4388</v>
      </c>
      <c r="D47" s="32" t="n">
        <f aca="false">SUM(E37:E44)</f>
        <v>0</v>
      </c>
    </row>
    <row r="48" customFormat="false" ht="15" hidden="false" customHeight="true" outlineLevel="0" collapsed="false">
      <c r="B48" s="20" t="s">
        <v>4389</v>
      </c>
      <c r="D48" s="32" t="n">
        <f aca="false">SUM(G37:G44)</f>
        <v>0</v>
      </c>
    </row>
    <row r="49" customFormat="false" ht="15" hidden="false" customHeight="true" outlineLevel="0" collapsed="false">
      <c r="B49" s="20" t="s">
        <v>4390</v>
      </c>
      <c r="D49" s="26" t="n">
        <f aca="false">IF(AND(SUMPRODUCT((E37:E44&gt;0)*ISNUMBER(F37:F44))&gt;0,OR(SUMPRODUCT(--(E37:E44&gt;0))=SUMPRODUCT((E37:E44&gt;0)*ISNUMBER(F37:F44)),Has_a_ownShare=1)),1,0)</f>
        <v>0</v>
      </c>
    </row>
    <row r="50" customFormat="false" ht="15" hidden="false" customHeight="true" outlineLevel="0" collapsed="false">
      <c r="B50" s="46" t="s">
        <v>4391</v>
      </c>
    </row>
    <row r="51" customFormat="false" ht="15" hidden="false" customHeight="true" outlineLevel="0" collapsed="false">
      <c r="B51" s="23" t="s">
        <v>4392</v>
      </c>
      <c r="C51" s="23" t="s">
        <v>4393</v>
      </c>
      <c r="D51" s="23" t="s">
        <v>4394</v>
      </c>
    </row>
    <row r="52" customFormat="false" ht="15" hidden="false" customHeight="true" outlineLevel="0" collapsed="false">
      <c r="B52" s="20" t="s">
        <v>4395</v>
      </c>
      <c r="C52" s="141"/>
      <c r="D52" s="24"/>
    </row>
    <row r="53" customFormat="false" ht="15" hidden="false" customHeight="true" outlineLevel="0" collapsed="false">
      <c r="B53" s="20" t="s">
        <v>4396</v>
      </c>
      <c r="C53" s="141"/>
      <c r="D53" s="24"/>
    </row>
    <row r="54" customFormat="false" ht="15" hidden="false" customHeight="true" outlineLevel="0" collapsed="false">
      <c r="B54" s="20" t="s">
        <v>4397</v>
      </c>
      <c r="C54" s="141"/>
      <c r="D54" s="24"/>
    </row>
    <row r="55" customFormat="false" ht="15" hidden="false" customHeight="true" outlineLevel="0" collapsed="false">
      <c r="B55" s="20" t="s">
        <v>4398</v>
      </c>
      <c r="C55" s="141"/>
      <c r="D55" s="24"/>
    </row>
    <row r="56" customFormat="false" ht="15" hidden="false" customHeight="true" outlineLevel="0" collapsed="false">
      <c r="B56" s="20" t="s">
        <v>4399</v>
      </c>
      <c r="D56" s="32" t="n">
        <f aca="false">SUM(C52:C55)</f>
        <v>0</v>
      </c>
    </row>
    <row r="57" customFormat="false" ht="15" hidden="false" customHeight="true" outlineLevel="0" collapsed="false">
      <c r="B57" s="23" t="s">
        <v>4392</v>
      </c>
      <c r="C57" s="23" t="s">
        <v>4400</v>
      </c>
      <c r="D57" s="23" t="s">
        <v>4401</v>
      </c>
    </row>
    <row r="58" customFormat="false" ht="15" hidden="false" customHeight="true" outlineLevel="0" collapsed="false">
      <c r="B58" s="20" t="s">
        <v>4402</v>
      </c>
      <c r="C58" s="141"/>
      <c r="D58" s="24"/>
    </row>
    <row r="59" customFormat="false" ht="15" hidden="false" customHeight="true" outlineLevel="0" collapsed="false">
      <c r="B59" s="20" t="s">
        <v>4403</v>
      </c>
      <c r="C59" s="141"/>
      <c r="D59" s="24"/>
    </row>
    <row r="60" customFormat="false" ht="15" hidden="false" customHeight="true" outlineLevel="0" collapsed="false">
      <c r="B60" s="20" t="s">
        <v>4404</v>
      </c>
      <c r="C60" s="141"/>
      <c r="D60" s="24"/>
    </row>
    <row r="61" customFormat="false" ht="15" hidden="false" customHeight="true" outlineLevel="0" collapsed="false">
      <c r="B61" s="20" t="s">
        <v>4405</v>
      </c>
      <c r="C61" s="141"/>
      <c r="D61" s="24"/>
    </row>
    <row r="62" customFormat="false" ht="15" hidden="false" customHeight="true" outlineLevel="0" collapsed="false">
      <c r="B62" s="20" t="s">
        <v>4406</v>
      </c>
      <c r="D62" s="32" t="n">
        <f aca="false">SUMPRODUCT((C58:C61&lt;&gt;"")*C58:C61)+IF(N('C21 Life cover'!$G$11)&gt;0,SUMPRODUCT((C58:C61="")*D58:D61)*N('C21 Life cover'!$G$11),0)</f>
        <v>0</v>
      </c>
    </row>
    <row r="63" customFormat="false" ht="15" hidden="false" customHeight="true" outlineLevel="0" collapsed="false">
      <c r="B63" s="20" t="s">
        <v>4407</v>
      </c>
      <c r="D63" s="32" t="n">
        <f aca="false">Cover_Life_Total+Cover_Work_Total</f>
        <v>0</v>
      </c>
    </row>
    <row r="64" customFormat="false" ht="15" hidden="false" customHeight="true" outlineLevel="0" collapsed="false">
      <c r="B64" s="23" t="s">
        <v>4392</v>
      </c>
      <c r="C64" s="23" t="s">
        <v>4408</v>
      </c>
      <c r="D64" s="23" t="s">
        <v>4394</v>
      </c>
    </row>
    <row r="65" customFormat="false" ht="15" hidden="false" customHeight="true" outlineLevel="0" collapsed="false">
      <c r="B65" s="20" t="s">
        <v>4409</v>
      </c>
      <c r="C65" s="141"/>
      <c r="D65" s="24"/>
    </row>
    <row r="66" customFormat="false" ht="15" hidden="false" customHeight="true" outlineLevel="0" collapsed="false">
      <c r="B66" s="20" t="s">
        <v>4410</v>
      </c>
      <c r="C66" s="141"/>
      <c r="D66" s="24"/>
    </row>
    <row r="67" customFormat="false" ht="15" hidden="false" customHeight="true" outlineLevel="0" collapsed="false">
      <c r="B67" s="20" t="s">
        <v>4411</v>
      </c>
      <c r="C67" s="141"/>
      <c r="D67" s="24"/>
    </row>
    <row r="68" customFormat="false" ht="15" hidden="false" customHeight="true" outlineLevel="0" collapsed="false">
      <c r="B68" s="20" t="s">
        <v>4412</v>
      </c>
      <c r="C68" s="141"/>
      <c r="D68" s="24"/>
    </row>
    <row r="69" customFormat="false" ht="15" hidden="false" customHeight="true" outlineLevel="0" collapsed="false">
      <c r="B69" s="20" t="s">
        <v>4413</v>
      </c>
      <c r="D69" s="32" t="n">
        <f aca="false">SUM(C65:C68)</f>
        <v>0</v>
      </c>
    </row>
    <row r="70" customFormat="false" ht="15" hidden="false" customHeight="true" outlineLevel="0" collapsed="false">
      <c r="B70" s="23" t="s">
        <v>4392</v>
      </c>
      <c r="C70" s="23" t="s">
        <v>4393</v>
      </c>
      <c r="D70" s="23" t="s">
        <v>4394</v>
      </c>
    </row>
    <row r="71" customFormat="false" ht="15" hidden="false" customHeight="true" outlineLevel="0" collapsed="false">
      <c r="B71" s="20" t="s">
        <v>4414</v>
      </c>
      <c r="C71" s="141"/>
      <c r="D71" s="24"/>
    </row>
    <row r="72" customFormat="false" ht="15" hidden="false" customHeight="true" outlineLevel="0" collapsed="false">
      <c r="B72" s="20" t="s">
        <v>4415</v>
      </c>
      <c r="C72" s="141"/>
      <c r="D72" s="24"/>
    </row>
    <row r="73" customFormat="false" ht="15" hidden="false" customHeight="true" outlineLevel="0" collapsed="false">
      <c r="B73" s="20" t="s">
        <v>4416</v>
      </c>
      <c r="C73" s="141"/>
      <c r="D73" s="24"/>
    </row>
    <row r="74" customFormat="false" ht="15" hidden="false" customHeight="true" outlineLevel="0" collapsed="false">
      <c r="B74" s="20" t="s">
        <v>4417</v>
      </c>
      <c r="C74" s="141"/>
      <c r="D74" s="24"/>
    </row>
    <row r="75" customFormat="false" ht="15" hidden="false" customHeight="true" outlineLevel="0" collapsed="false">
      <c r="B75" s="20" t="s">
        <v>4418</v>
      </c>
      <c r="D75" s="32" t="n">
        <f aca="false">SUM(C71:C74)</f>
        <v>0</v>
      </c>
    </row>
    <row r="76" customFormat="false" ht="15" hidden="false" customHeight="true" outlineLevel="0" collapsed="false">
      <c r="B76" s="23" t="s">
        <v>4419</v>
      </c>
      <c r="C76" s="23" t="s">
        <v>4420</v>
      </c>
    </row>
    <row r="77" customFormat="false" ht="15" hidden="false" customHeight="true" outlineLevel="0" collapsed="false">
      <c r="B77" s="20" t="s">
        <v>4421</v>
      </c>
      <c r="C77" s="141"/>
    </row>
    <row r="78" customFormat="false" ht="15" hidden="false" customHeight="true" outlineLevel="0" collapsed="false">
      <c r="B78" s="20" t="s">
        <v>4422</v>
      </c>
      <c r="C78" s="141"/>
    </row>
    <row r="79" customFormat="false" ht="15" hidden="false" customHeight="true" outlineLevel="0" collapsed="false">
      <c r="B79" s="20" t="s">
        <v>4423</v>
      </c>
      <c r="C79" s="141"/>
    </row>
    <row r="80" customFormat="false" ht="15" hidden="false" customHeight="true" outlineLevel="0" collapsed="false">
      <c r="B80" s="20" t="s">
        <v>4424</v>
      </c>
      <c r="C80" s="141"/>
    </row>
    <row r="81" customFormat="false" ht="15" hidden="false" customHeight="true" outlineLevel="0" collapsed="false">
      <c r="B81" s="20" t="s">
        <v>4425</v>
      </c>
      <c r="D81" s="32" t="n">
        <f aca="false">SUM(C77:C80)</f>
        <v>0</v>
      </c>
    </row>
    <row r="84" customFormat="false" ht="15" hidden="false" customHeight="true" outlineLevel="0" collapsed="false">
      <c r="B84" s="46" t="s">
        <v>4426</v>
      </c>
    </row>
    <row r="85" customFormat="false" ht="54.75" hidden="false" customHeight="true" outlineLevel="0" collapsed="false">
      <c r="B85" s="168" t="s">
        <v>3096</v>
      </c>
      <c r="C85" s="168" t="s">
        <v>4343</v>
      </c>
      <c r="D85" s="168" t="s">
        <v>4427</v>
      </c>
      <c r="E85" s="168" t="s">
        <v>4345</v>
      </c>
      <c r="F85" s="168" t="s">
        <v>2390</v>
      </c>
      <c r="G85" s="168" t="s">
        <v>4428</v>
      </c>
      <c r="H85" s="168" t="s">
        <v>4429</v>
      </c>
      <c r="I85" s="168" t="s">
        <v>4430</v>
      </c>
    </row>
    <row r="86" customFormat="false" ht="15" hidden="false" customHeight="true" outlineLevel="0" collapsed="false">
      <c r="B86" s="20" t="s">
        <v>4431</v>
      </c>
      <c r="C86" s="24"/>
      <c r="D86" s="141"/>
      <c r="E86" s="141"/>
      <c r="F86" s="24"/>
      <c r="G86" s="24"/>
      <c r="H86" s="170" t="n">
        <f aca="false">IF(N(G86)&gt;0,G86,AS_MortRate)</f>
        <v>0.0375</v>
      </c>
      <c r="I86" s="169" t="n">
        <f aca="false">IF(N(D86)&gt;0,IF(N(E86)&gt;0,E86,IF(H86/12&lt;&gt;0,D86*(H86/12)/(1-(1+H86/12)^-MAX(1,ROUND(IF(N(F86)&gt;0,F86,PR_FbMortYears)*12,0))),D86/MAX(1,ROUND(IF(N(F86)&gt;0,F86,PR_FbMortYears)*12,0)))),0)</f>
        <v>0</v>
      </c>
    </row>
    <row r="87" customFormat="false" ht="15" hidden="false" customHeight="true" outlineLevel="0" collapsed="false">
      <c r="B87" s="20" t="s">
        <v>4432</v>
      </c>
      <c r="C87" s="24"/>
      <c r="D87" s="141"/>
      <c r="E87" s="141"/>
      <c r="F87" s="24"/>
      <c r="G87" s="24"/>
      <c r="H87" s="170" t="n">
        <f aca="false">IF(N(G87)&gt;0,G87,AS_MortRate)</f>
        <v>0.0375</v>
      </c>
      <c r="I87" s="169" t="n">
        <f aca="false">IF(N(D87)&gt;0,IF(N(E87)&gt;0,E87,IF(H87/12&lt;&gt;0,D87*(H87/12)/(1-(1+H87/12)^-MAX(1,ROUND(IF(N(F87)&gt;0,F87,PR_FbMortYears)*12,0))),D87/MAX(1,ROUND(IF(N(F87)&gt;0,F87,PR_FbMortYears)*12,0)))),0)</f>
        <v>0</v>
      </c>
    </row>
    <row r="88" customFormat="false" ht="15" hidden="false" customHeight="true" outlineLevel="0" collapsed="false">
      <c r="B88" s="20" t="s">
        <v>4433</v>
      </c>
      <c r="C88" s="24"/>
      <c r="D88" s="141"/>
      <c r="E88" s="141"/>
      <c r="F88" s="24"/>
      <c r="G88" s="24"/>
      <c r="H88" s="170" t="n">
        <f aca="false">IF(N(G88)&gt;0,G88,AS_MortRate)</f>
        <v>0.0375</v>
      </c>
      <c r="I88" s="169" t="n">
        <f aca="false">IF(N(D88)&gt;0,IF(N(E88)&gt;0,E88,IF(H88/12&lt;&gt;0,D88*(H88/12)/(1-(1+H88/12)^-MAX(1,ROUND(IF(N(F88)&gt;0,F88,PR_FbMortYears)*12,0))),D88/MAX(1,ROUND(IF(N(F88)&gt;0,F88,PR_FbMortYears)*12,0)))),0)</f>
        <v>0</v>
      </c>
    </row>
    <row r="89" customFormat="false" ht="15" hidden="false" customHeight="true" outlineLevel="0" collapsed="false">
      <c r="B89" s="20" t="s">
        <v>4434</v>
      </c>
      <c r="C89" s="24"/>
      <c r="D89" s="141"/>
      <c r="E89" s="141"/>
      <c r="F89" s="24"/>
      <c r="G89" s="24"/>
      <c r="H89" s="170" t="n">
        <f aca="false">IF(N(G89)&gt;0,G89,AS_MortRate)</f>
        <v>0.0375</v>
      </c>
      <c r="I89" s="169" t="n">
        <f aca="false">IF(N(D89)&gt;0,IF(N(E89)&gt;0,E89,IF(H89/12&lt;&gt;0,D89*(H89/12)/(1-(1+H89/12)^-MAX(1,ROUND(IF(N(F89)&gt;0,F89,PR_FbMortYears)*12,0))),D89/MAX(1,ROUND(IF(N(F89)&gt;0,F89,PR_FbMortYears)*12,0)))),0)</f>
        <v>0</v>
      </c>
    </row>
    <row r="90" customFormat="false" ht="15" hidden="false" customHeight="true" outlineLevel="0" collapsed="false">
      <c r="B90" s="20" t="s">
        <v>4435</v>
      </c>
      <c r="D90" s="26" t="n">
        <f aca="false">SUMIF(D86:D89,"&gt;0")</f>
        <v>0</v>
      </c>
    </row>
    <row r="91" customFormat="false" ht="15" hidden="false" customHeight="true" outlineLevel="0" collapsed="false">
      <c r="B91" s="20" t="s">
        <v>4436</v>
      </c>
      <c r="D91" s="26" t="n">
        <f aca="false">SUM(I86:I89)</f>
        <v>0</v>
      </c>
    </row>
    <row r="92" customFormat="false" ht="15" hidden="false" customHeight="true" outlineLevel="0" collapsed="false">
      <c r="B92" s="20" t="s">
        <v>4437</v>
      </c>
      <c r="D92" s="171" t="n">
        <f aca="false">IF(D90&gt;0,SUMPRODUCT((D86:D89&gt;0)*D86:D89*H86:H89)/D90,0)</f>
        <v>0</v>
      </c>
    </row>
    <row r="93" customFormat="false" ht="15" hidden="false" customHeight="true" outlineLevel="0" collapsed="false">
      <c r="B93" s="20" t="s">
        <v>4438</v>
      </c>
      <c r="D93" s="26" t="n">
        <f aca="false">IF(SUMPRODUCT((N(+D86:D89)&gt;0)*(N(+E86:E89)&lt;=0)*(N(+F86:F89)&lt;=0))&gt;0,1,0)</f>
        <v>0</v>
      </c>
    </row>
    <row r="94" customFormat="false" ht="15" hidden="false" customHeight="true" outlineLevel="0" collapsed="false">
      <c r="B94" s="20" t="s">
        <v>4439</v>
      </c>
      <c r="D94" s="26" t="n">
        <f aca="false">IF(SUMPRODUCT((N(+D86:D89)&gt;0)*(N(+G86:G89)&lt;=0))&gt;0,1,0)</f>
        <v>0</v>
      </c>
    </row>
  </sheetData>
  <mergeCells count="1">
    <mergeCell ref="B2:G2"/>
  </mergeCells>
  <dataValidations count="1">
    <dataValidation allowBlank="true" error="Enter a number of 0 or more (or leave blank)." errorStyle="stop" operator="greaterThanOrEqual" showDropDown="false" showErrorMessage="true" showInputMessage="false" sqref="D6:F13 D21:F28 D37:F44 C52:D55 C58:D61 C65:D68 C71:D74 C77:C80" type="decimal">
      <formula1>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R4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20" width="2"/>
    <col collapsed="false" customWidth="true" hidden="false" outlineLevel="0" max="2" min="2" style="20" width="44"/>
    <col collapsed="false" customWidth="true" hidden="false" outlineLevel="0" max="3" min="3" style="20" width="18"/>
    <col collapsed="false" customWidth="true" hidden="false" outlineLevel="0" max="4" min="4" style="20" width="20"/>
    <col collapsed="false" customWidth="true" hidden="false" outlineLevel="0" max="5" min="5" style="20" width="90"/>
    <col collapsed="false" customWidth="true" hidden="false" outlineLevel="0" max="7" min="6" style="20" width="18"/>
    <col collapsed="false" customWidth="true" hidden="false" outlineLevel="0" max="18" min="8" style="20" width="13"/>
  </cols>
  <sheetData>
    <row r="1" customFormat="false" ht="19.5" hidden="false" customHeight="true" outlineLevel="0" collapsed="false">
      <c r="B1" s="50" t="s">
        <v>4440</v>
      </c>
    </row>
    <row r="2" customFormat="false" ht="15" hidden="false" customHeight="true" outlineLevel="0" collapsed="false">
      <c r="B2" s="172" t="s">
        <v>4441</v>
      </c>
    </row>
    <row r="4" customFormat="false" ht="15" hidden="false" customHeight="true" outlineLevel="0" collapsed="false">
      <c r="B4" s="55" t="s">
        <v>2803</v>
      </c>
      <c r="C4" s="58"/>
      <c r="D4" s="58"/>
      <c r="E4" s="58"/>
      <c r="F4" s="56" t="s">
        <v>4442</v>
      </c>
      <c r="G4" s="56" t="s">
        <v>4443</v>
      </c>
    </row>
    <row r="5" customFormat="false" ht="15" hidden="false" customHeight="true" outlineLevel="0" collapsed="false">
      <c r="B5" s="59" t="s">
        <v>4444</v>
      </c>
      <c r="C5" s="65"/>
      <c r="E5" s="51" t="s">
        <v>4445</v>
      </c>
      <c r="F5" s="66" t="s">
        <v>4446</v>
      </c>
      <c r="G5" s="67" t="str">
        <f aca="false">IF(ISBLANK(C5),IF(Fill_Example="Yes",F5,""),C5)</f>
        <v>Single</v>
      </c>
    </row>
    <row r="6" customFormat="false" ht="15" hidden="false" customHeight="true" outlineLevel="0" collapsed="false">
      <c r="B6" s="59" t="s">
        <v>4447</v>
      </c>
      <c r="C6" s="60"/>
      <c r="E6" s="51" t="s">
        <v>4448</v>
      </c>
      <c r="F6" s="63" t="n">
        <v>60000</v>
      </c>
      <c r="G6" s="64" t="n">
        <f aca="false">IF(ISBLANK(C6),IF(Fill_Example="Yes",F6,""),C6)</f>
        <v>60000</v>
      </c>
    </row>
    <row r="7" customFormat="false" ht="15" hidden="false" customHeight="true" outlineLevel="0" collapsed="false">
      <c r="B7" s="59" t="s">
        <v>4449</v>
      </c>
      <c r="C7" s="60"/>
      <c r="E7" s="51" t="s">
        <v>4450</v>
      </c>
      <c r="F7" s="63" t="n">
        <v>0</v>
      </c>
      <c r="G7" s="64" t="n">
        <f aca="false">IF(ISBLANK(C7),F7,C7)</f>
        <v>0</v>
      </c>
    </row>
    <row r="8" customFormat="false" ht="15" hidden="false" customHeight="true" outlineLevel="0" collapsed="false">
      <c r="B8" s="59" t="s">
        <v>4451</v>
      </c>
      <c r="C8" s="65"/>
      <c r="E8" s="51" t="s">
        <v>4452</v>
      </c>
      <c r="F8" s="66" t="s">
        <v>450</v>
      </c>
      <c r="G8" s="67" t="str">
        <f aca="false">IF(ISBLANK(C8),IF(Fill_Example="Yes",F8,""),C8)</f>
        <v>No</v>
      </c>
    </row>
    <row r="9" customFormat="false" ht="15" hidden="false" customHeight="true" outlineLevel="0" collapsed="false">
      <c r="B9" s="59" t="s">
        <v>4453</v>
      </c>
      <c r="C9" s="65"/>
      <c r="E9" s="51" t="s">
        <v>4454</v>
      </c>
      <c r="F9" s="66" t="s">
        <v>450</v>
      </c>
      <c r="G9" s="67" t="str">
        <f aca="false">IF(ISBLANK(C9),IF(Fill_Example="Yes",F9,""),C9)</f>
        <v>No</v>
      </c>
    </row>
    <row r="10" customFormat="false" ht="15" hidden="false" customHeight="true" outlineLevel="0" collapsed="false">
      <c r="B10" s="59" t="s">
        <v>4455</v>
      </c>
      <c r="C10" s="65"/>
      <c r="E10" s="51" t="str">
        <f aca="false">"Type 3 · optional: leave blank for none. From 1 Oct 2026 "&amp;"= "&amp;TEXT(PRSI_Rate,"0.00%")&amp;"."&amp;" Calendar 2026 blend "&amp;"= "&amp;TEXT(PRSI_Rate_2026_Blend,"0.0000%")&amp;" (9 months at 4.2%, "&amp;"3 at "&amp;TEXT(PRSI_Rate,"0.00%")&amp;")."</f>
        <v>Type 3 · optional: leave blank for none. From 1 Oct 2026 = 4.35%. Calendar 2026 blend = 4.2375% (9 months at 4.2%, 3 at 4.35%).</v>
      </c>
      <c r="F10" s="66" t="s">
        <v>4456</v>
      </c>
      <c r="G10" s="67" t="str">
        <f aca="false">IF(ISBLANK(C10),F10,C10)</f>
        <v>From 1 Oct 2026</v>
      </c>
    </row>
    <row r="12" customFormat="false" ht="15" hidden="false" customHeight="true" outlineLevel="0" collapsed="false">
      <c r="B12" s="55" t="s">
        <v>4457</v>
      </c>
      <c r="C12" s="58"/>
      <c r="D12" s="58"/>
      <c r="E12" s="58"/>
    </row>
    <row r="13" customFormat="false" ht="15" hidden="false" customHeight="true" outlineLevel="0" collapsed="false">
      <c r="B13" s="59" t="s">
        <v>4458</v>
      </c>
      <c r="C13" s="173" t="n">
        <f aca="false">IF(TE_PRSI_Basis="Calendar 2026 blend",PRSI_Rate_2026_Blend,PRSI_Rate)</f>
        <v>0.0435</v>
      </c>
      <c r="E13" s="174" t="s">
        <v>4459</v>
      </c>
    </row>
    <row r="14" customFormat="false" ht="15" hidden="false" customHeight="true" outlineLevel="0" collapsed="false">
      <c r="B14" s="59" t="s">
        <v>4460</v>
      </c>
      <c r="C14" s="175" t="n">
        <f aca="false">IF(TE_Need&lt;&gt;"",TE_Need,IF(TE_Status="Married two earners",TE_Gross_2,0))</f>
        <v>0</v>
      </c>
      <c r="E14" s="174" t="s">
        <v>4461</v>
      </c>
    </row>
    <row r="15" customFormat="false" ht="30" hidden="false" customHeight="true" outlineLevel="0" collapsed="false">
      <c r="B15" s="59" t="s">
        <v>4462</v>
      </c>
      <c r="C15" s="175" t="n">
        <f aca="false">IF(TE_Need&lt;&gt;"",TE_Need,IF(TE_Status="Single",Band_Single,IF(TE_Status="Single parent",Band_Single_Parent,IF(TE_Status="Married one earner",Band_Married,Band_Married+MIN(MIN(TE_Gross_1,TE_Gross_2),Band_Second_Earner_Max)))))</f>
        <v>44000</v>
      </c>
      <c r="E15" s="174" t="s">
        <v>4463</v>
      </c>
    </row>
    <row r="16" customFormat="false" ht="15" hidden="false" customHeight="true" outlineLevel="0" collapsed="false">
      <c r="B16" s="59" t="s">
        <v>4464</v>
      </c>
      <c r="C16" s="175" t="n">
        <f aca="false">IF(TE_Need&lt;&gt;"",TE_Need,TE_Gross_1+TE_Earner_2)</f>
        <v>60000</v>
      </c>
      <c r="E16" s="174" t="s">
        <v>4465</v>
      </c>
    </row>
    <row r="17" customFormat="false" ht="15" hidden="false" customHeight="true" outlineLevel="0" collapsed="false">
      <c r="B17" s="59" t="s">
        <v>4466</v>
      </c>
      <c r="C17" s="176" t="n">
        <f aca="false">IF(TE_Need&lt;&gt;"",TE_Need,Rate_Standard*MIN(TE_Taxable,TE_Band)+Rate_Higher*MAX(0,TE_Taxable-TE_Band))</f>
        <v>15200</v>
      </c>
      <c r="E17" s="174" t="s">
        <v>4467</v>
      </c>
    </row>
    <row r="18" customFormat="false" ht="30" hidden="false" customHeight="true" outlineLevel="0" collapsed="false">
      <c r="B18" s="59" t="s">
        <v>4468</v>
      </c>
      <c r="C18" s="176" t="n">
        <f aca="false">IF(TE_Need&lt;&gt;"",TE_Need,IF(OR(TE_Status="Single",TE_Status="Single parent"),Credit_Personal_Single,Credit_Personal_Married)+IF(TE_Status="Single parent",Credit_SPCCC,0)+MIN(Credit_PAYE,Credit_PAYE_Cap_Pct*TE_Gross_1)+IF(TE_Earner_2&gt;0,MIN(Credit_PAYE,Credit_PAYE_Cap_Pct*TE_Earner_2),0)+IF(TE_Rent_Credit="Yes",IF(LEFT(TE_Status,7)="Married",Credit_Rent_Joint,Credit_Rent_Single),0)+IF(AND(TE_Home_Carer="Yes",TE_Status="Married one earner"),Credit_Home_Carer,0))</f>
        <v>4000</v>
      </c>
      <c r="E18" s="174" t="s">
        <v>4469</v>
      </c>
    </row>
    <row r="19" customFormat="false" ht="15" hidden="false" customHeight="true" outlineLevel="0" collapsed="false">
      <c r="B19" s="177" t="s">
        <v>54</v>
      </c>
      <c r="C19" s="178" t="n">
        <f aca="false">IF(TE_Need&lt;&gt;"",TE_Need,MAX(0,TE_Tax_Before_Credits-TE_Credits))</f>
        <v>11200</v>
      </c>
      <c r="E19" s="174" t="s">
        <v>4470</v>
      </c>
    </row>
    <row r="20" customFormat="false" ht="30" hidden="false" customHeight="true" outlineLevel="0" collapsed="false">
      <c r="B20" s="177" t="s">
        <v>4471</v>
      </c>
      <c r="C20" s="178" t="n">
        <f aca="false">IF(TE_Need&lt;&gt;"",TE_Need,IF(TE_Gross_1&lt;=USC_Exempt,0,USC_Rate_1*MIN(TE_Gross_1,USC_Band_1)+USC_Rate_2*MAX(0,MIN(TE_Gross_1,USC_Band_2)-USC_Band_1)+USC_Rate_3*MAX(0,MIN(TE_Gross_1,USC_Band_3)-USC_Band_2)+USC_Rate_4*MAX(0,TE_Gross_1-USC_Band_3))+IF(TE_Earner_2&lt;=USC_Exempt,0,USC_Rate_1*MIN(TE_Earner_2,USC_Band_1)+USC_Rate_2*MAX(0,MIN(TE_Earner_2,USC_Band_2)-USC_Band_1)+USC_Rate_3*MAX(0,MIN(TE_Earner_2,USC_Band_3)-USC_Band_2)+USC_Rate_4*MAX(0,TE_Earner_2-USC_Band_3)))</f>
        <v>1332.82</v>
      </c>
      <c r="E20" s="174" t="s">
        <v>4472</v>
      </c>
    </row>
    <row r="21" customFormat="false" ht="30" hidden="false" customHeight="true" outlineLevel="0" collapsed="false">
      <c r="B21" s="177" t="s">
        <v>4473</v>
      </c>
      <c r="C21" s="178" t="n">
        <f aca="false">IF(TE_Need&lt;&gt;"",TE_Need,IF(TE_Gross_1/Weeks_Per_Year&lt;=PRSI_Free_Week,0,MAX(0,TE_Gross_1/Weeks_Per_Year*TE_PRSI_Rate_Used-IF(TE_Gross_1/Weeks_Per_Year&lt;=PRSI_Credit_Top,MAX(0,PRSI_Credit_Max-(TE_Gross_1/Weeks_Per_Year-(PRSI_Free_Week+0.01))/PRSI_Credit_Taper),0))*Weeks_Per_Year)+IF(TE_Earner_2/Weeks_Per_Year&lt;=PRSI_Free_Week,0,MAX(0,TE_Earner_2/Weeks_Per_Year*TE_PRSI_Rate_Used-IF(TE_Earner_2/Weeks_Per_Year&lt;=PRSI_Credit_Top,MAX(0,PRSI_Credit_Max-(TE_Earner_2/Weeks_Per_Year-(PRSI_Free_Week+0.01))/PRSI_Credit_Taper),0))*Weeks_Per_Year))</f>
        <v>2610</v>
      </c>
      <c r="E21" s="174" t="s">
        <v>4474</v>
      </c>
    </row>
    <row r="22" customFormat="false" ht="15" hidden="false" customHeight="true" outlineLevel="0" collapsed="false">
      <c r="B22" s="177" t="s">
        <v>4475</v>
      </c>
      <c r="C22" s="178" t="n">
        <f aca="false">IF(TE_Need&lt;&gt;"",TE_Need,TE_Taxable-TE_Income_Tax-TE_USC-TE_PRSI)</f>
        <v>44857.18</v>
      </c>
      <c r="E22" s="174" t="s">
        <v>4476</v>
      </c>
    </row>
    <row r="23" customFormat="false" ht="15" hidden="false" customHeight="true" outlineLevel="0" collapsed="false">
      <c r="B23" s="177" t="s">
        <v>4477</v>
      </c>
      <c r="C23" s="178" t="n">
        <f aca="false">IF(TE_Need&lt;&gt;"",TE_Need,TE_Take_Home/12)</f>
        <v>3738.09833333333</v>
      </c>
      <c r="E23" s="174" t="s">
        <v>4478</v>
      </c>
    </row>
    <row r="24" customFormat="false" ht="15" hidden="false" customHeight="true" outlineLevel="0" collapsed="false">
      <c r="B24" s="177" t="s">
        <v>4479</v>
      </c>
      <c r="C24" s="179" t="n">
        <f aca="false">IF(TE_Need&lt;&gt;"",TE_Need,IF(TE_Taxable&gt;TE_Band,Rate_Higher,Rate_Standard))</f>
        <v>0.4</v>
      </c>
      <c r="E24" s="174" t="s">
        <v>4480</v>
      </c>
    </row>
    <row r="25" customFormat="false" ht="15" hidden="false" customHeight="true" outlineLevel="0" collapsed="false">
      <c r="B25" s="86" t="s">
        <v>4481</v>
      </c>
      <c r="C25" s="86" t="str">
        <f aca="false">IF(TE_Status="","Choose your tax status to see this",IF(TE_Gross_1="","Choose your gross yearly pay to see this",IF(TE_Rent_Credit="","Choose your answer on the Rent Tax Credit to see this",IF(TE_Home_Carer="","Choose your answer on the Home Carer Tax Credit to see this",""))))</f>
        <v/>
      </c>
    </row>
    <row r="27" customFormat="false" ht="15" hidden="false" customHeight="true" outlineLevel="0" collapsed="false">
      <c r="B27" s="55" t="s">
        <v>2853</v>
      </c>
      <c r="C27" s="58"/>
      <c r="D27" s="58"/>
      <c r="E27" s="58"/>
    </row>
    <row r="28" customFormat="false" ht="15" hidden="false" customHeight="true" outlineLevel="0" collapsed="false">
      <c r="B28" s="180" t="s">
        <v>4482</v>
      </c>
      <c r="C28" s="180"/>
      <c r="D28" s="180"/>
      <c r="E28" s="180"/>
    </row>
    <row r="29" customFormat="false" ht="15" hidden="false" customHeight="true" outlineLevel="0" collapsed="false">
      <c r="B29" s="180" t="s">
        <v>4483</v>
      </c>
      <c r="C29" s="180"/>
      <c r="D29" s="180"/>
      <c r="E29" s="180"/>
    </row>
    <row r="30" customFormat="false" ht="15" hidden="false" customHeight="true" outlineLevel="0" collapsed="false">
      <c r="B30" s="180" t="s">
        <v>4484</v>
      </c>
      <c r="C30" s="180"/>
      <c r="D30" s="180"/>
      <c r="E30" s="180"/>
    </row>
    <row r="31" customFormat="false" ht="15" hidden="false" customHeight="true" outlineLevel="0" collapsed="false">
      <c r="B31" s="180" t="s">
        <v>4485</v>
      </c>
      <c r="C31" s="180"/>
      <c r="D31" s="180"/>
      <c r="E31" s="180"/>
    </row>
    <row r="33" customFormat="false" ht="15" hidden="false" customHeight="true" outlineLevel="0" collapsed="false">
      <c r="B33" s="55" t="s">
        <v>4486</v>
      </c>
      <c r="C33" s="58"/>
      <c r="D33" s="58"/>
      <c r="E33" s="58"/>
      <c r="F33" s="58"/>
      <c r="G33" s="58"/>
      <c r="H33" s="58"/>
      <c r="I33" s="58"/>
      <c r="J33" s="58"/>
      <c r="K33" s="58"/>
      <c r="L33" s="58"/>
      <c r="M33" s="58"/>
      <c r="N33" s="58"/>
      <c r="O33" s="58"/>
      <c r="P33" s="58"/>
      <c r="Q33" s="58"/>
      <c r="R33" s="58"/>
    </row>
    <row r="34" customFormat="false" ht="30" hidden="false" customHeight="true" outlineLevel="0" collapsed="false">
      <c r="B34" s="181" t="s">
        <v>4487</v>
      </c>
      <c r="C34" s="181" t="s">
        <v>4488</v>
      </c>
      <c r="D34" s="181" t="s">
        <v>383</v>
      </c>
      <c r="E34" s="181" t="s">
        <v>4489</v>
      </c>
      <c r="F34" s="181" t="s">
        <v>54</v>
      </c>
      <c r="G34" s="181" t="s">
        <v>56</v>
      </c>
      <c r="H34" s="181" t="str">
        <f aca="false">"PRSI "&amp;TEXT(PRSI_Rate,"0.00%")</f>
        <v>PRSI 4.35%</v>
      </c>
      <c r="I34" s="181" t="s">
        <v>4490</v>
      </c>
      <c r="J34" s="181" t="str">
        <f aca="false">"Take-home "&amp;TEXT(PRSI_Rate,"0.00%")</f>
        <v>Take-home 4.35%</v>
      </c>
      <c r="K34" s="181" t="s">
        <v>4491</v>
      </c>
      <c r="L34" s="181" t="s">
        <v>4492</v>
      </c>
      <c r="M34" s="181" t="s">
        <v>4493</v>
      </c>
      <c r="N34" s="181" t="str">
        <f aca="false">"Expected take-home "&amp;TEXT(PRSI_Rate,"0.00%")</f>
        <v>Expected take-home 4.35%</v>
      </c>
      <c r="O34" s="181" t="s">
        <v>4494</v>
      </c>
      <c r="P34" s="181" t="s">
        <v>4495</v>
      </c>
      <c r="Q34" s="181" t="s">
        <v>327</v>
      </c>
      <c r="R34" s="181"/>
    </row>
    <row r="35" customFormat="false" ht="15" hidden="false" customHeight="true" outlineLevel="0" collapsed="false">
      <c r="B35" s="159" t="s">
        <v>4496</v>
      </c>
      <c r="C35" s="114" t="n">
        <v>25000</v>
      </c>
      <c r="D35" s="159" t="s">
        <v>4446</v>
      </c>
      <c r="E35" s="159" t="s">
        <v>4497</v>
      </c>
      <c r="F35" s="182" t="n">
        <f aca="false">MAX(0,Rate_Standard*MIN(C35,IF(D35="Single",Band_Single,IF(D35="Single parent",Band_Single_Parent,IF(D35="Married one earner",Band_Married,Band_Married+MIN(MIN(C35,0),Band_Second_Earner_Max)))))+Rate_Higher*MAX(0,C35-IF(D35="Single",Band_Single,IF(D35="Single parent",Band_Single_Parent,IF(D35="Married one earner",Band_Married,Band_Married+MIN(MIN(C35,0),Band_Second_Earner_Max)))))-(IF(OR(D35="Single",D35="Single parent"),Credit_Personal_Single,Credit_Personal_Married)+IF(D35="Single parent",Credit_SPCCC,0)+MIN(Credit_PAYE,Credit_PAYE_Cap_Pct*C35)+IF(0&gt;0,MIN(Credit_PAYE,Credit_PAYE_Cap_Pct*0),0)+IF("No"="Yes",IF(LEFT(D35,7)="Married",Credit_Rent_Joint,Credit_Rent_Single),0)+IF(AND("No"="Yes",D35="Married one earner"),Credit_Home_Carer,0)))</f>
        <v>1000</v>
      </c>
      <c r="G35" s="182" t="n">
        <f aca="false">IF(C35&lt;=USC_Exempt,0,USC_Rate_1*MIN(C35,USC_Band_1)+USC_Rate_2*MAX(0,MIN(C35,USC_Band_2)-USC_Band_1)+USC_Rate_3*MAX(0,MIN(C35,USC_Band_3)-USC_Band_2)+USC_Rate_4*MAX(0,C35-USC_Band_3))</f>
        <v>319.82</v>
      </c>
      <c r="H35" s="182" t="n">
        <f aca="false">IF(C35/Weeks_Per_Year&lt;=PRSI_Free_Week,0,MAX(0,C35/Weeks_Per_Year*PRSI_Rate-IF(C35/Weeks_Per_Year&lt;=PRSI_Credit_Top,MAX(0,PRSI_Credit_Max-(C35/Weeks_Per_Year-(PRSI_Free_Week+0.01))/PRSI_Credit_Taper),0))*Weeks_Per_Year)</f>
        <v>1087.5</v>
      </c>
      <c r="I35" s="182" t="n">
        <f aca="false">IF(C35/Weeks_Per_Year&lt;=PRSI_Free_Week,0,MAX(0,C35/Weeks_Per_Year*PRSI_Rate_2026_Blend-IF(C35/Weeks_Per_Year&lt;=PRSI_Credit_Top,MAX(0,PRSI_Credit_Max-(C35/Weeks_Per_Year-(PRSI_Free_Week+0.01))/PRSI_Credit_Taper),0))*Weeks_Per_Year)</f>
        <v>1059.375</v>
      </c>
      <c r="J35" s="182" t="n">
        <f aca="false">C35-F35-G35-H35</f>
        <v>22592.68</v>
      </c>
      <c r="K35" s="182" t="n">
        <f aca="false">C35-F35-G35-I35</f>
        <v>22620.805</v>
      </c>
      <c r="L35" s="182" t="n">
        <v>1000</v>
      </c>
      <c r="M35" s="182" t="n">
        <v>319.82</v>
      </c>
      <c r="N35" s="182" t="n">
        <v>22592.68</v>
      </c>
      <c r="O35" s="182" t="n">
        <v>22620.81</v>
      </c>
      <c r="P35" s="182" t="n">
        <f aca="false">MAX(ABS(ROUND(F35,2)-L35),ABS(ROUND(G35,2)-M35),ABS(ROUND(J35,2)-N35),ABS(ROUND(K35,2)-O35))</f>
        <v>0</v>
      </c>
      <c r="Q35" s="183" t="str">
        <f aca="false">IF(P35&lt;0.005,"PASS","FAIL")</f>
        <v>PASS</v>
      </c>
    </row>
    <row r="36" customFormat="false" ht="15" hidden="false" customHeight="true" outlineLevel="0" collapsed="false">
      <c r="B36" s="159" t="s">
        <v>4498</v>
      </c>
      <c r="C36" s="114" t="n">
        <v>25000</v>
      </c>
      <c r="D36" s="159" t="s">
        <v>4499</v>
      </c>
      <c r="E36" s="159" t="s">
        <v>4497</v>
      </c>
      <c r="F36" s="182" t="n">
        <f aca="false">MAX(0,Rate_Standard*MIN(C36,IF(D36="Single",Band_Single,IF(D36="Single parent",Band_Single_Parent,IF(D36="Married one earner",Band_Married,Band_Married+MIN(MIN(C36,0),Band_Second_Earner_Max)))))+Rate_Higher*MAX(0,C36-IF(D36="Single",Band_Single,IF(D36="Single parent",Band_Single_Parent,IF(D36="Married one earner",Band_Married,Band_Married+MIN(MIN(C36,0),Band_Second_Earner_Max)))))-(IF(OR(D36="Single",D36="Single parent"),Credit_Personal_Single,Credit_Personal_Married)+IF(D36="Single parent",Credit_SPCCC,0)+MIN(Credit_PAYE,Credit_PAYE_Cap_Pct*C36)+IF(0&gt;0,MIN(Credit_PAYE,Credit_PAYE_Cap_Pct*0),0)+IF("No"="Yes",IF(LEFT(D36,7)="Married",Credit_Rent_Joint,Credit_Rent_Single),0)+IF(AND("No"="Yes",D36="Married one earner"),Credit_Home_Carer,0)))</f>
        <v>0</v>
      </c>
      <c r="G36" s="182" t="n">
        <f aca="false">IF(C36&lt;=USC_Exempt,0,USC_Rate_1*MIN(C36,USC_Band_1)+USC_Rate_2*MAX(0,MIN(C36,USC_Band_2)-USC_Band_1)+USC_Rate_3*MAX(0,MIN(C36,USC_Band_3)-USC_Band_2)+USC_Rate_4*MAX(0,C36-USC_Band_3))</f>
        <v>319.82</v>
      </c>
      <c r="H36" s="182" t="n">
        <f aca="false">IF(C36/Weeks_Per_Year&lt;=PRSI_Free_Week,0,MAX(0,C36/Weeks_Per_Year*PRSI_Rate-IF(C36/Weeks_Per_Year&lt;=PRSI_Credit_Top,MAX(0,PRSI_Credit_Max-(C36/Weeks_Per_Year-(PRSI_Free_Week+0.01))/PRSI_Credit_Taper),0))*Weeks_Per_Year)</f>
        <v>1087.5</v>
      </c>
      <c r="I36" s="182" t="n">
        <f aca="false">IF(C36/Weeks_Per_Year&lt;=PRSI_Free_Week,0,MAX(0,C36/Weeks_Per_Year*PRSI_Rate_2026_Blend-IF(C36/Weeks_Per_Year&lt;=PRSI_Credit_Top,MAX(0,PRSI_Credit_Max-(C36/Weeks_Per_Year-(PRSI_Free_Week+0.01))/PRSI_Credit_Taper),0))*Weeks_Per_Year)</f>
        <v>1059.375</v>
      </c>
      <c r="J36" s="182" t="n">
        <f aca="false">C36-F36-G36-H36</f>
        <v>23592.68</v>
      </c>
      <c r="K36" s="182" t="n">
        <f aca="false">C36-F36-G36-I36</f>
        <v>23620.805</v>
      </c>
      <c r="L36" s="182" t="n">
        <v>0</v>
      </c>
      <c r="M36" s="182" t="n">
        <v>319.82</v>
      </c>
      <c r="N36" s="182" t="n">
        <v>23592.68</v>
      </c>
      <c r="O36" s="182" t="n">
        <v>23620.81</v>
      </c>
      <c r="P36" s="182" t="n">
        <f aca="false">MAX(ABS(ROUND(F36,2)-L36),ABS(ROUND(G36,2)-M36),ABS(ROUND(J36,2)-N36),ABS(ROUND(K36,2)-O36))</f>
        <v>0</v>
      </c>
      <c r="Q36" s="183" t="str">
        <f aca="false">IF(P36&lt;0.005,"PASS","FAIL")</f>
        <v>PASS</v>
      </c>
    </row>
    <row r="37" customFormat="false" ht="15" hidden="false" customHeight="true" outlineLevel="0" collapsed="false">
      <c r="B37" s="159" t="s">
        <v>4500</v>
      </c>
      <c r="C37" s="114" t="n">
        <v>45000</v>
      </c>
      <c r="D37" s="159" t="s">
        <v>4446</v>
      </c>
      <c r="E37" s="159" t="s">
        <v>4497</v>
      </c>
      <c r="F37" s="182" t="n">
        <f aca="false">MAX(0,Rate_Standard*MIN(C37,IF(D37="Single",Band_Single,IF(D37="Single parent",Band_Single_Parent,IF(D37="Married one earner",Band_Married,Band_Married+MIN(MIN(C37,0),Band_Second_Earner_Max)))))+Rate_Higher*MAX(0,C37-IF(D37="Single",Band_Single,IF(D37="Single parent",Band_Single_Parent,IF(D37="Married one earner",Band_Married,Band_Married+MIN(MIN(C37,0),Band_Second_Earner_Max)))))-(IF(OR(D37="Single",D37="Single parent"),Credit_Personal_Single,Credit_Personal_Married)+IF(D37="Single parent",Credit_SPCCC,0)+MIN(Credit_PAYE,Credit_PAYE_Cap_Pct*C37)+IF(0&gt;0,MIN(Credit_PAYE,Credit_PAYE_Cap_Pct*0),0)+IF("No"="Yes",IF(LEFT(D37,7)="Married",Credit_Rent_Joint,Credit_Rent_Single),0)+IF(AND("No"="Yes",D37="Married one earner"),Credit_Home_Carer,0)))</f>
        <v>5200</v>
      </c>
      <c r="G37" s="182" t="n">
        <f aca="false">IF(C37&lt;=USC_Exempt,0,USC_Rate_1*MIN(C37,USC_Band_1)+USC_Rate_2*MAX(0,MIN(C37,USC_Band_2)-USC_Band_1)+USC_Rate_3*MAX(0,MIN(C37,USC_Band_3)-USC_Band_2)+USC_Rate_4*MAX(0,C37-USC_Band_3))</f>
        <v>882.82</v>
      </c>
      <c r="H37" s="182" t="n">
        <f aca="false">IF(C37/Weeks_Per_Year&lt;=PRSI_Free_Week,0,MAX(0,C37/Weeks_Per_Year*PRSI_Rate-IF(C37/Weeks_Per_Year&lt;=PRSI_Credit_Top,MAX(0,PRSI_Credit_Max-(C37/Weeks_Per_Year-(PRSI_Free_Week+0.01))/PRSI_Credit_Taper),0))*Weeks_Per_Year)</f>
        <v>1957.5</v>
      </c>
      <c r="I37" s="182" t="n">
        <f aca="false">IF(C37/Weeks_Per_Year&lt;=PRSI_Free_Week,0,MAX(0,C37/Weeks_Per_Year*PRSI_Rate_2026_Blend-IF(C37/Weeks_Per_Year&lt;=PRSI_Credit_Top,MAX(0,PRSI_Credit_Max-(C37/Weeks_Per_Year-(PRSI_Free_Week+0.01))/PRSI_Credit_Taper),0))*Weeks_Per_Year)</f>
        <v>1906.875</v>
      </c>
      <c r="J37" s="182" t="n">
        <f aca="false">C37-F37-G37-H37</f>
        <v>36959.68</v>
      </c>
      <c r="K37" s="182" t="n">
        <f aca="false">C37-F37-G37-I37</f>
        <v>37010.305</v>
      </c>
      <c r="L37" s="182" t="n">
        <v>5200</v>
      </c>
      <c r="M37" s="182" t="n">
        <v>882.82</v>
      </c>
      <c r="N37" s="182" t="n">
        <v>36959.68</v>
      </c>
      <c r="O37" s="182" t="n">
        <v>37010.31</v>
      </c>
      <c r="P37" s="182" t="n">
        <f aca="false">MAX(ABS(ROUND(F37,2)-L37),ABS(ROUND(G37,2)-M37),ABS(ROUND(J37,2)-N37),ABS(ROUND(K37,2)-O37))</f>
        <v>0</v>
      </c>
      <c r="Q37" s="183" t="str">
        <f aca="false">IF(P37&lt;0.005,"PASS","FAIL")</f>
        <v>PASS</v>
      </c>
    </row>
    <row r="38" customFormat="false" ht="15" hidden="false" customHeight="true" outlineLevel="0" collapsed="false">
      <c r="B38" s="159" t="s">
        <v>4501</v>
      </c>
      <c r="C38" s="114" t="n">
        <v>45000</v>
      </c>
      <c r="D38" s="159" t="s">
        <v>4499</v>
      </c>
      <c r="E38" s="159" t="s">
        <v>4497</v>
      </c>
      <c r="F38" s="182" t="n">
        <f aca="false">MAX(0,Rate_Standard*MIN(C38,IF(D38="Single",Band_Single,IF(D38="Single parent",Band_Single_Parent,IF(D38="Married one earner",Band_Married,Band_Married+MIN(MIN(C38,0),Band_Second_Earner_Max)))))+Rate_Higher*MAX(0,C38-IF(D38="Single",Band_Single,IF(D38="Single parent",Band_Single_Parent,IF(D38="Married one earner",Band_Married,Band_Married+MIN(MIN(C38,0),Band_Second_Earner_Max)))))-(IF(OR(D38="Single",D38="Single parent"),Credit_Personal_Single,Credit_Personal_Married)+IF(D38="Single parent",Credit_SPCCC,0)+MIN(Credit_PAYE,Credit_PAYE_Cap_Pct*C38)+IF(0&gt;0,MIN(Credit_PAYE,Credit_PAYE_Cap_Pct*0),0)+IF("No"="Yes",IF(LEFT(D38,7)="Married",Credit_Rent_Joint,Credit_Rent_Single),0)+IF(AND("No"="Yes",D38="Married one earner"),Credit_Home_Carer,0)))</f>
        <v>3000</v>
      </c>
      <c r="G38" s="182" t="n">
        <f aca="false">IF(C38&lt;=USC_Exempt,0,USC_Rate_1*MIN(C38,USC_Band_1)+USC_Rate_2*MAX(0,MIN(C38,USC_Band_2)-USC_Band_1)+USC_Rate_3*MAX(0,MIN(C38,USC_Band_3)-USC_Band_2)+USC_Rate_4*MAX(0,C38-USC_Band_3))</f>
        <v>882.82</v>
      </c>
      <c r="H38" s="182" t="n">
        <f aca="false">IF(C38/Weeks_Per_Year&lt;=PRSI_Free_Week,0,MAX(0,C38/Weeks_Per_Year*PRSI_Rate-IF(C38/Weeks_Per_Year&lt;=PRSI_Credit_Top,MAX(0,PRSI_Credit_Max-(C38/Weeks_Per_Year-(PRSI_Free_Week+0.01))/PRSI_Credit_Taper),0))*Weeks_Per_Year)</f>
        <v>1957.5</v>
      </c>
      <c r="I38" s="182" t="n">
        <f aca="false">IF(C38/Weeks_Per_Year&lt;=PRSI_Free_Week,0,MAX(0,C38/Weeks_Per_Year*PRSI_Rate_2026_Blend-IF(C38/Weeks_Per_Year&lt;=PRSI_Credit_Top,MAX(0,PRSI_Credit_Max-(C38/Weeks_Per_Year-(PRSI_Free_Week+0.01))/PRSI_Credit_Taper),0))*Weeks_Per_Year)</f>
        <v>1906.875</v>
      </c>
      <c r="J38" s="182" t="n">
        <f aca="false">C38-F38-G38-H38</f>
        <v>39159.68</v>
      </c>
      <c r="K38" s="182" t="n">
        <f aca="false">C38-F38-G38-I38</f>
        <v>39210.305</v>
      </c>
      <c r="L38" s="182" t="n">
        <v>3000</v>
      </c>
      <c r="M38" s="182" t="n">
        <v>882.82</v>
      </c>
      <c r="N38" s="182" t="n">
        <v>39159.68</v>
      </c>
      <c r="O38" s="182" t="n">
        <v>39210.31</v>
      </c>
      <c r="P38" s="182" t="n">
        <f aca="false">MAX(ABS(ROUND(F38,2)-L38),ABS(ROUND(G38,2)-M38),ABS(ROUND(J38,2)-N38),ABS(ROUND(K38,2)-O38))</f>
        <v>0</v>
      </c>
      <c r="Q38" s="183" t="str">
        <f aca="false">IF(P38&lt;0.005,"PASS","FAIL")</f>
        <v>PASS</v>
      </c>
    </row>
    <row r="39" customFormat="false" ht="15" hidden="false" customHeight="true" outlineLevel="0" collapsed="false">
      <c r="B39" s="159" t="s">
        <v>4502</v>
      </c>
      <c r="C39" s="114" t="n">
        <v>80000</v>
      </c>
      <c r="D39" s="159" t="s">
        <v>4446</v>
      </c>
      <c r="E39" s="159" t="s">
        <v>4497</v>
      </c>
      <c r="F39" s="182" t="n">
        <f aca="false">MAX(0,Rate_Standard*MIN(C39,IF(D39="Single",Band_Single,IF(D39="Single parent",Band_Single_Parent,IF(D39="Married one earner",Band_Married,Band_Married+MIN(MIN(C39,0),Band_Second_Earner_Max)))))+Rate_Higher*MAX(0,C39-IF(D39="Single",Band_Single,IF(D39="Single parent",Band_Single_Parent,IF(D39="Married one earner",Band_Married,Band_Married+MIN(MIN(C39,0),Band_Second_Earner_Max)))))-(IF(OR(D39="Single",D39="Single parent"),Credit_Personal_Single,Credit_Personal_Married)+IF(D39="Single parent",Credit_SPCCC,0)+MIN(Credit_PAYE,Credit_PAYE_Cap_Pct*C39)+IF(0&gt;0,MIN(Credit_PAYE,Credit_PAYE_Cap_Pct*0),0)+IF("No"="Yes",IF(LEFT(D39,7)="Married",Credit_Rent_Joint,Credit_Rent_Single),0)+IF(AND("No"="Yes",D39="Married one earner"),Credit_Home_Carer,0)))</f>
        <v>19200</v>
      </c>
      <c r="G39" s="182" t="n">
        <f aca="false">IF(C39&lt;=USC_Exempt,0,USC_Rate_1*MIN(C39,USC_Band_1)+USC_Rate_2*MAX(0,MIN(C39,USC_Band_2)-USC_Band_1)+USC_Rate_3*MAX(0,MIN(C39,USC_Band_3)-USC_Band_2)+USC_Rate_4*MAX(0,C39-USC_Band_3))</f>
        <v>2430.62</v>
      </c>
      <c r="H39" s="182" t="n">
        <f aca="false">IF(C39/Weeks_Per_Year&lt;=PRSI_Free_Week,0,MAX(0,C39/Weeks_Per_Year*PRSI_Rate-IF(C39/Weeks_Per_Year&lt;=PRSI_Credit_Top,MAX(0,PRSI_Credit_Max-(C39/Weeks_Per_Year-(PRSI_Free_Week+0.01))/PRSI_Credit_Taper),0))*Weeks_Per_Year)</f>
        <v>3480</v>
      </c>
      <c r="I39" s="182" t="n">
        <f aca="false">IF(C39/Weeks_Per_Year&lt;=PRSI_Free_Week,0,MAX(0,C39/Weeks_Per_Year*PRSI_Rate_2026_Blend-IF(C39/Weeks_Per_Year&lt;=PRSI_Credit_Top,MAX(0,PRSI_Credit_Max-(C39/Weeks_Per_Year-(PRSI_Free_Week+0.01))/PRSI_Credit_Taper),0))*Weeks_Per_Year)</f>
        <v>3390</v>
      </c>
      <c r="J39" s="182" t="n">
        <f aca="false">C39-F39-G39-H39</f>
        <v>54889.38</v>
      </c>
      <c r="K39" s="182" t="n">
        <f aca="false">C39-F39-G39-I39</f>
        <v>54979.38</v>
      </c>
      <c r="L39" s="182" t="n">
        <v>19200</v>
      </c>
      <c r="M39" s="182" t="n">
        <v>2430.62</v>
      </c>
      <c r="N39" s="182" t="n">
        <v>54889.38</v>
      </c>
      <c r="O39" s="182" t="n">
        <v>54979.38</v>
      </c>
      <c r="P39" s="182" t="n">
        <f aca="false">MAX(ABS(ROUND(F39,2)-L39),ABS(ROUND(G39,2)-M39),ABS(ROUND(J39,2)-N39),ABS(ROUND(K39,2)-O39))</f>
        <v>0</v>
      </c>
      <c r="Q39" s="183" t="str">
        <f aca="false">IF(P39&lt;0.005,"PASS","FAIL")</f>
        <v>PASS</v>
      </c>
    </row>
    <row r="40" customFormat="false" ht="15" hidden="false" customHeight="true" outlineLevel="0" collapsed="false">
      <c r="B40" s="159" t="s">
        <v>4503</v>
      </c>
      <c r="C40" s="114" t="n">
        <v>80000</v>
      </c>
      <c r="D40" s="159" t="s">
        <v>4499</v>
      </c>
      <c r="E40" s="159" t="s">
        <v>4497</v>
      </c>
      <c r="F40" s="182" t="n">
        <f aca="false">MAX(0,Rate_Standard*MIN(C40,IF(D40="Single",Band_Single,IF(D40="Single parent",Band_Single_Parent,IF(D40="Married one earner",Band_Married,Band_Married+MIN(MIN(C40,0),Band_Second_Earner_Max)))))+Rate_Higher*MAX(0,C40-IF(D40="Single",Band_Single,IF(D40="Single parent",Band_Single_Parent,IF(D40="Married one earner",Band_Married,Band_Married+MIN(MIN(C40,0),Band_Second_Earner_Max)))))-(IF(OR(D40="Single",D40="Single parent"),Credit_Personal_Single,Credit_Personal_Married)+IF(D40="Single parent",Credit_SPCCC,0)+MIN(Credit_PAYE,Credit_PAYE_Cap_Pct*C40)+IF(0&gt;0,MIN(Credit_PAYE,Credit_PAYE_Cap_Pct*0),0)+IF("No"="Yes",IF(LEFT(D40,7)="Married",Credit_Rent_Joint,Credit_Rent_Single),0)+IF(AND("No"="Yes",D40="Married one earner"),Credit_Home_Carer,0)))</f>
        <v>15400</v>
      </c>
      <c r="G40" s="182" t="n">
        <f aca="false">IF(C40&lt;=USC_Exempt,0,USC_Rate_1*MIN(C40,USC_Band_1)+USC_Rate_2*MAX(0,MIN(C40,USC_Band_2)-USC_Band_1)+USC_Rate_3*MAX(0,MIN(C40,USC_Band_3)-USC_Band_2)+USC_Rate_4*MAX(0,C40-USC_Band_3))</f>
        <v>2430.62</v>
      </c>
      <c r="H40" s="182" t="n">
        <f aca="false">IF(C40/Weeks_Per_Year&lt;=PRSI_Free_Week,0,MAX(0,C40/Weeks_Per_Year*PRSI_Rate-IF(C40/Weeks_Per_Year&lt;=PRSI_Credit_Top,MAX(0,PRSI_Credit_Max-(C40/Weeks_Per_Year-(PRSI_Free_Week+0.01))/PRSI_Credit_Taper),0))*Weeks_Per_Year)</f>
        <v>3480</v>
      </c>
      <c r="I40" s="182" t="n">
        <f aca="false">IF(C40/Weeks_Per_Year&lt;=PRSI_Free_Week,0,MAX(0,C40/Weeks_Per_Year*PRSI_Rate_2026_Blend-IF(C40/Weeks_Per_Year&lt;=PRSI_Credit_Top,MAX(0,PRSI_Credit_Max-(C40/Weeks_Per_Year-(PRSI_Free_Week+0.01))/PRSI_Credit_Taper),0))*Weeks_Per_Year)</f>
        <v>3390</v>
      </c>
      <c r="J40" s="182" t="n">
        <f aca="false">C40-F40-G40-H40</f>
        <v>58689.38</v>
      </c>
      <c r="K40" s="182" t="n">
        <f aca="false">C40-F40-G40-I40</f>
        <v>58779.38</v>
      </c>
      <c r="L40" s="182" t="n">
        <v>15400</v>
      </c>
      <c r="M40" s="182" t="n">
        <v>2430.62</v>
      </c>
      <c r="N40" s="182" t="n">
        <v>58689.38</v>
      </c>
      <c r="O40" s="182" t="n">
        <v>58779.38</v>
      </c>
      <c r="P40" s="182" t="n">
        <f aca="false">MAX(ABS(ROUND(F40,2)-L40),ABS(ROUND(G40,2)-M40),ABS(ROUND(J40,2)-N40),ABS(ROUND(K40,2)-O40))</f>
        <v>0</v>
      </c>
      <c r="Q40" s="183" t="str">
        <f aca="false">IF(P40&lt;0.005,"PASS","FAIL")</f>
        <v>PASS</v>
      </c>
    </row>
    <row r="41" customFormat="false" ht="15" hidden="false" customHeight="true" outlineLevel="0" collapsed="false">
      <c r="B41" s="159" t="s">
        <v>4504</v>
      </c>
      <c r="C41" s="114" t="n">
        <v>150000</v>
      </c>
      <c r="D41" s="159" t="s">
        <v>4446</v>
      </c>
      <c r="E41" s="159" t="s">
        <v>4497</v>
      </c>
      <c r="F41" s="182" t="n">
        <f aca="false">MAX(0,Rate_Standard*MIN(C41,IF(D41="Single",Band_Single,IF(D41="Single parent",Band_Single_Parent,IF(D41="Married one earner",Band_Married,Band_Married+MIN(MIN(C41,0),Band_Second_Earner_Max)))))+Rate_Higher*MAX(0,C41-IF(D41="Single",Band_Single,IF(D41="Single parent",Band_Single_Parent,IF(D41="Married one earner",Band_Married,Band_Married+MIN(MIN(C41,0),Band_Second_Earner_Max)))))-(IF(OR(D41="Single",D41="Single parent"),Credit_Personal_Single,Credit_Personal_Married)+IF(D41="Single parent",Credit_SPCCC,0)+MIN(Credit_PAYE,Credit_PAYE_Cap_Pct*C41)+IF(0&gt;0,MIN(Credit_PAYE,Credit_PAYE_Cap_Pct*0),0)+IF("No"="Yes",IF(LEFT(D41,7)="Married",Credit_Rent_Joint,Credit_Rent_Single),0)+IF(AND("No"="Yes",D41="Married one earner"),Credit_Home_Carer,0)))</f>
        <v>47200</v>
      </c>
      <c r="G41" s="182" t="n">
        <f aca="false">IF(C41&lt;=USC_Exempt,0,USC_Rate_1*MIN(C41,USC_Band_1)+USC_Rate_2*MAX(0,MIN(C41,USC_Band_2)-USC_Band_1)+USC_Rate_3*MAX(0,MIN(C41,USC_Band_3)-USC_Band_2)+USC_Rate_4*MAX(0,C41-USC_Band_3))</f>
        <v>8030.62</v>
      </c>
      <c r="H41" s="182" t="n">
        <f aca="false">IF(C41/Weeks_Per_Year&lt;=PRSI_Free_Week,0,MAX(0,C41/Weeks_Per_Year*PRSI_Rate-IF(C41/Weeks_Per_Year&lt;=PRSI_Credit_Top,MAX(0,PRSI_Credit_Max-(C41/Weeks_Per_Year-(PRSI_Free_Week+0.01))/PRSI_Credit_Taper),0))*Weeks_Per_Year)</f>
        <v>6525</v>
      </c>
      <c r="I41" s="182" t="n">
        <f aca="false">IF(C41/Weeks_Per_Year&lt;=PRSI_Free_Week,0,MAX(0,C41/Weeks_Per_Year*PRSI_Rate_2026_Blend-IF(C41/Weeks_Per_Year&lt;=PRSI_Credit_Top,MAX(0,PRSI_Credit_Max-(C41/Weeks_Per_Year-(PRSI_Free_Week+0.01))/PRSI_Credit_Taper),0))*Weeks_Per_Year)</f>
        <v>6356.25</v>
      </c>
      <c r="J41" s="182" t="n">
        <f aca="false">C41-F41-G41-H41</f>
        <v>88244.38</v>
      </c>
      <c r="K41" s="182" t="n">
        <f aca="false">C41-F41-G41-I41</f>
        <v>88413.13</v>
      </c>
      <c r="L41" s="182" t="n">
        <v>47200</v>
      </c>
      <c r="M41" s="182" t="n">
        <v>8030.62</v>
      </c>
      <c r="N41" s="182" t="n">
        <v>88244.38</v>
      </c>
      <c r="O41" s="182" t="n">
        <v>88413.13</v>
      </c>
      <c r="P41" s="182" t="n">
        <f aca="false">MAX(ABS(ROUND(F41,2)-L41),ABS(ROUND(G41,2)-M41),ABS(ROUND(J41,2)-N41),ABS(ROUND(K41,2)-O41))</f>
        <v>0</v>
      </c>
      <c r="Q41" s="183" t="str">
        <f aca="false">IF(P41&lt;0.005,"PASS","FAIL")</f>
        <v>PASS</v>
      </c>
    </row>
    <row r="42" customFormat="false" ht="15" hidden="false" customHeight="true" outlineLevel="0" collapsed="false">
      <c r="B42" s="159" t="s">
        <v>4505</v>
      </c>
      <c r="C42" s="114" t="n">
        <v>150000</v>
      </c>
      <c r="D42" s="159" t="s">
        <v>4499</v>
      </c>
      <c r="E42" s="159" t="s">
        <v>4497</v>
      </c>
      <c r="F42" s="182" t="n">
        <f aca="false">MAX(0,Rate_Standard*MIN(C42,IF(D42="Single",Band_Single,IF(D42="Single parent",Band_Single_Parent,IF(D42="Married one earner",Band_Married,Band_Married+MIN(MIN(C42,0),Band_Second_Earner_Max)))))+Rate_Higher*MAX(0,C42-IF(D42="Single",Band_Single,IF(D42="Single parent",Band_Single_Parent,IF(D42="Married one earner",Band_Married,Band_Married+MIN(MIN(C42,0),Band_Second_Earner_Max)))))-(IF(OR(D42="Single",D42="Single parent"),Credit_Personal_Single,Credit_Personal_Married)+IF(D42="Single parent",Credit_SPCCC,0)+MIN(Credit_PAYE,Credit_PAYE_Cap_Pct*C42)+IF(0&gt;0,MIN(Credit_PAYE,Credit_PAYE_Cap_Pct*0),0)+IF("No"="Yes",IF(LEFT(D42,7)="Married",Credit_Rent_Joint,Credit_Rent_Single),0)+IF(AND("No"="Yes",D42="Married one earner"),Credit_Home_Carer,0)))</f>
        <v>43400</v>
      </c>
      <c r="G42" s="182" t="n">
        <f aca="false">IF(C42&lt;=USC_Exempt,0,USC_Rate_1*MIN(C42,USC_Band_1)+USC_Rate_2*MAX(0,MIN(C42,USC_Band_2)-USC_Band_1)+USC_Rate_3*MAX(0,MIN(C42,USC_Band_3)-USC_Band_2)+USC_Rate_4*MAX(0,C42-USC_Band_3))</f>
        <v>8030.62</v>
      </c>
      <c r="H42" s="182" t="n">
        <f aca="false">IF(C42/Weeks_Per_Year&lt;=PRSI_Free_Week,0,MAX(0,C42/Weeks_Per_Year*PRSI_Rate-IF(C42/Weeks_Per_Year&lt;=PRSI_Credit_Top,MAX(0,PRSI_Credit_Max-(C42/Weeks_Per_Year-(PRSI_Free_Week+0.01))/PRSI_Credit_Taper),0))*Weeks_Per_Year)</f>
        <v>6525</v>
      </c>
      <c r="I42" s="182" t="n">
        <f aca="false">IF(C42/Weeks_Per_Year&lt;=PRSI_Free_Week,0,MAX(0,C42/Weeks_Per_Year*PRSI_Rate_2026_Blend-IF(C42/Weeks_Per_Year&lt;=PRSI_Credit_Top,MAX(0,PRSI_Credit_Max-(C42/Weeks_Per_Year-(PRSI_Free_Week+0.01))/PRSI_Credit_Taper),0))*Weeks_Per_Year)</f>
        <v>6356.25</v>
      </c>
      <c r="J42" s="182" t="n">
        <f aca="false">C42-F42-G42-H42</f>
        <v>92044.38</v>
      </c>
      <c r="K42" s="182" t="n">
        <f aca="false">C42-F42-G42-I42</f>
        <v>92213.13</v>
      </c>
      <c r="L42" s="182" t="n">
        <v>43400</v>
      </c>
      <c r="M42" s="182" t="n">
        <v>8030.62</v>
      </c>
      <c r="N42" s="182" t="n">
        <v>92044.38</v>
      </c>
      <c r="O42" s="182" t="n">
        <v>92213.13</v>
      </c>
      <c r="P42" s="182" t="n">
        <f aca="false">MAX(ABS(ROUND(F42,2)-L42),ABS(ROUND(G42,2)-M42),ABS(ROUND(J42,2)-N42),ABS(ROUND(K42,2)-O42))</f>
        <v>0</v>
      </c>
      <c r="Q42" s="183" t="str">
        <f aca="false">IF(P42&lt;0.005,"PASS","FAIL")</f>
        <v>PASS</v>
      </c>
    </row>
    <row r="43" customFormat="false" ht="15" hidden="false" customHeight="true" outlineLevel="0" collapsed="false">
      <c r="B43" s="159" t="s">
        <v>4506</v>
      </c>
      <c r="C43" s="114" t="n">
        <v>60000</v>
      </c>
      <c r="D43" s="159" t="s">
        <v>4507</v>
      </c>
      <c r="E43" s="159" t="s">
        <v>4508</v>
      </c>
      <c r="F43" s="182" t="n">
        <f aca="false">MAX(0,Rate_Standard*MIN(C43+R43,IF(D43="Single",Band_Single,IF(D43="Single parent",Band_Single_Parent,IF(D43="Married one earner",Band_Married,Band_Married+MIN(MIN(C43,R43),Band_Second_Earner_Max)))))+Rate_Higher*MAX(0,C43+R43-IF(D43="Single",Band_Single,IF(D43="Single parent",Band_Single_Parent,IF(D43="Married one earner",Band_Married,Band_Married+MIN(MIN(C43,R43),Band_Second_Earner_Max)))))-(IF(OR(D43="Single",D43="Single parent"),Credit_Personal_Single,Credit_Personal_Married)+IF(D43="Single parent",Credit_SPCCC,0)+MIN(Credit_PAYE,Credit_PAYE_Cap_Pct*C43)+IF(R43&gt;0,MIN(Credit_PAYE,Credit_PAYE_Cap_Pct*R43),0)+IF("No"="Yes",IF(LEFT(D43,7)="Married",Credit_Rent_Joint,Credit_Rent_Single),0)+IF(AND("No"="Yes",D43="Married one earner"),Credit_Home_Carer,0)))</f>
        <v>11400</v>
      </c>
      <c r="G43" s="159"/>
      <c r="H43" s="159"/>
      <c r="I43" s="159"/>
      <c r="J43" s="159"/>
      <c r="K43" s="159"/>
      <c r="L43" s="182" t="n">
        <v>11400</v>
      </c>
      <c r="M43" s="159"/>
      <c r="N43" s="159"/>
      <c r="O43" s="159"/>
      <c r="P43" s="182" t="n">
        <f aca="false">ABS(ROUND(F43,2)-L43)</f>
        <v>0</v>
      </c>
      <c r="Q43" s="183" t="str">
        <f aca="false">IF(P43&lt;0.005,"PASS","FAIL")</f>
        <v>PASS</v>
      </c>
      <c r="R43" s="114" t="n">
        <v>30000</v>
      </c>
    </row>
    <row r="44" customFormat="false" ht="15" hidden="false" customHeight="true" outlineLevel="0" collapsed="false">
      <c r="B44" s="159" t="s">
        <v>4509</v>
      </c>
      <c r="C44" s="114" t="n">
        <v>80000</v>
      </c>
      <c r="D44" s="159" t="s">
        <v>4507</v>
      </c>
      <c r="E44" s="159" t="s">
        <v>4510</v>
      </c>
      <c r="F44" s="182" t="n">
        <f aca="false">MAX(0,Rate_Standard*MIN(C44+R44,IF(D44="Single",Band_Single,IF(D44="Single parent",Band_Single_Parent,IF(D44="Married one earner",Band_Married,Band_Married+MIN(MIN(C44,R44),Band_Second_Earner_Max)))))+Rate_Higher*MAX(0,C44+R44-IF(D44="Single",Band_Single,IF(D44="Single parent",Band_Single_Parent,IF(D44="Married one earner",Band_Married,Band_Married+MIN(MIN(C44,R44),Band_Second_Earner_Max)))))-(IF(OR(D44="Single",D44="Single parent"),Credit_Personal_Single,Credit_Personal_Married)+IF(D44="Single parent",Credit_SPCCC,0)+MIN(Credit_PAYE,Credit_PAYE_Cap_Pct*C44)+IF(R44&gt;0,MIN(Credit_PAYE,Credit_PAYE_Cap_Pct*R44),0)+IF("No"="Yes",IF(LEFT(D44,7)="Married",Credit_Rent_Joint,Credit_Rent_Single),0)+IF(AND("No"="Yes",D44="Married one earner"),Credit_Home_Carer,0)))</f>
        <v>26400</v>
      </c>
      <c r="G44" s="159"/>
      <c r="H44" s="159"/>
      <c r="I44" s="159"/>
      <c r="J44" s="159"/>
      <c r="K44" s="159"/>
      <c r="L44" s="182" t="n">
        <v>26400</v>
      </c>
      <c r="M44" s="159"/>
      <c r="N44" s="159"/>
      <c r="O44" s="159"/>
      <c r="P44" s="182" t="n">
        <f aca="false">ABS(ROUND(F44,2)-L44)</f>
        <v>0</v>
      </c>
      <c r="Q44" s="183" t="str">
        <f aca="false">IF(P44&lt;0.005,"PASS","FAIL")</f>
        <v>PASS</v>
      </c>
      <c r="R44" s="114" t="n">
        <v>50000</v>
      </c>
    </row>
    <row r="45" customFormat="false" ht="15" hidden="false" customHeight="true" outlineLevel="0" collapsed="false">
      <c r="B45" s="159" t="s">
        <v>4511</v>
      </c>
      <c r="C45" s="114" t="n">
        <v>45000</v>
      </c>
      <c r="D45" s="159" t="s">
        <v>4507</v>
      </c>
      <c r="E45" s="159" t="s">
        <v>4512</v>
      </c>
      <c r="F45" s="182" t="n">
        <f aca="false">MAX(0,Rate_Standard*MIN(C45+R45,IF(D45="Single",Band_Single,IF(D45="Single parent",Band_Single_Parent,IF(D45="Married one earner",Band_Married,Band_Married+MIN(MIN(C45,R45),Band_Second_Earner_Max)))))+Rate_Higher*MAX(0,C45+R45-IF(D45="Single",Band_Single,IF(D45="Single parent",Band_Single_Parent,IF(D45="Married one earner",Band_Married,Band_Married+MIN(MIN(C45,R45),Band_Second_Earner_Max)))))-(IF(OR(D45="Single",D45="Single parent"),Credit_Personal_Single,Credit_Personal_Married)+IF(D45="Single parent",Credit_SPCCC,0)+MIN(Credit_PAYE,Credit_PAYE_Cap_Pct*C45)+IF(R45&gt;0,MIN(Credit_PAYE,Credit_PAYE_Cap_Pct*R45),0)+IF("No"="Yes",IF(LEFT(D45,7)="Married",Credit_Rent_Joint,Credit_Rent_Single),0)+IF(AND("No"="Yes",D45="Married one earner"),Credit_Home_Carer,0)))</f>
        <v>10400</v>
      </c>
      <c r="G45" s="159"/>
      <c r="H45" s="159"/>
      <c r="I45" s="159"/>
      <c r="J45" s="159"/>
      <c r="K45" s="159"/>
      <c r="L45" s="182" t="n">
        <v>10400</v>
      </c>
      <c r="M45" s="159"/>
      <c r="N45" s="159"/>
      <c r="O45" s="159"/>
      <c r="P45" s="182" t="n">
        <f aca="false">ABS(ROUND(F45,2)-L45)</f>
        <v>0</v>
      </c>
      <c r="Q45" s="183" t="str">
        <f aca="false">IF(P45&lt;0.005,"PASS","FAIL")</f>
        <v>PASS</v>
      </c>
      <c r="R45" s="114" t="n">
        <v>45000</v>
      </c>
    </row>
    <row r="46" customFormat="false" ht="15" hidden="false" customHeight="true" outlineLevel="0" collapsed="false">
      <c r="B46" s="177" t="s">
        <v>4513</v>
      </c>
      <c r="Q46" s="184" t="str">
        <f aca="false">IF(COUNTIF(Q35:Q45,"PASS")=11,"ALL PASS","CHECK")</f>
        <v>ALL PASS</v>
      </c>
    </row>
  </sheetData>
  <mergeCells count="4">
    <mergeCell ref="B28:E28"/>
    <mergeCell ref="B29:E29"/>
    <mergeCell ref="B30:E30"/>
    <mergeCell ref="B31:E31"/>
  </mergeCells>
  <dataValidations count="6">
    <dataValidation allowBlank="true" errorStyle="stop" operator="between" prompt="Type 3 · your figure. Single, Single parent (main carer of a child, no partner), Married one earner, Married two earners (also civil partners)." promptTitle="Tax status" showDropDown="false" showErrorMessage="true" showInputMessage="true" sqref="C5" type="list">
      <formula1>"Single,Single parent,Married one earner,Married two earners"</formula1>
      <formula2>0</formula2>
    </dataValidation>
    <dataValidation allowBlank="true" errorStyle="stop" operator="between" prompt="Type 3 · your figure. Gross pay before tax, € a year." promptTitle="Your gross yearly pay" showDropDown="false" showErrorMessage="true" showInputMessage="true" sqref="C6" type="decimal">
      <formula1>0</formula1>
      <formula2>5000000</formula2>
    </dataValidation>
    <dataValidation allowBlank="true" errorStyle="stop" operator="between" prompt="Type 3 · optional: leave blank for none. Used only when the status is Married two earners." promptTitle="Partner's gross yearly pay (marr" showDropDown="false" showErrorMessage="true" showInputMessage="true" sqref="C7" type="decimal">
      <formula1>0</formula1>
      <formula2>5000000</formula2>
    </dataValidation>
    <dataValidation allowBlank="true" errorStyle="stop" operator="between" prompt="Type 3 · your figure. Rent Tax Credit €1,000 single / €2,000 jointly assessed, to end-2028." promptTitle="Do you pay rent on your home, no" showDropDown="false" showErrorMessage="true" showInputMessage="true" sqref="C8" type="list">
      <formula1>"Yes,No"</formula1>
      <formula2>0</formula2>
    </dataValidation>
    <dataValidation allowBlank="true" errorStyle="stop" operator="between" prompt="Type 3 · your figure. €1,950 (verify the 2026 rate and carer-income limit)." promptTitle="Home Carer Tax Credit applies? (" showDropDown="false" showErrorMessage="true" showInputMessage="true" sqref="C9" type="list">
      <formula1>"Yes,No"</formula1>
      <formula2>0</formula2>
    </dataValidation>
    <dataValidation allowBlank="true" errorStyle="stop" operator="between" prompt="Type 3 · optional: leave blank for none. From 1 Oct 2026 = 4.35%. Calendar 2026 blend = 4.2375% (9 months at 4.2%, 3 at 4.35%)." promptTitle="PRSI rate basis" showDropDown="false" showErrorMessage="true" showInputMessage="true" sqref="C10" type="list">
      <formula1>"From 1 Oct 2026,Calendar 2026 blend"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B9BD5"/>
    <pageSetUpPr fitToPage="false"/>
  </sheetPr>
  <dimension ref="B1:H6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20" width="2"/>
    <col collapsed="false" customWidth="true" hidden="false" outlineLevel="0" max="2" min="2" style="20" width="18"/>
    <col collapsed="false" customWidth="true" hidden="false" outlineLevel="0" max="3" min="3" style="20" width="36"/>
    <col collapsed="false" customWidth="true" hidden="false" outlineLevel="0" max="4" min="4" style="20" width="30"/>
    <col collapsed="false" customWidth="true" hidden="false" outlineLevel="0" max="5" min="5" style="20" width="70"/>
    <col collapsed="false" customWidth="true" hidden="false" outlineLevel="0" max="6" min="6" style="20" width="44"/>
    <col collapsed="false" customWidth="true" hidden="false" outlineLevel="0" max="7" min="7" style="20" width="26"/>
    <col collapsed="false" customWidth="true" hidden="false" outlineLevel="0" max="8" min="8" style="20" width="30"/>
  </cols>
  <sheetData>
    <row r="1" customFormat="false" ht="17.25" hidden="false" customHeight="true" outlineLevel="0" collapsed="false">
      <c r="B1" s="21" t="s">
        <v>4514</v>
      </c>
    </row>
    <row r="2" customFormat="false" ht="63.75" hidden="false" customHeight="true" outlineLevel="0" collapsed="false">
      <c r="B2" s="2" t="s">
        <v>4515</v>
      </c>
      <c r="C2" s="2"/>
      <c r="D2" s="2"/>
      <c r="E2" s="2"/>
      <c r="F2" s="2"/>
      <c r="G2" s="2"/>
      <c r="H2" s="2"/>
    </row>
    <row r="4" customFormat="false" ht="15" hidden="false" customHeight="true" outlineLevel="0" collapsed="false">
      <c r="B4" s="33" t="s">
        <v>4516</v>
      </c>
      <c r="C4" s="33" t="s">
        <v>4517</v>
      </c>
      <c r="D4" s="33" t="s">
        <v>4518</v>
      </c>
      <c r="E4" s="33" t="s">
        <v>1174</v>
      </c>
      <c r="F4" s="33" t="s">
        <v>4519</v>
      </c>
      <c r="G4" s="33" t="s">
        <v>4520</v>
      </c>
      <c r="H4" s="33" t="s">
        <v>4521</v>
      </c>
    </row>
    <row r="5" customFormat="false" ht="27.75" hidden="false" customHeight="true" outlineLevel="0" collapsed="false">
      <c r="B5" s="164" t="s">
        <v>4522</v>
      </c>
      <c r="C5" s="164" t="s">
        <v>4523</v>
      </c>
      <c r="D5" s="164" t="s">
        <v>4524</v>
      </c>
      <c r="E5" s="164" t="s">
        <v>4525</v>
      </c>
      <c r="F5" s="164" t="s">
        <v>4526</v>
      </c>
      <c r="G5" s="164" t="s">
        <v>4527</v>
      </c>
      <c r="H5" s="164" t="s">
        <v>4528</v>
      </c>
    </row>
    <row r="6" customFormat="false" ht="27.75" hidden="false" customHeight="true" outlineLevel="0" collapsed="false">
      <c r="B6" s="164" t="s">
        <v>4522</v>
      </c>
      <c r="C6" s="164" t="s">
        <v>4529</v>
      </c>
      <c r="D6" s="164" t="s">
        <v>4530</v>
      </c>
      <c r="E6" s="164" t="s">
        <v>4531</v>
      </c>
      <c r="F6" s="164" t="s">
        <v>4532</v>
      </c>
      <c r="G6" s="164" t="s">
        <v>4533</v>
      </c>
      <c r="H6" s="164" t="s">
        <v>4528</v>
      </c>
    </row>
    <row r="7" customFormat="false" ht="27.75" hidden="false" customHeight="true" outlineLevel="0" collapsed="false">
      <c r="B7" s="164" t="s">
        <v>4534</v>
      </c>
      <c r="C7" s="164" t="s">
        <v>4535</v>
      </c>
      <c r="D7" s="164" t="s">
        <v>4536</v>
      </c>
      <c r="E7" s="164" t="s">
        <v>4537</v>
      </c>
      <c r="F7" s="164" t="s">
        <v>4538</v>
      </c>
      <c r="G7" s="164" t="s">
        <v>4533</v>
      </c>
      <c r="H7" s="164" t="s">
        <v>4528</v>
      </c>
    </row>
    <row r="8" customFormat="false" ht="27.75" hidden="false" customHeight="true" outlineLevel="0" collapsed="false">
      <c r="B8" s="164" t="s">
        <v>4534</v>
      </c>
      <c r="C8" s="164" t="s">
        <v>4539</v>
      </c>
      <c r="D8" s="164" t="s">
        <v>4540</v>
      </c>
      <c r="E8" s="164" t="s">
        <v>4541</v>
      </c>
      <c r="F8" s="164" t="s">
        <v>4542</v>
      </c>
      <c r="G8" s="164" t="s">
        <v>4533</v>
      </c>
      <c r="H8" s="164" t="s">
        <v>4528</v>
      </c>
    </row>
    <row r="9" customFormat="false" ht="54.75" hidden="false" customHeight="true" outlineLevel="0" collapsed="false">
      <c r="B9" s="164" t="s">
        <v>4534</v>
      </c>
      <c r="C9" s="164" t="s">
        <v>4543</v>
      </c>
      <c r="D9" s="164" t="s">
        <v>4544</v>
      </c>
      <c r="E9" s="164" t="s">
        <v>4545</v>
      </c>
      <c r="F9" s="164" t="s">
        <v>4546</v>
      </c>
      <c r="G9" s="164" t="s">
        <v>4547</v>
      </c>
      <c r="H9" s="164" t="s">
        <v>4528</v>
      </c>
    </row>
    <row r="10" customFormat="false" ht="41.25" hidden="false" customHeight="true" outlineLevel="0" collapsed="false">
      <c r="B10" s="164" t="s">
        <v>4548</v>
      </c>
      <c r="C10" s="164" t="s">
        <v>4549</v>
      </c>
      <c r="D10" s="164" t="s">
        <v>4550</v>
      </c>
      <c r="E10" s="164" t="s">
        <v>4551</v>
      </c>
      <c r="F10" s="164" t="s">
        <v>4552</v>
      </c>
      <c r="G10" s="164" t="s">
        <v>4533</v>
      </c>
      <c r="H10" s="164" t="s">
        <v>4528</v>
      </c>
    </row>
    <row r="11" customFormat="false" ht="41.25" hidden="false" customHeight="true" outlineLevel="0" collapsed="false">
      <c r="B11" s="164" t="s">
        <v>4548</v>
      </c>
      <c r="C11" s="164" t="s">
        <v>4553</v>
      </c>
      <c r="D11" s="164" t="s">
        <v>4554</v>
      </c>
      <c r="E11" s="164" t="s">
        <v>4555</v>
      </c>
      <c r="F11" s="164" t="s">
        <v>4556</v>
      </c>
      <c r="G11" s="164" t="s">
        <v>4547</v>
      </c>
      <c r="H11" s="164" t="s">
        <v>4528</v>
      </c>
    </row>
    <row r="12" customFormat="false" ht="41.25" hidden="false" customHeight="true" outlineLevel="0" collapsed="false">
      <c r="B12" s="164" t="s">
        <v>4548</v>
      </c>
      <c r="C12" s="164" t="s">
        <v>4557</v>
      </c>
      <c r="D12" s="164" t="s">
        <v>4558</v>
      </c>
      <c r="E12" s="164" t="s">
        <v>4559</v>
      </c>
      <c r="F12" s="164" t="s">
        <v>4526</v>
      </c>
      <c r="G12" s="164" t="s">
        <v>4527</v>
      </c>
      <c r="H12" s="164" t="s">
        <v>4528</v>
      </c>
    </row>
    <row r="13" customFormat="false" ht="41.25" hidden="false" customHeight="true" outlineLevel="0" collapsed="false">
      <c r="B13" s="164" t="s">
        <v>4560</v>
      </c>
      <c r="C13" s="164" t="s">
        <v>4561</v>
      </c>
      <c r="D13" s="164" t="s">
        <v>4562</v>
      </c>
      <c r="E13" s="164" t="s">
        <v>4563</v>
      </c>
      <c r="F13" s="164" t="s">
        <v>4564</v>
      </c>
      <c r="G13" s="164" t="s">
        <v>4547</v>
      </c>
      <c r="H13" s="164" t="s">
        <v>4528</v>
      </c>
    </row>
    <row r="14" customFormat="false" ht="41.25" hidden="false" customHeight="true" outlineLevel="0" collapsed="false">
      <c r="B14" s="164" t="s">
        <v>4560</v>
      </c>
      <c r="C14" s="164" t="s">
        <v>4565</v>
      </c>
      <c r="D14" s="164" t="s">
        <v>4566</v>
      </c>
      <c r="E14" s="164" t="s">
        <v>4567</v>
      </c>
      <c r="F14" s="164" t="s">
        <v>4568</v>
      </c>
      <c r="G14" s="164" t="s">
        <v>4547</v>
      </c>
      <c r="H14" s="164" t="s">
        <v>4528</v>
      </c>
    </row>
    <row r="15" customFormat="false" ht="41.25" hidden="false" customHeight="true" outlineLevel="0" collapsed="false">
      <c r="B15" s="164" t="s">
        <v>4560</v>
      </c>
      <c r="C15" s="164" t="s">
        <v>4569</v>
      </c>
      <c r="D15" s="164" t="s">
        <v>4570</v>
      </c>
      <c r="E15" s="164" t="s">
        <v>4571</v>
      </c>
      <c r="F15" s="164" t="s">
        <v>4572</v>
      </c>
      <c r="G15" s="164" t="s">
        <v>4547</v>
      </c>
      <c r="H15" s="164" t="s">
        <v>4528</v>
      </c>
    </row>
    <row r="16" customFormat="false" ht="27.75" hidden="false" customHeight="true" outlineLevel="0" collapsed="false">
      <c r="B16" s="164" t="s">
        <v>4560</v>
      </c>
      <c r="C16" s="164" t="s">
        <v>4573</v>
      </c>
      <c r="D16" s="164" t="s">
        <v>4574</v>
      </c>
      <c r="E16" s="164" t="s">
        <v>4575</v>
      </c>
      <c r="F16" s="164" t="s">
        <v>4576</v>
      </c>
      <c r="G16" s="164" t="s">
        <v>4533</v>
      </c>
      <c r="H16" s="164" t="s">
        <v>4528</v>
      </c>
    </row>
    <row r="17" customFormat="false" ht="41.25" hidden="false" customHeight="true" outlineLevel="0" collapsed="false">
      <c r="B17" s="164" t="s">
        <v>4577</v>
      </c>
      <c r="C17" s="164" t="s">
        <v>4578</v>
      </c>
      <c r="D17" s="164" t="s">
        <v>4579</v>
      </c>
      <c r="E17" s="164" t="s">
        <v>4580</v>
      </c>
      <c r="F17" s="164" t="s">
        <v>4581</v>
      </c>
      <c r="G17" s="164" t="s">
        <v>4547</v>
      </c>
      <c r="H17" s="164" t="s">
        <v>4528</v>
      </c>
    </row>
    <row r="18" customFormat="false" ht="27.75" hidden="false" customHeight="true" outlineLevel="0" collapsed="false">
      <c r="B18" s="164" t="s">
        <v>4582</v>
      </c>
      <c r="C18" s="164" t="s">
        <v>4583</v>
      </c>
      <c r="D18" s="164" t="s">
        <v>4584</v>
      </c>
      <c r="E18" s="164" t="s">
        <v>4585</v>
      </c>
      <c r="F18" s="164" t="s">
        <v>4586</v>
      </c>
      <c r="G18" s="164" t="s">
        <v>4533</v>
      </c>
      <c r="H18" s="164" t="s">
        <v>4528</v>
      </c>
    </row>
    <row r="19" customFormat="false" ht="27.75" hidden="false" customHeight="true" outlineLevel="0" collapsed="false">
      <c r="B19" s="164" t="s">
        <v>4582</v>
      </c>
      <c r="C19" s="164" t="s">
        <v>4587</v>
      </c>
      <c r="D19" s="164" t="s">
        <v>4588</v>
      </c>
      <c r="E19" s="164" t="s">
        <v>4589</v>
      </c>
      <c r="F19" s="164" t="s">
        <v>4590</v>
      </c>
      <c r="G19" s="164" t="s">
        <v>4547</v>
      </c>
      <c r="H19" s="164" t="s">
        <v>4528</v>
      </c>
    </row>
    <row r="20" customFormat="false" ht="41.25" hidden="false" customHeight="true" outlineLevel="0" collapsed="false">
      <c r="B20" s="164" t="s">
        <v>4582</v>
      </c>
      <c r="C20" s="164" t="s">
        <v>4591</v>
      </c>
      <c r="D20" s="164" t="s">
        <v>4592</v>
      </c>
      <c r="E20" s="164" t="s">
        <v>4593</v>
      </c>
      <c r="F20" s="164" t="s">
        <v>4594</v>
      </c>
      <c r="G20" s="164" t="s">
        <v>4547</v>
      </c>
      <c r="H20" s="164" t="s">
        <v>4528</v>
      </c>
    </row>
    <row r="21" customFormat="false" ht="27.75" hidden="false" customHeight="true" outlineLevel="0" collapsed="false">
      <c r="B21" s="164" t="s">
        <v>4582</v>
      </c>
      <c r="C21" s="164" t="s">
        <v>4595</v>
      </c>
      <c r="D21" s="164" t="s">
        <v>4596</v>
      </c>
      <c r="E21" s="164" t="s">
        <v>4597</v>
      </c>
      <c r="F21" s="164" t="s">
        <v>4598</v>
      </c>
      <c r="G21" s="164" t="s">
        <v>4547</v>
      </c>
      <c r="H21" s="164" t="s">
        <v>4528</v>
      </c>
    </row>
    <row r="22" customFormat="false" ht="27.75" hidden="false" customHeight="true" outlineLevel="0" collapsed="false">
      <c r="B22" s="164" t="s">
        <v>4599</v>
      </c>
      <c r="C22" s="164" t="s">
        <v>4600</v>
      </c>
      <c r="D22" s="164" t="s">
        <v>4601</v>
      </c>
      <c r="E22" s="164" t="s">
        <v>4602</v>
      </c>
      <c r="F22" s="164" t="s">
        <v>4603</v>
      </c>
      <c r="G22" s="164" t="s">
        <v>4547</v>
      </c>
      <c r="H22" s="164" t="s">
        <v>4528</v>
      </c>
    </row>
    <row r="23" customFormat="false" ht="27.75" hidden="false" customHeight="true" outlineLevel="0" collapsed="false">
      <c r="B23" s="164" t="s">
        <v>4599</v>
      </c>
      <c r="C23" s="164" t="s">
        <v>4604</v>
      </c>
      <c r="D23" s="164" t="s">
        <v>4605</v>
      </c>
      <c r="E23" s="164" t="s">
        <v>4606</v>
      </c>
      <c r="F23" s="164" t="s">
        <v>4607</v>
      </c>
      <c r="G23" s="164" t="s">
        <v>4547</v>
      </c>
      <c r="H23" s="164" t="s">
        <v>4528</v>
      </c>
    </row>
    <row r="24" customFormat="false" ht="27.75" hidden="false" customHeight="true" outlineLevel="0" collapsed="false">
      <c r="B24" s="164" t="s">
        <v>4608</v>
      </c>
      <c r="C24" s="164" t="s">
        <v>4609</v>
      </c>
      <c r="D24" s="164" t="s">
        <v>4610</v>
      </c>
      <c r="E24" s="164" t="s">
        <v>4611</v>
      </c>
      <c r="F24" s="164" t="s">
        <v>4612</v>
      </c>
      <c r="G24" s="164" t="s">
        <v>4547</v>
      </c>
      <c r="H24" s="164" t="s">
        <v>4528</v>
      </c>
    </row>
    <row r="25" customFormat="false" ht="27.75" hidden="false" customHeight="true" outlineLevel="0" collapsed="false">
      <c r="B25" s="164" t="s">
        <v>4608</v>
      </c>
      <c r="C25" s="164" t="s">
        <v>4613</v>
      </c>
      <c r="D25" s="164" t="s">
        <v>4614</v>
      </c>
      <c r="E25" s="164" t="s">
        <v>4615</v>
      </c>
      <c r="F25" s="164" t="s">
        <v>4526</v>
      </c>
      <c r="G25" s="164" t="s">
        <v>4527</v>
      </c>
      <c r="H25" s="164" t="s">
        <v>4528</v>
      </c>
    </row>
    <row r="26" customFormat="false" ht="41.25" hidden="false" customHeight="true" outlineLevel="0" collapsed="false">
      <c r="B26" s="164" t="s">
        <v>4608</v>
      </c>
      <c r="C26" s="164" t="s">
        <v>4616</v>
      </c>
      <c r="D26" s="164" t="s">
        <v>4617</v>
      </c>
      <c r="E26" s="164" t="s">
        <v>4618</v>
      </c>
      <c r="F26" s="164" t="s">
        <v>4619</v>
      </c>
      <c r="G26" s="164" t="s">
        <v>4547</v>
      </c>
      <c r="H26" s="164" t="s">
        <v>4528</v>
      </c>
    </row>
    <row r="27" customFormat="false" ht="54.75" hidden="false" customHeight="true" outlineLevel="0" collapsed="false">
      <c r="B27" s="164" t="s">
        <v>4608</v>
      </c>
      <c r="C27" s="164" t="s">
        <v>4620</v>
      </c>
      <c r="D27" s="164" t="s">
        <v>4621</v>
      </c>
      <c r="E27" s="164" t="s">
        <v>4622</v>
      </c>
      <c r="F27" s="164" t="s">
        <v>4623</v>
      </c>
      <c r="G27" s="164" t="s">
        <v>4547</v>
      </c>
      <c r="H27" s="164" t="s">
        <v>4528</v>
      </c>
    </row>
    <row r="28" customFormat="false" ht="27.75" hidden="false" customHeight="true" outlineLevel="0" collapsed="false">
      <c r="B28" s="164" t="s">
        <v>4608</v>
      </c>
      <c r="C28" s="164" t="s">
        <v>4624</v>
      </c>
      <c r="D28" s="164" t="s">
        <v>4625</v>
      </c>
      <c r="E28" s="164" t="s">
        <v>4626</v>
      </c>
      <c r="F28" s="164" t="s">
        <v>4627</v>
      </c>
      <c r="G28" s="164" t="s">
        <v>4527</v>
      </c>
      <c r="H28" s="164" t="s">
        <v>4528</v>
      </c>
    </row>
    <row r="29" customFormat="false" ht="27.75" hidden="false" customHeight="true" outlineLevel="0" collapsed="false">
      <c r="B29" s="164" t="s">
        <v>4608</v>
      </c>
      <c r="C29" s="164" t="s">
        <v>4628</v>
      </c>
      <c r="D29" s="164" t="s">
        <v>4629</v>
      </c>
      <c r="E29" s="164" t="s">
        <v>4630</v>
      </c>
      <c r="F29" s="164" t="s">
        <v>4631</v>
      </c>
      <c r="G29" s="164" t="s">
        <v>4547</v>
      </c>
      <c r="H29" s="164" t="s">
        <v>4528</v>
      </c>
    </row>
    <row r="30" customFormat="false" ht="41.25" hidden="false" customHeight="true" outlineLevel="0" collapsed="false">
      <c r="B30" s="164" t="s">
        <v>4608</v>
      </c>
      <c r="C30" s="164" t="s">
        <v>4632</v>
      </c>
      <c r="D30" s="164" t="s">
        <v>4633</v>
      </c>
      <c r="E30" s="164" t="s">
        <v>4634</v>
      </c>
      <c r="F30" s="164" t="s">
        <v>4635</v>
      </c>
      <c r="G30" s="164" t="s">
        <v>4547</v>
      </c>
      <c r="H30" s="164" t="s">
        <v>4528</v>
      </c>
    </row>
    <row r="31" customFormat="false" ht="27.75" hidden="false" customHeight="true" outlineLevel="0" collapsed="false">
      <c r="B31" s="164" t="s">
        <v>4608</v>
      </c>
      <c r="C31" s="164" t="s">
        <v>4636</v>
      </c>
      <c r="D31" s="164" t="s">
        <v>4637</v>
      </c>
      <c r="E31" s="164" t="s">
        <v>4638</v>
      </c>
      <c r="F31" s="164" t="s">
        <v>4526</v>
      </c>
      <c r="G31" s="164" t="s">
        <v>4527</v>
      </c>
      <c r="H31" s="164" t="s">
        <v>4528</v>
      </c>
    </row>
    <row r="32" customFormat="false" ht="27.75" hidden="false" customHeight="true" outlineLevel="0" collapsed="false">
      <c r="B32" s="164" t="s">
        <v>4639</v>
      </c>
      <c r="C32" s="164" t="s">
        <v>4640</v>
      </c>
      <c r="D32" s="164" t="s">
        <v>4641</v>
      </c>
      <c r="E32" s="164" t="s">
        <v>4642</v>
      </c>
      <c r="F32" s="164" t="s">
        <v>4643</v>
      </c>
      <c r="G32" s="164" t="s">
        <v>4533</v>
      </c>
      <c r="H32" s="164" t="s">
        <v>4528</v>
      </c>
    </row>
    <row r="33" customFormat="false" ht="27.75" hidden="false" customHeight="true" outlineLevel="0" collapsed="false">
      <c r="B33" s="164" t="s">
        <v>4639</v>
      </c>
      <c r="C33" s="164" t="s">
        <v>4644</v>
      </c>
      <c r="D33" s="164" t="s">
        <v>4645</v>
      </c>
      <c r="E33" s="164" t="s">
        <v>4646</v>
      </c>
      <c r="F33" s="164" t="s">
        <v>4647</v>
      </c>
      <c r="G33" s="164" t="s">
        <v>4547</v>
      </c>
      <c r="H33" s="164" t="s">
        <v>4528</v>
      </c>
    </row>
    <row r="34" customFormat="false" ht="41.25" hidden="false" customHeight="true" outlineLevel="0" collapsed="false">
      <c r="B34" s="164" t="s">
        <v>4648</v>
      </c>
      <c r="C34" s="164" t="s">
        <v>4649</v>
      </c>
      <c r="D34" s="164" t="s">
        <v>4650</v>
      </c>
      <c r="E34" s="164" t="s">
        <v>4651</v>
      </c>
      <c r="F34" s="164" t="s">
        <v>4652</v>
      </c>
      <c r="G34" s="164" t="s">
        <v>4547</v>
      </c>
      <c r="H34" s="164" t="s">
        <v>4528</v>
      </c>
    </row>
    <row r="35" customFormat="false" ht="41.25" hidden="false" customHeight="true" outlineLevel="0" collapsed="false">
      <c r="B35" s="164" t="s">
        <v>4653</v>
      </c>
      <c r="C35" s="164" t="s">
        <v>4654</v>
      </c>
      <c r="D35" s="164" t="s">
        <v>4655</v>
      </c>
      <c r="E35" s="164" t="s">
        <v>4656</v>
      </c>
      <c r="F35" s="164" t="s">
        <v>4657</v>
      </c>
      <c r="G35" s="164" t="s">
        <v>4533</v>
      </c>
      <c r="H35" s="164" t="s">
        <v>4528</v>
      </c>
    </row>
    <row r="36" customFormat="false" ht="27.75" hidden="false" customHeight="true" outlineLevel="0" collapsed="false">
      <c r="B36" s="164" t="s">
        <v>4658</v>
      </c>
      <c r="C36" s="164" t="s">
        <v>4659</v>
      </c>
      <c r="D36" s="164" t="s">
        <v>4660</v>
      </c>
      <c r="E36" s="164" t="s">
        <v>4661</v>
      </c>
      <c r="F36" s="164" t="s">
        <v>4598</v>
      </c>
      <c r="G36" s="164" t="s">
        <v>4547</v>
      </c>
      <c r="H36" s="164" t="s">
        <v>4528</v>
      </c>
    </row>
    <row r="37" customFormat="false" ht="27.75" hidden="false" customHeight="true" outlineLevel="0" collapsed="false">
      <c r="B37" s="164" t="s">
        <v>4658</v>
      </c>
      <c r="C37" s="164" t="s">
        <v>4662</v>
      </c>
      <c r="D37" s="164" t="s">
        <v>4663</v>
      </c>
      <c r="E37" s="164" t="s">
        <v>4664</v>
      </c>
      <c r="F37" s="164" t="s">
        <v>4665</v>
      </c>
      <c r="G37" s="164" t="s">
        <v>4547</v>
      </c>
      <c r="H37" s="164" t="s">
        <v>4528</v>
      </c>
    </row>
    <row r="38" customFormat="false" ht="27.75" hidden="false" customHeight="true" outlineLevel="0" collapsed="false">
      <c r="B38" s="164" t="s">
        <v>4666</v>
      </c>
      <c r="C38" s="164" t="s">
        <v>4667</v>
      </c>
      <c r="D38" s="164" t="s">
        <v>4668</v>
      </c>
      <c r="E38" s="164" t="s">
        <v>4669</v>
      </c>
      <c r="F38" s="164" t="s">
        <v>4670</v>
      </c>
      <c r="G38" s="164" t="s">
        <v>4533</v>
      </c>
      <c r="H38" s="164" t="s">
        <v>4528</v>
      </c>
    </row>
    <row r="40" customFormat="false" ht="15" hidden="false" customHeight="true" outlineLevel="0" collapsed="false">
      <c r="B40" s="46" t="s">
        <v>4671</v>
      </c>
    </row>
    <row r="41" customFormat="false" ht="15" hidden="false" customHeight="true" outlineLevel="0" collapsed="false">
      <c r="B41" s="20" t="s">
        <v>4672</v>
      </c>
      <c r="D41" s="35" t="n">
        <v>0.18</v>
      </c>
    </row>
    <row r="42" customFormat="false" ht="15" hidden="false" customHeight="true" outlineLevel="0" collapsed="false">
      <c r="B42" s="20" t="s">
        <v>4673</v>
      </c>
      <c r="D42" s="36" t="n">
        <v>50</v>
      </c>
    </row>
    <row r="43" customFormat="false" ht="15" hidden="false" customHeight="true" outlineLevel="0" collapsed="false">
      <c r="B43" s="20" t="s">
        <v>4674</v>
      </c>
      <c r="D43" s="41" t="n">
        <f aca="false">'Plan cashflow'!$H$8/12</f>
        <v>5191.12055555556</v>
      </c>
    </row>
    <row r="44" customFormat="false" ht="15" hidden="false" customHeight="true" outlineLevel="0" collapsed="false">
      <c r="B44" s="20" t="s">
        <v>4675</v>
      </c>
      <c r="D44" s="41" t="n">
        <f aca="false">MAX(Rep_Step,ROUND(Rep_SharePct*Rep_TakeHomeM/Rep_Step,0)*Rep_Step)</f>
        <v>950</v>
      </c>
    </row>
    <row r="45" customFormat="false" ht="15" hidden="false" customHeight="true" outlineLevel="0" collapsed="false">
      <c r="B45" s="20" t="s">
        <v>4676</v>
      </c>
      <c r="D45" s="41" t="n">
        <f aca="false">ROUND(Rep_MoreM/2,0)</f>
        <v>475</v>
      </c>
    </row>
    <row r="46" customFormat="false" ht="15" hidden="false" customHeight="true" outlineLevel="0" collapsed="false">
      <c r="B46" s="20" t="s">
        <v>4677</v>
      </c>
      <c r="D46" s="35" t="n">
        <f aca="false">IF(F_Income&gt;IF(F_Married=1,Band_Married+MIN(In_pIncome,Band_Second_Earner_Max),IF(F_Spccc=1,Band_Single_Parent,Band_Single)),Rate_Higher,Rate_Standard)</f>
        <v>0.4</v>
      </c>
    </row>
    <row r="47" customFormat="false" ht="15" hidden="false" customHeight="true" outlineLevel="0" collapsed="false">
      <c r="B47" s="20" t="s">
        <v>4678</v>
      </c>
      <c r="D47" s="41" t="n">
        <f aca="false">MAX(0,INT((LOOKUP(F_Age,Relief_Age_From,Relief_Age_Pct)*MIN(F_Income,Relief_Earnings_Cap)-12*F_Own)/12))</f>
        <v>706</v>
      </c>
    </row>
    <row r="48" customFormat="false" ht="15" hidden="false" customHeight="true" outlineLevel="0" collapsed="false">
      <c r="B48" s="20" t="s">
        <v>4679</v>
      </c>
      <c r="D48" s="41" t="n">
        <f aca="false">ROUND(Rep_LimitM*(1-Rep_TaxRate),0)</f>
        <v>424</v>
      </c>
    </row>
    <row r="49" customFormat="false" ht="15" hidden="false" customHeight="true" outlineLevel="0" collapsed="false">
      <c r="B49" s="20" t="s">
        <v>4680</v>
      </c>
      <c r="D49" s="41" t="n">
        <f aca="false">ROUND(Rep_MoreM/(1-Rep_TaxRate),0)</f>
        <v>1583</v>
      </c>
    </row>
    <row r="50" customFormat="false" ht="15" hidden="false" customHeight="true" outlineLevel="0" collapsed="false">
      <c r="B50" s="20" t="s">
        <v>4681</v>
      </c>
      <c r="D50" s="41" t="n">
        <f aca="false">ROUND(Rep_MoreM2/(1-Rep_TaxRate),0)</f>
        <v>792</v>
      </c>
    </row>
    <row r="52" customFormat="false" ht="15" hidden="false" customHeight="true" outlineLevel="0" collapsed="false">
      <c r="B52" s="46" t="s">
        <v>4682</v>
      </c>
    </row>
    <row r="53" customFormat="false" ht="15" hidden="false" customHeight="true" outlineLevel="0" collapsed="false">
      <c r="B53" s="23" t="s">
        <v>4683</v>
      </c>
      <c r="C53" s="23" t="s">
        <v>4684</v>
      </c>
      <c r="D53" s="23" t="s">
        <v>4685</v>
      </c>
      <c r="E53" s="23" t="s">
        <v>4686</v>
      </c>
    </row>
    <row r="54" customFormat="false" ht="15" hidden="false" customHeight="true" outlineLevel="0" collapsed="false">
      <c r="B54" s="164" t="s">
        <v>4687</v>
      </c>
      <c r="C54" s="164" t="s">
        <v>4688</v>
      </c>
      <c r="D54" s="164" t="s">
        <v>4689</v>
      </c>
      <c r="E54" s="164" t="s">
        <v>4690</v>
      </c>
    </row>
    <row r="55" customFormat="false" ht="54.75" hidden="false" customHeight="true" outlineLevel="0" collapsed="false">
      <c r="B55" s="164" t="s">
        <v>4691</v>
      </c>
      <c r="C55" s="164" t="s">
        <v>4616</v>
      </c>
      <c r="D55" s="164" t="s">
        <v>4692</v>
      </c>
      <c r="E55" s="164" t="s">
        <v>4693</v>
      </c>
    </row>
    <row r="56" customFormat="false" ht="15" hidden="false" customHeight="true" outlineLevel="0" collapsed="false">
      <c r="B56" s="164" t="s">
        <v>4694</v>
      </c>
      <c r="C56" s="164" t="s">
        <v>4695</v>
      </c>
      <c r="D56" s="164" t="s">
        <v>4696</v>
      </c>
      <c r="E56" s="164" t="s">
        <v>4693</v>
      </c>
    </row>
    <row r="57" customFormat="false" ht="41.25" hidden="false" customHeight="true" outlineLevel="0" collapsed="false">
      <c r="B57" s="164" t="s">
        <v>1071</v>
      </c>
      <c r="C57" s="164" t="s">
        <v>4620</v>
      </c>
      <c r="D57" s="164" t="s">
        <v>4697</v>
      </c>
      <c r="E57" s="164" t="s">
        <v>4693</v>
      </c>
    </row>
    <row r="58" customFormat="false" ht="41.25" hidden="false" customHeight="true" outlineLevel="0" collapsed="false">
      <c r="B58" s="164" t="s">
        <v>4698</v>
      </c>
      <c r="C58" s="164" t="s">
        <v>4624</v>
      </c>
      <c r="D58" s="164" t="s">
        <v>4699</v>
      </c>
      <c r="E58" s="164" t="s">
        <v>4693</v>
      </c>
    </row>
    <row r="59" customFormat="false" ht="41.25" hidden="false" customHeight="true" outlineLevel="0" collapsed="false">
      <c r="B59" s="164" t="s">
        <v>4700</v>
      </c>
      <c r="C59" s="164" t="s">
        <v>4701</v>
      </c>
      <c r="D59" s="164" t="s">
        <v>4702</v>
      </c>
      <c r="E59" s="164" t="s">
        <v>4693</v>
      </c>
    </row>
    <row r="60" customFormat="false" ht="41.25" hidden="false" customHeight="true" outlineLevel="0" collapsed="false">
      <c r="B60" s="164" t="s">
        <v>4703</v>
      </c>
      <c r="C60" s="164" t="s">
        <v>4704</v>
      </c>
      <c r="D60" s="164" t="s">
        <v>4705</v>
      </c>
      <c r="E60" s="164" t="s">
        <v>4693</v>
      </c>
    </row>
    <row r="61" customFormat="false" ht="27.75" hidden="false" customHeight="true" outlineLevel="0" collapsed="false">
      <c r="B61" s="164" t="s">
        <v>4706</v>
      </c>
      <c r="C61" s="164" t="s">
        <v>4707</v>
      </c>
      <c r="D61" s="164" t="s">
        <v>4708</v>
      </c>
      <c r="E61" s="164" t="s">
        <v>4693</v>
      </c>
    </row>
    <row r="62" customFormat="false" ht="41.25" hidden="false" customHeight="true" outlineLevel="0" collapsed="false">
      <c r="B62" s="164" t="s">
        <v>4709</v>
      </c>
      <c r="C62" s="164" t="s">
        <v>4710</v>
      </c>
      <c r="D62" s="164" t="s">
        <v>4711</v>
      </c>
      <c r="E62" s="164" t="s">
        <v>4693</v>
      </c>
    </row>
    <row r="64" customFormat="false" ht="33.75" hidden="false" customHeight="true" outlineLevel="0" collapsed="false">
      <c r="B64" s="185" t="s">
        <v>4712</v>
      </c>
      <c r="C64" s="185"/>
      <c r="D64" s="185"/>
      <c r="E64" s="185"/>
      <c r="F64" s="185"/>
      <c r="G64" s="185"/>
      <c r="H64" s="185"/>
    </row>
  </sheetData>
  <mergeCells count="2">
    <mergeCell ref="B2:H2"/>
    <mergeCell ref="B64:H6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H15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20" width="2"/>
    <col collapsed="false" customWidth="true" hidden="false" outlineLevel="0" max="2" min="2" style="20" width="22"/>
    <col collapsed="false" customWidth="true" hidden="false" outlineLevel="0" max="3" min="3" style="20" width="40"/>
    <col collapsed="false" customWidth="true" hidden="false" outlineLevel="0" max="4" min="4" style="20" width="70"/>
    <col collapsed="false" customWidth="true" hidden="false" outlineLevel="0" max="5" min="5" style="20" width="30"/>
  </cols>
  <sheetData>
    <row r="1" customFormat="false" ht="21.75" hidden="false" customHeight="true" outlineLevel="0" collapsed="false">
      <c r="B1" s="186" t="s">
        <v>4713</v>
      </c>
    </row>
    <row r="2" customFormat="false" ht="15" hidden="false" customHeight="true" outlineLevel="0" collapsed="false">
      <c r="B2" s="51" t="s">
        <v>4714</v>
      </c>
    </row>
    <row r="3" customFormat="false" ht="15" hidden="false" customHeight="true" outlineLevel="0" collapsed="false">
      <c r="B3" s="187" t="s">
        <v>4715</v>
      </c>
      <c r="C3" s="188" t="s">
        <v>450</v>
      </c>
      <c r="D3" s="189" t="s">
        <v>4716</v>
      </c>
    </row>
    <row r="4" customFormat="false" ht="15" hidden="false" customHeight="true" outlineLevel="0" collapsed="false">
      <c r="B4" s="190" t="s">
        <v>4717</v>
      </c>
    </row>
    <row r="5" customFormat="false" ht="15" hidden="false" customHeight="true" outlineLevel="0" collapsed="false">
      <c r="B5" s="191" t="s">
        <v>4718</v>
      </c>
      <c r="C5" s="191"/>
      <c r="D5" s="191"/>
      <c r="E5" s="191"/>
    </row>
    <row r="6" customFormat="false" ht="15" hidden="false" customHeight="true" outlineLevel="0" collapsed="false">
      <c r="B6" s="191" t="s">
        <v>4719</v>
      </c>
      <c r="C6" s="191"/>
      <c r="D6" s="191"/>
      <c r="E6" s="191"/>
    </row>
    <row r="7" customFormat="false" ht="15" hidden="false" customHeight="true" outlineLevel="0" collapsed="false">
      <c r="B7" s="191" t="s">
        <v>4720</v>
      </c>
      <c r="C7" s="191"/>
      <c r="D7" s="191"/>
      <c r="E7" s="191"/>
    </row>
    <row r="8" customFormat="false" ht="15" hidden="false" customHeight="true" outlineLevel="0" collapsed="false">
      <c r="B8" s="191" t="s">
        <v>4721</v>
      </c>
      <c r="C8" s="191"/>
      <c r="D8" s="191"/>
      <c r="E8" s="191"/>
    </row>
    <row r="9" customFormat="false" ht="15" hidden="false" customHeight="true" outlineLevel="0" collapsed="false">
      <c r="B9" s="191" t="s">
        <v>4722</v>
      </c>
      <c r="C9" s="191"/>
      <c r="D9" s="191"/>
      <c r="E9" s="191"/>
    </row>
    <row r="10" customFormat="false" ht="15" hidden="false" customHeight="true" outlineLevel="0" collapsed="false">
      <c r="B10" s="191" t="s">
        <v>4723</v>
      </c>
      <c r="C10" s="191"/>
      <c r="D10" s="191"/>
      <c r="E10" s="191"/>
    </row>
    <row r="11" customFormat="false" ht="15" hidden="false" customHeight="true" outlineLevel="0" collapsed="false">
      <c r="B11" s="191" t="s">
        <v>4724</v>
      </c>
      <c r="C11" s="191"/>
      <c r="D11" s="191"/>
      <c r="E11" s="191"/>
    </row>
    <row r="12" customFormat="false" ht="15" hidden="false" customHeight="true" outlineLevel="0" collapsed="false">
      <c r="B12" s="191" t="s">
        <v>4725</v>
      </c>
      <c r="C12" s="191"/>
      <c r="D12" s="191"/>
      <c r="E12" s="191"/>
    </row>
    <row r="13" customFormat="false" ht="15" hidden="false" customHeight="true" outlineLevel="0" collapsed="false">
      <c r="B13" s="191" t="s">
        <v>4726</v>
      </c>
      <c r="C13" s="191"/>
      <c r="D13" s="191"/>
      <c r="E13" s="191"/>
    </row>
    <row r="14" customFormat="false" ht="15" hidden="false" customHeight="true" outlineLevel="0" collapsed="false">
      <c r="B14" s="191" t="s">
        <v>4727</v>
      </c>
      <c r="C14" s="191"/>
      <c r="D14" s="191"/>
      <c r="E14" s="191"/>
    </row>
    <row r="15" customFormat="false" ht="15" hidden="false" customHeight="true" outlineLevel="0" collapsed="false">
      <c r="B15" s="20" t="s">
        <v>4728</v>
      </c>
    </row>
    <row r="16" customFormat="false" ht="15" hidden="false" customHeight="true" outlineLevel="0" collapsed="false">
      <c r="B16" s="190" t="s">
        <v>4729</v>
      </c>
    </row>
    <row r="17" customFormat="false" ht="15" hidden="false" customHeight="true" outlineLevel="0" collapsed="false">
      <c r="B17" s="191" t="s">
        <v>4730</v>
      </c>
      <c r="C17" s="191"/>
      <c r="D17" s="191"/>
      <c r="E17" s="191"/>
    </row>
    <row r="18" customFormat="false" ht="15" hidden="false" customHeight="true" outlineLevel="0" collapsed="false">
      <c r="B18" s="191" t="s">
        <v>4731</v>
      </c>
      <c r="C18" s="191"/>
      <c r="D18" s="191"/>
      <c r="E18" s="191"/>
    </row>
    <row r="19" customFormat="false" ht="15" hidden="false" customHeight="true" outlineLevel="0" collapsed="false">
      <c r="B19" s="191" t="s">
        <v>4732</v>
      </c>
      <c r="C19" s="191"/>
      <c r="D19" s="191"/>
      <c r="E19" s="191"/>
    </row>
    <row r="20" customFormat="false" ht="15" hidden="false" customHeight="true" outlineLevel="0" collapsed="false">
      <c r="B20" s="191" t="s">
        <v>4733</v>
      </c>
      <c r="C20" s="191"/>
      <c r="D20" s="191"/>
      <c r="E20" s="191"/>
    </row>
    <row r="21" customFormat="false" ht="15" hidden="false" customHeight="true" outlineLevel="0" collapsed="false">
      <c r="B21" s="191" t="s">
        <v>4734</v>
      </c>
      <c r="C21" s="191"/>
      <c r="D21" s="191"/>
      <c r="E21" s="191"/>
    </row>
    <row r="22" customFormat="false" ht="15" hidden="false" customHeight="true" outlineLevel="0" collapsed="false">
      <c r="B22" s="191" t="s">
        <v>4735</v>
      </c>
      <c r="C22" s="191"/>
      <c r="D22" s="191"/>
      <c r="E22" s="191"/>
    </row>
    <row r="23" customFormat="false" ht="15" hidden="false" customHeight="true" outlineLevel="0" collapsed="false">
      <c r="B23" s="59" t="s">
        <v>4736</v>
      </c>
    </row>
    <row r="24" customFormat="false" ht="15" hidden="false" customHeight="true" outlineLevel="0" collapsed="false">
      <c r="B24" s="190" t="s">
        <v>4737</v>
      </c>
    </row>
    <row r="25" customFormat="false" ht="15" hidden="false" customHeight="true" outlineLevel="0" collapsed="false">
      <c r="B25" s="191" t="s">
        <v>4738</v>
      </c>
      <c r="C25" s="191"/>
      <c r="D25" s="191"/>
      <c r="E25" s="191"/>
    </row>
    <row r="27" customFormat="false" ht="15" hidden="false" customHeight="true" outlineLevel="0" collapsed="false">
      <c r="B27" s="190" t="s">
        <v>4739</v>
      </c>
    </row>
    <row r="28" customFormat="false" ht="48" hidden="false" customHeight="true" outlineLevel="0" collapsed="false">
      <c r="B28" s="192" t="s">
        <v>4740</v>
      </c>
      <c r="C28" s="192"/>
      <c r="D28" s="192"/>
      <c r="E28" s="192"/>
    </row>
    <row r="30" customFormat="false" ht="15" hidden="false" customHeight="true" outlineLevel="0" collapsed="false">
      <c r="B30" s="190" t="s">
        <v>4741</v>
      </c>
    </row>
    <row r="31" customFormat="false" ht="15" hidden="false" customHeight="true" outlineLevel="0" collapsed="false">
      <c r="B31" s="193" t="s">
        <v>4742</v>
      </c>
      <c r="C31" s="193" t="s">
        <v>4743</v>
      </c>
      <c r="D31" s="193" t="s">
        <v>4744</v>
      </c>
      <c r="E31" s="193" t="s">
        <v>585</v>
      </c>
    </row>
    <row r="32" customFormat="false" ht="15" hidden="false" customHeight="true" outlineLevel="0" collapsed="false">
      <c r="B32" s="177" t="s">
        <v>292</v>
      </c>
      <c r="C32" s="194" t="str">
        <f aca="false">HYPERLINK("#'C01 Borrowing'!A1","How much could I borrow?")</f>
        <v>How much could I borrow?</v>
      </c>
      <c r="D32" s="159" t="s">
        <v>4745</v>
      </c>
      <c r="E32" s="159" t="s">
        <v>4746</v>
      </c>
    </row>
    <row r="33" customFormat="false" ht="15" hidden="false" customHeight="true" outlineLevel="0" collapsed="false">
      <c r="B33" s="177" t="s">
        <v>293</v>
      </c>
      <c r="C33" s="194" t="str">
        <f aca="false">HYPERLINK("#'C02 Mortgage repayment'!A1","Monthly mortgage repayment")</f>
        <v>Monthly mortgage repayment</v>
      </c>
      <c r="D33" s="159" t="s">
        <v>4747</v>
      </c>
      <c r="E33" s="159" t="s">
        <v>4746</v>
      </c>
    </row>
    <row r="34" customFormat="false" ht="15" hidden="false" customHeight="true" outlineLevel="0" collapsed="false">
      <c r="B34" s="177" t="s">
        <v>294</v>
      </c>
      <c r="C34" s="194" t="str">
        <f aca="false">HYPERLINK("#'C03 Deposit'!A1","Deposit calculator")</f>
        <v>Deposit calculator</v>
      </c>
      <c r="D34" s="159" t="s">
        <v>4748</v>
      </c>
      <c r="E34" s="159" t="s">
        <v>4746</v>
      </c>
    </row>
    <row r="35" customFormat="false" ht="15" hidden="false" customHeight="true" outlineLevel="0" collapsed="false">
      <c r="B35" s="177" t="s">
        <v>295</v>
      </c>
      <c r="C35" s="194" t="str">
        <f aca="false">HYPERLINK("#'C04 Mortgage overpayment'!A1","Mortgage overpayment")</f>
        <v>Mortgage overpayment</v>
      </c>
      <c r="D35" s="159" t="s">
        <v>4749</v>
      </c>
      <c r="E35" s="159" t="s">
        <v>4746</v>
      </c>
    </row>
    <row r="36" customFormat="false" ht="15" hidden="false" customHeight="true" outlineLevel="0" collapsed="false">
      <c r="B36" s="177" t="s">
        <v>296</v>
      </c>
      <c r="C36" s="194" t="str">
        <f aca="false">HYPERLINK("#'C05 Interest rate impact'!A1","Interest-rate impact")</f>
        <v>Interest-rate impact</v>
      </c>
      <c r="D36" s="159" t="s">
        <v>4750</v>
      </c>
      <c r="E36" s="159" t="s">
        <v>4746</v>
      </c>
    </row>
    <row r="37" customFormat="false" ht="15" hidden="false" customHeight="true" outlineLevel="0" collapsed="false">
      <c r="B37" s="177" t="s">
        <v>297</v>
      </c>
      <c r="C37" s="194" t="str">
        <f aca="false">HYPERLINK("#'C06 Term comparison'!A1","Mortgage term comparison")</f>
        <v>Mortgage term comparison</v>
      </c>
      <c r="D37" s="159" t="s">
        <v>4751</v>
      </c>
      <c r="E37" s="159" t="s">
        <v>4746</v>
      </c>
    </row>
    <row r="38" customFormat="false" ht="15" hidden="false" customHeight="true" outlineLevel="0" collapsed="false">
      <c r="B38" s="177" t="s">
        <v>298</v>
      </c>
      <c r="C38" s="194" t="str">
        <f aca="false">HYPERLINK("#'C07 Rent vs buy'!A1","Rent vs buy")</f>
        <v>Rent vs buy</v>
      </c>
      <c r="D38" s="159" t="s">
        <v>4752</v>
      </c>
      <c r="E38" s="159" t="s">
        <v>4746</v>
      </c>
    </row>
    <row r="39" customFormat="false" ht="15" hidden="false" customHeight="true" outlineLevel="0" collapsed="false">
      <c r="B39" s="177" t="s">
        <v>299</v>
      </c>
      <c r="C39" s="194" t="str">
        <f aca="false">HYPERLINK("#'C08 Goal planner'!A1","Goal planner")</f>
        <v>Goal planner</v>
      </c>
      <c r="D39" s="159" t="s">
        <v>4753</v>
      </c>
      <c r="E39" s="159" t="s">
        <v>4754</v>
      </c>
    </row>
    <row r="40" customFormat="false" ht="15" hidden="false" customHeight="true" outlineLevel="0" collapsed="false">
      <c r="B40" s="177" t="s">
        <v>300</v>
      </c>
      <c r="C40" s="194" t="str">
        <f aca="false">HYPERLINK("#'C09 Compound growth'!A1","Compound growth")</f>
        <v>Compound growth</v>
      </c>
      <c r="D40" s="159" t="s">
        <v>4755</v>
      </c>
      <c r="E40" s="159" t="s">
        <v>4754</v>
      </c>
    </row>
    <row r="41" customFormat="false" ht="15" hidden="false" customHeight="true" outlineLevel="0" collapsed="false">
      <c r="B41" s="177" t="s">
        <v>301</v>
      </c>
      <c r="C41" s="194" t="str">
        <f aca="false">HYPERLINK("#'C10 Lump sum growth'!A1","Lump-sum growth")</f>
        <v>Lump-sum growth</v>
      </c>
      <c r="D41" s="159" t="s">
        <v>4756</v>
      </c>
      <c r="E41" s="159" t="s">
        <v>993</v>
      </c>
    </row>
    <row r="42" customFormat="false" ht="15" hidden="false" customHeight="true" outlineLevel="0" collapsed="false">
      <c r="B42" s="177" t="s">
        <v>302</v>
      </c>
      <c r="C42" s="194" t="str">
        <f aca="false">HYPERLINK("#'C11 Emergency fund'!A1","Emergency fund")</f>
        <v>Emergency fund</v>
      </c>
      <c r="D42" s="159" t="s">
        <v>4757</v>
      </c>
      <c r="E42" s="159" t="s">
        <v>4754</v>
      </c>
    </row>
    <row r="43" customFormat="false" ht="15" hidden="false" customHeight="true" outlineLevel="0" collapsed="false">
      <c r="B43" s="177" t="s">
        <v>303</v>
      </c>
      <c r="C43" s="194" t="str">
        <f aca="false">HYPERLINK("#'C12 Retirement projection'!A1","Retirement projection")</f>
        <v>Retirement projection</v>
      </c>
      <c r="D43" s="159" t="s">
        <v>4758</v>
      </c>
      <c r="E43" s="159" t="s">
        <v>4759</v>
      </c>
    </row>
    <row r="44" customFormat="false" ht="15" hidden="false" customHeight="true" outlineLevel="0" collapsed="false">
      <c r="B44" s="177" t="s">
        <v>304</v>
      </c>
      <c r="C44" s="194" t="str">
        <f aca="false">HYPERLINK("#'C13 Contribution impact'!A1","Contribution impact")</f>
        <v>Contribution impact</v>
      </c>
      <c r="D44" s="159" t="s">
        <v>4760</v>
      </c>
      <c r="E44" s="159" t="s">
        <v>4759</v>
      </c>
    </row>
    <row r="45" customFormat="false" ht="15" hidden="false" customHeight="true" outlineLevel="0" collapsed="false">
      <c r="B45" s="177" t="s">
        <v>305</v>
      </c>
      <c r="C45" s="194" t="str">
        <f aca="false">HYPERLINK("#'C14 AVC impact'!A1","AVC impact")</f>
        <v>AVC impact</v>
      </c>
      <c r="D45" s="159" t="s">
        <v>4761</v>
      </c>
      <c r="E45" s="159" t="s">
        <v>4759</v>
      </c>
    </row>
    <row r="46" customFormat="false" ht="15" hidden="false" customHeight="true" outlineLevel="0" collapsed="false">
      <c r="B46" s="177" t="s">
        <v>306</v>
      </c>
      <c r="C46" s="194" t="str">
        <f aca="false">HYPERLINK("#'C15 Will my money last'!A1","Will my money last?")</f>
        <v>Will my money last?</v>
      </c>
      <c r="D46" s="159" t="s">
        <v>4762</v>
      </c>
      <c r="E46" s="159" t="s">
        <v>4759</v>
      </c>
    </row>
    <row r="47" customFormat="false" ht="15" hidden="false" customHeight="true" outlineLevel="0" collapsed="false">
      <c r="B47" s="177" t="s">
        <v>307</v>
      </c>
      <c r="C47" s="194" t="str">
        <f aca="false">HYPERLINK("#'C16 Drawdown scenarios'!A1","Retirement drawdown scenarios")</f>
        <v>Retirement drawdown scenarios</v>
      </c>
      <c r="D47" s="159" t="s">
        <v>4763</v>
      </c>
      <c r="E47" s="159" t="s">
        <v>4759</v>
      </c>
    </row>
    <row r="48" customFormat="false" ht="15" hidden="false" customHeight="true" outlineLevel="0" collapsed="false">
      <c r="B48" s="177" t="s">
        <v>308</v>
      </c>
      <c r="C48" s="194" t="str">
        <f aca="false">HYPERLINK("#'C17 Inflation adjusted return'!A1","Inflation-adjusted return")</f>
        <v>Inflation-adjusted return</v>
      </c>
      <c r="D48" s="159" t="s">
        <v>4764</v>
      </c>
      <c r="E48" s="159" t="s">
        <v>993</v>
      </c>
    </row>
    <row r="49" customFormat="false" ht="15" hidden="false" customHeight="true" outlineLevel="0" collapsed="false">
      <c r="B49" s="177" t="s">
        <v>309</v>
      </c>
      <c r="C49" s="194" t="str">
        <f aca="false">HYPERLINK("#'C18 Regular investing'!A1","Regular investing")</f>
        <v>Regular investing</v>
      </c>
      <c r="D49" s="159" t="s">
        <v>4765</v>
      </c>
      <c r="E49" s="159" t="s">
        <v>993</v>
      </c>
    </row>
    <row r="50" customFormat="false" ht="15" hidden="false" customHeight="true" outlineLevel="0" collapsed="false">
      <c r="B50" s="177" t="s">
        <v>310</v>
      </c>
      <c r="C50" s="194" t="str">
        <f aca="false">HYPERLINK("#'C19 Fees impact'!A1","Fees impact")</f>
        <v>Fees impact</v>
      </c>
      <c r="D50" s="159" t="s">
        <v>4766</v>
      </c>
      <c r="E50" s="159" t="s">
        <v>993</v>
      </c>
    </row>
    <row r="51" customFormat="false" ht="15" hidden="false" customHeight="true" outlineLevel="0" collapsed="false">
      <c r="B51" s="177" t="s">
        <v>311</v>
      </c>
      <c r="C51" s="194" t="str">
        <f aca="false">HYPERLINK("#'C20 Risk and return'!A1","Risk &amp; return simulator")</f>
        <v>Risk &amp; return simulator</v>
      </c>
      <c r="D51" s="159" t="s">
        <v>4767</v>
      </c>
      <c r="E51" s="159" t="s">
        <v>993</v>
      </c>
    </row>
    <row r="52" customFormat="false" ht="15" hidden="false" customHeight="true" outlineLevel="0" collapsed="false">
      <c r="B52" s="177" t="s">
        <v>312</v>
      </c>
      <c r="C52" s="194" t="str">
        <f aca="false">HYPERLINK("#'C21 Life cover'!A1","Life cover estimator")</f>
        <v>Life cover estimator</v>
      </c>
      <c r="D52" s="159" t="s">
        <v>4768</v>
      </c>
      <c r="E52" s="159" t="s">
        <v>4045</v>
      </c>
    </row>
    <row r="53" customFormat="false" ht="15" hidden="false" customHeight="true" outlineLevel="0" collapsed="false">
      <c r="B53" s="177" t="s">
        <v>313</v>
      </c>
      <c r="C53" s="194" t="str">
        <f aca="false">HYPERLINK("#'C22 Income protection gap'!A1","Income protection gap")</f>
        <v>Income protection gap</v>
      </c>
      <c r="D53" s="159" t="s">
        <v>4769</v>
      </c>
      <c r="E53" s="159" t="s">
        <v>4045</v>
      </c>
    </row>
    <row r="54" customFormat="false" ht="15" hidden="false" customHeight="true" outlineLevel="0" collapsed="false">
      <c r="B54" s="177" t="s">
        <v>314</v>
      </c>
      <c r="C54" s="194" t="str">
        <f aca="false">HYPERLINK("#'C23 Mortgage protection'!A1","Mortgage protection")</f>
        <v>Mortgage protection</v>
      </c>
      <c r="D54" s="159" t="s">
        <v>4770</v>
      </c>
      <c r="E54" s="159" t="s">
        <v>4045</v>
      </c>
    </row>
    <row r="55" customFormat="false" ht="15" hidden="false" customHeight="true" outlineLevel="0" collapsed="false">
      <c r="B55" s="177" t="s">
        <v>315</v>
      </c>
      <c r="C55" s="194" t="str">
        <f aca="false">HYPERLINK("#'C24 Net worth'!A1","Net worth")</f>
        <v>Net worth</v>
      </c>
      <c r="D55" s="159" t="s">
        <v>4771</v>
      </c>
      <c r="E55" s="159" t="s">
        <v>4772</v>
      </c>
    </row>
    <row r="56" customFormat="false" ht="15" hidden="false" customHeight="true" outlineLevel="0" collapsed="false">
      <c r="B56" s="177" t="s">
        <v>316</v>
      </c>
      <c r="C56" s="194" t="str">
        <f aca="false">HYPERLINK("#'C25 Monthly surplus'!A1","Monthly surplus")</f>
        <v>Monthly surplus</v>
      </c>
      <c r="D56" s="159" t="s">
        <v>4773</v>
      </c>
      <c r="E56" s="159" t="s">
        <v>4772</v>
      </c>
    </row>
    <row r="57" customFormat="false" ht="15" hidden="false" customHeight="true" outlineLevel="0" collapsed="false">
      <c r="B57" s="177" t="s">
        <v>317</v>
      </c>
      <c r="C57" s="194" t="str">
        <f aca="false">HYPERLINK("#'C26 Budget 50 30 20'!A1","Budget (50/30/20)")</f>
        <v>Budget (50/30/20)</v>
      </c>
      <c r="D57" s="159" t="s">
        <v>4774</v>
      </c>
      <c r="E57" s="159" t="s">
        <v>4772</v>
      </c>
    </row>
    <row r="58" customFormat="false" ht="15" hidden="false" customHeight="true" outlineLevel="0" collapsed="false">
      <c r="B58" s="177" t="s">
        <v>318</v>
      </c>
      <c r="C58" s="194" t="str">
        <f aca="false">HYPERLINK("#'C27 Debt repayment'!A1","Debt repayment")</f>
        <v>Debt repayment</v>
      </c>
      <c r="D58" s="159" t="s">
        <v>4775</v>
      </c>
      <c r="E58" s="159" t="s">
        <v>4772</v>
      </c>
    </row>
    <row r="59" customFormat="false" ht="15" hidden="false" customHeight="true" outlineLevel="0" collapsed="false">
      <c r="B59" s="177" t="s">
        <v>319</v>
      </c>
      <c r="C59" s="194" t="str">
        <f aca="false">HYPERLINK("#'C28 Loan repayment'!A1","Loan repayment")</f>
        <v>Loan repayment</v>
      </c>
      <c r="D59" s="159" t="s">
        <v>4776</v>
      </c>
      <c r="E59" s="159" t="s">
        <v>4772</v>
      </c>
    </row>
    <row r="60" customFormat="false" ht="15" hidden="false" customHeight="true" outlineLevel="0" collapsed="false">
      <c r="C60" s="194" t="str">
        <f aca="false">HYPERLINK("#'Assumptions'!A1","Assumptions")</f>
        <v>Assumptions</v>
      </c>
    </row>
    <row r="61" customFormat="false" ht="15" hidden="false" customHeight="true" outlineLevel="0" collapsed="false">
      <c r="C61" s="194" t="str">
        <f aca="false">HYPERLINK("#'Tax engine'!A1","Tax engine")</f>
        <v>Tax engine</v>
      </c>
    </row>
    <row r="62" customFormat="false" ht="15" hidden="false" customHeight="true" outlineLevel="0" collapsed="false">
      <c r="C62" s="194" t="str">
        <f aca="false">HYPERLINK("#'Document reader spec'!A1","Document reader spec")</f>
        <v>Document reader spec</v>
      </c>
    </row>
    <row r="64" customFormat="false" ht="15" hidden="false" customHeight="true" outlineLevel="0" collapsed="false">
      <c r="B64" s="55" t="s">
        <v>4304</v>
      </c>
      <c r="C64" s="58"/>
      <c r="D64" s="58"/>
      <c r="E64" s="58"/>
      <c r="F64" s="58"/>
      <c r="G64" s="58"/>
      <c r="H64" s="58"/>
    </row>
    <row r="65" customFormat="false" ht="42" hidden="false" customHeight="true" outlineLevel="0" collapsed="false">
      <c r="B65" s="147" t="s">
        <v>4305</v>
      </c>
      <c r="C65" s="147"/>
      <c r="D65" s="147"/>
      <c r="E65" s="147"/>
      <c r="F65" s="147"/>
      <c r="G65" s="147"/>
    </row>
    <row r="66" customFormat="false" ht="15" hidden="false" customHeight="true" outlineLevel="0" collapsed="false">
      <c r="B66" s="146" t="s">
        <v>4306</v>
      </c>
      <c r="C66" s="146" t="s">
        <v>4307</v>
      </c>
      <c r="D66" s="146" t="s">
        <v>383</v>
      </c>
    </row>
    <row r="67" customFormat="false" ht="25.5" hidden="false" customHeight="true" outlineLevel="0" collapsed="false">
      <c r="B67" s="150" t="s">
        <v>4308</v>
      </c>
      <c r="C67" s="150" t="s">
        <v>4309</v>
      </c>
      <c r="D67" s="150" t="s">
        <v>4310</v>
      </c>
    </row>
    <row r="68" customFormat="false" ht="25.5" hidden="false" customHeight="true" outlineLevel="0" collapsed="false">
      <c r="B68" s="150" t="s">
        <v>4311</v>
      </c>
      <c r="C68" s="150" t="s">
        <v>4312</v>
      </c>
      <c r="D68" s="150" t="s">
        <v>4310</v>
      </c>
    </row>
    <row r="69" customFormat="false" ht="25.5" hidden="false" customHeight="true" outlineLevel="0" collapsed="false">
      <c r="B69" s="150" t="s">
        <v>4313</v>
      </c>
      <c r="C69" s="150" t="s">
        <v>4314</v>
      </c>
      <c r="D69" s="150" t="s">
        <v>4310</v>
      </c>
    </row>
    <row r="70" customFormat="false" ht="25.5" hidden="false" customHeight="true" outlineLevel="0" collapsed="false">
      <c r="B70" s="150" t="s">
        <v>4315</v>
      </c>
      <c r="C70" s="150" t="s">
        <v>4316</v>
      </c>
      <c r="D70" s="150" t="s">
        <v>4310</v>
      </c>
    </row>
    <row r="71" customFormat="false" ht="25.5" hidden="false" customHeight="true" outlineLevel="0" collapsed="false">
      <c r="B71" s="150" t="s">
        <v>4317</v>
      </c>
      <c r="C71" s="150" t="s">
        <v>4318</v>
      </c>
      <c r="D71" s="150" t="s">
        <v>4310</v>
      </c>
    </row>
    <row r="72" customFormat="false" ht="25.5" hidden="false" customHeight="true" outlineLevel="0" collapsed="false">
      <c r="B72" s="150" t="s">
        <v>4319</v>
      </c>
      <c r="C72" s="150" t="s">
        <v>4320</v>
      </c>
      <c r="D72" s="150" t="s">
        <v>4310</v>
      </c>
    </row>
    <row r="73" customFormat="false" ht="25.5" hidden="false" customHeight="true" outlineLevel="0" collapsed="false">
      <c r="B73" s="150" t="s">
        <v>4321</v>
      </c>
      <c r="C73" s="150" t="s">
        <v>4322</v>
      </c>
      <c r="D73" s="150" t="s">
        <v>4310</v>
      </c>
    </row>
    <row r="74" customFormat="false" ht="25.5" hidden="false" customHeight="true" outlineLevel="0" collapsed="false">
      <c r="B74" s="150" t="s">
        <v>4323</v>
      </c>
      <c r="C74" s="150" t="s">
        <v>4324</v>
      </c>
      <c r="D74" s="150" t="s">
        <v>4310</v>
      </c>
    </row>
    <row r="75" customFormat="false" ht="25.5" hidden="false" customHeight="true" outlineLevel="0" collapsed="false">
      <c r="B75" s="150" t="s">
        <v>4325</v>
      </c>
      <c r="C75" s="150" t="s">
        <v>4326</v>
      </c>
      <c r="D75" s="150" t="s">
        <v>4310</v>
      </c>
    </row>
    <row r="76" customFormat="false" ht="25.5" hidden="false" customHeight="true" outlineLevel="0" collapsed="false">
      <c r="B76" s="150" t="s">
        <v>4327</v>
      </c>
      <c r="C76" s="150" t="s">
        <v>4328</v>
      </c>
      <c r="D76" s="150" t="s">
        <v>4310</v>
      </c>
    </row>
    <row r="77" customFormat="false" ht="25.5" hidden="false" customHeight="true" outlineLevel="0" collapsed="false">
      <c r="B77" s="150" t="str">
        <f aca="false">"Inflation ""Ireland now"" "&amp;TEXT(Set_inflNow,"0.0%")&amp;" (CSO HICP flash Sep 2026)"</f>
        <v>Inflation "Ireland now" 3.9% (CSO HICP flash Sep 2026)</v>
      </c>
      <c r="C77" s="150" t="s">
        <v>4330</v>
      </c>
      <c r="D77" s="150" t="s">
        <v>4331</v>
      </c>
    </row>
    <row r="79" customFormat="false" ht="15" hidden="false" customHeight="true" outlineLevel="0" collapsed="false">
      <c r="B79" s="190" t="s">
        <v>4777</v>
      </c>
    </row>
    <row r="80" customFormat="false" ht="15" hidden="false" customHeight="true" outlineLevel="0" collapsed="false">
      <c r="B80" s="193" t="s">
        <v>4778</v>
      </c>
      <c r="C80" s="193" t="s">
        <v>4779</v>
      </c>
      <c r="D80" s="193" t="s">
        <v>47</v>
      </c>
    </row>
    <row r="81" customFormat="false" ht="12.75" hidden="false" customHeight="true" outlineLevel="0" collapsed="false">
      <c r="B81" s="159" t="s">
        <v>303</v>
      </c>
      <c r="C81" s="183" t="s">
        <v>4780</v>
      </c>
      <c r="D81" s="195" t="s">
        <v>4781</v>
      </c>
      <c r="E81" s="195"/>
    </row>
    <row r="82" customFormat="false" ht="12.75" hidden="false" customHeight="true" outlineLevel="0" collapsed="false">
      <c r="B82" s="159" t="s">
        <v>303</v>
      </c>
      <c r="C82" s="183" t="s">
        <v>4780</v>
      </c>
      <c r="D82" s="195" t="s">
        <v>4782</v>
      </c>
      <c r="E82" s="195"/>
    </row>
    <row r="83" customFormat="false" ht="12.75" hidden="false" customHeight="true" outlineLevel="0" collapsed="false">
      <c r="B83" s="159" t="s">
        <v>293</v>
      </c>
      <c r="C83" s="183" t="s">
        <v>4780</v>
      </c>
      <c r="D83" s="195" t="s">
        <v>4783</v>
      </c>
      <c r="E83" s="195"/>
    </row>
    <row r="84" customFormat="false" ht="25.5" hidden="false" customHeight="true" outlineLevel="0" collapsed="false">
      <c r="B84" s="159" t="s">
        <v>295</v>
      </c>
      <c r="C84" s="183" t="s">
        <v>4780</v>
      </c>
      <c r="D84" s="195" t="s">
        <v>4784</v>
      </c>
      <c r="E84" s="195"/>
    </row>
    <row r="85" customFormat="false" ht="12.75" hidden="false" customHeight="true" outlineLevel="0" collapsed="false">
      <c r="B85" s="159" t="s">
        <v>295</v>
      </c>
      <c r="C85" s="183" t="s">
        <v>4780</v>
      </c>
      <c r="D85" s="195" t="s">
        <v>4785</v>
      </c>
      <c r="E85" s="195"/>
    </row>
    <row r="86" customFormat="false" ht="25.5" hidden="false" customHeight="true" outlineLevel="0" collapsed="false">
      <c r="B86" s="159" t="s">
        <v>4786</v>
      </c>
      <c r="C86" s="183" t="s">
        <v>4780</v>
      </c>
      <c r="D86" s="195" t="s">
        <v>4787</v>
      </c>
      <c r="E86" s="195"/>
    </row>
    <row r="87" customFormat="false" ht="12.75" hidden="false" customHeight="true" outlineLevel="0" collapsed="false">
      <c r="B87" s="159" t="s">
        <v>4788</v>
      </c>
      <c r="C87" s="183" t="s">
        <v>4780</v>
      </c>
      <c r="D87" s="195" t="s">
        <v>4789</v>
      </c>
      <c r="E87" s="195"/>
    </row>
    <row r="88" customFormat="false" ht="12.75" hidden="false" customHeight="true" outlineLevel="0" collapsed="false">
      <c r="B88" s="159" t="s">
        <v>4199</v>
      </c>
      <c r="C88" s="183" t="s">
        <v>4780</v>
      </c>
      <c r="D88" s="195" t="s">
        <v>4790</v>
      </c>
      <c r="E88" s="195"/>
    </row>
    <row r="89" customFormat="false" ht="12.75" hidden="false" customHeight="true" outlineLevel="0" collapsed="false">
      <c r="B89" s="159" t="s">
        <v>309</v>
      </c>
      <c r="C89" s="183" t="s">
        <v>4780</v>
      </c>
      <c r="D89" s="195" t="s">
        <v>4791</v>
      </c>
      <c r="E89" s="195"/>
    </row>
    <row r="90" customFormat="false" ht="12.75" hidden="false" customHeight="true" outlineLevel="0" collapsed="false">
      <c r="B90" s="159" t="s">
        <v>311</v>
      </c>
      <c r="C90" s="183" t="s">
        <v>4780</v>
      </c>
      <c r="D90" s="195" t="s">
        <v>4792</v>
      </c>
      <c r="E90" s="195"/>
    </row>
    <row r="91" customFormat="false" ht="12.75" hidden="false" customHeight="true" outlineLevel="0" collapsed="false">
      <c r="B91" s="159" t="s">
        <v>312</v>
      </c>
      <c r="C91" s="183" t="s">
        <v>4780</v>
      </c>
      <c r="D91" s="195" t="s">
        <v>4793</v>
      </c>
      <c r="E91" s="195"/>
    </row>
    <row r="92" customFormat="false" ht="12.75" hidden="false" customHeight="true" outlineLevel="0" collapsed="false">
      <c r="B92" s="159" t="s">
        <v>318</v>
      </c>
      <c r="C92" s="183" t="s">
        <v>4780</v>
      </c>
      <c r="D92" s="195" t="s">
        <v>4794</v>
      </c>
      <c r="E92" s="195"/>
    </row>
    <row r="93" customFormat="false" ht="12.75" hidden="false" customHeight="true" outlineLevel="0" collapsed="false">
      <c r="B93" s="159" t="s">
        <v>4795</v>
      </c>
      <c r="C93" s="159" t="s">
        <v>4796</v>
      </c>
      <c r="D93" s="195" t="s">
        <v>4797</v>
      </c>
      <c r="E93" s="195"/>
    </row>
    <row r="94" customFormat="false" ht="12.75" hidden="false" customHeight="true" outlineLevel="0" collapsed="false">
      <c r="B94" s="159" t="s">
        <v>298</v>
      </c>
      <c r="C94" s="159" t="s">
        <v>4796</v>
      </c>
      <c r="D94" s="195" t="s">
        <v>4798</v>
      </c>
      <c r="E94" s="195"/>
    </row>
    <row r="95" customFormat="false" ht="12.75" hidden="false" customHeight="true" outlineLevel="0" collapsed="false">
      <c r="B95" s="159" t="s">
        <v>4799</v>
      </c>
      <c r="C95" s="159" t="s">
        <v>4796</v>
      </c>
      <c r="D95" s="195" t="s">
        <v>4800</v>
      </c>
      <c r="E95" s="195"/>
    </row>
    <row r="96" customFormat="false" ht="12.75" hidden="false" customHeight="true" outlineLevel="0" collapsed="false">
      <c r="B96" s="159" t="s">
        <v>4292</v>
      </c>
      <c r="C96" s="159" t="s">
        <v>4796</v>
      </c>
      <c r="D96" s="195" t="s">
        <v>4801</v>
      </c>
      <c r="E96" s="195"/>
    </row>
    <row r="97" customFormat="false" ht="25.5" hidden="false" customHeight="true" outlineLevel="0" collapsed="false">
      <c r="B97" s="159" t="s">
        <v>312</v>
      </c>
      <c r="C97" s="159" t="s">
        <v>4796</v>
      </c>
      <c r="D97" s="195" t="s">
        <v>4802</v>
      </c>
      <c r="E97" s="195"/>
    </row>
    <row r="98" customFormat="false" ht="25.5" hidden="false" customHeight="true" outlineLevel="0" collapsed="false">
      <c r="B98" s="159" t="s">
        <v>313</v>
      </c>
      <c r="C98" s="159" t="s">
        <v>4796</v>
      </c>
      <c r="D98" s="195" t="s">
        <v>4803</v>
      </c>
      <c r="E98" s="195"/>
    </row>
    <row r="99" customFormat="false" ht="12.75" hidden="false" customHeight="true" outlineLevel="0" collapsed="false">
      <c r="B99" s="159" t="s">
        <v>314</v>
      </c>
      <c r="C99" s="159" t="s">
        <v>4796</v>
      </c>
      <c r="D99" s="195" t="s">
        <v>4804</v>
      </c>
      <c r="E99" s="195"/>
    </row>
    <row r="100" customFormat="false" ht="12.75" hidden="false" customHeight="true" outlineLevel="0" collapsed="false">
      <c r="B100" s="159" t="s">
        <v>4805</v>
      </c>
      <c r="C100" s="159" t="s">
        <v>4796</v>
      </c>
      <c r="D100" s="195" t="s">
        <v>4806</v>
      </c>
      <c r="E100" s="195"/>
    </row>
    <row r="101" customFormat="false" ht="12.75" hidden="false" customHeight="true" outlineLevel="0" collapsed="false">
      <c r="B101" s="159" t="s">
        <v>4807</v>
      </c>
      <c r="C101" s="159" t="s">
        <v>4796</v>
      </c>
      <c r="D101" s="195" t="s">
        <v>4808</v>
      </c>
      <c r="E101" s="195"/>
    </row>
    <row r="102" customFormat="false" ht="12.75" hidden="false" customHeight="true" outlineLevel="0" collapsed="false">
      <c r="B102" s="159" t="s">
        <v>292</v>
      </c>
      <c r="C102" s="159" t="s">
        <v>4809</v>
      </c>
      <c r="D102" s="195" t="s">
        <v>4810</v>
      </c>
      <c r="E102" s="195"/>
    </row>
    <row r="103" customFormat="false" ht="12.75" hidden="false" customHeight="true" outlineLevel="0" collapsed="false">
      <c r="B103" s="159" t="s">
        <v>4811</v>
      </c>
      <c r="C103" s="159" t="s">
        <v>4809</v>
      </c>
      <c r="D103" s="195" t="s">
        <v>4812</v>
      </c>
      <c r="E103" s="195"/>
    </row>
    <row r="104" customFormat="false" ht="12.75" hidden="false" customHeight="true" outlineLevel="0" collapsed="false">
      <c r="B104" s="159" t="s">
        <v>295</v>
      </c>
      <c r="C104" s="159" t="s">
        <v>4809</v>
      </c>
      <c r="D104" s="195" t="s">
        <v>4813</v>
      </c>
      <c r="E104" s="195"/>
    </row>
    <row r="105" customFormat="false" ht="12.75" hidden="false" customHeight="true" outlineLevel="0" collapsed="false">
      <c r="B105" s="159" t="s">
        <v>297</v>
      </c>
      <c r="C105" s="159" t="s">
        <v>4809</v>
      </c>
      <c r="D105" s="195" t="s">
        <v>4814</v>
      </c>
      <c r="E105" s="195"/>
    </row>
    <row r="106" customFormat="false" ht="12.75" hidden="false" customHeight="true" outlineLevel="0" collapsed="false">
      <c r="B106" s="159" t="s">
        <v>4815</v>
      </c>
      <c r="C106" s="159" t="s">
        <v>4809</v>
      </c>
      <c r="D106" s="195" t="s">
        <v>4816</v>
      </c>
      <c r="E106" s="195"/>
    </row>
    <row r="107" customFormat="false" ht="12.75" hidden="false" customHeight="true" outlineLevel="0" collapsed="false">
      <c r="B107" s="159" t="s">
        <v>4199</v>
      </c>
      <c r="C107" s="159" t="s">
        <v>4809</v>
      </c>
      <c r="D107" s="195" t="s">
        <v>4817</v>
      </c>
      <c r="E107" s="195"/>
    </row>
    <row r="108" customFormat="false" ht="12.75" hidden="false" customHeight="true" outlineLevel="0" collapsed="false">
      <c r="B108" s="159" t="s">
        <v>307</v>
      </c>
      <c r="C108" s="159" t="s">
        <v>4809</v>
      </c>
      <c r="D108" s="195" t="s">
        <v>4818</v>
      </c>
      <c r="E108" s="195"/>
    </row>
    <row r="109" customFormat="false" ht="12.75" hidden="false" customHeight="true" outlineLevel="0" collapsed="false">
      <c r="B109" s="159" t="s">
        <v>316</v>
      </c>
      <c r="C109" s="159" t="s">
        <v>4809</v>
      </c>
      <c r="D109" s="195" t="s">
        <v>4819</v>
      </c>
      <c r="E109" s="195"/>
    </row>
    <row r="110" customFormat="false" ht="25.5" hidden="false" customHeight="true" outlineLevel="0" collapsed="false">
      <c r="B110" s="159" t="s">
        <v>4820</v>
      </c>
      <c r="C110" s="159" t="s">
        <v>4809</v>
      </c>
      <c r="D110" s="195" t="s">
        <v>4821</v>
      </c>
      <c r="E110" s="195"/>
    </row>
    <row r="112" customFormat="false" ht="15" hidden="false" customHeight="true" outlineLevel="0" collapsed="false">
      <c r="B112" s="190" t="s">
        <v>4822</v>
      </c>
    </row>
    <row r="113" customFormat="false" ht="15" hidden="false" customHeight="true" outlineLevel="0" collapsed="false">
      <c r="B113" s="193" t="s">
        <v>4778</v>
      </c>
      <c r="C113" s="193" t="s">
        <v>4779</v>
      </c>
      <c r="D113" s="193" t="s">
        <v>47</v>
      </c>
    </row>
    <row r="114" customFormat="false" ht="51.75" hidden="false" customHeight="true" outlineLevel="0" collapsed="false">
      <c r="B114" s="159" t="s">
        <v>4823</v>
      </c>
      <c r="C114" s="159" t="s">
        <v>4824</v>
      </c>
      <c r="D114" s="195" t="s">
        <v>4825</v>
      </c>
      <c r="E114" s="195"/>
    </row>
    <row r="115" customFormat="false" ht="39" hidden="false" customHeight="true" outlineLevel="0" collapsed="false">
      <c r="B115" s="159" t="s">
        <v>4826</v>
      </c>
      <c r="C115" s="159" t="s">
        <v>4827</v>
      </c>
      <c r="D115" s="195" t="s">
        <v>4828</v>
      </c>
      <c r="E115" s="195"/>
    </row>
    <row r="116" customFormat="false" ht="25.5" hidden="false" customHeight="true" outlineLevel="0" collapsed="false">
      <c r="B116" s="159" t="s">
        <v>292</v>
      </c>
      <c r="C116" s="159" t="s">
        <v>4796</v>
      </c>
      <c r="D116" s="195" t="s">
        <v>4829</v>
      </c>
      <c r="E116" s="195"/>
    </row>
    <row r="117" customFormat="false" ht="12.75" hidden="false" customHeight="true" outlineLevel="0" collapsed="false">
      <c r="B117" s="159" t="s">
        <v>4830</v>
      </c>
      <c r="C117" s="159" t="s">
        <v>4809</v>
      </c>
      <c r="D117" s="195" t="s">
        <v>4831</v>
      </c>
      <c r="E117" s="195"/>
    </row>
    <row r="118" customFormat="false" ht="12.75" hidden="false" customHeight="true" outlineLevel="0" collapsed="false">
      <c r="B118" s="159" t="s">
        <v>293</v>
      </c>
      <c r="C118" s="159" t="s">
        <v>4809</v>
      </c>
      <c r="D118" s="195" t="s">
        <v>4832</v>
      </c>
      <c r="E118" s="195"/>
    </row>
    <row r="119" customFormat="false" ht="12.75" hidden="false" customHeight="true" outlineLevel="0" collapsed="false">
      <c r="B119" s="159" t="s">
        <v>294</v>
      </c>
      <c r="C119" s="159" t="s">
        <v>4796</v>
      </c>
      <c r="D119" s="195" t="s">
        <v>4833</v>
      </c>
      <c r="E119" s="195"/>
    </row>
    <row r="120" customFormat="false" ht="12.75" hidden="false" customHeight="true" outlineLevel="0" collapsed="false">
      <c r="B120" s="159" t="s">
        <v>298</v>
      </c>
      <c r="C120" s="159" t="s">
        <v>4809</v>
      </c>
      <c r="D120" s="195" t="s">
        <v>4834</v>
      </c>
      <c r="E120" s="195"/>
    </row>
    <row r="121" customFormat="false" ht="25.5" hidden="false" customHeight="true" outlineLevel="0" collapsed="false">
      <c r="B121" s="159" t="s">
        <v>4835</v>
      </c>
      <c r="C121" s="159" t="s">
        <v>4796</v>
      </c>
      <c r="D121" s="195" t="s">
        <v>4836</v>
      </c>
      <c r="E121" s="195"/>
    </row>
    <row r="122" customFormat="false" ht="12.75" hidden="false" customHeight="true" outlineLevel="0" collapsed="false">
      <c r="B122" s="159" t="s">
        <v>301</v>
      </c>
      <c r="C122" s="159" t="s">
        <v>4809</v>
      </c>
      <c r="D122" s="195" t="s">
        <v>4837</v>
      </c>
      <c r="E122" s="195"/>
    </row>
    <row r="123" customFormat="false" ht="12.75" hidden="false" customHeight="true" outlineLevel="0" collapsed="false">
      <c r="B123" s="159" t="s">
        <v>302</v>
      </c>
      <c r="C123" s="159" t="s">
        <v>4809</v>
      </c>
      <c r="D123" s="195" t="s">
        <v>4838</v>
      </c>
      <c r="E123" s="195"/>
    </row>
    <row r="124" customFormat="false" ht="12.75" hidden="false" customHeight="true" outlineLevel="0" collapsed="false">
      <c r="B124" s="159" t="s">
        <v>303</v>
      </c>
      <c r="C124" s="159" t="s">
        <v>4796</v>
      </c>
      <c r="D124" s="195" t="s">
        <v>4839</v>
      </c>
      <c r="E124" s="195"/>
    </row>
    <row r="125" customFormat="false" ht="12.75" hidden="false" customHeight="true" outlineLevel="0" collapsed="false">
      <c r="B125" s="159" t="s">
        <v>304</v>
      </c>
      <c r="C125" s="159" t="s">
        <v>4796</v>
      </c>
      <c r="D125" s="195" t="s">
        <v>4840</v>
      </c>
      <c r="E125" s="195"/>
    </row>
    <row r="126" customFormat="false" ht="12.75" hidden="false" customHeight="true" outlineLevel="0" collapsed="false">
      <c r="B126" s="159" t="s">
        <v>306</v>
      </c>
      <c r="C126" s="159" t="s">
        <v>4809</v>
      </c>
      <c r="D126" s="195" t="s">
        <v>4841</v>
      </c>
      <c r="E126" s="195"/>
    </row>
    <row r="127" customFormat="false" ht="12.75" hidden="false" customHeight="true" outlineLevel="0" collapsed="false">
      <c r="B127" s="159" t="s">
        <v>311</v>
      </c>
      <c r="C127" s="159" t="s">
        <v>4796</v>
      </c>
      <c r="D127" s="195" t="s">
        <v>4842</v>
      </c>
      <c r="E127" s="195"/>
    </row>
    <row r="128" customFormat="false" ht="25.5" hidden="false" customHeight="true" outlineLevel="0" collapsed="false">
      <c r="B128" s="159" t="s">
        <v>312</v>
      </c>
      <c r="C128" s="159" t="s">
        <v>4809</v>
      </c>
      <c r="D128" s="195" t="s">
        <v>4843</v>
      </c>
      <c r="E128" s="195"/>
    </row>
    <row r="129" customFormat="false" ht="25.5" hidden="false" customHeight="true" outlineLevel="0" collapsed="false">
      <c r="B129" s="159" t="s">
        <v>313</v>
      </c>
      <c r="C129" s="159" t="s">
        <v>4809</v>
      </c>
      <c r="D129" s="195" t="s">
        <v>4844</v>
      </c>
      <c r="E129" s="195"/>
    </row>
    <row r="130" customFormat="false" ht="12.75" hidden="false" customHeight="true" outlineLevel="0" collapsed="false">
      <c r="B130" s="159" t="s">
        <v>314</v>
      </c>
      <c r="C130" s="159" t="s">
        <v>4809</v>
      </c>
      <c r="D130" s="195" t="s">
        <v>4845</v>
      </c>
      <c r="E130" s="195"/>
    </row>
    <row r="131" customFormat="false" ht="12.75" hidden="false" customHeight="true" outlineLevel="0" collapsed="false">
      <c r="B131" s="159" t="s">
        <v>4846</v>
      </c>
      <c r="C131" s="159" t="s">
        <v>4809</v>
      </c>
      <c r="D131" s="195" t="s">
        <v>4847</v>
      </c>
      <c r="E131" s="195"/>
    </row>
    <row r="132" customFormat="false" ht="64.5" hidden="false" customHeight="true" outlineLevel="0" collapsed="false">
      <c r="B132" s="159" t="s">
        <v>4848</v>
      </c>
      <c r="C132" s="159" t="s">
        <v>4809</v>
      </c>
      <c r="D132" s="195" t="s">
        <v>4849</v>
      </c>
      <c r="E132" s="195"/>
    </row>
    <row r="133" customFormat="false" ht="12.75" hidden="false" customHeight="true" outlineLevel="0" collapsed="false">
      <c r="B133" s="159"/>
      <c r="C133" s="159"/>
      <c r="D133" s="196"/>
    </row>
    <row r="135" customFormat="false" ht="15" hidden="false" customHeight="true" outlineLevel="0" collapsed="false">
      <c r="B135" s="190" t="s">
        <v>4850</v>
      </c>
    </row>
    <row r="136" customFormat="false" ht="15" hidden="false" customHeight="true" outlineLevel="0" collapsed="false">
      <c r="C136" s="194" t="str">
        <f aca="false">HYPERLINK("#'Plan inputs'!A1","Plan inputs")</f>
        <v>Plan inputs</v>
      </c>
      <c r="D136" s="20" t="s">
        <v>4851</v>
      </c>
    </row>
    <row r="137" customFormat="false" ht="15" hidden="false" customHeight="true" outlineLevel="0" collapsed="false">
      <c r="C137" s="194" t="str">
        <f aca="false">HYPERLINK("#'Plan pay &amp; tax'!A1","Plan pay &amp; tax")</f>
        <v>Plan pay &amp; tax</v>
      </c>
      <c r="D137" s="20" t="s">
        <v>4852</v>
      </c>
    </row>
    <row r="138" customFormat="false" ht="15" hidden="false" customHeight="true" outlineLevel="0" collapsed="false">
      <c r="C138" s="194" t="str">
        <f aca="false">HYPERLINK("#'Plan debt months'!A1","Plan debt months")</f>
        <v>Plan debt months</v>
      </c>
      <c r="D138" s="20" t="s">
        <v>4853</v>
      </c>
    </row>
    <row r="139" customFormat="false" ht="15" hidden="false" customHeight="true" outlineLevel="0" collapsed="false">
      <c r="C139" s="194" t="str">
        <f aca="false">HYPERLINK("#'Plan cashflow'!A1","Plan cashflow")</f>
        <v>Plan cashflow</v>
      </c>
      <c r="D139" s="20" t="s">
        <v>4854</v>
      </c>
    </row>
    <row r="140" customFormat="false" ht="15" hidden="false" customHeight="true" outlineLevel="0" collapsed="false">
      <c r="C140" s="194" t="str">
        <f aca="false">HYPERLINK("#'Plan goals'!A1","Plan goals")</f>
        <v>Plan goals</v>
      </c>
      <c r="D140" s="20" t="s">
        <v>4855</v>
      </c>
    </row>
    <row r="141" customFormat="false" ht="15" hidden="false" customHeight="true" outlineLevel="0" collapsed="false">
      <c r="C141" s="194" t="str">
        <f aca="false">HYPERLINK("#'Plan results'!A1","Plan results")</f>
        <v>Plan results</v>
      </c>
      <c r="D141" s="20" t="s">
        <v>4856</v>
      </c>
    </row>
    <row r="142" customFormat="false" ht="15" hidden="false" customHeight="true" outlineLevel="0" collapsed="false">
      <c r="C142" s="194" t="str">
        <f aca="false">HYPERLINK("#'Plan profile'!A1","Plan profile")</f>
        <v>Plan profile</v>
      </c>
      <c r="D142" s="20" t="s">
        <v>4857</v>
      </c>
    </row>
    <row r="143" customFormat="false" ht="15" hidden="false" customHeight="true" outlineLevel="0" collapsed="false">
      <c r="C143" s="194" t="str">
        <f aca="false">HYPERLINK("#'Plan how it works'!A1","Plan how it works")</f>
        <v>Plan how it works</v>
      </c>
      <c r="D143" s="20" t="s">
        <v>4858</v>
      </c>
    </row>
    <row r="144" customFormat="false" ht="15" hidden="false" customHeight="true" outlineLevel="0" collapsed="false">
      <c r="C144" s="194" t="str">
        <f aca="false">HYPERLINK("#'Calculation register'!A1","Calculation register")</f>
        <v>Calculation register</v>
      </c>
      <c r="D144" s="20" t="s">
        <v>4859</v>
      </c>
    </row>
    <row r="145" customFormat="false" ht="15" hidden="false" customHeight="true" outlineLevel="0" collapsed="false">
      <c r="B145" s="25" t="s">
        <v>4860</v>
      </c>
    </row>
    <row r="147" customFormat="false" ht="15" hidden="false" customHeight="true" outlineLevel="0" collapsed="false">
      <c r="B147" s="190" t="s">
        <v>4861</v>
      </c>
    </row>
    <row r="148" customFormat="false" ht="15" hidden="false" customHeight="true" outlineLevel="0" collapsed="false">
      <c r="C148" s="194" t="str">
        <f aca="false">HYPERLINK("#'Settings'!A1","Settings")</f>
        <v>Settings</v>
      </c>
      <c r="D148" s="20" t="s">
        <v>4862</v>
      </c>
    </row>
    <row r="149" customFormat="false" ht="15" hidden="false" customHeight="true" outlineLevel="0" collapsed="false">
      <c r="C149" s="194" t="str">
        <f aca="false">HYPERLINK("#'Your lists'!A1","Your lists")</f>
        <v>Your lists</v>
      </c>
      <c r="D149" s="20" t="s">
        <v>4863</v>
      </c>
    </row>
    <row r="150" customFormat="false" ht="15" hidden="false" customHeight="true" outlineLevel="0" collapsed="false">
      <c r="C150" s="194" t="str">
        <f aca="false">HYPERLINK("#'UI Guide'!A1","UI Guide")</f>
        <v>UI Guide</v>
      </c>
      <c r="D150" s="20" t="s">
        <v>4864</v>
      </c>
    </row>
    <row r="151" customFormat="false" ht="15" hidden="false" customHeight="true" outlineLevel="0" collapsed="false">
      <c r="C151" s="194" t="str">
        <f aca="false">HYPERLINK("#'UI Calculators'!A1","UI Calculators")</f>
        <v>UI Calculators</v>
      </c>
      <c r="D151" s="20" t="s">
        <v>4865</v>
      </c>
    </row>
    <row r="152" customFormat="false" ht="15" hidden="false" customHeight="true" outlineLevel="0" collapsed="false">
      <c r="C152" s="194" t="str">
        <f aca="false">HYPERLINK("#'UI Screens'!A1","UI Screens")</f>
        <v>UI Screens</v>
      </c>
      <c r="D152" s="20" t="s">
        <v>4866</v>
      </c>
    </row>
    <row r="153" customFormat="false" ht="15" hidden="false" customHeight="true" outlineLevel="0" collapsed="false">
      <c r="C153" s="194" t="str">
        <f aca="false">HYPERLINK("#'UI Make my plan'!A1","UI Make my plan")</f>
        <v>UI Make my plan</v>
      </c>
      <c r="D153" s="20" t="s">
        <v>4867</v>
      </c>
    </row>
  </sheetData>
  <mergeCells count="68">
    <mergeCell ref="B5:E5"/>
    <mergeCell ref="B6:E6"/>
    <mergeCell ref="B7:E7"/>
    <mergeCell ref="B8:E8"/>
    <mergeCell ref="B9:E9"/>
    <mergeCell ref="B10:E10"/>
    <mergeCell ref="B11:E11"/>
    <mergeCell ref="B12:E12"/>
    <mergeCell ref="B13:E13"/>
    <mergeCell ref="B14:E14"/>
    <mergeCell ref="B17:E17"/>
    <mergeCell ref="B18:E18"/>
    <mergeCell ref="B19:E19"/>
    <mergeCell ref="B20:E20"/>
    <mergeCell ref="B21:E21"/>
    <mergeCell ref="B22:E22"/>
    <mergeCell ref="B25:E25"/>
    <mergeCell ref="B28:E28"/>
    <mergeCell ref="B65:G65"/>
    <mergeCell ref="D81:E81"/>
    <mergeCell ref="D82:E82"/>
    <mergeCell ref="D83:E83"/>
    <mergeCell ref="D84:E84"/>
    <mergeCell ref="D85:E85"/>
    <mergeCell ref="D86:E86"/>
    <mergeCell ref="D87:E87"/>
    <mergeCell ref="D88:E88"/>
    <mergeCell ref="D89:E89"/>
    <mergeCell ref="D90:E90"/>
    <mergeCell ref="D91:E91"/>
    <mergeCell ref="D92:E92"/>
    <mergeCell ref="D93:E93"/>
    <mergeCell ref="D94:E94"/>
    <mergeCell ref="D95:E95"/>
    <mergeCell ref="D96:E96"/>
    <mergeCell ref="D97:E97"/>
    <mergeCell ref="D98:E98"/>
    <mergeCell ref="D99:E99"/>
    <mergeCell ref="D100:E100"/>
    <mergeCell ref="D101:E101"/>
    <mergeCell ref="D102:E102"/>
    <mergeCell ref="D103:E103"/>
    <mergeCell ref="D104:E104"/>
    <mergeCell ref="D105:E105"/>
    <mergeCell ref="D106:E106"/>
    <mergeCell ref="D107:E107"/>
    <mergeCell ref="D108:E108"/>
    <mergeCell ref="D109:E109"/>
    <mergeCell ref="D110:E110"/>
    <mergeCell ref="D114:E114"/>
    <mergeCell ref="D115:E115"/>
    <mergeCell ref="D116:E116"/>
    <mergeCell ref="D117:E117"/>
    <mergeCell ref="D118:E118"/>
    <mergeCell ref="D119:E119"/>
    <mergeCell ref="D120:E120"/>
    <mergeCell ref="D121:E121"/>
    <mergeCell ref="D122:E122"/>
    <mergeCell ref="D123:E123"/>
    <mergeCell ref="D124:E124"/>
    <mergeCell ref="D125:E125"/>
    <mergeCell ref="D126:E126"/>
    <mergeCell ref="D127:E127"/>
    <mergeCell ref="D128:E128"/>
    <mergeCell ref="D129:E129"/>
    <mergeCell ref="D130:E130"/>
    <mergeCell ref="D131:E131"/>
    <mergeCell ref="D132:E132"/>
  </mergeCells>
  <dataValidations count="1">
    <dataValidation allowBlank="false" error="Choose Yes or No." errorStyle="stop" errorTitle="Yes or No" operator="between" prompt="No = blank template: results show &quot;Choose your … to see this&quot; until you fill the inputs. Yes = every blank input uses its grey Example only figure (the standard, or the sample customer's figure)." promptTitle="Example values" showDropDown="false" showErrorMessage="true" showInputMessage="true" sqref="C3"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2026-10-02T13:35:00Z</dcterms:created>
  <dc:creator>openpyxl</dc:creator>
  <dc:description/>
  <dc:language>en-US</dc:language>
  <cp:lastModifiedBy/>
  <dcterms:modified xsi:type="dcterms:W3CDTF">2026-10-21T15:12:59Z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